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T:\Financeiro\Inadimplência\Overdue\2026\06-2026\"/>
    </mc:Choice>
  </mc:AlternateContent>
  <xr:revisionPtr revIDLastSave="0" documentId="13_ncr:1_{A6953869-DB6D-474E-9786-5152D87F2C7C}" xr6:coauthVersionLast="47" xr6:coauthVersionMax="47" xr10:uidLastSave="{00000000-0000-0000-0000-000000000000}"/>
  <bookViews>
    <workbookView xWindow="28665" yWindow="-135" windowWidth="29070" windowHeight="15750" firstSheet="6" activeTab="8" xr2:uid="{00000000-000D-0000-FFFF-FFFF00000000}"/>
  </bookViews>
  <sheets>
    <sheet name="AR - slide BoD" sheetId="38" state="hidden" r:id="rId1"/>
    <sheet name="freight debit notes" sheetId="39" state="hidden" r:id="rId2"/>
    <sheet name="Data total" sheetId="8" state="hidden" r:id="rId3"/>
    <sheet name="Data Additive" sheetId="1" state="hidden" r:id="rId4"/>
    <sheet name="Data International" sheetId="24" state="hidden" r:id="rId5"/>
    <sheet name="Data Fertilizers" sheetId="11" state="hidden" r:id="rId6"/>
    <sheet name="Clientes Consolidado." sheetId="36" r:id="rId7"/>
    <sheet name="Nova Versão " sheetId="42" r:id="rId8"/>
    <sheet name="New version Aging AR" sheetId="49" r:id="rId9"/>
    <sheet name="Limites " sheetId="50" state="hidden" r:id="rId10"/>
    <sheet name="Limite de crédito" sheetId="28" state="hidden" r:id="rId11"/>
    <sheet name="Painel Additive" sheetId="6" state="hidden" r:id="rId12"/>
    <sheet name="Painel Fertilizers" sheetId="14" state="hidden" r:id="rId13"/>
    <sheet name="Bad Debt Provision" sheetId="17" state="hidden" r:id="rId14"/>
    <sheet name="Painel International" sheetId="23" state="hidden" r:id="rId15"/>
    <sheet name="Info Clientes" sheetId="43" state="hidden" r:id="rId16"/>
    <sheet name="Buget" sheetId="45" state="hidden" r:id="rId17"/>
    <sheet name="Clientes" sheetId="47" state="hidden" r:id="rId18"/>
    <sheet name="Invoiced amount" sheetId="46" state="hidden" r:id="rId19"/>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BoD'!$A$21:$T$130</definedName>
    <definedName name="_xlnm._FilterDatabase" localSheetId="13" hidden="1">'Bad Debt Provision'!$A$3:$AE$607</definedName>
    <definedName name="_xlnm._FilterDatabase" localSheetId="16" hidden="1">Buget!$A$2:$AA$1571</definedName>
    <definedName name="_xlnm._FilterDatabase" localSheetId="17" hidden="1">Clientes!$A$1:$AH$3322</definedName>
    <definedName name="_xlnm._FilterDatabase" localSheetId="6" hidden="1">'Clientes Consolidado.'!$A$3:$AL$85</definedName>
    <definedName name="_xlnm._FilterDatabase" localSheetId="3" hidden="1">'Data Additive'!$A$2:$R$319</definedName>
    <definedName name="_xlnm._FilterDatabase" localSheetId="5" hidden="1">'Data Fertilizers'!$A$2:$S$391</definedName>
    <definedName name="_xlnm._FilterDatabase" localSheetId="4" hidden="1">'Data International'!$A$2:$S$47</definedName>
    <definedName name="_xlnm._FilterDatabase" localSheetId="2" hidden="1">'Data total'!$A$2:$R$771</definedName>
    <definedName name="_xlnm._FilterDatabase" localSheetId="1" hidden="1">'freight debit notes'!$A$2:$Q$2</definedName>
    <definedName name="_xlnm._FilterDatabase" localSheetId="15" hidden="1">'Info Clientes'!$A$1:$D$313</definedName>
    <definedName name="_xlnm._FilterDatabase" localSheetId="18" hidden="1">'Invoiced amount'!$A$2:$AH$2</definedName>
    <definedName name="_xlnm._FilterDatabase" localSheetId="10" hidden="1">'Limite de crédito'!$A$1:$Q$185</definedName>
    <definedName name="_xlnm._FilterDatabase" localSheetId="9" hidden="1">'Limites '!$B$3:$G$195</definedName>
    <definedName name="_xlnm._FilterDatabase" localSheetId="8" hidden="1">'New version Aging AR'!$B$4:$AG$87</definedName>
    <definedName name="_xlnm._FilterDatabase" localSheetId="7" hidden="1">'Nova Versão '!$B$2:$AG$85</definedName>
    <definedName name="_xlnm._FilterDatabase" localSheetId="11" hidden="1">'Painel Additive'!$A$3:$AK$143</definedName>
    <definedName name="_xlnm._FilterDatabase" localSheetId="12" hidden="1">'Painel Fertilizers'!$A$3:$AK$62</definedName>
    <definedName name="_xlnm._FilterDatabase" localSheetId="14" hidden="1">'Painel International'!$A$3:$AK$28</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0"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42" l="1"/>
  <c r="AG4" i="42"/>
  <c r="AG5" i="42"/>
  <c r="AG6" i="42"/>
  <c r="AG7" i="42"/>
  <c r="AG8" i="42"/>
  <c r="AG9" i="42"/>
  <c r="AG10" i="42"/>
  <c r="AG11" i="42"/>
  <c r="AG12" i="42"/>
  <c r="AG13" i="42"/>
  <c r="AG14" i="42"/>
  <c r="AG15" i="42"/>
  <c r="AG16" i="42"/>
  <c r="AG17" i="42"/>
  <c r="AG18" i="42"/>
  <c r="AG19" i="42"/>
  <c r="AG20" i="42"/>
  <c r="AG21" i="42"/>
  <c r="AG22" i="42"/>
  <c r="AG23" i="42"/>
  <c r="AG24" i="42"/>
  <c r="AG25" i="42"/>
  <c r="AG26" i="42"/>
  <c r="AG27" i="42"/>
  <c r="AG28" i="42"/>
  <c r="AG29" i="42"/>
  <c r="AG30" i="42"/>
  <c r="AG31" i="42"/>
  <c r="AG32" i="42"/>
  <c r="AG33" i="42"/>
  <c r="AG34" i="42"/>
  <c r="AG35" i="42"/>
  <c r="AG36" i="42"/>
  <c r="AG37" i="42"/>
  <c r="AG38" i="42"/>
  <c r="AG39" i="42"/>
  <c r="AG40" i="42"/>
  <c r="AG41" i="42"/>
  <c r="AG42" i="42"/>
  <c r="AG43" i="42"/>
  <c r="AG44" i="42"/>
  <c r="AG45" i="42"/>
  <c r="AG46" i="42"/>
  <c r="AG47" i="42"/>
  <c r="AG48" i="42"/>
  <c r="AG49" i="42"/>
  <c r="AG50" i="42"/>
  <c r="AG51" i="42"/>
  <c r="AG52" i="42"/>
  <c r="AG53" i="42"/>
  <c r="AG54" i="42"/>
  <c r="AG55" i="42"/>
  <c r="AG56" i="42"/>
  <c r="AG57" i="42"/>
  <c r="AG58" i="42"/>
  <c r="AG59" i="42"/>
  <c r="AG60" i="42"/>
  <c r="AG61" i="42"/>
  <c r="AG62" i="42"/>
  <c r="AG63" i="42"/>
  <c r="AG64" i="42"/>
  <c r="AG65" i="42"/>
  <c r="AG66" i="42"/>
  <c r="AG67" i="42"/>
  <c r="AG68" i="42"/>
  <c r="AG69" i="42"/>
  <c r="AG70" i="42"/>
  <c r="AG71" i="42"/>
  <c r="AG72" i="42"/>
  <c r="AG73" i="42"/>
  <c r="AG74" i="42"/>
  <c r="AG75" i="42"/>
  <c r="AG76" i="42"/>
  <c r="AG77" i="42"/>
  <c r="AG78" i="42"/>
  <c r="AG79" i="42"/>
  <c r="AG80" i="42"/>
  <c r="AG81" i="42"/>
  <c r="AG82" i="42"/>
  <c r="AG83" i="42"/>
  <c r="AG84" i="42"/>
  <c r="AG85" i="42"/>
  <c r="AF4" i="42"/>
  <c r="AF5" i="42"/>
  <c r="AF6" i="42"/>
  <c r="AF7" i="42"/>
  <c r="AF8" i="42"/>
  <c r="AF9" i="42"/>
  <c r="AF10" i="42"/>
  <c r="AF11" i="42"/>
  <c r="AF12" i="42"/>
  <c r="AF13" i="42"/>
  <c r="AF14" i="42"/>
  <c r="AF15" i="42"/>
  <c r="AF16" i="42"/>
  <c r="AF17" i="42"/>
  <c r="AF18" i="42"/>
  <c r="AF19" i="42"/>
  <c r="AF20" i="42"/>
  <c r="AF21" i="42"/>
  <c r="AF22" i="42"/>
  <c r="AF23" i="42"/>
  <c r="AF24" i="42"/>
  <c r="AF25" i="42"/>
  <c r="AF26" i="42"/>
  <c r="AF27" i="42"/>
  <c r="AF28" i="42"/>
  <c r="AF29" i="42"/>
  <c r="AF30" i="42"/>
  <c r="AF31" i="42"/>
  <c r="AF32" i="42"/>
  <c r="AF33" i="42"/>
  <c r="AF34" i="42"/>
  <c r="AF35" i="42"/>
  <c r="AF36" i="42"/>
  <c r="AF37" i="42"/>
  <c r="AF38" i="42"/>
  <c r="AF39" i="42"/>
  <c r="AF40" i="42"/>
  <c r="AF41" i="42"/>
  <c r="AF42" i="42"/>
  <c r="AF43" i="42"/>
  <c r="AF44" i="42"/>
  <c r="AF45" i="42"/>
  <c r="AF46" i="42"/>
  <c r="AF47" i="42"/>
  <c r="AF48" i="42"/>
  <c r="AF49" i="42"/>
  <c r="AF50" i="42"/>
  <c r="AF51" i="42"/>
  <c r="AF52" i="42"/>
  <c r="AF53" i="42"/>
  <c r="AF54" i="42"/>
  <c r="AF55" i="42"/>
  <c r="AF56" i="42"/>
  <c r="AF57" i="42"/>
  <c r="AF58" i="42"/>
  <c r="AF59" i="42"/>
  <c r="AF60" i="42"/>
  <c r="AF61" i="42"/>
  <c r="AF62" i="42"/>
  <c r="AF63" i="42"/>
  <c r="AF64" i="42"/>
  <c r="AF65" i="42"/>
  <c r="AF66" i="42"/>
  <c r="AF67" i="42"/>
  <c r="AF68" i="42"/>
  <c r="AF69" i="42"/>
  <c r="AF70" i="42"/>
  <c r="AF71" i="42"/>
  <c r="AF72" i="42"/>
  <c r="AF73" i="42"/>
  <c r="AF74" i="42"/>
  <c r="AF75" i="42"/>
  <c r="AF76" i="42"/>
  <c r="AF77" i="42"/>
  <c r="AF78" i="42"/>
  <c r="AF79" i="42"/>
  <c r="AF80" i="42"/>
  <c r="AF81" i="42"/>
  <c r="AF82" i="42"/>
  <c r="AF83" i="42"/>
  <c r="AF84" i="42"/>
  <c r="AF85" i="42"/>
  <c r="AE4" i="42"/>
  <c r="AE5" i="42"/>
  <c r="AE6" i="42"/>
  <c r="AE7" i="42"/>
  <c r="AE8" i="42"/>
  <c r="AE9" i="42"/>
  <c r="AE10" i="42"/>
  <c r="AE11" i="42"/>
  <c r="AE12" i="42"/>
  <c r="AE13" i="42"/>
  <c r="AE14" i="42"/>
  <c r="AE15" i="42"/>
  <c r="AE16" i="42"/>
  <c r="AE17" i="42"/>
  <c r="AE18" i="42"/>
  <c r="AE19" i="42"/>
  <c r="AE20" i="42"/>
  <c r="AE21" i="42"/>
  <c r="AE1" i="42" s="1"/>
  <c r="AE22" i="42"/>
  <c r="AE23" i="42"/>
  <c r="AE24" i="42"/>
  <c r="AE25" i="42"/>
  <c r="AE26" i="42"/>
  <c r="AE27" i="42"/>
  <c r="AE28" i="42"/>
  <c r="AE29" i="42"/>
  <c r="AE30" i="42"/>
  <c r="AE31" i="42"/>
  <c r="AE32" i="42"/>
  <c r="AE33" i="42"/>
  <c r="AE34" i="42"/>
  <c r="AE35" i="42"/>
  <c r="AE36" i="42"/>
  <c r="AE37" i="42"/>
  <c r="AE38" i="42"/>
  <c r="AE39" i="42"/>
  <c r="AE40" i="42"/>
  <c r="AE41" i="42"/>
  <c r="AE42" i="42"/>
  <c r="AE43" i="42"/>
  <c r="AE44" i="42"/>
  <c r="AE45" i="42"/>
  <c r="AE46" i="42"/>
  <c r="AE47" i="42"/>
  <c r="AE48" i="42"/>
  <c r="AE49" i="42"/>
  <c r="AE50" i="42"/>
  <c r="AE51" i="42"/>
  <c r="AE52" i="42"/>
  <c r="AE53" i="42"/>
  <c r="AE54" i="42"/>
  <c r="AE55" i="42"/>
  <c r="AE56" i="42"/>
  <c r="AE57" i="42"/>
  <c r="AE58" i="42"/>
  <c r="AE59" i="42"/>
  <c r="AE60" i="42"/>
  <c r="AE61" i="42"/>
  <c r="AE62" i="42"/>
  <c r="AE63" i="42"/>
  <c r="AE64" i="42"/>
  <c r="AE65" i="42"/>
  <c r="AE66" i="42"/>
  <c r="AE67" i="42"/>
  <c r="AE68" i="42"/>
  <c r="AE69" i="42"/>
  <c r="AE70" i="42"/>
  <c r="AE71" i="42"/>
  <c r="AE72" i="42"/>
  <c r="AE73" i="42"/>
  <c r="AE74" i="42"/>
  <c r="AE75" i="42"/>
  <c r="AE76" i="42"/>
  <c r="AE77" i="42"/>
  <c r="AE78" i="42"/>
  <c r="AE79" i="42"/>
  <c r="AE80" i="42"/>
  <c r="AE81" i="42"/>
  <c r="AE82" i="42"/>
  <c r="AE83" i="42"/>
  <c r="AE84" i="42"/>
  <c r="AE85" i="42"/>
  <c r="AD4" i="42"/>
  <c r="AD5" i="42"/>
  <c r="AD6" i="42"/>
  <c r="AD7" i="42"/>
  <c r="AD8" i="42"/>
  <c r="AD9" i="42"/>
  <c r="AD10" i="42"/>
  <c r="AD11" i="42"/>
  <c r="AD12" i="42"/>
  <c r="AD13" i="42"/>
  <c r="AD14" i="42"/>
  <c r="AD15" i="42"/>
  <c r="AD16" i="42"/>
  <c r="AD17" i="42"/>
  <c r="AD18" i="42"/>
  <c r="AD19" i="42"/>
  <c r="AD20" i="42"/>
  <c r="AD21" i="42"/>
  <c r="AD22" i="42"/>
  <c r="AD23" i="42"/>
  <c r="AD24" i="42"/>
  <c r="AD1" i="42" s="1"/>
  <c r="AD25" i="42"/>
  <c r="AD26" i="42"/>
  <c r="AD27" i="42"/>
  <c r="AD28" i="42"/>
  <c r="AD29" i="42"/>
  <c r="AD30" i="42"/>
  <c r="AD31" i="42"/>
  <c r="AD32" i="42"/>
  <c r="AD33" i="42"/>
  <c r="AD34" i="42"/>
  <c r="AD35" i="42"/>
  <c r="AD36" i="42"/>
  <c r="AD37" i="42"/>
  <c r="AD38" i="42"/>
  <c r="AD39" i="42"/>
  <c r="AD40" i="42"/>
  <c r="AD41" i="42"/>
  <c r="AD42" i="42"/>
  <c r="AD43" i="42"/>
  <c r="AD44" i="42"/>
  <c r="AD45" i="42"/>
  <c r="AD46" i="42"/>
  <c r="AD47" i="42"/>
  <c r="AD48" i="42"/>
  <c r="AD49" i="42"/>
  <c r="AD50" i="42"/>
  <c r="AD51" i="42"/>
  <c r="AD52" i="42"/>
  <c r="AD53" i="42"/>
  <c r="AD54" i="42"/>
  <c r="AD55" i="42"/>
  <c r="AD56" i="42"/>
  <c r="AD57" i="42"/>
  <c r="AD58" i="42"/>
  <c r="AD59" i="42"/>
  <c r="AD60" i="42"/>
  <c r="AD61" i="42"/>
  <c r="AD62" i="42"/>
  <c r="AD63" i="42"/>
  <c r="AD64" i="42"/>
  <c r="AD65" i="42"/>
  <c r="AD66" i="42"/>
  <c r="AD67" i="42"/>
  <c r="AD68" i="42"/>
  <c r="AD69" i="42"/>
  <c r="AD70" i="42"/>
  <c r="AD71" i="42"/>
  <c r="AD72" i="42"/>
  <c r="AD73" i="42"/>
  <c r="AD74" i="42"/>
  <c r="AD75" i="42"/>
  <c r="AD76" i="42"/>
  <c r="AD77" i="42"/>
  <c r="AD78" i="42"/>
  <c r="AD79" i="42"/>
  <c r="AD80" i="42"/>
  <c r="AD81" i="42"/>
  <c r="AD82" i="42"/>
  <c r="AD83" i="42"/>
  <c r="AD84" i="42"/>
  <c r="AD85" i="42"/>
  <c r="AG3" i="42"/>
  <c r="S1" i="42"/>
  <c r="AH48" i="36"/>
  <c r="B48" i="36"/>
  <c r="AH51" i="36"/>
  <c r="B51" i="36"/>
  <c r="AH57" i="36"/>
  <c r="B57" i="36"/>
  <c r="AH82" i="36"/>
  <c r="B82" i="36"/>
  <c r="AH63" i="36"/>
  <c r="B63" i="36"/>
  <c r="AH72" i="36"/>
  <c r="B72" i="36"/>
  <c r="AH58" i="36"/>
  <c r="B58" i="36"/>
  <c r="AH52" i="36"/>
  <c r="B52" i="36"/>
  <c r="AH40" i="36"/>
  <c r="B40" i="36"/>
  <c r="AH49" i="36"/>
  <c r="B49" i="36"/>
  <c r="AH26" i="36"/>
  <c r="B26" i="36"/>
  <c r="AH39" i="36"/>
  <c r="B39" i="36"/>
  <c r="AH8" i="36"/>
  <c r="B8" i="36"/>
  <c r="AH66" i="36"/>
  <c r="B66" i="36"/>
  <c r="AH24" i="36"/>
  <c r="B24" i="36"/>
  <c r="AH23" i="36"/>
  <c r="B23" i="36"/>
  <c r="AH36" i="36"/>
  <c r="B36" i="36"/>
  <c r="AH38" i="36"/>
  <c r="B38" i="36"/>
  <c r="AH83" i="36"/>
  <c r="B83" i="36"/>
  <c r="AH20" i="36"/>
  <c r="B20" i="36"/>
  <c r="AH37" i="36"/>
  <c r="B37" i="36"/>
  <c r="AH34" i="36"/>
  <c r="B34" i="36"/>
  <c r="AH80" i="36"/>
  <c r="B80" i="36"/>
  <c r="AH42" i="36"/>
  <c r="B42" i="36"/>
  <c r="AH16" i="36"/>
  <c r="B16" i="36"/>
  <c r="AH17" i="36"/>
  <c r="B17" i="36"/>
  <c r="AH60" i="36"/>
  <c r="B60" i="36"/>
  <c r="AH18" i="36"/>
  <c r="B18" i="36"/>
  <c r="AH13" i="36"/>
  <c r="B13" i="36"/>
  <c r="AH12" i="36"/>
  <c r="B12" i="36"/>
  <c r="AH11" i="36"/>
  <c r="B11" i="36"/>
  <c r="AH10" i="36"/>
  <c r="B10" i="36"/>
  <c r="AH9" i="36"/>
  <c r="B9" i="36"/>
  <c r="AH5" i="36"/>
  <c r="B5" i="36"/>
  <c r="AA3" i="42" s="1"/>
  <c r="AH67" i="36"/>
  <c r="B67" i="36"/>
  <c r="AH65" i="36"/>
  <c r="B65" i="36"/>
  <c r="AH21" i="36"/>
  <c r="B21" i="36"/>
  <c r="AH79" i="36"/>
  <c r="B79" i="36"/>
  <c r="AH81" i="36"/>
  <c r="B81" i="36"/>
  <c r="AH74" i="36"/>
  <c r="B74" i="36"/>
  <c r="AH61" i="36"/>
  <c r="B61" i="36"/>
  <c r="AH27" i="36"/>
  <c r="B27" i="36"/>
  <c r="AH28" i="36"/>
  <c r="B28" i="36"/>
  <c r="AH68" i="36"/>
  <c r="B68" i="36"/>
  <c r="AH803" i="46"/>
  <c r="AH804" i="46"/>
  <c r="AH805" i="46"/>
  <c r="AH806" i="46"/>
  <c r="AH807" i="46"/>
  <c r="AH808" i="46"/>
  <c r="AH809" i="46"/>
  <c r="AH810" i="46"/>
  <c r="AH811" i="46"/>
  <c r="AH812" i="46"/>
  <c r="AH813" i="46"/>
  <c r="AH814" i="46"/>
  <c r="AH815" i="46"/>
  <c r="AH816" i="46"/>
  <c r="AH817" i="46"/>
  <c r="AH818" i="46"/>
  <c r="AH819" i="46"/>
  <c r="AH820" i="46"/>
  <c r="AH821" i="46"/>
  <c r="AH822" i="46"/>
  <c r="AH823" i="46"/>
  <c r="AH824" i="46"/>
  <c r="AH825" i="46"/>
  <c r="AH826" i="46"/>
  <c r="AH827" i="46"/>
  <c r="AH828" i="46"/>
  <c r="AH829" i="46"/>
  <c r="AH830" i="46"/>
  <c r="AH831" i="46"/>
  <c r="AH832" i="46"/>
  <c r="AH833" i="46"/>
  <c r="AH834" i="46"/>
  <c r="AH835" i="46"/>
  <c r="AH836" i="46"/>
  <c r="AH837" i="46"/>
  <c r="AH838" i="46"/>
  <c r="AH839" i="46"/>
  <c r="AH840" i="46"/>
  <c r="AH841" i="46"/>
  <c r="AH842" i="46"/>
  <c r="AH843" i="46"/>
  <c r="AH844" i="46"/>
  <c r="AH845" i="46"/>
  <c r="AH846" i="46"/>
  <c r="AH847" i="46"/>
  <c r="AH848" i="46"/>
  <c r="AH849" i="46"/>
  <c r="AH850" i="46"/>
  <c r="AH851" i="46"/>
  <c r="AH852" i="46"/>
  <c r="AH853" i="46"/>
  <c r="AH854" i="46"/>
  <c r="AH855" i="46"/>
  <c r="AH856" i="46"/>
  <c r="AH857" i="46"/>
  <c r="AH858" i="46"/>
  <c r="AH859" i="46"/>
  <c r="AH860" i="46"/>
  <c r="AH861" i="46"/>
  <c r="AH862" i="46"/>
  <c r="AH863" i="46"/>
  <c r="AH864" i="46"/>
  <c r="AH865" i="46"/>
  <c r="AH866" i="46"/>
  <c r="AH867" i="46"/>
  <c r="AH868" i="46"/>
  <c r="AH869" i="46"/>
  <c r="AH870" i="46"/>
  <c r="AH871" i="46"/>
  <c r="AH872" i="46"/>
  <c r="AH873" i="46"/>
  <c r="AH874" i="46"/>
  <c r="AH875" i="46"/>
  <c r="AH876" i="46"/>
  <c r="AH877" i="46"/>
  <c r="AH878" i="46"/>
  <c r="AH879" i="46"/>
  <c r="AH880" i="46"/>
  <c r="AH881" i="46"/>
  <c r="AH882" i="46"/>
  <c r="AH883" i="46"/>
  <c r="AH884" i="46"/>
  <c r="AH885" i="46"/>
  <c r="AH886" i="46"/>
  <c r="AH887" i="46"/>
  <c r="AH888" i="46"/>
  <c r="AH889" i="46"/>
  <c r="AH890" i="46"/>
  <c r="AH891" i="46"/>
  <c r="AH892" i="46"/>
  <c r="AH893" i="46"/>
  <c r="AH894" i="46"/>
  <c r="AH895" i="46"/>
  <c r="AH896" i="46"/>
  <c r="AH897" i="46"/>
  <c r="AH898" i="46"/>
  <c r="AH899" i="46"/>
  <c r="AH900" i="46"/>
  <c r="AH901" i="46"/>
  <c r="AH902" i="46"/>
  <c r="AH903" i="46"/>
  <c r="AH904" i="46"/>
  <c r="AH905" i="46"/>
  <c r="AH906" i="46"/>
  <c r="AH907" i="46"/>
  <c r="AH908" i="46"/>
  <c r="AH909" i="46"/>
  <c r="AH910" i="46"/>
  <c r="AH911" i="46"/>
  <c r="AH912" i="46"/>
  <c r="AH913" i="46"/>
  <c r="AH914" i="46"/>
  <c r="AH915" i="46"/>
  <c r="AH916" i="46"/>
  <c r="AH917" i="46"/>
  <c r="AH918" i="46"/>
  <c r="AH919" i="46"/>
  <c r="AH920" i="46"/>
  <c r="AH921" i="46"/>
  <c r="AH922" i="46"/>
  <c r="AH923" i="46"/>
  <c r="AH924" i="46"/>
  <c r="AH925" i="46"/>
  <c r="AH926" i="46"/>
  <c r="AH927" i="46"/>
  <c r="AH928" i="46"/>
  <c r="AH929" i="46"/>
  <c r="AH930" i="46"/>
  <c r="AH931" i="46"/>
  <c r="AH932" i="46"/>
  <c r="AH933" i="46"/>
  <c r="AH934" i="46"/>
  <c r="AH935" i="46"/>
  <c r="AH936" i="46"/>
  <c r="AH937" i="46"/>
  <c r="AG3" i="49"/>
  <c r="AD3" i="49"/>
  <c r="AA3" i="49"/>
  <c r="S3" i="49"/>
  <c r="K3" i="49"/>
  <c r="E3" i="49"/>
  <c r="AE3" i="49"/>
  <c r="AH15" i="36"/>
  <c r="B15" i="36"/>
  <c r="AH70" i="36"/>
  <c r="B70" i="36"/>
  <c r="AH69" i="36"/>
  <c r="B69" i="36"/>
  <c r="AH25" i="36"/>
  <c r="B25" i="36"/>
  <c r="AH30" i="36"/>
  <c r="B30" i="36"/>
  <c r="AH62" i="36"/>
  <c r="B62" i="36"/>
  <c r="AH59" i="36"/>
  <c r="B59" i="36"/>
  <c r="AH46" i="36"/>
  <c r="B46" i="36"/>
  <c r="AH84" i="36"/>
  <c r="B84" i="36"/>
  <c r="AH54" i="36"/>
  <c r="B54" i="36"/>
  <c r="AH44" i="36"/>
  <c r="B44" i="36"/>
  <c r="AH45" i="36"/>
  <c r="B45" i="36"/>
  <c r="AH22" i="36"/>
  <c r="B22" i="36"/>
  <c r="AH76" i="36"/>
  <c r="B76" i="36"/>
  <c r="AH56" i="36"/>
  <c r="B56" i="36"/>
  <c r="AH29" i="36"/>
  <c r="B29" i="36"/>
  <c r="AH6" i="36"/>
  <c r="B6" i="36"/>
  <c r="AH41" i="36"/>
  <c r="B41" i="36"/>
  <c r="AH71" i="36"/>
  <c r="B71" i="36"/>
  <c r="AH33" i="36"/>
  <c r="B33" i="36"/>
  <c r="D85" i="42" l="1"/>
  <c r="F85" i="42"/>
  <c r="I85" i="42"/>
  <c r="L85" i="42"/>
  <c r="M85" i="42"/>
  <c r="N85" i="42"/>
  <c r="O85" i="42"/>
  <c r="P85" i="42"/>
  <c r="Q85" i="42"/>
  <c r="R85" i="42"/>
  <c r="B85" i="42"/>
  <c r="AH77" i="36"/>
  <c r="AH50" i="36"/>
  <c r="AH53" i="36"/>
  <c r="AH35" i="36"/>
  <c r="AH78" i="36"/>
  <c r="AH64" i="36"/>
  <c r="AH85" i="36"/>
  <c r="AH86" i="36"/>
  <c r="AH55" i="36"/>
  <c r="AH47" i="36"/>
  <c r="AH73" i="36"/>
  <c r="AH32" i="36"/>
  <c r="AH43" i="36"/>
  <c r="AH7" i="36"/>
  <c r="AH75" i="36"/>
  <c r="AH4" i="36"/>
  <c r="AH19" i="36"/>
  <c r="AH14" i="36"/>
  <c r="B77" i="36"/>
  <c r="B50" i="36"/>
  <c r="B53" i="36"/>
  <c r="B35" i="36"/>
  <c r="B78" i="36"/>
  <c r="B64" i="36"/>
  <c r="B85" i="36"/>
  <c r="B86" i="36"/>
  <c r="B55" i="36"/>
  <c r="B47" i="36"/>
  <c r="Y85" i="42"/>
  <c r="B73" i="36"/>
  <c r="B32" i="36"/>
  <c r="B43" i="36"/>
  <c r="B7" i="36"/>
  <c r="B75" i="36"/>
  <c r="B4" i="36"/>
  <c r="B19" i="36"/>
  <c r="B14" i="36"/>
  <c r="C316" i="43"/>
  <c r="AH31" i="36"/>
  <c r="B31" i="36"/>
  <c r="AA145" i="6"/>
  <c r="X145" i="6"/>
  <c r="E145" i="6"/>
  <c r="C145" i="6"/>
  <c r="X85" i="42" l="1"/>
  <c r="W85" i="42"/>
  <c r="V85" i="42"/>
  <c r="U85" i="42"/>
  <c r="T85" i="42"/>
  <c r="AA85" i="42"/>
  <c r="Z85" i="42"/>
  <c r="K85" i="42"/>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 i="11"/>
  <c r="Q320" i="1"/>
  <c r="R320" i="1"/>
  <c r="S320" i="1"/>
  <c r="Q321" i="1"/>
  <c r="R321" i="1"/>
  <c r="S321" i="1"/>
  <c r="Q319" i="1"/>
  <c r="R319" i="1"/>
  <c r="S319" i="1"/>
  <c r="Q3" i="39"/>
  <c r="Q4" i="39"/>
  <c r="Q5" i="39"/>
  <c r="Q6" i="39"/>
  <c r="Q7" i="39"/>
  <c r="Q8" i="39"/>
  <c r="Q9"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7" i="39"/>
  <c r="Q38" i="39"/>
  <c r="Q39" i="39"/>
  <c r="Q40" i="39"/>
  <c r="Q41" i="39"/>
  <c r="Q42" i="39"/>
  <c r="Q43" i="39"/>
  <c r="Q44" i="39"/>
  <c r="Q45" i="39"/>
  <c r="Q46" i="39"/>
  <c r="Q47" i="39"/>
  <c r="Q48" i="39"/>
  <c r="Q49" i="39"/>
  <c r="Q50" i="39"/>
  <c r="S85" i="42" l="1"/>
  <c r="E85" i="42" s="1"/>
  <c r="G85" i="42" s="1"/>
  <c r="F3" i="42"/>
  <c r="C315" i="43"/>
  <c r="Q44" i="24"/>
  <c r="R44" i="24"/>
  <c r="Q45" i="24"/>
  <c r="R45" i="24"/>
  <c r="Q46" i="24"/>
  <c r="R46" i="24"/>
  <c r="Q47" i="24"/>
  <c r="R47" i="24"/>
  <c r="AA144" i="6"/>
  <c r="X144" i="6"/>
  <c r="L144" i="6"/>
  <c r="J144" i="6"/>
  <c r="E144" i="6"/>
  <c r="C144" i="6"/>
  <c r="Q304" i="1"/>
  <c r="R304" i="1"/>
  <c r="S304" i="1"/>
  <c r="Q305" i="1"/>
  <c r="R305" i="1"/>
  <c r="S305" i="1"/>
  <c r="Q306" i="1"/>
  <c r="R306" i="1"/>
  <c r="S306" i="1"/>
  <c r="Q307" i="1"/>
  <c r="R307" i="1"/>
  <c r="S307" i="1"/>
  <c r="Q308" i="1"/>
  <c r="R308" i="1"/>
  <c r="S308" i="1"/>
  <c r="Q309" i="1"/>
  <c r="R309" i="1"/>
  <c r="S309" i="1"/>
  <c r="Q310" i="1"/>
  <c r="R310" i="1"/>
  <c r="S310" i="1"/>
  <c r="Q311" i="1"/>
  <c r="R311" i="1"/>
  <c r="S311" i="1"/>
  <c r="Q312" i="1"/>
  <c r="R312" i="1"/>
  <c r="S312" i="1"/>
  <c r="Q313" i="1"/>
  <c r="R313" i="1"/>
  <c r="S313" i="1"/>
  <c r="Q314" i="1"/>
  <c r="R314" i="1"/>
  <c r="S314" i="1"/>
  <c r="Q315" i="1"/>
  <c r="R315" i="1"/>
  <c r="S315" i="1"/>
  <c r="Q316" i="1"/>
  <c r="R316" i="1"/>
  <c r="S316" i="1"/>
  <c r="Q317" i="1"/>
  <c r="R317" i="1"/>
  <c r="S317" i="1"/>
  <c r="Q318" i="1"/>
  <c r="Q144" i="6" s="1"/>
  <c r="R318" i="1"/>
  <c r="S318" i="1"/>
  <c r="N130" i="38"/>
  <c r="E127" i="38"/>
  <c r="G39" i="38"/>
  <c r="G45" i="38"/>
  <c r="G46" i="38"/>
  <c r="L27" i="38"/>
  <c r="L28" i="38"/>
  <c r="L29" i="38"/>
  <c r="L30" i="38"/>
  <c r="L31" i="38"/>
  <c r="L32" i="38"/>
  <c r="L33" i="38"/>
  <c r="L34" i="38"/>
  <c r="L35" i="38"/>
  <c r="L36" i="38"/>
  <c r="L37" i="38"/>
  <c r="L26" i="38"/>
  <c r="M27" i="38"/>
  <c r="M28" i="38"/>
  <c r="M29" i="38"/>
  <c r="M30" i="38"/>
  <c r="M31" i="38"/>
  <c r="M32" i="38"/>
  <c r="M33" i="38"/>
  <c r="M34" i="38"/>
  <c r="M35" i="38"/>
  <c r="M36" i="38"/>
  <c r="M37" i="38"/>
  <c r="M26" i="38"/>
  <c r="G26" i="38"/>
  <c r="L41" i="38"/>
  <c r="L40" i="38"/>
  <c r="N48" i="38"/>
  <c r="N49" i="38"/>
  <c r="N50" i="38"/>
  <c r="N51" i="38"/>
  <c r="N52" i="38"/>
  <c r="N53" i="38"/>
  <c r="N54" i="38"/>
  <c r="N47" i="38"/>
  <c r="I134" i="38"/>
  <c r="E133" i="38"/>
  <c r="G133" i="38"/>
  <c r="F133" i="38"/>
  <c r="G106" i="38"/>
  <c r="G107" i="38"/>
  <c r="G108" i="38"/>
  <c r="G109" i="38"/>
  <c r="G110" i="38"/>
  <c r="G100" i="38"/>
  <c r="G101" i="38"/>
  <c r="G102" i="38"/>
  <c r="G103" i="38"/>
  <c r="G104" i="38"/>
  <c r="G105" i="38"/>
  <c r="E46" i="38"/>
  <c r="AE3" i="42"/>
  <c r="AH709" i="46"/>
  <c r="AH710" i="46"/>
  <c r="AH711" i="46"/>
  <c r="AH712" i="46"/>
  <c r="AH713" i="46"/>
  <c r="AH714" i="46"/>
  <c r="AH715" i="46"/>
  <c r="AH716" i="46"/>
  <c r="AH717" i="46"/>
  <c r="AH718" i="46"/>
  <c r="AH719" i="46"/>
  <c r="AH720" i="46"/>
  <c r="AH721" i="46"/>
  <c r="AH722" i="46"/>
  <c r="AH723" i="46"/>
  <c r="AH724" i="46"/>
  <c r="AH725" i="46"/>
  <c r="AH726" i="46"/>
  <c r="AH727" i="46"/>
  <c r="AH728" i="46"/>
  <c r="AH729" i="46"/>
  <c r="AH730" i="46"/>
  <c r="AH731" i="46"/>
  <c r="AH732" i="46"/>
  <c r="AH733" i="46"/>
  <c r="AH734" i="46"/>
  <c r="AH735" i="46"/>
  <c r="AH736" i="46"/>
  <c r="AH737" i="46"/>
  <c r="AH738" i="46"/>
  <c r="AH739" i="46"/>
  <c r="AH740" i="46"/>
  <c r="AH741" i="46"/>
  <c r="AH742" i="46"/>
  <c r="AH743" i="46"/>
  <c r="AH744" i="46"/>
  <c r="AH745" i="46"/>
  <c r="AH746" i="46"/>
  <c r="AH747" i="46"/>
  <c r="AH748" i="46"/>
  <c r="AH749" i="46"/>
  <c r="AH750" i="46"/>
  <c r="AH751" i="46"/>
  <c r="AH752" i="46"/>
  <c r="AH753" i="46"/>
  <c r="AH754" i="46"/>
  <c r="AH755" i="46"/>
  <c r="AH756" i="46"/>
  <c r="AH757" i="46"/>
  <c r="AH758" i="46"/>
  <c r="AH759" i="46"/>
  <c r="AH760" i="46"/>
  <c r="AH761" i="46"/>
  <c r="AH762" i="46"/>
  <c r="AH763" i="46"/>
  <c r="AH764" i="46"/>
  <c r="AH765" i="46"/>
  <c r="AH766" i="46"/>
  <c r="AH767" i="46"/>
  <c r="AH768" i="46"/>
  <c r="AH769" i="46"/>
  <c r="AH770" i="46"/>
  <c r="AH771" i="46"/>
  <c r="AH772" i="46"/>
  <c r="AH773" i="46"/>
  <c r="AH774" i="46"/>
  <c r="AH775" i="46"/>
  <c r="AH776" i="46"/>
  <c r="AH777" i="46"/>
  <c r="AH778" i="46"/>
  <c r="AH779" i="46"/>
  <c r="AH780" i="46"/>
  <c r="AH781" i="46"/>
  <c r="AH782" i="46"/>
  <c r="AH783" i="46"/>
  <c r="AH784" i="46"/>
  <c r="AH785" i="46"/>
  <c r="AH786" i="46"/>
  <c r="AH787" i="46"/>
  <c r="AH788" i="46"/>
  <c r="AH789" i="46"/>
  <c r="AH790" i="46"/>
  <c r="AH791" i="46"/>
  <c r="AH792" i="46"/>
  <c r="AH793" i="46"/>
  <c r="AH794" i="46"/>
  <c r="AH795" i="46"/>
  <c r="AH796" i="46"/>
  <c r="AH797" i="46"/>
  <c r="AH798" i="46"/>
  <c r="AH799" i="46"/>
  <c r="AH800" i="46"/>
  <c r="AH801" i="46"/>
  <c r="AH802" i="46"/>
  <c r="I1" i="46"/>
  <c r="M1" i="17"/>
  <c r="D1" i="17"/>
  <c r="AE1" i="17"/>
  <c r="S1" i="17"/>
  <c r="T1" i="17"/>
  <c r="U1" i="17"/>
  <c r="W1" i="17"/>
  <c r="X1" i="17"/>
  <c r="Y1" i="17"/>
  <c r="Z1" i="17"/>
  <c r="AA1" i="17"/>
  <c r="AB1" i="17"/>
  <c r="I144" i="6" l="1"/>
  <c r="R144" i="6"/>
  <c r="S144" i="6"/>
  <c r="K144" i="6"/>
  <c r="T144" i="6"/>
  <c r="U144" i="6"/>
  <c r="M144" i="6"/>
  <c r="V144" i="6"/>
  <c r="N144" i="6"/>
  <c r="W144" i="6"/>
  <c r="O144" i="6"/>
  <c r="H144" i="6"/>
  <c r="G124" i="38"/>
  <c r="D1" i="1"/>
  <c r="R3" i="8"/>
  <c r="Q297" i="1"/>
  <c r="R297" i="1"/>
  <c r="S297" i="1"/>
  <c r="Q298" i="1"/>
  <c r="R298" i="1"/>
  <c r="S298" i="1"/>
  <c r="Q299" i="1"/>
  <c r="R299" i="1"/>
  <c r="S299" i="1"/>
  <c r="Q300" i="1"/>
  <c r="R300" i="1"/>
  <c r="S300" i="1"/>
  <c r="Q301" i="1"/>
  <c r="R301" i="1"/>
  <c r="S301" i="1"/>
  <c r="Q302" i="1"/>
  <c r="R302" i="1"/>
  <c r="S302" i="1"/>
  <c r="Q303" i="1"/>
  <c r="R303" i="1"/>
  <c r="S303" i="1"/>
  <c r="H1" i="36"/>
  <c r="D1" i="39"/>
  <c r="B3" i="42"/>
  <c r="C3" i="43"/>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C43" i="43"/>
  <c r="H85" i="42" s="1"/>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C196" i="43"/>
  <c r="C197" i="43"/>
  <c r="C198" i="43"/>
  <c r="C199" i="43"/>
  <c r="C200" i="43"/>
  <c r="C201" i="43"/>
  <c r="C202" i="43"/>
  <c r="C203" i="43"/>
  <c r="C204" i="43"/>
  <c r="C205" i="43"/>
  <c r="C206" i="43"/>
  <c r="C207" i="43"/>
  <c r="C208" i="43"/>
  <c r="C209" i="43"/>
  <c r="C210" i="43"/>
  <c r="C211" i="43"/>
  <c r="C212" i="43"/>
  <c r="C213" i="43"/>
  <c r="C214" i="43"/>
  <c r="C215" i="43"/>
  <c r="C216" i="43"/>
  <c r="C217" i="43"/>
  <c r="C218" i="43"/>
  <c r="C219" i="43"/>
  <c r="C220" i="43"/>
  <c r="C221" i="43"/>
  <c r="C222" i="43"/>
  <c r="C223" i="43"/>
  <c r="C224" i="43"/>
  <c r="C225" i="43"/>
  <c r="C226" i="43"/>
  <c r="C227" i="43"/>
  <c r="C228" i="43"/>
  <c r="C229" i="43"/>
  <c r="C230" i="43"/>
  <c r="C231" i="43"/>
  <c r="C232" i="43"/>
  <c r="C233" i="43"/>
  <c r="C234" i="43"/>
  <c r="C235" i="43"/>
  <c r="C236" i="43"/>
  <c r="C237" i="43"/>
  <c r="C238" i="43"/>
  <c r="C239" i="43"/>
  <c r="C240" i="43"/>
  <c r="C241" i="43"/>
  <c r="C242" i="43"/>
  <c r="C243" i="43"/>
  <c r="C244" i="43"/>
  <c r="C245" i="43"/>
  <c r="C246" i="43"/>
  <c r="C247" i="43"/>
  <c r="C248" i="43"/>
  <c r="C249" i="43"/>
  <c r="C250" i="43"/>
  <c r="C251" i="43"/>
  <c r="C252" i="43"/>
  <c r="C253" i="43"/>
  <c r="C254" i="43"/>
  <c r="C255" i="43"/>
  <c r="C256" i="43"/>
  <c r="C257" i="43"/>
  <c r="C258" i="43"/>
  <c r="C259" i="43"/>
  <c r="C260" i="43"/>
  <c r="C261" i="43"/>
  <c r="C262" i="43"/>
  <c r="C263" i="43"/>
  <c r="C264" i="43"/>
  <c r="C265" i="43"/>
  <c r="C266" i="43"/>
  <c r="C267" i="43"/>
  <c r="C268" i="43"/>
  <c r="C269" i="43"/>
  <c r="C270" i="43"/>
  <c r="C271" i="43"/>
  <c r="C272" i="43"/>
  <c r="C273" i="43"/>
  <c r="C274" i="43"/>
  <c r="C275" i="43"/>
  <c r="C276" i="43"/>
  <c r="C277" i="43"/>
  <c r="C278" i="43"/>
  <c r="C279" i="43"/>
  <c r="C280" i="43"/>
  <c r="C281" i="43"/>
  <c r="C282" i="43"/>
  <c r="C283" i="43"/>
  <c r="C284" i="43"/>
  <c r="C285" i="43"/>
  <c r="C286" i="43"/>
  <c r="C287" i="43"/>
  <c r="C288" i="43"/>
  <c r="C289" i="43"/>
  <c r="C290" i="43"/>
  <c r="C291" i="43"/>
  <c r="C292" i="43"/>
  <c r="C293" i="43"/>
  <c r="C294" i="43"/>
  <c r="C295" i="43"/>
  <c r="C296" i="43"/>
  <c r="C297" i="43"/>
  <c r="C298" i="43"/>
  <c r="C299" i="43"/>
  <c r="C300" i="43"/>
  <c r="C301" i="43"/>
  <c r="C302" i="43"/>
  <c r="C303" i="43"/>
  <c r="C304" i="43"/>
  <c r="C305" i="43"/>
  <c r="C306" i="43"/>
  <c r="C307" i="43"/>
  <c r="C308" i="43"/>
  <c r="C309" i="43"/>
  <c r="C310" i="43"/>
  <c r="C311" i="43"/>
  <c r="C312" i="43"/>
  <c r="C313" i="43"/>
  <c r="C314" i="43"/>
  <c r="C2" i="43"/>
  <c r="Q295" i="1"/>
  <c r="R295" i="1"/>
  <c r="S295" i="1"/>
  <c r="Q296" i="1"/>
  <c r="R296" i="1"/>
  <c r="S296" i="1"/>
  <c r="AA143" i="6"/>
  <c r="X143" i="6"/>
  <c r="E143" i="6"/>
  <c r="C143" i="6"/>
  <c r="P144" i="6" l="1"/>
  <c r="G144" i="6" s="1"/>
  <c r="U41" i="42"/>
  <c r="T71" i="42"/>
  <c r="N75" i="42"/>
  <c r="Q17" i="42"/>
  <c r="N17" i="42"/>
  <c r="L17" i="42"/>
  <c r="L80" i="42"/>
  <c r="R76" i="42"/>
  <c r="R81" i="42"/>
  <c r="P81" i="42"/>
  <c r="N81" i="42"/>
  <c r="P83" i="42"/>
  <c r="M83" i="42"/>
  <c r="R44" i="42"/>
  <c r="Q44" i="42"/>
  <c r="N44" i="42"/>
  <c r="Q73" i="42"/>
  <c r="O73" i="42"/>
  <c r="R12" i="42"/>
  <c r="O12" i="42"/>
  <c r="R30" i="42"/>
  <c r="P30" i="42"/>
  <c r="O30" i="42"/>
  <c r="M30" i="42"/>
  <c r="P47" i="42"/>
  <c r="N47" i="42"/>
  <c r="M47" i="42"/>
  <c r="Q49" i="42"/>
  <c r="P49" i="42"/>
  <c r="O49" i="42"/>
  <c r="N49" i="42"/>
  <c r="Q26" i="42"/>
  <c r="P26" i="42"/>
  <c r="L26" i="42"/>
  <c r="Q13" i="42"/>
  <c r="P13" i="42"/>
  <c r="O13" i="42"/>
  <c r="M13" i="42"/>
  <c r="L13" i="42"/>
  <c r="Q59" i="42"/>
  <c r="P59" i="42"/>
  <c r="N59" i="42"/>
  <c r="L59" i="42"/>
  <c r="Q3" i="42"/>
  <c r="P3" i="42"/>
  <c r="O3" i="42"/>
  <c r="O42" i="42"/>
  <c r="L42" i="42"/>
  <c r="R22" i="42"/>
  <c r="P22" i="42"/>
  <c r="Q84" i="42"/>
  <c r="N84" i="42"/>
  <c r="L84" i="42"/>
  <c r="R77" i="42"/>
  <c r="Q77" i="42"/>
  <c r="O77" i="42"/>
  <c r="M77" i="42"/>
  <c r="L77" i="42"/>
  <c r="R72" i="42"/>
  <c r="Q72" i="42"/>
  <c r="L72" i="42"/>
  <c r="R55" i="42"/>
  <c r="P55" i="42"/>
  <c r="N55" i="42"/>
  <c r="R48" i="42"/>
  <c r="Q48" i="42"/>
  <c r="O48" i="42"/>
  <c r="N48" i="42"/>
  <c r="M48" i="42"/>
  <c r="L48" i="42"/>
  <c r="R46" i="42"/>
  <c r="P46" i="42"/>
  <c r="M46" i="42"/>
  <c r="R58" i="42"/>
  <c r="Q58" i="42"/>
  <c r="P58" i="42"/>
  <c r="Q20" i="42"/>
  <c r="P20" i="42"/>
  <c r="O20" i="42"/>
  <c r="N20" i="42"/>
  <c r="R19" i="42"/>
  <c r="Q19" i="42"/>
  <c r="O19" i="42"/>
  <c r="M19" i="42"/>
  <c r="Q37" i="42"/>
  <c r="O37" i="42"/>
  <c r="N37" i="42"/>
  <c r="L37" i="42"/>
  <c r="R39" i="42"/>
  <c r="P39" i="42"/>
  <c r="O39" i="42"/>
  <c r="N39" i="42"/>
  <c r="P67" i="42"/>
  <c r="N67" i="42"/>
  <c r="M67" i="42"/>
  <c r="R5" i="42"/>
  <c r="Q5" i="42"/>
  <c r="P5" i="42"/>
  <c r="N5" i="42"/>
  <c r="Q29" i="42"/>
  <c r="P29" i="42"/>
  <c r="O29" i="42"/>
  <c r="N29" i="42"/>
  <c r="L29" i="42"/>
  <c r="W56" i="42"/>
  <c r="T33" i="42"/>
  <c r="U83" i="42"/>
  <c r="U70" i="42"/>
  <c r="V73" i="42"/>
  <c r="Q287" i="1"/>
  <c r="R287" i="1"/>
  <c r="S287" i="1"/>
  <c r="Q288" i="1"/>
  <c r="R288" i="1"/>
  <c r="S288" i="1"/>
  <c r="Q289" i="1"/>
  <c r="R289" i="1"/>
  <c r="S289" i="1"/>
  <c r="Q290" i="1"/>
  <c r="R290" i="1"/>
  <c r="S290" i="1"/>
  <c r="Q291" i="1"/>
  <c r="R291" i="1"/>
  <c r="S291" i="1"/>
  <c r="Q292" i="1"/>
  <c r="R292" i="1"/>
  <c r="S292" i="1"/>
  <c r="Q293" i="1"/>
  <c r="R293" i="1"/>
  <c r="S293" i="1"/>
  <c r="Q294" i="1"/>
  <c r="R294" i="1"/>
  <c r="S294" i="1"/>
  <c r="V42" i="42"/>
  <c r="U84" i="42"/>
  <c r="U30" i="42"/>
  <c r="V76" i="42"/>
  <c r="V77" i="42"/>
  <c r="T14" i="42"/>
  <c r="E2" i="50"/>
  <c r="G2" i="50"/>
  <c r="K69" i="50"/>
  <c r="K68" i="50"/>
  <c r="K67" i="50"/>
  <c r="K66" i="50"/>
  <c r="K65" i="50"/>
  <c r="K64" i="50"/>
  <c r="K63" i="50"/>
  <c r="K62" i="50"/>
  <c r="K61" i="50"/>
  <c r="K60" i="50"/>
  <c r="K59" i="50"/>
  <c r="K58" i="50"/>
  <c r="K57" i="50"/>
  <c r="K56" i="50"/>
  <c r="K55" i="50"/>
  <c r="K54" i="50"/>
  <c r="K53" i="50"/>
  <c r="K52" i="50"/>
  <c r="K51" i="50"/>
  <c r="K50" i="50"/>
  <c r="K49" i="50"/>
  <c r="K48" i="50"/>
  <c r="K47" i="50"/>
  <c r="K46" i="50"/>
  <c r="K45" i="50"/>
  <c r="K44" i="50"/>
  <c r="K43" i="50"/>
  <c r="K42" i="50"/>
  <c r="K41" i="50"/>
  <c r="K40" i="50"/>
  <c r="K39" i="50"/>
  <c r="K38" i="50"/>
  <c r="K37" i="50"/>
  <c r="K36" i="50"/>
  <c r="K35" i="50"/>
  <c r="K34" i="50"/>
  <c r="K33" i="50"/>
  <c r="K32" i="50"/>
  <c r="K31" i="50"/>
  <c r="K30" i="50"/>
  <c r="K29" i="50"/>
  <c r="K28" i="50"/>
  <c r="K27" i="50"/>
  <c r="K26" i="50"/>
  <c r="K25" i="50"/>
  <c r="K24" i="50"/>
  <c r="K23" i="50"/>
  <c r="K22" i="50"/>
  <c r="K21" i="50"/>
  <c r="K20" i="50"/>
  <c r="K19" i="50"/>
  <c r="K18" i="50"/>
  <c r="K17" i="50"/>
  <c r="K16" i="50"/>
  <c r="K15" i="50"/>
  <c r="K14" i="50"/>
  <c r="K13" i="50"/>
  <c r="K12" i="50"/>
  <c r="K11" i="50"/>
  <c r="K10" i="50"/>
  <c r="K9" i="50"/>
  <c r="K8" i="50"/>
  <c r="K7" i="50"/>
  <c r="K6" i="50"/>
  <c r="K5" i="50"/>
  <c r="K4" i="50"/>
  <c r="K2" i="50" s="1"/>
  <c r="T25" i="42"/>
  <c r="T52" i="42"/>
  <c r="U38" i="42"/>
  <c r="U32" i="42"/>
  <c r="AA142" i="6"/>
  <c r="X142" i="6"/>
  <c r="E142" i="6"/>
  <c r="C142" i="6"/>
  <c r="AA141" i="6"/>
  <c r="X141" i="6"/>
  <c r="E141" i="6"/>
  <c r="C141" i="6"/>
  <c r="R42" i="24"/>
  <c r="R43" i="24"/>
  <c r="Q42" i="24"/>
  <c r="Q43" i="24"/>
  <c r="R3" i="1"/>
  <c r="F23" i="42"/>
  <c r="F16" i="42"/>
  <c r="F14" i="42"/>
  <c r="Q41" i="24"/>
  <c r="R41" i="24"/>
  <c r="Z3" i="49"/>
  <c r="Y3" i="49"/>
  <c r="X3" i="49"/>
  <c r="W3" i="49"/>
  <c r="V3" i="49"/>
  <c r="U3" i="49"/>
  <c r="T3" i="49"/>
  <c r="R3" i="49"/>
  <c r="Q3" i="49"/>
  <c r="P3" i="49"/>
  <c r="O3" i="49"/>
  <c r="N3" i="49"/>
  <c r="M3" i="49"/>
  <c r="L3" i="49"/>
  <c r="L82" i="42"/>
  <c r="M82" i="42"/>
  <c r="N82" i="42"/>
  <c r="O82" i="42"/>
  <c r="P82" i="42"/>
  <c r="Q82" i="42"/>
  <c r="R82" i="42"/>
  <c r="L83" i="42"/>
  <c r="N83" i="42"/>
  <c r="O83" i="42"/>
  <c r="Q83" i="42"/>
  <c r="R83" i="42"/>
  <c r="M84" i="42"/>
  <c r="O84" i="42"/>
  <c r="P84" i="42"/>
  <c r="R84" i="42"/>
  <c r="D82" i="42"/>
  <c r="F82" i="42"/>
  <c r="I82" i="42"/>
  <c r="D83" i="42"/>
  <c r="F83" i="42"/>
  <c r="I83" i="42"/>
  <c r="D84" i="42"/>
  <c r="F84" i="42"/>
  <c r="I84" i="42"/>
  <c r="B82" i="42"/>
  <c r="B83" i="42"/>
  <c r="B84" i="42"/>
  <c r="I4" i="42"/>
  <c r="I5" i="42"/>
  <c r="I6" i="42"/>
  <c r="I7" i="42"/>
  <c r="I8" i="42"/>
  <c r="I9" i="42"/>
  <c r="I10" i="42"/>
  <c r="I11" i="42"/>
  <c r="I12" i="42"/>
  <c r="I13" i="42"/>
  <c r="I14" i="42"/>
  <c r="I15" i="42"/>
  <c r="I16" i="42"/>
  <c r="I17" i="42"/>
  <c r="I18" i="42"/>
  <c r="I19" i="42"/>
  <c r="I20" i="42"/>
  <c r="I21" i="42"/>
  <c r="I22" i="42"/>
  <c r="I23" i="42"/>
  <c r="I24" i="42"/>
  <c r="I25" i="42"/>
  <c r="I26" i="42"/>
  <c r="I27" i="42"/>
  <c r="I28" i="42"/>
  <c r="I29" i="42"/>
  <c r="I30" i="42"/>
  <c r="I31" i="42"/>
  <c r="I32" i="42"/>
  <c r="I33" i="42"/>
  <c r="I34" i="42"/>
  <c r="I35" i="42"/>
  <c r="I36" i="42"/>
  <c r="I37" i="42"/>
  <c r="I38" i="42"/>
  <c r="I39" i="42"/>
  <c r="I40" i="42"/>
  <c r="I41" i="42"/>
  <c r="I42" i="42"/>
  <c r="I43" i="42"/>
  <c r="I44" i="42"/>
  <c r="I45" i="42"/>
  <c r="I46" i="42"/>
  <c r="I47" i="42"/>
  <c r="I48" i="42"/>
  <c r="I49" i="42"/>
  <c r="I50" i="42"/>
  <c r="I51" i="42"/>
  <c r="I52" i="42"/>
  <c r="I53" i="42"/>
  <c r="I54" i="42"/>
  <c r="I55" i="42"/>
  <c r="I56" i="42"/>
  <c r="I57" i="42"/>
  <c r="I58" i="42"/>
  <c r="I59" i="42"/>
  <c r="I60" i="42"/>
  <c r="I61" i="42"/>
  <c r="I62" i="42"/>
  <c r="I63" i="42"/>
  <c r="I64" i="42"/>
  <c r="I65" i="42"/>
  <c r="I66" i="42"/>
  <c r="I67" i="42"/>
  <c r="I68" i="42"/>
  <c r="I69" i="42"/>
  <c r="I70" i="42"/>
  <c r="I71" i="42"/>
  <c r="I72" i="42"/>
  <c r="I73" i="42"/>
  <c r="I74" i="42"/>
  <c r="I75" i="42"/>
  <c r="I76" i="42"/>
  <c r="I77" i="42"/>
  <c r="I78" i="42"/>
  <c r="I79" i="42"/>
  <c r="I80" i="42"/>
  <c r="I81" i="42"/>
  <c r="I3" i="42"/>
  <c r="F4" i="42"/>
  <c r="F5" i="42"/>
  <c r="F6" i="42"/>
  <c r="F7" i="42"/>
  <c r="F8" i="42"/>
  <c r="F9" i="42"/>
  <c r="F10" i="42"/>
  <c r="F11" i="42"/>
  <c r="F12" i="42"/>
  <c r="F13" i="42"/>
  <c r="F15" i="42"/>
  <c r="F17" i="42"/>
  <c r="F18" i="42"/>
  <c r="F19" i="42"/>
  <c r="F20" i="42"/>
  <c r="F21" i="42"/>
  <c r="F22" i="42"/>
  <c r="F24" i="42"/>
  <c r="F25" i="42"/>
  <c r="F26" i="42"/>
  <c r="F27" i="42"/>
  <c r="F28" i="42"/>
  <c r="F29" i="42"/>
  <c r="F30"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D4" i="42"/>
  <c r="D5" i="42"/>
  <c r="D6" i="42"/>
  <c r="D7" i="42"/>
  <c r="D8" i="42"/>
  <c r="D9" i="42"/>
  <c r="D10" i="42"/>
  <c r="D11" i="42"/>
  <c r="D12" i="42"/>
  <c r="D13" i="42"/>
  <c r="D14" i="42"/>
  <c r="D15" i="42"/>
  <c r="D16" i="42"/>
  <c r="D17" i="42"/>
  <c r="D18" i="42"/>
  <c r="D19" i="42"/>
  <c r="D20" i="42"/>
  <c r="D21" i="42"/>
  <c r="D22" i="42"/>
  <c r="D23" i="42"/>
  <c r="D24" i="42"/>
  <c r="D25" i="42"/>
  <c r="D26" i="42"/>
  <c r="D27" i="42"/>
  <c r="D28" i="42"/>
  <c r="D29" i="42"/>
  <c r="D30"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66" i="42"/>
  <c r="D67" i="42"/>
  <c r="D68" i="42"/>
  <c r="D69" i="42"/>
  <c r="D70" i="42"/>
  <c r="D71" i="42"/>
  <c r="D72" i="42"/>
  <c r="D73" i="42"/>
  <c r="D74" i="42"/>
  <c r="D75" i="42"/>
  <c r="D76" i="42"/>
  <c r="D77" i="42"/>
  <c r="D78" i="42"/>
  <c r="D79" i="42"/>
  <c r="D80" i="42"/>
  <c r="D81" i="42"/>
  <c r="R4" i="42"/>
  <c r="R7" i="42"/>
  <c r="R8" i="42"/>
  <c r="R9" i="42"/>
  <c r="R10" i="42"/>
  <c r="R11" i="42"/>
  <c r="R13" i="42"/>
  <c r="R14" i="42"/>
  <c r="R15" i="42"/>
  <c r="R16" i="42"/>
  <c r="R17" i="42"/>
  <c r="R18" i="42"/>
  <c r="R20" i="42"/>
  <c r="R21" i="42"/>
  <c r="R24" i="42"/>
  <c r="R25" i="42"/>
  <c r="R26" i="42"/>
  <c r="R29" i="42"/>
  <c r="R32" i="42"/>
  <c r="R33" i="42"/>
  <c r="R36" i="42"/>
  <c r="R37" i="42"/>
  <c r="R38" i="42"/>
  <c r="R41" i="42"/>
  <c r="R42" i="42"/>
  <c r="R45" i="42"/>
  <c r="R47" i="42"/>
  <c r="R49" i="42"/>
  <c r="R51" i="42"/>
  <c r="R52" i="42"/>
  <c r="R56" i="42"/>
  <c r="R59" i="42"/>
  <c r="R61" i="42"/>
  <c r="R66" i="42"/>
  <c r="R67" i="42"/>
  <c r="R68" i="42"/>
  <c r="R70" i="42"/>
  <c r="R71" i="42"/>
  <c r="R73" i="42"/>
  <c r="R75" i="42"/>
  <c r="R78" i="42"/>
  <c r="R80" i="42"/>
  <c r="Q4" i="42"/>
  <c r="Q7" i="42"/>
  <c r="Q8" i="42"/>
  <c r="Q9" i="42"/>
  <c r="Q10" i="42"/>
  <c r="Q11" i="42"/>
  <c r="Q12" i="42"/>
  <c r="Q14" i="42"/>
  <c r="Q15" i="42"/>
  <c r="Q16" i="42"/>
  <c r="Q18" i="42"/>
  <c r="Q21" i="42"/>
  <c r="Q22" i="42"/>
  <c r="Q24" i="42"/>
  <c r="Q25" i="42"/>
  <c r="Q30" i="42"/>
  <c r="Q32" i="42"/>
  <c r="Q33" i="42"/>
  <c r="Q36" i="42"/>
  <c r="Q38" i="42"/>
  <c r="Q39" i="42"/>
  <c r="Q41" i="42"/>
  <c r="Q42" i="42"/>
  <c r="Q45" i="42"/>
  <c r="Q46" i="42"/>
  <c r="Q47" i="42"/>
  <c r="Q51" i="42"/>
  <c r="Q52" i="42"/>
  <c r="Q55" i="42"/>
  <c r="Q56" i="42"/>
  <c r="Q61" i="42"/>
  <c r="Q66" i="42"/>
  <c r="Q67" i="42"/>
  <c r="Q68" i="42"/>
  <c r="Q70" i="42"/>
  <c r="Q71" i="42"/>
  <c r="Q75" i="42"/>
  <c r="Q76" i="42"/>
  <c r="Q78" i="42"/>
  <c r="Q80" i="42"/>
  <c r="Q81" i="42"/>
  <c r="P4" i="42"/>
  <c r="P7" i="42"/>
  <c r="P8" i="42"/>
  <c r="P9" i="42"/>
  <c r="P10" i="42"/>
  <c r="P11" i="42"/>
  <c r="P12" i="42"/>
  <c r="P14" i="42"/>
  <c r="P15" i="42"/>
  <c r="P16" i="42"/>
  <c r="P17" i="42"/>
  <c r="P18" i="42"/>
  <c r="P19" i="42"/>
  <c r="P21" i="42"/>
  <c r="P24" i="42"/>
  <c r="P25" i="42"/>
  <c r="P32" i="42"/>
  <c r="P33" i="42"/>
  <c r="P36" i="42"/>
  <c r="P37" i="42"/>
  <c r="P38" i="42"/>
  <c r="P41" i="42"/>
  <c r="P42" i="42"/>
  <c r="P44" i="42"/>
  <c r="P45" i="42"/>
  <c r="P48" i="42"/>
  <c r="P51" i="42"/>
  <c r="P52" i="42"/>
  <c r="P56" i="42"/>
  <c r="P61" i="42"/>
  <c r="P66" i="42"/>
  <c r="P68" i="42"/>
  <c r="P70" i="42"/>
  <c r="P71" i="42"/>
  <c r="P72" i="42"/>
  <c r="P73" i="42"/>
  <c r="P75" i="42"/>
  <c r="P76" i="42"/>
  <c r="P77" i="42"/>
  <c r="P78" i="42"/>
  <c r="P80" i="42"/>
  <c r="O4" i="42"/>
  <c r="O5" i="42"/>
  <c r="O7" i="42"/>
  <c r="O8" i="42"/>
  <c r="O9" i="42"/>
  <c r="O10" i="42"/>
  <c r="O11" i="42"/>
  <c r="O14" i="42"/>
  <c r="O15" i="42"/>
  <c r="O16" i="42"/>
  <c r="O17" i="42"/>
  <c r="O18" i="42"/>
  <c r="O21" i="42"/>
  <c r="O22" i="42"/>
  <c r="O24" i="42"/>
  <c r="O25" i="42"/>
  <c r="O26" i="42"/>
  <c r="O32" i="42"/>
  <c r="O33" i="42"/>
  <c r="O36" i="42"/>
  <c r="O38" i="42"/>
  <c r="O41" i="42"/>
  <c r="O44" i="42"/>
  <c r="O45" i="42"/>
  <c r="O46" i="42"/>
  <c r="O47" i="42"/>
  <c r="O51" i="42"/>
  <c r="O52" i="42"/>
  <c r="O55" i="42"/>
  <c r="O56" i="42"/>
  <c r="O58" i="42"/>
  <c r="O59" i="42"/>
  <c r="O61" i="42"/>
  <c r="O66" i="42"/>
  <c r="O67" i="42"/>
  <c r="O68" i="42"/>
  <c r="O70" i="42"/>
  <c r="O71" i="42"/>
  <c r="O72" i="42"/>
  <c r="O75" i="42"/>
  <c r="O76" i="42"/>
  <c r="O78" i="42"/>
  <c r="O80" i="42"/>
  <c r="O81" i="42"/>
  <c r="N4" i="42"/>
  <c r="N7" i="42"/>
  <c r="N8" i="42"/>
  <c r="N9" i="42"/>
  <c r="N10" i="42"/>
  <c r="N11" i="42"/>
  <c r="N12" i="42"/>
  <c r="N13" i="42"/>
  <c r="N14" i="42"/>
  <c r="N15" i="42"/>
  <c r="N16" i="42"/>
  <c r="N18" i="42"/>
  <c r="N19" i="42"/>
  <c r="N21" i="42"/>
  <c r="N22" i="42"/>
  <c r="N24" i="42"/>
  <c r="N25" i="42"/>
  <c r="N26" i="42"/>
  <c r="N30" i="42"/>
  <c r="N32" i="42"/>
  <c r="N33" i="42"/>
  <c r="N36" i="42"/>
  <c r="N38" i="42"/>
  <c r="N41" i="42"/>
  <c r="N42" i="42"/>
  <c r="N45" i="42"/>
  <c r="N46" i="42"/>
  <c r="N51" i="42"/>
  <c r="N52" i="42"/>
  <c r="N56" i="42"/>
  <c r="N58" i="42"/>
  <c r="N61" i="42"/>
  <c r="N66" i="42"/>
  <c r="N68" i="42"/>
  <c r="N70" i="42"/>
  <c r="N71" i="42"/>
  <c r="N72" i="42"/>
  <c r="N73" i="42"/>
  <c r="N76" i="42"/>
  <c r="N77" i="42"/>
  <c r="N78" i="42"/>
  <c r="N80" i="42"/>
  <c r="M4" i="42"/>
  <c r="M7" i="42"/>
  <c r="M8" i="42"/>
  <c r="M9" i="42"/>
  <c r="M10" i="42"/>
  <c r="M11" i="42"/>
  <c r="M12" i="42"/>
  <c r="M14" i="42"/>
  <c r="M15" i="42"/>
  <c r="M16" i="42"/>
  <c r="M17" i="42"/>
  <c r="M18" i="42"/>
  <c r="M20" i="42"/>
  <c r="M21" i="42"/>
  <c r="M22" i="42"/>
  <c r="M24" i="42"/>
  <c r="M25" i="42"/>
  <c r="M26" i="42"/>
  <c r="M29" i="42"/>
  <c r="M32" i="42"/>
  <c r="M33" i="42"/>
  <c r="M36" i="42"/>
  <c r="M37" i="42"/>
  <c r="M38" i="42"/>
  <c r="M41" i="42"/>
  <c r="M42" i="42"/>
  <c r="M44" i="42"/>
  <c r="M45" i="42"/>
  <c r="M49" i="42"/>
  <c r="M51" i="42"/>
  <c r="M52" i="42"/>
  <c r="M55" i="42"/>
  <c r="M56" i="42"/>
  <c r="M59" i="42"/>
  <c r="M61" i="42"/>
  <c r="M66" i="42"/>
  <c r="M68" i="42"/>
  <c r="M70" i="42"/>
  <c r="M71" i="42"/>
  <c r="M72" i="42"/>
  <c r="M73" i="42"/>
  <c r="M75" i="42"/>
  <c r="M76" i="42"/>
  <c r="M78" i="42"/>
  <c r="M80" i="42"/>
  <c r="M81" i="42"/>
  <c r="L4" i="42"/>
  <c r="L5" i="42"/>
  <c r="L7" i="42"/>
  <c r="L8" i="42"/>
  <c r="L9" i="42"/>
  <c r="L10" i="42"/>
  <c r="L11" i="42"/>
  <c r="L12" i="42"/>
  <c r="L14" i="42"/>
  <c r="L15" i="42"/>
  <c r="L16" i="42"/>
  <c r="L18" i="42"/>
  <c r="L20" i="42"/>
  <c r="L21" i="42"/>
  <c r="L22" i="42"/>
  <c r="L24" i="42"/>
  <c r="L25" i="42"/>
  <c r="L30" i="42"/>
  <c r="L32" i="42"/>
  <c r="L33" i="42"/>
  <c r="L36" i="42"/>
  <c r="L38" i="42"/>
  <c r="L39" i="42"/>
  <c r="L41" i="42"/>
  <c r="L44" i="42"/>
  <c r="L45" i="42"/>
  <c r="L47" i="42"/>
  <c r="L49" i="42"/>
  <c r="L51" i="42"/>
  <c r="L52" i="42"/>
  <c r="L55" i="42"/>
  <c r="L56" i="42"/>
  <c r="L58" i="42"/>
  <c r="L61" i="42"/>
  <c r="L66" i="42"/>
  <c r="L67" i="42"/>
  <c r="L68" i="42"/>
  <c r="L70" i="42"/>
  <c r="L71" i="42"/>
  <c r="L76" i="42"/>
  <c r="L78" i="42"/>
  <c r="L81" i="42"/>
  <c r="L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5" i="42"/>
  <c r="B36" i="42"/>
  <c r="B37" i="42"/>
  <c r="B38" i="42"/>
  <c r="B39" i="42"/>
  <c r="B40" i="42"/>
  <c r="B41" i="42"/>
  <c r="B42" i="42"/>
  <c r="B43" i="42"/>
  <c r="B44" i="42"/>
  <c r="B45" i="42"/>
  <c r="B46" i="42"/>
  <c r="B47" i="42"/>
  <c r="B48" i="42"/>
  <c r="B49" i="42"/>
  <c r="B50" i="42"/>
  <c r="B51" i="42"/>
  <c r="B52" i="42"/>
  <c r="B53" i="42"/>
  <c r="B54" i="42"/>
  <c r="B55" i="42"/>
  <c r="B56" i="42"/>
  <c r="B57" i="42"/>
  <c r="B58" i="42"/>
  <c r="B59" i="42"/>
  <c r="B60" i="42"/>
  <c r="B61" i="42"/>
  <c r="B62" i="42"/>
  <c r="B63" i="42"/>
  <c r="B64" i="42"/>
  <c r="B65" i="42"/>
  <c r="B66" i="42"/>
  <c r="B67" i="42"/>
  <c r="B68" i="42"/>
  <c r="B69" i="42"/>
  <c r="B70" i="42"/>
  <c r="B71" i="42"/>
  <c r="B72" i="42"/>
  <c r="B73" i="42"/>
  <c r="B74" i="42"/>
  <c r="B75" i="42"/>
  <c r="B76" i="42"/>
  <c r="B77" i="42"/>
  <c r="B78" i="42"/>
  <c r="B79" i="42"/>
  <c r="B80" i="42"/>
  <c r="B81" i="42"/>
  <c r="M3" i="42"/>
  <c r="AH4" i="46"/>
  <c r="AH5" i="46"/>
  <c r="AH6" i="46"/>
  <c r="AH7" i="46"/>
  <c r="AH8" i="46"/>
  <c r="AH9" i="46"/>
  <c r="AH10" i="46"/>
  <c r="AH11" i="46"/>
  <c r="AH12" i="46"/>
  <c r="AH13" i="46"/>
  <c r="AH14" i="46"/>
  <c r="AH15" i="46"/>
  <c r="AH16" i="46"/>
  <c r="AH17" i="46"/>
  <c r="AH18" i="46"/>
  <c r="AH19" i="46"/>
  <c r="AH20" i="46"/>
  <c r="AH21" i="46"/>
  <c r="AH22" i="46"/>
  <c r="AH23" i="46"/>
  <c r="AH24" i="46"/>
  <c r="AH25" i="46"/>
  <c r="AH26" i="46"/>
  <c r="AH27" i="46"/>
  <c r="AH28" i="46"/>
  <c r="AH29" i="46"/>
  <c r="AH30" i="46"/>
  <c r="AH31" i="46"/>
  <c r="AH32" i="46"/>
  <c r="AH33" i="46"/>
  <c r="AH34" i="46"/>
  <c r="AH35" i="46"/>
  <c r="AH36" i="46"/>
  <c r="AH37" i="46"/>
  <c r="AH38" i="46"/>
  <c r="AH39" i="46"/>
  <c r="AH40" i="46"/>
  <c r="AH41" i="46"/>
  <c r="AH42" i="46"/>
  <c r="AH43" i="46"/>
  <c r="AH44" i="46"/>
  <c r="AH45" i="46"/>
  <c r="AH46" i="46"/>
  <c r="AH47" i="46"/>
  <c r="AH48" i="46"/>
  <c r="AH49" i="46"/>
  <c r="AH50" i="46"/>
  <c r="AH51" i="46"/>
  <c r="AH52" i="46"/>
  <c r="AH53" i="46"/>
  <c r="AH54" i="46"/>
  <c r="AH55" i="46"/>
  <c r="AH56" i="46"/>
  <c r="AH57" i="46"/>
  <c r="AH58" i="46"/>
  <c r="AH59" i="46"/>
  <c r="AH60" i="46"/>
  <c r="AH61" i="46"/>
  <c r="AH62" i="46"/>
  <c r="AH63" i="46"/>
  <c r="AH64" i="46"/>
  <c r="AH65" i="46"/>
  <c r="AH66" i="46"/>
  <c r="AH67" i="46"/>
  <c r="AH68" i="46"/>
  <c r="AH69" i="46"/>
  <c r="AH70" i="46"/>
  <c r="AH71" i="46"/>
  <c r="AH72" i="46"/>
  <c r="AH73" i="46"/>
  <c r="AH74" i="46"/>
  <c r="AH75" i="46"/>
  <c r="AH76" i="46"/>
  <c r="AH77" i="46"/>
  <c r="AH78" i="46"/>
  <c r="AH79" i="46"/>
  <c r="AH80" i="46"/>
  <c r="AH81" i="46"/>
  <c r="AH82" i="46"/>
  <c r="AH83" i="46"/>
  <c r="AH84" i="46"/>
  <c r="AH85" i="46"/>
  <c r="AH86" i="46"/>
  <c r="AH87" i="46"/>
  <c r="AH88" i="46"/>
  <c r="AH89" i="46"/>
  <c r="AH90" i="46"/>
  <c r="AH91" i="46"/>
  <c r="AH92" i="46"/>
  <c r="AH93" i="46"/>
  <c r="AH94" i="46"/>
  <c r="AH95" i="46"/>
  <c r="AH96" i="46"/>
  <c r="AH97" i="46"/>
  <c r="AH98" i="46"/>
  <c r="AH99" i="46"/>
  <c r="AH100" i="46"/>
  <c r="AH101" i="46"/>
  <c r="AH102" i="46"/>
  <c r="AH103" i="46"/>
  <c r="AH104" i="46"/>
  <c r="AH105" i="46"/>
  <c r="AH106" i="46"/>
  <c r="AH107" i="46"/>
  <c r="AH108" i="46"/>
  <c r="AH109" i="46"/>
  <c r="AH110" i="46"/>
  <c r="AH111" i="46"/>
  <c r="AH112" i="46"/>
  <c r="AH113" i="46"/>
  <c r="AH114" i="46"/>
  <c r="AH115" i="46"/>
  <c r="AH116" i="46"/>
  <c r="AH117" i="46"/>
  <c r="AH118" i="46"/>
  <c r="AH119" i="46"/>
  <c r="AH120" i="46"/>
  <c r="AH121" i="46"/>
  <c r="AH122" i="46"/>
  <c r="AH123" i="46"/>
  <c r="AH124" i="46"/>
  <c r="AH125" i="46"/>
  <c r="AH126" i="46"/>
  <c r="AH127" i="46"/>
  <c r="AH128" i="46"/>
  <c r="AH129" i="46"/>
  <c r="AH130" i="46"/>
  <c r="AH131" i="46"/>
  <c r="AH132" i="46"/>
  <c r="AH133" i="46"/>
  <c r="AH134" i="46"/>
  <c r="AH135" i="46"/>
  <c r="AH136" i="46"/>
  <c r="AH137" i="46"/>
  <c r="AH138" i="46"/>
  <c r="AH139" i="46"/>
  <c r="AH140" i="46"/>
  <c r="AH141" i="46"/>
  <c r="AH142" i="46"/>
  <c r="AH143" i="46"/>
  <c r="AH144" i="46"/>
  <c r="AH145" i="46"/>
  <c r="AH146" i="46"/>
  <c r="AH147" i="46"/>
  <c r="AH148" i="46"/>
  <c r="AH149" i="46"/>
  <c r="AH150" i="46"/>
  <c r="AH151" i="46"/>
  <c r="AH152" i="46"/>
  <c r="AH153" i="46"/>
  <c r="AH154" i="46"/>
  <c r="AH155" i="46"/>
  <c r="AH156" i="46"/>
  <c r="AH157" i="46"/>
  <c r="AH158" i="46"/>
  <c r="AH159" i="46"/>
  <c r="AH160" i="46"/>
  <c r="AH161" i="46"/>
  <c r="AH162" i="46"/>
  <c r="AH163" i="46"/>
  <c r="AH164" i="46"/>
  <c r="AH165" i="46"/>
  <c r="AH166" i="46"/>
  <c r="AH167" i="46"/>
  <c r="AH168" i="46"/>
  <c r="AH169" i="46"/>
  <c r="AH170" i="46"/>
  <c r="AH171" i="46"/>
  <c r="AH172" i="46"/>
  <c r="AH173" i="46"/>
  <c r="AH174" i="46"/>
  <c r="AH175" i="46"/>
  <c r="AH176" i="46"/>
  <c r="AH177" i="46"/>
  <c r="AH178" i="46"/>
  <c r="AH179" i="46"/>
  <c r="AH180" i="46"/>
  <c r="AH181" i="46"/>
  <c r="AH182" i="46"/>
  <c r="AH183" i="46"/>
  <c r="AH184" i="46"/>
  <c r="AH185" i="46"/>
  <c r="AH186" i="46"/>
  <c r="AH187" i="46"/>
  <c r="AH188" i="46"/>
  <c r="AH189" i="46"/>
  <c r="AH190" i="46"/>
  <c r="AH191" i="46"/>
  <c r="AH192" i="46"/>
  <c r="AH193" i="46"/>
  <c r="AH194" i="46"/>
  <c r="AH195" i="46"/>
  <c r="AH196" i="46"/>
  <c r="AH197" i="46"/>
  <c r="AH198" i="46"/>
  <c r="AH199" i="46"/>
  <c r="AH200" i="46"/>
  <c r="AH201" i="46"/>
  <c r="AH202" i="46"/>
  <c r="AH203" i="46"/>
  <c r="AH204" i="46"/>
  <c r="AH205" i="46"/>
  <c r="AH206" i="46"/>
  <c r="AH207" i="46"/>
  <c r="AH208" i="46"/>
  <c r="AH209" i="46"/>
  <c r="AH210" i="46"/>
  <c r="AH211" i="46"/>
  <c r="AH212" i="46"/>
  <c r="AH213" i="46"/>
  <c r="AH214" i="46"/>
  <c r="AH215" i="46"/>
  <c r="AH216" i="46"/>
  <c r="AH217" i="46"/>
  <c r="AH218" i="46"/>
  <c r="AH219" i="46"/>
  <c r="AH220" i="46"/>
  <c r="AH221" i="46"/>
  <c r="AH222" i="46"/>
  <c r="AH223" i="46"/>
  <c r="AH224" i="46"/>
  <c r="AH225" i="46"/>
  <c r="AH226" i="46"/>
  <c r="AH227" i="46"/>
  <c r="AH228" i="46"/>
  <c r="AH229" i="46"/>
  <c r="AH230" i="46"/>
  <c r="AH231" i="46"/>
  <c r="AH232" i="46"/>
  <c r="AH233" i="46"/>
  <c r="AH234" i="46"/>
  <c r="AH235" i="46"/>
  <c r="AH236" i="46"/>
  <c r="AH237" i="46"/>
  <c r="AH238" i="46"/>
  <c r="AH239" i="46"/>
  <c r="AH240" i="46"/>
  <c r="AH241" i="46"/>
  <c r="AH242" i="46"/>
  <c r="AH243" i="46"/>
  <c r="AH244" i="46"/>
  <c r="AH245" i="46"/>
  <c r="AH246" i="46"/>
  <c r="AH247" i="46"/>
  <c r="AH248" i="46"/>
  <c r="AH249" i="46"/>
  <c r="AH250" i="46"/>
  <c r="AH251" i="46"/>
  <c r="AH252" i="46"/>
  <c r="AH253" i="46"/>
  <c r="AH254" i="46"/>
  <c r="AH255" i="46"/>
  <c r="AH256" i="46"/>
  <c r="AH257" i="46"/>
  <c r="AH258" i="46"/>
  <c r="AH259" i="46"/>
  <c r="AH260" i="46"/>
  <c r="AH261" i="46"/>
  <c r="AH262" i="46"/>
  <c r="AH263" i="46"/>
  <c r="AH264" i="46"/>
  <c r="AH265" i="46"/>
  <c r="AH266" i="46"/>
  <c r="AH267" i="46"/>
  <c r="AH268" i="46"/>
  <c r="AH269" i="46"/>
  <c r="AH270" i="46"/>
  <c r="AH271" i="46"/>
  <c r="AH272" i="46"/>
  <c r="AH273" i="46"/>
  <c r="AH274" i="46"/>
  <c r="AH275" i="46"/>
  <c r="AH276" i="46"/>
  <c r="AH277" i="46"/>
  <c r="AH278" i="46"/>
  <c r="AH279" i="46"/>
  <c r="AH280" i="46"/>
  <c r="AH281" i="46"/>
  <c r="AH282" i="46"/>
  <c r="AH283" i="46"/>
  <c r="AH284" i="46"/>
  <c r="AH285" i="46"/>
  <c r="AH286" i="46"/>
  <c r="AH287" i="46"/>
  <c r="AH288" i="46"/>
  <c r="AH289" i="46"/>
  <c r="AH290" i="46"/>
  <c r="AH291" i="46"/>
  <c r="AH292" i="46"/>
  <c r="AH293" i="46"/>
  <c r="AH294" i="46"/>
  <c r="AH295" i="46"/>
  <c r="AH296" i="46"/>
  <c r="AH297" i="46"/>
  <c r="AH298" i="46"/>
  <c r="AH299" i="46"/>
  <c r="AH300" i="46"/>
  <c r="AH301" i="46"/>
  <c r="AH302" i="46"/>
  <c r="AH303" i="46"/>
  <c r="AH304" i="46"/>
  <c r="AH305" i="46"/>
  <c r="AH306" i="46"/>
  <c r="AH307" i="46"/>
  <c r="AH308" i="46"/>
  <c r="AH309" i="46"/>
  <c r="AH310" i="46"/>
  <c r="AH311" i="46"/>
  <c r="AH312" i="46"/>
  <c r="AH313" i="46"/>
  <c r="AH314" i="46"/>
  <c r="AH315" i="46"/>
  <c r="AH316" i="46"/>
  <c r="AH317" i="46"/>
  <c r="AH318" i="46"/>
  <c r="AH319" i="46"/>
  <c r="AH320" i="46"/>
  <c r="AH321" i="46"/>
  <c r="AH322" i="46"/>
  <c r="AH323" i="46"/>
  <c r="AH324" i="46"/>
  <c r="AH325" i="46"/>
  <c r="AH326" i="46"/>
  <c r="AH327" i="46"/>
  <c r="AH328" i="46"/>
  <c r="AH329" i="46"/>
  <c r="AH330" i="46"/>
  <c r="AH331" i="46"/>
  <c r="AH332" i="46"/>
  <c r="AH333" i="46"/>
  <c r="AH334" i="46"/>
  <c r="AH335" i="46"/>
  <c r="AH336" i="46"/>
  <c r="AH337" i="46"/>
  <c r="AH338" i="46"/>
  <c r="AH339" i="46"/>
  <c r="AH340" i="46"/>
  <c r="AH341" i="46"/>
  <c r="AH342" i="46"/>
  <c r="AH343" i="46"/>
  <c r="AH344" i="46"/>
  <c r="AH345" i="46"/>
  <c r="AH346" i="46"/>
  <c r="AH347" i="46"/>
  <c r="AH348" i="46"/>
  <c r="AH349" i="46"/>
  <c r="AH350" i="46"/>
  <c r="AH351" i="46"/>
  <c r="AH352" i="46"/>
  <c r="AH353" i="46"/>
  <c r="AH354" i="46"/>
  <c r="AH355" i="46"/>
  <c r="AH356" i="46"/>
  <c r="AH357" i="46"/>
  <c r="AH358" i="46"/>
  <c r="AH359" i="46"/>
  <c r="AH360" i="46"/>
  <c r="AH361" i="46"/>
  <c r="AH362" i="46"/>
  <c r="AH363" i="46"/>
  <c r="AH364" i="46"/>
  <c r="AH365" i="46"/>
  <c r="AH366" i="46"/>
  <c r="AH367" i="46"/>
  <c r="AH368" i="46"/>
  <c r="AH369" i="46"/>
  <c r="AH370" i="46"/>
  <c r="AH371" i="46"/>
  <c r="AH372" i="46"/>
  <c r="AH373" i="46"/>
  <c r="AH374" i="46"/>
  <c r="AH375" i="46"/>
  <c r="AH376" i="46"/>
  <c r="AH377" i="46"/>
  <c r="AH378" i="46"/>
  <c r="AH379" i="46"/>
  <c r="AH380" i="46"/>
  <c r="AH381" i="46"/>
  <c r="AH382" i="46"/>
  <c r="AH383" i="46"/>
  <c r="AH384" i="46"/>
  <c r="AH385" i="46"/>
  <c r="AH386" i="46"/>
  <c r="AH387" i="46"/>
  <c r="AH388" i="46"/>
  <c r="AH389" i="46"/>
  <c r="AH390" i="46"/>
  <c r="AH391" i="46"/>
  <c r="AH392" i="46"/>
  <c r="AH393" i="46"/>
  <c r="AH394" i="46"/>
  <c r="AH395" i="46"/>
  <c r="AH396" i="46"/>
  <c r="AH397" i="46"/>
  <c r="AH398" i="46"/>
  <c r="AH399" i="46"/>
  <c r="AH400" i="46"/>
  <c r="AH401" i="46"/>
  <c r="AH402" i="46"/>
  <c r="AH403" i="46"/>
  <c r="AH404" i="46"/>
  <c r="AH405" i="46"/>
  <c r="AH406" i="46"/>
  <c r="AH407" i="46"/>
  <c r="AH408" i="46"/>
  <c r="AH409" i="46"/>
  <c r="AH410" i="46"/>
  <c r="AH411" i="46"/>
  <c r="AH412" i="46"/>
  <c r="AH413" i="46"/>
  <c r="AH414" i="46"/>
  <c r="AH415" i="46"/>
  <c r="AH416" i="46"/>
  <c r="AH417" i="46"/>
  <c r="AH418" i="46"/>
  <c r="AH419" i="46"/>
  <c r="AH420" i="46"/>
  <c r="AH421" i="46"/>
  <c r="AH422" i="46"/>
  <c r="AH423" i="46"/>
  <c r="AH424" i="46"/>
  <c r="AH425" i="46"/>
  <c r="AH426" i="46"/>
  <c r="AH427" i="46"/>
  <c r="AH428" i="46"/>
  <c r="AH429" i="46"/>
  <c r="AH430" i="46"/>
  <c r="AH431" i="46"/>
  <c r="AH432" i="46"/>
  <c r="AH433" i="46"/>
  <c r="AH434" i="46"/>
  <c r="AH435" i="46"/>
  <c r="AH436" i="46"/>
  <c r="AH437" i="46"/>
  <c r="AH438" i="46"/>
  <c r="AH439" i="46"/>
  <c r="AH440" i="46"/>
  <c r="AH441" i="46"/>
  <c r="AH442" i="46"/>
  <c r="AH443" i="46"/>
  <c r="AH444" i="46"/>
  <c r="AH445" i="46"/>
  <c r="AH446" i="46"/>
  <c r="AH447" i="46"/>
  <c r="AH448" i="46"/>
  <c r="AH449" i="46"/>
  <c r="AH450" i="46"/>
  <c r="AH451" i="46"/>
  <c r="AH452" i="46"/>
  <c r="AH453" i="46"/>
  <c r="AH454" i="46"/>
  <c r="AH455" i="46"/>
  <c r="AH456" i="46"/>
  <c r="AH457" i="46"/>
  <c r="AH458" i="46"/>
  <c r="AH459" i="46"/>
  <c r="AH460" i="46"/>
  <c r="AH461" i="46"/>
  <c r="AH462" i="46"/>
  <c r="AH463" i="46"/>
  <c r="AH464" i="46"/>
  <c r="AH465" i="46"/>
  <c r="AH466" i="46"/>
  <c r="AH467" i="46"/>
  <c r="AH468" i="46"/>
  <c r="AH469" i="46"/>
  <c r="AH470" i="46"/>
  <c r="AH471" i="46"/>
  <c r="AH472" i="46"/>
  <c r="AH473" i="46"/>
  <c r="AH474" i="46"/>
  <c r="AH475" i="46"/>
  <c r="AH476" i="46"/>
  <c r="AH477" i="46"/>
  <c r="AH478" i="46"/>
  <c r="AH479" i="46"/>
  <c r="AH480" i="46"/>
  <c r="AH481" i="46"/>
  <c r="AH482" i="46"/>
  <c r="AH483" i="46"/>
  <c r="AH484" i="46"/>
  <c r="AH485" i="46"/>
  <c r="AH486" i="46"/>
  <c r="AH487" i="46"/>
  <c r="AH488" i="46"/>
  <c r="AH489" i="46"/>
  <c r="AH490" i="46"/>
  <c r="AH491" i="46"/>
  <c r="AH492" i="46"/>
  <c r="AH493" i="46"/>
  <c r="AH494" i="46"/>
  <c r="AH495" i="46"/>
  <c r="AH496" i="46"/>
  <c r="AH497" i="46"/>
  <c r="AH498" i="46"/>
  <c r="AH499" i="46"/>
  <c r="AH500" i="46"/>
  <c r="AH501" i="46"/>
  <c r="AH502" i="46"/>
  <c r="AH503" i="46"/>
  <c r="AH504" i="46"/>
  <c r="AH505" i="46"/>
  <c r="AH506" i="46"/>
  <c r="AH507" i="46"/>
  <c r="AH508" i="46"/>
  <c r="AH509" i="46"/>
  <c r="AH510" i="46"/>
  <c r="AH511" i="46"/>
  <c r="AH512" i="46"/>
  <c r="AH513" i="46"/>
  <c r="AH514" i="46"/>
  <c r="AH515" i="46"/>
  <c r="AH516" i="46"/>
  <c r="AH517" i="46"/>
  <c r="AH518" i="46"/>
  <c r="AH519" i="46"/>
  <c r="AH520" i="46"/>
  <c r="AH521" i="46"/>
  <c r="AH522" i="46"/>
  <c r="AH523" i="46"/>
  <c r="AH524" i="46"/>
  <c r="AH525" i="46"/>
  <c r="AH526" i="46"/>
  <c r="AH527" i="46"/>
  <c r="AH528" i="46"/>
  <c r="AH529" i="46"/>
  <c r="AH530" i="46"/>
  <c r="AH531" i="46"/>
  <c r="AH532" i="46"/>
  <c r="AH533" i="46"/>
  <c r="AH534" i="46"/>
  <c r="AH535" i="46"/>
  <c r="AH536" i="46"/>
  <c r="AH537" i="46"/>
  <c r="AH538" i="46"/>
  <c r="AH539" i="46"/>
  <c r="AH540" i="46"/>
  <c r="AH541" i="46"/>
  <c r="AH542" i="46"/>
  <c r="AH543" i="46"/>
  <c r="AH544" i="46"/>
  <c r="AH545" i="46"/>
  <c r="AH546" i="46"/>
  <c r="AH547" i="46"/>
  <c r="AH548" i="46"/>
  <c r="AH549" i="46"/>
  <c r="AH550" i="46"/>
  <c r="AH551" i="46"/>
  <c r="AH552" i="46"/>
  <c r="AH553" i="46"/>
  <c r="AH554" i="46"/>
  <c r="AH555" i="46"/>
  <c r="AH556" i="46"/>
  <c r="AH557" i="46"/>
  <c r="AH558" i="46"/>
  <c r="AH559" i="46"/>
  <c r="AH560" i="46"/>
  <c r="AH561" i="46"/>
  <c r="AH562" i="46"/>
  <c r="AH563" i="46"/>
  <c r="AH564" i="46"/>
  <c r="AH565" i="46"/>
  <c r="AH566" i="46"/>
  <c r="AH567" i="46"/>
  <c r="AH568" i="46"/>
  <c r="AH569" i="46"/>
  <c r="AH570" i="46"/>
  <c r="AH571" i="46"/>
  <c r="AH572" i="46"/>
  <c r="AH573" i="46"/>
  <c r="AH574" i="46"/>
  <c r="AH575" i="46"/>
  <c r="AH576" i="46"/>
  <c r="AH577" i="46"/>
  <c r="AH578" i="46"/>
  <c r="AH579" i="46"/>
  <c r="AH580" i="46"/>
  <c r="AH581" i="46"/>
  <c r="AH582" i="46"/>
  <c r="AH583" i="46"/>
  <c r="AH584" i="46"/>
  <c r="AH585" i="46"/>
  <c r="AH586" i="46"/>
  <c r="AH587" i="46"/>
  <c r="AH588" i="46"/>
  <c r="AH589" i="46"/>
  <c r="AH590" i="46"/>
  <c r="AH591" i="46"/>
  <c r="AH592" i="46"/>
  <c r="AH593" i="46"/>
  <c r="AH594" i="46"/>
  <c r="AH595" i="46"/>
  <c r="AH596" i="46"/>
  <c r="AH597" i="46"/>
  <c r="AH598" i="46"/>
  <c r="AH599" i="46"/>
  <c r="AH600" i="46"/>
  <c r="AH601" i="46"/>
  <c r="AH602" i="46"/>
  <c r="AH603" i="46"/>
  <c r="AH604" i="46"/>
  <c r="AH605" i="46"/>
  <c r="AH606" i="46"/>
  <c r="AH607" i="46"/>
  <c r="AH608" i="46"/>
  <c r="AH609" i="46"/>
  <c r="AH610" i="46"/>
  <c r="AH611" i="46"/>
  <c r="AH612" i="46"/>
  <c r="AH613" i="46"/>
  <c r="AH614" i="46"/>
  <c r="AH615" i="46"/>
  <c r="AH616" i="46"/>
  <c r="AH617" i="46"/>
  <c r="AH618" i="46"/>
  <c r="AH619" i="46"/>
  <c r="AH620" i="46"/>
  <c r="AH621" i="46"/>
  <c r="AH622" i="46"/>
  <c r="AH623" i="46"/>
  <c r="AH624" i="46"/>
  <c r="AH625" i="46"/>
  <c r="AH626" i="46"/>
  <c r="AH627" i="46"/>
  <c r="AH628" i="46"/>
  <c r="AH629" i="46"/>
  <c r="AH630" i="46"/>
  <c r="AH631" i="46"/>
  <c r="AH632" i="46"/>
  <c r="AH633" i="46"/>
  <c r="AH634" i="46"/>
  <c r="AH635" i="46"/>
  <c r="AH636" i="46"/>
  <c r="AH637" i="46"/>
  <c r="AH638" i="46"/>
  <c r="AH639" i="46"/>
  <c r="AH640" i="46"/>
  <c r="AH641" i="46"/>
  <c r="AH642" i="46"/>
  <c r="AH643" i="46"/>
  <c r="AH644" i="46"/>
  <c r="AH645" i="46"/>
  <c r="AH646" i="46"/>
  <c r="AH647" i="46"/>
  <c r="AH648" i="46"/>
  <c r="AH649" i="46"/>
  <c r="AH650" i="46"/>
  <c r="AH651" i="46"/>
  <c r="AH652" i="46"/>
  <c r="AH653" i="46"/>
  <c r="AH654" i="46"/>
  <c r="AH655" i="46"/>
  <c r="AH656" i="46"/>
  <c r="AH657" i="46"/>
  <c r="AH658" i="46"/>
  <c r="AH659" i="46"/>
  <c r="AH660" i="46"/>
  <c r="AH661" i="46"/>
  <c r="AH662" i="46"/>
  <c r="AH663" i="46"/>
  <c r="AH664" i="46"/>
  <c r="AH665" i="46"/>
  <c r="AH666" i="46"/>
  <c r="AH667" i="46"/>
  <c r="AH668" i="46"/>
  <c r="AH669" i="46"/>
  <c r="AH670" i="46"/>
  <c r="AH671" i="46"/>
  <c r="AH672" i="46"/>
  <c r="AH673" i="46"/>
  <c r="AH674" i="46"/>
  <c r="AH675" i="46"/>
  <c r="AH676" i="46"/>
  <c r="AH677" i="46"/>
  <c r="AH678" i="46"/>
  <c r="AH679" i="46"/>
  <c r="AH680" i="46"/>
  <c r="AH681" i="46"/>
  <c r="AH682" i="46"/>
  <c r="AH683" i="46"/>
  <c r="AH684" i="46"/>
  <c r="AH685" i="46"/>
  <c r="AH686" i="46"/>
  <c r="AH687" i="46"/>
  <c r="AH688" i="46"/>
  <c r="AH689" i="46"/>
  <c r="AH690" i="46"/>
  <c r="AH691" i="46"/>
  <c r="AH692" i="46"/>
  <c r="AH693" i="46"/>
  <c r="AH694" i="46"/>
  <c r="AH695" i="46"/>
  <c r="AH696" i="46"/>
  <c r="AH697" i="46"/>
  <c r="AH698" i="46"/>
  <c r="AH699" i="46"/>
  <c r="AH700" i="46"/>
  <c r="AH701" i="46"/>
  <c r="AH702" i="46"/>
  <c r="AH703" i="46"/>
  <c r="AH704" i="46"/>
  <c r="AH705" i="46"/>
  <c r="AH706" i="46"/>
  <c r="AH707" i="46"/>
  <c r="AH708" i="46"/>
  <c r="AH3" i="46"/>
  <c r="E4" i="45"/>
  <c r="E5" i="45"/>
  <c r="E6" i="45"/>
  <c r="E7" i="45"/>
  <c r="E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39" i="45"/>
  <c r="E40" i="45"/>
  <c r="E41" i="45"/>
  <c r="E42" i="45"/>
  <c r="E43" i="45"/>
  <c r="E44" i="45"/>
  <c r="E45" i="45"/>
  <c r="E46" i="45"/>
  <c r="E47" i="45"/>
  <c r="E48" i="45"/>
  <c r="E49" i="45"/>
  <c r="E50" i="45"/>
  <c r="E51" i="45"/>
  <c r="E52" i="45"/>
  <c r="E53" i="45"/>
  <c r="E54" i="45"/>
  <c r="E55" i="45"/>
  <c r="E56" i="45"/>
  <c r="E57" i="45"/>
  <c r="E58" i="45"/>
  <c r="E59" i="45"/>
  <c r="E60" i="45"/>
  <c r="E61" i="45"/>
  <c r="E62" i="45"/>
  <c r="E63" i="45"/>
  <c r="E64" i="45"/>
  <c r="E65" i="45"/>
  <c r="E66" i="45"/>
  <c r="E67" i="45"/>
  <c r="E68" i="45"/>
  <c r="E69" i="45"/>
  <c r="E70" i="45"/>
  <c r="E71" i="45"/>
  <c r="E72" i="45"/>
  <c r="E73" i="45"/>
  <c r="E74" i="45"/>
  <c r="E75" i="45"/>
  <c r="E76" i="45"/>
  <c r="E77" i="45"/>
  <c r="E78" i="45"/>
  <c r="E79" i="45"/>
  <c r="E80" i="45"/>
  <c r="E81" i="45"/>
  <c r="E82" i="45"/>
  <c r="E83" i="45"/>
  <c r="E84" i="45"/>
  <c r="E85" i="45"/>
  <c r="E86" i="45"/>
  <c r="E87" i="45"/>
  <c r="E88" i="45"/>
  <c r="E89" i="45"/>
  <c r="E90" i="45"/>
  <c r="E91" i="45"/>
  <c r="E92" i="45"/>
  <c r="E93" i="45"/>
  <c r="E94" i="45"/>
  <c r="E95" i="45"/>
  <c r="E96" i="45"/>
  <c r="E97" i="45"/>
  <c r="E98" i="45"/>
  <c r="E99" i="45"/>
  <c r="E100" i="45"/>
  <c r="E101" i="45"/>
  <c r="E102" i="45"/>
  <c r="E103" i="45"/>
  <c r="E104" i="45"/>
  <c r="E105" i="45"/>
  <c r="E106" i="45"/>
  <c r="E107" i="45"/>
  <c r="E108" i="45"/>
  <c r="E109" i="45"/>
  <c r="E110" i="45"/>
  <c r="E111" i="45"/>
  <c r="E112" i="45"/>
  <c r="E113" i="45"/>
  <c r="E114" i="45"/>
  <c r="E115" i="45"/>
  <c r="E116" i="45"/>
  <c r="E117" i="45"/>
  <c r="E118" i="45"/>
  <c r="E119" i="45"/>
  <c r="E120" i="45"/>
  <c r="E121" i="45"/>
  <c r="E122" i="45"/>
  <c r="E123" i="45"/>
  <c r="E124" i="45"/>
  <c r="E125" i="45"/>
  <c r="E126" i="45"/>
  <c r="E127" i="45"/>
  <c r="E128" i="45"/>
  <c r="E129" i="45"/>
  <c r="E130" i="45"/>
  <c r="E131" i="45"/>
  <c r="E132" i="45"/>
  <c r="E133" i="45"/>
  <c r="E134" i="45"/>
  <c r="E135" i="45"/>
  <c r="E136" i="45"/>
  <c r="E137" i="45"/>
  <c r="E138" i="45"/>
  <c r="E139" i="45"/>
  <c r="E140" i="45"/>
  <c r="E141" i="45"/>
  <c r="E142" i="45"/>
  <c r="E143" i="45"/>
  <c r="E144" i="45"/>
  <c r="E145" i="45"/>
  <c r="E146" i="45"/>
  <c r="E147" i="45"/>
  <c r="E148" i="45"/>
  <c r="E149" i="45"/>
  <c r="E150" i="45"/>
  <c r="E151" i="45"/>
  <c r="E152" i="45"/>
  <c r="E153" i="45"/>
  <c r="E154" i="45"/>
  <c r="E155" i="45"/>
  <c r="E156" i="45"/>
  <c r="E157" i="45"/>
  <c r="E158" i="45"/>
  <c r="E159" i="45"/>
  <c r="E160" i="45"/>
  <c r="E161" i="45"/>
  <c r="E162" i="45"/>
  <c r="E163" i="45"/>
  <c r="E164" i="45"/>
  <c r="E165" i="45"/>
  <c r="E166" i="45"/>
  <c r="E167" i="45"/>
  <c r="E168" i="45"/>
  <c r="E169" i="45"/>
  <c r="E170" i="45"/>
  <c r="E171" i="45"/>
  <c r="E172" i="45"/>
  <c r="E173" i="45"/>
  <c r="E174" i="45"/>
  <c r="E175" i="45"/>
  <c r="E176" i="45"/>
  <c r="E177" i="45"/>
  <c r="E178" i="45"/>
  <c r="E179" i="45"/>
  <c r="E180" i="45"/>
  <c r="E181" i="45"/>
  <c r="E182" i="45"/>
  <c r="E183" i="45"/>
  <c r="E184" i="45"/>
  <c r="E185" i="45"/>
  <c r="E186" i="45"/>
  <c r="E187" i="45"/>
  <c r="E188" i="45"/>
  <c r="E189" i="45"/>
  <c r="E190" i="45"/>
  <c r="E191" i="45"/>
  <c r="E192" i="45"/>
  <c r="E193" i="45"/>
  <c r="E194" i="45"/>
  <c r="E195" i="45"/>
  <c r="E196" i="45"/>
  <c r="E197" i="45"/>
  <c r="E198" i="45"/>
  <c r="E199" i="45"/>
  <c r="E200" i="45"/>
  <c r="E201" i="45"/>
  <c r="E202" i="45"/>
  <c r="E203" i="45"/>
  <c r="E204" i="45"/>
  <c r="E205" i="45"/>
  <c r="E206" i="45"/>
  <c r="E207" i="45"/>
  <c r="E208" i="45"/>
  <c r="E209" i="45"/>
  <c r="E210" i="45"/>
  <c r="E211" i="45"/>
  <c r="E212" i="45"/>
  <c r="E213" i="45"/>
  <c r="E214" i="45"/>
  <c r="E215" i="45"/>
  <c r="E216" i="45"/>
  <c r="E217" i="45"/>
  <c r="E218" i="45"/>
  <c r="E219" i="45"/>
  <c r="E220" i="45"/>
  <c r="E221" i="45"/>
  <c r="E222" i="45"/>
  <c r="E223" i="45"/>
  <c r="E224" i="45"/>
  <c r="E225" i="45"/>
  <c r="E226" i="45"/>
  <c r="E227" i="45"/>
  <c r="E228" i="45"/>
  <c r="E229" i="45"/>
  <c r="E230" i="45"/>
  <c r="E231" i="45"/>
  <c r="E232" i="45"/>
  <c r="E233" i="45"/>
  <c r="E234" i="45"/>
  <c r="E235" i="45"/>
  <c r="E236" i="45"/>
  <c r="E237" i="45"/>
  <c r="E238" i="45"/>
  <c r="E239" i="45"/>
  <c r="E240" i="45"/>
  <c r="E241" i="45"/>
  <c r="E242" i="45"/>
  <c r="E243" i="45"/>
  <c r="E244" i="45"/>
  <c r="E245" i="45"/>
  <c r="E246" i="45"/>
  <c r="E247" i="45"/>
  <c r="E248" i="45"/>
  <c r="E249" i="45"/>
  <c r="E250" i="45"/>
  <c r="E251" i="45"/>
  <c r="E252" i="45"/>
  <c r="E253" i="45"/>
  <c r="E254" i="45"/>
  <c r="E255" i="45"/>
  <c r="E256" i="45"/>
  <c r="E257" i="45"/>
  <c r="E258" i="45"/>
  <c r="E259" i="45"/>
  <c r="E260" i="45"/>
  <c r="E261" i="45"/>
  <c r="E262" i="45"/>
  <c r="E263" i="45"/>
  <c r="E264" i="45"/>
  <c r="E265" i="45"/>
  <c r="E266" i="45"/>
  <c r="E267" i="45"/>
  <c r="E268" i="45"/>
  <c r="E269" i="45"/>
  <c r="E270" i="45"/>
  <c r="E271" i="45"/>
  <c r="E272" i="45"/>
  <c r="E273" i="45"/>
  <c r="E274" i="45"/>
  <c r="E275" i="45"/>
  <c r="E276" i="45"/>
  <c r="E277" i="45"/>
  <c r="E278" i="45"/>
  <c r="E279" i="45"/>
  <c r="E280" i="45"/>
  <c r="E281" i="45"/>
  <c r="E282" i="45"/>
  <c r="E283" i="45"/>
  <c r="E284" i="45"/>
  <c r="E285" i="45"/>
  <c r="E286" i="45"/>
  <c r="E287" i="45"/>
  <c r="E288" i="45"/>
  <c r="E289" i="45"/>
  <c r="E290" i="45"/>
  <c r="E291" i="45"/>
  <c r="E292" i="45"/>
  <c r="E293" i="45"/>
  <c r="E294" i="45"/>
  <c r="E295" i="45"/>
  <c r="E296" i="45"/>
  <c r="E297" i="45"/>
  <c r="E298" i="45"/>
  <c r="E299" i="45"/>
  <c r="E300" i="45"/>
  <c r="E301" i="45"/>
  <c r="E302" i="45"/>
  <c r="E303" i="45"/>
  <c r="E304" i="45"/>
  <c r="E305" i="45"/>
  <c r="E306" i="45"/>
  <c r="E307" i="45"/>
  <c r="E308" i="45"/>
  <c r="E309" i="45"/>
  <c r="E310" i="45"/>
  <c r="E311" i="45"/>
  <c r="E312" i="45"/>
  <c r="E313" i="45"/>
  <c r="E314" i="45"/>
  <c r="E315" i="45"/>
  <c r="E316" i="45"/>
  <c r="E317" i="45"/>
  <c r="E318" i="45"/>
  <c r="E319" i="45"/>
  <c r="E320" i="45"/>
  <c r="E321" i="45"/>
  <c r="E322" i="45"/>
  <c r="E323" i="45"/>
  <c r="E324" i="45"/>
  <c r="E325" i="45"/>
  <c r="E326" i="45"/>
  <c r="E327" i="45"/>
  <c r="E328" i="45"/>
  <c r="E329" i="45"/>
  <c r="E330" i="45"/>
  <c r="E331" i="45"/>
  <c r="E332" i="45"/>
  <c r="E333" i="45"/>
  <c r="E334" i="45"/>
  <c r="E335" i="45"/>
  <c r="E336" i="45"/>
  <c r="E337" i="45"/>
  <c r="E338" i="45"/>
  <c r="E339" i="45"/>
  <c r="E340" i="45"/>
  <c r="E341" i="45"/>
  <c r="E342" i="45"/>
  <c r="E343" i="45"/>
  <c r="E344" i="45"/>
  <c r="E345" i="45"/>
  <c r="E346" i="45"/>
  <c r="E347" i="45"/>
  <c r="E348" i="45"/>
  <c r="E349" i="45"/>
  <c r="E350" i="45"/>
  <c r="E351" i="45"/>
  <c r="E352" i="45"/>
  <c r="E353" i="45"/>
  <c r="E354" i="45"/>
  <c r="E355" i="45"/>
  <c r="E356" i="45"/>
  <c r="E357" i="45"/>
  <c r="E358" i="45"/>
  <c r="E359" i="45"/>
  <c r="E360" i="45"/>
  <c r="E361" i="45"/>
  <c r="E362" i="45"/>
  <c r="E363" i="45"/>
  <c r="E364" i="45"/>
  <c r="E365" i="45"/>
  <c r="E366" i="45"/>
  <c r="E367" i="45"/>
  <c r="E368" i="45"/>
  <c r="E369" i="45"/>
  <c r="E370" i="45"/>
  <c r="E371" i="45"/>
  <c r="E372" i="45"/>
  <c r="E373" i="45"/>
  <c r="E374" i="45"/>
  <c r="E375" i="45"/>
  <c r="E376" i="45"/>
  <c r="E377" i="45"/>
  <c r="E378" i="45"/>
  <c r="E379" i="45"/>
  <c r="E380" i="45"/>
  <c r="E381" i="45"/>
  <c r="E382" i="45"/>
  <c r="E383" i="45"/>
  <c r="E384" i="45"/>
  <c r="E385" i="45"/>
  <c r="E386" i="45"/>
  <c r="E387" i="45"/>
  <c r="E388" i="45"/>
  <c r="E389" i="45"/>
  <c r="E390" i="45"/>
  <c r="E391" i="45"/>
  <c r="E392" i="45"/>
  <c r="E393" i="45"/>
  <c r="E394" i="45"/>
  <c r="E395" i="45"/>
  <c r="E396" i="45"/>
  <c r="E397" i="45"/>
  <c r="E398" i="45"/>
  <c r="E399" i="45"/>
  <c r="E400" i="45"/>
  <c r="E401" i="45"/>
  <c r="E402" i="45"/>
  <c r="E403" i="45"/>
  <c r="E404" i="45"/>
  <c r="E405" i="45"/>
  <c r="E406" i="45"/>
  <c r="E407" i="45"/>
  <c r="E408" i="45"/>
  <c r="E409" i="45"/>
  <c r="E410" i="45"/>
  <c r="E411" i="45"/>
  <c r="E412" i="45"/>
  <c r="E413" i="45"/>
  <c r="E414" i="45"/>
  <c r="E415" i="45"/>
  <c r="E416" i="45"/>
  <c r="E417" i="45"/>
  <c r="E418" i="45"/>
  <c r="E419" i="45"/>
  <c r="E420" i="45"/>
  <c r="E421" i="45"/>
  <c r="E422" i="45"/>
  <c r="E423" i="45"/>
  <c r="E424" i="45"/>
  <c r="E425" i="45"/>
  <c r="E426" i="45"/>
  <c r="E427" i="45"/>
  <c r="E428" i="45"/>
  <c r="E429" i="45"/>
  <c r="E430" i="45"/>
  <c r="E431" i="45"/>
  <c r="E432" i="45"/>
  <c r="E433" i="45"/>
  <c r="E434" i="45"/>
  <c r="E435" i="45"/>
  <c r="E436" i="45"/>
  <c r="E437" i="45"/>
  <c r="E438" i="45"/>
  <c r="E439" i="45"/>
  <c r="E440" i="45"/>
  <c r="E441" i="45"/>
  <c r="E442" i="45"/>
  <c r="E443" i="45"/>
  <c r="E444" i="45"/>
  <c r="E445" i="45"/>
  <c r="E446" i="45"/>
  <c r="E447" i="45"/>
  <c r="E448" i="45"/>
  <c r="E449" i="45"/>
  <c r="E450" i="45"/>
  <c r="E451" i="45"/>
  <c r="E452" i="45"/>
  <c r="E453" i="45"/>
  <c r="E454" i="45"/>
  <c r="E455" i="45"/>
  <c r="E456" i="45"/>
  <c r="E457" i="45"/>
  <c r="E458" i="45"/>
  <c r="E459" i="45"/>
  <c r="E460" i="45"/>
  <c r="E461" i="45"/>
  <c r="E462" i="45"/>
  <c r="E463" i="45"/>
  <c r="E464" i="45"/>
  <c r="E465" i="45"/>
  <c r="E466" i="45"/>
  <c r="E467" i="45"/>
  <c r="E468" i="45"/>
  <c r="E469" i="45"/>
  <c r="E470" i="45"/>
  <c r="E471" i="45"/>
  <c r="E472" i="45"/>
  <c r="E473" i="45"/>
  <c r="E474" i="45"/>
  <c r="E475" i="45"/>
  <c r="E476" i="45"/>
  <c r="E477" i="45"/>
  <c r="E478" i="45"/>
  <c r="E479" i="45"/>
  <c r="E480" i="45"/>
  <c r="E481" i="45"/>
  <c r="E482" i="45"/>
  <c r="E483" i="45"/>
  <c r="E484" i="45"/>
  <c r="E485" i="45"/>
  <c r="E486" i="45"/>
  <c r="E487" i="45"/>
  <c r="E488" i="45"/>
  <c r="E489" i="45"/>
  <c r="E490" i="45"/>
  <c r="E491" i="45"/>
  <c r="E492" i="45"/>
  <c r="E493" i="45"/>
  <c r="E494" i="45"/>
  <c r="E495" i="45"/>
  <c r="E496" i="45"/>
  <c r="E497" i="45"/>
  <c r="E498" i="45"/>
  <c r="E499" i="45"/>
  <c r="E500" i="45"/>
  <c r="E501" i="45"/>
  <c r="E502" i="45"/>
  <c r="E503" i="45"/>
  <c r="E504" i="45"/>
  <c r="E505" i="45"/>
  <c r="E506" i="45"/>
  <c r="E507" i="45"/>
  <c r="E508" i="45"/>
  <c r="E509" i="45"/>
  <c r="E510" i="45"/>
  <c r="E511" i="45"/>
  <c r="E512" i="45"/>
  <c r="E513" i="45"/>
  <c r="E514" i="45"/>
  <c r="E515" i="45"/>
  <c r="E516" i="45"/>
  <c r="E517" i="45"/>
  <c r="E518" i="45"/>
  <c r="E519" i="45"/>
  <c r="E520" i="45"/>
  <c r="E521" i="45"/>
  <c r="E522" i="45"/>
  <c r="E523" i="45"/>
  <c r="E524" i="45"/>
  <c r="E525" i="45"/>
  <c r="E526" i="45"/>
  <c r="E527" i="45"/>
  <c r="E528" i="45"/>
  <c r="E529" i="45"/>
  <c r="E530" i="45"/>
  <c r="E531" i="45"/>
  <c r="E532" i="45"/>
  <c r="E533" i="45"/>
  <c r="E534" i="45"/>
  <c r="E535" i="45"/>
  <c r="E536" i="45"/>
  <c r="E537" i="45"/>
  <c r="E538" i="45"/>
  <c r="E539" i="45"/>
  <c r="E540" i="45"/>
  <c r="E541" i="45"/>
  <c r="E542" i="45"/>
  <c r="E543" i="45"/>
  <c r="E544" i="45"/>
  <c r="E545" i="45"/>
  <c r="E546" i="45"/>
  <c r="E547" i="45"/>
  <c r="E548" i="45"/>
  <c r="E549" i="45"/>
  <c r="E550" i="45"/>
  <c r="E551" i="45"/>
  <c r="E552" i="45"/>
  <c r="E553" i="45"/>
  <c r="E554" i="45"/>
  <c r="E555" i="45"/>
  <c r="E556" i="45"/>
  <c r="E557" i="45"/>
  <c r="E558" i="45"/>
  <c r="E559" i="45"/>
  <c r="E560" i="45"/>
  <c r="E561" i="45"/>
  <c r="E562" i="45"/>
  <c r="E563" i="45"/>
  <c r="E564" i="45"/>
  <c r="E565" i="45"/>
  <c r="E566" i="45"/>
  <c r="E567" i="45"/>
  <c r="E568" i="45"/>
  <c r="E569" i="45"/>
  <c r="E570" i="45"/>
  <c r="E571" i="45"/>
  <c r="E572" i="45"/>
  <c r="E573" i="45"/>
  <c r="E574" i="45"/>
  <c r="E575" i="45"/>
  <c r="E576" i="45"/>
  <c r="E577" i="45"/>
  <c r="E578" i="45"/>
  <c r="E579" i="45"/>
  <c r="E580" i="45"/>
  <c r="E581" i="45"/>
  <c r="E582" i="45"/>
  <c r="E583" i="45"/>
  <c r="E584" i="45"/>
  <c r="E585" i="45"/>
  <c r="E586" i="45"/>
  <c r="E587" i="45"/>
  <c r="E588" i="45"/>
  <c r="E589" i="45"/>
  <c r="E590" i="45"/>
  <c r="E591" i="45"/>
  <c r="E592" i="45"/>
  <c r="E593" i="45"/>
  <c r="E594" i="45"/>
  <c r="E595" i="45"/>
  <c r="E596" i="45"/>
  <c r="E597" i="45"/>
  <c r="E598" i="45"/>
  <c r="E599" i="45"/>
  <c r="E600" i="45"/>
  <c r="E601" i="45"/>
  <c r="E602" i="45"/>
  <c r="E603" i="45"/>
  <c r="E604" i="45"/>
  <c r="E605" i="45"/>
  <c r="E606" i="45"/>
  <c r="E607" i="45"/>
  <c r="E608" i="45"/>
  <c r="E609" i="45"/>
  <c r="E610" i="45"/>
  <c r="E611" i="45"/>
  <c r="E612" i="45"/>
  <c r="E613" i="45"/>
  <c r="E614" i="45"/>
  <c r="E615" i="45"/>
  <c r="E616" i="45"/>
  <c r="E617" i="45"/>
  <c r="E618" i="45"/>
  <c r="E619" i="45"/>
  <c r="E620" i="45"/>
  <c r="E621" i="45"/>
  <c r="E622" i="45"/>
  <c r="E623" i="45"/>
  <c r="E624" i="45"/>
  <c r="E625" i="45"/>
  <c r="E626" i="45"/>
  <c r="E627" i="45"/>
  <c r="E628" i="45"/>
  <c r="E629" i="45"/>
  <c r="E630" i="45"/>
  <c r="E631" i="45"/>
  <c r="E632" i="45"/>
  <c r="E633" i="45"/>
  <c r="E634" i="45"/>
  <c r="E635" i="45"/>
  <c r="E636" i="45"/>
  <c r="E637" i="45"/>
  <c r="E638" i="45"/>
  <c r="E639" i="45"/>
  <c r="E640" i="45"/>
  <c r="E641" i="45"/>
  <c r="E642" i="45"/>
  <c r="E643" i="45"/>
  <c r="E644" i="45"/>
  <c r="E645" i="45"/>
  <c r="E646" i="45"/>
  <c r="E647" i="45"/>
  <c r="E648" i="45"/>
  <c r="E649" i="45"/>
  <c r="E650" i="45"/>
  <c r="E651" i="45"/>
  <c r="E652" i="45"/>
  <c r="E653" i="45"/>
  <c r="E654" i="45"/>
  <c r="E655" i="45"/>
  <c r="E656" i="45"/>
  <c r="E657" i="45"/>
  <c r="E658" i="45"/>
  <c r="E659" i="45"/>
  <c r="E660" i="45"/>
  <c r="E661" i="45"/>
  <c r="E662" i="45"/>
  <c r="E663" i="45"/>
  <c r="E664" i="45"/>
  <c r="E665" i="45"/>
  <c r="E666" i="45"/>
  <c r="E667" i="45"/>
  <c r="E668" i="45"/>
  <c r="E669" i="45"/>
  <c r="E670" i="45"/>
  <c r="E671" i="45"/>
  <c r="E672" i="45"/>
  <c r="E673" i="45"/>
  <c r="E674" i="45"/>
  <c r="E675" i="45"/>
  <c r="E676" i="45"/>
  <c r="E677" i="45"/>
  <c r="E678" i="45"/>
  <c r="E679" i="45"/>
  <c r="E680" i="45"/>
  <c r="E681" i="45"/>
  <c r="E682" i="45"/>
  <c r="E683" i="45"/>
  <c r="E684" i="45"/>
  <c r="E685" i="45"/>
  <c r="E686" i="45"/>
  <c r="E687" i="45"/>
  <c r="E688" i="45"/>
  <c r="E689" i="45"/>
  <c r="E690" i="45"/>
  <c r="E691" i="45"/>
  <c r="E692" i="45"/>
  <c r="E693" i="45"/>
  <c r="E694" i="45"/>
  <c r="E695" i="45"/>
  <c r="E696" i="45"/>
  <c r="E697" i="45"/>
  <c r="E698" i="45"/>
  <c r="E699" i="45"/>
  <c r="E700" i="45"/>
  <c r="E701" i="45"/>
  <c r="E702" i="45"/>
  <c r="E703" i="45"/>
  <c r="E704" i="45"/>
  <c r="E705" i="45"/>
  <c r="E706" i="45"/>
  <c r="E707" i="45"/>
  <c r="E708" i="45"/>
  <c r="E709" i="45"/>
  <c r="E710" i="45"/>
  <c r="E711" i="45"/>
  <c r="E712" i="45"/>
  <c r="E713" i="45"/>
  <c r="E714" i="45"/>
  <c r="E715" i="45"/>
  <c r="E716" i="45"/>
  <c r="E717" i="45"/>
  <c r="E718" i="45"/>
  <c r="E719" i="45"/>
  <c r="E720" i="45"/>
  <c r="E721" i="45"/>
  <c r="E722" i="45"/>
  <c r="E723" i="45"/>
  <c r="E724" i="45"/>
  <c r="E725" i="45"/>
  <c r="E726" i="45"/>
  <c r="E727" i="45"/>
  <c r="E728" i="45"/>
  <c r="E729" i="45"/>
  <c r="E730" i="45"/>
  <c r="E731" i="45"/>
  <c r="E732" i="45"/>
  <c r="E733" i="45"/>
  <c r="E734" i="45"/>
  <c r="E735" i="45"/>
  <c r="E736" i="45"/>
  <c r="E737" i="45"/>
  <c r="E738" i="45"/>
  <c r="E739" i="45"/>
  <c r="E740" i="45"/>
  <c r="E741" i="45"/>
  <c r="E742" i="45"/>
  <c r="E743" i="45"/>
  <c r="E744" i="45"/>
  <c r="E745" i="45"/>
  <c r="E746" i="45"/>
  <c r="E747" i="45"/>
  <c r="E748" i="45"/>
  <c r="E749" i="45"/>
  <c r="E750" i="45"/>
  <c r="E751" i="45"/>
  <c r="E752" i="45"/>
  <c r="E753" i="45"/>
  <c r="E754" i="45"/>
  <c r="E755" i="45"/>
  <c r="E756" i="45"/>
  <c r="E757" i="45"/>
  <c r="E758" i="45"/>
  <c r="E759" i="45"/>
  <c r="E760" i="45"/>
  <c r="E761" i="45"/>
  <c r="E762" i="45"/>
  <c r="E763" i="45"/>
  <c r="E764" i="45"/>
  <c r="E765" i="45"/>
  <c r="E766" i="45"/>
  <c r="E767" i="45"/>
  <c r="E768" i="45"/>
  <c r="E769" i="45"/>
  <c r="E770" i="45"/>
  <c r="E771" i="45"/>
  <c r="E772" i="45"/>
  <c r="E773" i="45"/>
  <c r="E774" i="45"/>
  <c r="E775" i="45"/>
  <c r="E776" i="45"/>
  <c r="E777" i="45"/>
  <c r="E778" i="45"/>
  <c r="E779" i="45"/>
  <c r="E780" i="45"/>
  <c r="E781" i="45"/>
  <c r="E782" i="45"/>
  <c r="E783" i="45"/>
  <c r="E784" i="45"/>
  <c r="E785" i="45"/>
  <c r="E786" i="45"/>
  <c r="E787" i="45"/>
  <c r="E788" i="45"/>
  <c r="E789" i="45"/>
  <c r="E790" i="45"/>
  <c r="E791" i="45"/>
  <c r="E792" i="45"/>
  <c r="E793" i="45"/>
  <c r="E794" i="45"/>
  <c r="E795" i="45"/>
  <c r="E796" i="45"/>
  <c r="E797" i="45"/>
  <c r="E798" i="45"/>
  <c r="E799" i="45"/>
  <c r="E800" i="45"/>
  <c r="E801" i="45"/>
  <c r="E802" i="45"/>
  <c r="E803" i="45"/>
  <c r="E804" i="45"/>
  <c r="E805" i="45"/>
  <c r="E806" i="45"/>
  <c r="E807" i="45"/>
  <c r="E808" i="45"/>
  <c r="E809" i="45"/>
  <c r="E810" i="45"/>
  <c r="E811" i="45"/>
  <c r="E812" i="45"/>
  <c r="E813" i="45"/>
  <c r="E814" i="45"/>
  <c r="E815" i="45"/>
  <c r="E816" i="45"/>
  <c r="E817" i="45"/>
  <c r="E818" i="45"/>
  <c r="E819" i="45"/>
  <c r="E820" i="45"/>
  <c r="E821" i="45"/>
  <c r="E822" i="45"/>
  <c r="E823" i="45"/>
  <c r="E824" i="45"/>
  <c r="E825" i="45"/>
  <c r="E826" i="45"/>
  <c r="E827" i="45"/>
  <c r="E828" i="45"/>
  <c r="E829" i="45"/>
  <c r="E830" i="45"/>
  <c r="E831" i="45"/>
  <c r="E832" i="45"/>
  <c r="E833" i="45"/>
  <c r="E834" i="45"/>
  <c r="E835" i="45"/>
  <c r="E836" i="45"/>
  <c r="E837" i="45"/>
  <c r="E838" i="45"/>
  <c r="E839" i="45"/>
  <c r="E840" i="45"/>
  <c r="E841" i="45"/>
  <c r="E842" i="45"/>
  <c r="E843" i="45"/>
  <c r="E844" i="45"/>
  <c r="E845" i="45"/>
  <c r="E846" i="45"/>
  <c r="E847" i="45"/>
  <c r="E848" i="45"/>
  <c r="E849" i="45"/>
  <c r="E850" i="45"/>
  <c r="E851" i="45"/>
  <c r="E852" i="45"/>
  <c r="E853" i="45"/>
  <c r="E854" i="45"/>
  <c r="E855" i="45"/>
  <c r="E856" i="45"/>
  <c r="E857" i="45"/>
  <c r="E858" i="45"/>
  <c r="E859" i="45"/>
  <c r="E860" i="45"/>
  <c r="E861" i="45"/>
  <c r="E862" i="45"/>
  <c r="E863" i="45"/>
  <c r="E864" i="45"/>
  <c r="E865" i="45"/>
  <c r="E866" i="45"/>
  <c r="E867" i="45"/>
  <c r="E868" i="45"/>
  <c r="E869" i="45"/>
  <c r="E870" i="45"/>
  <c r="E871" i="45"/>
  <c r="E872" i="45"/>
  <c r="E873" i="45"/>
  <c r="E874" i="45"/>
  <c r="E875" i="45"/>
  <c r="E876" i="45"/>
  <c r="E877" i="45"/>
  <c r="E878" i="45"/>
  <c r="E879" i="45"/>
  <c r="E880" i="45"/>
  <c r="E881" i="45"/>
  <c r="E882" i="45"/>
  <c r="E883" i="45"/>
  <c r="E884" i="45"/>
  <c r="E885" i="45"/>
  <c r="E886" i="45"/>
  <c r="E887" i="45"/>
  <c r="E888" i="45"/>
  <c r="E889" i="45"/>
  <c r="E890" i="45"/>
  <c r="E891" i="45"/>
  <c r="E892" i="45"/>
  <c r="E893" i="45"/>
  <c r="E894" i="45"/>
  <c r="E895" i="45"/>
  <c r="E896" i="45"/>
  <c r="E897" i="45"/>
  <c r="E898" i="45"/>
  <c r="E899" i="45"/>
  <c r="E900" i="45"/>
  <c r="E901" i="45"/>
  <c r="E902" i="45"/>
  <c r="E903" i="45"/>
  <c r="E904" i="45"/>
  <c r="E905" i="45"/>
  <c r="E906" i="45"/>
  <c r="E907" i="45"/>
  <c r="E908" i="45"/>
  <c r="E909" i="45"/>
  <c r="E910" i="45"/>
  <c r="E911" i="45"/>
  <c r="E912" i="45"/>
  <c r="E913" i="45"/>
  <c r="E914" i="45"/>
  <c r="E915" i="45"/>
  <c r="E916" i="45"/>
  <c r="E917" i="45"/>
  <c r="E918" i="45"/>
  <c r="E919" i="45"/>
  <c r="E920" i="45"/>
  <c r="E921" i="45"/>
  <c r="E922" i="45"/>
  <c r="E923" i="45"/>
  <c r="E924" i="45"/>
  <c r="E925" i="45"/>
  <c r="E926" i="45"/>
  <c r="E927" i="45"/>
  <c r="E928" i="45"/>
  <c r="E929" i="45"/>
  <c r="E930" i="45"/>
  <c r="E931" i="45"/>
  <c r="E932" i="45"/>
  <c r="E933" i="45"/>
  <c r="E934" i="45"/>
  <c r="E935" i="45"/>
  <c r="E936" i="45"/>
  <c r="E937" i="45"/>
  <c r="E938" i="45"/>
  <c r="E939" i="45"/>
  <c r="E940" i="45"/>
  <c r="E941" i="45"/>
  <c r="E942" i="45"/>
  <c r="E943" i="45"/>
  <c r="E944" i="45"/>
  <c r="E945" i="45"/>
  <c r="E946" i="45"/>
  <c r="E947" i="45"/>
  <c r="E948" i="45"/>
  <c r="E949" i="45"/>
  <c r="E950" i="45"/>
  <c r="E951" i="45"/>
  <c r="E952" i="45"/>
  <c r="E953" i="45"/>
  <c r="E954" i="45"/>
  <c r="E955" i="45"/>
  <c r="E956" i="45"/>
  <c r="E957" i="45"/>
  <c r="E958" i="45"/>
  <c r="E959" i="45"/>
  <c r="E960" i="45"/>
  <c r="E961" i="45"/>
  <c r="E962" i="45"/>
  <c r="E963" i="45"/>
  <c r="E964" i="45"/>
  <c r="E965" i="45"/>
  <c r="E966" i="45"/>
  <c r="E967" i="45"/>
  <c r="E968" i="45"/>
  <c r="E969" i="45"/>
  <c r="E970" i="45"/>
  <c r="E971" i="45"/>
  <c r="E972" i="45"/>
  <c r="E973" i="45"/>
  <c r="E974" i="45"/>
  <c r="E975" i="45"/>
  <c r="E976" i="45"/>
  <c r="E977" i="45"/>
  <c r="E978" i="45"/>
  <c r="E979" i="45"/>
  <c r="E980" i="45"/>
  <c r="E981" i="45"/>
  <c r="E982" i="45"/>
  <c r="E983" i="45"/>
  <c r="E984" i="45"/>
  <c r="E985" i="45"/>
  <c r="E986" i="45"/>
  <c r="E987" i="45"/>
  <c r="E988" i="45"/>
  <c r="E989" i="45"/>
  <c r="E990" i="45"/>
  <c r="E991" i="45"/>
  <c r="E992" i="45"/>
  <c r="E993" i="45"/>
  <c r="E994" i="45"/>
  <c r="E995" i="45"/>
  <c r="E996" i="45"/>
  <c r="E997" i="45"/>
  <c r="E998" i="45"/>
  <c r="E999" i="45"/>
  <c r="E1000" i="45"/>
  <c r="E1001" i="45"/>
  <c r="E1002" i="45"/>
  <c r="E1003" i="45"/>
  <c r="E1004" i="45"/>
  <c r="E1005" i="45"/>
  <c r="E1006" i="45"/>
  <c r="E1007" i="45"/>
  <c r="E1008" i="45"/>
  <c r="E1009" i="45"/>
  <c r="E1010" i="45"/>
  <c r="E1011" i="45"/>
  <c r="E1012" i="45"/>
  <c r="E1013" i="45"/>
  <c r="E1014" i="45"/>
  <c r="E1015" i="45"/>
  <c r="E1016" i="45"/>
  <c r="E1017" i="45"/>
  <c r="E1018" i="45"/>
  <c r="E1019" i="45"/>
  <c r="E1020" i="45"/>
  <c r="E1021" i="45"/>
  <c r="E1022" i="45"/>
  <c r="E1023" i="45"/>
  <c r="E1024" i="45"/>
  <c r="E1025" i="45"/>
  <c r="E1026" i="45"/>
  <c r="E1027" i="45"/>
  <c r="E1028" i="45"/>
  <c r="E1029" i="45"/>
  <c r="E1030" i="45"/>
  <c r="E1031" i="45"/>
  <c r="E1032" i="45"/>
  <c r="E1033" i="45"/>
  <c r="E1034" i="45"/>
  <c r="E1035" i="45"/>
  <c r="E1036" i="45"/>
  <c r="E1037" i="45"/>
  <c r="E1038" i="45"/>
  <c r="E1039" i="45"/>
  <c r="E1040" i="45"/>
  <c r="E1041" i="45"/>
  <c r="E1042" i="45"/>
  <c r="E1043" i="45"/>
  <c r="E1044" i="45"/>
  <c r="E1045" i="45"/>
  <c r="E1046" i="45"/>
  <c r="E1047" i="45"/>
  <c r="E1048" i="45"/>
  <c r="E1049" i="45"/>
  <c r="E1050" i="45"/>
  <c r="E1051" i="45"/>
  <c r="E1052" i="45"/>
  <c r="E1053" i="45"/>
  <c r="E1054" i="45"/>
  <c r="E1055" i="45"/>
  <c r="E1056" i="45"/>
  <c r="E1057" i="45"/>
  <c r="E1058" i="45"/>
  <c r="E1059" i="45"/>
  <c r="E1060" i="45"/>
  <c r="E1061" i="45"/>
  <c r="E1062" i="45"/>
  <c r="E1063" i="45"/>
  <c r="E1064" i="45"/>
  <c r="E1065" i="45"/>
  <c r="E1066" i="45"/>
  <c r="E1067" i="45"/>
  <c r="E1068" i="45"/>
  <c r="E1069" i="45"/>
  <c r="E1070" i="45"/>
  <c r="E1071" i="45"/>
  <c r="E1072" i="45"/>
  <c r="E1073" i="45"/>
  <c r="E1074" i="45"/>
  <c r="E1075" i="45"/>
  <c r="E1076" i="45"/>
  <c r="E1077" i="45"/>
  <c r="E1078" i="45"/>
  <c r="E1079" i="45"/>
  <c r="E1080" i="45"/>
  <c r="E1081" i="45"/>
  <c r="E1082" i="45"/>
  <c r="E1083" i="45"/>
  <c r="E1084" i="45"/>
  <c r="E1085" i="45"/>
  <c r="E1086" i="45"/>
  <c r="E1087" i="45"/>
  <c r="E1088" i="45"/>
  <c r="E1089" i="45"/>
  <c r="E1090" i="45"/>
  <c r="E1091" i="45"/>
  <c r="E1092" i="45"/>
  <c r="E1093" i="45"/>
  <c r="E1094" i="45"/>
  <c r="E1095" i="45"/>
  <c r="E1096" i="45"/>
  <c r="E1097" i="45"/>
  <c r="E1098" i="45"/>
  <c r="E1099" i="45"/>
  <c r="E1100" i="45"/>
  <c r="E1101" i="45"/>
  <c r="E1102" i="45"/>
  <c r="E1103" i="45"/>
  <c r="E1104" i="45"/>
  <c r="E1105" i="45"/>
  <c r="E1106" i="45"/>
  <c r="E1107" i="45"/>
  <c r="E1108" i="45"/>
  <c r="E1109" i="45"/>
  <c r="E1110" i="45"/>
  <c r="E1111" i="45"/>
  <c r="E1112" i="45"/>
  <c r="E1113" i="45"/>
  <c r="E1114" i="45"/>
  <c r="E1115" i="45"/>
  <c r="E1116" i="45"/>
  <c r="E1117" i="45"/>
  <c r="E1118" i="45"/>
  <c r="E1119" i="45"/>
  <c r="E1120" i="45"/>
  <c r="E1121" i="45"/>
  <c r="E1122" i="45"/>
  <c r="E1123" i="45"/>
  <c r="E1124" i="45"/>
  <c r="E1125" i="45"/>
  <c r="E1126" i="45"/>
  <c r="E1127" i="45"/>
  <c r="E1128" i="45"/>
  <c r="E1129" i="45"/>
  <c r="E1130" i="45"/>
  <c r="E1131" i="45"/>
  <c r="E1132" i="45"/>
  <c r="E1133" i="45"/>
  <c r="E1134" i="45"/>
  <c r="E1135" i="45"/>
  <c r="E1136" i="45"/>
  <c r="E1137" i="45"/>
  <c r="E1138" i="45"/>
  <c r="E1139" i="45"/>
  <c r="E1140" i="45"/>
  <c r="E1141" i="45"/>
  <c r="E1142" i="45"/>
  <c r="E1143" i="45"/>
  <c r="E1144" i="45"/>
  <c r="E1145" i="45"/>
  <c r="E1146" i="45"/>
  <c r="E1147" i="45"/>
  <c r="E1148" i="45"/>
  <c r="E1149" i="45"/>
  <c r="E1150" i="45"/>
  <c r="E1151" i="45"/>
  <c r="E1152" i="45"/>
  <c r="E1153" i="45"/>
  <c r="E1154" i="45"/>
  <c r="E1155" i="45"/>
  <c r="E1156" i="45"/>
  <c r="E1157" i="45"/>
  <c r="E1158" i="45"/>
  <c r="E1159" i="45"/>
  <c r="E1160" i="45"/>
  <c r="E1161" i="45"/>
  <c r="E1162" i="45"/>
  <c r="E1163" i="45"/>
  <c r="E1164" i="45"/>
  <c r="E1165" i="45"/>
  <c r="E1166" i="45"/>
  <c r="E1167" i="45"/>
  <c r="E1168" i="45"/>
  <c r="E1169" i="45"/>
  <c r="E1170" i="45"/>
  <c r="E1171" i="45"/>
  <c r="E1172" i="45"/>
  <c r="E1173" i="45"/>
  <c r="E1174" i="45"/>
  <c r="E1175" i="45"/>
  <c r="E1176" i="45"/>
  <c r="E1177" i="45"/>
  <c r="E1178" i="45"/>
  <c r="E1179" i="45"/>
  <c r="E1180" i="45"/>
  <c r="E1181" i="45"/>
  <c r="E1182" i="45"/>
  <c r="E1183" i="45"/>
  <c r="E1184" i="45"/>
  <c r="E1185" i="45"/>
  <c r="E1186" i="45"/>
  <c r="E1187" i="45"/>
  <c r="E1188" i="45"/>
  <c r="E1189" i="45"/>
  <c r="E1190" i="45"/>
  <c r="E1191" i="45"/>
  <c r="E1192" i="45"/>
  <c r="E1193" i="45"/>
  <c r="E1194" i="45"/>
  <c r="E1195" i="45"/>
  <c r="E1196" i="45"/>
  <c r="E1197" i="45"/>
  <c r="E1198" i="45"/>
  <c r="E1199" i="45"/>
  <c r="E1200" i="45"/>
  <c r="E1201" i="45"/>
  <c r="E1202" i="45"/>
  <c r="E1203" i="45"/>
  <c r="E1204" i="45"/>
  <c r="E1205" i="45"/>
  <c r="E1206" i="45"/>
  <c r="E1207" i="45"/>
  <c r="E1208" i="45"/>
  <c r="E1209" i="45"/>
  <c r="E1210" i="45"/>
  <c r="E1211" i="45"/>
  <c r="E1212" i="45"/>
  <c r="E1213" i="45"/>
  <c r="E1214" i="45"/>
  <c r="E1215" i="45"/>
  <c r="E1216" i="45"/>
  <c r="E1217" i="45"/>
  <c r="E1218" i="45"/>
  <c r="E1219" i="45"/>
  <c r="E1220" i="45"/>
  <c r="E1221" i="45"/>
  <c r="E1222" i="45"/>
  <c r="E1223" i="45"/>
  <c r="E1224" i="45"/>
  <c r="E1225" i="45"/>
  <c r="E1226" i="45"/>
  <c r="E1227" i="45"/>
  <c r="E1228" i="45"/>
  <c r="E1229" i="45"/>
  <c r="E1230" i="45"/>
  <c r="E1231" i="45"/>
  <c r="E1232" i="45"/>
  <c r="E1233" i="45"/>
  <c r="E1234" i="45"/>
  <c r="E1235" i="45"/>
  <c r="E1236" i="45"/>
  <c r="E1237" i="45"/>
  <c r="E1238" i="45"/>
  <c r="E1239" i="45"/>
  <c r="E1240" i="45"/>
  <c r="E1241" i="45"/>
  <c r="E1242" i="45"/>
  <c r="E1243" i="45"/>
  <c r="E1244" i="45"/>
  <c r="E1245" i="45"/>
  <c r="E1246" i="45"/>
  <c r="E1247" i="45"/>
  <c r="E1248" i="45"/>
  <c r="E1249" i="45"/>
  <c r="E1250" i="45"/>
  <c r="E1251" i="45"/>
  <c r="E1252" i="45"/>
  <c r="E1253" i="45"/>
  <c r="E1254" i="45"/>
  <c r="E1255" i="45"/>
  <c r="E1256" i="45"/>
  <c r="E1257" i="45"/>
  <c r="E1258" i="45"/>
  <c r="E1259" i="45"/>
  <c r="E1260" i="45"/>
  <c r="E1261" i="45"/>
  <c r="E1262" i="45"/>
  <c r="E1263" i="45"/>
  <c r="E1264" i="45"/>
  <c r="E1265" i="45"/>
  <c r="E1266" i="45"/>
  <c r="E1267" i="45"/>
  <c r="E1268" i="45"/>
  <c r="E1269" i="45"/>
  <c r="E1270" i="45"/>
  <c r="E1271" i="45"/>
  <c r="E1272" i="45"/>
  <c r="E1273" i="45"/>
  <c r="E1274" i="45"/>
  <c r="E1275" i="45"/>
  <c r="E1276" i="45"/>
  <c r="E1277" i="45"/>
  <c r="E1278" i="45"/>
  <c r="E1279" i="45"/>
  <c r="E1280" i="45"/>
  <c r="E1281" i="45"/>
  <c r="E1282" i="45"/>
  <c r="E1283" i="45"/>
  <c r="E1284" i="45"/>
  <c r="E1285" i="45"/>
  <c r="E1286" i="45"/>
  <c r="E1287" i="45"/>
  <c r="E1288" i="45"/>
  <c r="E1289" i="45"/>
  <c r="E1290" i="45"/>
  <c r="E1291" i="45"/>
  <c r="E1292" i="45"/>
  <c r="E1293" i="45"/>
  <c r="E1294" i="45"/>
  <c r="E1295" i="45"/>
  <c r="E1296" i="45"/>
  <c r="E1297" i="45"/>
  <c r="E1298" i="45"/>
  <c r="E1299" i="45"/>
  <c r="E1300" i="45"/>
  <c r="E1301" i="45"/>
  <c r="E1302" i="45"/>
  <c r="E1303" i="45"/>
  <c r="E1304" i="45"/>
  <c r="E1305" i="45"/>
  <c r="E1306" i="45"/>
  <c r="E1307" i="45"/>
  <c r="E1308" i="45"/>
  <c r="E1309" i="45"/>
  <c r="E1310" i="45"/>
  <c r="E1311" i="45"/>
  <c r="E1312" i="45"/>
  <c r="E1313" i="45"/>
  <c r="E1314" i="45"/>
  <c r="E1315" i="45"/>
  <c r="E1316" i="45"/>
  <c r="E1317" i="45"/>
  <c r="E1318" i="45"/>
  <c r="E1319" i="45"/>
  <c r="E1320" i="45"/>
  <c r="E1321" i="45"/>
  <c r="E1322" i="45"/>
  <c r="E1323" i="45"/>
  <c r="E1324" i="45"/>
  <c r="E1325" i="45"/>
  <c r="E1326" i="45"/>
  <c r="E1327" i="45"/>
  <c r="E1328" i="45"/>
  <c r="E1329" i="45"/>
  <c r="E1330" i="45"/>
  <c r="E1331" i="45"/>
  <c r="E1332" i="45"/>
  <c r="E1333" i="45"/>
  <c r="E1334" i="45"/>
  <c r="E1335" i="45"/>
  <c r="E1336" i="45"/>
  <c r="E1337" i="45"/>
  <c r="E1338" i="45"/>
  <c r="E1339" i="45"/>
  <c r="E1340" i="45"/>
  <c r="E1341" i="45"/>
  <c r="E1342" i="45"/>
  <c r="E1343" i="45"/>
  <c r="E1344" i="45"/>
  <c r="E1345" i="45"/>
  <c r="E1346" i="45"/>
  <c r="E1347" i="45"/>
  <c r="E1348" i="45"/>
  <c r="E1349" i="45"/>
  <c r="E1350" i="45"/>
  <c r="E1351" i="45"/>
  <c r="E1352" i="45"/>
  <c r="E1353" i="45"/>
  <c r="E1354" i="45"/>
  <c r="E1355" i="45"/>
  <c r="E1356" i="45"/>
  <c r="E1357" i="45"/>
  <c r="E1358" i="45"/>
  <c r="E1359" i="45"/>
  <c r="E1360" i="45"/>
  <c r="E1361" i="45"/>
  <c r="E1362" i="45"/>
  <c r="E1363" i="45"/>
  <c r="E1364" i="45"/>
  <c r="E1365" i="45"/>
  <c r="E1366" i="45"/>
  <c r="E1367" i="45"/>
  <c r="E1368" i="45"/>
  <c r="E1369" i="45"/>
  <c r="E1370" i="45"/>
  <c r="E1371" i="45"/>
  <c r="E1372" i="45"/>
  <c r="E1373" i="45"/>
  <c r="E1374" i="45"/>
  <c r="E1375" i="45"/>
  <c r="E1376" i="45"/>
  <c r="E1377" i="45"/>
  <c r="E1378" i="45"/>
  <c r="E1379" i="45"/>
  <c r="E1380" i="45"/>
  <c r="E1381" i="45"/>
  <c r="E1382" i="45"/>
  <c r="E1383" i="45"/>
  <c r="E1384" i="45"/>
  <c r="E1385" i="45"/>
  <c r="E1386" i="45"/>
  <c r="E1387" i="45"/>
  <c r="E1388" i="45"/>
  <c r="E1389" i="45"/>
  <c r="E1390" i="45"/>
  <c r="E1391" i="45"/>
  <c r="E1392" i="45"/>
  <c r="E1393" i="45"/>
  <c r="E1394" i="45"/>
  <c r="E1395" i="45"/>
  <c r="E1396" i="45"/>
  <c r="E1397" i="45"/>
  <c r="E1398" i="45"/>
  <c r="E1399" i="45"/>
  <c r="E1400" i="45"/>
  <c r="E1401" i="45"/>
  <c r="E1402" i="45"/>
  <c r="E1403" i="45"/>
  <c r="E1404" i="45"/>
  <c r="E1405" i="45"/>
  <c r="E1406" i="45"/>
  <c r="E1407" i="45"/>
  <c r="E1408" i="45"/>
  <c r="E1409" i="45"/>
  <c r="E1410" i="45"/>
  <c r="E1411" i="45"/>
  <c r="E1412" i="45"/>
  <c r="E1413" i="45"/>
  <c r="E1414" i="45"/>
  <c r="E1415" i="45"/>
  <c r="E1416" i="45"/>
  <c r="E1417" i="45"/>
  <c r="E1418" i="45"/>
  <c r="E1419" i="45"/>
  <c r="E1420" i="45"/>
  <c r="E1421" i="45"/>
  <c r="E1422" i="45"/>
  <c r="E1423" i="45"/>
  <c r="E1424" i="45"/>
  <c r="E1425" i="45"/>
  <c r="E1426" i="45"/>
  <c r="E1427" i="45"/>
  <c r="E1428" i="45"/>
  <c r="E1429" i="45"/>
  <c r="E1430" i="45"/>
  <c r="E1431" i="45"/>
  <c r="E1432" i="45"/>
  <c r="E1433" i="45"/>
  <c r="E1434" i="45"/>
  <c r="E1435" i="45"/>
  <c r="E1436" i="45"/>
  <c r="E1437" i="45"/>
  <c r="E1438" i="45"/>
  <c r="E1439" i="45"/>
  <c r="E1440" i="45"/>
  <c r="E1441" i="45"/>
  <c r="E1442" i="45"/>
  <c r="E1443" i="45"/>
  <c r="E1444" i="45"/>
  <c r="E1445" i="45"/>
  <c r="E1446" i="45"/>
  <c r="E1447" i="45"/>
  <c r="E1448" i="45"/>
  <c r="E1449" i="45"/>
  <c r="E1450" i="45"/>
  <c r="E1451" i="45"/>
  <c r="E1452" i="45"/>
  <c r="E1453" i="45"/>
  <c r="E1454" i="45"/>
  <c r="E1455" i="45"/>
  <c r="E1456" i="45"/>
  <c r="E1457" i="45"/>
  <c r="E1458" i="45"/>
  <c r="E1459" i="45"/>
  <c r="E1460" i="45"/>
  <c r="E1461" i="45"/>
  <c r="E1462" i="45"/>
  <c r="E1463" i="45"/>
  <c r="E1464" i="45"/>
  <c r="E1465" i="45"/>
  <c r="E1466" i="45"/>
  <c r="E1467" i="45"/>
  <c r="E1468" i="45"/>
  <c r="E1469" i="45"/>
  <c r="E1470" i="45"/>
  <c r="E1471" i="45"/>
  <c r="E1472" i="45"/>
  <c r="E1473" i="45"/>
  <c r="E1474" i="45"/>
  <c r="E1475" i="45"/>
  <c r="E1476" i="45"/>
  <c r="E1477" i="45"/>
  <c r="E1478" i="45"/>
  <c r="E1479" i="45"/>
  <c r="E1480" i="45"/>
  <c r="E1481" i="45"/>
  <c r="E1482" i="45"/>
  <c r="E1483" i="45"/>
  <c r="E1484" i="45"/>
  <c r="E1485" i="45"/>
  <c r="E1486" i="45"/>
  <c r="E1487" i="45"/>
  <c r="E1488" i="45"/>
  <c r="E1489" i="45"/>
  <c r="E1490" i="45"/>
  <c r="E1491" i="45"/>
  <c r="E1492" i="45"/>
  <c r="E1493" i="45"/>
  <c r="E1494" i="45"/>
  <c r="E1495" i="45"/>
  <c r="E1496" i="45"/>
  <c r="E1497" i="45"/>
  <c r="E1498" i="45"/>
  <c r="E1499" i="45"/>
  <c r="E1500" i="45"/>
  <c r="E1501" i="45"/>
  <c r="E1502" i="45"/>
  <c r="E1503" i="45"/>
  <c r="E1504" i="45"/>
  <c r="E1505" i="45"/>
  <c r="E1506" i="45"/>
  <c r="E1507" i="45"/>
  <c r="E1508" i="45"/>
  <c r="E1509" i="45"/>
  <c r="E1510" i="45"/>
  <c r="E1511" i="45"/>
  <c r="E1512" i="45"/>
  <c r="E1513" i="45"/>
  <c r="E1514" i="45"/>
  <c r="E1515" i="45"/>
  <c r="E1516" i="45"/>
  <c r="E1517" i="45"/>
  <c r="E1518" i="45"/>
  <c r="E1519" i="45"/>
  <c r="E1520" i="45"/>
  <c r="E1521" i="45"/>
  <c r="E1522" i="45"/>
  <c r="E1523" i="45"/>
  <c r="E1524" i="45"/>
  <c r="E1525" i="45"/>
  <c r="E1526" i="45"/>
  <c r="E1527" i="45"/>
  <c r="E1528" i="45"/>
  <c r="E1529" i="45"/>
  <c r="E1530" i="45"/>
  <c r="E1531" i="45"/>
  <c r="E1532" i="45"/>
  <c r="E1533" i="45"/>
  <c r="E1534" i="45"/>
  <c r="E1535" i="45"/>
  <c r="E1536" i="45"/>
  <c r="E1537" i="45"/>
  <c r="E1538" i="45"/>
  <c r="E1539" i="45"/>
  <c r="E1540" i="45"/>
  <c r="E1541" i="45"/>
  <c r="E1542" i="45"/>
  <c r="E1543" i="45"/>
  <c r="E1544" i="45"/>
  <c r="E1545" i="45"/>
  <c r="E1546" i="45"/>
  <c r="E1547" i="45"/>
  <c r="E1548" i="45"/>
  <c r="E1549" i="45"/>
  <c r="E1550" i="45"/>
  <c r="E1551" i="45"/>
  <c r="E1552" i="45"/>
  <c r="E1553" i="45"/>
  <c r="E1554" i="45"/>
  <c r="E1555" i="45"/>
  <c r="E1556" i="45"/>
  <c r="E1557" i="45"/>
  <c r="E1558" i="45"/>
  <c r="E1559" i="45"/>
  <c r="E1560" i="45"/>
  <c r="E1561" i="45"/>
  <c r="E1562" i="45"/>
  <c r="E1563" i="45"/>
  <c r="E1564" i="45"/>
  <c r="E1565" i="45"/>
  <c r="E1566" i="45"/>
  <c r="E1567" i="45"/>
  <c r="E1568" i="45"/>
  <c r="E1569" i="45"/>
  <c r="E1570" i="45"/>
  <c r="E1571" i="45"/>
  <c r="E3" i="45"/>
  <c r="T1571" i="45"/>
  <c r="S1571" i="45"/>
  <c r="M1571" i="45"/>
  <c r="Q1571" i="45" s="1"/>
  <c r="R1571" i="45" s="1"/>
  <c r="T1570" i="45"/>
  <c r="S1570" i="45"/>
  <c r="M1570" i="45"/>
  <c r="Q1570" i="45" s="1"/>
  <c r="R1570" i="45" s="1"/>
  <c r="T1569" i="45"/>
  <c r="S1569" i="45"/>
  <c r="M1569" i="45"/>
  <c r="Q1569" i="45" s="1"/>
  <c r="R1569" i="45" s="1"/>
  <c r="T1568" i="45"/>
  <c r="S1568" i="45"/>
  <c r="M1568" i="45"/>
  <c r="Q1568" i="45" s="1"/>
  <c r="R1568" i="45" s="1"/>
  <c r="T1567" i="45"/>
  <c r="S1567" i="45"/>
  <c r="M1567" i="45"/>
  <c r="Q1567" i="45" s="1"/>
  <c r="R1567" i="45" s="1"/>
  <c r="T1566" i="45"/>
  <c r="S1566" i="45"/>
  <c r="M1566" i="45"/>
  <c r="Q1566" i="45" s="1"/>
  <c r="R1566" i="45" s="1"/>
  <c r="T1565" i="45"/>
  <c r="S1565" i="45"/>
  <c r="M1565" i="45"/>
  <c r="Q1565" i="45" s="1"/>
  <c r="R1565" i="45" s="1"/>
  <c r="T1564" i="45"/>
  <c r="S1564" i="45"/>
  <c r="M1564" i="45"/>
  <c r="Q1564" i="45" s="1"/>
  <c r="R1564" i="45" s="1"/>
  <c r="T1563" i="45"/>
  <c r="S1563" i="45"/>
  <c r="M1563" i="45"/>
  <c r="Q1563" i="45" s="1"/>
  <c r="R1563" i="45" s="1"/>
  <c r="T1562" i="45"/>
  <c r="S1562" i="45"/>
  <c r="M1562" i="45"/>
  <c r="Q1562" i="45" s="1"/>
  <c r="R1562" i="45" s="1"/>
  <c r="T1561" i="45"/>
  <c r="S1561" i="45"/>
  <c r="M1561" i="45"/>
  <c r="Q1561" i="45" s="1"/>
  <c r="R1561" i="45" s="1"/>
  <c r="T1560" i="45"/>
  <c r="S1560" i="45"/>
  <c r="M1560" i="45"/>
  <c r="Q1560" i="45" s="1"/>
  <c r="R1560" i="45" s="1"/>
  <c r="T1559" i="45"/>
  <c r="S1559" i="45"/>
  <c r="M1559" i="45"/>
  <c r="Q1559" i="45" s="1"/>
  <c r="R1559" i="45" s="1"/>
  <c r="T1558" i="45"/>
  <c r="S1558" i="45"/>
  <c r="M1558" i="45"/>
  <c r="Q1558" i="45" s="1"/>
  <c r="R1558" i="45" s="1"/>
  <c r="T1557" i="45"/>
  <c r="S1557" i="45"/>
  <c r="M1557" i="45"/>
  <c r="Q1557" i="45" s="1"/>
  <c r="R1557" i="45" s="1"/>
  <c r="T1556" i="45"/>
  <c r="S1556" i="45"/>
  <c r="M1556" i="45"/>
  <c r="Q1556" i="45" s="1"/>
  <c r="R1556" i="45" s="1"/>
  <c r="T1555" i="45"/>
  <c r="S1555" i="45"/>
  <c r="M1555" i="45"/>
  <c r="Q1555" i="45" s="1"/>
  <c r="R1555" i="45" s="1"/>
  <c r="T1554" i="45"/>
  <c r="S1554" i="45"/>
  <c r="M1554" i="45"/>
  <c r="Q1554" i="45" s="1"/>
  <c r="R1554" i="45" s="1"/>
  <c r="T1553" i="45"/>
  <c r="S1553" i="45"/>
  <c r="M1553" i="45"/>
  <c r="Q1553" i="45" s="1"/>
  <c r="R1553" i="45" s="1"/>
  <c r="T1552" i="45"/>
  <c r="S1552" i="45"/>
  <c r="M1552" i="45"/>
  <c r="Q1552" i="45" s="1"/>
  <c r="R1552" i="45" s="1"/>
  <c r="T1551" i="45"/>
  <c r="S1551" i="45"/>
  <c r="M1551" i="45"/>
  <c r="Q1551" i="45" s="1"/>
  <c r="R1551" i="45" s="1"/>
  <c r="T1550" i="45"/>
  <c r="S1550" i="45"/>
  <c r="M1550" i="45"/>
  <c r="Q1550" i="45" s="1"/>
  <c r="R1550" i="45" s="1"/>
  <c r="T1549" i="45"/>
  <c r="S1549" i="45"/>
  <c r="M1549" i="45"/>
  <c r="Q1549" i="45" s="1"/>
  <c r="R1549" i="45" s="1"/>
  <c r="T1548" i="45"/>
  <c r="S1548" i="45"/>
  <c r="M1548" i="45"/>
  <c r="Q1548" i="45" s="1"/>
  <c r="R1548" i="45" s="1"/>
  <c r="T1547" i="45"/>
  <c r="S1547" i="45"/>
  <c r="M1547" i="45"/>
  <c r="Q1547" i="45" s="1"/>
  <c r="R1547" i="45" s="1"/>
  <c r="T1546" i="45"/>
  <c r="S1546" i="45"/>
  <c r="M1546" i="45"/>
  <c r="Q1546" i="45" s="1"/>
  <c r="R1546" i="45" s="1"/>
  <c r="T1545" i="45"/>
  <c r="S1545" i="45"/>
  <c r="M1545" i="45"/>
  <c r="Q1545" i="45" s="1"/>
  <c r="R1545" i="45" s="1"/>
  <c r="T1544" i="45"/>
  <c r="S1544" i="45"/>
  <c r="M1544" i="45"/>
  <c r="Q1544" i="45" s="1"/>
  <c r="R1544" i="45" s="1"/>
  <c r="T1543" i="45"/>
  <c r="S1543" i="45"/>
  <c r="M1543" i="45"/>
  <c r="Q1543" i="45" s="1"/>
  <c r="R1543" i="45" s="1"/>
  <c r="T1542" i="45"/>
  <c r="S1542" i="45"/>
  <c r="M1542" i="45"/>
  <c r="Q1542" i="45" s="1"/>
  <c r="R1542" i="45" s="1"/>
  <c r="T1541" i="45"/>
  <c r="S1541" i="45"/>
  <c r="M1541" i="45"/>
  <c r="Q1541" i="45" s="1"/>
  <c r="R1541" i="45" s="1"/>
  <c r="T1540" i="45"/>
  <c r="S1540" i="45"/>
  <c r="M1540" i="45"/>
  <c r="Q1540" i="45" s="1"/>
  <c r="R1540" i="45" s="1"/>
  <c r="T1539" i="45"/>
  <c r="S1539" i="45"/>
  <c r="M1539" i="45"/>
  <c r="Q1539" i="45" s="1"/>
  <c r="R1539" i="45" s="1"/>
  <c r="T1538" i="45"/>
  <c r="S1538" i="45"/>
  <c r="M1538" i="45"/>
  <c r="Q1538" i="45" s="1"/>
  <c r="R1538" i="45" s="1"/>
  <c r="T1537" i="45"/>
  <c r="S1537" i="45"/>
  <c r="M1537" i="45"/>
  <c r="Q1537" i="45" s="1"/>
  <c r="R1537" i="45" s="1"/>
  <c r="T1536" i="45"/>
  <c r="S1536" i="45"/>
  <c r="M1536" i="45"/>
  <c r="Q1536" i="45" s="1"/>
  <c r="R1536" i="45" s="1"/>
  <c r="T1535" i="45"/>
  <c r="S1535" i="45"/>
  <c r="M1535" i="45"/>
  <c r="Q1535" i="45" s="1"/>
  <c r="R1535" i="45" s="1"/>
  <c r="T1534" i="45"/>
  <c r="S1534" i="45"/>
  <c r="M1534" i="45"/>
  <c r="Q1534" i="45" s="1"/>
  <c r="R1534" i="45" s="1"/>
  <c r="T1533" i="45"/>
  <c r="S1533" i="45"/>
  <c r="M1533" i="45"/>
  <c r="Q1533" i="45" s="1"/>
  <c r="R1533" i="45" s="1"/>
  <c r="T1532" i="45"/>
  <c r="S1532" i="45"/>
  <c r="M1532" i="45"/>
  <c r="Q1532" i="45" s="1"/>
  <c r="R1532" i="45" s="1"/>
  <c r="T1531" i="45"/>
  <c r="S1531" i="45"/>
  <c r="M1531" i="45"/>
  <c r="Q1531" i="45" s="1"/>
  <c r="R1531" i="45" s="1"/>
  <c r="T1530" i="45"/>
  <c r="S1530" i="45"/>
  <c r="M1530" i="45"/>
  <c r="Q1530" i="45" s="1"/>
  <c r="R1530" i="45" s="1"/>
  <c r="T1529" i="45"/>
  <c r="S1529" i="45"/>
  <c r="M1529" i="45"/>
  <c r="Q1529" i="45" s="1"/>
  <c r="R1529" i="45" s="1"/>
  <c r="T1528" i="45"/>
  <c r="S1528" i="45"/>
  <c r="M1528" i="45"/>
  <c r="Q1528" i="45" s="1"/>
  <c r="R1528" i="45" s="1"/>
  <c r="T1527" i="45"/>
  <c r="S1527" i="45"/>
  <c r="M1527" i="45"/>
  <c r="Q1527" i="45" s="1"/>
  <c r="R1527" i="45" s="1"/>
  <c r="T1526" i="45"/>
  <c r="S1526" i="45"/>
  <c r="M1526" i="45"/>
  <c r="Q1526" i="45" s="1"/>
  <c r="R1526" i="45" s="1"/>
  <c r="T1525" i="45"/>
  <c r="S1525" i="45"/>
  <c r="M1525" i="45"/>
  <c r="Q1525" i="45" s="1"/>
  <c r="R1525" i="45" s="1"/>
  <c r="T1524" i="45"/>
  <c r="S1524" i="45"/>
  <c r="M1524" i="45"/>
  <c r="Q1524" i="45" s="1"/>
  <c r="R1524" i="45" s="1"/>
  <c r="T1523" i="45"/>
  <c r="S1523" i="45"/>
  <c r="M1523" i="45"/>
  <c r="Q1523" i="45" s="1"/>
  <c r="R1523" i="45" s="1"/>
  <c r="T1522" i="45"/>
  <c r="S1522" i="45"/>
  <c r="M1522" i="45"/>
  <c r="Q1522" i="45" s="1"/>
  <c r="R1522" i="45" s="1"/>
  <c r="T1521" i="45"/>
  <c r="S1521" i="45"/>
  <c r="M1521" i="45"/>
  <c r="Q1521" i="45" s="1"/>
  <c r="R1521" i="45" s="1"/>
  <c r="T1520" i="45"/>
  <c r="S1520" i="45"/>
  <c r="M1520" i="45"/>
  <c r="Q1520" i="45" s="1"/>
  <c r="R1520" i="45" s="1"/>
  <c r="T1519" i="45"/>
  <c r="S1519" i="45"/>
  <c r="M1519" i="45"/>
  <c r="Q1519" i="45" s="1"/>
  <c r="R1519" i="45" s="1"/>
  <c r="T1518" i="45"/>
  <c r="S1518" i="45"/>
  <c r="M1518" i="45"/>
  <c r="Q1518" i="45" s="1"/>
  <c r="R1518" i="45" s="1"/>
  <c r="T1517" i="45"/>
  <c r="S1517" i="45"/>
  <c r="M1517" i="45"/>
  <c r="Q1517" i="45" s="1"/>
  <c r="R1517" i="45" s="1"/>
  <c r="T1516" i="45"/>
  <c r="S1516" i="45"/>
  <c r="M1516" i="45"/>
  <c r="Q1516" i="45" s="1"/>
  <c r="R1516" i="45" s="1"/>
  <c r="T1515" i="45"/>
  <c r="S1515" i="45"/>
  <c r="M1515" i="45"/>
  <c r="Q1515" i="45" s="1"/>
  <c r="R1515" i="45" s="1"/>
  <c r="T1514" i="45"/>
  <c r="S1514" i="45"/>
  <c r="M1514" i="45"/>
  <c r="Q1514" i="45" s="1"/>
  <c r="R1514" i="45" s="1"/>
  <c r="T1513" i="45"/>
  <c r="S1513" i="45"/>
  <c r="M1513" i="45"/>
  <c r="Q1513" i="45" s="1"/>
  <c r="R1513" i="45" s="1"/>
  <c r="T1512" i="45"/>
  <c r="S1512" i="45"/>
  <c r="M1512" i="45"/>
  <c r="Q1512" i="45" s="1"/>
  <c r="R1512" i="45" s="1"/>
  <c r="T1511" i="45"/>
  <c r="S1511" i="45"/>
  <c r="M1511" i="45"/>
  <c r="Q1511" i="45" s="1"/>
  <c r="R1511" i="45" s="1"/>
  <c r="T1510" i="45"/>
  <c r="S1510" i="45"/>
  <c r="M1510" i="45"/>
  <c r="Q1510" i="45" s="1"/>
  <c r="R1510" i="45" s="1"/>
  <c r="T1509" i="45"/>
  <c r="S1509" i="45"/>
  <c r="M1509" i="45"/>
  <c r="Q1509" i="45" s="1"/>
  <c r="R1509" i="45" s="1"/>
  <c r="T1508" i="45"/>
  <c r="S1508" i="45"/>
  <c r="M1508" i="45"/>
  <c r="Q1508" i="45" s="1"/>
  <c r="R1508" i="45" s="1"/>
  <c r="T1507" i="45"/>
  <c r="S1507" i="45"/>
  <c r="M1507" i="45"/>
  <c r="Q1507" i="45" s="1"/>
  <c r="R1507" i="45" s="1"/>
  <c r="T1506" i="45"/>
  <c r="S1506" i="45"/>
  <c r="M1506" i="45"/>
  <c r="Q1506" i="45" s="1"/>
  <c r="R1506" i="45" s="1"/>
  <c r="T1505" i="45"/>
  <c r="S1505" i="45"/>
  <c r="M1505" i="45"/>
  <c r="Q1505" i="45" s="1"/>
  <c r="R1505" i="45" s="1"/>
  <c r="T1504" i="45"/>
  <c r="S1504" i="45"/>
  <c r="M1504" i="45"/>
  <c r="Q1504" i="45" s="1"/>
  <c r="R1504" i="45" s="1"/>
  <c r="T1503" i="45"/>
  <c r="S1503" i="45"/>
  <c r="M1503" i="45"/>
  <c r="Q1503" i="45" s="1"/>
  <c r="R1503" i="45" s="1"/>
  <c r="T1502" i="45"/>
  <c r="S1502" i="45"/>
  <c r="M1502" i="45"/>
  <c r="Q1502" i="45" s="1"/>
  <c r="R1502" i="45" s="1"/>
  <c r="T1501" i="45"/>
  <c r="S1501" i="45"/>
  <c r="M1501" i="45"/>
  <c r="Q1501" i="45" s="1"/>
  <c r="R1501" i="45" s="1"/>
  <c r="T1500" i="45"/>
  <c r="S1500" i="45"/>
  <c r="M1500" i="45"/>
  <c r="Q1500" i="45" s="1"/>
  <c r="R1500" i="45" s="1"/>
  <c r="T1499" i="45"/>
  <c r="S1499" i="45"/>
  <c r="M1499" i="45"/>
  <c r="Q1499" i="45" s="1"/>
  <c r="R1499" i="45" s="1"/>
  <c r="T1498" i="45"/>
  <c r="S1498" i="45"/>
  <c r="M1498" i="45"/>
  <c r="Q1498" i="45" s="1"/>
  <c r="R1498" i="45" s="1"/>
  <c r="T1497" i="45"/>
  <c r="S1497" i="45"/>
  <c r="M1497" i="45"/>
  <c r="Q1497" i="45" s="1"/>
  <c r="R1497" i="45" s="1"/>
  <c r="T1496" i="45"/>
  <c r="S1496" i="45"/>
  <c r="M1496" i="45"/>
  <c r="Q1496" i="45" s="1"/>
  <c r="R1496" i="45" s="1"/>
  <c r="T1495" i="45"/>
  <c r="S1495" i="45"/>
  <c r="M1495" i="45"/>
  <c r="Q1495" i="45" s="1"/>
  <c r="R1495" i="45" s="1"/>
  <c r="T1494" i="45"/>
  <c r="S1494" i="45"/>
  <c r="M1494" i="45"/>
  <c r="Q1494" i="45" s="1"/>
  <c r="R1494" i="45" s="1"/>
  <c r="T1493" i="45"/>
  <c r="S1493" i="45"/>
  <c r="M1493" i="45"/>
  <c r="Q1493" i="45" s="1"/>
  <c r="R1493" i="45" s="1"/>
  <c r="T1492" i="45"/>
  <c r="S1492" i="45"/>
  <c r="M1492" i="45"/>
  <c r="Q1492" i="45" s="1"/>
  <c r="R1492" i="45" s="1"/>
  <c r="T1491" i="45"/>
  <c r="S1491" i="45"/>
  <c r="M1491" i="45"/>
  <c r="Q1491" i="45" s="1"/>
  <c r="R1491" i="45" s="1"/>
  <c r="T1490" i="45"/>
  <c r="S1490" i="45"/>
  <c r="M1490" i="45"/>
  <c r="Q1490" i="45" s="1"/>
  <c r="R1490" i="45" s="1"/>
  <c r="T1489" i="45"/>
  <c r="S1489" i="45"/>
  <c r="M1489" i="45"/>
  <c r="Q1489" i="45" s="1"/>
  <c r="R1489" i="45" s="1"/>
  <c r="T1488" i="45"/>
  <c r="S1488" i="45"/>
  <c r="M1488" i="45"/>
  <c r="Q1488" i="45" s="1"/>
  <c r="R1488" i="45" s="1"/>
  <c r="T1487" i="45"/>
  <c r="S1487" i="45"/>
  <c r="M1487" i="45"/>
  <c r="Q1487" i="45" s="1"/>
  <c r="R1487" i="45" s="1"/>
  <c r="T1486" i="45"/>
  <c r="S1486" i="45"/>
  <c r="M1486" i="45"/>
  <c r="Q1486" i="45" s="1"/>
  <c r="R1486" i="45" s="1"/>
  <c r="T1485" i="45"/>
  <c r="S1485" i="45"/>
  <c r="M1485" i="45"/>
  <c r="Q1485" i="45" s="1"/>
  <c r="R1485" i="45" s="1"/>
  <c r="T1484" i="45"/>
  <c r="S1484" i="45"/>
  <c r="M1484" i="45"/>
  <c r="Q1484" i="45" s="1"/>
  <c r="R1484" i="45" s="1"/>
  <c r="T1483" i="45"/>
  <c r="S1483" i="45"/>
  <c r="M1483" i="45"/>
  <c r="Q1483" i="45" s="1"/>
  <c r="R1483" i="45" s="1"/>
  <c r="T1482" i="45"/>
  <c r="S1482" i="45"/>
  <c r="M1482" i="45"/>
  <c r="Q1482" i="45" s="1"/>
  <c r="R1482" i="45" s="1"/>
  <c r="T1481" i="45"/>
  <c r="S1481" i="45"/>
  <c r="M1481" i="45"/>
  <c r="Q1481" i="45" s="1"/>
  <c r="R1481" i="45" s="1"/>
  <c r="T1480" i="45"/>
  <c r="S1480" i="45"/>
  <c r="M1480" i="45"/>
  <c r="Q1480" i="45" s="1"/>
  <c r="R1480" i="45" s="1"/>
  <c r="T1479" i="45"/>
  <c r="S1479" i="45"/>
  <c r="M1479" i="45"/>
  <c r="Q1479" i="45" s="1"/>
  <c r="R1479" i="45" s="1"/>
  <c r="T1478" i="45"/>
  <c r="S1478" i="45"/>
  <c r="M1478" i="45"/>
  <c r="Q1478" i="45" s="1"/>
  <c r="R1478" i="45" s="1"/>
  <c r="T1477" i="45"/>
  <c r="S1477" i="45"/>
  <c r="M1477" i="45"/>
  <c r="Q1477" i="45" s="1"/>
  <c r="R1477" i="45" s="1"/>
  <c r="T1476" i="45"/>
  <c r="S1476" i="45"/>
  <c r="M1476" i="45"/>
  <c r="Q1476" i="45" s="1"/>
  <c r="R1476" i="45" s="1"/>
  <c r="T1475" i="45"/>
  <c r="S1475" i="45"/>
  <c r="M1475" i="45"/>
  <c r="Q1475" i="45" s="1"/>
  <c r="R1475" i="45" s="1"/>
  <c r="T1474" i="45"/>
  <c r="S1474" i="45"/>
  <c r="M1474" i="45"/>
  <c r="Q1474" i="45" s="1"/>
  <c r="R1474" i="45" s="1"/>
  <c r="T1473" i="45"/>
  <c r="S1473" i="45"/>
  <c r="M1473" i="45"/>
  <c r="Q1473" i="45" s="1"/>
  <c r="R1473" i="45" s="1"/>
  <c r="T1472" i="45"/>
  <c r="S1472" i="45"/>
  <c r="M1472" i="45"/>
  <c r="Q1472" i="45" s="1"/>
  <c r="R1472" i="45" s="1"/>
  <c r="T1471" i="45"/>
  <c r="S1471" i="45"/>
  <c r="M1471" i="45"/>
  <c r="Q1471" i="45" s="1"/>
  <c r="R1471" i="45" s="1"/>
  <c r="T1470" i="45"/>
  <c r="S1470" i="45"/>
  <c r="M1470" i="45"/>
  <c r="Q1470" i="45" s="1"/>
  <c r="R1470" i="45" s="1"/>
  <c r="T1469" i="45"/>
  <c r="S1469" i="45"/>
  <c r="M1469" i="45"/>
  <c r="Q1469" i="45" s="1"/>
  <c r="R1469" i="45" s="1"/>
  <c r="T1468" i="45"/>
  <c r="S1468" i="45"/>
  <c r="M1468" i="45"/>
  <c r="Q1468" i="45" s="1"/>
  <c r="R1468" i="45" s="1"/>
  <c r="T1467" i="45"/>
  <c r="S1467" i="45"/>
  <c r="M1467" i="45"/>
  <c r="Q1467" i="45" s="1"/>
  <c r="R1467" i="45" s="1"/>
  <c r="T1466" i="45"/>
  <c r="S1466" i="45"/>
  <c r="M1466" i="45"/>
  <c r="Q1466" i="45" s="1"/>
  <c r="R1466" i="45" s="1"/>
  <c r="T1465" i="45"/>
  <c r="S1465" i="45"/>
  <c r="M1465" i="45"/>
  <c r="Q1465" i="45" s="1"/>
  <c r="R1465" i="45" s="1"/>
  <c r="T1464" i="45"/>
  <c r="S1464" i="45"/>
  <c r="M1464" i="45"/>
  <c r="Q1464" i="45" s="1"/>
  <c r="R1464" i="45" s="1"/>
  <c r="T1463" i="45"/>
  <c r="S1463" i="45"/>
  <c r="M1463" i="45"/>
  <c r="Q1463" i="45" s="1"/>
  <c r="R1463" i="45" s="1"/>
  <c r="T1462" i="45"/>
  <c r="S1462" i="45"/>
  <c r="M1462" i="45"/>
  <c r="Q1462" i="45" s="1"/>
  <c r="R1462" i="45" s="1"/>
  <c r="T1461" i="45"/>
  <c r="S1461" i="45"/>
  <c r="M1461" i="45"/>
  <c r="Q1461" i="45" s="1"/>
  <c r="R1461" i="45" s="1"/>
  <c r="T1460" i="45"/>
  <c r="S1460" i="45"/>
  <c r="M1460" i="45"/>
  <c r="Q1460" i="45" s="1"/>
  <c r="R1460" i="45" s="1"/>
  <c r="T1459" i="45"/>
  <c r="S1459" i="45"/>
  <c r="M1459" i="45"/>
  <c r="Q1459" i="45" s="1"/>
  <c r="R1459" i="45" s="1"/>
  <c r="T1458" i="45"/>
  <c r="S1458" i="45"/>
  <c r="M1458" i="45"/>
  <c r="Q1458" i="45" s="1"/>
  <c r="R1458" i="45" s="1"/>
  <c r="T1457" i="45"/>
  <c r="S1457" i="45"/>
  <c r="M1457" i="45"/>
  <c r="Q1457" i="45" s="1"/>
  <c r="R1457" i="45" s="1"/>
  <c r="T1456" i="45"/>
  <c r="S1456" i="45"/>
  <c r="M1456" i="45"/>
  <c r="Q1456" i="45" s="1"/>
  <c r="R1456" i="45" s="1"/>
  <c r="T1455" i="45"/>
  <c r="S1455" i="45"/>
  <c r="M1455" i="45"/>
  <c r="Q1455" i="45" s="1"/>
  <c r="R1455" i="45" s="1"/>
  <c r="T1454" i="45"/>
  <c r="S1454" i="45"/>
  <c r="M1454" i="45"/>
  <c r="Q1454" i="45" s="1"/>
  <c r="R1454" i="45" s="1"/>
  <c r="T1453" i="45"/>
  <c r="S1453" i="45"/>
  <c r="M1453" i="45"/>
  <c r="Q1453" i="45" s="1"/>
  <c r="R1453" i="45" s="1"/>
  <c r="T1452" i="45"/>
  <c r="S1452" i="45"/>
  <c r="M1452" i="45"/>
  <c r="Q1452" i="45" s="1"/>
  <c r="R1452" i="45" s="1"/>
  <c r="T1451" i="45"/>
  <c r="S1451" i="45"/>
  <c r="M1451" i="45"/>
  <c r="Q1451" i="45" s="1"/>
  <c r="R1451" i="45" s="1"/>
  <c r="T1450" i="45"/>
  <c r="S1450" i="45"/>
  <c r="M1450" i="45"/>
  <c r="Q1450" i="45" s="1"/>
  <c r="R1450" i="45" s="1"/>
  <c r="T1449" i="45"/>
  <c r="S1449" i="45"/>
  <c r="M1449" i="45"/>
  <c r="Q1449" i="45" s="1"/>
  <c r="R1449" i="45" s="1"/>
  <c r="T1448" i="45"/>
  <c r="S1448" i="45"/>
  <c r="M1448" i="45"/>
  <c r="Q1448" i="45" s="1"/>
  <c r="R1448" i="45" s="1"/>
  <c r="T1447" i="45"/>
  <c r="S1447" i="45"/>
  <c r="M1447" i="45"/>
  <c r="Q1447" i="45" s="1"/>
  <c r="R1447" i="45" s="1"/>
  <c r="T1446" i="45"/>
  <c r="S1446" i="45"/>
  <c r="M1446" i="45"/>
  <c r="Q1446" i="45" s="1"/>
  <c r="R1446" i="45" s="1"/>
  <c r="T1445" i="45"/>
  <c r="S1445" i="45"/>
  <c r="M1445" i="45"/>
  <c r="Q1445" i="45" s="1"/>
  <c r="R1445" i="45" s="1"/>
  <c r="T1444" i="45"/>
  <c r="S1444" i="45"/>
  <c r="M1444" i="45"/>
  <c r="Q1444" i="45" s="1"/>
  <c r="R1444" i="45" s="1"/>
  <c r="T1443" i="45"/>
  <c r="S1443" i="45"/>
  <c r="M1443" i="45"/>
  <c r="Q1443" i="45" s="1"/>
  <c r="R1443" i="45" s="1"/>
  <c r="T1442" i="45"/>
  <c r="S1442" i="45"/>
  <c r="M1442" i="45"/>
  <c r="Q1442" i="45" s="1"/>
  <c r="R1442" i="45" s="1"/>
  <c r="T1441" i="45"/>
  <c r="S1441" i="45"/>
  <c r="M1441" i="45"/>
  <c r="Q1441" i="45" s="1"/>
  <c r="R1441" i="45" s="1"/>
  <c r="T1440" i="45"/>
  <c r="S1440" i="45"/>
  <c r="M1440" i="45"/>
  <c r="Q1440" i="45" s="1"/>
  <c r="R1440" i="45" s="1"/>
  <c r="T1439" i="45"/>
  <c r="S1439" i="45"/>
  <c r="M1439" i="45"/>
  <c r="Q1439" i="45" s="1"/>
  <c r="R1439" i="45" s="1"/>
  <c r="T1438" i="45"/>
  <c r="S1438" i="45"/>
  <c r="M1438" i="45"/>
  <c r="Q1438" i="45" s="1"/>
  <c r="R1438" i="45" s="1"/>
  <c r="T1437" i="45"/>
  <c r="S1437" i="45"/>
  <c r="M1437" i="45"/>
  <c r="Q1437" i="45" s="1"/>
  <c r="R1437" i="45" s="1"/>
  <c r="T1436" i="45"/>
  <c r="S1436" i="45"/>
  <c r="M1436" i="45"/>
  <c r="Q1436" i="45" s="1"/>
  <c r="R1436" i="45" s="1"/>
  <c r="T1435" i="45"/>
  <c r="S1435" i="45"/>
  <c r="M1435" i="45"/>
  <c r="Q1435" i="45" s="1"/>
  <c r="R1435" i="45" s="1"/>
  <c r="T1434" i="45"/>
  <c r="S1434" i="45"/>
  <c r="M1434" i="45"/>
  <c r="Q1434" i="45" s="1"/>
  <c r="R1434" i="45" s="1"/>
  <c r="T1433" i="45"/>
  <c r="S1433" i="45"/>
  <c r="M1433" i="45"/>
  <c r="Q1433" i="45" s="1"/>
  <c r="R1433" i="45" s="1"/>
  <c r="T1432" i="45"/>
  <c r="S1432" i="45"/>
  <c r="M1432" i="45"/>
  <c r="Q1432" i="45" s="1"/>
  <c r="R1432" i="45" s="1"/>
  <c r="T1431" i="45"/>
  <c r="S1431" i="45"/>
  <c r="M1431" i="45"/>
  <c r="Q1431" i="45" s="1"/>
  <c r="R1431" i="45" s="1"/>
  <c r="T1430" i="45"/>
  <c r="S1430" i="45"/>
  <c r="M1430" i="45"/>
  <c r="Q1430" i="45" s="1"/>
  <c r="R1430" i="45" s="1"/>
  <c r="T1429" i="45"/>
  <c r="S1429" i="45"/>
  <c r="M1429" i="45"/>
  <c r="Q1429" i="45" s="1"/>
  <c r="R1429" i="45" s="1"/>
  <c r="T1428" i="45"/>
  <c r="S1428" i="45"/>
  <c r="M1428" i="45"/>
  <c r="Q1428" i="45" s="1"/>
  <c r="R1428" i="45" s="1"/>
  <c r="T1427" i="45"/>
  <c r="S1427" i="45"/>
  <c r="M1427" i="45"/>
  <c r="Q1427" i="45" s="1"/>
  <c r="R1427" i="45" s="1"/>
  <c r="T1426" i="45"/>
  <c r="S1426" i="45"/>
  <c r="M1426" i="45"/>
  <c r="Q1426" i="45" s="1"/>
  <c r="R1426" i="45" s="1"/>
  <c r="T1425" i="45"/>
  <c r="S1425" i="45"/>
  <c r="M1425" i="45"/>
  <c r="Q1425" i="45" s="1"/>
  <c r="R1425" i="45" s="1"/>
  <c r="T1424" i="45"/>
  <c r="S1424" i="45"/>
  <c r="M1424" i="45"/>
  <c r="Q1424" i="45" s="1"/>
  <c r="R1424" i="45" s="1"/>
  <c r="T1423" i="45"/>
  <c r="S1423" i="45"/>
  <c r="M1423" i="45"/>
  <c r="Q1423" i="45" s="1"/>
  <c r="R1423" i="45" s="1"/>
  <c r="T1422" i="45"/>
  <c r="S1422" i="45"/>
  <c r="M1422" i="45"/>
  <c r="Q1422" i="45" s="1"/>
  <c r="R1422" i="45" s="1"/>
  <c r="T1421" i="45"/>
  <c r="S1421" i="45"/>
  <c r="M1421" i="45"/>
  <c r="Q1421" i="45" s="1"/>
  <c r="R1421" i="45" s="1"/>
  <c r="T1420" i="45"/>
  <c r="S1420" i="45"/>
  <c r="M1420" i="45"/>
  <c r="Q1420" i="45" s="1"/>
  <c r="R1420" i="45" s="1"/>
  <c r="T1419" i="45"/>
  <c r="S1419" i="45"/>
  <c r="M1419" i="45"/>
  <c r="Q1419" i="45" s="1"/>
  <c r="R1419" i="45" s="1"/>
  <c r="T1418" i="45"/>
  <c r="S1418" i="45"/>
  <c r="M1418" i="45"/>
  <c r="Q1418" i="45" s="1"/>
  <c r="R1418" i="45" s="1"/>
  <c r="T1417" i="45"/>
  <c r="S1417" i="45"/>
  <c r="M1417" i="45"/>
  <c r="Q1417" i="45" s="1"/>
  <c r="R1417" i="45" s="1"/>
  <c r="T1416" i="45"/>
  <c r="S1416" i="45"/>
  <c r="M1416" i="45"/>
  <c r="Q1416" i="45" s="1"/>
  <c r="R1416" i="45" s="1"/>
  <c r="T1415" i="45"/>
  <c r="S1415" i="45"/>
  <c r="M1415" i="45"/>
  <c r="Q1415" i="45" s="1"/>
  <c r="R1415" i="45" s="1"/>
  <c r="T1414" i="45"/>
  <c r="S1414" i="45"/>
  <c r="M1414" i="45"/>
  <c r="Q1414" i="45" s="1"/>
  <c r="R1414" i="45" s="1"/>
  <c r="T1413" i="45"/>
  <c r="S1413" i="45"/>
  <c r="M1413" i="45"/>
  <c r="Q1413" i="45" s="1"/>
  <c r="R1413" i="45" s="1"/>
  <c r="T1412" i="45"/>
  <c r="S1412" i="45"/>
  <c r="M1412" i="45"/>
  <c r="Q1412" i="45" s="1"/>
  <c r="R1412" i="45" s="1"/>
  <c r="T1411" i="45"/>
  <c r="S1411" i="45"/>
  <c r="M1411" i="45"/>
  <c r="Q1411" i="45" s="1"/>
  <c r="R1411" i="45" s="1"/>
  <c r="T1410" i="45"/>
  <c r="S1410" i="45"/>
  <c r="M1410" i="45"/>
  <c r="Q1410" i="45" s="1"/>
  <c r="R1410" i="45" s="1"/>
  <c r="T1409" i="45"/>
  <c r="S1409" i="45"/>
  <c r="M1409" i="45"/>
  <c r="Q1409" i="45" s="1"/>
  <c r="R1409" i="45" s="1"/>
  <c r="T1408" i="45"/>
  <c r="S1408" i="45"/>
  <c r="M1408" i="45"/>
  <c r="Q1408" i="45" s="1"/>
  <c r="R1408" i="45" s="1"/>
  <c r="T1407" i="45"/>
  <c r="S1407" i="45"/>
  <c r="M1407" i="45"/>
  <c r="Q1407" i="45" s="1"/>
  <c r="R1407" i="45" s="1"/>
  <c r="T1406" i="45"/>
  <c r="S1406" i="45"/>
  <c r="M1406" i="45"/>
  <c r="Q1406" i="45" s="1"/>
  <c r="R1406" i="45" s="1"/>
  <c r="T1405" i="45"/>
  <c r="S1405" i="45"/>
  <c r="M1405" i="45"/>
  <c r="Q1405" i="45" s="1"/>
  <c r="R1405" i="45" s="1"/>
  <c r="T1404" i="45"/>
  <c r="S1404" i="45"/>
  <c r="M1404" i="45"/>
  <c r="Q1404" i="45" s="1"/>
  <c r="R1404" i="45" s="1"/>
  <c r="T1403" i="45"/>
  <c r="S1403" i="45"/>
  <c r="M1403" i="45"/>
  <c r="Q1403" i="45" s="1"/>
  <c r="R1403" i="45" s="1"/>
  <c r="T1402" i="45"/>
  <c r="S1402" i="45"/>
  <c r="M1402" i="45"/>
  <c r="Q1402" i="45" s="1"/>
  <c r="R1402" i="45" s="1"/>
  <c r="T1401" i="45"/>
  <c r="S1401" i="45"/>
  <c r="M1401" i="45"/>
  <c r="Q1401" i="45" s="1"/>
  <c r="R1401" i="45" s="1"/>
  <c r="T1400" i="45"/>
  <c r="S1400" i="45"/>
  <c r="M1400" i="45"/>
  <c r="Q1400" i="45" s="1"/>
  <c r="R1400" i="45" s="1"/>
  <c r="T1399" i="45"/>
  <c r="S1399" i="45"/>
  <c r="M1399" i="45"/>
  <c r="Q1399" i="45" s="1"/>
  <c r="R1399" i="45" s="1"/>
  <c r="T1398" i="45"/>
  <c r="S1398" i="45"/>
  <c r="M1398" i="45"/>
  <c r="Q1398" i="45" s="1"/>
  <c r="R1398" i="45" s="1"/>
  <c r="T1397" i="45"/>
  <c r="S1397" i="45"/>
  <c r="M1397" i="45"/>
  <c r="Q1397" i="45" s="1"/>
  <c r="R1397" i="45" s="1"/>
  <c r="T1396" i="45"/>
  <c r="S1396" i="45"/>
  <c r="M1396" i="45"/>
  <c r="Q1396" i="45" s="1"/>
  <c r="R1396" i="45" s="1"/>
  <c r="T1395" i="45"/>
  <c r="S1395" i="45"/>
  <c r="M1395" i="45"/>
  <c r="Q1395" i="45" s="1"/>
  <c r="R1395" i="45" s="1"/>
  <c r="T1394" i="45"/>
  <c r="S1394" i="45"/>
  <c r="M1394" i="45"/>
  <c r="Q1394" i="45" s="1"/>
  <c r="R1394" i="45" s="1"/>
  <c r="T1393" i="45"/>
  <c r="S1393" i="45"/>
  <c r="M1393" i="45"/>
  <c r="Q1393" i="45" s="1"/>
  <c r="R1393" i="45" s="1"/>
  <c r="T1392" i="45"/>
  <c r="S1392" i="45"/>
  <c r="M1392" i="45"/>
  <c r="Q1392" i="45" s="1"/>
  <c r="R1392" i="45" s="1"/>
  <c r="T1391" i="45"/>
  <c r="S1391" i="45"/>
  <c r="M1391" i="45"/>
  <c r="Q1391" i="45" s="1"/>
  <c r="R1391" i="45" s="1"/>
  <c r="T1390" i="45"/>
  <c r="S1390" i="45"/>
  <c r="M1390" i="45"/>
  <c r="Q1390" i="45" s="1"/>
  <c r="R1390" i="45" s="1"/>
  <c r="T1389" i="45"/>
  <c r="S1389" i="45"/>
  <c r="M1389" i="45"/>
  <c r="Q1389" i="45" s="1"/>
  <c r="R1389" i="45" s="1"/>
  <c r="T1388" i="45"/>
  <c r="S1388" i="45"/>
  <c r="M1388" i="45"/>
  <c r="Q1388" i="45" s="1"/>
  <c r="R1388" i="45" s="1"/>
  <c r="T1387" i="45"/>
  <c r="S1387" i="45"/>
  <c r="M1387" i="45"/>
  <c r="Q1387" i="45" s="1"/>
  <c r="R1387" i="45" s="1"/>
  <c r="T1386" i="45"/>
  <c r="S1386" i="45"/>
  <c r="M1386" i="45"/>
  <c r="Q1386" i="45" s="1"/>
  <c r="R1386" i="45" s="1"/>
  <c r="T1385" i="45"/>
  <c r="S1385" i="45"/>
  <c r="M1385" i="45"/>
  <c r="Q1385" i="45" s="1"/>
  <c r="R1385" i="45" s="1"/>
  <c r="T1384" i="45"/>
  <c r="S1384" i="45"/>
  <c r="M1384" i="45"/>
  <c r="Q1384" i="45" s="1"/>
  <c r="R1384" i="45" s="1"/>
  <c r="T1383" i="45"/>
  <c r="S1383" i="45"/>
  <c r="M1383" i="45"/>
  <c r="Q1383" i="45" s="1"/>
  <c r="R1383" i="45" s="1"/>
  <c r="T1382" i="45"/>
  <c r="S1382" i="45"/>
  <c r="M1382" i="45"/>
  <c r="Q1382" i="45" s="1"/>
  <c r="R1382" i="45" s="1"/>
  <c r="T1381" i="45"/>
  <c r="S1381" i="45"/>
  <c r="M1381" i="45"/>
  <c r="Q1381" i="45" s="1"/>
  <c r="R1381" i="45" s="1"/>
  <c r="T1380" i="45"/>
  <c r="S1380" i="45"/>
  <c r="M1380" i="45"/>
  <c r="Q1380" i="45" s="1"/>
  <c r="R1380" i="45" s="1"/>
  <c r="T1379" i="45"/>
  <c r="S1379" i="45"/>
  <c r="M1379" i="45"/>
  <c r="Q1379" i="45" s="1"/>
  <c r="R1379" i="45" s="1"/>
  <c r="T1378" i="45"/>
  <c r="S1378" i="45"/>
  <c r="M1378" i="45"/>
  <c r="Q1378" i="45" s="1"/>
  <c r="R1378" i="45" s="1"/>
  <c r="T1377" i="45"/>
  <c r="S1377" i="45"/>
  <c r="M1377" i="45"/>
  <c r="Q1377" i="45" s="1"/>
  <c r="R1377" i="45" s="1"/>
  <c r="T1376" i="45"/>
  <c r="S1376" i="45"/>
  <c r="M1376" i="45"/>
  <c r="Q1376" i="45" s="1"/>
  <c r="R1376" i="45" s="1"/>
  <c r="T1375" i="45"/>
  <c r="S1375" i="45"/>
  <c r="M1375" i="45"/>
  <c r="Q1375" i="45" s="1"/>
  <c r="R1375" i="45" s="1"/>
  <c r="T1374" i="45"/>
  <c r="S1374" i="45"/>
  <c r="M1374" i="45"/>
  <c r="Q1374" i="45" s="1"/>
  <c r="R1374" i="45" s="1"/>
  <c r="T1373" i="45"/>
  <c r="S1373" i="45"/>
  <c r="M1373" i="45"/>
  <c r="Q1373" i="45" s="1"/>
  <c r="R1373" i="45" s="1"/>
  <c r="T1372" i="45"/>
  <c r="S1372" i="45"/>
  <c r="M1372" i="45"/>
  <c r="Q1372" i="45" s="1"/>
  <c r="R1372" i="45" s="1"/>
  <c r="T1371" i="45"/>
  <c r="S1371" i="45"/>
  <c r="M1371" i="45"/>
  <c r="Q1371" i="45" s="1"/>
  <c r="R1371" i="45" s="1"/>
  <c r="T1370" i="45"/>
  <c r="S1370" i="45"/>
  <c r="M1370" i="45"/>
  <c r="Q1370" i="45" s="1"/>
  <c r="R1370" i="45" s="1"/>
  <c r="T1369" i="45"/>
  <c r="S1369" i="45"/>
  <c r="M1369" i="45"/>
  <c r="Q1369" i="45" s="1"/>
  <c r="R1369" i="45" s="1"/>
  <c r="T1368" i="45"/>
  <c r="S1368" i="45"/>
  <c r="M1368" i="45"/>
  <c r="Q1368" i="45" s="1"/>
  <c r="R1368" i="45" s="1"/>
  <c r="T1367" i="45"/>
  <c r="S1367" i="45"/>
  <c r="M1367" i="45"/>
  <c r="Q1367" i="45" s="1"/>
  <c r="R1367" i="45" s="1"/>
  <c r="T1366" i="45"/>
  <c r="S1366" i="45"/>
  <c r="M1366" i="45"/>
  <c r="Q1366" i="45" s="1"/>
  <c r="R1366" i="45" s="1"/>
  <c r="T1365" i="45"/>
  <c r="S1365" i="45"/>
  <c r="M1365" i="45"/>
  <c r="Q1365" i="45" s="1"/>
  <c r="R1365" i="45" s="1"/>
  <c r="T1364" i="45"/>
  <c r="S1364" i="45"/>
  <c r="M1364" i="45"/>
  <c r="Q1364" i="45" s="1"/>
  <c r="R1364" i="45" s="1"/>
  <c r="T1363" i="45"/>
  <c r="S1363" i="45"/>
  <c r="M1363" i="45"/>
  <c r="Q1363" i="45" s="1"/>
  <c r="R1363" i="45" s="1"/>
  <c r="T1362" i="45"/>
  <c r="S1362" i="45"/>
  <c r="M1362" i="45"/>
  <c r="Q1362" i="45" s="1"/>
  <c r="R1362" i="45" s="1"/>
  <c r="T1361" i="45"/>
  <c r="S1361" i="45"/>
  <c r="M1361" i="45"/>
  <c r="Q1361" i="45" s="1"/>
  <c r="R1361" i="45" s="1"/>
  <c r="T1360" i="45"/>
  <c r="S1360" i="45"/>
  <c r="M1360" i="45"/>
  <c r="Q1360" i="45" s="1"/>
  <c r="R1360" i="45" s="1"/>
  <c r="T1359" i="45"/>
  <c r="S1359" i="45"/>
  <c r="M1359" i="45"/>
  <c r="Q1359" i="45" s="1"/>
  <c r="R1359" i="45" s="1"/>
  <c r="T1358" i="45"/>
  <c r="S1358" i="45"/>
  <c r="M1358" i="45"/>
  <c r="Q1358" i="45" s="1"/>
  <c r="R1358" i="45" s="1"/>
  <c r="T1357" i="45"/>
  <c r="S1357" i="45"/>
  <c r="M1357" i="45"/>
  <c r="Q1357" i="45" s="1"/>
  <c r="R1357" i="45" s="1"/>
  <c r="T1356" i="45"/>
  <c r="S1356" i="45"/>
  <c r="M1356" i="45"/>
  <c r="Q1356" i="45" s="1"/>
  <c r="R1356" i="45" s="1"/>
  <c r="T1355" i="45"/>
  <c r="S1355" i="45"/>
  <c r="M1355" i="45"/>
  <c r="Q1355" i="45" s="1"/>
  <c r="R1355" i="45" s="1"/>
  <c r="T1354" i="45"/>
  <c r="S1354" i="45"/>
  <c r="M1354" i="45"/>
  <c r="Q1354" i="45" s="1"/>
  <c r="R1354" i="45" s="1"/>
  <c r="T1353" i="45"/>
  <c r="S1353" i="45"/>
  <c r="M1353" i="45"/>
  <c r="Q1353" i="45" s="1"/>
  <c r="R1353" i="45" s="1"/>
  <c r="T1352" i="45"/>
  <c r="S1352" i="45"/>
  <c r="M1352" i="45"/>
  <c r="Q1352" i="45" s="1"/>
  <c r="R1352" i="45" s="1"/>
  <c r="T1351" i="45"/>
  <c r="S1351" i="45"/>
  <c r="M1351" i="45"/>
  <c r="Q1351" i="45" s="1"/>
  <c r="R1351" i="45" s="1"/>
  <c r="T1350" i="45"/>
  <c r="S1350" i="45"/>
  <c r="M1350" i="45"/>
  <c r="Q1350" i="45" s="1"/>
  <c r="R1350" i="45" s="1"/>
  <c r="T1349" i="45"/>
  <c r="S1349" i="45"/>
  <c r="M1349" i="45"/>
  <c r="Q1349" i="45" s="1"/>
  <c r="R1349" i="45" s="1"/>
  <c r="T1348" i="45"/>
  <c r="S1348" i="45"/>
  <c r="M1348" i="45"/>
  <c r="Q1348" i="45" s="1"/>
  <c r="R1348" i="45" s="1"/>
  <c r="T1347" i="45"/>
  <c r="S1347" i="45"/>
  <c r="M1347" i="45"/>
  <c r="Q1347" i="45" s="1"/>
  <c r="R1347" i="45" s="1"/>
  <c r="T1346" i="45"/>
  <c r="S1346" i="45"/>
  <c r="M1346" i="45"/>
  <c r="Q1346" i="45" s="1"/>
  <c r="R1346" i="45" s="1"/>
  <c r="T1345" i="45"/>
  <c r="S1345" i="45"/>
  <c r="M1345" i="45"/>
  <c r="Q1345" i="45" s="1"/>
  <c r="R1345" i="45" s="1"/>
  <c r="T1344" i="45"/>
  <c r="S1344" i="45"/>
  <c r="M1344" i="45"/>
  <c r="Q1344" i="45" s="1"/>
  <c r="R1344" i="45" s="1"/>
  <c r="T1343" i="45"/>
  <c r="S1343" i="45"/>
  <c r="M1343" i="45"/>
  <c r="Q1343" i="45" s="1"/>
  <c r="R1343" i="45" s="1"/>
  <c r="T1342" i="45"/>
  <c r="S1342" i="45"/>
  <c r="M1342" i="45"/>
  <c r="Q1342" i="45" s="1"/>
  <c r="R1342" i="45" s="1"/>
  <c r="T1341" i="45"/>
  <c r="S1341" i="45"/>
  <c r="M1341" i="45"/>
  <c r="Q1341" i="45" s="1"/>
  <c r="R1341" i="45" s="1"/>
  <c r="T1340" i="45"/>
  <c r="S1340" i="45"/>
  <c r="M1340" i="45"/>
  <c r="Q1340" i="45" s="1"/>
  <c r="R1340" i="45" s="1"/>
  <c r="T1339" i="45"/>
  <c r="S1339" i="45"/>
  <c r="M1339" i="45"/>
  <c r="Q1339" i="45" s="1"/>
  <c r="R1339" i="45" s="1"/>
  <c r="T1338" i="45"/>
  <c r="S1338" i="45"/>
  <c r="M1338" i="45"/>
  <c r="Q1338" i="45" s="1"/>
  <c r="R1338" i="45" s="1"/>
  <c r="T1337" i="45"/>
  <c r="S1337" i="45"/>
  <c r="M1337" i="45"/>
  <c r="Q1337" i="45" s="1"/>
  <c r="R1337" i="45" s="1"/>
  <c r="T1336" i="45"/>
  <c r="S1336" i="45"/>
  <c r="M1336" i="45"/>
  <c r="Q1336" i="45" s="1"/>
  <c r="R1336" i="45" s="1"/>
  <c r="T1335" i="45"/>
  <c r="S1335" i="45"/>
  <c r="M1335" i="45"/>
  <c r="Q1335" i="45" s="1"/>
  <c r="R1335" i="45" s="1"/>
  <c r="T1334" i="45"/>
  <c r="S1334" i="45"/>
  <c r="M1334" i="45"/>
  <c r="Q1334" i="45" s="1"/>
  <c r="R1334" i="45" s="1"/>
  <c r="T1333" i="45"/>
  <c r="S1333" i="45"/>
  <c r="M1333" i="45"/>
  <c r="Q1333" i="45" s="1"/>
  <c r="R1333" i="45" s="1"/>
  <c r="T1332" i="45"/>
  <c r="S1332" i="45"/>
  <c r="M1332" i="45"/>
  <c r="Q1332" i="45" s="1"/>
  <c r="R1332" i="45" s="1"/>
  <c r="T1331" i="45"/>
  <c r="S1331" i="45"/>
  <c r="M1331" i="45"/>
  <c r="Q1331" i="45" s="1"/>
  <c r="R1331" i="45" s="1"/>
  <c r="T1330" i="45"/>
  <c r="S1330" i="45"/>
  <c r="M1330" i="45"/>
  <c r="Q1330" i="45" s="1"/>
  <c r="R1330" i="45" s="1"/>
  <c r="T1329" i="45"/>
  <c r="S1329" i="45"/>
  <c r="M1329" i="45"/>
  <c r="Q1329" i="45" s="1"/>
  <c r="R1329" i="45" s="1"/>
  <c r="T1328" i="45"/>
  <c r="S1328" i="45"/>
  <c r="M1328" i="45"/>
  <c r="Q1328" i="45" s="1"/>
  <c r="R1328" i="45" s="1"/>
  <c r="T1327" i="45"/>
  <c r="S1327" i="45"/>
  <c r="M1327" i="45"/>
  <c r="Q1327" i="45" s="1"/>
  <c r="R1327" i="45" s="1"/>
  <c r="T1326" i="45"/>
  <c r="S1326" i="45"/>
  <c r="M1326" i="45"/>
  <c r="Q1326" i="45" s="1"/>
  <c r="R1326" i="45" s="1"/>
  <c r="T1325" i="45"/>
  <c r="S1325" i="45"/>
  <c r="M1325" i="45"/>
  <c r="Q1325" i="45" s="1"/>
  <c r="R1325" i="45" s="1"/>
  <c r="T1324" i="45"/>
  <c r="S1324" i="45"/>
  <c r="M1324" i="45"/>
  <c r="Q1324" i="45" s="1"/>
  <c r="R1324" i="45" s="1"/>
  <c r="T1323" i="45"/>
  <c r="S1323" i="45"/>
  <c r="M1323" i="45"/>
  <c r="Q1323" i="45" s="1"/>
  <c r="R1323" i="45" s="1"/>
  <c r="T1322" i="45"/>
  <c r="S1322" i="45"/>
  <c r="M1322" i="45"/>
  <c r="Q1322" i="45" s="1"/>
  <c r="R1322" i="45" s="1"/>
  <c r="T1321" i="45"/>
  <c r="S1321" i="45"/>
  <c r="M1321" i="45"/>
  <c r="Q1321" i="45" s="1"/>
  <c r="R1321" i="45" s="1"/>
  <c r="T1320" i="45"/>
  <c r="S1320" i="45"/>
  <c r="M1320" i="45"/>
  <c r="Q1320" i="45" s="1"/>
  <c r="R1320" i="45" s="1"/>
  <c r="T1319" i="45"/>
  <c r="S1319" i="45"/>
  <c r="M1319" i="45"/>
  <c r="Q1319" i="45" s="1"/>
  <c r="R1319" i="45" s="1"/>
  <c r="T1318" i="45"/>
  <c r="S1318" i="45"/>
  <c r="M1318" i="45"/>
  <c r="Q1318" i="45" s="1"/>
  <c r="R1318" i="45" s="1"/>
  <c r="T1317" i="45"/>
  <c r="S1317" i="45"/>
  <c r="M1317" i="45"/>
  <c r="Q1317" i="45" s="1"/>
  <c r="R1317" i="45" s="1"/>
  <c r="T1316" i="45"/>
  <c r="S1316" i="45"/>
  <c r="M1316" i="45"/>
  <c r="Q1316" i="45" s="1"/>
  <c r="R1316" i="45" s="1"/>
  <c r="T1315" i="45"/>
  <c r="S1315" i="45"/>
  <c r="M1315" i="45"/>
  <c r="Q1315" i="45" s="1"/>
  <c r="R1315" i="45" s="1"/>
  <c r="T1314" i="45"/>
  <c r="S1314" i="45"/>
  <c r="M1314" i="45"/>
  <c r="Q1314" i="45" s="1"/>
  <c r="R1314" i="45" s="1"/>
  <c r="T1313" i="45"/>
  <c r="S1313" i="45"/>
  <c r="M1313" i="45"/>
  <c r="Q1313" i="45" s="1"/>
  <c r="R1313" i="45" s="1"/>
  <c r="T1312" i="45"/>
  <c r="S1312" i="45"/>
  <c r="M1312" i="45"/>
  <c r="Q1312" i="45" s="1"/>
  <c r="R1312" i="45" s="1"/>
  <c r="T1311" i="45"/>
  <c r="S1311" i="45"/>
  <c r="M1311" i="45"/>
  <c r="Q1311" i="45" s="1"/>
  <c r="R1311" i="45" s="1"/>
  <c r="T1310" i="45"/>
  <c r="S1310" i="45"/>
  <c r="M1310" i="45"/>
  <c r="Q1310" i="45" s="1"/>
  <c r="R1310" i="45" s="1"/>
  <c r="T1309" i="45"/>
  <c r="S1309" i="45"/>
  <c r="M1309" i="45"/>
  <c r="Q1309" i="45" s="1"/>
  <c r="R1309" i="45" s="1"/>
  <c r="T1308" i="45"/>
  <c r="S1308" i="45"/>
  <c r="M1308" i="45"/>
  <c r="Q1308" i="45" s="1"/>
  <c r="R1308" i="45" s="1"/>
  <c r="T1307" i="45"/>
  <c r="S1307" i="45"/>
  <c r="M1307" i="45"/>
  <c r="Q1307" i="45" s="1"/>
  <c r="R1307" i="45" s="1"/>
  <c r="T1306" i="45"/>
  <c r="S1306" i="45"/>
  <c r="M1306" i="45"/>
  <c r="Q1306" i="45" s="1"/>
  <c r="R1306" i="45" s="1"/>
  <c r="T1305" i="45"/>
  <c r="S1305" i="45"/>
  <c r="M1305" i="45"/>
  <c r="Q1305" i="45" s="1"/>
  <c r="R1305" i="45" s="1"/>
  <c r="T1304" i="45"/>
  <c r="S1304" i="45"/>
  <c r="M1304" i="45"/>
  <c r="Q1304" i="45" s="1"/>
  <c r="R1304" i="45" s="1"/>
  <c r="T1303" i="45"/>
  <c r="S1303" i="45"/>
  <c r="M1303" i="45"/>
  <c r="Q1303" i="45" s="1"/>
  <c r="R1303" i="45" s="1"/>
  <c r="T1302" i="45"/>
  <c r="S1302" i="45"/>
  <c r="M1302" i="45"/>
  <c r="Q1302" i="45" s="1"/>
  <c r="R1302" i="45" s="1"/>
  <c r="T1301" i="45"/>
  <c r="S1301" i="45"/>
  <c r="M1301" i="45"/>
  <c r="Q1301" i="45" s="1"/>
  <c r="R1301" i="45" s="1"/>
  <c r="T1300" i="45"/>
  <c r="S1300" i="45"/>
  <c r="M1300" i="45"/>
  <c r="Q1300" i="45" s="1"/>
  <c r="R1300" i="45" s="1"/>
  <c r="T1299" i="45"/>
  <c r="S1299" i="45"/>
  <c r="M1299" i="45"/>
  <c r="Q1299" i="45" s="1"/>
  <c r="R1299" i="45" s="1"/>
  <c r="T1298" i="45"/>
  <c r="S1298" i="45"/>
  <c r="M1298" i="45"/>
  <c r="Q1298" i="45" s="1"/>
  <c r="R1298" i="45" s="1"/>
  <c r="T1297" i="45"/>
  <c r="S1297" i="45"/>
  <c r="M1297" i="45"/>
  <c r="Q1297" i="45" s="1"/>
  <c r="R1297" i="45" s="1"/>
  <c r="T1296" i="45"/>
  <c r="S1296" i="45"/>
  <c r="M1296" i="45"/>
  <c r="Q1296" i="45" s="1"/>
  <c r="R1296" i="45" s="1"/>
  <c r="T1295" i="45"/>
  <c r="S1295" i="45"/>
  <c r="M1295" i="45"/>
  <c r="Q1295" i="45" s="1"/>
  <c r="R1295" i="45" s="1"/>
  <c r="T1294" i="45"/>
  <c r="S1294" i="45"/>
  <c r="M1294" i="45"/>
  <c r="Q1294" i="45" s="1"/>
  <c r="R1294" i="45" s="1"/>
  <c r="T1293" i="45"/>
  <c r="S1293" i="45"/>
  <c r="M1293" i="45"/>
  <c r="Q1293" i="45" s="1"/>
  <c r="R1293" i="45" s="1"/>
  <c r="T1292" i="45"/>
  <c r="S1292" i="45"/>
  <c r="M1292" i="45"/>
  <c r="Q1292" i="45" s="1"/>
  <c r="R1292" i="45" s="1"/>
  <c r="T1291" i="45"/>
  <c r="S1291" i="45"/>
  <c r="M1291" i="45"/>
  <c r="Q1291" i="45" s="1"/>
  <c r="R1291" i="45" s="1"/>
  <c r="T1290" i="45"/>
  <c r="S1290" i="45"/>
  <c r="M1290" i="45"/>
  <c r="Q1290" i="45" s="1"/>
  <c r="R1290" i="45" s="1"/>
  <c r="T1289" i="45"/>
  <c r="S1289" i="45"/>
  <c r="M1289" i="45"/>
  <c r="Q1289" i="45" s="1"/>
  <c r="R1289" i="45" s="1"/>
  <c r="T1288" i="45"/>
  <c r="S1288" i="45"/>
  <c r="M1288" i="45"/>
  <c r="Q1288" i="45" s="1"/>
  <c r="R1288" i="45" s="1"/>
  <c r="T1287" i="45"/>
  <c r="S1287" i="45"/>
  <c r="M1287" i="45"/>
  <c r="Q1287" i="45" s="1"/>
  <c r="R1287" i="45" s="1"/>
  <c r="T1286" i="45"/>
  <c r="S1286" i="45"/>
  <c r="M1286" i="45"/>
  <c r="Q1286" i="45" s="1"/>
  <c r="R1286" i="45" s="1"/>
  <c r="T1285" i="45"/>
  <c r="S1285" i="45"/>
  <c r="M1285" i="45"/>
  <c r="Q1285" i="45" s="1"/>
  <c r="R1285" i="45" s="1"/>
  <c r="T1284" i="45"/>
  <c r="S1284" i="45"/>
  <c r="M1284" i="45"/>
  <c r="Q1284" i="45" s="1"/>
  <c r="R1284" i="45" s="1"/>
  <c r="T1283" i="45"/>
  <c r="S1283" i="45"/>
  <c r="M1283" i="45"/>
  <c r="Q1283" i="45" s="1"/>
  <c r="R1283" i="45" s="1"/>
  <c r="T1282" i="45"/>
  <c r="S1282" i="45"/>
  <c r="M1282" i="45"/>
  <c r="Q1282" i="45" s="1"/>
  <c r="R1282" i="45" s="1"/>
  <c r="T1281" i="45"/>
  <c r="S1281" i="45"/>
  <c r="M1281" i="45"/>
  <c r="Q1281" i="45" s="1"/>
  <c r="R1281" i="45" s="1"/>
  <c r="T1280" i="45"/>
  <c r="S1280" i="45"/>
  <c r="M1280" i="45"/>
  <c r="Q1280" i="45" s="1"/>
  <c r="R1280" i="45" s="1"/>
  <c r="T1279" i="45"/>
  <c r="S1279" i="45"/>
  <c r="M1279" i="45"/>
  <c r="Q1279" i="45" s="1"/>
  <c r="R1279" i="45" s="1"/>
  <c r="T1278" i="45"/>
  <c r="S1278" i="45"/>
  <c r="M1278" i="45"/>
  <c r="Q1278" i="45" s="1"/>
  <c r="R1278" i="45" s="1"/>
  <c r="T1277" i="45"/>
  <c r="S1277" i="45"/>
  <c r="M1277" i="45"/>
  <c r="Q1277" i="45" s="1"/>
  <c r="R1277" i="45" s="1"/>
  <c r="T1276" i="45"/>
  <c r="S1276" i="45"/>
  <c r="M1276" i="45"/>
  <c r="Q1276" i="45" s="1"/>
  <c r="R1276" i="45" s="1"/>
  <c r="T1275" i="45"/>
  <c r="S1275" i="45"/>
  <c r="M1275" i="45"/>
  <c r="Q1275" i="45" s="1"/>
  <c r="R1275" i="45" s="1"/>
  <c r="T1274" i="45"/>
  <c r="S1274" i="45"/>
  <c r="M1274" i="45"/>
  <c r="Q1274" i="45" s="1"/>
  <c r="R1274" i="45" s="1"/>
  <c r="T1273" i="45"/>
  <c r="S1273" i="45"/>
  <c r="M1273" i="45"/>
  <c r="Q1273" i="45" s="1"/>
  <c r="R1273" i="45" s="1"/>
  <c r="T1272" i="45"/>
  <c r="S1272" i="45"/>
  <c r="M1272" i="45"/>
  <c r="Q1272" i="45" s="1"/>
  <c r="R1272" i="45" s="1"/>
  <c r="T1271" i="45"/>
  <c r="S1271" i="45"/>
  <c r="M1271" i="45"/>
  <c r="Q1271" i="45" s="1"/>
  <c r="R1271" i="45" s="1"/>
  <c r="T1270" i="45"/>
  <c r="S1270" i="45"/>
  <c r="M1270" i="45"/>
  <c r="Q1270" i="45" s="1"/>
  <c r="R1270" i="45" s="1"/>
  <c r="T1269" i="45"/>
  <c r="S1269" i="45"/>
  <c r="M1269" i="45"/>
  <c r="Q1269" i="45" s="1"/>
  <c r="R1269" i="45" s="1"/>
  <c r="T1268" i="45"/>
  <c r="S1268" i="45"/>
  <c r="M1268" i="45"/>
  <c r="Q1268" i="45" s="1"/>
  <c r="R1268" i="45" s="1"/>
  <c r="T1267" i="45"/>
  <c r="S1267" i="45"/>
  <c r="M1267" i="45"/>
  <c r="Q1267" i="45" s="1"/>
  <c r="R1267" i="45" s="1"/>
  <c r="T1266" i="45"/>
  <c r="S1266" i="45"/>
  <c r="M1266" i="45"/>
  <c r="Q1266" i="45" s="1"/>
  <c r="R1266" i="45" s="1"/>
  <c r="T1265" i="45"/>
  <c r="S1265" i="45"/>
  <c r="M1265" i="45"/>
  <c r="Q1265" i="45" s="1"/>
  <c r="R1265" i="45" s="1"/>
  <c r="T1264" i="45"/>
  <c r="S1264" i="45"/>
  <c r="M1264" i="45"/>
  <c r="Q1264" i="45" s="1"/>
  <c r="R1264" i="45" s="1"/>
  <c r="T1263" i="45"/>
  <c r="S1263" i="45"/>
  <c r="M1263" i="45"/>
  <c r="Q1263" i="45" s="1"/>
  <c r="R1263" i="45" s="1"/>
  <c r="T1262" i="45"/>
  <c r="S1262" i="45"/>
  <c r="M1262" i="45"/>
  <c r="Q1262" i="45" s="1"/>
  <c r="R1262" i="45" s="1"/>
  <c r="T1261" i="45"/>
  <c r="S1261" i="45"/>
  <c r="M1261" i="45"/>
  <c r="Q1261" i="45" s="1"/>
  <c r="R1261" i="45" s="1"/>
  <c r="T1260" i="45"/>
  <c r="S1260" i="45"/>
  <c r="M1260" i="45"/>
  <c r="Q1260" i="45" s="1"/>
  <c r="R1260" i="45" s="1"/>
  <c r="T1259" i="45"/>
  <c r="S1259" i="45"/>
  <c r="M1259" i="45"/>
  <c r="Q1259" i="45" s="1"/>
  <c r="R1259" i="45" s="1"/>
  <c r="T1258" i="45"/>
  <c r="S1258" i="45"/>
  <c r="M1258" i="45"/>
  <c r="Q1258" i="45" s="1"/>
  <c r="R1258" i="45" s="1"/>
  <c r="T1257" i="45"/>
  <c r="S1257" i="45"/>
  <c r="M1257" i="45"/>
  <c r="Q1257" i="45" s="1"/>
  <c r="R1257" i="45" s="1"/>
  <c r="T1256" i="45"/>
  <c r="S1256" i="45"/>
  <c r="M1256" i="45"/>
  <c r="Q1256" i="45" s="1"/>
  <c r="R1256" i="45" s="1"/>
  <c r="T1255" i="45"/>
  <c r="S1255" i="45"/>
  <c r="M1255" i="45"/>
  <c r="Q1255" i="45" s="1"/>
  <c r="R1255" i="45" s="1"/>
  <c r="T1254" i="45"/>
  <c r="S1254" i="45"/>
  <c r="M1254" i="45"/>
  <c r="Q1254" i="45" s="1"/>
  <c r="R1254" i="45" s="1"/>
  <c r="T1253" i="45"/>
  <c r="S1253" i="45"/>
  <c r="M1253" i="45"/>
  <c r="Q1253" i="45" s="1"/>
  <c r="R1253" i="45" s="1"/>
  <c r="T1252" i="45"/>
  <c r="S1252" i="45"/>
  <c r="M1252" i="45"/>
  <c r="Q1252" i="45" s="1"/>
  <c r="R1252" i="45" s="1"/>
  <c r="T1251" i="45"/>
  <c r="S1251" i="45"/>
  <c r="M1251" i="45"/>
  <c r="Q1251" i="45" s="1"/>
  <c r="R1251" i="45" s="1"/>
  <c r="T1250" i="45"/>
  <c r="S1250" i="45"/>
  <c r="M1250" i="45"/>
  <c r="Q1250" i="45" s="1"/>
  <c r="R1250" i="45" s="1"/>
  <c r="T1249" i="45"/>
  <c r="S1249" i="45"/>
  <c r="M1249" i="45"/>
  <c r="Q1249" i="45" s="1"/>
  <c r="R1249" i="45" s="1"/>
  <c r="T1248" i="45"/>
  <c r="S1248" i="45"/>
  <c r="M1248" i="45"/>
  <c r="Q1248" i="45" s="1"/>
  <c r="R1248" i="45" s="1"/>
  <c r="T1247" i="45"/>
  <c r="S1247" i="45"/>
  <c r="M1247" i="45"/>
  <c r="Q1247" i="45" s="1"/>
  <c r="R1247" i="45" s="1"/>
  <c r="T1246" i="45"/>
  <c r="S1246" i="45"/>
  <c r="M1246" i="45"/>
  <c r="Q1246" i="45" s="1"/>
  <c r="R1246" i="45" s="1"/>
  <c r="T1245" i="45"/>
  <c r="S1245" i="45"/>
  <c r="M1245" i="45"/>
  <c r="Q1245" i="45" s="1"/>
  <c r="R1245" i="45" s="1"/>
  <c r="T1244" i="45"/>
  <c r="S1244" i="45"/>
  <c r="M1244" i="45"/>
  <c r="Q1244" i="45" s="1"/>
  <c r="R1244" i="45" s="1"/>
  <c r="T1243" i="45"/>
  <c r="S1243" i="45"/>
  <c r="M1243" i="45"/>
  <c r="Q1243" i="45" s="1"/>
  <c r="R1243" i="45" s="1"/>
  <c r="T1242" i="45"/>
  <c r="S1242" i="45"/>
  <c r="M1242" i="45"/>
  <c r="Q1242" i="45" s="1"/>
  <c r="R1242" i="45" s="1"/>
  <c r="T1241" i="45"/>
  <c r="S1241" i="45"/>
  <c r="M1241" i="45"/>
  <c r="Q1241" i="45" s="1"/>
  <c r="R1241" i="45" s="1"/>
  <c r="T1240" i="45"/>
  <c r="S1240" i="45"/>
  <c r="M1240" i="45"/>
  <c r="Q1240" i="45" s="1"/>
  <c r="R1240" i="45" s="1"/>
  <c r="T1239" i="45"/>
  <c r="S1239" i="45"/>
  <c r="M1239" i="45"/>
  <c r="Q1239" i="45" s="1"/>
  <c r="R1239" i="45" s="1"/>
  <c r="T1238" i="45"/>
  <c r="S1238" i="45"/>
  <c r="M1238" i="45"/>
  <c r="Q1238" i="45" s="1"/>
  <c r="R1238" i="45" s="1"/>
  <c r="T1237" i="45"/>
  <c r="S1237" i="45"/>
  <c r="M1237" i="45"/>
  <c r="Q1237" i="45" s="1"/>
  <c r="R1237" i="45" s="1"/>
  <c r="T1236" i="45"/>
  <c r="S1236" i="45"/>
  <c r="M1236" i="45"/>
  <c r="Q1236" i="45" s="1"/>
  <c r="R1236" i="45" s="1"/>
  <c r="T1235" i="45"/>
  <c r="S1235" i="45"/>
  <c r="M1235" i="45"/>
  <c r="Q1235" i="45" s="1"/>
  <c r="R1235" i="45" s="1"/>
  <c r="T1234" i="45"/>
  <c r="S1234" i="45"/>
  <c r="M1234" i="45"/>
  <c r="Q1234" i="45" s="1"/>
  <c r="R1234" i="45" s="1"/>
  <c r="T1233" i="45"/>
  <c r="S1233" i="45"/>
  <c r="M1233" i="45"/>
  <c r="Q1233" i="45" s="1"/>
  <c r="R1233" i="45" s="1"/>
  <c r="T1232" i="45"/>
  <c r="S1232" i="45"/>
  <c r="M1232" i="45"/>
  <c r="Q1232" i="45" s="1"/>
  <c r="R1232" i="45" s="1"/>
  <c r="T1231" i="45"/>
  <c r="S1231" i="45"/>
  <c r="M1231" i="45"/>
  <c r="Q1231" i="45" s="1"/>
  <c r="R1231" i="45" s="1"/>
  <c r="T1230" i="45"/>
  <c r="S1230" i="45"/>
  <c r="M1230" i="45"/>
  <c r="Q1230" i="45" s="1"/>
  <c r="R1230" i="45" s="1"/>
  <c r="T1229" i="45"/>
  <c r="S1229" i="45"/>
  <c r="M1229" i="45"/>
  <c r="Q1229" i="45" s="1"/>
  <c r="R1229" i="45" s="1"/>
  <c r="T1228" i="45"/>
  <c r="S1228" i="45"/>
  <c r="M1228" i="45"/>
  <c r="Q1228" i="45" s="1"/>
  <c r="R1228" i="45" s="1"/>
  <c r="T1227" i="45"/>
  <c r="S1227" i="45"/>
  <c r="M1227" i="45"/>
  <c r="Q1227" i="45" s="1"/>
  <c r="R1227" i="45" s="1"/>
  <c r="T1226" i="45"/>
  <c r="S1226" i="45"/>
  <c r="M1226" i="45"/>
  <c r="Q1226" i="45" s="1"/>
  <c r="R1226" i="45" s="1"/>
  <c r="T1225" i="45"/>
  <c r="S1225" i="45"/>
  <c r="M1225" i="45"/>
  <c r="Q1225" i="45" s="1"/>
  <c r="R1225" i="45" s="1"/>
  <c r="T1224" i="45"/>
  <c r="S1224" i="45"/>
  <c r="M1224" i="45"/>
  <c r="Q1224" i="45" s="1"/>
  <c r="R1224" i="45" s="1"/>
  <c r="T1223" i="45"/>
  <c r="S1223" i="45"/>
  <c r="M1223" i="45"/>
  <c r="Q1223" i="45" s="1"/>
  <c r="R1223" i="45" s="1"/>
  <c r="T1222" i="45"/>
  <c r="S1222" i="45"/>
  <c r="M1222" i="45"/>
  <c r="Q1222" i="45" s="1"/>
  <c r="R1222" i="45" s="1"/>
  <c r="T1221" i="45"/>
  <c r="S1221" i="45"/>
  <c r="M1221" i="45"/>
  <c r="Q1221" i="45" s="1"/>
  <c r="R1221" i="45" s="1"/>
  <c r="T1220" i="45"/>
  <c r="S1220" i="45"/>
  <c r="M1220" i="45"/>
  <c r="Q1220" i="45" s="1"/>
  <c r="R1220" i="45" s="1"/>
  <c r="T1219" i="45"/>
  <c r="S1219" i="45"/>
  <c r="M1219" i="45"/>
  <c r="Q1219" i="45" s="1"/>
  <c r="R1219" i="45" s="1"/>
  <c r="T1218" i="45"/>
  <c r="S1218" i="45"/>
  <c r="M1218" i="45"/>
  <c r="Q1218" i="45" s="1"/>
  <c r="R1218" i="45" s="1"/>
  <c r="T1217" i="45"/>
  <c r="S1217" i="45"/>
  <c r="M1217" i="45"/>
  <c r="Q1217" i="45" s="1"/>
  <c r="R1217" i="45" s="1"/>
  <c r="T1216" i="45"/>
  <c r="S1216" i="45"/>
  <c r="M1216" i="45"/>
  <c r="Q1216" i="45" s="1"/>
  <c r="R1216" i="45" s="1"/>
  <c r="T1215" i="45"/>
  <c r="S1215" i="45"/>
  <c r="M1215" i="45"/>
  <c r="Q1215" i="45" s="1"/>
  <c r="R1215" i="45" s="1"/>
  <c r="T1214" i="45"/>
  <c r="S1214" i="45"/>
  <c r="M1214" i="45"/>
  <c r="Q1214" i="45" s="1"/>
  <c r="R1214" i="45" s="1"/>
  <c r="T1213" i="45"/>
  <c r="S1213" i="45"/>
  <c r="M1213" i="45"/>
  <c r="Q1213" i="45" s="1"/>
  <c r="R1213" i="45" s="1"/>
  <c r="T1212" i="45"/>
  <c r="S1212" i="45"/>
  <c r="M1212" i="45"/>
  <c r="Q1212" i="45" s="1"/>
  <c r="R1212" i="45" s="1"/>
  <c r="T1211" i="45"/>
  <c r="S1211" i="45"/>
  <c r="M1211" i="45"/>
  <c r="Q1211" i="45" s="1"/>
  <c r="R1211" i="45" s="1"/>
  <c r="T1210" i="45"/>
  <c r="S1210" i="45"/>
  <c r="M1210" i="45"/>
  <c r="Q1210" i="45" s="1"/>
  <c r="R1210" i="45" s="1"/>
  <c r="T1209" i="45"/>
  <c r="S1209" i="45"/>
  <c r="M1209" i="45"/>
  <c r="Q1209" i="45" s="1"/>
  <c r="R1209" i="45" s="1"/>
  <c r="T1208" i="45"/>
  <c r="S1208" i="45"/>
  <c r="M1208" i="45"/>
  <c r="Q1208" i="45" s="1"/>
  <c r="R1208" i="45" s="1"/>
  <c r="T1207" i="45"/>
  <c r="S1207" i="45"/>
  <c r="M1207" i="45"/>
  <c r="Q1207" i="45" s="1"/>
  <c r="R1207" i="45" s="1"/>
  <c r="T1206" i="45"/>
  <c r="S1206" i="45"/>
  <c r="M1206" i="45"/>
  <c r="Q1206" i="45" s="1"/>
  <c r="R1206" i="45" s="1"/>
  <c r="T1205" i="45"/>
  <c r="S1205" i="45"/>
  <c r="M1205" i="45"/>
  <c r="Q1205" i="45" s="1"/>
  <c r="R1205" i="45" s="1"/>
  <c r="T1204" i="45"/>
  <c r="S1204" i="45"/>
  <c r="M1204" i="45"/>
  <c r="Q1204" i="45" s="1"/>
  <c r="R1204" i="45" s="1"/>
  <c r="T1203" i="45"/>
  <c r="S1203" i="45"/>
  <c r="M1203" i="45"/>
  <c r="Q1203" i="45" s="1"/>
  <c r="R1203" i="45" s="1"/>
  <c r="T1202" i="45"/>
  <c r="S1202" i="45"/>
  <c r="M1202" i="45"/>
  <c r="Q1202" i="45" s="1"/>
  <c r="R1202" i="45" s="1"/>
  <c r="T1201" i="45"/>
  <c r="S1201" i="45"/>
  <c r="M1201" i="45"/>
  <c r="Q1201" i="45" s="1"/>
  <c r="R1201" i="45" s="1"/>
  <c r="T1200" i="45"/>
  <c r="S1200" i="45"/>
  <c r="M1200" i="45"/>
  <c r="Q1200" i="45" s="1"/>
  <c r="R1200" i="45" s="1"/>
  <c r="T1199" i="45"/>
  <c r="S1199" i="45"/>
  <c r="M1199" i="45"/>
  <c r="Q1199" i="45" s="1"/>
  <c r="R1199" i="45" s="1"/>
  <c r="T1198" i="45"/>
  <c r="S1198" i="45"/>
  <c r="M1198" i="45"/>
  <c r="Q1198" i="45" s="1"/>
  <c r="R1198" i="45" s="1"/>
  <c r="T1197" i="45"/>
  <c r="S1197" i="45"/>
  <c r="M1197" i="45"/>
  <c r="Q1197" i="45" s="1"/>
  <c r="R1197" i="45" s="1"/>
  <c r="T1196" i="45"/>
  <c r="S1196" i="45"/>
  <c r="M1196" i="45"/>
  <c r="Q1196" i="45" s="1"/>
  <c r="R1196" i="45" s="1"/>
  <c r="T1195" i="45"/>
  <c r="S1195" i="45"/>
  <c r="M1195" i="45"/>
  <c r="Q1195" i="45" s="1"/>
  <c r="R1195" i="45" s="1"/>
  <c r="T1194" i="45"/>
  <c r="S1194" i="45"/>
  <c r="M1194" i="45"/>
  <c r="Q1194" i="45" s="1"/>
  <c r="R1194" i="45" s="1"/>
  <c r="T1193" i="45"/>
  <c r="S1193" i="45"/>
  <c r="M1193" i="45"/>
  <c r="Q1193" i="45" s="1"/>
  <c r="R1193" i="45" s="1"/>
  <c r="T1192" i="45"/>
  <c r="S1192" i="45"/>
  <c r="M1192" i="45"/>
  <c r="Q1192" i="45" s="1"/>
  <c r="R1192" i="45" s="1"/>
  <c r="T1191" i="45"/>
  <c r="S1191" i="45"/>
  <c r="M1191" i="45"/>
  <c r="Q1191" i="45" s="1"/>
  <c r="R1191" i="45" s="1"/>
  <c r="T1190" i="45"/>
  <c r="S1190" i="45"/>
  <c r="M1190" i="45"/>
  <c r="Q1190" i="45" s="1"/>
  <c r="R1190" i="45" s="1"/>
  <c r="T1189" i="45"/>
  <c r="S1189" i="45"/>
  <c r="M1189" i="45"/>
  <c r="Q1189" i="45" s="1"/>
  <c r="R1189" i="45" s="1"/>
  <c r="T1188" i="45"/>
  <c r="S1188" i="45"/>
  <c r="M1188" i="45"/>
  <c r="Q1188" i="45" s="1"/>
  <c r="R1188" i="45" s="1"/>
  <c r="T1187" i="45"/>
  <c r="S1187" i="45"/>
  <c r="M1187" i="45"/>
  <c r="Q1187" i="45" s="1"/>
  <c r="R1187" i="45" s="1"/>
  <c r="T1186" i="45"/>
  <c r="S1186" i="45"/>
  <c r="M1186" i="45"/>
  <c r="Q1186" i="45" s="1"/>
  <c r="R1186" i="45" s="1"/>
  <c r="T1185" i="45"/>
  <c r="S1185" i="45"/>
  <c r="M1185" i="45"/>
  <c r="Q1185" i="45" s="1"/>
  <c r="R1185" i="45" s="1"/>
  <c r="T1184" i="45"/>
  <c r="S1184" i="45"/>
  <c r="M1184" i="45"/>
  <c r="Q1184" i="45" s="1"/>
  <c r="R1184" i="45" s="1"/>
  <c r="T1183" i="45"/>
  <c r="S1183" i="45"/>
  <c r="M1183" i="45"/>
  <c r="Q1183" i="45" s="1"/>
  <c r="R1183" i="45" s="1"/>
  <c r="T1182" i="45"/>
  <c r="S1182" i="45"/>
  <c r="M1182" i="45"/>
  <c r="Q1182" i="45" s="1"/>
  <c r="R1182" i="45" s="1"/>
  <c r="T1181" i="45"/>
  <c r="S1181" i="45"/>
  <c r="M1181" i="45"/>
  <c r="Q1181" i="45" s="1"/>
  <c r="R1181" i="45" s="1"/>
  <c r="T1180" i="45"/>
  <c r="S1180" i="45"/>
  <c r="M1180" i="45"/>
  <c r="Q1180" i="45" s="1"/>
  <c r="R1180" i="45" s="1"/>
  <c r="T1179" i="45"/>
  <c r="S1179" i="45"/>
  <c r="M1179" i="45"/>
  <c r="Q1179" i="45" s="1"/>
  <c r="R1179" i="45" s="1"/>
  <c r="T1178" i="45"/>
  <c r="S1178" i="45"/>
  <c r="M1178" i="45"/>
  <c r="Q1178" i="45" s="1"/>
  <c r="R1178" i="45" s="1"/>
  <c r="T1177" i="45"/>
  <c r="S1177" i="45"/>
  <c r="M1177" i="45"/>
  <c r="Q1177" i="45" s="1"/>
  <c r="R1177" i="45" s="1"/>
  <c r="T1176" i="45"/>
  <c r="S1176" i="45"/>
  <c r="M1176" i="45"/>
  <c r="Q1176" i="45" s="1"/>
  <c r="R1176" i="45" s="1"/>
  <c r="T1175" i="45"/>
  <c r="S1175" i="45"/>
  <c r="M1175" i="45"/>
  <c r="Q1175" i="45" s="1"/>
  <c r="R1175" i="45" s="1"/>
  <c r="T1174" i="45"/>
  <c r="S1174" i="45"/>
  <c r="M1174" i="45"/>
  <c r="Q1174" i="45" s="1"/>
  <c r="R1174" i="45" s="1"/>
  <c r="T1173" i="45"/>
  <c r="S1173" i="45"/>
  <c r="M1173" i="45"/>
  <c r="Q1173" i="45" s="1"/>
  <c r="R1173" i="45" s="1"/>
  <c r="T1172" i="45"/>
  <c r="S1172" i="45"/>
  <c r="M1172" i="45"/>
  <c r="Q1172" i="45" s="1"/>
  <c r="R1172" i="45" s="1"/>
  <c r="T1171" i="45"/>
  <c r="S1171" i="45"/>
  <c r="M1171" i="45"/>
  <c r="Q1171" i="45" s="1"/>
  <c r="R1171" i="45" s="1"/>
  <c r="T1170" i="45"/>
  <c r="S1170" i="45"/>
  <c r="M1170" i="45"/>
  <c r="Q1170" i="45" s="1"/>
  <c r="R1170" i="45" s="1"/>
  <c r="T1169" i="45"/>
  <c r="S1169" i="45"/>
  <c r="M1169" i="45"/>
  <c r="Q1169" i="45" s="1"/>
  <c r="R1169" i="45" s="1"/>
  <c r="T1168" i="45"/>
  <c r="S1168" i="45"/>
  <c r="M1168" i="45"/>
  <c r="Q1168" i="45" s="1"/>
  <c r="R1168" i="45" s="1"/>
  <c r="T1167" i="45"/>
  <c r="S1167" i="45"/>
  <c r="M1167" i="45"/>
  <c r="Q1167" i="45" s="1"/>
  <c r="R1167" i="45" s="1"/>
  <c r="T1166" i="45"/>
  <c r="S1166" i="45"/>
  <c r="M1166" i="45"/>
  <c r="Q1166" i="45" s="1"/>
  <c r="R1166" i="45" s="1"/>
  <c r="T1165" i="45"/>
  <c r="S1165" i="45"/>
  <c r="M1165" i="45"/>
  <c r="Q1165" i="45" s="1"/>
  <c r="R1165" i="45" s="1"/>
  <c r="T1164" i="45"/>
  <c r="S1164" i="45"/>
  <c r="M1164" i="45"/>
  <c r="Q1164" i="45" s="1"/>
  <c r="R1164" i="45" s="1"/>
  <c r="T1163" i="45"/>
  <c r="S1163" i="45"/>
  <c r="M1163" i="45"/>
  <c r="Q1163" i="45" s="1"/>
  <c r="R1163" i="45" s="1"/>
  <c r="T1162" i="45"/>
  <c r="S1162" i="45"/>
  <c r="M1162" i="45"/>
  <c r="Q1162" i="45" s="1"/>
  <c r="R1162" i="45" s="1"/>
  <c r="T1161" i="45"/>
  <c r="S1161" i="45"/>
  <c r="M1161" i="45"/>
  <c r="Q1161" i="45" s="1"/>
  <c r="R1161" i="45" s="1"/>
  <c r="T1160" i="45"/>
  <c r="S1160" i="45"/>
  <c r="M1160" i="45"/>
  <c r="Q1160" i="45" s="1"/>
  <c r="R1160" i="45" s="1"/>
  <c r="T1159" i="45"/>
  <c r="S1159" i="45"/>
  <c r="M1159" i="45"/>
  <c r="Q1159" i="45" s="1"/>
  <c r="R1159" i="45" s="1"/>
  <c r="T1158" i="45"/>
  <c r="S1158" i="45"/>
  <c r="M1158" i="45"/>
  <c r="Q1158" i="45" s="1"/>
  <c r="R1158" i="45" s="1"/>
  <c r="T1157" i="45"/>
  <c r="S1157" i="45"/>
  <c r="M1157" i="45"/>
  <c r="Q1157" i="45" s="1"/>
  <c r="R1157" i="45" s="1"/>
  <c r="T1156" i="45"/>
  <c r="S1156" i="45"/>
  <c r="M1156" i="45"/>
  <c r="Q1156" i="45" s="1"/>
  <c r="R1156" i="45" s="1"/>
  <c r="T1155" i="45"/>
  <c r="S1155" i="45"/>
  <c r="M1155" i="45"/>
  <c r="Q1155" i="45" s="1"/>
  <c r="R1155" i="45" s="1"/>
  <c r="T1154" i="45"/>
  <c r="S1154" i="45"/>
  <c r="M1154" i="45"/>
  <c r="Q1154" i="45" s="1"/>
  <c r="R1154" i="45" s="1"/>
  <c r="T1153" i="45"/>
  <c r="S1153" i="45"/>
  <c r="M1153" i="45"/>
  <c r="Q1153" i="45" s="1"/>
  <c r="R1153" i="45" s="1"/>
  <c r="T1152" i="45"/>
  <c r="S1152" i="45"/>
  <c r="M1152" i="45"/>
  <c r="Q1152" i="45" s="1"/>
  <c r="R1152" i="45" s="1"/>
  <c r="T1151" i="45"/>
  <c r="S1151" i="45"/>
  <c r="M1151" i="45"/>
  <c r="Q1151" i="45" s="1"/>
  <c r="R1151" i="45" s="1"/>
  <c r="T1150" i="45"/>
  <c r="S1150" i="45"/>
  <c r="M1150" i="45"/>
  <c r="Q1150" i="45" s="1"/>
  <c r="R1150" i="45" s="1"/>
  <c r="T1149" i="45"/>
  <c r="S1149" i="45"/>
  <c r="M1149" i="45"/>
  <c r="Q1149" i="45" s="1"/>
  <c r="R1149" i="45" s="1"/>
  <c r="T1148" i="45"/>
  <c r="S1148" i="45"/>
  <c r="M1148" i="45"/>
  <c r="Q1148" i="45" s="1"/>
  <c r="R1148" i="45" s="1"/>
  <c r="T1147" i="45"/>
  <c r="S1147" i="45"/>
  <c r="M1147" i="45"/>
  <c r="Q1147" i="45" s="1"/>
  <c r="R1147" i="45" s="1"/>
  <c r="T1146" i="45"/>
  <c r="S1146" i="45"/>
  <c r="M1146" i="45"/>
  <c r="Q1146" i="45" s="1"/>
  <c r="R1146" i="45" s="1"/>
  <c r="T1145" i="45"/>
  <c r="S1145" i="45"/>
  <c r="M1145" i="45"/>
  <c r="Q1145" i="45" s="1"/>
  <c r="R1145" i="45" s="1"/>
  <c r="T1144" i="45"/>
  <c r="S1144" i="45"/>
  <c r="M1144" i="45"/>
  <c r="Q1144" i="45" s="1"/>
  <c r="R1144" i="45" s="1"/>
  <c r="T1143" i="45"/>
  <c r="S1143" i="45"/>
  <c r="M1143" i="45"/>
  <c r="Q1143" i="45" s="1"/>
  <c r="R1143" i="45" s="1"/>
  <c r="T1142" i="45"/>
  <c r="S1142" i="45"/>
  <c r="M1142" i="45"/>
  <c r="Q1142" i="45" s="1"/>
  <c r="R1142" i="45" s="1"/>
  <c r="T1141" i="45"/>
  <c r="S1141" i="45"/>
  <c r="M1141" i="45"/>
  <c r="Q1141" i="45" s="1"/>
  <c r="R1141" i="45" s="1"/>
  <c r="T1140" i="45"/>
  <c r="S1140" i="45"/>
  <c r="M1140" i="45"/>
  <c r="Q1140" i="45" s="1"/>
  <c r="R1140" i="45" s="1"/>
  <c r="T1139" i="45"/>
  <c r="S1139" i="45"/>
  <c r="M1139" i="45"/>
  <c r="Q1139" i="45" s="1"/>
  <c r="R1139" i="45" s="1"/>
  <c r="T1138" i="45"/>
  <c r="S1138" i="45"/>
  <c r="M1138" i="45"/>
  <c r="Q1138" i="45" s="1"/>
  <c r="R1138" i="45" s="1"/>
  <c r="T1137" i="45"/>
  <c r="S1137" i="45"/>
  <c r="M1137" i="45"/>
  <c r="Q1137" i="45" s="1"/>
  <c r="R1137" i="45" s="1"/>
  <c r="T1136" i="45"/>
  <c r="S1136" i="45"/>
  <c r="M1136" i="45"/>
  <c r="Q1136" i="45" s="1"/>
  <c r="R1136" i="45" s="1"/>
  <c r="T1135" i="45"/>
  <c r="S1135" i="45"/>
  <c r="M1135" i="45"/>
  <c r="Q1135" i="45" s="1"/>
  <c r="R1135" i="45" s="1"/>
  <c r="T1134" i="45"/>
  <c r="S1134" i="45"/>
  <c r="M1134" i="45"/>
  <c r="Q1134" i="45" s="1"/>
  <c r="R1134" i="45" s="1"/>
  <c r="T1133" i="45"/>
  <c r="S1133" i="45"/>
  <c r="M1133" i="45"/>
  <c r="Q1133" i="45" s="1"/>
  <c r="R1133" i="45" s="1"/>
  <c r="T1132" i="45"/>
  <c r="S1132" i="45"/>
  <c r="M1132" i="45"/>
  <c r="Q1132" i="45" s="1"/>
  <c r="R1132" i="45" s="1"/>
  <c r="T1131" i="45"/>
  <c r="S1131" i="45"/>
  <c r="M1131" i="45"/>
  <c r="Q1131" i="45" s="1"/>
  <c r="R1131" i="45" s="1"/>
  <c r="T1130" i="45"/>
  <c r="S1130" i="45"/>
  <c r="M1130" i="45"/>
  <c r="Q1130" i="45" s="1"/>
  <c r="R1130" i="45" s="1"/>
  <c r="T1129" i="45"/>
  <c r="S1129" i="45"/>
  <c r="M1129" i="45"/>
  <c r="Q1129" i="45" s="1"/>
  <c r="R1129" i="45" s="1"/>
  <c r="T1128" i="45"/>
  <c r="S1128" i="45"/>
  <c r="M1128" i="45"/>
  <c r="Q1128" i="45" s="1"/>
  <c r="R1128" i="45" s="1"/>
  <c r="T1127" i="45"/>
  <c r="S1127" i="45"/>
  <c r="M1127" i="45"/>
  <c r="Q1127" i="45" s="1"/>
  <c r="R1127" i="45" s="1"/>
  <c r="T1126" i="45"/>
  <c r="S1126" i="45"/>
  <c r="M1126" i="45"/>
  <c r="Q1126" i="45" s="1"/>
  <c r="R1126" i="45" s="1"/>
  <c r="T1125" i="45"/>
  <c r="S1125" i="45"/>
  <c r="M1125" i="45"/>
  <c r="Q1125" i="45" s="1"/>
  <c r="R1125" i="45" s="1"/>
  <c r="T1124" i="45"/>
  <c r="S1124" i="45"/>
  <c r="M1124" i="45"/>
  <c r="Q1124" i="45" s="1"/>
  <c r="R1124" i="45" s="1"/>
  <c r="T1123" i="45"/>
  <c r="S1123" i="45"/>
  <c r="M1123" i="45"/>
  <c r="Q1123" i="45" s="1"/>
  <c r="R1123" i="45" s="1"/>
  <c r="T1122" i="45"/>
  <c r="S1122" i="45"/>
  <c r="M1122" i="45"/>
  <c r="Q1122" i="45" s="1"/>
  <c r="R1122" i="45" s="1"/>
  <c r="T1121" i="45"/>
  <c r="S1121" i="45"/>
  <c r="M1121" i="45"/>
  <c r="Q1121" i="45" s="1"/>
  <c r="R1121" i="45" s="1"/>
  <c r="T1120" i="45"/>
  <c r="S1120" i="45"/>
  <c r="M1120" i="45"/>
  <c r="Q1120" i="45" s="1"/>
  <c r="R1120" i="45" s="1"/>
  <c r="T1119" i="45"/>
  <c r="S1119" i="45"/>
  <c r="M1119" i="45"/>
  <c r="Q1119" i="45" s="1"/>
  <c r="R1119" i="45" s="1"/>
  <c r="T1118" i="45"/>
  <c r="S1118" i="45"/>
  <c r="M1118" i="45"/>
  <c r="Q1118" i="45" s="1"/>
  <c r="R1118" i="45" s="1"/>
  <c r="T1117" i="45"/>
  <c r="S1117" i="45"/>
  <c r="M1117" i="45"/>
  <c r="Q1117" i="45" s="1"/>
  <c r="R1117" i="45" s="1"/>
  <c r="T1116" i="45"/>
  <c r="S1116" i="45"/>
  <c r="M1116" i="45"/>
  <c r="Q1116" i="45" s="1"/>
  <c r="R1116" i="45" s="1"/>
  <c r="T1115" i="45"/>
  <c r="S1115" i="45"/>
  <c r="M1115" i="45"/>
  <c r="Q1115" i="45" s="1"/>
  <c r="R1115" i="45" s="1"/>
  <c r="T1114" i="45"/>
  <c r="S1114" i="45"/>
  <c r="M1114" i="45"/>
  <c r="Q1114" i="45" s="1"/>
  <c r="R1114" i="45" s="1"/>
  <c r="T1113" i="45"/>
  <c r="S1113" i="45"/>
  <c r="M1113" i="45"/>
  <c r="Q1113" i="45" s="1"/>
  <c r="R1113" i="45" s="1"/>
  <c r="T1112" i="45"/>
  <c r="S1112" i="45"/>
  <c r="M1112" i="45"/>
  <c r="Q1112" i="45" s="1"/>
  <c r="R1112" i="45" s="1"/>
  <c r="T1111" i="45"/>
  <c r="S1111" i="45"/>
  <c r="M1111" i="45"/>
  <c r="Q1111" i="45" s="1"/>
  <c r="R1111" i="45" s="1"/>
  <c r="T1110" i="45"/>
  <c r="S1110" i="45"/>
  <c r="M1110" i="45"/>
  <c r="Q1110" i="45" s="1"/>
  <c r="R1110" i="45" s="1"/>
  <c r="T1109" i="45"/>
  <c r="S1109" i="45"/>
  <c r="M1109" i="45"/>
  <c r="Q1109" i="45" s="1"/>
  <c r="R1109" i="45" s="1"/>
  <c r="T1108" i="45"/>
  <c r="S1108" i="45"/>
  <c r="M1108" i="45"/>
  <c r="Q1108" i="45" s="1"/>
  <c r="R1108" i="45" s="1"/>
  <c r="T1107" i="45"/>
  <c r="S1107" i="45"/>
  <c r="M1107" i="45"/>
  <c r="Q1107" i="45" s="1"/>
  <c r="R1107" i="45" s="1"/>
  <c r="T1106" i="45"/>
  <c r="S1106" i="45"/>
  <c r="M1106" i="45"/>
  <c r="Q1106" i="45" s="1"/>
  <c r="R1106" i="45" s="1"/>
  <c r="T1105" i="45"/>
  <c r="S1105" i="45"/>
  <c r="M1105" i="45"/>
  <c r="Q1105" i="45" s="1"/>
  <c r="R1105" i="45" s="1"/>
  <c r="T1104" i="45"/>
  <c r="S1104" i="45"/>
  <c r="M1104" i="45"/>
  <c r="Q1104" i="45" s="1"/>
  <c r="R1104" i="45" s="1"/>
  <c r="T1103" i="45"/>
  <c r="S1103" i="45"/>
  <c r="M1103" i="45"/>
  <c r="Q1103" i="45" s="1"/>
  <c r="R1103" i="45" s="1"/>
  <c r="T1102" i="45"/>
  <c r="S1102" i="45"/>
  <c r="M1102" i="45"/>
  <c r="Q1102" i="45" s="1"/>
  <c r="R1102" i="45" s="1"/>
  <c r="T1101" i="45"/>
  <c r="S1101" i="45"/>
  <c r="M1101" i="45"/>
  <c r="Q1101" i="45" s="1"/>
  <c r="R1101" i="45" s="1"/>
  <c r="T1100" i="45"/>
  <c r="S1100" i="45"/>
  <c r="M1100" i="45"/>
  <c r="Q1100" i="45" s="1"/>
  <c r="R1100" i="45" s="1"/>
  <c r="T1099" i="45"/>
  <c r="S1099" i="45"/>
  <c r="M1099" i="45"/>
  <c r="Q1099" i="45" s="1"/>
  <c r="R1099" i="45" s="1"/>
  <c r="T1098" i="45"/>
  <c r="S1098" i="45"/>
  <c r="M1098" i="45"/>
  <c r="Q1098" i="45" s="1"/>
  <c r="R1098" i="45" s="1"/>
  <c r="T1097" i="45"/>
  <c r="S1097" i="45"/>
  <c r="M1097" i="45"/>
  <c r="Q1097" i="45" s="1"/>
  <c r="R1097" i="45" s="1"/>
  <c r="T1096" i="45"/>
  <c r="S1096" i="45"/>
  <c r="M1096" i="45"/>
  <c r="Q1096" i="45" s="1"/>
  <c r="R1096" i="45" s="1"/>
  <c r="T1095" i="45"/>
  <c r="S1095" i="45"/>
  <c r="M1095" i="45"/>
  <c r="Q1095" i="45" s="1"/>
  <c r="R1095" i="45" s="1"/>
  <c r="T1094" i="45"/>
  <c r="S1094" i="45"/>
  <c r="M1094" i="45"/>
  <c r="Q1094" i="45" s="1"/>
  <c r="R1094" i="45" s="1"/>
  <c r="T1093" i="45"/>
  <c r="S1093" i="45"/>
  <c r="M1093" i="45"/>
  <c r="Q1093" i="45" s="1"/>
  <c r="R1093" i="45" s="1"/>
  <c r="T1092" i="45"/>
  <c r="S1092" i="45"/>
  <c r="M1092" i="45"/>
  <c r="Q1092" i="45" s="1"/>
  <c r="R1092" i="45" s="1"/>
  <c r="T1091" i="45"/>
  <c r="S1091" i="45"/>
  <c r="M1091" i="45"/>
  <c r="Q1091" i="45" s="1"/>
  <c r="R1091" i="45" s="1"/>
  <c r="T1090" i="45"/>
  <c r="S1090" i="45"/>
  <c r="M1090" i="45"/>
  <c r="Q1090" i="45" s="1"/>
  <c r="R1090" i="45" s="1"/>
  <c r="T1089" i="45"/>
  <c r="S1089" i="45"/>
  <c r="M1089" i="45"/>
  <c r="Q1089" i="45" s="1"/>
  <c r="R1089" i="45" s="1"/>
  <c r="T1088" i="45"/>
  <c r="S1088" i="45"/>
  <c r="M1088" i="45"/>
  <c r="Q1088" i="45" s="1"/>
  <c r="R1088" i="45" s="1"/>
  <c r="T1087" i="45"/>
  <c r="S1087" i="45"/>
  <c r="M1087" i="45"/>
  <c r="Q1087" i="45" s="1"/>
  <c r="R1087" i="45" s="1"/>
  <c r="T1086" i="45"/>
  <c r="S1086" i="45"/>
  <c r="M1086" i="45"/>
  <c r="Q1086" i="45" s="1"/>
  <c r="R1086" i="45" s="1"/>
  <c r="T1085" i="45"/>
  <c r="S1085" i="45"/>
  <c r="M1085" i="45"/>
  <c r="Q1085" i="45" s="1"/>
  <c r="R1085" i="45" s="1"/>
  <c r="T1084" i="45"/>
  <c r="S1084" i="45"/>
  <c r="M1084" i="45"/>
  <c r="Q1084" i="45" s="1"/>
  <c r="R1084" i="45" s="1"/>
  <c r="T1083" i="45"/>
  <c r="S1083" i="45"/>
  <c r="M1083" i="45"/>
  <c r="Q1083" i="45" s="1"/>
  <c r="R1083" i="45" s="1"/>
  <c r="T1082" i="45"/>
  <c r="S1082" i="45"/>
  <c r="M1082" i="45"/>
  <c r="Q1082" i="45" s="1"/>
  <c r="R1082" i="45" s="1"/>
  <c r="T1081" i="45"/>
  <c r="S1081" i="45"/>
  <c r="M1081" i="45"/>
  <c r="Q1081" i="45" s="1"/>
  <c r="R1081" i="45" s="1"/>
  <c r="T1080" i="45"/>
  <c r="S1080" i="45"/>
  <c r="M1080" i="45"/>
  <c r="Q1080" i="45" s="1"/>
  <c r="R1080" i="45" s="1"/>
  <c r="T1079" i="45"/>
  <c r="S1079" i="45"/>
  <c r="M1079" i="45"/>
  <c r="Q1079" i="45" s="1"/>
  <c r="R1079" i="45" s="1"/>
  <c r="T1078" i="45"/>
  <c r="S1078" i="45"/>
  <c r="M1078" i="45"/>
  <c r="Q1078" i="45" s="1"/>
  <c r="R1078" i="45" s="1"/>
  <c r="T1077" i="45"/>
  <c r="S1077" i="45"/>
  <c r="M1077" i="45"/>
  <c r="Q1077" i="45" s="1"/>
  <c r="R1077" i="45" s="1"/>
  <c r="T1076" i="45"/>
  <c r="S1076" i="45"/>
  <c r="M1076" i="45"/>
  <c r="Q1076" i="45" s="1"/>
  <c r="R1076" i="45" s="1"/>
  <c r="T1075" i="45"/>
  <c r="S1075" i="45"/>
  <c r="M1075" i="45"/>
  <c r="Q1075" i="45" s="1"/>
  <c r="R1075" i="45" s="1"/>
  <c r="T1074" i="45"/>
  <c r="S1074" i="45"/>
  <c r="M1074" i="45"/>
  <c r="Q1074" i="45" s="1"/>
  <c r="R1074" i="45" s="1"/>
  <c r="T1073" i="45"/>
  <c r="S1073" i="45"/>
  <c r="M1073" i="45"/>
  <c r="Q1073" i="45" s="1"/>
  <c r="R1073" i="45" s="1"/>
  <c r="T1072" i="45"/>
  <c r="S1072" i="45"/>
  <c r="M1072" i="45"/>
  <c r="Q1072" i="45" s="1"/>
  <c r="R1072" i="45" s="1"/>
  <c r="T1071" i="45"/>
  <c r="S1071" i="45"/>
  <c r="M1071" i="45"/>
  <c r="Q1071" i="45" s="1"/>
  <c r="R1071" i="45" s="1"/>
  <c r="T1070" i="45"/>
  <c r="S1070" i="45"/>
  <c r="M1070" i="45"/>
  <c r="Q1070" i="45" s="1"/>
  <c r="R1070" i="45" s="1"/>
  <c r="T1069" i="45"/>
  <c r="S1069" i="45"/>
  <c r="M1069" i="45"/>
  <c r="Q1069" i="45" s="1"/>
  <c r="R1069" i="45" s="1"/>
  <c r="T1068" i="45"/>
  <c r="S1068" i="45"/>
  <c r="M1068" i="45"/>
  <c r="Q1068" i="45" s="1"/>
  <c r="R1068" i="45" s="1"/>
  <c r="T1067" i="45"/>
  <c r="S1067" i="45"/>
  <c r="M1067" i="45"/>
  <c r="Q1067" i="45" s="1"/>
  <c r="R1067" i="45" s="1"/>
  <c r="T1066" i="45"/>
  <c r="S1066" i="45"/>
  <c r="M1066" i="45"/>
  <c r="Q1066" i="45" s="1"/>
  <c r="R1066" i="45" s="1"/>
  <c r="T1065" i="45"/>
  <c r="S1065" i="45"/>
  <c r="M1065" i="45"/>
  <c r="Q1065" i="45" s="1"/>
  <c r="R1065" i="45" s="1"/>
  <c r="T1064" i="45"/>
  <c r="S1064" i="45"/>
  <c r="M1064" i="45"/>
  <c r="Q1064" i="45" s="1"/>
  <c r="R1064" i="45" s="1"/>
  <c r="T1063" i="45"/>
  <c r="S1063" i="45"/>
  <c r="M1063" i="45"/>
  <c r="Q1063" i="45" s="1"/>
  <c r="R1063" i="45" s="1"/>
  <c r="T1062" i="45"/>
  <c r="S1062" i="45"/>
  <c r="M1062" i="45"/>
  <c r="Q1062" i="45" s="1"/>
  <c r="R1062" i="45" s="1"/>
  <c r="T1061" i="45"/>
  <c r="S1061" i="45"/>
  <c r="M1061" i="45"/>
  <c r="Q1061" i="45" s="1"/>
  <c r="R1061" i="45" s="1"/>
  <c r="T1060" i="45"/>
  <c r="S1060" i="45"/>
  <c r="M1060" i="45"/>
  <c r="Q1060" i="45" s="1"/>
  <c r="R1060" i="45" s="1"/>
  <c r="T1059" i="45"/>
  <c r="S1059" i="45"/>
  <c r="M1059" i="45"/>
  <c r="Q1059" i="45" s="1"/>
  <c r="R1059" i="45" s="1"/>
  <c r="T1058" i="45"/>
  <c r="S1058" i="45"/>
  <c r="M1058" i="45"/>
  <c r="Q1058" i="45" s="1"/>
  <c r="R1058" i="45" s="1"/>
  <c r="T1057" i="45"/>
  <c r="S1057" i="45"/>
  <c r="M1057" i="45"/>
  <c r="Q1057" i="45" s="1"/>
  <c r="R1057" i="45" s="1"/>
  <c r="T1056" i="45"/>
  <c r="S1056" i="45"/>
  <c r="M1056" i="45"/>
  <c r="Q1056" i="45" s="1"/>
  <c r="R1056" i="45" s="1"/>
  <c r="T1055" i="45"/>
  <c r="S1055" i="45"/>
  <c r="M1055" i="45"/>
  <c r="Q1055" i="45" s="1"/>
  <c r="R1055" i="45" s="1"/>
  <c r="T1054" i="45"/>
  <c r="S1054" i="45"/>
  <c r="M1054" i="45"/>
  <c r="Q1054" i="45" s="1"/>
  <c r="R1054" i="45" s="1"/>
  <c r="T1053" i="45"/>
  <c r="S1053" i="45"/>
  <c r="M1053" i="45"/>
  <c r="Q1053" i="45" s="1"/>
  <c r="R1053" i="45" s="1"/>
  <c r="T1052" i="45"/>
  <c r="S1052" i="45"/>
  <c r="M1052" i="45"/>
  <c r="Q1052" i="45" s="1"/>
  <c r="R1052" i="45" s="1"/>
  <c r="T1051" i="45"/>
  <c r="S1051" i="45"/>
  <c r="M1051" i="45"/>
  <c r="Q1051" i="45" s="1"/>
  <c r="R1051" i="45" s="1"/>
  <c r="T1050" i="45"/>
  <c r="S1050" i="45"/>
  <c r="M1050" i="45"/>
  <c r="Q1050" i="45" s="1"/>
  <c r="R1050" i="45" s="1"/>
  <c r="T1049" i="45"/>
  <c r="S1049" i="45"/>
  <c r="M1049" i="45"/>
  <c r="Q1049" i="45" s="1"/>
  <c r="R1049" i="45" s="1"/>
  <c r="T1048" i="45"/>
  <c r="S1048" i="45"/>
  <c r="M1048" i="45"/>
  <c r="Q1048" i="45" s="1"/>
  <c r="R1048" i="45" s="1"/>
  <c r="T1047" i="45"/>
  <c r="S1047" i="45"/>
  <c r="M1047" i="45"/>
  <c r="Q1047" i="45" s="1"/>
  <c r="R1047" i="45" s="1"/>
  <c r="T1046" i="45"/>
  <c r="S1046" i="45"/>
  <c r="M1046" i="45"/>
  <c r="Q1046" i="45" s="1"/>
  <c r="R1046" i="45" s="1"/>
  <c r="T1045" i="45"/>
  <c r="S1045" i="45"/>
  <c r="M1045" i="45"/>
  <c r="Q1045" i="45" s="1"/>
  <c r="R1045" i="45" s="1"/>
  <c r="T1044" i="45"/>
  <c r="S1044" i="45"/>
  <c r="M1044" i="45"/>
  <c r="Q1044" i="45" s="1"/>
  <c r="R1044" i="45" s="1"/>
  <c r="T1043" i="45"/>
  <c r="S1043" i="45"/>
  <c r="M1043" i="45"/>
  <c r="Q1043" i="45" s="1"/>
  <c r="R1043" i="45" s="1"/>
  <c r="T1042" i="45"/>
  <c r="S1042" i="45"/>
  <c r="M1042" i="45"/>
  <c r="Q1042" i="45" s="1"/>
  <c r="R1042" i="45" s="1"/>
  <c r="T1041" i="45"/>
  <c r="S1041" i="45"/>
  <c r="M1041" i="45"/>
  <c r="Q1041" i="45" s="1"/>
  <c r="R1041" i="45" s="1"/>
  <c r="T1040" i="45"/>
  <c r="S1040" i="45"/>
  <c r="M1040" i="45"/>
  <c r="Q1040" i="45" s="1"/>
  <c r="R1040" i="45" s="1"/>
  <c r="T1039" i="45"/>
  <c r="S1039" i="45"/>
  <c r="M1039" i="45"/>
  <c r="Q1039" i="45" s="1"/>
  <c r="R1039" i="45" s="1"/>
  <c r="T1038" i="45"/>
  <c r="S1038" i="45"/>
  <c r="M1038" i="45"/>
  <c r="Q1038" i="45" s="1"/>
  <c r="R1038" i="45" s="1"/>
  <c r="T1037" i="45"/>
  <c r="S1037" i="45"/>
  <c r="M1037" i="45"/>
  <c r="Q1037" i="45" s="1"/>
  <c r="R1037" i="45" s="1"/>
  <c r="T1036" i="45"/>
  <c r="S1036" i="45"/>
  <c r="M1036" i="45"/>
  <c r="Q1036" i="45" s="1"/>
  <c r="R1036" i="45" s="1"/>
  <c r="T1035" i="45"/>
  <c r="S1035" i="45"/>
  <c r="M1035" i="45"/>
  <c r="Q1035" i="45" s="1"/>
  <c r="R1035" i="45" s="1"/>
  <c r="T1034" i="45"/>
  <c r="S1034" i="45"/>
  <c r="M1034" i="45"/>
  <c r="Q1034" i="45" s="1"/>
  <c r="R1034" i="45" s="1"/>
  <c r="T1033" i="45"/>
  <c r="S1033" i="45"/>
  <c r="M1033" i="45"/>
  <c r="Q1033" i="45" s="1"/>
  <c r="R1033" i="45" s="1"/>
  <c r="T1032" i="45"/>
  <c r="S1032" i="45"/>
  <c r="M1032" i="45"/>
  <c r="Q1032" i="45" s="1"/>
  <c r="R1032" i="45" s="1"/>
  <c r="T1031" i="45"/>
  <c r="S1031" i="45"/>
  <c r="M1031" i="45"/>
  <c r="Q1031" i="45" s="1"/>
  <c r="R1031" i="45" s="1"/>
  <c r="T1030" i="45"/>
  <c r="S1030" i="45"/>
  <c r="M1030" i="45"/>
  <c r="Q1030" i="45" s="1"/>
  <c r="R1030" i="45" s="1"/>
  <c r="T1029" i="45"/>
  <c r="S1029" i="45"/>
  <c r="M1029" i="45"/>
  <c r="Q1029" i="45" s="1"/>
  <c r="R1029" i="45" s="1"/>
  <c r="T1028" i="45"/>
  <c r="S1028" i="45"/>
  <c r="M1028" i="45"/>
  <c r="Q1028" i="45" s="1"/>
  <c r="R1028" i="45" s="1"/>
  <c r="T1027" i="45"/>
  <c r="S1027" i="45"/>
  <c r="M1027" i="45"/>
  <c r="Q1027" i="45" s="1"/>
  <c r="R1027" i="45" s="1"/>
  <c r="T1026" i="45"/>
  <c r="S1026" i="45"/>
  <c r="M1026" i="45"/>
  <c r="Q1026" i="45" s="1"/>
  <c r="R1026" i="45" s="1"/>
  <c r="T1025" i="45"/>
  <c r="S1025" i="45"/>
  <c r="M1025" i="45"/>
  <c r="Q1025" i="45" s="1"/>
  <c r="R1025" i="45" s="1"/>
  <c r="T1024" i="45"/>
  <c r="S1024" i="45"/>
  <c r="M1024" i="45"/>
  <c r="Q1024" i="45" s="1"/>
  <c r="R1024" i="45" s="1"/>
  <c r="T1023" i="45"/>
  <c r="S1023" i="45"/>
  <c r="M1023" i="45"/>
  <c r="Q1023" i="45" s="1"/>
  <c r="R1023" i="45" s="1"/>
  <c r="T1022" i="45"/>
  <c r="S1022" i="45"/>
  <c r="M1022" i="45"/>
  <c r="Q1022" i="45" s="1"/>
  <c r="R1022" i="45" s="1"/>
  <c r="T1021" i="45"/>
  <c r="S1021" i="45"/>
  <c r="M1021" i="45"/>
  <c r="Q1021" i="45" s="1"/>
  <c r="R1021" i="45" s="1"/>
  <c r="T1020" i="45"/>
  <c r="S1020" i="45"/>
  <c r="M1020" i="45"/>
  <c r="Q1020" i="45" s="1"/>
  <c r="R1020" i="45" s="1"/>
  <c r="T1019" i="45"/>
  <c r="S1019" i="45"/>
  <c r="M1019" i="45"/>
  <c r="Q1019" i="45" s="1"/>
  <c r="R1019" i="45" s="1"/>
  <c r="T1018" i="45"/>
  <c r="S1018" i="45"/>
  <c r="M1018" i="45"/>
  <c r="Q1018" i="45" s="1"/>
  <c r="R1018" i="45" s="1"/>
  <c r="T1017" i="45"/>
  <c r="S1017" i="45"/>
  <c r="M1017" i="45"/>
  <c r="Q1017" i="45" s="1"/>
  <c r="R1017" i="45" s="1"/>
  <c r="T1016" i="45"/>
  <c r="S1016" i="45"/>
  <c r="M1016" i="45"/>
  <c r="Q1016" i="45" s="1"/>
  <c r="R1016" i="45" s="1"/>
  <c r="T1015" i="45"/>
  <c r="S1015" i="45"/>
  <c r="M1015" i="45"/>
  <c r="Q1015" i="45" s="1"/>
  <c r="R1015" i="45" s="1"/>
  <c r="T1014" i="45"/>
  <c r="S1014" i="45"/>
  <c r="M1014" i="45"/>
  <c r="Q1014" i="45" s="1"/>
  <c r="R1014" i="45" s="1"/>
  <c r="T1013" i="45"/>
  <c r="S1013" i="45"/>
  <c r="M1013" i="45"/>
  <c r="Q1013" i="45" s="1"/>
  <c r="R1013" i="45" s="1"/>
  <c r="T1012" i="45"/>
  <c r="S1012" i="45"/>
  <c r="M1012" i="45"/>
  <c r="Q1012" i="45" s="1"/>
  <c r="R1012" i="45" s="1"/>
  <c r="T1011" i="45"/>
  <c r="S1011" i="45"/>
  <c r="M1011" i="45"/>
  <c r="Q1011" i="45" s="1"/>
  <c r="R1011" i="45" s="1"/>
  <c r="T1010" i="45"/>
  <c r="S1010" i="45"/>
  <c r="M1010" i="45"/>
  <c r="Q1010" i="45" s="1"/>
  <c r="R1010" i="45" s="1"/>
  <c r="T1009" i="45"/>
  <c r="S1009" i="45"/>
  <c r="M1009" i="45"/>
  <c r="Q1009" i="45" s="1"/>
  <c r="R1009" i="45" s="1"/>
  <c r="T1008" i="45"/>
  <c r="S1008" i="45"/>
  <c r="M1008" i="45"/>
  <c r="Q1008" i="45" s="1"/>
  <c r="R1008" i="45" s="1"/>
  <c r="T1007" i="45"/>
  <c r="S1007" i="45"/>
  <c r="M1007" i="45"/>
  <c r="Q1007" i="45" s="1"/>
  <c r="R1007" i="45" s="1"/>
  <c r="T1006" i="45"/>
  <c r="S1006" i="45"/>
  <c r="M1006" i="45"/>
  <c r="Q1006" i="45" s="1"/>
  <c r="R1006" i="45" s="1"/>
  <c r="T1005" i="45"/>
  <c r="S1005" i="45"/>
  <c r="M1005" i="45"/>
  <c r="Q1005" i="45" s="1"/>
  <c r="R1005" i="45" s="1"/>
  <c r="T1004" i="45"/>
  <c r="S1004" i="45"/>
  <c r="M1004" i="45"/>
  <c r="Q1004" i="45" s="1"/>
  <c r="R1004" i="45" s="1"/>
  <c r="T1003" i="45"/>
  <c r="S1003" i="45"/>
  <c r="M1003" i="45"/>
  <c r="Q1003" i="45" s="1"/>
  <c r="R1003" i="45" s="1"/>
  <c r="T1002" i="45"/>
  <c r="S1002" i="45"/>
  <c r="M1002" i="45"/>
  <c r="Q1002" i="45" s="1"/>
  <c r="R1002" i="45" s="1"/>
  <c r="T1001" i="45"/>
  <c r="S1001" i="45"/>
  <c r="M1001" i="45"/>
  <c r="Q1001" i="45" s="1"/>
  <c r="R1001" i="45" s="1"/>
  <c r="T1000" i="45"/>
  <c r="S1000" i="45"/>
  <c r="M1000" i="45"/>
  <c r="Q1000" i="45" s="1"/>
  <c r="R1000" i="45" s="1"/>
  <c r="T999" i="45"/>
  <c r="S999" i="45"/>
  <c r="M999" i="45"/>
  <c r="Q999" i="45" s="1"/>
  <c r="R999" i="45" s="1"/>
  <c r="T998" i="45"/>
  <c r="S998" i="45"/>
  <c r="M998" i="45"/>
  <c r="Q998" i="45" s="1"/>
  <c r="R998" i="45" s="1"/>
  <c r="T997" i="45"/>
  <c r="S997" i="45"/>
  <c r="M997" i="45"/>
  <c r="Q997" i="45" s="1"/>
  <c r="R997" i="45" s="1"/>
  <c r="T996" i="45"/>
  <c r="S996" i="45"/>
  <c r="M996" i="45"/>
  <c r="Q996" i="45" s="1"/>
  <c r="R996" i="45" s="1"/>
  <c r="T995" i="45"/>
  <c r="S995" i="45"/>
  <c r="M995" i="45"/>
  <c r="Q995" i="45" s="1"/>
  <c r="R995" i="45" s="1"/>
  <c r="T994" i="45"/>
  <c r="S994" i="45"/>
  <c r="M994" i="45"/>
  <c r="Q994" i="45" s="1"/>
  <c r="R994" i="45" s="1"/>
  <c r="T993" i="45"/>
  <c r="S993" i="45"/>
  <c r="M993" i="45"/>
  <c r="Q993" i="45" s="1"/>
  <c r="R993" i="45" s="1"/>
  <c r="T992" i="45"/>
  <c r="S992" i="45"/>
  <c r="M992" i="45"/>
  <c r="Q992" i="45" s="1"/>
  <c r="R992" i="45" s="1"/>
  <c r="T991" i="45"/>
  <c r="S991" i="45"/>
  <c r="M991" i="45"/>
  <c r="Q991" i="45" s="1"/>
  <c r="R991" i="45" s="1"/>
  <c r="T990" i="45"/>
  <c r="S990" i="45"/>
  <c r="M990" i="45"/>
  <c r="Q990" i="45" s="1"/>
  <c r="R990" i="45" s="1"/>
  <c r="T989" i="45"/>
  <c r="S989" i="45"/>
  <c r="M989" i="45"/>
  <c r="Q989" i="45" s="1"/>
  <c r="R989" i="45" s="1"/>
  <c r="T988" i="45"/>
  <c r="S988" i="45"/>
  <c r="M988" i="45"/>
  <c r="Q988" i="45" s="1"/>
  <c r="R988" i="45" s="1"/>
  <c r="T987" i="45"/>
  <c r="S987" i="45"/>
  <c r="M987" i="45"/>
  <c r="Q987" i="45" s="1"/>
  <c r="R987" i="45" s="1"/>
  <c r="T986" i="45"/>
  <c r="S986" i="45"/>
  <c r="M986" i="45"/>
  <c r="Q986" i="45" s="1"/>
  <c r="R986" i="45" s="1"/>
  <c r="T985" i="45"/>
  <c r="S985" i="45"/>
  <c r="M985" i="45"/>
  <c r="Q985" i="45" s="1"/>
  <c r="R985" i="45" s="1"/>
  <c r="T984" i="45"/>
  <c r="S984" i="45"/>
  <c r="M984" i="45"/>
  <c r="Q984" i="45" s="1"/>
  <c r="R984" i="45" s="1"/>
  <c r="T983" i="45"/>
  <c r="S983" i="45"/>
  <c r="M983" i="45"/>
  <c r="Q983" i="45" s="1"/>
  <c r="R983" i="45" s="1"/>
  <c r="T982" i="45"/>
  <c r="S982" i="45"/>
  <c r="M982" i="45"/>
  <c r="Q982" i="45" s="1"/>
  <c r="R982" i="45" s="1"/>
  <c r="T981" i="45"/>
  <c r="S981" i="45"/>
  <c r="M981" i="45"/>
  <c r="Q981" i="45" s="1"/>
  <c r="R981" i="45" s="1"/>
  <c r="T980" i="45"/>
  <c r="S980" i="45"/>
  <c r="M980" i="45"/>
  <c r="Q980" i="45" s="1"/>
  <c r="R980" i="45" s="1"/>
  <c r="T979" i="45"/>
  <c r="S979" i="45"/>
  <c r="M979" i="45"/>
  <c r="Q979" i="45" s="1"/>
  <c r="R979" i="45" s="1"/>
  <c r="T978" i="45"/>
  <c r="S978" i="45"/>
  <c r="M978" i="45"/>
  <c r="Q978" i="45" s="1"/>
  <c r="R978" i="45" s="1"/>
  <c r="T977" i="45"/>
  <c r="S977" i="45"/>
  <c r="M977" i="45"/>
  <c r="Q977" i="45" s="1"/>
  <c r="R977" i="45" s="1"/>
  <c r="T976" i="45"/>
  <c r="S976" i="45"/>
  <c r="M976" i="45"/>
  <c r="Q976" i="45" s="1"/>
  <c r="R976" i="45" s="1"/>
  <c r="T975" i="45"/>
  <c r="S975" i="45"/>
  <c r="M975" i="45"/>
  <c r="Q975" i="45" s="1"/>
  <c r="R975" i="45" s="1"/>
  <c r="T974" i="45"/>
  <c r="S974" i="45"/>
  <c r="M974" i="45"/>
  <c r="Q974" i="45" s="1"/>
  <c r="R974" i="45" s="1"/>
  <c r="T973" i="45"/>
  <c r="S973" i="45"/>
  <c r="M973" i="45"/>
  <c r="Q973" i="45" s="1"/>
  <c r="R973" i="45" s="1"/>
  <c r="T972" i="45"/>
  <c r="S972" i="45"/>
  <c r="M972" i="45"/>
  <c r="Q972" i="45" s="1"/>
  <c r="R972" i="45" s="1"/>
  <c r="T971" i="45"/>
  <c r="S971" i="45"/>
  <c r="M971" i="45"/>
  <c r="Q971" i="45" s="1"/>
  <c r="R971" i="45" s="1"/>
  <c r="T970" i="45"/>
  <c r="S970" i="45"/>
  <c r="M970" i="45"/>
  <c r="Q970" i="45" s="1"/>
  <c r="R970" i="45" s="1"/>
  <c r="T969" i="45"/>
  <c r="S969" i="45"/>
  <c r="M969" i="45"/>
  <c r="Q969" i="45" s="1"/>
  <c r="R969" i="45" s="1"/>
  <c r="T968" i="45"/>
  <c r="S968" i="45"/>
  <c r="M968" i="45"/>
  <c r="Q968" i="45" s="1"/>
  <c r="R968" i="45" s="1"/>
  <c r="T967" i="45"/>
  <c r="S967" i="45"/>
  <c r="M967" i="45"/>
  <c r="Q967" i="45" s="1"/>
  <c r="R967" i="45" s="1"/>
  <c r="T966" i="45"/>
  <c r="S966" i="45"/>
  <c r="M966" i="45"/>
  <c r="Q966" i="45" s="1"/>
  <c r="R966" i="45" s="1"/>
  <c r="T965" i="45"/>
  <c r="S965" i="45"/>
  <c r="M965" i="45"/>
  <c r="Q965" i="45" s="1"/>
  <c r="R965" i="45" s="1"/>
  <c r="T964" i="45"/>
  <c r="S964" i="45"/>
  <c r="M964" i="45"/>
  <c r="Q964" i="45" s="1"/>
  <c r="R964" i="45" s="1"/>
  <c r="T963" i="45"/>
  <c r="S963" i="45"/>
  <c r="M963" i="45"/>
  <c r="Q963" i="45" s="1"/>
  <c r="R963" i="45" s="1"/>
  <c r="T962" i="45"/>
  <c r="S962" i="45"/>
  <c r="M962" i="45"/>
  <c r="Q962" i="45" s="1"/>
  <c r="R962" i="45" s="1"/>
  <c r="T961" i="45"/>
  <c r="S961" i="45"/>
  <c r="M961" i="45"/>
  <c r="Q961" i="45" s="1"/>
  <c r="R961" i="45" s="1"/>
  <c r="T960" i="45"/>
  <c r="S960" i="45"/>
  <c r="M960" i="45"/>
  <c r="Q960" i="45" s="1"/>
  <c r="R960" i="45" s="1"/>
  <c r="T959" i="45"/>
  <c r="S959" i="45"/>
  <c r="M959" i="45"/>
  <c r="Q959" i="45" s="1"/>
  <c r="R959" i="45" s="1"/>
  <c r="T958" i="45"/>
  <c r="S958" i="45"/>
  <c r="M958" i="45"/>
  <c r="Q958" i="45" s="1"/>
  <c r="R958" i="45" s="1"/>
  <c r="T957" i="45"/>
  <c r="S957" i="45"/>
  <c r="M957" i="45"/>
  <c r="Q957" i="45" s="1"/>
  <c r="R957" i="45" s="1"/>
  <c r="T956" i="45"/>
  <c r="S956" i="45"/>
  <c r="M956" i="45"/>
  <c r="Q956" i="45" s="1"/>
  <c r="R956" i="45" s="1"/>
  <c r="T955" i="45"/>
  <c r="S955" i="45"/>
  <c r="M955" i="45"/>
  <c r="Q955" i="45" s="1"/>
  <c r="R955" i="45" s="1"/>
  <c r="T954" i="45"/>
  <c r="S954" i="45"/>
  <c r="M954" i="45"/>
  <c r="Q954" i="45" s="1"/>
  <c r="R954" i="45" s="1"/>
  <c r="T953" i="45"/>
  <c r="S953" i="45"/>
  <c r="M953" i="45"/>
  <c r="Q953" i="45" s="1"/>
  <c r="R953" i="45" s="1"/>
  <c r="T952" i="45"/>
  <c r="S952" i="45"/>
  <c r="M952" i="45"/>
  <c r="Q952" i="45" s="1"/>
  <c r="R952" i="45" s="1"/>
  <c r="T951" i="45"/>
  <c r="S951" i="45"/>
  <c r="M951" i="45"/>
  <c r="Q951" i="45" s="1"/>
  <c r="R951" i="45" s="1"/>
  <c r="T950" i="45"/>
  <c r="S950" i="45"/>
  <c r="M950" i="45"/>
  <c r="Q950" i="45" s="1"/>
  <c r="R950" i="45" s="1"/>
  <c r="T949" i="45"/>
  <c r="S949" i="45"/>
  <c r="M949" i="45"/>
  <c r="Q949" i="45" s="1"/>
  <c r="R949" i="45" s="1"/>
  <c r="T948" i="45"/>
  <c r="S948" i="45"/>
  <c r="M948" i="45"/>
  <c r="Q948" i="45" s="1"/>
  <c r="R948" i="45" s="1"/>
  <c r="T947" i="45"/>
  <c r="S947" i="45"/>
  <c r="M947" i="45"/>
  <c r="Q947" i="45" s="1"/>
  <c r="R947" i="45" s="1"/>
  <c r="T946" i="45"/>
  <c r="S946" i="45"/>
  <c r="M946" i="45"/>
  <c r="Q946" i="45" s="1"/>
  <c r="R946" i="45" s="1"/>
  <c r="T945" i="45"/>
  <c r="S945" i="45"/>
  <c r="M945" i="45"/>
  <c r="Q945" i="45" s="1"/>
  <c r="R945" i="45" s="1"/>
  <c r="T944" i="45"/>
  <c r="S944" i="45"/>
  <c r="M944" i="45"/>
  <c r="Q944" i="45" s="1"/>
  <c r="R944" i="45" s="1"/>
  <c r="T943" i="45"/>
  <c r="S943" i="45"/>
  <c r="M943" i="45"/>
  <c r="Q943" i="45" s="1"/>
  <c r="R943" i="45" s="1"/>
  <c r="T942" i="45"/>
  <c r="S942" i="45"/>
  <c r="M942" i="45"/>
  <c r="Q942" i="45" s="1"/>
  <c r="R942" i="45" s="1"/>
  <c r="T941" i="45"/>
  <c r="S941" i="45"/>
  <c r="M941" i="45"/>
  <c r="Q941" i="45" s="1"/>
  <c r="R941" i="45" s="1"/>
  <c r="T940" i="45"/>
  <c r="S940" i="45"/>
  <c r="M940" i="45"/>
  <c r="Q940" i="45" s="1"/>
  <c r="R940" i="45" s="1"/>
  <c r="T939" i="45"/>
  <c r="S939" i="45"/>
  <c r="M939" i="45"/>
  <c r="Q939" i="45" s="1"/>
  <c r="R939" i="45" s="1"/>
  <c r="T938" i="45"/>
  <c r="S938" i="45"/>
  <c r="M938" i="45"/>
  <c r="Q938" i="45" s="1"/>
  <c r="R938" i="45" s="1"/>
  <c r="T937" i="45"/>
  <c r="S937" i="45"/>
  <c r="M937" i="45"/>
  <c r="Q937" i="45" s="1"/>
  <c r="R937" i="45" s="1"/>
  <c r="T936" i="45"/>
  <c r="S936" i="45"/>
  <c r="M936" i="45"/>
  <c r="Q936" i="45" s="1"/>
  <c r="R936" i="45" s="1"/>
  <c r="T935" i="45"/>
  <c r="S935" i="45"/>
  <c r="M935" i="45"/>
  <c r="Q935" i="45" s="1"/>
  <c r="R935" i="45" s="1"/>
  <c r="T934" i="45"/>
  <c r="S934" i="45"/>
  <c r="M934" i="45"/>
  <c r="Q934" i="45" s="1"/>
  <c r="R934" i="45" s="1"/>
  <c r="T933" i="45"/>
  <c r="S933" i="45"/>
  <c r="M933" i="45"/>
  <c r="Q933" i="45" s="1"/>
  <c r="R933" i="45" s="1"/>
  <c r="T932" i="45"/>
  <c r="S932" i="45"/>
  <c r="M932" i="45"/>
  <c r="Q932" i="45" s="1"/>
  <c r="R932" i="45" s="1"/>
  <c r="T931" i="45"/>
  <c r="S931" i="45"/>
  <c r="M931" i="45"/>
  <c r="Q931" i="45" s="1"/>
  <c r="R931" i="45" s="1"/>
  <c r="T930" i="45"/>
  <c r="S930" i="45"/>
  <c r="M930" i="45"/>
  <c r="Q930" i="45" s="1"/>
  <c r="R930" i="45" s="1"/>
  <c r="T929" i="45"/>
  <c r="S929" i="45"/>
  <c r="M929" i="45"/>
  <c r="Q929" i="45" s="1"/>
  <c r="R929" i="45" s="1"/>
  <c r="T928" i="45"/>
  <c r="S928" i="45"/>
  <c r="M928" i="45"/>
  <c r="Q928" i="45" s="1"/>
  <c r="R928" i="45" s="1"/>
  <c r="T927" i="45"/>
  <c r="S927" i="45"/>
  <c r="M927" i="45"/>
  <c r="Q927" i="45" s="1"/>
  <c r="R927" i="45" s="1"/>
  <c r="T926" i="45"/>
  <c r="S926" i="45"/>
  <c r="M926" i="45"/>
  <c r="Q926" i="45" s="1"/>
  <c r="R926" i="45" s="1"/>
  <c r="T925" i="45"/>
  <c r="S925" i="45"/>
  <c r="M925" i="45"/>
  <c r="Q925" i="45" s="1"/>
  <c r="R925" i="45" s="1"/>
  <c r="T924" i="45"/>
  <c r="S924" i="45"/>
  <c r="M924" i="45"/>
  <c r="Q924" i="45" s="1"/>
  <c r="R924" i="45" s="1"/>
  <c r="T923" i="45"/>
  <c r="S923" i="45"/>
  <c r="M923" i="45"/>
  <c r="Q923" i="45" s="1"/>
  <c r="R923" i="45" s="1"/>
  <c r="T922" i="45"/>
  <c r="S922" i="45"/>
  <c r="M922" i="45"/>
  <c r="Q922" i="45" s="1"/>
  <c r="R922" i="45" s="1"/>
  <c r="T921" i="45"/>
  <c r="S921" i="45"/>
  <c r="M921" i="45"/>
  <c r="Q921" i="45" s="1"/>
  <c r="R921" i="45" s="1"/>
  <c r="T920" i="45"/>
  <c r="S920" i="45"/>
  <c r="M920" i="45"/>
  <c r="Q920" i="45" s="1"/>
  <c r="R920" i="45" s="1"/>
  <c r="T919" i="45"/>
  <c r="S919" i="45"/>
  <c r="M919" i="45"/>
  <c r="Q919" i="45" s="1"/>
  <c r="R919" i="45" s="1"/>
  <c r="T918" i="45"/>
  <c r="S918" i="45"/>
  <c r="M918" i="45"/>
  <c r="Q918" i="45" s="1"/>
  <c r="R918" i="45" s="1"/>
  <c r="T917" i="45"/>
  <c r="S917" i="45"/>
  <c r="M917" i="45"/>
  <c r="Q917" i="45" s="1"/>
  <c r="R917" i="45" s="1"/>
  <c r="T916" i="45"/>
  <c r="S916" i="45"/>
  <c r="M916" i="45"/>
  <c r="Q916" i="45" s="1"/>
  <c r="R916" i="45" s="1"/>
  <c r="T915" i="45"/>
  <c r="S915" i="45"/>
  <c r="M915" i="45"/>
  <c r="Q915" i="45" s="1"/>
  <c r="R915" i="45" s="1"/>
  <c r="T914" i="45"/>
  <c r="S914" i="45"/>
  <c r="M914" i="45"/>
  <c r="Q914" i="45" s="1"/>
  <c r="R914" i="45" s="1"/>
  <c r="T913" i="45"/>
  <c r="S913" i="45"/>
  <c r="M913" i="45"/>
  <c r="Q913" i="45" s="1"/>
  <c r="R913" i="45" s="1"/>
  <c r="T912" i="45"/>
  <c r="S912" i="45"/>
  <c r="M912" i="45"/>
  <c r="Q912" i="45" s="1"/>
  <c r="R912" i="45" s="1"/>
  <c r="T911" i="45"/>
  <c r="S911" i="45"/>
  <c r="M911" i="45"/>
  <c r="Q911" i="45" s="1"/>
  <c r="R911" i="45" s="1"/>
  <c r="T910" i="45"/>
  <c r="S910" i="45"/>
  <c r="M910" i="45"/>
  <c r="Q910" i="45" s="1"/>
  <c r="R910" i="45" s="1"/>
  <c r="T909" i="45"/>
  <c r="S909" i="45"/>
  <c r="M909" i="45"/>
  <c r="Q909" i="45" s="1"/>
  <c r="R909" i="45" s="1"/>
  <c r="T908" i="45"/>
  <c r="S908" i="45"/>
  <c r="M908" i="45"/>
  <c r="Q908" i="45" s="1"/>
  <c r="R908" i="45" s="1"/>
  <c r="T907" i="45"/>
  <c r="S907" i="45"/>
  <c r="M907" i="45"/>
  <c r="Q907" i="45" s="1"/>
  <c r="R907" i="45" s="1"/>
  <c r="T906" i="45"/>
  <c r="S906" i="45"/>
  <c r="M906" i="45"/>
  <c r="Q906" i="45" s="1"/>
  <c r="R906" i="45" s="1"/>
  <c r="T905" i="45"/>
  <c r="S905" i="45"/>
  <c r="M905" i="45"/>
  <c r="Q905" i="45" s="1"/>
  <c r="R905" i="45" s="1"/>
  <c r="T904" i="45"/>
  <c r="S904" i="45"/>
  <c r="M904" i="45"/>
  <c r="Q904" i="45" s="1"/>
  <c r="R904" i="45" s="1"/>
  <c r="T903" i="45"/>
  <c r="S903" i="45"/>
  <c r="M903" i="45"/>
  <c r="Q903" i="45" s="1"/>
  <c r="R903" i="45" s="1"/>
  <c r="T902" i="45"/>
  <c r="S902" i="45"/>
  <c r="M902" i="45"/>
  <c r="Q902" i="45" s="1"/>
  <c r="R902" i="45" s="1"/>
  <c r="T901" i="45"/>
  <c r="S901" i="45"/>
  <c r="M901" i="45"/>
  <c r="Q901" i="45" s="1"/>
  <c r="R901" i="45" s="1"/>
  <c r="T900" i="45"/>
  <c r="S900" i="45"/>
  <c r="M900" i="45"/>
  <c r="Q900" i="45" s="1"/>
  <c r="R900" i="45" s="1"/>
  <c r="T899" i="45"/>
  <c r="S899" i="45"/>
  <c r="M899" i="45"/>
  <c r="Q899" i="45" s="1"/>
  <c r="R899" i="45" s="1"/>
  <c r="T898" i="45"/>
  <c r="S898" i="45"/>
  <c r="M898" i="45"/>
  <c r="Q898" i="45" s="1"/>
  <c r="R898" i="45" s="1"/>
  <c r="T897" i="45"/>
  <c r="S897" i="45"/>
  <c r="M897" i="45"/>
  <c r="Q897" i="45" s="1"/>
  <c r="R897" i="45" s="1"/>
  <c r="T896" i="45"/>
  <c r="S896" i="45"/>
  <c r="M896" i="45"/>
  <c r="Q896" i="45" s="1"/>
  <c r="R896" i="45" s="1"/>
  <c r="T895" i="45"/>
  <c r="S895" i="45"/>
  <c r="M895" i="45"/>
  <c r="Q895" i="45" s="1"/>
  <c r="R895" i="45" s="1"/>
  <c r="T894" i="45"/>
  <c r="S894" i="45"/>
  <c r="M894" i="45"/>
  <c r="Q894" i="45" s="1"/>
  <c r="R894" i="45" s="1"/>
  <c r="T893" i="45"/>
  <c r="S893" i="45"/>
  <c r="M893" i="45"/>
  <c r="Q893" i="45" s="1"/>
  <c r="R893" i="45" s="1"/>
  <c r="T892" i="45"/>
  <c r="S892" i="45"/>
  <c r="M892" i="45"/>
  <c r="Q892" i="45" s="1"/>
  <c r="R892" i="45" s="1"/>
  <c r="T891" i="45"/>
  <c r="S891" i="45"/>
  <c r="M891" i="45"/>
  <c r="Q891" i="45" s="1"/>
  <c r="R891" i="45" s="1"/>
  <c r="T890" i="45"/>
  <c r="S890" i="45"/>
  <c r="M890" i="45"/>
  <c r="Q890" i="45" s="1"/>
  <c r="R890" i="45" s="1"/>
  <c r="T889" i="45"/>
  <c r="S889" i="45"/>
  <c r="M889" i="45"/>
  <c r="Q889" i="45" s="1"/>
  <c r="R889" i="45" s="1"/>
  <c r="T888" i="45"/>
  <c r="S888" i="45"/>
  <c r="M888" i="45"/>
  <c r="Q888" i="45" s="1"/>
  <c r="R888" i="45" s="1"/>
  <c r="T887" i="45"/>
  <c r="S887" i="45"/>
  <c r="M887" i="45"/>
  <c r="Q887" i="45" s="1"/>
  <c r="R887" i="45" s="1"/>
  <c r="T886" i="45"/>
  <c r="S886" i="45"/>
  <c r="M886" i="45"/>
  <c r="Q886" i="45" s="1"/>
  <c r="R886" i="45" s="1"/>
  <c r="T885" i="45"/>
  <c r="S885" i="45"/>
  <c r="M885" i="45"/>
  <c r="Q885" i="45" s="1"/>
  <c r="R885" i="45" s="1"/>
  <c r="T884" i="45"/>
  <c r="S884" i="45"/>
  <c r="M884" i="45"/>
  <c r="Q884" i="45" s="1"/>
  <c r="R884" i="45" s="1"/>
  <c r="T883" i="45"/>
  <c r="S883" i="45"/>
  <c r="M883" i="45"/>
  <c r="Q883" i="45" s="1"/>
  <c r="R883" i="45" s="1"/>
  <c r="T882" i="45"/>
  <c r="S882" i="45"/>
  <c r="M882" i="45"/>
  <c r="Q882" i="45" s="1"/>
  <c r="R882" i="45" s="1"/>
  <c r="T881" i="45"/>
  <c r="S881" i="45"/>
  <c r="M881" i="45"/>
  <c r="Q881" i="45" s="1"/>
  <c r="R881" i="45" s="1"/>
  <c r="T880" i="45"/>
  <c r="S880" i="45"/>
  <c r="M880" i="45"/>
  <c r="Q880" i="45" s="1"/>
  <c r="R880" i="45" s="1"/>
  <c r="T879" i="45"/>
  <c r="S879" i="45"/>
  <c r="M879" i="45"/>
  <c r="Q879" i="45" s="1"/>
  <c r="R879" i="45" s="1"/>
  <c r="T878" i="45"/>
  <c r="S878" i="45"/>
  <c r="M878" i="45"/>
  <c r="Q878" i="45" s="1"/>
  <c r="R878" i="45" s="1"/>
  <c r="T877" i="45"/>
  <c r="S877" i="45"/>
  <c r="M877" i="45"/>
  <c r="Q877" i="45" s="1"/>
  <c r="R877" i="45" s="1"/>
  <c r="T876" i="45"/>
  <c r="S876" i="45"/>
  <c r="M876" i="45"/>
  <c r="Q876" i="45" s="1"/>
  <c r="R876" i="45" s="1"/>
  <c r="T875" i="45"/>
  <c r="S875" i="45"/>
  <c r="M875" i="45"/>
  <c r="Q875" i="45" s="1"/>
  <c r="R875" i="45" s="1"/>
  <c r="T874" i="45"/>
  <c r="S874" i="45"/>
  <c r="M874" i="45"/>
  <c r="Q874" i="45" s="1"/>
  <c r="R874" i="45" s="1"/>
  <c r="T873" i="45"/>
  <c r="S873" i="45"/>
  <c r="M873" i="45"/>
  <c r="Q873" i="45" s="1"/>
  <c r="R873" i="45" s="1"/>
  <c r="T872" i="45"/>
  <c r="S872" i="45"/>
  <c r="M872" i="45"/>
  <c r="Q872" i="45" s="1"/>
  <c r="R872" i="45" s="1"/>
  <c r="T871" i="45"/>
  <c r="S871" i="45"/>
  <c r="M871" i="45"/>
  <c r="Q871" i="45" s="1"/>
  <c r="R871" i="45" s="1"/>
  <c r="T870" i="45"/>
  <c r="S870" i="45"/>
  <c r="M870" i="45"/>
  <c r="Q870" i="45" s="1"/>
  <c r="R870" i="45" s="1"/>
  <c r="T869" i="45"/>
  <c r="S869" i="45"/>
  <c r="M869" i="45"/>
  <c r="Q869" i="45" s="1"/>
  <c r="R869" i="45" s="1"/>
  <c r="T868" i="45"/>
  <c r="S868" i="45"/>
  <c r="M868" i="45"/>
  <c r="Q868" i="45" s="1"/>
  <c r="R868" i="45" s="1"/>
  <c r="T867" i="45"/>
  <c r="S867" i="45"/>
  <c r="M867" i="45"/>
  <c r="Q867" i="45" s="1"/>
  <c r="R867" i="45" s="1"/>
  <c r="T866" i="45"/>
  <c r="S866" i="45"/>
  <c r="M866" i="45"/>
  <c r="Q866" i="45" s="1"/>
  <c r="R866" i="45" s="1"/>
  <c r="T865" i="45"/>
  <c r="S865" i="45"/>
  <c r="M865" i="45"/>
  <c r="Q865" i="45" s="1"/>
  <c r="R865" i="45" s="1"/>
  <c r="T864" i="45"/>
  <c r="S864" i="45"/>
  <c r="M864" i="45"/>
  <c r="Q864" i="45" s="1"/>
  <c r="R864" i="45" s="1"/>
  <c r="T863" i="45"/>
  <c r="S863" i="45"/>
  <c r="M863" i="45"/>
  <c r="Q863" i="45" s="1"/>
  <c r="R863" i="45" s="1"/>
  <c r="T862" i="45"/>
  <c r="S862" i="45"/>
  <c r="M862" i="45"/>
  <c r="Q862" i="45" s="1"/>
  <c r="R862" i="45" s="1"/>
  <c r="T861" i="45"/>
  <c r="S861" i="45"/>
  <c r="M861" i="45"/>
  <c r="Q861" i="45" s="1"/>
  <c r="R861" i="45" s="1"/>
  <c r="T860" i="45"/>
  <c r="S860" i="45"/>
  <c r="M860" i="45"/>
  <c r="Q860" i="45" s="1"/>
  <c r="R860" i="45" s="1"/>
  <c r="T859" i="45"/>
  <c r="S859" i="45"/>
  <c r="M859" i="45"/>
  <c r="Q859" i="45" s="1"/>
  <c r="R859" i="45" s="1"/>
  <c r="T858" i="45"/>
  <c r="S858" i="45"/>
  <c r="M858" i="45"/>
  <c r="Q858" i="45" s="1"/>
  <c r="R858" i="45" s="1"/>
  <c r="T857" i="45"/>
  <c r="S857" i="45"/>
  <c r="M857" i="45"/>
  <c r="Q857" i="45" s="1"/>
  <c r="R857" i="45" s="1"/>
  <c r="T856" i="45"/>
  <c r="S856" i="45"/>
  <c r="M856" i="45"/>
  <c r="Q856" i="45" s="1"/>
  <c r="R856" i="45" s="1"/>
  <c r="T855" i="45"/>
  <c r="S855" i="45"/>
  <c r="M855" i="45"/>
  <c r="Q855" i="45" s="1"/>
  <c r="R855" i="45" s="1"/>
  <c r="T854" i="45"/>
  <c r="S854" i="45"/>
  <c r="M854" i="45"/>
  <c r="Q854" i="45" s="1"/>
  <c r="R854" i="45" s="1"/>
  <c r="T853" i="45"/>
  <c r="S853" i="45"/>
  <c r="M853" i="45"/>
  <c r="Q853" i="45" s="1"/>
  <c r="R853" i="45" s="1"/>
  <c r="T852" i="45"/>
  <c r="S852" i="45"/>
  <c r="M852" i="45"/>
  <c r="Q852" i="45" s="1"/>
  <c r="R852" i="45" s="1"/>
  <c r="T851" i="45"/>
  <c r="S851" i="45"/>
  <c r="M851" i="45"/>
  <c r="Q851" i="45" s="1"/>
  <c r="R851" i="45" s="1"/>
  <c r="T850" i="45"/>
  <c r="S850" i="45"/>
  <c r="M850" i="45"/>
  <c r="Q850" i="45" s="1"/>
  <c r="R850" i="45" s="1"/>
  <c r="T849" i="45"/>
  <c r="S849" i="45"/>
  <c r="M849" i="45"/>
  <c r="Q849" i="45" s="1"/>
  <c r="R849" i="45" s="1"/>
  <c r="T848" i="45"/>
  <c r="S848" i="45"/>
  <c r="M848" i="45"/>
  <c r="Q848" i="45" s="1"/>
  <c r="R848" i="45" s="1"/>
  <c r="T847" i="45"/>
  <c r="S847" i="45"/>
  <c r="M847" i="45"/>
  <c r="Q847" i="45" s="1"/>
  <c r="R847" i="45" s="1"/>
  <c r="T846" i="45"/>
  <c r="S846" i="45"/>
  <c r="M846" i="45"/>
  <c r="Q846" i="45" s="1"/>
  <c r="R846" i="45" s="1"/>
  <c r="T845" i="45"/>
  <c r="S845" i="45"/>
  <c r="M845" i="45"/>
  <c r="Q845" i="45" s="1"/>
  <c r="R845" i="45" s="1"/>
  <c r="T844" i="45"/>
  <c r="S844" i="45"/>
  <c r="M844" i="45"/>
  <c r="Q844" i="45" s="1"/>
  <c r="R844" i="45" s="1"/>
  <c r="T843" i="45"/>
  <c r="S843" i="45"/>
  <c r="M843" i="45"/>
  <c r="Q843" i="45" s="1"/>
  <c r="R843" i="45" s="1"/>
  <c r="T842" i="45"/>
  <c r="S842" i="45"/>
  <c r="M842" i="45"/>
  <c r="Q842" i="45" s="1"/>
  <c r="R842" i="45" s="1"/>
  <c r="T841" i="45"/>
  <c r="S841" i="45"/>
  <c r="M841" i="45"/>
  <c r="Q841" i="45" s="1"/>
  <c r="R841" i="45" s="1"/>
  <c r="T840" i="45"/>
  <c r="S840" i="45"/>
  <c r="M840" i="45"/>
  <c r="Q840" i="45" s="1"/>
  <c r="R840" i="45" s="1"/>
  <c r="T839" i="45"/>
  <c r="S839" i="45"/>
  <c r="M839" i="45"/>
  <c r="Q839" i="45" s="1"/>
  <c r="R839" i="45" s="1"/>
  <c r="T838" i="45"/>
  <c r="S838" i="45"/>
  <c r="M838" i="45"/>
  <c r="Q838" i="45" s="1"/>
  <c r="R838" i="45" s="1"/>
  <c r="T837" i="45"/>
  <c r="S837" i="45"/>
  <c r="M837" i="45"/>
  <c r="Q837" i="45" s="1"/>
  <c r="R837" i="45" s="1"/>
  <c r="T836" i="45"/>
  <c r="S836" i="45"/>
  <c r="M836" i="45"/>
  <c r="Q836" i="45" s="1"/>
  <c r="R836" i="45" s="1"/>
  <c r="T835" i="45"/>
  <c r="S835" i="45"/>
  <c r="M835" i="45"/>
  <c r="Q835" i="45" s="1"/>
  <c r="R835" i="45" s="1"/>
  <c r="T834" i="45"/>
  <c r="S834" i="45"/>
  <c r="M834" i="45"/>
  <c r="Q834" i="45" s="1"/>
  <c r="R834" i="45" s="1"/>
  <c r="T833" i="45"/>
  <c r="S833" i="45"/>
  <c r="M833" i="45"/>
  <c r="Q833" i="45" s="1"/>
  <c r="R833" i="45" s="1"/>
  <c r="T832" i="45"/>
  <c r="S832" i="45"/>
  <c r="M832" i="45"/>
  <c r="Q832" i="45" s="1"/>
  <c r="R832" i="45" s="1"/>
  <c r="T831" i="45"/>
  <c r="S831" i="45"/>
  <c r="M831" i="45"/>
  <c r="Q831" i="45" s="1"/>
  <c r="R831" i="45" s="1"/>
  <c r="T830" i="45"/>
  <c r="S830" i="45"/>
  <c r="M830" i="45"/>
  <c r="Q830" i="45" s="1"/>
  <c r="R830" i="45" s="1"/>
  <c r="T829" i="45"/>
  <c r="S829" i="45"/>
  <c r="M829" i="45"/>
  <c r="Q829" i="45" s="1"/>
  <c r="R829" i="45" s="1"/>
  <c r="T828" i="45"/>
  <c r="S828" i="45"/>
  <c r="M828" i="45"/>
  <c r="Q828" i="45" s="1"/>
  <c r="R828" i="45" s="1"/>
  <c r="T827" i="45"/>
  <c r="S827" i="45"/>
  <c r="M827" i="45"/>
  <c r="Q827" i="45" s="1"/>
  <c r="R827" i="45" s="1"/>
  <c r="T826" i="45"/>
  <c r="S826" i="45"/>
  <c r="M826" i="45"/>
  <c r="Q826" i="45" s="1"/>
  <c r="R826" i="45" s="1"/>
  <c r="T825" i="45"/>
  <c r="S825" i="45"/>
  <c r="M825" i="45"/>
  <c r="Q825" i="45" s="1"/>
  <c r="R825" i="45" s="1"/>
  <c r="T824" i="45"/>
  <c r="S824" i="45"/>
  <c r="M824" i="45"/>
  <c r="Q824" i="45" s="1"/>
  <c r="R824" i="45" s="1"/>
  <c r="T823" i="45"/>
  <c r="S823" i="45"/>
  <c r="M823" i="45"/>
  <c r="Q823" i="45" s="1"/>
  <c r="R823" i="45" s="1"/>
  <c r="T822" i="45"/>
  <c r="S822" i="45"/>
  <c r="M822" i="45"/>
  <c r="Q822" i="45" s="1"/>
  <c r="R822" i="45" s="1"/>
  <c r="T821" i="45"/>
  <c r="S821" i="45"/>
  <c r="M821" i="45"/>
  <c r="Q821" i="45" s="1"/>
  <c r="R821" i="45" s="1"/>
  <c r="T820" i="45"/>
  <c r="S820" i="45"/>
  <c r="M820" i="45"/>
  <c r="Q820" i="45" s="1"/>
  <c r="R820" i="45" s="1"/>
  <c r="T819" i="45"/>
  <c r="S819" i="45"/>
  <c r="M819" i="45"/>
  <c r="Q819" i="45" s="1"/>
  <c r="R819" i="45" s="1"/>
  <c r="T818" i="45"/>
  <c r="S818" i="45"/>
  <c r="M818" i="45"/>
  <c r="Q818" i="45" s="1"/>
  <c r="R818" i="45" s="1"/>
  <c r="T817" i="45"/>
  <c r="S817" i="45"/>
  <c r="M817" i="45"/>
  <c r="Q817" i="45" s="1"/>
  <c r="R817" i="45" s="1"/>
  <c r="T816" i="45"/>
  <c r="S816" i="45"/>
  <c r="M816" i="45"/>
  <c r="Q816" i="45" s="1"/>
  <c r="R816" i="45" s="1"/>
  <c r="T815" i="45"/>
  <c r="S815" i="45"/>
  <c r="M815" i="45"/>
  <c r="Q815" i="45" s="1"/>
  <c r="R815" i="45" s="1"/>
  <c r="T814" i="45"/>
  <c r="S814" i="45"/>
  <c r="M814" i="45"/>
  <c r="Q814" i="45" s="1"/>
  <c r="R814" i="45" s="1"/>
  <c r="T813" i="45"/>
  <c r="S813" i="45"/>
  <c r="M813" i="45"/>
  <c r="Q813" i="45" s="1"/>
  <c r="R813" i="45" s="1"/>
  <c r="T812" i="45"/>
  <c r="S812" i="45"/>
  <c r="M812" i="45"/>
  <c r="Q812" i="45" s="1"/>
  <c r="R812" i="45" s="1"/>
  <c r="T811" i="45"/>
  <c r="S811" i="45"/>
  <c r="M811" i="45"/>
  <c r="Q811" i="45" s="1"/>
  <c r="R811" i="45" s="1"/>
  <c r="T810" i="45"/>
  <c r="S810" i="45"/>
  <c r="M810" i="45"/>
  <c r="Q810" i="45" s="1"/>
  <c r="R810" i="45" s="1"/>
  <c r="T809" i="45"/>
  <c r="S809" i="45"/>
  <c r="M809" i="45"/>
  <c r="Q809" i="45" s="1"/>
  <c r="R809" i="45" s="1"/>
  <c r="T808" i="45"/>
  <c r="S808" i="45"/>
  <c r="M808" i="45"/>
  <c r="Q808" i="45" s="1"/>
  <c r="R808" i="45" s="1"/>
  <c r="T807" i="45"/>
  <c r="S807" i="45"/>
  <c r="M807" i="45"/>
  <c r="Q807" i="45" s="1"/>
  <c r="R807" i="45" s="1"/>
  <c r="T806" i="45"/>
  <c r="S806" i="45"/>
  <c r="M806" i="45"/>
  <c r="Q806" i="45" s="1"/>
  <c r="R806" i="45" s="1"/>
  <c r="T805" i="45"/>
  <c r="S805" i="45"/>
  <c r="M805" i="45"/>
  <c r="Q805" i="45" s="1"/>
  <c r="R805" i="45" s="1"/>
  <c r="T804" i="45"/>
  <c r="S804" i="45"/>
  <c r="M804" i="45"/>
  <c r="Q804" i="45" s="1"/>
  <c r="R804" i="45" s="1"/>
  <c r="T803" i="45"/>
  <c r="S803" i="45"/>
  <c r="M803" i="45"/>
  <c r="Q803" i="45" s="1"/>
  <c r="R803" i="45" s="1"/>
  <c r="T802" i="45"/>
  <c r="S802" i="45"/>
  <c r="M802" i="45"/>
  <c r="Q802" i="45" s="1"/>
  <c r="R802" i="45" s="1"/>
  <c r="T801" i="45"/>
  <c r="S801" i="45"/>
  <c r="M801" i="45"/>
  <c r="Q801" i="45" s="1"/>
  <c r="R801" i="45" s="1"/>
  <c r="T800" i="45"/>
  <c r="S800" i="45"/>
  <c r="M800" i="45"/>
  <c r="Q800" i="45" s="1"/>
  <c r="R800" i="45" s="1"/>
  <c r="T799" i="45"/>
  <c r="S799" i="45"/>
  <c r="M799" i="45"/>
  <c r="Q799" i="45" s="1"/>
  <c r="R799" i="45" s="1"/>
  <c r="T798" i="45"/>
  <c r="S798" i="45"/>
  <c r="M798" i="45"/>
  <c r="Q798" i="45" s="1"/>
  <c r="R798" i="45" s="1"/>
  <c r="T797" i="45"/>
  <c r="S797" i="45"/>
  <c r="M797" i="45"/>
  <c r="Q797" i="45" s="1"/>
  <c r="R797" i="45" s="1"/>
  <c r="T796" i="45"/>
  <c r="S796" i="45"/>
  <c r="M796" i="45"/>
  <c r="Q796" i="45" s="1"/>
  <c r="R796" i="45" s="1"/>
  <c r="T795" i="45"/>
  <c r="S795" i="45"/>
  <c r="M795" i="45"/>
  <c r="Q795" i="45" s="1"/>
  <c r="R795" i="45" s="1"/>
  <c r="T794" i="45"/>
  <c r="S794" i="45"/>
  <c r="M794" i="45"/>
  <c r="Q794" i="45" s="1"/>
  <c r="R794" i="45" s="1"/>
  <c r="T793" i="45"/>
  <c r="S793" i="45"/>
  <c r="M793" i="45"/>
  <c r="Q793" i="45" s="1"/>
  <c r="R793" i="45" s="1"/>
  <c r="T792" i="45"/>
  <c r="S792" i="45"/>
  <c r="M792" i="45"/>
  <c r="Q792" i="45" s="1"/>
  <c r="R792" i="45" s="1"/>
  <c r="T791" i="45"/>
  <c r="S791" i="45"/>
  <c r="M791" i="45"/>
  <c r="Q791" i="45" s="1"/>
  <c r="R791" i="45" s="1"/>
  <c r="T790" i="45"/>
  <c r="S790" i="45"/>
  <c r="M790" i="45"/>
  <c r="Q790" i="45" s="1"/>
  <c r="R790" i="45" s="1"/>
  <c r="T789" i="45"/>
  <c r="S789" i="45"/>
  <c r="M789" i="45"/>
  <c r="Q789" i="45" s="1"/>
  <c r="R789" i="45" s="1"/>
  <c r="T788" i="45"/>
  <c r="S788" i="45"/>
  <c r="M788" i="45"/>
  <c r="Q788" i="45" s="1"/>
  <c r="R788" i="45" s="1"/>
  <c r="T787" i="45"/>
  <c r="S787" i="45"/>
  <c r="M787" i="45"/>
  <c r="Q787" i="45" s="1"/>
  <c r="R787" i="45" s="1"/>
  <c r="T786" i="45"/>
  <c r="S786" i="45"/>
  <c r="M786" i="45"/>
  <c r="Q786" i="45" s="1"/>
  <c r="R786" i="45" s="1"/>
  <c r="T785" i="45"/>
  <c r="S785" i="45"/>
  <c r="M785" i="45"/>
  <c r="Q785" i="45" s="1"/>
  <c r="R785" i="45" s="1"/>
  <c r="T784" i="45"/>
  <c r="S784" i="45"/>
  <c r="M784" i="45"/>
  <c r="Q784" i="45" s="1"/>
  <c r="R784" i="45" s="1"/>
  <c r="T783" i="45"/>
  <c r="S783" i="45"/>
  <c r="M783" i="45"/>
  <c r="Q783" i="45" s="1"/>
  <c r="R783" i="45" s="1"/>
  <c r="T782" i="45"/>
  <c r="S782" i="45"/>
  <c r="M782" i="45"/>
  <c r="Q782" i="45" s="1"/>
  <c r="R782" i="45" s="1"/>
  <c r="T781" i="45"/>
  <c r="S781" i="45"/>
  <c r="M781" i="45"/>
  <c r="Q781" i="45" s="1"/>
  <c r="R781" i="45" s="1"/>
  <c r="T780" i="45"/>
  <c r="S780" i="45"/>
  <c r="M780" i="45"/>
  <c r="Q780" i="45" s="1"/>
  <c r="R780" i="45" s="1"/>
  <c r="T779" i="45"/>
  <c r="S779" i="45"/>
  <c r="M779" i="45"/>
  <c r="Q779" i="45" s="1"/>
  <c r="R779" i="45" s="1"/>
  <c r="T778" i="45"/>
  <c r="S778" i="45"/>
  <c r="M778" i="45"/>
  <c r="Q778" i="45" s="1"/>
  <c r="R778" i="45" s="1"/>
  <c r="T777" i="45"/>
  <c r="S777" i="45"/>
  <c r="M777" i="45"/>
  <c r="Q777" i="45" s="1"/>
  <c r="R777" i="45" s="1"/>
  <c r="T776" i="45"/>
  <c r="S776" i="45"/>
  <c r="M776" i="45"/>
  <c r="Q776" i="45" s="1"/>
  <c r="R776" i="45" s="1"/>
  <c r="T775" i="45"/>
  <c r="S775" i="45"/>
  <c r="M775" i="45"/>
  <c r="Q775" i="45" s="1"/>
  <c r="R775" i="45" s="1"/>
  <c r="T774" i="45"/>
  <c r="S774" i="45"/>
  <c r="M774" i="45"/>
  <c r="Q774" i="45" s="1"/>
  <c r="R774" i="45" s="1"/>
  <c r="T773" i="45"/>
  <c r="S773" i="45"/>
  <c r="M773" i="45"/>
  <c r="Q773" i="45" s="1"/>
  <c r="R773" i="45" s="1"/>
  <c r="T772" i="45"/>
  <c r="S772" i="45"/>
  <c r="M772" i="45"/>
  <c r="Q772" i="45" s="1"/>
  <c r="R772" i="45" s="1"/>
  <c r="T771" i="45"/>
  <c r="S771" i="45"/>
  <c r="M771" i="45"/>
  <c r="Q771" i="45" s="1"/>
  <c r="R771" i="45" s="1"/>
  <c r="T770" i="45"/>
  <c r="S770" i="45"/>
  <c r="M770" i="45"/>
  <c r="Q770" i="45" s="1"/>
  <c r="R770" i="45" s="1"/>
  <c r="T769" i="45"/>
  <c r="S769" i="45"/>
  <c r="M769" i="45"/>
  <c r="Q769" i="45" s="1"/>
  <c r="R769" i="45" s="1"/>
  <c r="T768" i="45"/>
  <c r="S768" i="45"/>
  <c r="M768" i="45"/>
  <c r="Q768" i="45" s="1"/>
  <c r="R768" i="45" s="1"/>
  <c r="T767" i="45"/>
  <c r="S767" i="45"/>
  <c r="M767" i="45"/>
  <c r="Q767" i="45" s="1"/>
  <c r="R767" i="45" s="1"/>
  <c r="T766" i="45"/>
  <c r="S766" i="45"/>
  <c r="M766" i="45"/>
  <c r="Q766" i="45" s="1"/>
  <c r="R766" i="45" s="1"/>
  <c r="T765" i="45"/>
  <c r="S765" i="45"/>
  <c r="M765" i="45"/>
  <c r="Q765" i="45" s="1"/>
  <c r="R765" i="45" s="1"/>
  <c r="T764" i="45"/>
  <c r="S764" i="45"/>
  <c r="M764" i="45"/>
  <c r="Q764" i="45" s="1"/>
  <c r="R764" i="45" s="1"/>
  <c r="T763" i="45"/>
  <c r="S763" i="45"/>
  <c r="M763" i="45"/>
  <c r="Q763" i="45" s="1"/>
  <c r="R763" i="45" s="1"/>
  <c r="T762" i="45"/>
  <c r="S762" i="45"/>
  <c r="M762" i="45"/>
  <c r="Q762" i="45" s="1"/>
  <c r="R762" i="45" s="1"/>
  <c r="T761" i="45"/>
  <c r="S761" i="45"/>
  <c r="M761" i="45"/>
  <c r="Q761" i="45" s="1"/>
  <c r="R761" i="45" s="1"/>
  <c r="T760" i="45"/>
  <c r="S760" i="45"/>
  <c r="M760" i="45"/>
  <c r="Q760" i="45" s="1"/>
  <c r="R760" i="45" s="1"/>
  <c r="T759" i="45"/>
  <c r="S759" i="45"/>
  <c r="M759" i="45"/>
  <c r="Q759" i="45" s="1"/>
  <c r="R759" i="45" s="1"/>
  <c r="T758" i="45"/>
  <c r="S758" i="45"/>
  <c r="M758" i="45"/>
  <c r="Q758" i="45" s="1"/>
  <c r="R758" i="45" s="1"/>
  <c r="T757" i="45"/>
  <c r="S757" i="45"/>
  <c r="M757" i="45"/>
  <c r="Q757" i="45" s="1"/>
  <c r="R757" i="45" s="1"/>
  <c r="T756" i="45"/>
  <c r="S756" i="45"/>
  <c r="M756" i="45"/>
  <c r="Q756" i="45" s="1"/>
  <c r="R756" i="45" s="1"/>
  <c r="T755" i="45"/>
  <c r="S755" i="45"/>
  <c r="M755" i="45"/>
  <c r="Q755" i="45" s="1"/>
  <c r="R755" i="45" s="1"/>
  <c r="T754" i="45"/>
  <c r="S754" i="45"/>
  <c r="M754" i="45"/>
  <c r="Q754" i="45" s="1"/>
  <c r="R754" i="45" s="1"/>
  <c r="T753" i="45"/>
  <c r="S753" i="45"/>
  <c r="M753" i="45"/>
  <c r="Q753" i="45" s="1"/>
  <c r="R753" i="45" s="1"/>
  <c r="T752" i="45"/>
  <c r="S752" i="45"/>
  <c r="M752" i="45"/>
  <c r="Q752" i="45" s="1"/>
  <c r="R752" i="45" s="1"/>
  <c r="T751" i="45"/>
  <c r="S751" i="45"/>
  <c r="M751" i="45"/>
  <c r="Q751" i="45" s="1"/>
  <c r="R751" i="45" s="1"/>
  <c r="T750" i="45"/>
  <c r="S750" i="45"/>
  <c r="M750" i="45"/>
  <c r="Q750" i="45" s="1"/>
  <c r="R750" i="45" s="1"/>
  <c r="T749" i="45"/>
  <c r="S749" i="45"/>
  <c r="M749" i="45"/>
  <c r="Q749" i="45" s="1"/>
  <c r="R749" i="45" s="1"/>
  <c r="T748" i="45"/>
  <c r="S748" i="45"/>
  <c r="M748" i="45"/>
  <c r="Q748" i="45" s="1"/>
  <c r="R748" i="45" s="1"/>
  <c r="T747" i="45"/>
  <c r="S747" i="45"/>
  <c r="M747" i="45"/>
  <c r="Q747" i="45" s="1"/>
  <c r="R747" i="45" s="1"/>
  <c r="T746" i="45"/>
  <c r="S746" i="45"/>
  <c r="M746" i="45"/>
  <c r="Q746" i="45" s="1"/>
  <c r="R746" i="45" s="1"/>
  <c r="T745" i="45"/>
  <c r="S745" i="45"/>
  <c r="M745" i="45"/>
  <c r="Q745" i="45" s="1"/>
  <c r="R745" i="45" s="1"/>
  <c r="T744" i="45"/>
  <c r="S744" i="45"/>
  <c r="M744" i="45"/>
  <c r="Q744" i="45" s="1"/>
  <c r="R744" i="45" s="1"/>
  <c r="T743" i="45"/>
  <c r="S743" i="45"/>
  <c r="M743" i="45"/>
  <c r="Q743" i="45" s="1"/>
  <c r="R743" i="45" s="1"/>
  <c r="T742" i="45"/>
  <c r="S742" i="45"/>
  <c r="M742" i="45"/>
  <c r="Q742" i="45" s="1"/>
  <c r="R742" i="45" s="1"/>
  <c r="T741" i="45"/>
  <c r="S741" i="45"/>
  <c r="M741" i="45"/>
  <c r="Q741" i="45" s="1"/>
  <c r="R741" i="45" s="1"/>
  <c r="T740" i="45"/>
  <c r="S740" i="45"/>
  <c r="M740" i="45"/>
  <c r="Q740" i="45" s="1"/>
  <c r="R740" i="45" s="1"/>
  <c r="T739" i="45"/>
  <c r="S739" i="45"/>
  <c r="M739" i="45"/>
  <c r="Q739" i="45" s="1"/>
  <c r="R739" i="45" s="1"/>
  <c r="T738" i="45"/>
  <c r="S738" i="45"/>
  <c r="M738" i="45"/>
  <c r="Q738" i="45" s="1"/>
  <c r="R738" i="45" s="1"/>
  <c r="T737" i="45"/>
  <c r="S737" i="45"/>
  <c r="M737" i="45"/>
  <c r="Q737" i="45" s="1"/>
  <c r="R737" i="45" s="1"/>
  <c r="T736" i="45"/>
  <c r="S736" i="45"/>
  <c r="M736" i="45"/>
  <c r="Q736" i="45" s="1"/>
  <c r="R736" i="45" s="1"/>
  <c r="T735" i="45"/>
  <c r="S735" i="45"/>
  <c r="M735" i="45"/>
  <c r="Q735" i="45" s="1"/>
  <c r="R735" i="45" s="1"/>
  <c r="T734" i="45"/>
  <c r="S734" i="45"/>
  <c r="M734" i="45"/>
  <c r="Q734" i="45" s="1"/>
  <c r="R734" i="45" s="1"/>
  <c r="T733" i="45"/>
  <c r="S733" i="45"/>
  <c r="M733" i="45"/>
  <c r="Q733" i="45" s="1"/>
  <c r="R733" i="45" s="1"/>
  <c r="T732" i="45"/>
  <c r="S732" i="45"/>
  <c r="M732" i="45"/>
  <c r="Q732" i="45" s="1"/>
  <c r="R732" i="45" s="1"/>
  <c r="T731" i="45"/>
  <c r="S731" i="45"/>
  <c r="M731" i="45"/>
  <c r="Q731" i="45" s="1"/>
  <c r="R731" i="45" s="1"/>
  <c r="T730" i="45"/>
  <c r="S730" i="45"/>
  <c r="M730" i="45"/>
  <c r="Q730" i="45" s="1"/>
  <c r="R730" i="45" s="1"/>
  <c r="T729" i="45"/>
  <c r="S729" i="45"/>
  <c r="M729" i="45"/>
  <c r="Q729" i="45" s="1"/>
  <c r="R729" i="45" s="1"/>
  <c r="T728" i="45"/>
  <c r="S728" i="45"/>
  <c r="M728" i="45"/>
  <c r="Q728" i="45" s="1"/>
  <c r="R728" i="45" s="1"/>
  <c r="T727" i="45"/>
  <c r="S727" i="45"/>
  <c r="M727" i="45"/>
  <c r="Q727" i="45" s="1"/>
  <c r="R727" i="45" s="1"/>
  <c r="T726" i="45"/>
  <c r="S726" i="45"/>
  <c r="M726" i="45"/>
  <c r="Q726" i="45" s="1"/>
  <c r="R726" i="45" s="1"/>
  <c r="T725" i="45"/>
  <c r="S725" i="45"/>
  <c r="M725" i="45"/>
  <c r="Q725" i="45" s="1"/>
  <c r="R725" i="45" s="1"/>
  <c r="T724" i="45"/>
  <c r="S724" i="45"/>
  <c r="M724" i="45"/>
  <c r="Q724" i="45" s="1"/>
  <c r="R724" i="45" s="1"/>
  <c r="T723" i="45"/>
  <c r="S723" i="45"/>
  <c r="M723" i="45"/>
  <c r="Q723" i="45" s="1"/>
  <c r="R723" i="45" s="1"/>
  <c r="T722" i="45"/>
  <c r="S722" i="45"/>
  <c r="M722" i="45"/>
  <c r="Q722" i="45" s="1"/>
  <c r="R722" i="45" s="1"/>
  <c r="T721" i="45"/>
  <c r="S721" i="45"/>
  <c r="M721" i="45"/>
  <c r="Q721" i="45" s="1"/>
  <c r="R721" i="45" s="1"/>
  <c r="T720" i="45"/>
  <c r="S720" i="45"/>
  <c r="M720" i="45"/>
  <c r="Q720" i="45" s="1"/>
  <c r="R720" i="45" s="1"/>
  <c r="T719" i="45"/>
  <c r="S719" i="45"/>
  <c r="M719" i="45"/>
  <c r="Q719" i="45" s="1"/>
  <c r="R719" i="45" s="1"/>
  <c r="T718" i="45"/>
  <c r="S718" i="45"/>
  <c r="M718" i="45"/>
  <c r="Q718" i="45" s="1"/>
  <c r="R718" i="45" s="1"/>
  <c r="T717" i="45"/>
  <c r="S717" i="45"/>
  <c r="M717" i="45"/>
  <c r="Q717" i="45" s="1"/>
  <c r="R717" i="45" s="1"/>
  <c r="T716" i="45"/>
  <c r="S716" i="45"/>
  <c r="M716" i="45"/>
  <c r="Q716" i="45" s="1"/>
  <c r="R716" i="45" s="1"/>
  <c r="T715" i="45"/>
  <c r="S715" i="45"/>
  <c r="M715" i="45"/>
  <c r="Q715" i="45" s="1"/>
  <c r="R715" i="45" s="1"/>
  <c r="T714" i="45"/>
  <c r="S714" i="45"/>
  <c r="M714" i="45"/>
  <c r="Q714" i="45" s="1"/>
  <c r="R714" i="45" s="1"/>
  <c r="T713" i="45"/>
  <c r="S713" i="45"/>
  <c r="M713" i="45"/>
  <c r="Q713" i="45" s="1"/>
  <c r="R713" i="45" s="1"/>
  <c r="T712" i="45"/>
  <c r="S712" i="45"/>
  <c r="M712" i="45"/>
  <c r="Q712" i="45" s="1"/>
  <c r="R712" i="45" s="1"/>
  <c r="T711" i="45"/>
  <c r="S711" i="45"/>
  <c r="M711" i="45"/>
  <c r="Q711" i="45" s="1"/>
  <c r="R711" i="45" s="1"/>
  <c r="T710" i="45"/>
  <c r="S710" i="45"/>
  <c r="M710" i="45"/>
  <c r="Q710" i="45" s="1"/>
  <c r="R710" i="45" s="1"/>
  <c r="T709" i="45"/>
  <c r="S709" i="45"/>
  <c r="M709" i="45"/>
  <c r="Q709" i="45" s="1"/>
  <c r="R709" i="45" s="1"/>
  <c r="T708" i="45"/>
  <c r="S708" i="45"/>
  <c r="M708" i="45"/>
  <c r="Q708" i="45" s="1"/>
  <c r="R708" i="45" s="1"/>
  <c r="T707" i="45"/>
  <c r="S707" i="45"/>
  <c r="M707" i="45"/>
  <c r="Q707" i="45" s="1"/>
  <c r="R707" i="45" s="1"/>
  <c r="T706" i="45"/>
  <c r="S706" i="45"/>
  <c r="M706" i="45"/>
  <c r="Q706" i="45" s="1"/>
  <c r="R706" i="45" s="1"/>
  <c r="T705" i="45"/>
  <c r="S705" i="45"/>
  <c r="M705" i="45"/>
  <c r="Q705" i="45" s="1"/>
  <c r="R705" i="45" s="1"/>
  <c r="T704" i="45"/>
  <c r="S704" i="45"/>
  <c r="M704" i="45"/>
  <c r="Q704" i="45" s="1"/>
  <c r="R704" i="45" s="1"/>
  <c r="T703" i="45"/>
  <c r="S703" i="45"/>
  <c r="M703" i="45"/>
  <c r="Q703" i="45" s="1"/>
  <c r="R703" i="45" s="1"/>
  <c r="T702" i="45"/>
  <c r="S702" i="45"/>
  <c r="M702" i="45"/>
  <c r="Q702" i="45" s="1"/>
  <c r="R702" i="45" s="1"/>
  <c r="T701" i="45"/>
  <c r="S701" i="45"/>
  <c r="M701" i="45"/>
  <c r="Q701" i="45" s="1"/>
  <c r="R701" i="45" s="1"/>
  <c r="T700" i="45"/>
  <c r="S700" i="45"/>
  <c r="M700" i="45"/>
  <c r="Q700" i="45" s="1"/>
  <c r="R700" i="45" s="1"/>
  <c r="T699" i="45"/>
  <c r="S699" i="45"/>
  <c r="M699" i="45"/>
  <c r="Q699" i="45" s="1"/>
  <c r="R699" i="45" s="1"/>
  <c r="T698" i="45"/>
  <c r="S698" i="45"/>
  <c r="M698" i="45"/>
  <c r="Q698" i="45" s="1"/>
  <c r="R698" i="45" s="1"/>
  <c r="T697" i="45"/>
  <c r="S697" i="45"/>
  <c r="M697" i="45"/>
  <c r="Q697" i="45" s="1"/>
  <c r="R697" i="45" s="1"/>
  <c r="T696" i="45"/>
  <c r="S696" i="45"/>
  <c r="M696" i="45"/>
  <c r="Q696" i="45" s="1"/>
  <c r="R696" i="45" s="1"/>
  <c r="T695" i="45"/>
  <c r="S695" i="45"/>
  <c r="M695" i="45"/>
  <c r="Q695" i="45" s="1"/>
  <c r="R695" i="45" s="1"/>
  <c r="T694" i="45"/>
  <c r="S694" i="45"/>
  <c r="M694" i="45"/>
  <c r="Q694" i="45" s="1"/>
  <c r="R694" i="45" s="1"/>
  <c r="T693" i="45"/>
  <c r="S693" i="45"/>
  <c r="M693" i="45"/>
  <c r="Q693" i="45" s="1"/>
  <c r="R693" i="45" s="1"/>
  <c r="T692" i="45"/>
  <c r="S692" i="45"/>
  <c r="M692" i="45"/>
  <c r="Q692" i="45" s="1"/>
  <c r="R692" i="45" s="1"/>
  <c r="T691" i="45"/>
  <c r="S691" i="45"/>
  <c r="M691" i="45"/>
  <c r="Q691" i="45" s="1"/>
  <c r="R691" i="45" s="1"/>
  <c r="T690" i="45"/>
  <c r="S690" i="45"/>
  <c r="M690" i="45"/>
  <c r="Q690" i="45" s="1"/>
  <c r="R690" i="45" s="1"/>
  <c r="T689" i="45"/>
  <c r="S689" i="45"/>
  <c r="M689" i="45"/>
  <c r="Q689" i="45" s="1"/>
  <c r="R689" i="45" s="1"/>
  <c r="T688" i="45"/>
  <c r="S688" i="45"/>
  <c r="M688" i="45"/>
  <c r="Q688" i="45" s="1"/>
  <c r="R688" i="45" s="1"/>
  <c r="T687" i="45"/>
  <c r="S687" i="45"/>
  <c r="M687" i="45"/>
  <c r="Q687" i="45" s="1"/>
  <c r="R687" i="45" s="1"/>
  <c r="T686" i="45"/>
  <c r="S686" i="45"/>
  <c r="M686" i="45"/>
  <c r="Q686" i="45" s="1"/>
  <c r="R686" i="45" s="1"/>
  <c r="T685" i="45"/>
  <c r="S685" i="45"/>
  <c r="M685" i="45"/>
  <c r="Q685" i="45" s="1"/>
  <c r="R685" i="45" s="1"/>
  <c r="T684" i="45"/>
  <c r="S684" i="45"/>
  <c r="M684" i="45"/>
  <c r="Q684" i="45" s="1"/>
  <c r="R684" i="45" s="1"/>
  <c r="T683" i="45"/>
  <c r="S683" i="45"/>
  <c r="M683" i="45"/>
  <c r="Q683" i="45" s="1"/>
  <c r="R683" i="45" s="1"/>
  <c r="T682" i="45"/>
  <c r="S682" i="45"/>
  <c r="M682" i="45"/>
  <c r="Q682" i="45" s="1"/>
  <c r="R682" i="45" s="1"/>
  <c r="T681" i="45"/>
  <c r="S681" i="45"/>
  <c r="M681" i="45"/>
  <c r="Q681" i="45" s="1"/>
  <c r="R681" i="45" s="1"/>
  <c r="T680" i="45"/>
  <c r="S680" i="45"/>
  <c r="M680" i="45"/>
  <c r="Q680" i="45" s="1"/>
  <c r="R680" i="45" s="1"/>
  <c r="T679" i="45"/>
  <c r="S679" i="45"/>
  <c r="M679" i="45"/>
  <c r="Q679" i="45" s="1"/>
  <c r="R679" i="45" s="1"/>
  <c r="T678" i="45"/>
  <c r="S678" i="45"/>
  <c r="M678" i="45"/>
  <c r="Q678" i="45" s="1"/>
  <c r="R678" i="45" s="1"/>
  <c r="T677" i="45"/>
  <c r="S677" i="45"/>
  <c r="M677" i="45"/>
  <c r="Q677" i="45" s="1"/>
  <c r="R677" i="45" s="1"/>
  <c r="T676" i="45"/>
  <c r="S676" i="45"/>
  <c r="M676" i="45"/>
  <c r="Q676" i="45" s="1"/>
  <c r="R676" i="45" s="1"/>
  <c r="T675" i="45"/>
  <c r="S675" i="45"/>
  <c r="M675" i="45"/>
  <c r="Q675" i="45" s="1"/>
  <c r="R675" i="45" s="1"/>
  <c r="T674" i="45"/>
  <c r="S674" i="45"/>
  <c r="M674" i="45"/>
  <c r="Q674" i="45" s="1"/>
  <c r="R674" i="45" s="1"/>
  <c r="T673" i="45"/>
  <c r="S673" i="45"/>
  <c r="M673" i="45"/>
  <c r="Q673" i="45" s="1"/>
  <c r="R673" i="45" s="1"/>
  <c r="T672" i="45"/>
  <c r="S672" i="45"/>
  <c r="M672" i="45"/>
  <c r="Q672" i="45" s="1"/>
  <c r="R672" i="45" s="1"/>
  <c r="T671" i="45"/>
  <c r="S671" i="45"/>
  <c r="M671" i="45"/>
  <c r="Q671" i="45" s="1"/>
  <c r="R671" i="45" s="1"/>
  <c r="T670" i="45"/>
  <c r="S670" i="45"/>
  <c r="M670" i="45"/>
  <c r="Q670" i="45" s="1"/>
  <c r="R670" i="45" s="1"/>
  <c r="T669" i="45"/>
  <c r="S669" i="45"/>
  <c r="M669" i="45"/>
  <c r="Q669" i="45" s="1"/>
  <c r="R669" i="45" s="1"/>
  <c r="T668" i="45"/>
  <c r="S668" i="45"/>
  <c r="M668" i="45"/>
  <c r="Q668" i="45" s="1"/>
  <c r="R668" i="45" s="1"/>
  <c r="T667" i="45"/>
  <c r="S667" i="45"/>
  <c r="M667" i="45"/>
  <c r="Q667" i="45" s="1"/>
  <c r="R667" i="45" s="1"/>
  <c r="T666" i="45"/>
  <c r="S666" i="45"/>
  <c r="M666" i="45"/>
  <c r="Q666" i="45" s="1"/>
  <c r="R666" i="45" s="1"/>
  <c r="T665" i="45"/>
  <c r="S665" i="45"/>
  <c r="M665" i="45"/>
  <c r="Q665" i="45" s="1"/>
  <c r="R665" i="45" s="1"/>
  <c r="T664" i="45"/>
  <c r="S664" i="45"/>
  <c r="M664" i="45"/>
  <c r="Q664" i="45" s="1"/>
  <c r="R664" i="45" s="1"/>
  <c r="T663" i="45"/>
  <c r="S663" i="45"/>
  <c r="M663" i="45"/>
  <c r="Q663" i="45" s="1"/>
  <c r="R663" i="45" s="1"/>
  <c r="T662" i="45"/>
  <c r="S662" i="45"/>
  <c r="M662" i="45"/>
  <c r="Q662" i="45" s="1"/>
  <c r="R662" i="45" s="1"/>
  <c r="T661" i="45"/>
  <c r="S661" i="45"/>
  <c r="M661" i="45"/>
  <c r="Q661" i="45" s="1"/>
  <c r="R661" i="45" s="1"/>
  <c r="T660" i="45"/>
  <c r="S660" i="45"/>
  <c r="M660" i="45"/>
  <c r="Q660" i="45" s="1"/>
  <c r="R660" i="45" s="1"/>
  <c r="T659" i="45"/>
  <c r="S659" i="45"/>
  <c r="M659" i="45"/>
  <c r="Q659" i="45" s="1"/>
  <c r="R659" i="45" s="1"/>
  <c r="T658" i="45"/>
  <c r="S658" i="45"/>
  <c r="M658" i="45"/>
  <c r="Q658" i="45" s="1"/>
  <c r="R658" i="45" s="1"/>
  <c r="T657" i="45"/>
  <c r="S657" i="45"/>
  <c r="M657" i="45"/>
  <c r="Q657" i="45" s="1"/>
  <c r="R657" i="45" s="1"/>
  <c r="T656" i="45"/>
  <c r="S656" i="45"/>
  <c r="M656" i="45"/>
  <c r="Q656" i="45" s="1"/>
  <c r="R656" i="45" s="1"/>
  <c r="T655" i="45"/>
  <c r="S655" i="45"/>
  <c r="M655" i="45"/>
  <c r="Q655" i="45" s="1"/>
  <c r="R655" i="45" s="1"/>
  <c r="T654" i="45"/>
  <c r="S654" i="45"/>
  <c r="M654" i="45"/>
  <c r="Q654" i="45" s="1"/>
  <c r="R654" i="45" s="1"/>
  <c r="T653" i="45"/>
  <c r="S653" i="45"/>
  <c r="M653" i="45"/>
  <c r="Q653" i="45" s="1"/>
  <c r="R653" i="45" s="1"/>
  <c r="T652" i="45"/>
  <c r="S652" i="45"/>
  <c r="M652" i="45"/>
  <c r="Q652" i="45" s="1"/>
  <c r="R652" i="45" s="1"/>
  <c r="T651" i="45"/>
  <c r="S651" i="45"/>
  <c r="M651" i="45"/>
  <c r="Q651" i="45" s="1"/>
  <c r="R651" i="45" s="1"/>
  <c r="T650" i="45"/>
  <c r="S650" i="45"/>
  <c r="M650" i="45"/>
  <c r="Q650" i="45" s="1"/>
  <c r="R650" i="45" s="1"/>
  <c r="T649" i="45"/>
  <c r="S649" i="45"/>
  <c r="M649" i="45"/>
  <c r="Q649" i="45" s="1"/>
  <c r="R649" i="45" s="1"/>
  <c r="T648" i="45"/>
  <c r="S648" i="45"/>
  <c r="M648" i="45"/>
  <c r="Q648" i="45" s="1"/>
  <c r="R648" i="45" s="1"/>
  <c r="T647" i="45"/>
  <c r="S647" i="45"/>
  <c r="M647" i="45"/>
  <c r="Q647" i="45" s="1"/>
  <c r="R647" i="45" s="1"/>
  <c r="T646" i="45"/>
  <c r="S646" i="45"/>
  <c r="M646" i="45"/>
  <c r="Q646" i="45" s="1"/>
  <c r="R646" i="45" s="1"/>
  <c r="T645" i="45"/>
  <c r="S645" i="45"/>
  <c r="M645" i="45"/>
  <c r="Q645" i="45" s="1"/>
  <c r="R645" i="45" s="1"/>
  <c r="T644" i="45"/>
  <c r="S644" i="45"/>
  <c r="M644" i="45"/>
  <c r="Q644" i="45" s="1"/>
  <c r="R644" i="45" s="1"/>
  <c r="T643" i="45"/>
  <c r="S643" i="45"/>
  <c r="M643" i="45"/>
  <c r="Q643" i="45" s="1"/>
  <c r="R643" i="45" s="1"/>
  <c r="T642" i="45"/>
  <c r="S642" i="45"/>
  <c r="M642" i="45"/>
  <c r="Q642" i="45" s="1"/>
  <c r="R642" i="45" s="1"/>
  <c r="T641" i="45"/>
  <c r="S641" i="45"/>
  <c r="M641" i="45"/>
  <c r="Q641" i="45" s="1"/>
  <c r="R641" i="45" s="1"/>
  <c r="T640" i="45"/>
  <c r="S640" i="45"/>
  <c r="M640" i="45"/>
  <c r="Q640" i="45" s="1"/>
  <c r="R640" i="45" s="1"/>
  <c r="T639" i="45"/>
  <c r="S639" i="45"/>
  <c r="M639" i="45"/>
  <c r="Q639" i="45" s="1"/>
  <c r="R639" i="45" s="1"/>
  <c r="T638" i="45"/>
  <c r="S638" i="45"/>
  <c r="M638" i="45"/>
  <c r="Q638" i="45" s="1"/>
  <c r="R638" i="45" s="1"/>
  <c r="T637" i="45"/>
  <c r="S637" i="45"/>
  <c r="M637" i="45"/>
  <c r="Q637" i="45" s="1"/>
  <c r="R637" i="45" s="1"/>
  <c r="T636" i="45"/>
  <c r="S636" i="45"/>
  <c r="M636" i="45"/>
  <c r="Q636" i="45" s="1"/>
  <c r="R636" i="45" s="1"/>
  <c r="T635" i="45"/>
  <c r="S635" i="45"/>
  <c r="M635" i="45"/>
  <c r="Q635" i="45" s="1"/>
  <c r="R635" i="45" s="1"/>
  <c r="T634" i="45"/>
  <c r="S634" i="45"/>
  <c r="M634" i="45"/>
  <c r="Q634" i="45" s="1"/>
  <c r="R634" i="45" s="1"/>
  <c r="T633" i="45"/>
  <c r="S633" i="45"/>
  <c r="M633" i="45"/>
  <c r="Q633" i="45" s="1"/>
  <c r="R633" i="45" s="1"/>
  <c r="T632" i="45"/>
  <c r="S632" i="45"/>
  <c r="M632" i="45"/>
  <c r="Q632" i="45" s="1"/>
  <c r="R632" i="45" s="1"/>
  <c r="T631" i="45"/>
  <c r="S631" i="45"/>
  <c r="M631" i="45"/>
  <c r="Q631" i="45" s="1"/>
  <c r="R631" i="45" s="1"/>
  <c r="T630" i="45"/>
  <c r="S630" i="45"/>
  <c r="M630" i="45"/>
  <c r="Q630" i="45" s="1"/>
  <c r="R630" i="45" s="1"/>
  <c r="T629" i="45"/>
  <c r="S629" i="45"/>
  <c r="M629" i="45"/>
  <c r="Q629" i="45" s="1"/>
  <c r="R629" i="45" s="1"/>
  <c r="T628" i="45"/>
  <c r="S628" i="45"/>
  <c r="M628" i="45"/>
  <c r="Q628" i="45" s="1"/>
  <c r="R628" i="45" s="1"/>
  <c r="T627" i="45"/>
  <c r="S627" i="45"/>
  <c r="M627" i="45"/>
  <c r="Q627" i="45" s="1"/>
  <c r="R627" i="45" s="1"/>
  <c r="T626" i="45"/>
  <c r="S626" i="45"/>
  <c r="M626" i="45"/>
  <c r="Q626" i="45" s="1"/>
  <c r="R626" i="45" s="1"/>
  <c r="T625" i="45"/>
  <c r="S625" i="45"/>
  <c r="M625" i="45"/>
  <c r="Q625" i="45" s="1"/>
  <c r="R625" i="45" s="1"/>
  <c r="T624" i="45"/>
  <c r="S624" i="45"/>
  <c r="M624" i="45"/>
  <c r="Q624" i="45" s="1"/>
  <c r="R624" i="45" s="1"/>
  <c r="T623" i="45"/>
  <c r="S623" i="45"/>
  <c r="M623" i="45"/>
  <c r="Q623" i="45" s="1"/>
  <c r="R623" i="45" s="1"/>
  <c r="T622" i="45"/>
  <c r="S622" i="45"/>
  <c r="M622" i="45"/>
  <c r="Q622" i="45" s="1"/>
  <c r="R622" i="45" s="1"/>
  <c r="T621" i="45"/>
  <c r="S621" i="45"/>
  <c r="M621" i="45"/>
  <c r="Q621" i="45" s="1"/>
  <c r="R621" i="45" s="1"/>
  <c r="T620" i="45"/>
  <c r="S620" i="45"/>
  <c r="M620" i="45"/>
  <c r="Q620" i="45" s="1"/>
  <c r="R620" i="45" s="1"/>
  <c r="T619" i="45"/>
  <c r="S619" i="45"/>
  <c r="M619" i="45"/>
  <c r="Q619" i="45" s="1"/>
  <c r="R619" i="45" s="1"/>
  <c r="T618" i="45"/>
  <c r="S618" i="45"/>
  <c r="M618" i="45"/>
  <c r="Q618" i="45" s="1"/>
  <c r="R618" i="45" s="1"/>
  <c r="T617" i="45"/>
  <c r="S617" i="45"/>
  <c r="M617" i="45"/>
  <c r="Q617" i="45" s="1"/>
  <c r="R617" i="45" s="1"/>
  <c r="T616" i="45"/>
  <c r="S616" i="45"/>
  <c r="M616" i="45"/>
  <c r="Q616" i="45" s="1"/>
  <c r="R616" i="45" s="1"/>
  <c r="T615" i="45"/>
  <c r="S615" i="45"/>
  <c r="M615" i="45"/>
  <c r="Q615" i="45" s="1"/>
  <c r="R615" i="45" s="1"/>
  <c r="T614" i="45"/>
  <c r="S614" i="45"/>
  <c r="M614" i="45"/>
  <c r="Q614" i="45" s="1"/>
  <c r="R614" i="45" s="1"/>
  <c r="T613" i="45"/>
  <c r="S613" i="45"/>
  <c r="M613" i="45"/>
  <c r="Q613" i="45" s="1"/>
  <c r="R613" i="45" s="1"/>
  <c r="T612" i="45"/>
  <c r="S612" i="45"/>
  <c r="M612" i="45"/>
  <c r="Q612" i="45" s="1"/>
  <c r="R612" i="45" s="1"/>
  <c r="T611" i="45"/>
  <c r="S611" i="45"/>
  <c r="M611" i="45"/>
  <c r="Q611" i="45" s="1"/>
  <c r="R611" i="45" s="1"/>
  <c r="T610" i="45"/>
  <c r="S610" i="45"/>
  <c r="M610" i="45"/>
  <c r="Q610" i="45" s="1"/>
  <c r="R610" i="45" s="1"/>
  <c r="T609" i="45"/>
  <c r="S609" i="45"/>
  <c r="M609" i="45"/>
  <c r="Q609" i="45" s="1"/>
  <c r="R609" i="45" s="1"/>
  <c r="T608" i="45"/>
  <c r="S608" i="45"/>
  <c r="M608" i="45"/>
  <c r="Q608" i="45" s="1"/>
  <c r="R608" i="45" s="1"/>
  <c r="T607" i="45"/>
  <c r="S607" i="45"/>
  <c r="M607" i="45"/>
  <c r="Q607" i="45" s="1"/>
  <c r="R607" i="45" s="1"/>
  <c r="T606" i="45"/>
  <c r="S606" i="45"/>
  <c r="M606" i="45"/>
  <c r="Q606" i="45" s="1"/>
  <c r="R606" i="45" s="1"/>
  <c r="T605" i="45"/>
  <c r="S605" i="45"/>
  <c r="M605" i="45"/>
  <c r="Q605" i="45" s="1"/>
  <c r="R605" i="45" s="1"/>
  <c r="T604" i="45"/>
  <c r="S604" i="45"/>
  <c r="M604" i="45"/>
  <c r="Q604" i="45" s="1"/>
  <c r="R604" i="45" s="1"/>
  <c r="T603" i="45"/>
  <c r="S603" i="45"/>
  <c r="M603" i="45"/>
  <c r="Q603" i="45" s="1"/>
  <c r="R603" i="45" s="1"/>
  <c r="T602" i="45"/>
  <c r="S602" i="45"/>
  <c r="M602" i="45"/>
  <c r="Q602" i="45" s="1"/>
  <c r="R602" i="45" s="1"/>
  <c r="T601" i="45"/>
  <c r="S601" i="45"/>
  <c r="M601" i="45"/>
  <c r="Q601" i="45" s="1"/>
  <c r="R601" i="45" s="1"/>
  <c r="T600" i="45"/>
  <c r="S600" i="45"/>
  <c r="M600" i="45"/>
  <c r="Q600" i="45" s="1"/>
  <c r="R600" i="45" s="1"/>
  <c r="T599" i="45"/>
  <c r="S599" i="45"/>
  <c r="M599" i="45"/>
  <c r="Q599" i="45" s="1"/>
  <c r="R599" i="45" s="1"/>
  <c r="T598" i="45"/>
  <c r="S598" i="45"/>
  <c r="M598" i="45"/>
  <c r="Q598" i="45" s="1"/>
  <c r="R598" i="45" s="1"/>
  <c r="T597" i="45"/>
  <c r="S597" i="45"/>
  <c r="M597" i="45"/>
  <c r="Q597" i="45" s="1"/>
  <c r="R597" i="45" s="1"/>
  <c r="T596" i="45"/>
  <c r="S596" i="45"/>
  <c r="M596" i="45"/>
  <c r="Q596" i="45" s="1"/>
  <c r="R596" i="45" s="1"/>
  <c r="T595" i="45"/>
  <c r="S595" i="45"/>
  <c r="M595" i="45"/>
  <c r="Q595" i="45" s="1"/>
  <c r="R595" i="45" s="1"/>
  <c r="T594" i="45"/>
  <c r="S594" i="45"/>
  <c r="M594" i="45"/>
  <c r="Q594" i="45" s="1"/>
  <c r="R594" i="45" s="1"/>
  <c r="T593" i="45"/>
  <c r="S593" i="45"/>
  <c r="M593" i="45"/>
  <c r="Q593" i="45" s="1"/>
  <c r="R593" i="45" s="1"/>
  <c r="T592" i="45"/>
  <c r="S592" i="45"/>
  <c r="M592" i="45"/>
  <c r="Q592" i="45" s="1"/>
  <c r="R592" i="45" s="1"/>
  <c r="T591" i="45"/>
  <c r="S591" i="45"/>
  <c r="M591" i="45"/>
  <c r="Q591" i="45" s="1"/>
  <c r="R591" i="45" s="1"/>
  <c r="T590" i="45"/>
  <c r="S590" i="45"/>
  <c r="M590" i="45"/>
  <c r="Q590" i="45" s="1"/>
  <c r="R590" i="45" s="1"/>
  <c r="T589" i="45"/>
  <c r="S589" i="45"/>
  <c r="M589" i="45"/>
  <c r="Q589" i="45" s="1"/>
  <c r="R589" i="45" s="1"/>
  <c r="T588" i="45"/>
  <c r="S588" i="45"/>
  <c r="M588" i="45"/>
  <c r="Q588" i="45" s="1"/>
  <c r="R588" i="45" s="1"/>
  <c r="T587" i="45"/>
  <c r="S587" i="45"/>
  <c r="M587" i="45"/>
  <c r="Q587" i="45" s="1"/>
  <c r="R587" i="45" s="1"/>
  <c r="T586" i="45"/>
  <c r="S586" i="45"/>
  <c r="M586" i="45"/>
  <c r="Q586" i="45" s="1"/>
  <c r="R586" i="45" s="1"/>
  <c r="T585" i="45"/>
  <c r="S585" i="45"/>
  <c r="M585" i="45"/>
  <c r="Q585" i="45" s="1"/>
  <c r="R585" i="45" s="1"/>
  <c r="T584" i="45"/>
  <c r="S584" i="45"/>
  <c r="M584" i="45"/>
  <c r="Q584" i="45" s="1"/>
  <c r="R584" i="45" s="1"/>
  <c r="T583" i="45"/>
  <c r="S583" i="45"/>
  <c r="M583" i="45"/>
  <c r="Q583" i="45" s="1"/>
  <c r="R583" i="45" s="1"/>
  <c r="T582" i="45"/>
  <c r="S582" i="45"/>
  <c r="M582" i="45"/>
  <c r="Q582" i="45" s="1"/>
  <c r="R582" i="45" s="1"/>
  <c r="T581" i="45"/>
  <c r="S581" i="45"/>
  <c r="M581" i="45"/>
  <c r="Q581" i="45" s="1"/>
  <c r="R581" i="45" s="1"/>
  <c r="T580" i="45"/>
  <c r="S580" i="45"/>
  <c r="M580" i="45"/>
  <c r="Q580" i="45" s="1"/>
  <c r="R580" i="45" s="1"/>
  <c r="T579" i="45"/>
  <c r="S579" i="45"/>
  <c r="M579" i="45"/>
  <c r="Q579" i="45" s="1"/>
  <c r="R579" i="45" s="1"/>
  <c r="T578" i="45"/>
  <c r="S578" i="45"/>
  <c r="M578" i="45"/>
  <c r="Q578" i="45" s="1"/>
  <c r="R578" i="45" s="1"/>
  <c r="T577" i="45"/>
  <c r="S577" i="45"/>
  <c r="M577" i="45"/>
  <c r="Q577" i="45" s="1"/>
  <c r="R577" i="45" s="1"/>
  <c r="T576" i="45"/>
  <c r="S576" i="45"/>
  <c r="M576" i="45"/>
  <c r="Q576" i="45" s="1"/>
  <c r="R576" i="45" s="1"/>
  <c r="T575" i="45"/>
  <c r="S575" i="45"/>
  <c r="M575" i="45"/>
  <c r="Q575" i="45" s="1"/>
  <c r="R575" i="45" s="1"/>
  <c r="T574" i="45"/>
  <c r="S574" i="45"/>
  <c r="M574" i="45"/>
  <c r="Q574" i="45" s="1"/>
  <c r="R574" i="45" s="1"/>
  <c r="T573" i="45"/>
  <c r="S573" i="45"/>
  <c r="M573" i="45"/>
  <c r="Q573" i="45" s="1"/>
  <c r="R573" i="45" s="1"/>
  <c r="T572" i="45"/>
  <c r="S572" i="45"/>
  <c r="M572" i="45"/>
  <c r="Q572" i="45" s="1"/>
  <c r="R572" i="45" s="1"/>
  <c r="T571" i="45"/>
  <c r="S571" i="45"/>
  <c r="M571" i="45"/>
  <c r="Q571" i="45" s="1"/>
  <c r="R571" i="45" s="1"/>
  <c r="T570" i="45"/>
  <c r="S570" i="45"/>
  <c r="M570" i="45"/>
  <c r="Q570" i="45" s="1"/>
  <c r="R570" i="45" s="1"/>
  <c r="T569" i="45"/>
  <c r="S569" i="45"/>
  <c r="M569" i="45"/>
  <c r="Q569" i="45" s="1"/>
  <c r="R569" i="45" s="1"/>
  <c r="T568" i="45"/>
  <c r="S568" i="45"/>
  <c r="M568" i="45"/>
  <c r="Q568" i="45" s="1"/>
  <c r="R568" i="45" s="1"/>
  <c r="T567" i="45"/>
  <c r="S567" i="45"/>
  <c r="M567" i="45"/>
  <c r="Q567" i="45" s="1"/>
  <c r="R567" i="45" s="1"/>
  <c r="T566" i="45"/>
  <c r="S566" i="45"/>
  <c r="M566" i="45"/>
  <c r="Q566" i="45" s="1"/>
  <c r="R566" i="45" s="1"/>
  <c r="T565" i="45"/>
  <c r="S565" i="45"/>
  <c r="M565" i="45"/>
  <c r="Q565" i="45" s="1"/>
  <c r="R565" i="45" s="1"/>
  <c r="T564" i="45"/>
  <c r="S564" i="45"/>
  <c r="M564" i="45"/>
  <c r="Q564" i="45" s="1"/>
  <c r="R564" i="45" s="1"/>
  <c r="T563" i="45"/>
  <c r="S563" i="45"/>
  <c r="M563" i="45"/>
  <c r="Q563" i="45" s="1"/>
  <c r="R563" i="45" s="1"/>
  <c r="T562" i="45"/>
  <c r="S562" i="45"/>
  <c r="M562" i="45"/>
  <c r="Q562" i="45" s="1"/>
  <c r="R562" i="45" s="1"/>
  <c r="T561" i="45"/>
  <c r="S561" i="45"/>
  <c r="M561" i="45"/>
  <c r="Q561" i="45" s="1"/>
  <c r="R561" i="45" s="1"/>
  <c r="T560" i="45"/>
  <c r="S560" i="45"/>
  <c r="M560" i="45"/>
  <c r="Q560" i="45" s="1"/>
  <c r="R560" i="45" s="1"/>
  <c r="T559" i="45"/>
  <c r="S559" i="45"/>
  <c r="M559" i="45"/>
  <c r="Q559" i="45" s="1"/>
  <c r="R559" i="45" s="1"/>
  <c r="T558" i="45"/>
  <c r="S558" i="45"/>
  <c r="M558" i="45"/>
  <c r="Q558" i="45" s="1"/>
  <c r="R558" i="45" s="1"/>
  <c r="T557" i="45"/>
  <c r="S557" i="45"/>
  <c r="M557" i="45"/>
  <c r="Q557" i="45" s="1"/>
  <c r="R557" i="45" s="1"/>
  <c r="T556" i="45"/>
  <c r="S556" i="45"/>
  <c r="M556" i="45"/>
  <c r="Q556" i="45" s="1"/>
  <c r="R556" i="45" s="1"/>
  <c r="T555" i="45"/>
  <c r="S555" i="45"/>
  <c r="M555" i="45"/>
  <c r="Q555" i="45" s="1"/>
  <c r="R555" i="45" s="1"/>
  <c r="T554" i="45"/>
  <c r="S554" i="45"/>
  <c r="M554" i="45"/>
  <c r="Q554" i="45" s="1"/>
  <c r="R554" i="45" s="1"/>
  <c r="T553" i="45"/>
  <c r="S553" i="45"/>
  <c r="M553" i="45"/>
  <c r="Q553" i="45" s="1"/>
  <c r="R553" i="45" s="1"/>
  <c r="T552" i="45"/>
  <c r="S552" i="45"/>
  <c r="M552" i="45"/>
  <c r="Q552" i="45" s="1"/>
  <c r="R552" i="45" s="1"/>
  <c r="T551" i="45"/>
  <c r="S551" i="45"/>
  <c r="M551" i="45"/>
  <c r="Q551" i="45" s="1"/>
  <c r="R551" i="45" s="1"/>
  <c r="T550" i="45"/>
  <c r="S550" i="45"/>
  <c r="M550" i="45"/>
  <c r="Q550" i="45" s="1"/>
  <c r="R550" i="45" s="1"/>
  <c r="T549" i="45"/>
  <c r="S549" i="45"/>
  <c r="M549" i="45"/>
  <c r="Q549" i="45" s="1"/>
  <c r="R549" i="45" s="1"/>
  <c r="T548" i="45"/>
  <c r="S548" i="45"/>
  <c r="M548" i="45"/>
  <c r="Q548" i="45" s="1"/>
  <c r="R548" i="45" s="1"/>
  <c r="T547" i="45"/>
  <c r="S547" i="45"/>
  <c r="M547" i="45"/>
  <c r="Q547" i="45" s="1"/>
  <c r="R547" i="45" s="1"/>
  <c r="T546" i="45"/>
  <c r="S546" i="45"/>
  <c r="M546" i="45"/>
  <c r="Q546" i="45" s="1"/>
  <c r="R546" i="45" s="1"/>
  <c r="T545" i="45"/>
  <c r="S545" i="45"/>
  <c r="M545" i="45"/>
  <c r="Q545" i="45" s="1"/>
  <c r="R545" i="45" s="1"/>
  <c r="T544" i="45"/>
  <c r="S544" i="45"/>
  <c r="M544" i="45"/>
  <c r="Q544" i="45" s="1"/>
  <c r="R544" i="45" s="1"/>
  <c r="T543" i="45"/>
  <c r="S543" i="45"/>
  <c r="M543" i="45"/>
  <c r="Q543" i="45" s="1"/>
  <c r="R543" i="45" s="1"/>
  <c r="T542" i="45"/>
  <c r="S542" i="45"/>
  <c r="M542" i="45"/>
  <c r="Q542" i="45" s="1"/>
  <c r="R542" i="45" s="1"/>
  <c r="T541" i="45"/>
  <c r="S541" i="45"/>
  <c r="M541" i="45"/>
  <c r="Q541" i="45" s="1"/>
  <c r="R541" i="45" s="1"/>
  <c r="T540" i="45"/>
  <c r="S540" i="45"/>
  <c r="M540" i="45"/>
  <c r="Q540" i="45" s="1"/>
  <c r="R540" i="45" s="1"/>
  <c r="T539" i="45"/>
  <c r="S539" i="45"/>
  <c r="M539" i="45"/>
  <c r="Q539" i="45" s="1"/>
  <c r="R539" i="45" s="1"/>
  <c r="T538" i="45"/>
  <c r="S538" i="45"/>
  <c r="M538" i="45"/>
  <c r="Q538" i="45" s="1"/>
  <c r="R538" i="45" s="1"/>
  <c r="T537" i="45"/>
  <c r="S537" i="45"/>
  <c r="M537" i="45"/>
  <c r="Q537" i="45" s="1"/>
  <c r="R537" i="45" s="1"/>
  <c r="T536" i="45"/>
  <c r="S536" i="45"/>
  <c r="M536" i="45"/>
  <c r="Q536" i="45" s="1"/>
  <c r="R536" i="45" s="1"/>
  <c r="T535" i="45"/>
  <c r="S535" i="45"/>
  <c r="M535" i="45"/>
  <c r="Q535" i="45" s="1"/>
  <c r="R535" i="45" s="1"/>
  <c r="T534" i="45"/>
  <c r="S534" i="45"/>
  <c r="M534" i="45"/>
  <c r="Q534" i="45" s="1"/>
  <c r="R534" i="45" s="1"/>
  <c r="T533" i="45"/>
  <c r="S533" i="45"/>
  <c r="M533" i="45"/>
  <c r="Q533" i="45" s="1"/>
  <c r="R533" i="45" s="1"/>
  <c r="T532" i="45"/>
  <c r="S532" i="45"/>
  <c r="M532" i="45"/>
  <c r="Q532" i="45" s="1"/>
  <c r="R532" i="45" s="1"/>
  <c r="T531" i="45"/>
  <c r="S531" i="45"/>
  <c r="M531" i="45"/>
  <c r="Q531" i="45" s="1"/>
  <c r="R531" i="45" s="1"/>
  <c r="T530" i="45"/>
  <c r="S530" i="45"/>
  <c r="M530" i="45"/>
  <c r="Q530" i="45" s="1"/>
  <c r="R530" i="45" s="1"/>
  <c r="T529" i="45"/>
  <c r="S529" i="45"/>
  <c r="M529" i="45"/>
  <c r="Q529" i="45" s="1"/>
  <c r="R529" i="45" s="1"/>
  <c r="T528" i="45"/>
  <c r="S528" i="45"/>
  <c r="M528" i="45"/>
  <c r="Q528" i="45" s="1"/>
  <c r="R528" i="45" s="1"/>
  <c r="T527" i="45"/>
  <c r="S527" i="45"/>
  <c r="M527" i="45"/>
  <c r="Q527" i="45" s="1"/>
  <c r="R527" i="45" s="1"/>
  <c r="T526" i="45"/>
  <c r="S526" i="45"/>
  <c r="M526" i="45"/>
  <c r="Q526" i="45" s="1"/>
  <c r="R526" i="45" s="1"/>
  <c r="T525" i="45"/>
  <c r="S525" i="45"/>
  <c r="M525" i="45"/>
  <c r="Q525" i="45" s="1"/>
  <c r="R525" i="45" s="1"/>
  <c r="T524" i="45"/>
  <c r="S524" i="45"/>
  <c r="M524" i="45"/>
  <c r="Q524" i="45" s="1"/>
  <c r="R524" i="45" s="1"/>
  <c r="T523" i="45"/>
  <c r="S523" i="45"/>
  <c r="M523" i="45"/>
  <c r="Q523" i="45" s="1"/>
  <c r="R523" i="45" s="1"/>
  <c r="T522" i="45"/>
  <c r="S522" i="45"/>
  <c r="M522" i="45"/>
  <c r="Q522" i="45" s="1"/>
  <c r="R522" i="45" s="1"/>
  <c r="T521" i="45"/>
  <c r="S521" i="45"/>
  <c r="M521" i="45"/>
  <c r="Q521" i="45" s="1"/>
  <c r="R521" i="45" s="1"/>
  <c r="T520" i="45"/>
  <c r="S520" i="45"/>
  <c r="M520" i="45"/>
  <c r="Q520" i="45" s="1"/>
  <c r="R520" i="45" s="1"/>
  <c r="T519" i="45"/>
  <c r="S519" i="45"/>
  <c r="M519" i="45"/>
  <c r="Q519" i="45" s="1"/>
  <c r="R519" i="45" s="1"/>
  <c r="T518" i="45"/>
  <c r="S518" i="45"/>
  <c r="M518" i="45"/>
  <c r="Q518" i="45" s="1"/>
  <c r="R518" i="45" s="1"/>
  <c r="T517" i="45"/>
  <c r="S517" i="45"/>
  <c r="M517" i="45"/>
  <c r="Q517" i="45" s="1"/>
  <c r="R517" i="45" s="1"/>
  <c r="T516" i="45"/>
  <c r="S516" i="45"/>
  <c r="M516" i="45"/>
  <c r="Q516" i="45" s="1"/>
  <c r="R516" i="45" s="1"/>
  <c r="T515" i="45"/>
  <c r="S515" i="45"/>
  <c r="M515" i="45"/>
  <c r="Q515" i="45" s="1"/>
  <c r="R515" i="45" s="1"/>
  <c r="T514" i="45"/>
  <c r="S514" i="45"/>
  <c r="M514" i="45"/>
  <c r="Q514" i="45" s="1"/>
  <c r="R514" i="45" s="1"/>
  <c r="T513" i="45"/>
  <c r="S513" i="45"/>
  <c r="M513" i="45"/>
  <c r="Q513" i="45" s="1"/>
  <c r="R513" i="45" s="1"/>
  <c r="T512" i="45"/>
  <c r="S512" i="45"/>
  <c r="M512" i="45"/>
  <c r="Q512" i="45" s="1"/>
  <c r="R512" i="45" s="1"/>
  <c r="T511" i="45"/>
  <c r="S511" i="45"/>
  <c r="M511" i="45"/>
  <c r="Q511" i="45" s="1"/>
  <c r="R511" i="45" s="1"/>
  <c r="T510" i="45"/>
  <c r="S510" i="45"/>
  <c r="M510" i="45"/>
  <c r="Q510" i="45" s="1"/>
  <c r="R510" i="45" s="1"/>
  <c r="T509" i="45"/>
  <c r="S509" i="45"/>
  <c r="M509" i="45"/>
  <c r="Q509" i="45" s="1"/>
  <c r="R509" i="45" s="1"/>
  <c r="T508" i="45"/>
  <c r="S508" i="45"/>
  <c r="M508" i="45"/>
  <c r="Q508" i="45" s="1"/>
  <c r="R508" i="45" s="1"/>
  <c r="T507" i="45"/>
  <c r="S507" i="45"/>
  <c r="M507" i="45"/>
  <c r="Q507" i="45" s="1"/>
  <c r="R507" i="45" s="1"/>
  <c r="T506" i="45"/>
  <c r="S506" i="45"/>
  <c r="M506" i="45"/>
  <c r="Q506" i="45" s="1"/>
  <c r="R506" i="45" s="1"/>
  <c r="T505" i="45"/>
  <c r="S505" i="45"/>
  <c r="M505" i="45"/>
  <c r="Q505" i="45" s="1"/>
  <c r="R505" i="45" s="1"/>
  <c r="T504" i="45"/>
  <c r="S504" i="45"/>
  <c r="M504" i="45"/>
  <c r="Q504" i="45" s="1"/>
  <c r="R504" i="45" s="1"/>
  <c r="T503" i="45"/>
  <c r="S503" i="45"/>
  <c r="M503" i="45"/>
  <c r="Q503" i="45" s="1"/>
  <c r="R503" i="45" s="1"/>
  <c r="T502" i="45"/>
  <c r="S502" i="45"/>
  <c r="M502" i="45"/>
  <c r="Q502" i="45" s="1"/>
  <c r="R502" i="45" s="1"/>
  <c r="T501" i="45"/>
  <c r="S501" i="45"/>
  <c r="M501" i="45"/>
  <c r="Q501" i="45" s="1"/>
  <c r="R501" i="45" s="1"/>
  <c r="T500" i="45"/>
  <c r="S500" i="45"/>
  <c r="M500" i="45"/>
  <c r="Q500" i="45" s="1"/>
  <c r="R500" i="45" s="1"/>
  <c r="T499" i="45"/>
  <c r="S499" i="45"/>
  <c r="M499" i="45"/>
  <c r="Q499" i="45" s="1"/>
  <c r="R499" i="45" s="1"/>
  <c r="T498" i="45"/>
  <c r="S498" i="45"/>
  <c r="M498" i="45"/>
  <c r="Q498" i="45" s="1"/>
  <c r="R498" i="45" s="1"/>
  <c r="T497" i="45"/>
  <c r="S497" i="45"/>
  <c r="M497" i="45"/>
  <c r="Q497" i="45" s="1"/>
  <c r="R497" i="45" s="1"/>
  <c r="T496" i="45"/>
  <c r="S496" i="45"/>
  <c r="M496" i="45"/>
  <c r="Q496" i="45" s="1"/>
  <c r="R496" i="45" s="1"/>
  <c r="T495" i="45"/>
  <c r="S495" i="45"/>
  <c r="M495" i="45"/>
  <c r="Q495" i="45" s="1"/>
  <c r="R495" i="45" s="1"/>
  <c r="T494" i="45"/>
  <c r="S494" i="45"/>
  <c r="M494" i="45"/>
  <c r="Q494" i="45" s="1"/>
  <c r="R494" i="45" s="1"/>
  <c r="T493" i="45"/>
  <c r="S493" i="45"/>
  <c r="M493" i="45"/>
  <c r="Q493" i="45" s="1"/>
  <c r="R493" i="45" s="1"/>
  <c r="T492" i="45"/>
  <c r="S492" i="45"/>
  <c r="M492" i="45"/>
  <c r="Q492" i="45" s="1"/>
  <c r="R492" i="45" s="1"/>
  <c r="T491" i="45"/>
  <c r="S491" i="45"/>
  <c r="M491" i="45"/>
  <c r="Q491" i="45" s="1"/>
  <c r="R491" i="45" s="1"/>
  <c r="T490" i="45"/>
  <c r="S490" i="45"/>
  <c r="M490" i="45"/>
  <c r="Q490" i="45" s="1"/>
  <c r="R490" i="45" s="1"/>
  <c r="T489" i="45"/>
  <c r="S489" i="45"/>
  <c r="M489" i="45"/>
  <c r="Q489" i="45" s="1"/>
  <c r="R489" i="45" s="1"/>
  <c r="T488" i="45"/>
  <c r="S488" i="45"/>
  <c r="M488" i="45"/>
  <c r="Q488" i="45" s="1"/>
  <c r="R488" i="45" s="1"/>
  <c r="T487" i="45"/>
  <c r="S487" i="45"/>
  <c r="M487" i="45"/>
  <c r="Q487" i="45" s="1"/>
  <c r="R487" i="45" s="1"/>
  <c r="T486" i="45"/>
  <c r="S486" i="45"/>
  <c r="M486" i="45"/>
  <c r="Q486" i="45" s="1"/>
  <c r="R486" i="45" s="1"/>
  <c r="T485" i="45"/>
  <c r="S485" i="45"/>
  <c r="M485" i="45"/>
  <c r="Q485" i="45" s="1"/>
  <c r="R485" i="45" s="1"/>
  <c r="T484" i="45"/>
  <c r="S484" i="45"/>
  <c r="M484" i="45"/>
  <c r="Q484" i="45" s="1"/>
  <c r="R484" i="45" s="1"/>
  <c r="T483" i="45"/>
  <c r="S483" i="45"/>
  <c r="M483" i="45"/>
  <c r="Q483" i="45" s="1"/>
  <c r="R483" i="45" s="1"/>
  <c r="T482" i="45"/>
  <c r="S482" i="45"/>
  <c r="M482" i="45"/>
  <c r="Q482" i="45" s="1"/>
  <c r="R482" i="45" s="1"/>
  <c r="T481" i="45"/>
  <c r="S481" i="45"/>
  <c r="M481" i="45"/>
  <c r="Q481" i="45" s="1"/>
  <c r="R481" i="45" s="1"/>
  <c r="T480" i="45"/>
  <c r="S480" i="45"/>
  <c r="M480" i="45"/>
  <c r="Q480" i="45" s="1"/>
  <c r="R480" i="45" s="1"/>
  <c r="T479" i="45"/>
  <c r="S479" i="45"/>
  <c r="M479" i="45"/>
  <c r="Q479" i="45" s="1"/>
  <c r="R479" i="45" s="1"/>
  <c r="T478" i="45"/>
  <c r="S478" i="45"/>
  <c r="M478" i="45"/>
  <c r="Q478" i="45" s="1"/>
  <c r="R478" i="45" s="1"/>
  <c r="T477" i="45"/>
  <c r="S477" i="45"/>
  <c r="M477" i="45"/>
  <c r="Q477" i="45" s="1"/>
  <c r="R477" i="45" s="1"/>
  <c r="T476" i="45"/>
  <c r="S476" i="45"/>
  <c r="M476" i="45"/>
  <c r="Q476" i="45" s="1"/>
  <c r="R476" i="45" s="1"/>
  <c r="T475" i="45"/>
  <c r="S475" i="45"/>
  <c r="M475" i="45"/>
  <c r="Q475" i="45" s="1"/>
  <c r="R475" i="45" s="1"/>
  <c r="T474" i="45"/>
  <c r="S474" i="45"/>
  <c r="M474" i="45"/>
  <c r="Q474" i="45" s="1"/>
  <c r="R474" i="45" s="1"/>
  <c r="T473" i="45"/>
  <c r="S473" i="45"/>
  <c r="M473" i="45"/>
  <c r="Q473" i="45" s="1"/>
  <c r="R473" i="45" s="1"/>
  <c r="T472" i="45"/>
  <c r="S472" i="45"/>
  <c r="M472" i="45"/>
  <c r="Q472" i="45" s="1"/>
  <c r="R472" i="45" s="1"/>
  <c r="T471" i="45"/>
  <c r="S471" i="45"/>
  <c r="M471" i="45"/>
  <c r="Q471" i="45" s="1"/>
  <c r="R471" i="45" s="1"/>
  <c r="T470" i="45"/>
  <c r="S470" i="45"/>
  <c r="M470" i="45"/>
  <c r="Q470" i="45" s="1"/>
  <c r="R470" i="45" s="1"/>
  <c r="T469" i="45"/>
  <c r="S469" i="45"/>
  <c r="M469" i="45"/>
  <c r="Q469" i="45" s="1"/>
  <c r="R469" i="45" s="1"/>
  <c r="T468" i="45"/>
  <c r="S468" i="45"/>
  <c r="M468" i="45"/>
  <c r="Q468" i="45" s="1"/>
  <c r="R468" i="45" s="1"/>
  <c r="T467" i="45"/>
  <c r="S467" i="45"/>
  <c r="M467" i="45"/>
  <c r="Q467" i="45" s="1"/>
  <c r="R467" i="45" s="1"/>
  <c r="T466" i="45"/>
  <c r="S466" i="45"/>
  <c r="M466" i="45"/>
  <c r="Q466" i="45" s="1"/>
  <c r="R466" i="45" s="1"/>
  <c r="T465" i="45"/>
  <c r="S465" i="45"/>
  <c r="M465" i="45"/>
  <c r="Q465" i="45" s="1"/>
  <c r="R465" i="45" s="1"/>
  <c r="T464" i="45"/>
  <c r="S464" i="45"/>
  <c r="M464" i="45"/>
  <c r="Q464" i="45" s="1"/>
  <c r="R464" i="45" s="1"/>
  <c r="T463" i="45"/>
  <c r="S463" i="45"/>
  <c r="M463" i="45"/>
  <c r="Q463" i="45" s="1"/>
  <c r="R463" i="45" s="1"/>
  <c r="T462" i="45"/>
  <c r="S462" i="45"/>
  <c r="M462" i="45"/>
  <c r="Q462" i="45" s="1"/>
  <c r="R462" i="45" s="1"/>
  <c r="T461" i="45"/>
  <c r="S461" i="45"/>
  <c r="M461" i="45"/>
  <c r="Q461" i="45" s="1"/>
  <c r="R461" i="45" s="1"/>
  <c r="T460" i="45"/>
  <c r="S460" i="45"/>
  <c r="M460" i="45"/>
  <c r="Q460" i="45" s="1"/>
  <c r="R460" i="45" s="1"/>
  <c r="T459" i="45"/>
  <c r="S459" i="45"/>
  <c r="M459" i="45"/>
  <c r="Q459" i="45" s="1"/>
  <c r="R459" i="45" s="1"/>
  <c r="T458" i="45"/>
  <c r="S458" i="45"/>
  <c r="M458" i="45"/>
  <c r="Q458" i="45" s="1"/>
  <c r="R458" i="45" s="1"/>
  <c r="T457" i="45"/>
  <c r="S457" i="45"/>
  <c r="M457" i="45"/>
  <c r="Q457" i="45" s="1"/>
  <c r="R457" i="45" s="1"/>
  <c r="T456" i="45"/>
  <c r="S456" i="45"/>
  <c r="M456" i="45"/>
  <c r="Q456" i="45" s="1"/>
  <c r="R456" i="45" s="1"/>
  <c r="T455" i="45"/>
  <c r="S455" i="45"/>
  <c r="M455" i="45"/>
  <c r="Q455" i="45" s="1"/>
  <c r="R455" i="45" s="1"/>
  <c r="T454" i="45"/>
  <c r="S454" i="45"/>
  <c r="M454" i="45"/>
  <c r="Q454" i="45" s="1"/>
  <c r="R454" i="45" s="1"/>
  <c r="T453" i="45"/>
  <c r="S453" i="45"/>
  <c r="M453" i="45"/>
  <c r="Q453" i="45" s="1"/>
  <c r="R453" i="45" s="1"/>
  <c r="T452" i="45"/>
  <c r="S452" i="45"/>
  <c r="M452" i="45"/>
  <c r="Q452" i="45" s="1"/>
  <c r="R452" i="45" s="1"/>
  <c r="T451" i="45"/>
  <c r="S451" i="45"/>
  <c r="M451" i="45"/>
  <c r="Q451" i="45" s="1"/>
  <c r="R451" i="45" s="1"/>
  <c r="T450" i="45"/>
  <c r="S450" i="45"/>
  <c r="M450" i="45"/>
  <c r="Q450" i="45" s="1"/>
  <c r="R450" i="45" s="1"/>
  <c r="T449" i="45"/>
  <c r="S449" i="45"/>
  <c r="M449" i="45"/>
  <c r="Q449" i="45" s="1"/>
  <c r="R449" i="45" s="1"/>
  <c r="T448" i="45"/>
  <c r="S448" i="45"/>
  <c r="M448" i="45"/>
  <c r="Q448" i="45" s="1"/>
  <c r="R448" i="45" s="1"/>
  <c r="T447" i="45"/>
  <c r="S447" i="45"/>
  <c r="M447" i="45"/>
  <c r="Q447" i="45" s="1"/>
  <c r="R447" i="45" s="1"/>
  <c r="T446" i="45"/>
  <c r="S446" i="45"/>
  <c r="M446" i="45"/>
  <c r="Q446" i="45" s="1"/>
  <c r="R446" i="45" s="1"/>
  <c r="T445" i="45"/>
  <c r="S445" i="45"/>
  <c r="M445" i="45"/>
  <c r="Q445" i="45" s="1"/>
  <c r="R445" i="45" s="1"/>
  <c r="T444" i="45"/>
  <c r="S444" i="45"/>
  <c r="M444" i="45"/>
  <c r="Q444" i="45" s="1"/>
  <c r="R444" i="45" s="1"/>
  <c r="T443" i="45"/>
  <c r="S443" i="45"/>
  <c r="M443" i="45"/>
  <c r="Q443" i="45" s="1"/>
  <c r="R443" i="45" s="1"/>
  <c r="T442" i="45"/>
  <c r="S442" i="45"/>
  <c r="M442" i="45"/>
  <c r="Q442" i="45" s="1"/>
  <c r="R442" i="45" s="1"/>
  <c r="T441" i="45"/>
  <c r="S441" i="45"/>
  <c r="M441" i="45"/>
  <c r="Q441" i="45" s="1"/>
  <c r="R441" i="45" s="1"/>
  <c r="T440" i="45"/>
  <c r="S440" i="45"/>
  <c r="M440" i="45"/>
  <c r="Q440" i="45" s="1"/>
  <c r="R440" i="45" s="1"/>
  <c r="T439" i="45"/>
  <c r="S439" i="45"/>
  <c r="M439" i="45"/>
  <c r="Q439" i="45" s="1"/>
  <c r="R439" i="45" s="1"/>
  <c r="T438" i="45"/>
  <c r="S438" i="45"/>
  <c r="M438" i="45"/>
  <c r="Q438" i="45" s="1"/>
  <c r="R438" i="45" s="1"/>
  <c r="T437" i="45"/>
  <c r="S437" i="45"/>
  <c r="M437" i="45"/>
  <c r="Q437" i="45" s="1"/>
  <c r="R437" i="45" s="1"/>
  <c r="T436" i="45"/>
  <c r="S436" i="45"/>
  <c r="M436" i="45"/>
  <c r="Q436" i="45" s="1"/>
  <c r="R436" i="45" s="1"/>
  <c r="T435" i="45"/>
  <c r="S435" i="45"/>
  <c r="M435" i="45"/>
  <c r="Q435" i="45" s="1"/>
  <c r="R435" i="45" s="1"/>
  <c r="T434" i="45"/>
  <c r="S434" i="45"/>
  <c r="M434" i="45"/>
  <c r="Q434" i="45" s="1"/>
  <c r="R434" i="45" s="1"/>
  <c r="T433" i="45"/>
  <c r="S433" i="45"/>
  <c r="M433" i="45"/>
  <c r="Q433" i="45" s="1"/>
  <c r="R433" i="45" s="1"/>
  <c r="T432" i="45"/>
  <c r="S432" i="45"/>
  <c r="M432" i="45"/>
  <c r="Q432" i="45" s="1"/>
  <c r="R432" i="45" s="1"/>
  <c r="T431" i="45"/>
  <c r="S431" i="45"/>
  <c r="M431" i="45"/>
  <c r="Q431" i="45" s="1"/>
  <c r="R431" i="45" s="1"/>
  <c r="T430" i="45"/>
  <c r="S430" i="45"/>
  <c r="M430" i="45"/>
  <c r="Q430" i="45" s="1"/>
  <c r="R430" i="45" s="1"/>
  <c r="T429" i="45"/>
  <c r="S429" i="45"/>
  <c r="M429" i="45"/>
  <c r="Q429" i="45" s="1"/>
  <c r="R429" i="45" s="1"/>
  <c r="T428" i="45"/>
  <c r="S428" i="45"/>
  <c r="M428" i="45"/>
  <c r="Q428" i="45" s="1"/>
  <c r="R428" i="45" s="1"/>
  <c r="T427" i="45"/>
  <c r="S427" i="45"/>
  <c r="M427" i="45"/>
  <c r="Q427" i="45" s="1"/>
  <c r="R427" i="45" s="1"/>
  <c r="T426" i="45"/>
  <c r="S426" i="45"/>
  <c r="M426" i="45"/>
  <c r="Q426" i="45" s="1"/>
  <c r="R426" i="45" s="1"/>
  <c r="T425" i="45"/>
  <c r="S425" i="45"/>
  <c r="M425" i="45"/>
  <c r="Q425" i="45" s="1"/>
  <c r="R425" i="45" s="1"/>
  <c r="T424" i="45"/>
  <c r="S424" i="45"/>
  <c r="M424" i="45"/>
  <c r="Q424" i="45" s="1"/>
  <c r="R424" i="45" s="1"/>
  <c r="T423" i="45"/>
  <c r="S423" i="45"/>
  <c r="M423" i="45"/>
  <c r="Q423" i="45" s="1"/>
  <c r="R423" i="45" s="1"/>
  <c r="T422" i="45"/>
  <c r="S422" i="45"/>
  <c r="M422" i="45"/>
  <c r="Q422" i="45" s="1"/>
  <c r="R422" i="45" s="1"/>
  <c r="T421" i="45"/>
  <c r="S421" i="45"/>
  <c r="M421" i="45"/>
  <c r="Q421" i="45" s="1"/>
  <c r="R421" i="45" s="1"/>
  <c r="T420" i="45"/>
  <c r="S420" i="45"/>
  <c r="M420" i="45"/>
  <c r="Q420" i="45" s="1"/>
  <c r="R420" i="45" s="1"/>
  <c r="T419" i="45"/>
  <c r="S419" i="45"/>
  <c r="M419" i="45"/>
  <c r="Q419" i="45" s="1"/>
  <c r="R419" i="45" s="1"/>
  <c r="T418" i="45"/>
  <c r="S418" i="45"/>
  <c r="M418" i="45"/>
  <c r="Q418" i="45" s="1"/>
  <c r="R418" i="45" s="1"/>
  <c r="T417" i="45"/>
  <c r="S417" i="45"/>
  <c r="M417" i="45"/>
  <c r="Q417" i="45" s="1"/>
  <c r="R417" i="45" s="1"/>
  <c r="T416" i="45"/>
  <c r="S416" i="45"/>
  <c r="M416" i="45"/>
  <c r="Q416" i="45" s="1"/>
  <c r="R416" i="45" s="1"/>
  <c r="T415" i="45"/>
  <c r="S415" i="45"/>
  <c r="M415" i="45"/>
  <c r="Q415" i="45" s="1"/>
  <c r="R415" i="45" s="1"/>
  <c r="T414" i="45"/>
  <c r="S414" i="45"/>
  <c r="M414" i="45"/>
  <c r="Q414" i="45" s="1"/>
  <c r="R414" i="45" s="1"/>
  <c r="T413" i="45"/>
  <c r="S413" i="45"/>
  <c r="M413" i="45"/>
  <c r="Q413" i="45" s="1"/>
  <c r="R413" i="45" s="1"/>
  <c r="T412" i="45"/>
  <c r="S412" i="45"/>
  <c r="M412" i="45"/>
  <c r="Q412" i="45" s="1"/>
  <c r="R412" i="45" s="1"/>
  <c r="T411" i="45"/>
  <c r="S411" i="45"/>
  <c r="M411" i="45"/>
  <c r="Q411" i="45" s="1"/>
  <c r="R411" i="45" s="1"/>
  <c r="T410" i="45"/>
  <c r="S410" i="45"/>
  <c r="M410" i="45"/>
  <c r="Q410" i="45" s="1"/>
  <c r="R410" i="45" s="1"/>
  <c r="T409" i="45"/>
  <c r="S409" i="45"/>
  <c r="M409" i="45"/>
  <c r="Q409" i="45" s="1"/>
  <c r="R409" i="45" s="1"/>
  <c r="T408" i="45"/>
  <c r="S408" i="45"/>
  <c r="M408" i="45"/>
  <c r="Q408" i="45" s="1"/>
  <c r="R408" i="45" s="1"/>
  <c r="T407" i="45"/>
  <c r="S407" i="45"/>
  <c r="M407" i="45"/>
  <c r="Q407" i="45" s="1"/>
  <c r="R407" i="45" s="1"/>
  <c r="T406" i="45"/>
  <c r="S406" i="45"/>
  <c r="M406" i="45"/>
  <c r="Q406" i="45" s="1"/>
  <c r="R406" i="45" s="1"/>
  <c r="T405" i="45"/>
  <c r="S405" i="45"/>
  <c r="M405" i="45"/>
  <c r="Q405" i="45" s="1"/>
  <c r="R405" i="45" s="1"/>
  <c r="T404" i="45"/>
  <c r="S404" i="45"/>
  <c r="M404" i="45"/>
  <c r="Q404" i="45" s="1"/>
  <c r="R404" i="45" s="1"/>
  <c r="T403" i="45"/>
  <c r="S403" i="45"/>
  <c r="M403" i="45"/>
  <c r="Q403" i="45" s="1"/>
  <c r="R403" i="45" s="1"/>
  <c r="T402" i="45"/>
  <c r="S402" i="45"/>
  <c r="M402" i="45"/>
  <c r="Q402" i="45" s="1"/>
  <c r="R402" i="45" s="1"/>
  <c r="T401" i="45"/>
  <c r="S401" i="45"/>
  <c r="M401" i="45"/>
  <c r="Q401" i="45" s="1"/>
  <c r="R401" i="45" s="1"/>
  <c r="T400" i="45"/>
  <c r="S400" i="45"/>
  <c r="M400" i="45"/>
  <c r="Q400" i="45" s="1"/>
  <c r="R400" i="45" s="1"/>
  <c r="T399" i="45"/>
  <c r="S399" i="45"/>
  <c r="M399" i="45"/>
  <c r="Q399" i="45" s="1"/>
  <c r="R399" i="45" s="1"/>
  <c r="T398" i="45"/>
  <c r="S398" i="45"/>
  <c r="M398" i="45"/>
  <c r="Q398" i="45" s="1"/>
  <c r="R398" i="45" s="1"/>
  <c r="T397" i="45"/>
  <c r="S397" i="45"/>
  <c r="M397" i="45"/>
  <c r="Q397" i="45" s="1"/>
  <c r="R397" i="45" s="1"/>
  <c r="T396" i="45"/>
  <c r="S396" i="45"/>
  <c r="M396" i="45"/>
  <c r="Q396" i="45" s="1"/>
  <c r="R396" i="45" s="1"/>
  <c r="T395" i="45"/>
  <c r="S395" i="45"/>
  <c r="M395" i="45"/>
  <c r="Q395" i="45" s="1"/>
  <c r="R395" i="45" s="1"/>
  <c r="T394" i="45"/>
  <c r="S394" i="45"/>
  <c r="M394" i="45"/>
  <c r="Q394" i="45" s="1"/>
  <c r="R394" i="45" s="1"/>
  <c r="T393" i="45"/>
  <c r="S393" i="45"/>
  <c r="M393" i="45"/>
  <c r="Q393" i="45" s="1"/>
  <c r="R393" i="45" s="1"/>
  <c r="T392" i="45"/>
  <c r="S392" i="45"/>
  <c r="M392" i="45"/>
  <c r="Q392" i="45" s="1"/>
  <c r="R392" i="45" s="1"/>
  <c r="T391" i="45"/>
  <c r="S391" i="45"/>
  <c r="M391" i="45"/>
  <c r="Q391" i="45" s="1"/>
  <c r="R391" i="45" s="1"/>
  <c r="T390" i="45"/>
  <c r="S390" i="45"/>
  <c r="M390" i="45"/>
  <c r="Q390" i="45" s="1"/>
  <c r="R390" i="45" s="1"/>
  <c r="T389" i="45"/>
  <c r="S389" i="45"/>
  <c r="M389" i="45"/>
  <c r="Q389" i="45" s="1"/>
  <c r="R389" i="45" s="1"/>
  <c r="T388" i="45"/>
  <c r="S388" i="45"/>
  <c r="M388" i="45"/>
  <c r="Q388" i="45" s="1"/>
  <c r="R388" i="45" s="1"/>
  <c r="T387" i="45"/>
  <c r="S387" i="45"/>
  <c r="M387" i="45"/>
  <c r="Q387" i="45" s="1"/>
  <c r="R387" i="45" s="1"/>
  <c r="T386" i="45"/>
  <c r="S386" i="45"/>
  <c r="M386" i="45"/>
  <c r="Q386" i="45" s="1"/>
  <c r="R386" i="45" s="1"/>
  <c r="T385" i="45"/>
  <c r="S385" i="45"/>
  <c r="M385" i="45"/>
  <c r="Q385" i="45" s="1"/>
  <c r="R385" i="45" s="1"/>
  <c r="T384" i="45"/>
  <c r="S384" i="45"/>
  <c r="M384" i="45"/>
  <c r="Q384" i="45" s="1"/>
  <c r="R384" i="45" s="1"/>
  <c r="T383" i="45"/>
  <c r="S383" i="45"/>
  <c r="M383" i="45"/>
  <c r="Q383" i="45" s="1"/>
  <c r="R383" i="45" s="1"/>
  <c r="T382" i="45"/>
  <c r="S382" i="45"/>
  <c r="M382" i="45"/>
  <c r="Q382" i="45" s="1"/>
  <c r="R382" i="45" s="1"/>
  <c r="T381" i="45"/>
  <c r="S381" i="45"/>
  <c r="M381" i="45"/>
  <c r="Q381" i="45" s="1"/>
  <c r="R381" i="45" s="1"/>
  <c r="T380" i="45"/>
  <c r="S380" i="45"/>
  <c r="M380" i="45"/>
  <c r="Q380" i="45" s="1"/>
  <c r="R380" i="45" s="1"/>
  <c r="T379" i="45"/>
  <c r="S379" i="45"/>
  <c r="M379" i="45"/>
  <c r="Q379" i="45" s="1"/>
  <c r="R379" i="45" s="1"/>
  <c r="T378" i="45"/>
  <c r="S378" i="45"/>
  <c r="M378" i="45"/>
  <c r="Q378" i="45" s="1"/>
  <c r="R378" i="45" s="1"/>
  <c r="T377" i="45"/>
  <c r="S377" i="45"/>
  <c r="M377" i="45"/>
  <c r="Q377" i="45" s="1"/>
  <c r="R377" i="45" s="1"/>
  <c r="T376" i="45"/>
  <c r="S376" i="45"/>
  <c r="M376" i="45"/>
  <c r="Q376" i="45" s="1"/>
  <c r="R376" i="45" s="1"/>
  <c r="T375" i="45"/>
  <c r="S375" i="45"/>
  <c r="M375" i="45"/>
  <c r="Q375" i="45" s="1"/>
  <c r="R375" i="45" s="1"/>
  <c r="T374" i="45"/>
  <c r="S374" i="45"/>
  <c r="M374" i="45"/>
  <c r="Q374" i="45" s="1"/>
  <c r="R374" i="45" s="1"/>
  <c r="T373" i="45"/>
  <c r="S373" i="45"/>
  <c r="M373" i="45"/>
  <c r="Q373" i="45" s="1"/>
  <c r="R373" i="45" s="1"/>
  <c r="T372" i="45"/>
  <c r="S372" i="45"/>
  <c r="M372" i="45"/>
  <c r="Q372" i="45" s="1"/>
  <c r="R372" i="45" s="1"/>
  <c r="T371" i="45"/>
  <c r="S371" i="45"/>
  <c r="M371" i="45"/>
  <c r="Q371" i="45" s="1"/>
  <c r="R371" i="45" s="1"/>
  <c r="T370" i="45"/>
  <c r="S370" i="45"/>
  <c r="M370" i="45"/>
  <c r="Q370" i="45" s="1"/>
  <c r="R370" i="45" s="1"/>
  <c r="T369" i="45"/>
  <c r="S369" i="45"/>
  <c r="M369" i="45"/>
  <c r="Q369" i="45" s="1"/>
  <c r="R369" i="45" s="1"/>
  <c r="T368" i="45"/>
  <c r="S368" i="45"/>
  <c r="M368" i="45"/>
  <c r="Q368" i="45" s="1"/>
  <c r="R368" i="45" s="1"/>
  <c r="T367" i="45"/>
  <c r="S367" i="45"/>
  <c r="M367" i="45"/>
  <c r="Q367" i="45" s="1"/>
  <c r="R367" i="45" s="1"/>
  <c r="T366" i="45"/>
  <c r="S366" i="45"/>
  <c r="M366" i="45"/>
  <c r="Q366" i="45" s="1"/>
  <c r="R366" i="45" s="1"/>
  <c r="T365" i="45"/>
  <c r="S365" i="45"/>
  <c r="M365" i="45"/>
  <c r="Q365" i="45" s="1"/>
  <c r="R365" i="45" s="1"/>
  <c r="T364" i="45"/>
  <c r="S364" i="45"/>
  <c r="M364" i="45"/>
  <c r="Q364" i="45" s="1"/>
  <c r="R364" i="45" s="1"/>
  <c r="T363" i="45"/>
  <c r="S363" i="45"/>
  <c r="M363" i="45"/>
  <c r="Q363" i="45" s="1"/>
  <c r="R363" i="45" s="1"/>
  <c r="T362" i="45"/>
  <c r="S362" i="45"/>
  <c r="M362" i="45"/>
  <c r="Q362" i="45" s="1"/>
  <c r="R362" i="45" s="1"/>
  <c r="T361" i="45"/>
  <c r="S361" i="45"/>
  <c r="M361" i="45"/>
  <c r="Q361" i="45" s="1"/>
  <c r="R361" i="45" s="1"/>
  <c r="T360" i="45"/>
  <c r="S360" i="45"/>
  <c r="M360" i="45"/>
  <c r="Q360" i="45" s="1"/>
  <c r="R360" i="45" s="1"/>
  <c r="T359" i="45"/>
  <c r="S359" i="45"/>
  <c r="M359" i="45"/>
  <c r="Q359" i="45" s="1"/>
  <c r="R359" i="45" s="1"/>
  <c r="T358" i="45"/>
  <c r="S358" i="45"/>
  <c r="M358" i="45"/>
  <c r="Q358" i="45" s="1"/>
  <c r="R358" i="45" s="1"/>
  <c r="T357" i="45"/>
  <c r="S357" i="45"/>
  <c r="M357" i="45"/>
  <c r="Q357" i="45" s="1"/>
  <c r="R357" i="45" s="1"/>
  <c r="T356" i="45"/>
  <c r="S356" i="45"/>
  <c r="M356" i="45"/>
  <c r="Q356" i="45" s="1"/>
  <c r="R356" i="45" s="1"/>
  <c r="T355" i="45"/>
  <c r="S355" i="45"/>
  <c r="M355" i="45"/>
  <c r="Q355" i="45" s="1"/>
  <c r="R355" i="45" s="1"/>
  <c r="T354" i="45"/>
  <c r="S354" i="45"/>
  <c r="M354" i="45"/>
  <c r="Q354" i="45" s="1"/>
  <c r="R354" i="45" s="1"/>
  <c r="T353" i="45"/>
  <c r="S353" i="45"/>
  <c r="M353" i="45"/>
  <c r="Q353" i="45" s="1"/>
  <c r="R353" i="45" s="1"/>
  <c r="T352" i="45"/>
  <c r="S352" i="45"/>
  <c r="M352" i="45"/>
  <c r="Q352" i="45" s="1"/>
  <c r="R352" i="45" s="1"/>
  <c r="T351" i="45"/>
  <c r="S351" i="45"/>
  <c r="M351" i="45"/>
  <c r="Q351" i="45" s="1"/>
  <c r="R351" i="45" s="1"/>
  <c r="T350" i="45"/>
  <c r="S350" i="45"/>
  <c r="M350" i="45"/>
  <c r="Q350" i="45" s="1"/>
  <c r="R350" i="45" s="1"/>
  <c r="T349" i="45"/>
  <c r="S349" i="45"/>
  <c r="M349" i="45"/>
  <c r="Q349" i="45" s="1"/>
  <c r="R349" i="45" s="1"/>
  <c r="T348" i="45"/>
  <c r="S348" i="45"/>
  <c r="M348" i="45"/>
  <c r="Q348" i="45" s="1"/>
  <c r="R348" i="45" s="1"/>
  <c r="T347" i="45"/>
  <c r="S347" i="45"/>
  <c r="M347" i="45"/>
  <c r="Q347" i="45" s="1"/>
  <c r="R347" i="45" s="1"/>
  <c r="T346" i="45"/>
  <c r="S346" i="45"/>
  <c r="M346" i="45"/>
  <c r="Q346" i="45" s="1"/>
  <c r="R346" i="45" s="1"/>
  <c r="T345" i="45"/>
  <c r="S345" i="45"/>
  <c r="M345" i="45"/>
  <c r="Q345" i="45" s="1"/>
  <c r="R345" i="45" s="1"/>
  <c r="T344" i="45"/>
  <c r="S344" i="45"/>
  <c r="M344" i="45"/>
  <c r="Q344" i="45" s="1"/>
  <c r="R344" i="45" s="1"/>
  <c r="T343" i="45"/>
  <c r="S343" i="45"/>
  <c r="M343" i="45"/>
  <c r="Q343" i="45" s="1"/>
  <c r="R343" i="45" s="1"/>
  <c r="T342" i="45"/>
  <c r="S342" i="45"/>
  <c r="M342" i="45"/>
  <c r="Q342" i="45" s="1"/>
  <c r="R342" i="45" s="1"/>
  <c r="T341" i="45"/>
  <c r="S341" i="45"/>
  <c r="M341" i="45"/>
  <c r="Q341" i="45" s="1"/>
  <c r="R341" i="45" s="1"/>
  <c r="T340" i="45"/>
  <c r="S340" i="45"/>
  <c r="M340" i="45"/>
  <c r="Q340" i="45" s="1"/>
  <c r="R340" i="45" s="1"/>
  <c r="T339" i="45"/>
  <c r="S339" i="45"/>
  <c r="M339" i="45"/>
  <c r="Q339" i="45" s="1"/>
  <c r="R339" i="45" s="1"/>
  <c r="T338" i="45"/>
  <c r="S338" i="45"/>
  <c r="M338" i="45"/>
  <c r="Q338" i="45" s="1"/>
  <c r="R338" i="45" s="1"/>
  <c r="T337" i="45"/>
  <c r="S337" i="45"/>
  <c r="M337" i="45"/>
  <c r="Q337" i="45" s="1"/>
  <c r="R337" i="45" s="1"/>
  <c r="T336" i="45"/>
  <c r="S336" i="45"/>
  <c r="M336" i="45"/>
  <c r="Q336" i="45" s="1"/>
  <c r="R336" i="45" s="1"/>
  <c r="T335" i="45"/>
  <c r="S335" i="45"/>
  <c r="M335" i="45"/>
  <c r="Q335" i="45" s="1"/>
  <c r="R335" i="45" s="1"/>
  <c r="T334" i="45"/>
  <c r="S334" i="45"/>
  <c r="M334" i="45"/>
  <c r="Q334" i="45" s="1"/>
  <c r="R334" i="45" s="1"/>
  <c r="T333" i="45"/>
  <c r="S333" i="45"/>
  <c r="M333" i="45"/>
  <c r="Q333" i="45" s="1"/>
  <c r="R333" i="45" s="1"/>
  <c r="T332" i="45"/>
  <c r="S332" i="45"/>
  <c r="M332" i="45"/>
  <c r="Q332" i="45" s="1"/>
  <c r="R332" i="45" s="1"/>
  <c r="T331" i="45"/>
  <c r="S331" i="45"/>
  <c r="M331" i="45"/>
  <c r="Q331" i="45" s="1"/>
  <c r="R331" i="45" s="1"/>
  <c r="T330" i="45"/>
  <c r="S330" i="45"/>
  <c r="M330" i="45"/>
  <c r="Q330" i="45" s="1"/>
  <c r="R330" i="45" s="1"/>
  <c r="T329" i="45"/>
  <c r="S329" i="45"/>
  <c r="M329" i="45"/>
  <c r="Q329" i="45" s="1"/>
  <c r="R329" i="45" s="1"/>
  <c r="T328" i="45"/>
  <c r="S328" i="45"/>
  <c r="M328" i="45"/>
  <c r="Q328" i="45" s="1"/>
  <c r="R328" i="45" s="1"/>
  <c r="T327" i="45"/>
  <c r="S327" i="45"/>
  <c r="M327" i="45"/>
  <c r="Q327" i="45" s="1"/>
  <c r="R327" i="45" s="1"/>
  <c r="T326" i="45"/>
  <c r="S326" i="45"/>
  <c r="M326" i="45"/>
  <c r="Q326" i="45" s="1"/>
  <c r="R326" i="45" s="1"/>
  <c r="T325" i="45"/>
  <c r="S325" i="45"/>
  <c r="M325" i="45"/>
  <c r="Q325" i="45" s="1"/>
  <c r="R325" i="45" s="1"/>
  <c r="T324" i="45"/>
  <c r="S324" i="45"/>
  <c r="M324" i="45"/>
  <c r="Q324" i="45" s="1"/>
  <c r="R324" i="45" s="1"/>
  <c r="T323" i="45"/>
  <c r="S323" i="45"/>
  <c r="M323" i="45"/>
  <c r="Q323" i="45" s="1"/>
  <c r="R323" i="45" s="1"/>
  <c r="T322" i="45"/>
  <c r="S322" i="45"/>
  <c r="M322" i="45"/>
  <c r="Q322" i="45" s="1"/>
  <c r="R322" i="45" s="1"/>
  <c r="T321" i="45"/>
  <c r="S321" i="45"/>
  <c r="M321" i="45"/>
  <c r="Q321" i="45" s="1"/>
  <c r="R321" i="45" s="1"/>
  <c r="T320" i="45"/>
  <c r="S320" i="45"/>
  <c r="M320" i="45"/>
  <c r="Q320" i="45" s="1"/>
  <c r="R320" i="45" s="1"/>
  <c r="T319" i="45"/>
  <c r="S319" i="45"/>
  <c r="M319" i="45"/>
  <c r="Q319" i="45" s="1"/>
  <c r="R319" i="45" s="1"/>
  <c r="T318" i="45"/>
  <c r="S318" i="45"/>
  <c r="M318" i="45"/>
  <c r="Q318" i="45" s="1"/>
  <c r="R318" i="45" s="1"/>
  <c r="T317" i="45"/>
  <c r="S317" i="45"/>
  <c r="M317" i="45"/>
  <c r="Q317" i="45" s="1"/>
  <c r="R317" i="45" s="1"/>
  <c r="T316" i="45"/>
  <c r="S316" i="45"/>
  <c r="M316" i="45"/>
  <c r="Q316" i="45" s="1"/>
  <c r="R316" i="45" s="1"/>
  <c r="T315" i="45"/>
  <c r="S315" i="45"/>
  <c r="M315" i="45"/>
  <c r="Q315" i="45" s="1"/>
  <c r="R315" i="45" s="1"/>
  <c r="T314" i="45"/>
  <c r="S314" i="45"/>
  <c r="M314" i="45"/>
  <c r="Q314" i="45" s="1"/>
  <c r="R314" i="45" s="1"/>
  <c r="T313" i="45"/>
  <c r="S313" i="45"/>
  <c r="M313" i="45"/>
  <c r="Q313" i="45" s="1"/>
  <c r="R313" i="45" s="1"/>
  <c r="T312" i="45"/>
  <c r="S312" i="45"/>
  <c r="M312" i="45"/>
  <c r="Q312" i="45" s="1"/>
  <c r="R312" i="45" s="1"/>
  <c r="T311" i="45"/>
  <c r="S311" i="45"/>
  <c r="M311" i="45"/>
  <c r="Q311" i="45" s="1"/>
  <c r="R311" i="45" s="1"/>
  <c r="T310" i="45"/>
  <c r="S310" i="45"/>
  <c r="M310" i="45"/>
  <c r="Q310" i="45" s="1"/>
  <c r="R310" i="45" s="1"/>
  <c r="T309" i="45"/>
  <c r="S309" i="45"/>
  <c r="M309" i="45"/>
  <c r="Q309" i="45" s="1"/>
  <c r="R309" i="45" s="1"/>
  <c r="T308" i="45"/>
  <c r="S308" i="45"/>
  <c r="M308" i="45"/>
  <c r="Q308" i="45" s="1"/>
  <c r="R308" i="45" s="1"/>
  <c r="T307" i="45"/>
  <c r="S307" i="45"/>
  <c r="M307" i="45"/>
  <c r="Q307" i="45" s="1"/>
  <c r="R307" i="45" s="1"/>
  <c r="T306" i="45"/>
  <c r="S306" i="45"/>
  <c r="M306" i="45"/>
  <c r="Q306" i="45" s="1"/>
  <c r="R306" i="45" s="1"/>
  <c r="T305" i="45"/>
  <c r="S305" i="45"/>
  <c r="M305" i="45"/>
  <c r="Q305" i="45" s="1"/>
  <c r="R305" i="45" s="1"/>
  <c r="T304" i="45"/>
  <c r="S304" i="45"/>
  <c r="M304" i="45"/>
  <c r="Q304" i="45" s="1"/>
  <c r="R304" i="45" s="1"/>
  <c r="T303" i="45"/>
  <c r="S303" i="45"/>
  <c r="M303" i="45"/>
  <c r="Q303" i="45" s="1"/>
  <c r="R303" i="45" s="1"/>
  <c r="T302" i="45"/>
  <c r="S302" i="45"/>
  <c r="M302" i="45"/>
  <c r="Q302" i="45" s="1"/>
  <c r="R302" i="45" s="1"/>
  <c r="T301" i="45"/>
  <c r="S301" i="45"/>
  <c r="M301" i="45"/>
  <c r="Q301" i="45" s="1"/>
  <c r="R301" i="45" s="1"/>
  <c r="T300" i="45"/>
  <c r="S300" i="45"/>
  <c r="M300" i="45"/>
  <c r="Q300" i="45" s="1"/>
  <c r="R300" i="45" s="1"/>
  <c r="T299" i="45"/>
  <c r="S299" i="45"/>
  <c r="M299" i="45"/>
  <c r="Q299" i="45" s="1"/>
  <c r="R299" i="45" s="1"/>
  <c r="T298" i="45"/>
  <c r="S298" i="45"/>
  <c r="M298" i="45"/>
  <c r="Q298" i="45" s="1"/>
  <c r="R298" i="45" s="1"/>
  <c r="T297" i="45"/>
  <c r="S297" i="45"/>
  <c r="M297" i="45"/>
  <c r="Q297" i="45" s="1"/>
  <c r="R297" i="45" s="1"/>
  <c r="T296" i="45"/>
  <c r="S296" i="45"/>
  <c r="M296" i="45"/>
  <c r="Q296" i="45" s="1"/>
  <c r="R296" i="45" s="1"/>
  <c r="T295" i="45"/>
  <c r="S295" i="45"/>
  <c r="M295" i="45"/>
  <c r="Q295" i="45" s="1"/>
  <c r="R295" i="45" s="1"/>
  <c r="T294" i="45"/>
  <c r="S294" i="45"/>
  <c r="M294" i="45"/>
  <c r="Q294" i="45" s="1"/>
  <c r="R294" i="45" s="1"/>
  <c r="T293" i="45"/>
  <c r="S293" i="45"/>
  <c r="M293" i="45"/>
  <c r="Q293" i="45" s="1"/>
  <c r="R293" i="45" s="1"/>
  <c r="T292" i="45"/>
  <c r="S292" i="45"/>
  <c r="M292" i="45"/>
  <c r="Q292" i="45" s="1"/>
  <c r="R292" i="45" s="1"/>
  <c r="T291" i="45"/>
  <c r="S291" i="45"/>
  <c r="M291" i="45"/>
  <c r="Q291" i="45" s="1"/>
  <c r="R291" i="45" s="1"/>
  <c r="T290" i="45"/>
  <c r="S290" i="45"/>
  <c r="M290" i="45"/>
  <c r="Q290" i="45" s="1"/>
  <c r="R290" i="45" s="1"/>
  <c r="T289" i="45"/>
  <c r="S289" i="45"/>
  <c r="M289" i="45"/>
  <c r="Q289" i="45" s="1"/>
  <c r="R289" i="45" s="1"/>
  <c r="T288" i="45"/>
  <c r="S288" i="45"/>
  <c r="M288" i="45"/>
  <c r="Q288" i="45" s="1"/>
  <c r="R288" i="45" s="1"/>
  <c r="T287" i="45"/>
  <c r="S287" i="45"/>
  <c r="M287" i="45"/>
  <c r="Q287" i="45" s="1"/>
  <c r="R287" i="45" s="1"/>
  <c r="T286" i="45"/>
  <c r="S286" i="45"/>
  <c r="M286" i="45"/>
  <c r="Q286" i="45" s="1"/>
  <c r="R286" i="45" s="1"/>
  <c r="T285" i="45"/>
  <c r="S285" i="45"/>
  <c r="M285" i="45"/>
  <c r="Q285" i="45" s="1"/>
  <c r="R285" i="45" s="1"/>
  <c r="T284" i="45"/>
  <c r="S284" i="45"/>
  <c r="M284" i="45"/>
  <c r="Q284" i="45" s="1"/>
  <c r="R284" i="45" s="1"/>
  <c r="T283" i="45"/>
  <c r="S283" i="45"/>
  <c r="M283" i="45"/>
  <c r="Q283" i="45" s="1"/>
  <c r="R283" i="45" s="1"/>
  <c r="T282" i="45"/>
  <c r="S282" i="45"/>
  <c r="M282" i="45"/>
  <c r="Q282" i="45" s="1"/>
  <c r="R282" i="45" s="1"/>
  <c r="T281" i="45"/>
  <c r="S281" i="45"/>
  <c r="M281" i="45"/>
  <c r="Q281" i="45" s="1"/>
  <c r="R281" i="45" s="1"/>
  <c r="T280" i="45"/>
  <c r="S280" i="45"/>
  <c r="M280" i="45"/>
  <c r="Q280" i="45" s="1"/>
  <c r="R280" i="45" s="1"/>
  <c r="T279" i="45"/>
  <c r="S279" i="45"/>
  <c r="M279" i="45"/>
  <c r="Q279" i="45" s="1"/>
  <c r="R279" i="45" s="1"/>
  <c r="T278" i="45"/>
  <c r="S278" i="45"/>
  <c r="M278" i="45"/>
  <c r="Q278" i="45" s="1"/>
  <c r="R278" i="45" s="1"/>
  <c r="T277" i="45"/>
  <c r="S277" i="45"/>
  <c r="M277" i="45"/>
  <c r="Q277" i="45" s="1"/>
  <c r="R277" i="45" s="1"/>
  <c r="T276" i="45"/>
  <c r="S276" i="45"/>
  <c r="M276" i="45"/>
  <c r="Q276" i="45" s="1"/>
  <c r="R276" i="45" s="1"/>
  <c r="T275" i="45"/>
  <c r="S275" i="45"/>
  <c r="M275" i="45"/>
  <c r="Q275" i="45" s="1"/>
  <c r="R275" i="45" s="1"/>
  <c r="T274" i="45"/>
  <c r="S274" i="45"/>
  <c r="M274" i="45"/>
  <c r="Q274" i="45" s="1"/>
  <c r="R274" i="45" s="1"/>
  <c r="T273" i="45"/>
  <c r="S273" i="45"/>
  <c r="M273" i="45"/>
  <c r="Q273" i="45" s="1"/>
  <c r="R273" i="45" s="1"/>
  <c r="T272" i="45"/>
  <c r="S272" i="45"/>
  <c r="M272" i="45"/>
  <c r="Q272" i="45" s="1"/>
  <c r="R272" i="45" s="1"/>
  <c r="T271" i="45"/>
  <c r="S271" i="45"/>
  <c r="M271" i="45"/>
  <c r="Q271" i="45" s="1"/>
  <c r="R271" i="45" s="1"/>
  <c r="T270" i="45"/>
  <c r="S270" i="45"/>
  <c r="M270" i="45"/>
  <c r="Q270" i="45" s="1"/>
  <c r="R270" i="45" s="1"/>
  <c r="T269" i="45"/>
  <c r="S269" i="45"/>
  <c r="M269" i="45"/>
  <c r="Q269" i="45" s="1"/>
  <c r="R269" i="45" s="1"/>
  <c r="T268" i="45"/>
  <c r="S268" i="45"/>
  <c r="M268" i="45"/>
  <c r="Q268" i="45" s="1"/>
  <c r="R268" i="45" s="1"/>
  <c r="T267" i="45"/>
  <c r="S267" i="45"/>
  <c r="M267" i="45"/>
  <c r="Q267" i="45" s="1"/>
  <c r="R267" i="45" s="1"/>
  <c r="T266" i="45"/>
  <c r="S266" i="45"/>
  <c r="M266" i="45"/>
  <c r="Q266" i="45" s="1"/>
  <c r="R266" i="45" s="1"/>
  <c r="T265" i="45"/>
  <c r="S265" i="45"/>
  <c r="M265" i="45"/>
  <c r="Q265" i="45" s="1"/>
  <c r="R265" i="45" s="1"/>
  <c r="T264" i="45"/>
  <c r="S264" i="45"/>
  <c r="M264" i="45"/>
  <c r="Q264" i="45" s="1"/>
  <c r="R264" i="45" s="1"/>
  <c r="T263" i="45"/>
  <c r="S263" i="45"/>
  <c r="M263" i="45"/>
  <c r="Q263" i="45" s="1"/>
  <c r="R263" i="45" s="1"/>
  <c r="T262" i="45"/>
  <c r="S262" i="45"/>
  <c r="M262" i="45"/>
  <c r="Q262" i="45" s="1"/>
  <c r="R262" i="45" s="1"/>
  <c r="T261" i="45"/>
  <c r="S261" i="45"/>
  <c r="M261" i="45"/>
  <c r="Q261" i="45" s="1"/>
  <c r="R261" i="45" s="1"/>
  <c r="T260" i="45"/>
  <c r="S260" i="45"/>
  <c r="M260" i="45"/>
  <c r="Q260" i="45" s="1"/>
  <c r="R260" i="45" s="1"/>
  <c r="T259" i="45"/>
  <c r="S259" i="45"/>
  <c r="M259" i="45"/>
  <c r="Q259" i="45" s="1"/>
  <c r="R259" i="45" s="1"/>
  <c r="T258" i="45"/>
  <c r="S258" i="45"/>
  <c r="M258" i="45"/>
  <c r="Q258" i="45" s="1"/>
  <c r="R258" i="45" s="1"/>
  <c r="T257" i="45"/>
  <c r="S257" i="45"/>
  <c r="M257" i="45"/>
  <c r="Q257" i="45" s="1"/>
  <c r="R257" i="45" s="1"/>
  <c r="T256" i="45"/>
  <c r="S256" i="45"/>
  <c r="M256" i="45"/>
  <c r="Q256" i="45" s="1"/>
  <c r="R256" i="45" s="1"/>
  <c r="T255" i="45"/>
  <c r="S255" i="45"/>
  <c r="M255" i="45"/>
  <c r="Q255" i="45" s="1"/>
  <c r="R255" i="45" s="1"/>
  <c r="T254" i="45"/>
  <c r="S254" i="45"/>
  <c r="M254" i="45"/>
  <c r="Q254" i="45" s="1"/>
  <c r="R254" i="45" s="1"/>
  <c r="T253" i="45"/>
  <c r="S253" i="45"/>
  <c r="M253" i="45"/>
  <c r="Q253" i="45" s="1"/>
  <c r="R253" i="45" s="1"/>
  <c r="T252" i="45"/>
  <c r="S252" i="45"/>
  <c r="M252" i="45"/>
  <c r="Q252" i="45" s="1"/>
  <c r="R252" i="45" s="1"/>
  <c r="T251" i="45"/>
  <c r="S251" i="45"/>
  <c r="M251" i="45"/>
  <c r="Q251" i="45" s="1"/>
  <c r="R251" i="45" s="1"/>
  <c r="T250" i="45"/>
  <c r="S250" i="45"/>
  <c r="M250" i="45"/>
  <c r="Q250" i="45" s="1"/>
  <c r="R250" i="45" s="1"/>
  <c r="T249" i="45"/>
  <c r="S249" i="45"/>
  <c r="M249" i="45"/>
  <c r="Q249" i="45" s="1"/>
  <c r="R249" i="45" s="1"/>
  <c r="T248" i="45"/>
  <c r="S248" i="45"/>
  <c r="M248" i="45"/>
  <c r="Q248" i="45" s="1"/>
  <c r="R248" i="45" s="1"/>
  <c r="T247" i="45"/>
  <c r="S247" i="45"/>
  <c r="M247" i="45"/>
  <c r="Q247" i="45" s="1"/>
  <c r="R247" i="45" s="1"/>
  <c r="T246" i="45"/>
  <c r="S246" i="45"/>
  <c r="M246" i="45"/>
  <c r="Q246" i="45" s="1"/>
  <c r="R246" i="45" s="1"/>
  <c r="T245" i="45"/>
  <c r="S245" i="45"/>
  <c r="M245" i="45"/>
  <c r="Q245" i="45" s="1"/>
  <c r="R245" i="45" s="1"/>
  <c r="T244" i="45"/>
  <c r="S244" i="45"/>
  <c r="M244" i="45"/>
  <c r="Q244" i="45" s="1"/>
  <c r="R244" i="45" s="1"/>
  <c r="T243" i="45"/>
  <c r="S243" i="45"/>
  <c r="M243" i="45"/>
  <c r="Q243" i="45" s="1"/>
  <c r="R243" i="45" s="1"/>
  <c r="T242" i="45"/>
  <c r="S242" i="45"/>
  <c r="M242" i="45"/>
  <c r="Q242" i="45" s="1"/>
  <c r="R242" i="45" s="1"/>
  <c r="T241" i="45"/>
  <c r="S241" i="45"/>
  <c r="M241" i="45"/>
  <c r="Q241" i="45" s="1"/>
  <c r="R241" i="45" s="1"/>
  <c r="T240" i="45"/>
  <c r="S240" i="45"/>
  <c r="M240" i="45"/>
  <c r="Q240" i="45" s="1"/>
  <c r="R240" i="45" s="1"/>
  <c r="T239" i="45"/>
  <c r="S239" i="45"/>
  <c r="M239" i="45"/>
  <c r="Q239" i="45" s="1"/>
  <c r="R239" i="45" s="1"/>
  <c r="T238" i="45"/>
  <c r="S238" i="45"/>
  <c r="M238" i="45"/>
  <c r="Q238" i="45" s="1"/>
  <c r="R238" i="45" s="1"/>
  <c r="T237" i="45"/>
  <c r="S237" i="45"/>
  <c r="M237" i="45"/>
  <c r="Q237" i="45" s="1"/>
  <c r="R237" i="45" s="1"/>
  <c r="T236" i="45"/>
  <c r="S236" i="45"/>
  <c r="M236" i="45"/>
  <c r="Q236" i="45" s="1"/>
  <c r="R236" i="45" s="1"/>
  <c r="T235" i="45"/>
  <c r="S235" i="45"/>
  <c r="M235" i="45"/>
  <c r="Q235" i="45" s="1"/>
  <c r="R235" i="45" s="1"/>
  <c r="T234" i="45"/>
  <c r="S234" i="45"/>
  <c r="M234" i="45"/>
  <c r="Q234" i="45" s="1"/>
  <c r="R234" i="45" s="1"/>
  <c r="T233" i="45"/>
  <c r="S233" i="45"/>
  <c r="M233" i="45"/>
  <c r="Q233" i="45" s="1"/>
  <c r="R233" i="45" s="1"/>
  <c r="T232" i="45"/>
  <c r="S232" i="45"/>
  <c r="M232" i="45"/>
  <c r="Q232" i="45" s="1"/>
  <c r="R232" i="45" s="1"/>
  <c r="T231" i="45"/>
  <c r="S231" i="45"/>
  <c r="M231" i="45"/>
  <c r="Q231" i="45" s="1"/>
  <c r="R231" i="45" s="1"/>
  <c r="T230" i="45"/>
  <c r="S230" i="45"/>
  <c r="M230" i="45"/>
  <c r="Q230" i="45" s="1"/>
  <c r="R230" i="45" s="1"/>
  <c r="T229" i="45"/>
  <c r="S229" i="45"/>
  <c r="M229" i="45"/>
  <c r="Q229" i="45" s="1"/>
  <c r="R229" i="45" s="1"/>
  <c r="T228" i="45"/>
  <c r="S228" i="45"/>
  <c r="M228" i="45"/>
  <c r="Q228" i="45" s="1"/>
  <c r="R228" i="45" s="1"/>
  <c r="T227" i="45"/>
  <c r="S227" i="45"/>
  <c r="M227" i="45"/>
  <c r="Q227" i="45" s="1"/>
  <c r="R227" i="45" s="1"/>
  <c r="T226" i="45"/>
  <c r="S226" i="45"/>
  <c r="M226" i="45"/>
  <c r="Q226" i="45" s="1"/>
  <c r="R226" i="45" s="1"/>
  <c r="T225" i="45"/>
  <c r="S225" i="45"/>
  <c r="M225" i="45"/>
  <c r="Q225" i="45" s="1"/>
  <c r="R225" i="45" s="1"/>
  <c r="T224" i="45"/>
  <c r="S224" i="45"/>
  <c r="M224" i="45"/>
  <c r="Q224" i="45" s="1"/>
  <c r="R224" i="45" s="1"/>
  <c r="T223" i="45"/>
  <c r="S223" i="45"/>
  <c r="M223" i="45"/>
  <c r="Q223" i="45" s="1"/>
  <c r="R223" i="45" s="1"/>
  <c r="T222" i="45"/>
  <c r="S222" i="45"/>
  <c r="M222" i="45"/>
  <c r="Q222" i="45" s="1"/>
  <c r="R222" i="45" s="1"/>
  <c r="T221" i="45"/>
  <c r="S221" i="45"/>
  <c r="M221" i="45"/>
  <c r="Q221" i="45" s="1"/>
  <c r="R221" i="45" s="1"/>
  <c r="T220" i="45"/>
  <c r="S220" i="45"/>
  <c r="M220" i="45"/>
  <c r="Q220" i="45" s="1"/>
  <c r="R220" i="45" s="1"/>
  <c r="T219" i="45"/>
  <c r="S219" i="45"/>
  <c r="M219" i="45"/>
  <c r="Q219" i="45" s="1"/>
  <c r="R219" i="45" s="1"/>
  <c r="T218" i="45"/>
  <c r="S218" i="45"/>
  <c r="M218" i="45"/>
  <c r="Q218" i="45" s="1"/>
  <c r="R218" i="45" s="1"/>
  <c r="T217" i="45"/>
  <c r="S217" i="45"/>
  <c r="M217" i="45"/>
  <c r="Q217" i="45" s="1"/>
  <c r="R217" i="45" s="1"/>
  <c r="T216" i="45"/>
  <c r="S216" i="45"/>
  <c r="M216" i="45"/>
  <c r="Q216" i="45" s="1"/>
  <c r="R216" i="45" s="1"/>
  <c r="T215" i="45"/>
  <c r="S215" i="45"/>
  <c r="M215" i="45"/>
  <c r="Q215" i="45" s="1"/>
  <c r="R215" i="45" s="1"/>
  <c r="T214" i="45"/>
  <c r="S214" i="45"/>
  <c r="M214" i="45"/>
  <c r="Q214" i="45" s="1"/>
  <c r="R214" i="45" s="1"/>
  <c r="T213" i="45"/>
  <c r="S213" i="45"/>
  <c r="M213" i="45"/>
  <c r="Q213" i="45" s="1"/>
  <c r="R213" i="45" s="1"/>
  <c r="T212" i="45"/>
  <c r="S212" i="45"/>
  <c r="M212" i="45"/>
  <c r="Q212" i="45" s="1"/>
  <c r="R212" i="45" s="1"/>
  <c r="T211" i="45"/>
  <c r="S211" i="45"/>
  <c r="M211" i="45"/>
  <c r="Q211" i="45" s="1"/>
  <c r="R211" i="45" s="1"/>
  <c r="T210" i="45"/>
  <c r="S210" i="45"/>
  <c r="M210" i="45"/>
  <c r="Q210" i="45" s="1"/>
  <c r="R210" i="45" s="1"/>
  <c r="T209" i="45"/>
  <c r="S209" i="45"/>
  <c r="M209" i="45"/>
  <c r="Q209" i="45" s="1"/>
  <c r="R209" i="45" s="1"/>
  <c r="T208" i="45"/>
  <c r="S208" i="45"/>
  <c r="M208" i="45"/>
  <c r="Q208" i="45" s="1"/>
  <c r="R208" i="45" s="1"/>
  <c r="T207" i="45"/>
  <c r="S207" i="45"/>
  <c r="M207" i="45"/>
  <c r="Q207" i="45" s="1"/>
  <c r="R207" i="45" s="1"/>
  <c r="T206" i="45"/>
  <c r="S206" i="45"/>
  <c r="M206" i="45"/>
  <c r="Q206" i="45" s="1"/>
  <c r="R206" i="45" s="1"/>
  <c r="T205" i="45"/>
  <c r="S205" i="45"/>
  <c r="M205" i="45"/>
  <c r="Q205" i="45" s="1"/>
  <c r="R205" i="45" s="1"/>
  <c r="T204" i="45"/>
  <c r="S204" i="45"/>
  <c r="M204" i="45"/>
  <c r="Q204" i="45" s="1"/>
  <c r="R204" i="45" s="1"/>
  <c r="T203" i="45"/>
  <c r="S203" i="45"/>
  <c r="M203" i="45"/>
  <c r="Q203" i="45" s="1"/>
  <c r="R203" i="45" s="1"/>
  <c r="T202" i="45"/>
  <c r="S202" i="45"/>
  <c r="M202" i="45"/>
  <c r="Q202" i="45" s="1"/>
  <c r="R202" i="45" s="1"/>
  <c r="T201" i="45"/>
  <c r="S201" i="45"/>
  <c r="M201" i="45"/>
  <c r="Q201" i="45" s="1"/>
  <c r="R201" i="45" s="1"/>
  <c r="T200" i="45"/>
  <c r="S200" i="45"/>
  <c r="M200" i="45"/>
  <c r="Q200" i="45" s="1"/>
  <c r="R200" i="45" s="1"/>
  <c r="T199" i="45"/>
  <c r="S199" i="45"/>
  <c r="M199" i="45"/>
  <c r="Q199" i="45" s="1"/>
  <c r="R199" i="45" s="1"/>
  <c r="T198" i="45"/>
  <c r="S198" i="45"/>
  <c r="M198" i="45"/>
  <c r="Q198" i="45" s="1"/>
  <c r="R198" i="45" s="1"/>
  <c r="T197" i="45"/>
  <c r="S197" i="45"/>
  <c r="M197" i="45"/>
  <c r="Q197" i="45" s="1"/>
  <c r="R197" i="45" s="1"/>
  <c r="T196" i="45"/>
  <c r="S196" i="45"/>
  <c r="M196" i="45"/>
  <c r="Q196" i="45" s="1"/>
  <c r="R196" i="45" s="1"/>
  <c r="T195" i="45"/>
  <c r="S195" i="45"/>
  <c r="M195" i="45"/>
  <c r="Q195" i="45" s="1"/>
  <c r="R195" i="45" s="1"/>
  <c r="T194" i="45"/>
  <c r="S194" i="45"/>
  <c r="M194" i="45"/>
  <c r="Q194" i="45" s="1"/>
  <c r="R194" i="45" s="1"/>
  <c r="T193" i="45"/>
  <c r="S193" i="45"/>
  <c r="M193" i="45"/>
  <c r="Q193" i="45" s="1"/>
  <c r="R193" i="45" s="1"/>
  <c r="T192" i="45"/>
  <c r="S192" i="45"/>
  <c r="M192" i="45"/>
  <c r="Q192" i="45" s="1"/>
  <c r="R192" i="45" s="1"/>
  <c r="T191" i="45"/>
  <c r="S191" i="45"/>
  <c r="M191" i="45"/>
  <c r="Q191" i="45" s="1"/>
  <c r="R191" i="45" s="1"/>
  <c r="T190" i="45"/>
  <c r="S190" i="45"/>
  <c r="M190" i="45"/>
  <c r="Q190" i="45" s="1"/>
  <c r="R190" i="45" s="1"/>
  <c r="T189" i="45"/>
  <c r="S189" i="45"/>
  <c r="M189" i="45"/>
  <c r="Q189" i="45" s="1"/>
  <c r="R189" i="45" s="1"/>
  <c r="T188" i="45"/>
  <c r="S188" i="45"/>
  <c r="M188" i="45"/>
  <c r="Q188" i="45" s="1"/>
  <c r="R188" i="45" s="1"/>
  <c r="T187" i="45"/>
  <c r="S187" i="45"/>
  <c r="M187" i="45"/>
  <c r="Q187" i="45" s="1"/>
  <c r="R187" i="45" s="1"/>
  <c r="T186" i="45"/>
  <c r="S186" i="45"/>
  <c r="M186" i="45"/>
  <c r="Q186" i="45" s="1"/>
  <c r="R186" i="45" s="1"/>
  <c r="T185" i="45"/>
  <c r="S185" i="45"/>
  <c r="M185" i="45"/>
  <c r="Q185" i="45" s="1"/>
  <c r="R185" i="45" s="1"/>
  <c r="T184" i="45"/>
  <c r="S184" i="45"/>
  <c r="M184" i="45"/>
  <c r="Q184" i="45" s="1"/>
  <c r="R184" i="45" s="1"/>
  <c r="T183" i="45"/>
  <c r="S183" i="45"/>
  <c r="M183" i="45"/>
  <c r="Q183" i="45" s="1"/>
  <c r="R183" i="45" s="1"/>
  <c r="T182" i="45"/>
  <c r="S182" i="45"/>
  <c r="M182" i="45"/>
  <c r="Q182" i="45" s="1"/>
  <c r="R182" i="45" s="1"/>
  <c r="T181" i="45"/>
  <c r="S181" i="45"/>
  <c r="M181" i="45"/>
  <c r="Q181" i="45" s="1"/>
  <c r="R181" i="45" s="1"/>
  <c r="T180" i="45"/>
  <c r="S180" i="45"/>
  <c r="M180" i="45"/>
  <c r="Q180" i="45" s="1"/>
  <c r="R180" i="45" s="1"/>
  <c r="T179" i="45"/>
  <c r="S179" i="45"/>
  <c r="M179" i="45"/>
  <c r="Q179" i="45" s="1"/>
  <c r="R179" i="45" s="1"/>
  <c r="T178" i="45"/>
  <c r="S178" i="45"/>
  <c r="M178" i="45"/>
  <c r="Q178" i="45" s="1"/>
  <c r="R178" i="45" s="1"/>
  <c r="T177" i="45"/>
  <c r="S177" i="45"/>
  <c r="M177" i="45"/>
  <c r="Q177" i="45" s="1"/>
  <c r="R177" i="45" s="1"/>
  <c r="T176" i="45"/>
  <c r="S176" i="45"/>
  <c r="M176" i="45"/>
  <c r="Q176" i="45" s="1"/>
  <c r="R176" i="45" s="1"/>
  <c r="T175" i="45"/>
  <c r="S175" i="45"/>
  <c r="M175" i="45"/>
  <c r="Q175" i="45" s="1"/>
  <c r="R175" i="45" s="1"/>
  <c r="T174" i="45"/>
  <c r="S174" i="45"/>
  <c r="M174" i="45"/>
  <c r="Q174" i="45" s="1"/>
  <c r="R174" i="45" s="1"/>
  <c r="T173" i="45"/>
  <c r="S173" i="45"/>
  <c r="M173" i="45"/>
  <c r="Q173" i="45" s="1"/>
  <c r="R173" i="45" s="1"/>
  <c r="T172" i="45"/>
  <c r="S172" i="45"/>
  <c r="M172" i="45"/>
  <c r="Q172" i="45" s="1"/>
  <c r="R172" i="45" s="1"/>
  <c r="T171" i="45"/>
  <c r="S171" i="45"/>
  <c r="M171" i="45"/>
  <c r="Q171" i="45" s="1"/>
  <c r="R171" i="45" s="1"/>
  <c r="T170" i="45"/>
  <c r="S170" i="45"/>
  <c r="M170" i="45"/>
  <c r="Q170" i="45" s="1"/>
  <c r="R170" i="45" s="1"/>
  <c r="T169" i="45"/>
  <c r="S169" i="45"/>
  <c r="M169" i="45"/>
  <c r="Q169" i="45" s="1"/>
  <c r="R169" i="45" s="1"/>
  <c r="T168" i="45"/>
  <c r="S168" i="45"/>
  <c r="M168" i="45"/>
  <c r="Q168" i="45" s="1"/>
  <c r="R168" i="45" s="1"/>
  <c r="T167" i="45"/>
  <c r="S167" i="45"/>
  <c r="M167" i="45"/>
  <c r="Q167" i="45" s="1"/>
  <c r="R167" i="45" s="1"/>
  <c r="T166" i="45"/>
  <c r="S166" i="45"/>
  <c r="M166" i="45"/>
  <c r="Q166" i="45" s="1"/>
  <c r="R166" i="45" s="1"/>
  <c r="T165" i="45"/>
  <c r="S165" i="45"/>
  <c r="M165" i="45"/>
  <c r="Q165" i="45" s="1"/>
  <c r="R165" i="45" s="1"/>
  <c r="T164" i="45"/>
  <c r="S164" i="45"/>
  <c r="M164" i="45"/>
  <c r="Q164" i="45" s="1"/>
  <c r="R164" i="45" s="1"/>
  <c r="T163" i="45"/>
  <c r="S163" i="45"/>
  <c r="M163" i="45"/>
  <c r="Q163" i="45" s="1"/>
  <c r="R163" i="45" s="1"/>
  <c r="T162" i="45"/>
  <c r="S162" i="45"/>
  <c r="M162" i="45"/>
  <c r="Q162" i="45" s="1"/>
  <c r="R162" i="45" s="1"/>
  <c r="T161" i="45"/>
  <c r="S161" i="45"/>
  <c r="M161" i="45"/>
  <c r="Q161" i="45" s="1"/>
  <c r="R161" i="45" s="1"/>
  <c r="T160" i="45"/>
  <c r="S160" i="45"/>
  <c r="M160" i="45"/>
  <c r="Q160" i="45" s="1"/>
  <c r="R160" i="45" s="1"/>
  <c r="T159" i="45"/>
  <c r="S159" i="45"/>
  <c r="M159" i="45"/>
  <c r="Q159" i="45" s="1"/>
  <c r="R159" i="45" s="1"/>
  <c r="T158" i="45"/>
  <c r="S158" i="45"/>
  <c r="M158" i="45"/>
  <c r="Q158" i="45" s="1"/>
  <c r="R158" i="45" s="1"/>
  <c r="T157" i="45"/>
  <c r="S157" i="45"/>
  <c r="M157" i="45"/>
  <c r="Q157" i="45" s="1"/>
  <c r="R157" i="45" s="1"/>
  <c r="T156" i="45"/>
  <c r="S156" i="45"/>
  <c r="M156" i="45"/>
  <c r="Q156" i="45" s="1"/>
  <c r="R156" i="45" s="1"/>
  <c r="T155" i="45"/>
  <c r="S155" i="45"/>
  <c r="M155" i="45"/>
  <c r="Q155" i="45" s="1"/>
  <c r="R155" i="45" s="1"/>
  <c r="T154" i="45"/>
  <c r="S154" i="45"/>
  <c r="M154" i="45"/>
  <c r="Q154" i="45" s="1"/>
  <c r="R154" i="45" s="1"/>
  <c r="T153" i="45"/>
  <c r="S153" i="45"/>
  <c r="M153" i="45"/>
  <c r="Q153" i="45" s="1"/>
  <c r="R153" i="45" s="1"/>
  <c r="T152" i="45"/>
  <c r="S152" i="45"/>
  <c r="M152" i="45"/>
  <c r="Q152" i="45" s="1"/>
  <c r="R152" i="45" s="1"/>
  <c r="T151" i="45"/>
  <c r="S151" i="45"/>
  <c r="M151" i="45"/>
  <c r="Q151" i="45" s="1"/>
  <c r="R151" i="45" s="1"/>
  <c r="T150" i="45"/>
  <c r="S150" i="45"/>
  <c r="M150" i="45"/>
  <c r="Q150" i="45" s="1"/>
  <c r="R150" i="45" s="1"/>
  <c r="T149" i="45"/>
  <c r="S149" i="45"/>
  <c r="M149" i="45"/>
  <c r="Q149" i="45" s="1"/>
  <c r="R149" i="45" s="1"/>
  <c r="T148" i="45"/>
  <c r="S148" i="45"/>
  <c r="M148" i="45"/>
  <c r="Q148" i="45" s="1"/>
  <c r="R148" i="45" s="1"/>
  <c r="T147" i="45"/>
  <c r="S147" i="45"/>
  <c r="M147" i="45"/>
  <c r="Q147" i="45" s="1"/>
  <c r="R147" i="45" s="1"/>
  <c r="T146" i="45"/>
  <c r="S146" i="45"/>
  <c r="M146" i="45"/>
  <c r="Q146" i="45" s="1"/>
  <c r="R146" i="45" s="1"/>
  <c r="T145" i="45"/>
  <c r="S145" i="45"/>
  <c r="M145" i="45"/>
  <c r="Q145" i="45" s="1"/>
  <c r="R145" i="45" s="1"/>
  <c r="T144" i="45"/>
  <c r="S144" i="45"/>
  <c r="M144" i="45"/>
  <c r="Q144" i="45" s="1"/>
  <c r="R144" i="45" s="1"/>
  <c r="T143" i="45"/>
  <c r="S143" i="45"/>
  <c r="M143" i="45"/>
  <c r="Q143" i="45" s="1"/>
  <c r="R143" i="45" s="1"/>
  <c r="T142" i="45"/>
  <c r="S142" i="45"/>
  <c r="M142" i="45"/>
  <c r="Q142" i="45" s="1"/>
  <c r="R142" i="45" s="1"/>
  <c r="T141" i="45"/>
  <c r="S141" i="45"/>
  <c r="M141" i="45"/>
  <c r="Q141" i="45" s="1"/>
  <c r="R141" i="45" s="1"/>
  <c r="T140" i="45"/>
  <c r="S140" i="45"/>
  <c r="M140" i="45"/>
  <c r="Q140" i="45" s="1"/>
  <c r="R140" i="45" s="1"/>
  <c r="T139" i="45"/>
  <c r="S139" i="45"/>
  <c r="M139" i="45"/>
  <c r="Q139" i="45" s="1"/>
  <c r="R139" i="45" s="1"/>
  <c r="T138" i="45"/>
  <c r="S138" i="45"/>
  <c r="M138" i="45"/>
  <c r="Q138" i="45" s="1"/>
  <c r="R138" i="45" s="1"/>
  <c r="T137" i="45"/>
  <c r="S137" i="45"/>
  <c r="M137" i="45"/>
  <c r="Q137" i="45" s="1"/>
  <c r="R137" i="45" s="1"/>
  <c r="T136" i="45"/>
  <c r="S136" i="45"/>
  <c r="M136" i="45"/>
  <c r="Q136" i="45" s="1"/>
  <c r="R136" i="45" s="1"/>
  <c r="T135" i="45"/>
  <c r="S135" i="45"/>
  <c r="M135" i="45"/>
  <c r="Q135" i="45" s="1"/>
  <c r="R135" i="45" s="1"/>
  <c r="T134" i="45"/>
  <c r="S134" i="45"/>
  <c r="M134" i="45"/>
  <c r="Q134" i="45" s="1"/>
  <c r="R134" i="45" s="1"/>
  <c r="T133" i="45"/>
  <c r="S133" i="45"/>
  <c r="M133" i="45"/>
  <c r="Q133" i="45" s="1"/>
  <c r="R133" i="45" s="1"/>
  <c r="T132" i="45"/>
  <c r="S132" i="45"/>
  <c r="M132" i="45"/>
  <c r="Q132" i="45" s="1"/>
  <c r="R132" i="45" s="1"/>
  <c r="T131" i="45"/>
  <c r="S131" i="45"/>
  <c r="M131" i="45"/>
  <c r="Q131" i="45" s="1"/>
  <c r="R131" i="45" s="1"/>
  <c r="T130" i="45"/>
  <c r="S130" i="45"/>
  <c r="M130" i="45"/>
  <c r="Q130" i="45" s="1"/>
  <c r="R130" i="45" s="1"/>
  <c r="T129" i="45"/>
  <c r="S129" i="45"/>
  <c r="M129" i="45"/>
  <c r="Q129" i="45" s="1"/>
  <c r="R129" i="45" s="1"/>
  <c r="T128" i="45"/>
  <c r="S128" i="45"/>
  <c r="M128" i="45"/>
  <c r="Q128" i="45" s="1"/>
  <c r="R128" i="45" s="1"/>
  <c r="T127" i="45"/>
  <c r="S127" i="45"/>
  <c r="M127" i="45"/>
  <c r="Q127" i="45" s="1"/>
  <c r="R127" i="45" s="1"/>
  <c r="T126" i="45"/>
  <c r="S126" i="45"/>
  <c r="M126" i="45"/>
  <c r="Q126" i="45" s="1"/>
  <c r="R126" i="45" s="1"/>
  <c r="T125" i="45"/>
  <c r="S125" i="45"/>
  <c r="M125" i="45"/>
  <c r="Q125" i="45" s="1"/>
  <c r="R125" i="45" s="1"/>
  <c r="T124" i="45"/>
  <c r="S124" i="45"/>
  <c r="M124" i="45"/>
  <c r="Q124" i="45" s="1"/>
  <c r="R124" i="45" s="1"/>
  <c r="T123" i="45"/>
  <c r="S123" i="45"/>
  <c r="M123" i="45"/>
  <c r="Q123" i="45" s="1"/>
  <c r="R123" i="45" s="1"/>
  <c r="T122" i="45"/>
  <c r="S122" i="45"/>
  <c r="M122" i="45"/>
  <c r="Q122" i="45" s="1"/>
  <c r="R122" i="45" s="1"/>
  <c r="T121" i="45"/>
  <c r="S121" i="45"/>
  <c r="M121" i="45"/>
  <c r="Q121" i="45" s="1"/>
  <c r="R121" i="45" s="1"/>
  <c r="T120" i="45"/>
  <c r="S120" i="45"/>
  <c r="M120" i="45"/>
  <c r="Q120" i="45" s="1"/>
  <c r="R120" i="45" s="1"/>
  <c r="T119" i="45"/>
  <c r="S119" i="45"/>
  <c r="M119" i="45"/>
  <c r="Q119" i="45" s="1"/>
  <c r="R119" i="45" s="1"/>
  <c r="T118" i="45"/>
  <c r="S118" i="45"/>
  <c r="M118" i="45"/>
  <c r="Q118" i="45" s="1"/>
  <c r="R118" i="45" s="1"/>
  <c r="T117" i="45"/>
  <c r="S117" i="45"/>
  <c r="M117" i="45"/>
  <c r="Q117" i="45" s="1"/>
  <c r="R117" i="45" s="1"/>
  <c r="T116" i="45"/>
  <c r="S116" i="45"/>
  <c r="M116" i="45"/>
  <c r="Q116" i="45" s="1"/>
  <c r="R116" i="45" s="1"/>
  <c r="T115" i="45"/>
  <c r="S115" i="45"/>
  <c r="M115" i="45"/>
  <c r="Q115" i="45" s="1"/>
  <c r="R115" i="45" s="1"/>
  <c r="T114" i="45"/>
  <c r="S114" i="45"/>
  <c r="M114" i="45"/>
  <c r="Q114" i="45" s="1"/>
  <c r="R114" i="45" s="1"/>
  <c r="T113" i="45"/>
  <c r="S113" i="45"/>
  <c r="M113" i="45"/>
  <c r="Q113" i="45" s="1"/>
  <c r="R113" i="45" s="1"/>
  <c r="T112" i="45"/>
  <c r="S112" i="45"/>
  <c r="M112" i="45"/>
  <c r="Q112" i="45" s="1"/>
  <c r="R112" i="45" s="1"/>
  <c r="T111" i="45"/>
  <c r="S111" i="45"/>
  <c r="M111" i="45"/>
  <c r="Q111" i="45" s="1"/>
  <c r="R111" i="45" s="1"/>
  <c r="T110" i="45"/>
  <c r="S110" i="45"/>
  <c r="M110" i="45"/>
  <c r="Q110" i="45" s="1"/>
  <c r="R110" i="45" s="1"/>
  <c r="T109" i="45"/>
  <c r="S109" i="45"/>
  <c r="M109" i="45"/>
  <c r="Q109" i="45" s="1"/>
  <c r="R109" i="45" s="1"/>
  <c r="T108" i="45"/>
  <c r="S108" i="45"/>
  <c r="M108" i="45"/>
  <c r="Q108" i="45" s="1"/>
  <c r="R108" i="45" s="1"/>
  <c r="T107" i="45"/>
  <c r="S107" i="45"/>
  <c r="M107" i="45"/>
  <c r="Q107" i="45" s="1"/>
  <c r="R107" i="45" s="1"/>
  <c r="T106" i="45"/>
  <c r="S106" i="45"/>
  <c r="M106" i="45"/>
  <c r="Q106" i="45" s="1"/>
  <c r="R106" i="45" s="1"/>
  <c r="T105" i="45"/>
  <c r="S105" i="45"/>
  <c r="M105" i="45"/>
  <c r="Q105" i="45" s="1"/>
  <c r="R105" i="45" s="1"/>
  <c r="T104" i="45"/>
  <c r="S104" i="45"/>
  <c r="M104" i="45"/>
  <c r="Q104" i="45" s="1"/>
  <c r="R104" i="45" s="1"/>
  <c r="T103" i="45"/>
  <c r="S103" i="45"/>
  <c r="M103" i="45"/>
  <c r="Q103" i="45" s="1"/>
  <c r="R103" i="45" s="1"/>
  <c r="T102" i="45"/>
  <c r="S102" i="45"/>
  <c r="M102" i="45"/>
  <c r="Q102" i="45" s="1"/>
  <c r="R102" i="45" s="1"/>
  <c r="T101" i="45"/>
  <c r="S101" i="45"/>
  <c r="M101" i="45"/>
  <c r="Q101" i="45" s="1"/>
  <c r="R101" i="45" s="1"/>
  <c r="T100" i="45"/>
  <c r="S100" i="45"/>
  <c r="M100" i="45"/>
  <c r="Q100" i="45" s="1"/>
  <c r="R100" i="45" s="1"/>
  <c r="T99" i="45"/>
  <c r="S99" i="45"/>
  <c r="M99" i="45"/>
  <c r="Q99" i="45" s="1"/>
  <c r="R99" i="45" s="1"/>
  <c r="T98" i="45"/>
  <c r="S98" i="45"/>
  <c r="M98" i="45"/>
  <c r="Q98" i="45" s="1"/>
  <c r="R98" i="45" s="1"/>
  <c r="T97" i="45"/>
  <c r="S97" i="45"/>
  <c r="M97" i="45"/>
  <c r="Q97" i="45" s="1"/>
  <c r="R97" i="45" s="1"/>
  <c r="T96" i="45"/>
  <c r="S96" i="45"/>
  <c r="M96" i="45"/>
  <c r="Q96" i="45" s="1"/>
  <c r="R96" i="45" s="1"/>
  <c r="T95" i="45"/>
  <c r="S95" i="45"/>
  <c r="M95" i="45"/>
  <c r="Q95" i="45" s="1"/>
  <c r="R95" i="45" s="1"/>
  <c r="T94" i="45"/>
  <c r="S94" i="45"/>
  <c r="M94" i="45"/>
  <c r="Q94" i="45" s="1"/>
  <c r="R94" i="45" s="1"/>
  <c r="T93" i="45"/>
  <c r="S93" i="45"/>
  <c r="M93" i="45"/>
  <c r="Q93" i="45" s="1"/>
  <c r="R93" i="45" s="1"/>
  <c r="T92" i="45"/>
  <c r="S92" i="45"/>
  <c r="M92" i="45"/>
  <c r="Q92" i="45" s="1"/>
  <c r="R92" i="45" s="1"/>
  <c r="T91" i="45"/>
  <c r="S91" i="45"/>
  <c r="M91" i="45"/>
  <c r="Q91" i="45" s="1"/>
  <c r="R91" i="45" s="1"/>
  <c r="T90" i="45"/>
  <c r="S90" i="45"/>
  <c r="M90" i="45"/>
  <c r="Q90" i="45" s="1"/>
  <c r="R90" i="45" s="1"/>
  <c r="T89" i="45"/>
  <c r="S89" i="45"/>
  <c r="M89" i="45"/>
  <c r="Q89" i="45" s="1"/>
  <c r="R89" i="45" s="1"/>
  <c r="T88" i="45"/>
  <c r="S88" i="45"/>
  <c r="M88" i="45"/>
  <c r="Q88" i="45" s="1"/>
  <c r="R88" i="45" s="1"/>
  <c r="T87" i="45"/>
  <c r="S87" i="45"/>
  <c r="M87" i="45"/>
  <c r="Q87" i="45" s="1"/>
  <c r="R87" i="45" s="1"/>
  <c r="T86" i="45"/>
  <c r="S86" i="45"/>
  <c r="M86" i="45"/>
  <c r="Q86" i="45" s="1"/>
  <c r="R86" i="45" s="1"/>
  <c r="T85" i="45"/>
  <c r="S85" i="45"/>
  <c r="M85" i="45"/>
  <c r="Q85" i="45" s="1"/>
  <c r="R85" i="45" s="1"/>
  <c r="T84" i="45"/>
  <c r="S84" i="45"/>
  <c r="M84" i="45"/>
  <c r="Q84" i="45" s="1"/>
  <c r="R84" i="45" s="1"/>
  <c r="T83" i="45"/>
  <c r="S83" i="45"/>
  <c r="M83" i="45"/>
  <c r="Q83" i="45" s="1"/>
  <c r="R83" i="45" s="1"/>
  <c r="T82" i="45"/>
  <c r="S82" i="45"/>
  <c r="M82" i="45"/>
  <c r="Q82" i="45" s="1"/>
  <c r="R82" i="45" s="1"/>
  <c r="T81" i="45"/>
  <c r="S81" i="45"/>
  <c r="M81" i="45"/>
  <c r="Q81" i="45" s="1"/>
  <c r="R81" i="45" s="1"/>
  <c r="T80" i="45"/>
  <c r="S80" i="45"/>
  <c r="M80" i="45"/>
  <c r="Q80" i="45" s="1"/>
  <c r="R80" i="45" s="1"/>
  <c r="T79" i="45"/>
  <c r="S79" i="45"/>
  <c r="M79" i="45"/>
  <c r="Q79" i="45" s="1"/>
  <c r="R79" i="45" s="1"/>
  <c r="T78" i="45"/>
  <c r="S78" i="45"/>
  <c r="M78" i="45"/>
  <c r="Q78" i="45" s="1"/>
  <c r="R78" i="45" s="1"/>
  <c r="T77" i="45"/>
  <c r="S77" i="45"/>
  <c r="M77" i="45"/>
  <c r="Q77" i="45" s="1"/>
  <c r="R77" i="45" s="1"/>
  <c r="T76" i="45"/>
  <c r="S76" i="45"/>
  <c r="M76" i="45"/>
  <c r="Q76" i="45" s="1"/>
  <c r="R76" i="45" s="1"/>
  <c r="T75" i="45"/>
  <c r="S75" i="45"/>
  <c r="M75" i="45"/>
  <c r="Q75" i="45" s="1"/>
  <c r="R75" i="45" s="1"/>
  <c r="T74" i="45"/>
  <c r="S74" i="45"/>
  <c r="M74" i="45"/>
  <c r="Q74" i="45" s="1"/>
  <c r="R74" i="45" s="1"/>
  <c r="T73" i="45"/>
  <c r="S73" i="45"/>
  <c r="M73" i="45"/>
  <c r="Q73" i="45" s="1"/>
  <c r="R73" i="45" s="1"/>
  <c r="T72" i="45"/>
  <c r="S72" i="45"/>
  <c r="M72" i="45"/>
  <c r="Q72" i="45" s="1"/>
  <c r="R72" i="45" s="1"/>
  <c r="T71" i="45"/>
  <c r="S71" i="45"/>
  <c r="M71" i="45"/>
  <c r="Q71" i="45" s="1"/>
  <c r="R71" i="45" s="1"/>
  <c r="T70" i="45"/>
  <c r="S70" i="45"/>
  <c r="M70" i="45"/>
  <c r="Q70" i="45" s="1"/>
  <c r="R70" i="45" s="1"/>
  <c r="T69" i="45"/>
  <c r="S69" i="45"/>
  <c r="M69" i="45"/>
  <c r="Q69" i="45" s="1"/>
  <c r="R69" i="45" s="1"/>
  <c r="T68" i="45"/>
  <c r="S68" i="45"/>
  <c r="M68" i="45"/>
  <c r="Q68" i="45" s="1"/>
  <c r="R68" i="45" s="1"/>
  <c r="T67" i="45"/>
  <c r="S67" i="45"/>
  <c r="M67" i="45"/>
  <c r="Q67" i="45" s="1"/>
  <c r="R67" i="45" s="1"/>
  <c r="T66" i="45"/>
  <c r="S66" i="45"/>
  <c r="M66" i="45"/>
  <c r="Q66" i="45" s="1"/>
  <c r="R66" i="45" s="1"/>
  <c r="T65" i="45"/>
  <c r="S65" i="45"/>
  <c r="M65" i="45"/>
  <c r="Q65" i="45" s="1"/>
  <c r="R65" i="45" s="1"/>
  <c r="T64" i="45"/>
  <c r="S64" i="45"/>
  <c r="M64" i="45"/>
  <c r="Q64" i="45" s="1"/>
  <c r="R64" i="45" s="1"/>
  <c r="T63" i="45"/>
  <c r="S63" i="45"/>
  <c r="M63" i="45"/>
  <c r="Q63" i="45" s="1"/>
  <c r="R63" i="45" s="1"/>
  <c r="T62" i="45"/>
  <c r="S62" i="45"/>
  <c r="M62" i="45"/>
  <c r="Q62" i="45" s="1"/>
  <c r="R62" i="45" s="1"/>
  <c r="T61" i="45"/>
  <c r="S61" i="45"/>
  <c r="M61" i="45"/>
  <c r="Q61" i="45" s="1"/>
  <c r="R61" i="45" s="1"/>
  <c r="T60" i="45"/>
  <c r="S60" i="45"/>
  <c r="M60" i="45"/>
  <c r="Q60" i="45" s="1"/>
  <c r="R60" i="45" s="1"/>
  <c r="T59" i="45"/>
  <c r="S59" i="45"/>
  <c r="M59" i="45"/>
  <c r="Q59" i="45" s="1"/>
  <c r="R59" i="45" s="1"/>
  <c r="T58" i="45"/>
  <c r="S58" i="45"/>
  <c r="M58" i="45"/>
  <c r="Q58" i="45" s="1"/>
  <c r="R58" i="45" s="1"/>
  <c r="T57" i="45"/>
  <c r="S57" i="45"/>
  <c r="M57" i="45"/>
  <c r="Q57" i="45" s="1"/>
  <c r="R57" i="45" s="1"/>
  <c r="T56" i="45"/>
  <c r="S56" i="45"/>
  <c r="M56" i="45"/>
  <c r="Q56" i="45" s="1"/>
  <c r="R56" i="45" s="1"/>
  <c r="T55" i="45"/>
  <c r="S55" i="45"/>
  <c r="M55" i="45"/>
  <c r="Q55" i="45" s="1"/>
  <c r="R55" i="45" s="1"/>
  <c r="T54" i="45"/>
  <c r="S54" i="45"/>
  <c r="M54" i="45"/>
  <c r="Q54" i="45" s="1"/>
  <c r="R54" i="45" s="1"/>
  <c r="T53" i="45"/>
  <c r="S53" i="45"/>
  <c r="M53" i="45"/>
  <c r="Q53" i="45" s="1"/>
  <c r="R53" i="45" s="1"/>
  <c r="T52" i="45"/>
  <c r="S52" i="45"/>
  <c r="M52" i="45"/>
  <c r="Q52" i="45" s="1"/>
  <c r="R52" i="45" s="1"/>
  <c r="T51" i="45"/>
  <c r="S51" i="45"/>
  <c r="M51" i="45"/>
  <c r="Q51" i="45" s="1"/>
  <c r="R51" i="45" s="1"/>
  <c r="T50" i="45"/>
  <c r="S50" i="45"/>
  <c r="M50" i="45"/>
  <c r="Q50" i="45" s="1"/>
  <c r="R50" i="45" s="1"/>
  <c r="T49" i="45"/>
  <c r="S49" i="45"/>
  <c r="M49" i="45"/>
  <c r="Q49" i="45" s="1"/>
  <c r="R49" i="45" s="1"/>
  <c r="T48" i="45"/>
  <c r="S48" i="45"/>
  <c r="M48" i="45"/>
  <c r="Q48" i="45" s="1"/>
  <c r="R48" i="45" s="1"/>
  <c r="T47" i="45"/>
  <c r="S47" i="45"/>
  <c r="M47" i="45"/>
  <c r="Q47" i="45" s="1"/>
  <c r="R47" i="45" s="1"/>
  <c r="T46" i="45"/>
  <c r="S46" i="45"/>
  <c r="M46" i="45"/>
  <c r="Q46" i="45" s="1"/>
  <c r="R46" i="45" s="1"/>
  <c r="T45" i="45"/>
  <c r="S45" i="45"/>
  <c r="M45" i="45"/>
  <c r="Q45" i="45" s="1"/>
  <c r="R45" i="45" s="1"/>
  <c r="T44" i="45"/>
  <c r="S44" i="45"/>
  <c r="M44" i="45"/>
  <c r="Q44" i="45" s="1"/>
  <c r="R44" i="45" s="1"/>
  <c r="T43" i="45"/>
  <c r="S43" i="45"/>
  <c r="M43" i="45"/>
  <c r="Q43" i="45" s="1"/>
  <c r="R43" i="45" s="1"/>
  <c r="T42" i="45"/>
  <c r="S42" i="45"/>
  <c r="M42" i="45"/>
  <c r="Q42" i="45" s="1"/>
  <c r="R42" i="45" s="1"/>
  <c r="T41" i="45"/>
  <c r="S41" i="45"/>
  <c r="M41" i="45"/>
  <c r="Q41" i="45" s="1"/>
  <c r="R41" i="45" s="1"/>
  <c r="T40" i="45"/>
  <c r="S40" i="45"/>
  <c r="M40" i="45"/>
  <c r="Q40" i="45" s="1"/>
  <c r="R40" i="45" s="1"/>
  <c r="T39" i="45"/>
  <c r="S39" i="45"/>
  <c r="M39" i="45"/>
  <c r="Q39" i="45" s="1"/>
  <c r="R39" i="45" s="1"/>
  <c r="T38" i="45"/>
  <c r="S38" i="45"/>
  <c r="M38" i="45"/>
  <c r="Q38" i="45" s="1"/>
  <c r="R38" i="45" s="1"/>
  <c r="T37" i="45"/>
  <c r="S37" i="45"/>
  <c r="M37" i="45"/>
  <c r="Q37" i="45" s="1"/>
  <c r="R37" i="45" s="1"/>
  <c r="T36" i="45"/>
  <c r="S36" i="45"/>
  <c r="M36" i="45"/>
  <c r="Q36" i="45" s="1"/>
  <c r="R36" i="45" s="1"/>
  <c r="T35" i="45"/>
  <c r="S35" i="45"/>
  <c r="M35" i="45"/>
  <c r="Q35" i="45" s="1"/>
  <c r="R35" i="45" s="1"/>
  <c r="T34" i="45"/>
  <c r="S34" i="45"/>
  <c r="M34" i="45"/>
  <c r="Q34" i="45" s="1"/>
  <c r="R34" i="45" s="1"/>
  <c r="T33" i="45"/>
  <c r="S33" i="45"/>
  <c r="M33" i="45"/>
  <c r="Q33" i="45" s="1"/>
  <c r="R33" i="45" s="1"/>
  <c r="T32" i="45"/>
  <c r="S32" i="45"/>
  <c r="M32" i="45"/>
  <c r="Q32" i="45" s="1"/>
  <c r="R32" i="45" s="1"/>
  <c r="T31" i="45"/>
  <c r="S31" i="45"/>
  <c r="M31" i="45"/>
  <c r="Q31" i="45" s="1"/>
  <c r="R31" i="45" s="1"/>
  <c r="T30" i="45"/>
  <c r="S30" i="45"/>
  <c r="M30" i="45"/>
  <c r="Q30" i="45" s="1"/>
  <c r="R30" i="45" s="1"/>
  <c r="T29" i="45"/>
  <c r="S29" i="45"/>
  <c r="M29" i="45"/>
  <c r="Q29" i="45" s="1"/>
  <c r="R29" i="45" s="1"/>
  <c r="T28" i="45"/>
  <c r="S28" i="45"/>
  <c r="M28" i="45"/>
  <c r="Q28" i="45" s="1"/>
  <c r="R28" i="45" s="1"/>
  <c r="T27" i="45"/>
  <c r="S27" i="45"/>
  <c r="M27" i="45"/>
  <c r="Q27" i="45" s="1"/>
  <c r="R27" i="45" s="1"/>
  <c r="T26" i="45"/>
  <c r="S26" i="45"/>
  <c r="M26" i="45"/>
  <c r="Q26" i="45" s="1"/>
  <c r="R26" i="45" s="1"/>
  <c r="T25" i="45"/>
  <c r="S25" i="45"/>
  <c r="M25" i="45"/>
  <c r="Q25" i="45" s="1"/>
  <c r="R25" i="45" s="1"/>
  <c r="T24" i="45"/>
  <c r="S24" i="45"/>
  <c r="M24" i="45"/>
  <c r="Q24" i="45" s="1"/>
  <c r="R24" i="45" s="1"/>
  <c r="T23" i="45"/>
  <c r="S23" i="45"/>
  <c r="M23" i="45"/>
  <c r="Q23" i="45" s="1"/>
  <c r="R23" i="45" s="1"/>
  <c r="T22" i="45"/>
  <c r="S22" i="45"/>
  <c r="M22" i="45"/>
  <c r="Q22" i="45" s="1"/>
  <c r="R22" i="45" s="1"/>
  <c r="T21" i="45"/>
  <c r="S21" i="45"/>
  <c r="M21" i="45"/>
  <c r="Q21" i="45" s="1"/>
  <c r="R21" i="45" s="1"/>
  <c r="T20" i="45"/>
  <c r="S20" i="45"/>
  <c r="M20" i="45"/>
  <c r="Q20" i="45" s="1"/>
  <c r="R20" i="45" s="1"/>
  <c r="T19" i="45"/>
  <c r="S19" i="45"/>
  <c r="M19" i="45"/>
  <c r="Q19" i="45" s="1"/>
  <c r="R19" i="45" s="1"/>
  <c r="T18" i="45"/>
  <c r="S18" i="45"/>
  <c r="M18" i="45"/>
  <c r="Q18" i="45" s="1"/>
  <c r="R18" i="45" s="1"/>
  <c r="T17" i="45"/>
  <c r="S17" i="45"/>
  <c r="M17" i="45"/>
  <c r="Q17" i="45" s="1"/>
  <c r="R17" i="45" s="1"/>
  <c r="T16" i="45"/>
  <c r="S16" i="45"/>
  <c r="M16" i="45"/>
  <c r="Q16" i="45" s="1"/>
  <c r="R16" i="45" s="1"/>
  <c r="T15" i="45"/>
  <c r="S15" i="45"/>
  <c r="M15" i="45"/>
  <c r="Q15" i="45" s="1"/>
  <c r="R15" i="45" s="1"/>
  <c r="T14" i="45"/>
  <c r="S14" i="45"/>
  <c r="M14" i="45"/>
  <c r="Q14" i="45" s="1"/>
  <c r="R14" i="45" s="1"/>
  <c r="T13" i="45"/>
  <c r="S13" i="45"/>
  <c r="M13" i="45"/>
  <c r="Q13" i="45" s="1"/>
  <c r="R13" i="45" s="1"/>
  <c r="T12" i="45"/>
  <c r="S12" i="45"/>
  <c r="M12" i="45"/>
  <c r="Q12" i="45" s="1"/>
  <c r="R12" i="45" s="1"/>
  <c r="T11" i="45"/>
  <c r="S11" i="45"/>
  <c r="M11" i="45"/>
  <c r="Q11" i="45" s="1"/>
  <c r="R11" i="45" s="1"/>
  <c r="T10" i="45"/>
  <c r="S10" i="45"/>
  <c r="M10" i="45"/>
  <c r="Q10" i="45" s="1"/>
  <c r="R10" i="45" s="1"/>
  <c r="T9" i="45"/>
  <c r="S9" i="45"/>
  <c r="M9" i="45"/>
  <c r="Q9" i="45" s="1"/>
  <c r="R9" i="45" s="1"/>
  <c r="T8" i="45"/>
  <c r="S8" i="45"/>
  <c r="M8" i="45"/>
  <c r="Q8" i="45" s="1"/>
  <c r="R8" i="45" s="1"/>
  <c r="T7" i="45"/>
  <c r="S7" i="45"/>
  <c r="M7" i="45"/>
  <c r="Q7" i="45" s="1"/>
  <c r="R7" i="45" s="1"/>
  <c r="T6" i="45"/>
  <c r="S6" i="45"/>
  <c r="M6" i="45"/>
  <c r="Q6" i="45" s="1"/>
  <c r="R6" i="45" s="1"/>
  <c r="T5" i="45"/>
  <c r="S5" i="45"/>
  <c r="M5" i="45"/>
  <c r="Q5" i="45" s="1"/>
  <c r="R5" i="45" s="1"/>
  <c r="T4" i="45"/>
  <c r="S4" i="45"/>
  <c r="M4" i="45"/>
  <c r="Q4" i="45" s="1"/>
  <c r="R4" i="45" s="1"/>
  <c r="T3" i="45"/>
  <c r="S3" i="45"/>
  <c r="M3" i="45"/>
  <c r="Q3" i="45" s="1"/>
  <c r="R3" i="45" s="1"/>
  <c r="K1" i="45"/>
  <c r="S3" i="1"/>
  <c r="AA140" i="6"/>
  <c r="X140" i="6"/>
  <c r="E140" i="6"/>
  <c r="C140" i="6"/>
  <c r="AA139" i="6"/>
  <c r="X139" i="6"/>
  <c r="E139" i="6"/>
  <c r="C139" i="6"/>
  <c r="AA138" i="6"/>
  <c r="X138" i="6"/>
  <c r="E138" i="6"/>
  <c r="C138" i="6"/>
  <c r="G87" i="38"/>
  <c r="G88" i="38"/>
  <c r="G89" i="38"/>
  <c r="G92" i="38"/>
  <c r="G93" i="38"/>
  <c r="G94" i="38"/>
  <c r="G95" i="38"/>
  <c r="G96" i="38"/>
  <c r="G97" i="38"/>
  <c r="G98" i="38"/>
  <c r="G99" i="38"/>
  <c r="G111" i="38"/>
  <c r="G112" i="38"/>
  <c r="G113" i="38"/>
  <c r="G114" i="38"/>
  <c r="G115" i="38"/>
  <c r="G116" i="38"/>
  <c r="G117" i="38"/>
  <c r="G118" i="38"/>
  <c r="G119" i="38"/>
  <c r="G120" i="38"/>
  <c r="G121" i="38"/>
  <c r="G122" i="38"/>
  <c r="G54" i="38"/>
  <c r="G49" i="38"/>
  <c r="G50" i="38"/>
  <c r="H47" i="42"/>
  <c r="H20" i="42"/>
  <c r="H4" i="42"/>
  <c r="H39" i="42"/>
  <c r="H19" i="42"/>
  <c r="H8" i="42"/>
  <c r="H10" i="42"/>
  <c r="H13" i="42"/>
  <c r="H18" i="42"/>
  <c r="H14" i="42"/>
  <c r="H55" i="42"/>
  <c r="H61" i="42"/>
  <c r="H57" i="42"/>
  <c r="H36" i="42"/>
  <c r="H63" i="42"/>
  <c r="C1" i="17"/>
  <c r="R3" i="42"/>
  <c r="N3" i="42"/>
  <c r="D3" i="42"/>
  <c r="D1" i="24"/>
  <c r="AA137" i="6"/>
  <c r="X137" i="6"/>
  <c r="E137" i="6"/>
  <c r="C137" i="6"/>
  <c r="D1" i="8"/>
  <c r="Q51" i="39"/>
  <c r="Q52" i="39"/>
  <c r="Q53" i="39"/>
  <c r="Q54" i="39"/>
  <c r="K3" i="42" l="1"/>
  <c r="AD3" i="42"/>
  <c r="AG144" i="6"/>
  <c r="F144" i="6"/>
  <c r="T55" i="42"/>
  <c r="T3" i="42"/>
  <c r="V80" i="42"/>
  <c r="AF3" i="42"/>
  <c r="U7" i="42"/>
  <c r="T7" i="42"/>
  <c r="T45" i="42"/>
  <c r="U71" i="42"/>
  <c r="T70" i="42"/>
  <c r="U73" i="42"/>
  <c r="L75" i="42"/>
  <c r="K75" i="42" s="1"/>
  <c r="L19" i="42"/>
  <c r="K19" i="42" s="1"/>
  <c r="T73" i="42"/>
  <c r="V70" i="42"/>
  <c r="L73" i="42"/>
  <c r="K73" i="42" s="1"/>
  <c r="V26" i="42"/>
  <c r="T13" i="42"/>
  <c r="U55" i="42"/>
  <c r="U42" i="42"/>
  <c r="U24" i="42"/>
  <c r="U51" i="42"/>
  <c r="T75" i="42"/>
  <c r="M39" i="42"/>
  <c r="K39" i="42" s="1"/>
  <c r="T42" i="42"/>
  <c r="X83" i="42"/>
  <c r="W83" i="42"/>
  <c r="T19" i="42"/>
  <c r="L46" i="42"/>
  <c r="K46" i="42" s="1"/>
  <c r="U58" i="42"/>
  <c r="M58" i="42"/>
  <c r="K58" i="42" s="1"/>
  <c r="M5" i="42"/>
  <c r="K5" i="42" s="1"/>
  <c r="T80" i="42"/>
  <c r="U80" i="42"/>
  <c r="T16" i="42"/>
  <c r="U9" i="42"/>
  <c r="T8" i="42"/>
  <c r="T56" i="42"/>
  <c r="U82" i="42"/>
  <c r="V48" i="42"/>
  <c r="V59" i="42"/>
  <c r="U17" i="42"/>
  <c r="U49" i="42"/>
  <c r="U56" i="42"/>
  <c r="V66" i="42"/>
  <c r="T17" i="42"/>
  <c r="U29" i="42"/>
  <c r="U76" i="42"/>
  <c r="T9" i="42"/>
  <c r="T41" i="42"/>
  <c r="Z83" i="42"/>
  <c r="T38" i="42"/>
  <c r="T83" i="42"/>
  <c r="T58" i="42"/>
  <c r="U13" i="42"/>
  <c r="AA83" i="42"/>
  <c r="V22" i="42"/>
  <c r="U33" i="42"/>
  <c r="V38" i="42"/>
  <c r="Y83" i="42"/>
  <c r="V36" i="42"/>
  <c r="T49" i="42"/>
  <c r="T20" i="42"/>
  <c r="V83" i="42"/>
  <c r="V82" i="42"/>
  <c r="T39" i="42"/>
  <c r="U61" i="42"/>
  <c r="W82" i="42"/>
  <c r="V78" i="42"/>
  <c r="V68" i="42"/>
  <c r="T24" i="42"/>
  <c r="V24" i="42"/>
  <c r="T37" i="42"/>
  <c r="W10" i="42"/>
  <c r="U59" i="42"/>
  <c r="U8" i="42"/>
  <c r="Z84" i="42"/>
  <c r="U11" i="42"/>
  <c r="U75" i="42"/>
  <c r="V75" i="42"/>
  <c r="U47" i="42"/>
  <c r="U15" i="42"/>
  <c r="U67" i="42"/>
  <c r="T44" i="42"/>
  <c r="U77" i="42"/>
  <c r="U46" i="42"/>
  <c r="U81" i="42"/>
  <c r="U19" i="42"/>
  <c r="U4" i="42"/>
  <c r="U12" i="42"/>
  <c r="U45" i="42"/>
  <c r="T51" i="42"/>
  <c r="T21" i="42"/>
  <c r="T32" i="42"/>
  <c r="T30" i="42"/>
  <c r="V67" i="42"/>
  <c r="V81" i="42"/>
  <c r="T82" i="42"/>
  <c r="T29" i="42"/>
  <c r="T15" i="42"/>
  <c r="T4" i="42"/>
  <c r="U26" i="42"/>
  <c r="V61" i="42"/>
  <c r="W67" i="42"/>
  <c r="AA82" i="42"/>
  <c r="T81" i="42"/>
  <c r="T67" i="42"/>
  <c r="T26" i="42"/>
  <c r="V56" i="42"/>
  <c r="Z82" i="42"/>
  <c r="T66" i="42"/>
  <c r="T48" i="42"/>
  <c r="T12" i="42"/>
  <c r="U66" i="42"/>
  <c r="U48" i="42"/>
  <c r="V47" i="42"/>
  <c r="Y84" i="42"/>
  <c r="Y82" i="42"/>
  <c r="T77" i="42"/>
  <c r="T61" i="42"/>
  <c r="T47" i="42"/>
  <c r="T11" i="42"/>
  <c r="U10" i="42"/>
  <c r="V10" i="42"/>
  <c r="X84" i="42"/>
  <c r="X82" i="42"/>
  <c r="T76" i="42"/>
  <c r="T59" i="42"/>
  <c r="T46" i="42"/>
  <c r="T36" i="42"/>
  <c r="T10" i="42"/>
  <c r="W84" i="42"/>
  <c r="F2" i="50"/>
  <c r="D2" i="50"/>
  <c r="U68" i="42"/>
  <c r="U52" i="42"/>
  <c r="U36" i="42"/>
  <c r="V52" i="42"/>
  <c r="U25" i="42"/>
  <c r="U78" i="42"/>
  <c r="T68" i="42"/>
  <c r="T78" i="42"/>
  <c r="U22" i="42"/>
  <c r="V84" i="42"/>
  <c r="T84" i="42"/>
  <c r="AA84" i="42"/>
  <c r="T22" i="42"/>
  <c r="H52" i="42"/>
  <c r="H38" i="42"/>
  <c r="H12" i="42"/>
  <c r="H66" i="42"/>
  <c r="H5" i="42"/>
  <c r="H21" i="42"/>
  <c r="H49" i="42"/>
  <c r="H11" i="42"/>
  <c r="H30" i="42"/>
  <c r="H71" i="42"/>
  <c r="H17" i="42"/>
  <c r="H56" i="42"/>
  <c r="H59" i="42"/>
  <c r="H3" i="42"/>
  <c r="H67" i="42"/>
  <c r="H73" i="42"/>
  <c r="U20" i="42"/>
  <c r="U27" i="42"/>
  <c r="V34" i="42"/>
  <c r="U43" i="42"/>
  <c r="V53" i="42"/>
  <c r="V64" i="42"/>
  <c r="V65" i="42"/>
  <c r="V69" i="42"/>
  <c r="V72" i="42"/>
  <c r="V79" i="42"/>
  <c r="V40" i="42"/>
  <c r="V50" i="42"/>
  <c r="V62" i="42"/>
  <c r="V74" i="42"/>
  <c r="W23" i="42"/>
  <c r="W63" i="42"/>
  <c r="V23" i="42"/>
  <c r="V57" i="42"/>
  <c r="V63" i="42"/>
  <c r="U23" i="42"/>
  <c r="U28" i="42"/>
  <c r="U34" i="42"/>
  <c r="U35" i="42"/>
  <c r="U40" i="42"/>
  <c r="U50" i="42"/>
  <c r="U53" i="42"/>
  <c r="U54" i="42"/>
  <c r="U57" i="42"/>
  <c r="U60" i="42"/>
  <c r="U62" i="42"/>
  <c r="U63" i="42"/>
  <c r="U64" i="42"/>
  <c r="U65" i="42"/>
  <c r="U69" i="42"/>
  <c r="U72" i="42"/>
  <c r="U74" i="42"/>
  <c r="U79" i="42"/>
  <c r="T6" i="42"/>
  <c r="T23" i="42"/>
  <c r="T27" i="42"/>
  <c r="T28" i="42"/>
  <c r="T31" i="42"/>
  <c r="T34" i="42"/>
  <c r="T35" i="42"/>
  <c r="T40" i="42"/>
  <c r="T43" i="42"/>
  <c r="T50" i="42"/>
  <c r="T53" i="42"/>
  <c r="T54" i="42"/>
  <c r="T57" i="42"/>
  <c r="T60" i="42"/>
  <c r="T62" i="42"/>
  <c r="T63" i="42"/>
  <c r="T64" i="42"/>
  <c r="T65" i="42"/>
  <c r="T69" i="42"/>
  <c r="T72" i="42"/>
  <c r="T74" i="42"/>
  <c r="T79" i="42"/>
  <c r="R6" i="42"/>
  <c r="R23" i="42"/>
  <c r="R27" i="42"/>
  <c r="R28" i="42"/>
  <c r="R31" i="42"/>
  <c r="R34" i="42"/>
  <c r="R35" i="42"/>
  <c r="R40" i="42"/>
  <c r="R43" i="42"/>
  <c r="R50" i="42"/>
  <c r="R53" i="42"/>
  <c r="R54" i="42"/>
  <c r="R57" i="42"/>
  <c r="R60" i="42"/>
  <c r="R62" i="42"/>
  <c r="R63" i="42"/>
  <c r="R64" i="42"/>
  <c r="R65" i="42"/>
  <c r="R69" i="42"/>
  <c r="R74" i="42"/>
  <c r="R79" i="42"/>
  <c r="Q6" i="42"/>
  <c r="Q23" i="42"/>
  <c r="Q27" i="42"/>
  <c r="Q28" i="42"/>
  <c r="Q31" i="42"/>
  <c r="Q34" i="42"/>
  <c r="Q35" i="42"/>
  <c r="Q40" i="42"/>
  <c r="Q43" i="42"/>
  <c r="Q50" i="42"/>
  <c r="Q53" i="42"/>
  <c r="Q54" i="42"/>
  <c r="Q57" i="42"/>
  <c r="Q60" i="42"/>
  <c r="Q62" i="42"/>
  <c r="Q63" i="42"/>
  <c r="Q64" i="42"/>
  <c r="Q65" i="42"/>
  <c r="Q69" i="42"/>
  <c r="Q74" i="42"/>
  <c r="Q79" i="42"/>
  <c r="P6" i="42"/>
  <c r="P23" i="42"/>
  <c r="P27" i="42"/>
  <c r="P28" i="42"/>
  <c r="P31" i="42"/>
  <c r="P34" i="42"/>
  <c r="P35" i="42"/>
  <c r="P40" i="42"/>
  <c r="P43" i="42"/>
  <c r="P50" i="42"/>
  <c r="P53" i="42"/>
  <c r="P54" i="42"/>
  <c r="P57" i="42"/>
  <c r="P60" i="42"/>
  <c r="P62" i="42"/>
  <c r="P63" i="42"/>
  <c r="P64" i="42"/>
  <c r="P65" i="42"/>
  <c r="P69" i="42"/>
  <c r="P74" i="42"/>
  <c r="P79" i="42"/>
  <c r="O6" i="42"/>
  <c r="O23" i="42"/>
  <c r="O27" i="42"/>
  <c r="O28" i="42"/>
  <c r="O31" i="42"/>
  <c r="O34" i="42"/>
  <c r="O35" i="42"/>
  <c r="O40" i="42"/>
  <c r="O43" i="42"/>
  <c r="O50" i="42"/>
  <c r="O53" i="42"/>
  <c r="O54" i="42"/>
  <c r="O57" i="42"/>
  <c r="O60" i="42"/>
  <c r="O62" i="42"/>
  <c r="O63" i="42"/>
  <c r="O64" i="42"/>
  <c r="O65" i="42"/>
  <c r="O69" i="42"/>
  <c r="O74" i="42"/>
  <c r="O79" i="42"/>
  <c r="N6" i="42"/>
  <c r="N23" i="42"/>
  <c r="N27" i="42"/>
  <c r="N28" i="42"/>
  <c r="N31" i="42"/>
  <c r="N34" i="42"/>
  <c r="N35" i="42"/>
  <c r="N40" i="42"/>
  <c r="N43" i="42"/>
  <c r="N50" i="42"/>
  <c r="N53" i="42"/>
  <c r="N54" i="42"/>
  <c r="N57" i="42"/>
  <c r="N60" i="42"/>
  <c r="N62" i="42"/>
  <c r="N63" i="42"/>
  <c r="N64" i="42"/>
  <c r="N65" i="42"/>
  <c r="N69" i="42"/>
  <c r="N74" i="42"/>
  <c r="N79" i="42"/>
  <c r="M6" i="42"/>
  <c r="M23" i="42"/>
  <c r="M27" i="42"/>
  <c r="M28" i="42"/>
  <c r="M31" i="42"/>
  <c r="M34" i="42"/>
  <c r="M35" i="42"/>
  <c r="M40" i="42"/>
  <c r="M43" i="42"/>
  <c r="M50" i="42"/>
  <c r="M53" i="42"/>
  <c r="M54" i="42"/>
  <c r="M57" i="42"/>
  <c r="M60" i="42"/>
  <c r="M62" i="42"/>
  <c r="M63" i="42"/>
  <c r="M64" i="42"/>
  <c r="M65" i="42"/>
  <c r="M69" i="42"/>
  <c r="M74" i="42"/>
  <c r="M79" i="42"/>
  <c r="L6" i="42"/>
  <c r="L23" i="42"/>
  <c r="L27" i="42"/>
  <c r="L28" i="42"/>
  <c r="L31" i="42"/>
  <c r="L34" i="42"/>
  <c r="L35" i="42"/>
  <c r="L40" i="42"/>
  <c r="L43" i="42"/>
  <c r="L50" i="42"/>
  <c r="L53" i="42"/>
  <c r="L54" i="42"/>
  <c r="L57" i="42"/>
  <c r="L60" i="42"/>
  <c r="L62" i="42"/>
  <c r="L63" i="42"/>
  <c r="L64" i="42"/>
  <c r="L65" i="42"/>
  <c r="L69" i="42"/>
  <c r="L74" i="42"/>
  <c r="L79" i="42"/>
  <c r="AB1" i="36"/>
  <c r="Q1" i="36"/>
  <c r="P1" i="36"/>
  <c r="H46" i="42"/>
  <c r="H48" i="42"/>
  <c r="H26" i="42"/>
  <c r="U18" i="42"/>
  <c r="T18" i="42"/>
  <c r="H82" i="42"/>
  <c r="H27" i="42"/>
  <c r="H7" i="42"/>
  <c r="H40" i="42"/>
  <c r="H54" i="42"/>
  <c r="H25" i="42"/>
  <c r="H41" i="42"/>
  <c r="H70" i="42"/>
  <c r="H15" i="42"/>
  <c r="H50" i="42"/>
  <c r="H29" i="42"/>
  <c r="H62" i="42"/>
  <c r="H74" i="42"/>
  <c r="H24" i="42"/>
  <c r="H45" i="42"/>
  <c r="H79" i="42"/>
  <c r="H16" i="42"/>
  <c r="H6" i="42"/>
  <c r="H64" i="42"/>
  <c r="H65" i="42"/>
  <c r="H80" i="42"/>
  <c r="H32" i="42"/>
  <c r="H33" i="42"/>
  <c r="H53" i="42"/>
  <c r="H43" i="42"/>
  <c r="H34" i="42"/>
  <c r="H22" i="42"/>
  <c r="H68" i="42"/>
  <c r="H9" i="42"/>
  <c r="H44" i="42"/>
  <c r="H23" i="42"/>
  <c r="H28" i="42"/>
  <c r="H51" i="42"/>
  <c r="H69" i="42"/>
  <c r="H81" i="42"/>
  <c r="H60" i="42"/>
  <c r="H31" i="42"/>
  <c r="H75" i="42"/>
  <c r="H35" i="42"/>
  <c r="H58" i="42"/>
  <c r="H72" i="42"/>
  <c r="H42" i="42"/>
  <c r="H37" i="42"/>
  <c r="H78" i="42"/>
  <c r="H77" i="42"/>
  <c r="H84" i="42"/>
  <c r="H76" i="42"/>
  <c r="H83" i="42"/>
  <c r="K67" i="42"/>
  <c r="K7" i="42"/>
  <c r="K51" i="42"/>
  <c r="K66" i="42"/>
  <c r="K70" i="42"/>
  <c r="K8" i="42"/>
  <c r="K10" i="42"/>
  <c r="K21" i="42"/>
  <c r="K25" i="42"/>
  <c r="K37" i="42"/>
  <c r="K12" i="42"/>
  <c r="K68" i="42"/>
  <c r="K71" i="42"/>
  <c r="K41" i="42"/>
  <c r="K36" i="42"/>
  <c r="K38" i="42"/>
  <c r="K61" i="42"/>
  <c r="K59" i="42"/>
  <c r="K13" i="42"/>
  <c r="K14" i="42"/>
  <c r="K16" i="42"/>
  <c r="K17" i="42"/>
  <c r="K18" i="42"/>
  <c r="K76" i="42"/>
  <c r="K20" i="42"/>
  <c r="K82" i="42"/>
  <c r="K84" i="42"/>
  <c r="K83" i="42"/>
  <c r="K49" i="42"/>
  <c r="K52" i="42"/>
  <c r="K56" i="42"/>
  <c r="U31" i="42"/>
  <c r="V35" i="42"/>
  <c r="V60" i="42"/>
  <c r="K11" i="42"/>
  <c r="K15" i="42"/>
  <c r="K24" i="42"/>
  <c r="U6" i="42"/>
  <c r="U44" i="42"/>
  <c r="V51" i="42"/>
  <c r="V11" i="42"/>
  <c r="K80" i="42"/>
  <c r="U14" i="42"/>
  <c r="K81" i="42"/>
  <c r="K22" i="42"/>
  <c r="K4" i="42"/>
  <c r="K44" i="42"/>
  <c r="K45" i="42"/>
  <c r="K47" i="42"/>
  <c r="U37" i="42"/>
  <c r="U16" i="42"/>
  <c r="U21" i="42"/>
  <c r="K48" i="42"/>
  <c r="K42" i="42"/>
  <c r="K33" i="42"/>
  <c r="K30" i="42"/>
  <c r="K29" i="42"/>
  <c r="K26" i="42"/>
  <c r="K32" i="42"/>
  <c r="V39" i="42"/>
  <c r="U39" i="42"/>
  <c r="K78" i="42"/>
  <c r="K77" i="42"/>
  <c r="V5" i="42"/>
  <c r="U5" i="42"/>
  <c r="T5" i="42"/>
  <c r="AA63" i="42"/>
  <c r="Z63" i="42"/>
  <c r="X63" i="42"/>
  <c r="Y63" i="42"/>
  <c r="X10" i="42"/>
  <c r="Y10" i="42"/>
  <c r="Y23" i="42"/>
  <c r="X23" i="42"/>
  <c r="W22" i="42"/>
  <c r="X22" i="42"/>
  <c r="X36" i="42"/>
  <c r="W36" i="42"/>
  <c r="W47" i="42"/>
  <c r="X47" i="42"/>
  <c r="X76" i="42"/>
  <c r="W76" i="42"/>
  <c r="W9" i="42"/>
  <c r="X9" i="42"/>
  <c r="V9" i="42"/>
  <c r="W57" i="42"/>
  <c r="X57" i="42"/>
  <c r="X61" i="42"/>
  <c r="W61" i="42"/>
  <c r="W17" i="42"/>
  <c r="V17" i="42"/>
  <c r="V30" i="42"/>
  <c r="W30" i="42"/>
  <c r="W8" i="42"/>
  <c r="V8" i="42"/>
  <c r="W28" i="42"/>
  <c r="V28" i="42"/>
  <c r="V55" i="42"/>
  <c r="W55" i="42"/>
  <c r="W45" i="42"/>
  <c r="V45" i="42"/>
  <c r="W58" i="42"/>
  <c r="V58" i="42"/>
  <c r="W54" i="42"/>
  <c r="V54" i="42"/>
  <c r="V49" i="42"/>
  <c r="W49" i="42"/>
  <c r="W71" i="42"/>
  <c r="V71" i="42"/>
  <c r="AA10" i="42"/>
  <c r="Z10" i="42"/>
  <c r="AA23" i="42"/>
  <c r="Z23" i="42"/>
  <c r="AA22" i="42"/>
  <c r="Z22" i="42"/>
  <c r="Y22" i="42"/>
  <c r="AA36" i="42"/>
  <c r="Z36" i="42"/>
  <c r="Y36" i="42"/>
  <c r="AA47" i="42"/>
  <c r="Y47" i="42"/>
  <c r="Z47" i="42"/>
  <c r="Z76" i="42"/>
  <c r="Y76" i="42"/>
  <c r="AA76" i="42"/>
  <c r="AA9" i="42"/>
  <c r="Y9" i="42"/>
  <c r="Z9" i="42"/>
  <c r="AA57" i="42"/>
  <c r="Y57" i="42"/>
  <c r="Z57" i="42"/>
  <c r="AA61" i="42"/>
  <c r="Z61" i="42"/>
  <c r="Y61" i="42"/>
  <c r="Y17" i="42"/>
  <c r="X17" i="42"/>
  <c r="AA30" i="42"/>
  <c r="Z30" i="42"/>
  <c r="X30" i="42"/>
  <c r="Y30" i="42"/>
  <c r="AA56" i="42"/>
  <c r="Z56" i="42"/>
  <c r="Y56" i="42"/>
  <c r="X56" i="42"/>
  <c r="AA67" i="42"/>
  <c r="Y67" i="42"/>
  <c r="Z67" i="42"/>
  <c r="X67" i="42"/>
  <c r="X8" i="42"/>
  <c r="Y8" i="42"/>
  <c r="X28" i="42"/>
  <c r="Y28" i="42"/>
  <c r="AA55" i="42"/>
  <c r="X55" i="42"/>
  <c r="Z55" i="42"/>
  <c r="Y55" i="42"/>
  <c r="AA45" i="42"/>
  <c r="X45" i="42"/>
  <c r="Z45" i="42"/>
  <c r="Y45" i="42"/>
  <c r="Y24" i="42"/>
  <c r="X24" i="42"/>
  <c r="W24" i="42"/>
  <c r="AA58" i="42"/>
  <c r="Y58" i="42"/>
  <c r="Z58" i="42"/>
  <c r="X58" i="42"/>
  <c r="AA54" i="42"/>
  <c r="Z54" i="42"/>
  <c r="X54" i="42"/>
  <c r="Y54" i="42"/>
  <c r="Y49" i="42"/>
  <c r="X49" i="42"/>
  <c r="W11" i="42"/>
  <c r="Y11" i="42"/>
  <c r="X11" i="42"/>
  <c r="X5" i="42"/>
  <c r="Y5" i="42"/>
  <c r="W5" i="42"/>
  <c r="X40" i="42"/>
  <c r="W40" i="42"/>
  <c r="Y40" i="42"/>
  <c r="AA71" i="42"/>
  <c r="Y71" i="42"/>
  <c r="Z71" i="42"/>
  <c r="X71" i="42"/>
  <c r="Y59" i="42"/>
  <c r="X59" i="42"/>
  <c r="W59" i="42"/>
  <c r="X52" i="42"/>
  <c r="W52" i="42"/>
  <c r="Y52" i="42"/>
  <c r="W26" i="42"/>
  <c r="Y26" i="42"/>
  <c r="X26" i="42"/>
  <c r="X38" i="42"/>
  <c r="W38" i="42"/>
  <c r="Y38" i="42"/>
  <c r="W75" i="42"/>
  <c r="Y75" i="42"/>
  <c r="X75" i="42"/>
  <c r="W50" i="42"/>
  <c r="X50" i="42"/>
  <c r="Y50" i="42"/>
  <c r="X68" i="42"/>
  <c r="W68" i="42"/>
  <c r="Y68" i="42"/>
  <c r="W74" i="42"/>
  <c r="Y74" i="42"/>
  <c r="X74" i="42"/>
  <c r="X77" i="42"/>
  <c r="Y77" i="42"/>
  <c r="W77" i="42"/>
  <c r="W62" i="42"/>
  <c r="Y62" i="42"/>
  <c r="X62" i="42"/>
  <c r="Y35" i="42"/>
  <c r="W35" i="42"/>
  <c r="X35" i="42"/>
  <c r="X73" i="42"/>
  <c r="W73" i="42"/>
  <c r="Y73" i="42"/>
  <c r="W34" i="42"/>
  <c r="X34" i="42"/>
  <c r="Y34" i="42"/>
  <c r="Y19" i="42"/>
  <c r="V19" i="42"/>
  <c r="X19" i="42"/>
  <c r="W19" i="42"/>
  <c r="W42" i="42"/>
  <c r="Y42" i="42"/>
  <c r="X42" i="42"/>
  <c r="X39" i="42"/>
  <c r="Y39" i="42"/>
  <c r="W39" i="42"/>
  <c r="X14" i="42"/>
  <c r="W14" i="42"/>
  <c r="V14" i="42"/>
  <c r="X66" i="42"/>
  <c r="W66" i="42"/>
  <c r="Y66" i="42"/>
  <c r="W27" i="42"/>
  <c r="V27" i="42"/>
  <c r="Y27" i="42"/>
  <c r="X27" i="42"/>
  <c r="X60" i="42"/>
  <c r="W60" i="42"/>
  <c r="Y60" i="42"/>
  <c r="W6" i="42"/>
  <c r="V6" i="42"/>
  <c r="X6" i="42"/>
  <c r="W7" i="42"/>
  <c r="X7" i="42"/>
  <c r="V7" i="42"/>
  <c r="X16" i="42"/>
  <c r="W16" i="42"/>
  <c r="V16" i="42"/>
  <c r="V29" i="42"/>
  <c r="X29" i="42"/>
  <c r="W29" i="42"/>
  <c r="Y51" i="42"/>
  <c r="X51" i="42"/>
  <c r="W51" i="42"/>
  <c r="W48" i="42"/>
  <c r="X48" i="42"/>
  <c r="Y48" i="42"/>
  <c r="W31" i="42"/>
  <c r="V31" i="42"/>
  <c r="X31" i="42"/>
  <c r="V33" i="42"/>
  <c r="W33" i="42"/>
  <c r="X33" i="42"/>
  <c r="Y70" i="42"/>
  <c r="W70" i="42"/>
  <c r="X70" i="42"/>
  <c r="Y64" i="42"/>
  <c r="X64" i="42"/>
  <c r="W64" i="42"/>
  <c r="X32" i="42"/>
  <c r="V32" i="42"/>
  <c r="W32" i="42"/>
  <c r="Y46" i="42"/>
  <c r="V46" i="42"/>
  <c r="X46" i="42"/>
  <c r="W46" i="42"/>
  <c r="X4" i="42"/>
  <c r="V4" i="42"/>
  <c r="W4" i="42"/>
  <c r="W53" i="42"/>
  <c r="X53" i="42"/>
  <c r="Y53" i="42"/>
  <c r="V37" i="42"/>
  <c r="W37" i="42"/>
  <c r="X37" i="42"/>
  <c r="Y79" i="42"/>
  <c r="W79" i="42"/>
  <c r="X79" i="42"/>
  <c r="V15" i="42"/>
  <c r="W15" i="42"/>
  <c r="X15" i="42"/>
  <c r="W21" i="42"/>
  <c r="V21" i="42"/>
  <c r="X21" i="42"/>
  <c r="V43" i="42"/>
  <c r="W43" i="42"/>
  <c r="X43" i="42"/>
  <c r="X81" i="42"/>
  <c r="W81" i="42"/>
  <c r="Y81" i="42"/>
  <c r="W44" i="42"/>
  <c r="X44" i="42"/>
  <c r="V44" i="42"/>
  <c r="V41" i="42"/>
  <c r="W41" i="42"/>
  <c r="X41" i="42"/>
  <c r="W78" i="42"/>
  <c r="Y78" i="42"/>
  <c r="X78" i="42"/>
  <c r="V25" i="42"/>
  <c r="W25" i="42"/>
  <c r="X25" i="42"/>
  <c r="V18" i="42"/>
  <c r="W18" i="42"/>
  <c r="X18" i="42"/>
  <c r="X12" i="42"/>
  <c r="V12" i="42"/>
  <c r="W12" i="42"/>
  <c r="W20" i="42"/>
  <c r="X20" i="42"/>
  <c r="V20" i="42"/>
  <c r="X69" i="42"/>
  <c r="Y69" i="42"/>
  <c r="W69" i="42"/>
  <c r="W65" i="42"/>
  <c r="Y65" i="42"/>
  <c r="X65" i="42"/>
  <c r="X72" i="42"/>
  <c r="W72" i="42"/>
  <c r="Y72" i="42"/>
  <c r="Y80" i="42"/>
  <c r="X80" i="42"/>
  <c r="W80" i="42"/>
  <c r="X13" i="42"/>
  <c r="W13" i="42"/>
  <c r="V13" i="42"/>
  <c r="AA17" i="42"/>
  <c r="Z17" i="42"/>
  <c r="AA8" i="42"/>
  <c r="Z8" i="42"/>
  <c r="Z28" i="42"/>
  <c r="AA28" i="42"/>
  <c r="AA24" i="42"/>
  <c r="Z24" i="42"/>
  <c r="AA49" i="42"/>
  <c r="Z49" i="42"/>
  <c r="Z11" i="42"/>
  <c r="AA11" i="42"/>
  <c r="AA5" i="42"/>
  <c r="Z5" i="42"/>
  <c r="AA40" i="42"/>
  <c r="Z40" i="42"/>
  <c r="Z59" i="42"/>
  <c r="AA59" i="42"/>
  <c r="Z52" i="42"/>
  <c r="AA52" i="42"/>
  <c r="Z26" i="42"/>
  <c r="AA26" i="42"/>
  <c r="AA38" i="42"/>
  <c r="Z38" i="42"/>
  <c r="Z75" i="42"/>
  <c r="AA75" i="42"/>
  <c r="AA50" i="42"/>
  <c r="Z50" i="42"/>
  <c r="AA68" i="42"/>
  <c r="Z68" i="42"/>
  <c r="AA74" i="42"/>
  <c r="Z74" i="42"/>
  <c r="AA77" i="42"/>
  <c r="Z77" i="42"/>
  <c r="Z62" i="42"/>
  <c r="AA62" i="42"/>
  <c r="Z35" i="42"/>
  <c r="AA35" i="42"/>
  <c r="AA73" i="42"/>
  <c r="Z73" i="42"/>
  <c r="Z34" i="42"/>
  <c r="AA34" i="42"/>
  <c r="AA19" i="42"/>
  <c r="Z19" i="42"/>
  <c r="AA42" i="42"/>
  <c r="Z42" i="42"/>
  <c r="Z39" i="42"/>
  <c r="AA39" i="42"/>
  <c r="AA14" i="42"/>
  <c r="Z14" i="42"/>
  <c r="Y14" i="42"/>
  <c r="AA66" i="42"/>
  <c r="Z66" i="42"/>
  <c r="AA27" i="42"/>
  <c r="Z27" i="42"/>
  <c r="AA60" i="42"/>
  <c r="Z60" i="42"/>
  <c r="AA6" i="42"/>
  <c r="Z6" i="42"/>
  <c r="Y6" i="42"/>
  <c r="AA7" i="42"/>
  <c r="Y7" i="42"/>
  <c r="Z7" i="42"/>
  <c r="AA16" i="42"/>
  <c r="Z16" i="42"/>
  <c r="Y16" i="42"/>
  <c r="Z29" i="42"/>
  <c r="AA29" i="42"/>
  <c r="Y29" i="42"/>
  <c r="AA51" i="42"/>
  <c r="Z51" i="42"/>
  <c r="Z48" i="42"/>
  <c r="AA48" i="42"/>
  <c r="AA31" i="42"/>
  <c r="Y31" i="42"/>
  <c r="Z31" i="42"/>
  <c r="Z33" i="42"/>
  <c r="Y33" i="42"/>
  <c r="AA33" i="42"/>
  <c r="AA70" i="42"/>
  <c r="Z70" i="42"/>
  <c r="AA64" i="42"/>
  <c r="Z64" i="42"/>
  <c r="AA32" i="42"/>
  <c r="Y32" i="42"/>
  <c r="Z32" i="42"/>
  <c r="Z46" i="42"/>
  <c r="AA46" i="42"/>
  <c r="AA4" i="42"/>
  <c r="Z4" i="42"/>
  <c r="Y4" i="42"/>
  <c r="AA53" i="42"/>
  <c r="Z53" i="42"/>
  <c r="Z37" i="42"/>
  <c r="Y37" i="42"/>
  <c r="AA37" i="42"/>
  <c r="Z79" i="42"/>
  <c r="AA79" i="42"/>
  <c r="Z15" i="42"/>
  <c r="Y15" i="42"/>
  <c r="AA15" i="42"/>
  <c r="Y21" i="42"/>
  <c r="Z21" i="42"/>
  <c r="AA21" i="42"/>
  <c r="AA43" i="42"/>
  <c r="Z43" i="42"/>
  <c r="Y43" i="42"/>
  <c r="AA81" i="42"/>
  <c r="Z81" i="42"/>
  <c r="Z44" i="42"/>
  <c r="Y44" i="42"/>
  <c r="AA44" i="42"/>
  <c r="Y41" i="42"/>
  <c r="AA41" i="42"/>
  <c r="Z41" i="42"/>
  <c r="Z78" i="42"/>
  <c r="AA78" i="42"/>
  <c r="Z25" i="42"/>
  <c r="AA25" i="42"/>
  <c r="Y25" i="42"/>
  <c r="Z18" i="42"/>
  <c r="AA18" i="42"/>
  <c r="Y18" i="42"/>
  <c r="Z12" i="42"/>
  <c r="AA12" i="42"/>
  <c r="Y12" i="42"/>
  <c r="AA20" i="42"/>
  <c r="Z20" i="42"/>
  <c r="Y20" i="42"/>
  <c r="AA69" i="42"/>
  <c r="Z69" i="42"/>
  <c r="AA65" i="42"/>
  <c r="Z65" i="42"/>
  <c r="AA72" i="42"/>
  <c r="Z72" i="42"/>
  <c r="Z80" i="42"/>
  <c r="AA80" i="42"/>
  <c r="Z13" i="42"/>
  <c r="AA13" i="42"/>
  <c r="Y13" i="42"/>
  <c r="K55" i="42"/>
  <c r="K9" i="42"/>
  <c r="K72" i="42"/>
  <c r="V3" i="42"/>
  <c r="Y3" i="42"/>
  <c r="X3" i="42"/>
  <c r="U3" i="42"/>
  <c r="Z3" i="42"/>
  <c r="W3" i="42"/>
  <c r="Q3" i="8"/>
  <c r="Q4" i="8"/>
  <c r="R4" i="8"/>
  <c r="Q5" i="8"/>
  <c r="R5" i="8"/>
  <c r="Q6" i="8"/>
  <c r="R6" i="8"/>
  <c r="Q7" i="8"/>
  <c r="R7" i="8"/>
  <c r="Q8" i="8"/>
  <c r="R8" i="8"/>
  <c r="Q9" i="8"/>
  <c r="R9" i="8"/>
  <c r="Q10" i="8"/>
  <c r="R10" i="8"/>
  <c r="Q11" i="8"/>
  <c r="R11" i="8"/>
  <c r="Q12" i="8"/>
  <c r="R12" i="8"/>
  <c r="Q13" i="8"/>
  <c r="R13" i="8"/>
  <c r="Q14" i="8"/>
  <c r="R14" i="8"/>
  <c r="Q15" i="8"/>
  <c r="R15" i="8"/>
  <c r="Q16" i="8"/>
  <c r="R16" i="8"/>
  <c r="Q17" i="8"/>
  <c r="R17" i="8"/>
  <c r="Q18" i="8"/>
  <c r="R18" i="8"/>
  <c r="Q19" i="8"/>
  <c r="R19" i="8"/>
  <c r="Q20" i="8"/>
  <c r="R20" i="8"/>
  <c r="Q21" i="8"/>
  <c r="R21" i="8"/>
  <c r="Q22" i="8"/>
  <c r="R22" i="8"/>
  <c r="Q23" i="8"/>
  <c r="R23" i="8"/>
  <c r="Q24" i="8"/>
  <c r="R24" i="8"/>
  <c r="Q25" i="8"/>
  <c r="R25" i="8"/>
  <c r="Q26" i="8"/>
  <c r="R26" i="8"/>
  <c r="Q27" i="8"/>
  <c r="R27" i="8"/>
  <c r="Q28" i="8"/>
  <c r="R28" i="8"/>
  <c r="Q29" i="8"/>
  <c r="R29" i="8"/>
  <c r="Q30" i="8"/>
  <c r="R30" i="8"/>
  <c r="Q31" i="8"/>
  <c r="R31" i="8"/>
  <c r="Q32" i="8"/>
  <c r="R32" i="8"/>
  <c r="Q33" i="8"/>
  <c r="R33" i="8"/>
  <c r="Q34" i="8"/>
  <c r="R34" i="8"/>
  <c r="Q35" i="8"/>
  <c r="R35" i="8"/>
  <c r="Q36" i="8"/>
  <c r="R36" i="8"/>
  <c r="Q37" i="8"/>
  <c r="R37" i="8"/>
  <c r="Q38" i="8"/>
  <c r="R38" i="8"/>
  <c r="Q39" i="8"/>
  <c r="R39" i="8"/>
  <c r="Q40" i="8"/>
  <c r="R40" i="8"/>
  <c r="Q41" i="8"/>
  <c r="R41" i="8"/>
  <c r="Q42" i="8"/>
  <c r="R42" i="8"/>
  <c r="Q43" i="8"/>
  <c r="R43" i="8"/>
  <c r="Q44" i="8"/>
  <c r="R44" i="8"/>
  <c r="Q45" i="8"/>
  <c r="R45" i="8"/>
  <c r="Q46" i="8"/>
  <c r="R46" i="8"/>
  <c r="Q47" i="8"/>
  <c r="R47" i="8"/>
  <c r="Q48" i="8"/>
  <c r="R48" i="8"/>
  <c r="Q49" i="8"/>
  <c r="R49" i="8"/>
  <c r="Q50" i="8"/>
  <c r="R50" i="8"/>
  <c r="Q51" i="8"/>
  <c r="R51" i="8"/>
  <c r="Q52" i="8"/>
  <c r="R52" i="8"/>
  <c r="Q53" i="8"/>
  <c r="R53" i="8"/>
  <c r="Q54" i="8"/>
  <c r="R54" i="8"/>
  <c r="Q55" i="8"/>
  <c r="R55" i="8"/>
  <c r="Q56" i="8"/>
  <c r="R56" i="8"/>
  <c r="Q57" i="8"/>
  <c r="R57" i="8"/>
  <c r="Q58" i="8"/>
  <c r="R58" i="8"/>
  <c r="Q59" i="8"/>
  <c r="R59" i="8"/>
  <c r="Q60" i="8"/>
  <c r="R60" i="8"/>
  <c r="Q61" i="8"/>
  <c r="R61" i="8"/>
  <c r="Q62" i="8"/>
  <c r="R62" i="8"/>
  <c r="Q63" i="8"/>
  <c r="R63" i="8"/>
  <c r="Q64" i="8"/>
  <c r="R64" i="8"/>
  <c r="Q65" i="8"/>
  <c r="R65" i="8"/>
  <c r="Q66" i="8"/>
  <c r="R66" i="8"/>
  <c r="Q67" i="8"/>
  <c r="R67" i="8"/>
  <c r="Q68" i="8"/>
  <c r="R68" i="8"/>
  <c r="Q69" i="8"/>
  <c r="R69" i="8"/>
  <c r="Q70" i="8"/>
  <c r="R70" i="8"/>
  <c r="Q71" i="8"/>
  <c r="R71" i="8"/>
  <c r="Q72" i="8"/>
  <c r="R72" i="8"/>
  <c r="Q73" i="8"/>
  <c r="R73" i="8"/>
  <c r="Q74" i="8"/>
  <c r="R74" i="8"/>
  <c r="Q75" i="8"/>
  <c r="R75" i="8"/>
  <c r="Q76" i="8"/>
  <c r="R76" i="8"/>
  <c r="Q77" i="8"/>
  <c r="R77" i="8"/>
  <c r="Q78" i="8"/>
  <c r="R78" i="8"/>
  <c r="Q79" i="8"/>
  <c r="R79" i="8"/>
  <c r="Q80" i="8"/>
  <c r="R80" i="8"/>
  <c r="Q81" i="8"/>
  <c r="R81" i="8"/>
  <c r="Q82" i="8"/>
  <c r="R82" i="8"/>
  <c r="Q83" i="8"/>
  <c r="R83" i="8"/>
  <c r="Q84" i="8"/>
  <c r="R84" i="8"/>
  <c r="Q85" i="8"/>
  <c r="R85" i="8"/>
  <c r="Q86" i="8"/>
  <c r="R86" i="8"/>
  <c r="Q87" i="8"/>
  <c r="R87" i="8"/>
  <c r="Q88" i="8"/>
  <c r="R88" i="8"/>
  <c r="Q89" i="8"/>
  <c r="R89" i="8"/>
  <c r="Q90" i="8"/>
  <c r="R90" i="8"/>
  <c r="Q91" i="8"/>
  <c r="R91" i="8"/>
  <c r="Q92" i="8"/>
  <c r="R92" i="8"/>
  <c r="Q93" i="8"/>
  <c r="R93" i="8"/>
  <c r="Q94" i="8"/>
  <c r="R94" i="8"/>
  <c r="Q95" i="8"/>
  <c r="R95" i="8"/>
  <c r="Q96" i="8"/>
  <c r="R96" i="8"/>
  <c r="Q97" i="8"/>
  <c r="R97" i="8"/>
  <c r="Q98" i="8"/>
  <c r="R98" i="8"/>
  <c r="Q99" i="8"/>
  <c r="R99" i="8"/>
  <c r="Q100" i="8"/>
  <c r="R100" i="8"/>
  <c r="Q101" i="8"/>
  <c r="R101" i="8"/>
  <c r="Q102" i="8"/>
  <c r="R102" i="8"/>
  <c r="Q103" i="8"/>
  <c r="R103" i="8"/>
  <c r="Q104" i="8"/>
  <c r="R104" i="8"/>
  <c r="Q105" i="8"/>
  <c r="R105" i="8"/>
  <c r="Q106" i="8"/>
  <c r="R106" i="8"/>
  <c r="Q107" i="8"/>
  <c r="R107" i="8"/>
  <c r="Q108" i="8"/>
  <c r="R108" i="8"/>
  <c r="Q109" i="8"/>
  <c r="R109" i="8"/>
  <c r="Q110" i="8"/>
  <c r="R110" i="8"/>
  <c r="Q111" i="8"/>
  <c r="R111" i="8"/>
  <c r="Q112" i="8"/>
  <c r="R112" i="8"/>
  <c r="Q113" i="8"/>
  <c r="R113" i="8"/>
  <c r="Q114" i="8"/>
  <c r="R114" i="8"/>
  <c r="Q115" i="8"/>
  <c r="R115" i="8"/>
  <c r="Q116" i="8"/>
  <c r="R116" i="8"/>
  <c r="Q117" i="8"/>
  <c r="R117" i="8"/>
  <c r="Q118" i="8"/>
  <c r="R118" i="8"/>
  <c r="Q119" i="8"/>
  <c r="R119" i="8"/>
  <c r="Q120" i="8"/>
  <c r="R120" i="8"/>
  <c r="Q121" i="8"/>
  <c r="R121" i="8"/>
  <c r="Q122" i="8"/>
  <c r="R122" i="8"/>
  <c r="Q123" i="8"/>
  <c r="R123" i="8"/>
  <c r="Q124" i="8"/>
  <c r="R124" i="8"/>
  <c r="Q125" i="8"/>
  <c r="R125" i="8"/>
  <c r="Q126" i="8"/>
  <c r="R126" i="8"/>
  <c r="Q127" i="8"/>
  <c r="R127" i="8"/>
  <c r="Q128" i="8"/>
  <c r="R128" i="8"/>
  <c r="Q129" i="8"/>
  <c r="R129" i="8"/>
  <c r="Q130" i="8"/>
  <c r="R130" i="8"/>
  <c r="Q131" i="8"/>
  <c r="R131" i="8"/>
  <c r="Q132" i="8"/>
  <c r="R132" i="8"/>
  <c r="Q133" i="8"/>
  <c r="R133" i="8"/>
  <c r="Q134" i="8"/>
  <c r="R134" i="8"/>
  <c r="Q135" i="8"/>
  <c r="R135" i="8"/>
  <c r="Q136" i="8"/>
  <c r="R136" i="8"/>
  <c r="Q137" i="8"/>
  <c r="R137" i="8"/>
  <c r="Q138" i="8"/>
  <c r="R138" i="8"/>
  <c r="Q139" i="8"/>
  <c r="R139" i="8"/>
  <c r="Q140" i="8"/>
  <c r="R140" i="8"/>
  <c r="Q141" i="8"/>
  <c r="R141" i="8"/>
  <c r="Q142" i="8"/>
  <c r="R142" i="8"/>
  <c r="Q143" i="8"/>
  <c r="R143" i="8"/>
  <c r="Q144" i="8"/>
  <c r="R144" i="8"/>
  <c r="Q145" i="8"/>
  <c r="R145" i="8"/>
  <c r="Q146" i="8"/>
  <c r="R146" i="8"/>
  <c r="Q147" i="8"/>
  <c r="R147" i="8"/>
  <c r="Q148" i="8"/>
  <c r="R148" i="8"/>
  <c r="Q149" i="8"/>
  <c r="R149" i="8"/>
  <c r="Q150" i="8"/>
  <c r="R150" i="8"/>
  <c r="Q151" i="8"/>
  <c r="R151" i="8"/>
  <c r="Q152" i="8"/>
  <c r="R152" i="8"/>
  <c r="Q153" i="8"/>
  <c r="R153" i="8"/>
  <c r="Q154" i="8"/>
  <c r="R154" i="8"/>
  <c r="Q155" i="8"/>
  <c r="R155" i="8"/>
  <c r="Q156" i="8"/>
  <c r="R156" i="8"/>
  <c r="Q157" i="8"/>
  <c r="R157" i="8"/>
  <c r="Q158" i="8"/>
  <c r="R158" i="8"/>
  <c r="Q159" i="8"/>
  <c r="R159" i="8"/>
  <c r="Q160" i="8"/>
  <c r="R160" i="8"/>
  <c r="Q161" i="8"/>
  <c r="R161" i="8"/>
  <c r="Q162" i="8"/>
  <c r="R162" i="8"/>
  <c r="Q163" i="8"/>
  <c r="R163" i="8"/>
  <c r="Q164" i="8"/>
  <c r="R164" i="8"/>
  <c r="Q165" i="8"/>
  <c r="R165" i="8"/>
  <c r="Q166" i="8"/>
  <c r="R166" i="8"/>
  <c r="Q167" i="8"/>
  <c r="R167" i="8"/>
  <c r="Q168" i="8"/>
  <c r="R168" i="8"/>
  <c r="Q169" i="8"/>
  <c r="R169" i="8"/>
  <c r="Q170" i="8"/>
  <c r="R170" i="8"/>
  <c r="Q171" i="8"/>
  <c r="R171" i="8"/>
  <c r="Q172" i="8"/>
  <c r="R172" i="8"/>
  <c r="Q173" i="8"/>
  <c r="R173" i="8"/>
  <c r="Q174" i="8"/>
  <c r="R174" i="8"/>
  <c r="Q175" i="8"/>
  <c r="R175" i="8"/>
  <c r="Q176" i="8"/>
  <c r="R176" i="8"/>
  <c r="Q177" i="8"/>
  <c r="R177" i="8"/>
  <c r="Q178" i="8"/>
  <c r="R178" i="8"/>
  <c r="Q179" i="8"/>
  <c r="R179" i="8"/>
  <c r="Q180" i="8"/>
  <c r="R180" i="8"/>
  <c r="Q181" i="8"/>
  <c r="R181" i="8"/>
  <c r="Q182" i="8"/>
  <c r="R182" i="8"/>
  <c r="Q183" i="8"/>
  <c r="R183" i="8"/>
  <c r="Q184" i="8"/>
  <c r="R184" i="8"/>
  <c r="Q185" i="8"/>
  <c r="R185" i="8"/>
  <c r="Q186" i="8"/>
  <c r="R186" i="8"/>
  <c r="Q187" i="8"/>
  <c r="R187" i="8"/>
  <c r="Q188" i="8"/>
  <c r="R188" i="8"/>
  <c r="Q189" i="8"/>
  <c r="R189" i="8"/>
  <c r="Q190" i="8"/>
  <c r="R190" i="8"/>
  <c r="Q191" i="8"/>
  <c r="R191" i="8"/>
  <c r="Q192" i="8"/>
  <c r="R192" i="8"/>
  <c r="Q193" i="8"/>
  <c r="R193" i="8"/>
  <c r="Q194" i="8"/>
  <c r="R194" i="8"/>
  <c r="Q195" i="8"/>
  <c r="R195" i="8"/>
  <c r="Q196" i="8"/>
  <c r="R196" i="8"/>
  <c r="Q197" i="8"/>
  <c r="R197" i="8"/>
  <c r="Q198" i="8"/>
  <c r="R198" i="8"/>
  <c r="Q199" i="8"/>
  <c r="R199" i="8"/>
  <c r="Q200" i="8"/>
  <c r="R200" i="8"/>
  <c r="Q201" i="8"/>
  <c r="R201" i="8"/>
  <c r="Q202" i="8"/>
  <c r="R202" i="8"/>
  <c r="Q203" i="8"/>
  <c r="R203" i="8"/>
  <c r="Q204" i="8"/>
  <c r="R204" i="8"/>
  <c r="Q205" i="8"/>
  <c r="R205" i="8"/>
  <c r="Q206" i="8"/>
  <c r="R206" i="8"/>
  <c r="Q207" i="8"/>
  <c r="R207" i="8"/>
  <c r="Q208" i="8"/>
  <c r="R208" i="8"/>
  <c r="Q209" i="8"/>
  <c r="R209" i="8"/>
  <c r="Q210" i="8"/>
  <c r="R210" i="8"/>
  <c r="Q211" i="8"/>
  <c r="R211" i="8"/>
  <c r="Q212" i="8"/>
  <c r="R212" i="8"/>
  <c r="Q213" i="8"/>
  <c r="R213" i="8"/>
  <c r="Q214" i="8"/>
  <c r="R214" i="8"/>
  <c r="Q215" i="8"/>
  <c r="R215" i="8"/>
  <c r="Q216" i="8"/>
  <c r="R216" i="8"/>
  <c r="Q217" i="8"/>
  <c r="R217" i="8"/>
  <c r="Q218" i="8"/>
  <c r="R218" i="8"/>
  <c r="Q219" i="8"/>
  <c r="R219" i="8"/>
  <c r="Q220" i="8"/>
  <c r="R220" i="8"/>
  <c r="Q221" i="8"/>
  <c r="R221" i="8"/>
  <c r="Q222" i="8"/>
  <c r="R222" i="8"/>
  <c r="Q223" i="8"/>
  <c r="R223" i="8"/>
  <c r="Q224" i="8"/>
  <c r="R224" i="8"/>
  <c r="Q225" i="8"/>
  <c r="R225" i="8"/>
  <c r="Q226" i="8"/>
  <c r="R226" i="8"/>
  <c r="Q227" i="8"/>
  <c r="R227" i="8"/>
  <c r="Q228" i="8"/>
  <c r="R228" i="8"/>
  <c r="Q229" i="8"/>
  <c r="R229" i="8"/>
  <c r="Q230" i="8"/>
  <c r="R230" i="8"/>
  <c r="Q231" i="8"/>
  <c r="R231" i="8"/>
  <c r="Q232" i="8"/>
  <c r="R232" i="8"/>
  <c r="Q233" i="8"/>
  <c r="R233" i="8"/>
  <c r="Q234" i="8"/>
  <c r="R234" i="8"/>
  <c r="Q235" i="8"/>
  <c r="R235" i="8"/>
  <c r="Q236" i="8"/>
  <c r="R236" i="8"/>
  <c r="Q237" i="8"/>
  <c r="R237" i="8"/>
  <c r="Q238" i="8"/>
  <c r="R238" i="8"/>
  <c r="Q239" i="8"/>
  <c r="R239" i="8"/>
  <c r="Q240" i="8"/>
  <c r="R240" i="8"/>
  <c r="Q241" i="8"/>
  <c r="R241" i="8"/>
  <c r="Q242" i="8"/>
  <c r="R242" i="8"/>
  <c r="Q243" i="8"/>
  <c r="R243" i="8"/>
  <c r="Q244" i="8"/>
  <c r="R244" i="8"/>
  <c r="Q245" i="8"/>
  <c r="R245" i="8"/>
  <c r="Q246" i="8"/>
  <c r="R246" i="8"/>
  <c r="Q247" i="8"/>
  <c r="R247" i="8"/>
  <c r="Q248" i="8"/>
  <c r="R248" i="8"/>
  <c r="Q249" i="8"/>
  <c r="R249" i="8"/>
  <c r="Q250" i="8"/>
  <c r="R250" i="8"/>
  <c r="Q251" i="8"/>
  <c r="R251" i="8"/>
  <c r="Q252" i="8"/>
  <c r="R252" i="8"/>
  <c r="Q253" i="8"/>
  <c r="R253" i="8"/>
  <c r="Q254" i="8"/>
  <c r="R254" i="8"/>
  <c r="Q255" i="8"/>
  <c r="R255" i="8"/>
  <c r="Q256" i="8"/>
  <c r="R256" i="8"/>
  <c r="Q257" i="8"/>
  <c r="R257" i="8"/>
  <c r="Q258" i="8"/>
  <c r="R258" i="8"/>
  <c r="Q259" i="8"/>
  <c r="R259" i="8"/>
  <c r="Q260" i="8"/>
  <c r="R260" i="8"/>
  <c r="Q261" i="8"/>
  <c r="R261" i="8"/>
  <c r="Q262" i="8"/>
  <c r="R262" i="8"/>
  <c r="Q263" i="8"/>
  <c r="R263" i="8"/>
  <c r="Q264" i="8"/>
  <c r="R264" i="8"/>
  <c r="Q265" i="8"/>
  <c r="R265" i="8"/>
  <c r="Q266" i="8"/>
  <c r="R266" i="8"/>
  <c r="Q267" i="8"/>
  <c r="R267" i="8"/>
  <c r="Q268" i="8"/>
  <c r="R268" i="8"/>
  <c r="Q269" i="8"/>
  <c r="R269" i="8"/>
  <c r="Q270" i="8"/>
  <c r="R270" i="8"/>
  <c r="Q271" i="8"/>
  <c r="R271" i="8"/>
  <c r="Q272" i="8"/>
  <c r="R272" i="8"/>
  <c r="Q273" i="8"/>
  <c r="R273" i="8"/>
  <c r="Q274" i="8"/>
  <c r="R274" i="8"/>
  <c r="Q275" i="8"/>
  <c r="R275" i="8"/>
  <c r="Q276" i="8"/>
  <c r="R276" i="8"/>
  <c r="Q277" i="8"/>
  <c r="R277" i="8"/>
  <c r="Q278" i="8"/>
  <c r="R278" i="8"/>
  <c r="Q279" i="8"/>
  <c r="R279" i="8"/>
  <c r="Q280" i="8"/>
  <c r="R280" i="8"/>
  <c r="Q281" i="8"/>
  <c r="R281" i="8"/>
  <c r="Q282" i="8"/>
  <c r="R282" i="8"/>
  <c r="Q283" i="8"/>
  <c r="R283" i="8"/>
  <c r="Q284" i="8"/>
  <c r="R284" i="8"/>
  <c r="Q285" i="8"/>
  <c r="R285" i="8"/>
  <c r="Q286" i="8"/>
  <c r="R286" i="8"/>
  <c r="Q287" i="8"/>
  <c r="R287" i="8"/>
  <c r="Q288" i="8"/>
  <c r="R288" i="8"/>
  <c r="Q289" i="8"/>
  <c r="R289" i="8"/>
  <c r="Q290" i="8"/>
  <c r="R290" i="8"/>
  <c r="Q291" i="8"/>
  <c r="R291" i="8"/>
  <c r="Q292" i="8"/>
  <c r="R292" i="8"/>
  <c r="Q293" i="8"/>
  <c r="R293" i="8"/>
  <c r="Q294" i="8"/>
  <c r="R294" i="8"/>
  <c r="Q295" i="8"/>
  <c r="R295" i="8"/>
  <c r="Q296" i="8"/>
  <c r="R296" i="8"/>
  <c r="Q297" i="8"/>
  <c r="R297" i="8"/>
  <c r="Q298" i="8"/>
  <c r="R298" i="8"/>
  <c r="Q299" i="8"/>
  <c r="R299" i="8"/>
  <c r="Q300" i="8"/>
  <c r="R300" i="8"/>
  <c r="Q301" i="8"/>
  <c r="R301" i="8"/>
  <c r="Q302" i="8"/>
  <c r="R302" i="8"/>
  <c r="Q303" i="8"/>
  <c r="R303" i="8"/>
  <c r="Q304" i="8"/>
  <c r="R304" i="8"/>
  <c r="Q305" i="8"/>
  <c r="R305" i="8"/>
  <c r="Q306" i="8"/>
  <c r="R306" i="8"/>
  <c r="Q307" i="8"/>
  <c r="R307" i="8"/>
  <c r="Q308" i="8"/>
  <c r="R308" i="8"/>
  <c r="Q309" i="8"/>
  <c r="R309" i="8"/>
  <c r="Q310" i="8"/>
  <c r="R310" i="8"/>
  <c r="Q311" i="8"/>
  <c r="R311" i="8"/>
  <c r="Q312" i="8"/>
  <c r="R312" i="8"/>
  <c r="Q313" i="8"/>
  <c r="R313" i="8"/>
  <c r="Q314" i="8"/>
  <c r="R314" i="8"/>
  <c r="Q315" i="8"/>
  <c r="R315" i="8"/>
  <c r="Q316" i="8"/>
  <c r="R316" i="8"/>
  <c r="Q317" i="8"/>
  <c r="R317" i="8"/>
  <c r="Q318" i="8"/>
  <c r="R318" i="8"/>
  <c r="Q319" i="8"/>
  <c r="R319" i="8"/>
  <c r="Q320" i="8"/>
  <c r="R320" i="8"/>
  <c r="Q321" i="8"/>
  <c r="R321" i="8"/>
  <c r="Q322" i="8"/>
  <c r="R322" i="8"/>
  <c r="Q323" i="8"/>
  <c r="R323" i="8"/>
  <c r="Q324" i="8"/>
  <c r="R324" i="8"/>
  <c r="Q325" i="8"/>
  <c r="R325" i="8"/>
  <c r="Q326" i="8"/>
  <c r="R326" i="8"/>
  <c r="Q327" i="8"/>
  <c r="R327" i="8"/>
  <c r="Q328" i="8"/>
  <c r="R328" i="8"/>
  <c r="Q329" i="8"/>
  <c r="R329" i="8"/>
  <c r="Q330" i="8"/>
  <c r="R330" i="8"/>
  <c r="Q331" i="8"/>
  <c r="R331" i="8"/>
  <c r="Q332" i="8"/>
  <c r="R332" i="8"/>
  <c r="Q333" i="8"/>
  <c r="R333" i="8"/>
  <c r="Q334" i="8"/>
  <c r="R334" i="8"/>
  <c r="Q335" i="8"/>
  <c r="R335" i="8"/>
  <c r="Q336" i="8"/>
  <c r="R336" i="8"/>
  <c r="Q337" i="8"/>
  <c r="R337" i="8"/>
  <c r="Q338" i="8"/>
  <c r="R338" i="8"/>
  <c r="Q339" i="8"/>
  <c r="R339" i="8"/>
  <c r="Q340" i="8"/>
  <c r="R340" i="8"/>
  <c r="Q341" i="8"/>
  <c r="R341" i="8"/>
  <c r="Q342" i="8"/>
  <c r="R342" i="8"/>
  <c r="Q343" i="8"/>
  <c r="R343" i="8"/>
  <c r="Q344" i="8"/>
  <c r="R344" i="8"/>
  <c r="Q345" i="8"/>
  <c r="R345" i="8"/>
  <c r="Q346" i="8"/>
  <c r="R346" i="8"/>
  <c r="Q347" i="8"/>
  <c r="R347" i="8"/>
  <c r="Q348" i="8"/>
  <c r="R348" i="8"/>
  <c r="Q349" i="8"/>
  <c r="R349" i="8"/>
  <c r="Q350" i="8"/>
  <c r="R350" i="8"/>
  <c r="Q351" i="8"/>
  <c r="R351" i="8"/>
  <c r="Q352" i="8"/>
  <c r="R352" i="8"/>
  <c r="Q353" i="8"/>
  <c r="R353" i="8"/>
  <c r="Q354" i="8"/>
  <c r="R354" i="8"/>
  <c r="Q355" i="8"/>
  <c r="R355" i="8"/>
  <c r="Q356" i="8"/>
  <c r="R356" i="8"/>
  <c r="Q357" i="8"/>
  <c r="R357" i="8"/>
  <c r="Q358" i="8"/>
  <c r="R358" i="8"/>
  <c r="Q359" i="8"/>
  <c r="R359" i="8"/>
  <c r="Q360" i="8"/>
  <c r="R360" i="8"/>
  <c r="Q361" i="8"/>
  <c r="R361" i="8"/>
  <c r="Q362" i="8"/>
  <c r="R362" i="8"/>
  <c r="Q363" i="8"/>
  <c r="R363" i="8"/>
  <c r="Q364" i="8"/>
  <c r="R364" i="8"/>
  <c r="Q365" i="8"/>
  <c r="R365" i="8"/>
  <c r="Q366" i="8"/>
  <c r="R366" i="8"/>
  <c r="Q367" i="8"/>
  <c r="R367" i="8"/>
  <c r="Q368" i="8"/>
  <c r="R368" i="8"/>
  <c r="Q369" i="8"/>
  <c r="R369" i="8"/>
  <c r="Q370" i="8"/>
  <c r="R370" i="8"/>
  <c r="Q371" i="8"/>
  <c r="R371" i="8"/>
  <c r="Q372" i="8"/>
  <c r="R372" i="8"/>
  <c r="Q373" i="8"/>
  <c r="R373" i="8"/>
  <c r="Q374" i="8"/>
  <c r="R374" i="8"/>
  <c r="Q375" i="8"/>
  <c r="R375" i="8"/>
  <c r="Q376" i="8"/>
  <c r="R376" i="8"/>
  <c r="Q377" i="8"/>
  <c r="R377" i="8"/>
  <c r="Q378" i="8"/>
  <c r="R378" i="8"/>
  <c r="Q379" i="8"/>
  <c r="R379" i="8"/>
  <c r="Q380" i="8"/>
  <c r="R380" i="8"/>
  <c r="Q381" i="8"/>
  <c r="R381" i="8"/>
  <c r="Q382" i="8"/>
  <c r="R382" i="8"/>
  <c r="Q383" i="8"/>
  <c r="R383" i="8"/>
  <c r="Q384" i="8"/>
  <c r="R384" i="8"/>
  <c r="Q385" i="8"/>
  <c r="R385" i="8"/>
  <c r="Q386" i="8"/>
  <c r="R386" i="8"/>
  <c r="Q387" i="8"/>
  <c r="R387" i="8"/>
  <c r="Q388" i="8"/>
  <c r="R388" i="8"/>
  <c r="Q389" i="8"/>
  <c r="R389" i="8"/>
  <c r="Q390" i="8"/>
  <c r="R390" i="8"/>
  <c r="Q391" i="8"/>
  <c r="R391" i="8"/>
  <c r="Q392" i="8"/>
  <c r="R392" i="8"/>
  <c r="Q393" i="8"/>
  <c r="R393" i="8"/>
  <c r="Q394" i="8"/>
  <c r="R394" i="8"/>
  <c r="Q395" i="8"/>
  <c r="R395" i="8"/>
  <c r="Q396" i="8"/>
  <c r="R396" i="8"/>
  <c r="Q397" i="8"/>
  <c r="R397" i="8"/>
  <c r="Q398" i="8"/>
  <c r="R398" i="8"/>
  <c r="Q399" i="8"/>
  <c r="R399" i="8"/>
  <c r="Q400" i="8"/>
  <c r="R400" i="8"/>
  <c r="Q401" i="8"/>
  <c r="R401" i="8"/>
  <c r="Q402" i="8"/>
  <c r="R402" i="8"/>
  <c r="Q403" i="8"/>
  <c r="R403" i="8"/>
  <c r="Q404" i="8"/>
  <c r="R404" i="8"/>
  <c r="Q405" i="8"/>
  <c r="R405" i="8"/>
  <c r="Q406" i="8"/>
  <c r="R406" i="8"/>
  <c r="Q407" i="8"/>
  <c r="R407" i="8"/>
  <c r="Q408" i="8"/>
  <c r="R408" i="8"/>
  <c r="Q409" i="8"/>
  <c r="R409" i="8"/>
  <c r="Q410" i="8"/>
  <c r="R410" i="8"/>
  <c r="Q411" i="8"/>
  <c r="R411" i="8"/>
  <c r="Q412" i="8"/>
  <c r="R412" i="8"/>
  <c r="Q413" i="8"/>
  <c r="R413" i="8"/>
  <c r="Q414" i="8"/>
  <c r="R414" i="8"/>
  <c r="Q415" i="8"/>
  <c r="R415" i="8"/>
  <c r="Q416" i="8"/>
  <c r="R416" i="8"/>
  <c r="Q417" i="8"/>
  <c r="R417" i="8"/>
  <c r="Q418" i="8"/>
  <c r="R418" i="8"/>
  <c r="Q419" i="8"/>
  <c r="R419" i="8"/>
  <c r="Q420" i="8"/>
  <c r="R420" i="8"/>
  <c r="Q421" i="8"/>
  <c r="R421" i="8"/>
  <c r="Q422" i="8"/>
  <c r="R422" i="8"/>
  <c r="Q423" i="8"/>
  <c r="R423" i="8"/>
  <c r="Q424" i="8"/>
  <c r="R424" i="8"/>
  <c r="Q425" i="8"/>
  <c r="R425" i="8"/>
  <c r="Q426" i="8"/>
  <c r="R426" i="8"/>
  <c r="Q427" i="8"/>
  <c r="R427" i="8"/>
  <c r="Q428" i="8"/>
  <c r="R428" i="8"/>
  <c r="Q429" i="8"/>
  <c r="R429" i="8"/>
  <c r="Q430" i="8"/>
  <c r="R430" i="8"/>
  <c r="Q431" i="8"/>
  <c r="R431" i="8"/>
  <c r="Q432" i="8"/>
  <c r="R432" i="8"/>
  <c r="Q433" i="8"/>
  <c r="R433" i="8"/>
  <c r="Q434" i="8"/>
  <c r="R434" i="8"/>
  <c r="Q435" i="8"/>
  <c r="R435" i="8"/>
  <c r="Q436" i="8"/>
  <c r="R436" i="8"/>
  <c r="Q437" i="8"/>
  <c r="R437" i="8"/>
  <c r="Q438" i="8"/>
  <c r="R438" i="8"/>
  <c r="Q439" i="8"/>
  <c r="R439" i="8"/>
  <c r="Q440" i="8"/>
  <c r="R440" i="8"/>
  <c r="Q441" i="8"/>
  <c r="R441" i="8"/>
  <c r="Q442" i="8"/>
  <c r="R442" i="8"/>
  <c r="Q443" i="8"/>
  <c r="R443" i="8"/>
  <c r="Q444" i="8"/>
  <c r="R444" i="8"/>
  <c r="Q445" i="8"/>
  <c r="R445" i="8"/>
  <c r="Q446" i="8"/>
  <c r="R446" i="8"/>
  <c r="Q447" i="8"/>
  <c r="R447" i="8"/>
  <c r="Q448" i="8"/>
  <c r="R448" i="8"/>
  <c r="Q449" i="8"/>
  <c r="R449" i="8"/>
  <c r="Q450" i="8"/>
  <c r="R450" i="8"/>
  <c r="Q451" i="8"/>
  <c r="R451" i="8"/>
  <c r="Q452" i="8"/>
  <c r="R452" i="8"/>
  <c r="Q453" i="8"/>
  <c r="R453" i="8"/>
  <c r="Q454" i="8"/>
  <c r="R454" i="8"/>
  <c r="Q455" i="8"/>
  <c r="R455" i="8"/>
  <c r="Q456" i="8"/>
  <c r="R456" i="8"/>
  <c r="Q457" i="8"/>
  <c r="R457" i="8"/>
  <c r="Q458" i="8"/>
  <c r="R458" i="8"/>
  <c r="Q459" i="8"/>
  <c r="R459" i="8"/>
  <c r="Q460" i="8"/>
  <c r="R460" i="8"/>
  <c r="Q461" i="8"/>
  <c r="R461" i="8"/>
  <c r="Q462" i="8"/>
  <c r="R462" i="8"/>
  <c r="Q463" i="8"/>
  <c r="R463" i="8"/>
  <c r="Q464" i="8"/>
  <c r="R464" i="8"/>
  <c r="Q465" i="8"/>
  <c r="R465" i="8"/>
  <c r="Q466" i="8"/>
  <c r="R466" i="8"/>
  <c r="Q467" i="8"/>
  <c r="R467" i="8"/>
  <c r="Q468" i="8"/>
  <c r="R468" i="8"/>
  <c r="Q469" i="8"/>
  <c r="R469" i="8"/>
  <c r="Q470" i="8"/>
  <c r="R470" i="8"/>
  <c r="Q471" i="8"/>
  <c r="R471" i="8"/>
  <c r="Q472" i="8"/>
  <c r="R472" i="8"/>
  <c r="Q473" i="8"/>
  <c r="R473" i="8"/>
  <c r="Q474" i="8"/>
  <c r="R474" i="8"/>
  <c r="Q475" i="8"/>
  <c r="R475" i="8"/>
  <c r="Q476" i="8"/>
  <c r="R476" i="8"/>
  <c r="Q477" i="8"/>
  <c r="R477" i="8"/>
  <c r="Q478" i="8"/>
  <c r="R478" i="8"/>
  <c r="Q479" i="8"/>
  <c r="R479" i="8"/>
  <c r="Q480" i="8"/>
  <c r="R480" i="8"/>
  <c r="Q481" i="8"/>
  <c r="R481" i="8"/>
  <c r="Q482" i="8"/>
  <c r="R482" i="8"/>
  <c r="Q483" i="8"/>
  <c r="R483" i="8"/>
  <c r="Q484" i="8"/>
  <c r="R484" i="8"/>
  <c r="Q485" i="8"/>
  <c r="R485" i="8"/>
  <c r="Q486" i="8"/>
  <c r="R486" i="8"/>
  <c r="Q487" i="8"/>
  <c r="R487" i="8"/>
  <c r="Q488" i="8"/>
  <c r="R488" i="8"/>
  <c r="Q489" i="8"/>
  <c r="R489" i="8"/>
  <c r="Q490" i="8"/>
  <c r="R490" i="8"/>
  <c r="Q491" i="8"/>
  <c r="R491" i="8"/>
  <c r="Q492" i="8"/>
  <c r="R492" i="8"/>
  <c r="Q493" i="8"/>
  <c r="R493" i="8"/>
  <c r="Q494" i="8"/>
  <c r="R494" i="8"/>
  <c r="Q495" i="8"/>
  <c r="R495" i="8"/>
  <c r="Q496" i="8"/>
  <c r="R496" i="8"/>
  <c r="Q497" i="8"/>
  <c r="R497" i="8"/>
  <c r="Q498" i="8"/>
  <c r="R498" i="8"/>
  <c r="Q499" i="8"/>
  <c r="R499" i="8"/>
  <c r="Q500" i="8"/>
  <c r="R500" i="8"/>
  <c r="Q501" i="8"/>
  <c r="R501" i="8"/>
  <c r="Q502" i="8"/>
  <c r="R502" i="8"/>
  <c r="Q503" i="8"/>
  <c r="R503" i="8"/>
  <c r="Q504" i="8"/>
  <c r="R504" i="8"/>
  <c r="Q505" i="8"/>
  <c r="R505" i="8"/>
  <c r="Q506" i="8"/>
  <c r="R506" i="8"/>
  <c r="Q507" i="8"/>
  <c r="R507" i="8"/>
  <c r="Q508" i="8"/>
  <c r="R508" i="8"/>
  <c r="Q509" i="8"/>
  <c r="R509" i="8"/>
  <c r="Q510" i="8"/>
  <c r="R510" i="8"/>
  <c r="Q511" i="8"/>
  <c r="R511" i="8"/>
  <c r="Q512" i="8"/>
  <c r="R512" i="8"/>
  <c r="Q513" i="8"/>
  <c r="R513" i="8"/>
  <c r="Q514" i="8"/>
  <c r="R514" i="8"/>
  <c r="Q515" i="8"/>
  <c r="R515" i="8"/>
  <c r="Q516" i="8"/>
  <c r="R516" i="8"/>
  <c r="Q517" i="8"/>
  <c r="R517" i="8"/>
  <c r="Q518" i="8"/>
  <c r="R518" i="8"/>
  <c r="Q519" i="8"/>
  <c r="R519" i="8"/>
  <c r="Q520" i="8"/>
  <c r="R520" i="8"/>
  <c r="Q521" i="8"/>
  <c r="R521" i="8"/>
  <c r="Q522" i="8"/>
  <c r="R522" i="8"/>
  <c r="Q523" i="8"/>
  <c r="R523" i="8"/>
  <c r="Q524" i="8"/>
  <c r="R524" i="8"/>
  <c r="Q525" i="8"/>
  <c r="R525" i="8"/>
  <c r="Q526" i="8"/>
  <c r="R526" i="8"/>
  <c r="Q527" i="8"/>
  <c r="R527" i="8"/>
  <c r="Q528" i="8"/>
  <c r="R528" i="8"/>
  <c r="Q529" i="8"/>
  <c r="R529" i="8"/>
  <c r="Q530" i="8"/>
  <c r="R530" i="8"/>
  <c r="Q531" i="8"/>
  <c r="R531" i="8"/>
  <c r="Q532" i="8"/>
  <c r="R532" i="8"/>
  <c r="Q533" i="8"/>
  <c r="R533" i="8"/>
  <c r="Q534" i="8"/>
  <c r="R534" i="8"/>
  <c r="Q535" i="8"/>
  <c r="R535" i="8"/>
  <c r="Q536" i="8"/>
  <c r="R536" i="8"/>
  <c r="Q537" i="8"/>
  <c r="R537" i="8"/>
  <c r="Q538" i="8"/>
  <c r="R538" i="8"/>
  <c r="Q539" i="8"/>
  <c r="R539" i="8"/>
  <c r="Q540" i="8"/>
  <c r="R540" i="8"/>
  <c r="Q541" i="8"/>
  <c r="R541" i="8"/>
  <c r="Q542" i="8"/>
  <c r="R542" i="8"/>
  <c r="Q543" i="8"/>
  <c r="R543" i="8"/>
  <c r="Q544" i="8"/>
  <c r="R544" i="8"/>
  <c r="Q545" i="8"/>
  <c r="R545" i="8"/>
  <c r="Q546" i="8"/>
  <c r="R546" i="8"/>
  <c r="Q547" i="8"/>
  <c r="R547" i="8"/>
  <c r="Q548" i="8"/>
  <c r="R548" i="8"/>
  <c r="Q549" i="8"/>
  <c r="R549" i="8"/>
  <c r="Q550" i="8"/>
  <c r="R550" i="8"/>
  <c r="Q551" i="8"/>
  <c r="R551" i="8"/>
  <c r="Q552" i="8"/>
  <c r="R552" i="8"/>
  <c r="Q553" i="8"/>
  <c r="R553" i="8"/>
  <c r="Q554" i="8"/>
  <c r="R554" i="8"/>
  <c r="Q555" i="8"/>
  <c r="R555" i="8"/>
  <c r="Q556" i="8"/>
  <c r="R556" i="8"/>
  <c r="Q557" i="8"/>
  <c r="R557" i="8"/>
  <c r="Q558" i="8"/>
  <c r="R558" i="8"/>
  <c r="Q559" i="8"/>
  <c r="R559" i="8"/>
  <c r="Q560" i="8"/>
  <c r="R560" i="8"/>
  <c r="Q561" i="8"/>
  <c r="R561" i="8"/>
  <c r="Q562" i="8"/>
  <c r="R562" i="8"/>
  <c r="Q563" i="8"/>
  <c r="R563" i="8"/>
  <c r="Q564" i="8"/>
  <c r="R564" i="8"/>
  <c r="Q565" i="8"/>
  <c r="R565" i="8"/>
  <c r="Q566" i="8"/>
  <c r="R566" i="8"/>
  <c r="Q567" i="8"/>
  <c r="R567" i="8"/>
  <c r="Q568" i="8"/>
  <c r="R568" i="8"/>
  <c r="Q569" i="8"/>
  <c r="R569" i="8"/>
  <c r="Q570" i="8"/>
  <c r="R570" i="8"/>
  <c r="Q571" i="8"/>
  <c r="R571" i="8"/>
  <c r="Q572" i="8"/>
  <c r="R572" i="8"/>
  <c r="Q573" i="8"/>
  <c r="R573" i="8"/>
  <c r="Q574" i="8"/>
  <c r="R574" i="8"/>
  <c r="AA136" i="6"/>
  <c r="X136" i="6"/>
  <c r="E136" i="6"/>
  <c r="C136" i="6"/>
  <c r="L46" i="38"/>
  <c r="J46" i="38"/>
  <c r="I46" i="38"/>
  <c r="G48" i="38"/>
  <c r="E39" i="38"/>
  <c r="I128" i="38"/>
  <c r="I126" i="38"/>
  <c r="G84" i="38"/>
  <c r="F128" i="38"/>
  <c r="G58" i="38"/>
  <c r="G59" i="38"/>
  <c r="G60" i="38"/>
  <c r="G61" i="38"/>
  <c r="G62" i="38"/>
  <c r="G63" i="38"/>
  <c r="G64" i="38"/>
  <c r="G65" i="38"/>
  <c r="G66" i="38"/>
  <c r="G67" i="38"/>
  <c r="G68" i="38"/>
  <c r="G69" i="38"/>
  <c r="G70" i="38"/>
  <c r="G71" i="38"/>
  <c r="G72" i="38"/>
  <c r="G73" i="38"/>
  <c r="G74" i="38"/>
  <c r="G75" i="38"/>
  <c r="G76" i="38"/>
  <c r="G77" i="38"/>
  <c r="G78" i="38"/>
  <c r="G79" i="38"/>
  <c r="G80" i="38"/>
  <c r="G81" i="38"/>
  <c r="G82" i="38"/>
  <c r="G83" i="38"/>
  <c r="G85" i="38"/>
  <c r="G86" i="38"/>
  <c r="G90" i="38"/>
  <c r="G91" i="38"/>
  <c r="G123" i="38"/>
  <c r="F46" i="38"/>
  <c r="G51" i="38"/>
  <c r="G52" i="38"/>
  <c r="G53" i="38"/>
  <c r="E126" i="38"/>
  <c r="F45" i="38"/>
  <c r="E45" i="38"/>
  <c r="I39" i="38"/>
  <c r="G33" i="38"/>
  <c r="G37" i="38"/>
  <c r="G36" i="38"/>
  <c r="G35" i="38"/>
  <c r="G34" i="38"/>
  <c r="S3" i="42" l="1"/>
  <c r="E3" i="42" s="1"/>
  <c r="S83" i="42"/>
  <c r="E83" i="42" s="1"/>
  <c r="G83" i="42" s="1"/>
  <c r="AH1" i="36"/>
  <c r="S82" i="42"/>
  <c r="E82" i="42" s="1"/>
  <c r="G82" i="42" s="1"/>
  <c r="M1" i="42"/>
  <c r="S84" i="42"/>
  <c r="E84" i="42" s="1"/>
  <c r="G84" i="42" s="1"/>
  <c r="K64" i="42"/>
  <c r="K28" i="42"/>
  <c r="K65" i="42"/>
  <c r="K27" i="42"/>
  <c r="K69" i="42"/>
  <c r="K74" i="42"/>
  <c r="K50" i="42"/>
  <c r="K35" i="42"/>
  <c r="K62" i="42"/>
  <c r="K63" i="42"/>
  <c r="K60" i="42"/>
  <c r="K79" i="42"/>
  <c r="K53" i="42"/>
  <c r="K54" i="42"/>
  <c r="K23" i="42"/>
  <c r="K6" i="42"/>
  <c r="K43" i="42"/>
  <c r="K34" i="42"/>
  <c r="K31" i="42"/>
  <c r="K40" i="42"/>
  <c r="K57" i="42"/>
  <c r="S26" i="42"/>
  <c r="E26" i="42" s="1"/>
  <c r="G26" i="42" s="1"/>
  <c r="S19" i="42"/>
  <c r="E19" i="42" s="1"/>
  <c r="G19" i="42" s="1"/>
  <c r="S42" i="42"/>
  <c r="E42" i="42" s="1"/>
  <c r="G42" i="42" s="1"/>
  <c r="S81" i="42"/>
  <c r="E81" i="42" s="1"/>
  <c r="G81" i="42" s="1"/>
  <c r="S78" i="42"/>
  <c r="E78" i="42" s="1"/>
  <c r="G78" i="42" s="1"/>
  <c r="S29" i="42"/>
  <c r="E29" i="42" s="1"/>
  <c r="G29" i="42" s="1"/>
  <c r="S44" i="42"/>
  <c r="E44" i="42" s="1"/>
  <c r="G44" i="42" s="1"/>
  <c r="S33" i="42"/>
  <c r="E33" i="42" s="1"/>
  <c r="G33" i="42" s="1"/>
  <c r="S5" i="42"/>
  <c r="E5" i="42" s="1"/>
  <c r="G5" i="42" s="1"/>
  <c r="S54" i="42"/>
  <c r="S55" i="42"/>
  <c r="E55" i="42" s="1"/>
  <c r="G55" i="42" s="1"/>
  <c r="S20" i="42"/>
  <c r="E20" i="42" s="1"/>
  <c r="G20" i="42" s="1"/>
  <c r="S32" i="42"/>
  <c r="E32" i="42" s="1"/>
  <c r="G32" i="42" s="1"/>
  <c r="S61" i="42"/>
  <c r="E61" i="42" s="1"/>
  <c r="G61" i="42" s="1"/>
  <c r="S74" i="42"/>
  <c r="S48" i="42"/>
  <c r="E48" i="42" s="1"/>
  <c r="G48" i="42" s="1"/>
  <c r="S57" i="42"/>
  <c r="S36" i="42"/>
  <c r="E36" i="42" s="1"/>
  <c r="G36" i="42" s="1"/>
  <c r="S63" i="42"/>
  <c r="S22" i="42"/>
  <c r="E22" i="42" s="1"/>
  <c r="G22" i="42" s="1"/>
  <c r="S49" i="42"/>
  <c r="E49" i="42" s="1"/>
  <c r="G49" i="42" s="1"/>
  <c r="S52" i="42"/>
  <c r="E52" i="42" s="1"/>
  <c r="G52" i="42" s="1"/>
  <c r="S67" i="42"/>
  <c r="E67" i="42" s="1"/>
  <c r="G67" i="42" s="1"/>
  <c r="S40" i="42"/>
  <c r="S71" i="42"/>
  <c r="E71" i="42" s="1"/>
  <c r="G71" i="42" s="1"/>
  <c r="S50" i="42"/>
  <c r="S62" i="42"/>
  <c r="S66" i="42"/>
  <c r="E66" i="42" s="1"/>
  <c r="G66" i="42" s="1"/>
  <c r="S25" i="42"/>
  <c r="E25" i="42" s="1"/>
  <c r="G25" i="42" s="1"/>
  <c r="S64" i="42"/>
  <c r="S75" i="42"/>
  <c r="E75" i="42" s="1"/>
  <c r="G75" i="42" s="1"/>
  <c r="S76" i="42"/>
  <c r="E76" i="42" s="1"/>
  <c r="G76" i="42" s="1"/>
  <c r="S30" i="42"/>
  <c r="E30" i="42" s="1"/>
  <c r="G30" i="42" s="1"/>
  <c r="S56" i="42"/>
  <c r="E56" i="42" s="1"/>
  <c r="G56" i="42" s="1"/>
  <c r="S38" i="42"/>
  <c r="E38" i="42" s="1"/>
  <c r="G38" i="42" s="1"/>
  <c r="S59" i="42"/>
  <c r="E59" i="42" s="1"/>
  <c r="G59" i="42" s="1"/>
  <c r="S65" i="42"/>
  <c r="S4" i="42"/>
  <c r="E4" i="42" s="1"/>
  <c r="G4" i="42" s="1"/>
  <c r="S43" i="42"/>
  <c r="S15" i="42"/>
  <c r="E15" i="42" s="1"/>
  <c r="G15" i="42" s="1"/>
  <c r="S39" i="42"/>
  <c r="E39" i="42" s="1"/>
  <c r="G39" i="42" s="1"/>
  <c r="S46" i="42"/>
  <c r="E46" i="42" s="1"/>
  <c r="G46" i="42" s="1"/>
  <c r="S47" i="42"/>
  <c r="E47" i="42" s="1"/>
  <c r="G47" i="42" s="1"/>
  <c r="S79" i="42"/>
  <c r="S41" i="42"/>
  <c r="E41" i="42" s="1"/>
  <c r="G41" i="42" s="1"/>
  <c r="S77" i="42"/>
  <c r="E77" i="42" s="1"/>
  <c r="G77" i="42" s="1"/>
  <c r="S73" i="42"/>
  <c r="E73" i="42" s="1"/>
  <c r="G73" i="42" s="1"/>
  <c r="S68" i="42"/>
  <c r="E68" i="42" s="1"/>
  <c r="G68" i="42" s="1"/>
  <c r="S27" i="42"/>
  <c r="S80" i="42"/>
  <c r="E80" i="42" s="1"/>
  <c r="G80" i="42" s="1"/>
  <c r="S70" i="42"/>
  <c r="E70" i="42" s="1"/>
  <c r="G70" i="42" s="1"/>
  <c r="S69" i="42"/>
  <c r="AA1" i="42"/>
  <c r="S14" i="42"/>
  <c r="E14" i="42" s="1"/>
  <c r="G14" i="42" s="1"/>
  <c r="S12" i="42"/>
  <c r="E12" i="42" s="1"/>
  <c r="G12" i="42" s="1"/>
  <c r="S10" i="42"/>
  <c r="E10" i="42" s="1"/>
  <c r="G10" i="42" s="1"/>
  <c r="S8" i="42"/>
  <c r="E8" i="42" s="1"/>
  <c r="G8" i="42" s="1"/>
  <c r="S6" i="42"/>
  <c r="S72" i="42"/>
  <c r="E72" i="42" s="1"/>
  <c r="G72" i="42" s="1"/>
  <c r="S60" i="42"/>
  <c r="S23" i="42"/>
  <c r="S21" i="42"/>
  <c r="E21" i="42" s="1"/>
  <c r="G21" i="42" s="1"/>
  <c r="S58" i="42"/>
  <c r="E58" i="42" s="1"/>
  <c r="G58" i="42" s="1"/>
  <c r="S18" i="42"/>
  <c r="E18" i="42" s="1"/>
  <c r="G18" i="42" s="1"/>
  <c r="S45" i="42"/>
  <c r="E45" i="42" s="1"/>
  <c r="G45" i="42" s="1"/>
  <c r="S31" i="42"/>
  <c r="T1" i="42"/>
  <c r="S35" i="42"/>
  <c r="X1" i="42"/>
  <c r="S34" i="42"/>
  <c r="S37" i="42"/>
  <c r="E37" i="42" s="1"/>
  <c r="G37" i="42" s="1"/>
  <c r="S53" i="42"/>
  <c r="S9" i="42"/>
  <c r="E9" i="42" s="1"/>
  <c r="G9" i="42" s="1"/>
  <c r="S11" i="42"/>
  <c r="E11" i="42" s="1"/>
  <c r="G11" i="42" s="1"/>
  <c r="S28" i="42"/>
  <c r="S24" i="42"/>
  <c r="E24" i="42" s="1"/>
  <c r="G24" i="42" s="1"/>
  <c r="S7" i="42"/>
  <c r="E7" i="42" s="1"/>
  <c r="G7" i="42" s="1"/>
  <c r="Y1" i="42"/>
  <c r="S17" i="42"/>
  <c r="E17" i="42" s="1"/>
  <c r="G17" i="42" s="1"/>
  <c r="U1" i="42"/>
  <c r="S16" i="42"/>
  <c r="E16" i="42" s="1"/>
  <c r="G16" i="42" s="1"/>
  <c r="S51" i="42"/>
  <c r="E51" i="42" s="1"/>
  <c r="G51" i="42" s="1"/>
  <c r="W1" i="42"/>
  <c r="V1" i="42"/>
  <c r="S13" i="42"/>
  <c r="E13" i="42" s="1"/>
  <c r="G13" i="42" s="1"/>
  <c r="Z1" i="42"/>
  <c r="E124" i="38"/>
  <c r="E134" i="38" s="1"/>
  <c r="AG1" i="42" l="1"/>
  <c r="G3" i="42"/>
  <c r="E6" i="42"/>
  <c r="G6" i="42" s="1"/>
  <c r="E23" i="42"/>
  <c r="G23" i="42" s="1"/>
  <c r="E64" i="42"/>
  <c r="G64" i="42" s="1"/>
  <c r="E65" i="42"/>
  <c r="G65" i="42" s="1"/>
  <c r="E31" i="42"/>
  <c r="G31" i="42" s="1"/>
  <c r="E60" i="42"/>
  <c r="G60" i="42" s="1"/>
  <c r="E35" i="42"/>
  <c r="G35" i="42" s="1"/>
  <c r="E34" i="42"/>
  <c r="G34" i="42" s="1"/>
  <c r="E54" i="42"/>
  <c r="G54" i="42" s="1"/>
  <c r="E74" i="42"/>
  <c r="G74" i="42" s="1"/>
  <c r="E57" i="42"/>
  <c r="G57" i="42" s="1"/>
  <c r="E40" i="42"/>
  <c r="G40" i="42" s="1"/>
  <c r="E50" i="42"/>
  <c r="G50" i="42" s="1"/>
  <c r="E62" i="42"/>
  <c r="G62" i="42" s="1"/>
  <c r="E63" i="42"/>
  <c r="G63" i="42" s="1"/>
  <c r="E43" i="42"/>
  <c r="G43" i="42" s="1"/>
  <c r="E79" i="42"/>
  <c r="G79" i="42" s="1"/>
  <c r="E27" i="42"/>
  <c r="G27" i="42" s="1"/>
  <c r="E69" i="42"/>
  <c r="G69" i="42" s="1"/>
  <c r="E53" i="42"/>
  <c r="G53" i="42" s="1"/>
  <c r="E28" i="42"/>
  <c r="G28" i="42" s="1"/>
  <c r="R1" i="42"/>
  <c r="AA7"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E1" i="42" l="1"/>
  <c r="Q1" i="42"/>
  <c r="D1" i="11"/>
  <c r="AA49" i="23"/>
  <c r="X49" i="23"/>
  <c r="C49" i="23"/>
  <c r="P1" i="42" l="1"/>
  <c r="AJ1" i="36"/>
  <c r="AA62" i="14"/>
  <c r="X62" i="14"/>
  <c r="E62" i="14"/>
  <c r="C62" i="14"/>
  <c r="AA61" i="14"/>
  <c r="X61" i="14"/>
  <c r="E61" i="14"/>
  <c r="C61" i="14"/>
  <c r="X135" i="6"/>
  <c r="C135" i="6"/>
  <c r="X134" i="6"/>
  <c r="C134" i="6"/>
  <c r="O1" i="42" l="1"/>
  <c r="X133" i="6"/>
  <c r="C133" i="6"/>
  <c r="X132" i="6"/>
  <c r="C132" i="6"/>
  <c r="AA48" i="23"/>
  <c r="X48" i="23"/>
  <c r="C48" i="23"/>
  <c r="N1" i="42" l="1"/>
  <c r="X131" i="6"/>
  <c r="C131" i="6"/>
  <c r="AA47" i="23"/>
  <c r="X47" i="23"/>
  <c r="C47" i="23"/>
  <c r="X130" i="6"/>
  <c r="C130" i="6"/>
  <c r="I127" i="38"/>
  <c r="I129" i="38" s="1"/>
  <c r="H134" i="38"/>
  <c r="I45" i="38"/>
  <c r="L1" i="42" l="1"/>
  <c r="X129" i="6"/>
  <c r="C129" i="6"/>
  <c r="K1" i="42" l="1"/>
  <c r="F1" i="8"/>
  <c r="E1" i="8"/>
  <c r="X128" i="6" l="1"/>
  <c r="C128" i="6"/>
  <c r="X127" i="6"/>
  <c r="C127" i="6"/>
  <c r="X126" i="6" l="1"/>
  <c r="C126" i="6"/>
  <c r="X125" i="6" l="1"/>
  <c r="C125" i="6"/>
  <c r="X124" i="6"/>
  <c r="C124" i="6"/>
  <c r="X123" i="6"/>
  <c r="C123" i="6"/>
  <c r="X122" i="6"/>
  <c r="C122" i="6"/>
  <c r="X121" i="6"/>
  <c r="C121" i="6"/>
  <c r="X120" i="6"/>
  <c r="C120" i="6"/>
  <c r="F127" i="38" l="1"/>
  <c r="X5" i="14"/>
  <c r="X119" i="6"/>
  <c r="C119" i="6"/>
  <c r="X118" i="6"/>
  <c r="C118" i="6"/>
  <c r="X117" i="6"/>
  <c r="C117" i="6"/>
  <c r="X116" i="6" l="1"/>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X115" i="6"/>
  <c r="C115" i="6"/>
  <c r="Q36" i="24"/>
  <c r="R36"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N45" i="38"/>
  <c r="N39" i="38"/>
  <c r="J39" i="38"/>
  <c r="I25" i="23" l="1"/>
  <c r="J25" i="23"/>
  <c r="Q49" i="23"/>
  <c r="H49" i="23"/>
  <c r="N49" i="23"/>
  <c r="O49" i="23"/>
  <c r="W49" i="23"/>
  <c r="V49" i="23"/>
  <c r="M49" i="23"/>
  <c r="J49" i="23"/>
  <c r="U49" i="23"/>
  <c r="L49" i="23"/>
  <c r="K49" i="23"/>
  <c r="T49" i="23"/>
  <c r="S49" i="23"/>
  <c r="R49" i="23"/>
  <c r="I49"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7" i="23"/>
  <c r="G47" i="23" s="1"/>
  <c r="F47" i="23" s="1"/>
  <c r="AA56" i="14"/>
  <c r="AA57" i="14"/>
  <c r="AA58" i="14"/>
  <c r="AA59" i="14"/>
  <c r="AA60" i="14"/>
  <c r="C114" i="6"/>
  <c r="C113" i="6"/>
  <c r="C112" i="6"/>
  <c r="C111" i="6"/>
  <c r="C110" i="6"/>
  <c r="E60" i="14"/>
  <c r="C60" i="14"/>
  <c r="C45" i="23"/>
  <c r="C44" i="23"/>
  <c r="C109" i="6"/>
  <c r="F39" i="38"/>
  <c r="F124" i="38" s="1"/>
  <c r="F134" i="38" s="1"/>
  <c r="R1" i="17"/>
  <c r="Q1" i="17"/>
  <c r="O1" i="17"/>
  <c r="H1" i="17"/>
  <c r="F49" i="23" l="1"/>
  <c r="AG49" i="23"/>
  <c r="AG47" i="23"/>
  <c r="F1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E58" i="14"/>
  <c r="C58" i="14"/>
  <c r="AG107" i="6" l="1"/>
  <c r="AG105" i="6"/>
  <c r="P59" i="14"/>
  <c r="G59" i="14" s="1"/>
  <c r="AG59" i="14" s="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E56" i="14"/>
  <c r="C56" i="14"/>
  <c r="C99" i="6"/>
  <c r="V145" i="6" l="1"/>
  <c r="L145" i="6"/>
  <c r="U145" i="6"/>
  <c r="T145" i="6"/>
  <c r="K145" i="6"/>
  <c r="S145" i="6"/>
  <c r="J145" i="6"/>
  <c r="R145" i="6"/>
  <c r="I145" i="6"/>
  <c r="Q145" i="6"/>
  <c r="H145" i="6"/>
  <c r="O145" i="6"/>
  <c r="M145" i="6"/>
  <c r="W145" i="6"/>
  <c r="N145" i="6"/>
  <c r="V140" i="6"/>
  <c r="O140" i="6"/>
  <c r="H140" i="6"/>
  <c r="R140" i="6"/>
  <c r="M140" i="6"/>
  <c r="Q140" i="6"/>
  <c r="I140" i="6"/>
  <c r="W140" i="6"/>
  <c r="N140" i="6"/>
  <c r="S140" i="6"/>
  <c r="K140" i="6"/>
  <c r="T140" i="6"/>
  <c r="L140" i="6"/>
  <c r="U140" i="6"/>
  <c r="J140" i="6"/>
  <c r="W138" i="6"/>
  <c r="O138" i="6"/>
  <c r="I138" i="6"/>
  <c r="T138" i="6"/>
  <c r="K138" i="6"/>
  <c r="V138" i="6"/>
  <c r="Q138" i="6"/>
  <c r="J138" i="6"/>
  <c r="S138" i="6"/>
  <c r="L138" i="6"/>
  <c r="R138" i="6"/>
  <c r="M138" i="6"/>
  <c r="U138" i="6"/>
  <c r="N138" i="6"/>
  <c r="H138" i="6"/>
  <c r="G1" i="8"/>
  <c r="F59" i="14"/>
  <c r="J57" i="14"/>
  <c r="T57" i="14"/>
  <c r="I57" i="14"/>
  <c r="R57" i="14"/>
  <c r="L57" i="14"/>
  <c r="U57" i="14"/>
  <c r="M57" i="14"/>
  <c r="V57" i="14"/>
  <c r="N57" i="14"/>
  <c r="W57" i="14"/>
  <c r="O57" i="14"/>
  <c r="S57" i="14"/>
  <c r="K57" i="14"/>
  <c r="H57" i="14"/>
  <c r="C7" i="14"/>
  <c r="E7" i="14"/>
  <c r="P145" i="6" l="1"/>
  <c r="G145" i="6" s="1"/>
  <c r="P140" i="6"/>
  <c r="G140" i="6" s="1"/>
  <c r="P138" i="6"/>
  <c r="G138" i="6" s="1"/>
  <c r="P57" i="14"/>
  <c r="G57" i="14" s="1"/>
  <c r="AG145" i="6" l="1"/>
  <c r="F145" i="6"/>
  <c r="F140" i="6"/>
  <c r="AG140" i="6"/>
  <c r="F138" i="6"/>
  <c r="AG138" i="6"/>
  <c r="F57" i="14"/>
  <c r="AG57" i="14"/>
  <c r="R37" i="24" l="1"/>
  <c r="R38" i="24"/>
  <c r="R39" i="24"/>
  <c r="R40" i="24"/>
  <c r="C42" i="23"/>
  <c r="C98" i="6"/>
  <c r="C97" i="6"/>
  <c r="C96" i="6"/>
  <c r="C95" i="6"/>
  <c r="J45" i="38" l="1"/>
  <c r="M46" i="38"/>
  <c r="M40" i="38"/>
  <c r="L42" i="38"/>
  <c r="M42" i="38" s="1"/>
  <c r="L43" i="38"/>
  <c r="M43" i="38" s="1"/>
  <c r="N46" i="38"/>
  <c r="M41" i="38" l="1"/>
  <c r="L45" i="38"/>
  <c r="M39" i="38"/>
  <c r="C41" i="23" l="1"/>
  <c r="C40" i="23"/>
  <c r="C94" i="6"/>
  <c r="C93" i="6"/>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49" i="1"/>
  <c r="S249" i="1"/>
  <c r="Q250" i="1"/>
  <c r="S250" i="1"/>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C38" i="23"/>
  <c r="C37" i="23"/>
  <c r="C36" i="23"/>
  <c r="C90" i="6"/>
  <c r="C89" i="6"/>
  <c r="L39" i="38" l="1"/>
  <c r="L124"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29" i="1"/>
  <c r="S229" i="1"/>
  <c r="Q230" i="1"/>
  <c r="S230" i="1"/>
  <c r="Q231" i="1"/>
  <c r="S231" i="1"/>
  <c r="Q232" i="1"/>
  <c r="S232" i="1"/>
  <c r="Q233" i="1"/>
  <c r="S233" i="1"/>
  <c r="Q234" i="1"/>
  <c r="S234" i="1"/>
  <c r="Q235" i="1"/>
  <c r="S235" i="1"/>
  <c r="Q236" i="1"/>
  <c r="S236" i="1"/>
  <c r="Q237" i="1"/>
  <c r="S237" i="1"/>
  <c r="Q238" i="1"/>
  <c r="S238" i="1"/>
  <c r="Q239" i="1"/>
  <c r="S239" i="1"/>
  <c r="Q240" i="1"/>
  <c r="S240" i="1"/>
  <c r="Q241" i="1"/>
  <c r="S241" i="1"/>
  <c r="Q242" i="1"/>
  <c r="S242" i="1"/>
  <c r="Q243" i="1"/>
  <c r="S243" i="1"/>
  <c r="Q244" i="1"/>
  <c r="S244" i="1"/>
  <c r="Q245" i="1"/>
  <c r="S245" i="1"/>
  <c r="Q246" i="1"/>
  <c r="S246" i="1"/>
  <c r="Q247" i="1"/>
  <c r="S247" i="1"/>
  <c r="Q248" i="1"/>
  <c r="S248" i="1"/>
  <c r="Q774" i="8"/>
  <c r="R774" i="8"/>
  <c r="Q775" i="8"/>
  <c r="R775" i="8"/>
  <c r="Q776" i="8"/>
  <c r="R776" i="8"/>
  <c r="Q777" i="8"/>
  <c r="R777" i="8"/>
  <c r="Q778" i="8"/>
  <c r="R778" i="8"/>
  <c r="Q779" i="8"/>
  <c r="R779" i="8"/>
  <c r="Q780" i="8"/>
  <c r="R780" i="8"/>
  <c r="Q781" i="8"/>
  <c r="R781" i="8"/>
  <c r="Q782" i="8"/>
  <c r="R782" i="8"/>
  <c r="Q783" i="8"/>
  <c r="R783" i="8"/>
  <c r="Q784" i="8"/>
  <c r="R784" i="8"/>
  <c r="Q785" i="8"/>
  <c r="R785" i="8"/>
  <c r="Q786" i="8"/>
  <c r="R786" i="8"/>
  <c r="Q787" i="8"/>
  <c r="R787" i="8"/>
  <c r="Q788" i="8"/>
  <c r="R788" i="8"/>
  <c r="Q789" i="8"/>
  <c r="R789" i="8"/>
  <c r="Q790" i="8"/>
  <c r="R790" i="8"/>
  <c r="Q791" i="8"/>
  <c r="R791" i="8"/>
  <c r="AA4" i="14"/>
  <c r="Q227" i="1"/>
  <c r="S227" i="1"/>
  <c r="Q228" i="1"/>
  <c r="S228" i="1"/>
  <c r="C86" i="6"/>
  <c r="Q217" i="1"/>
  <c r="S217" i="1"/>
  <c r="Q218" i="1"/>
  <c r="S218" i="1"/>
  <c r="Q219" i="1"/>
  <c r="S219" i="1"/>
  <c r="Q220" i="1"/>
  <c r="S220" i="1"/>
  <c r="Q221" i="1"/>
  <c r="S221" i="1"/>
  <c r="Q222" i="1"/>
  <c r="S222" i="1"/>
  <c r="Q223" i="1"/>
  <c r="S223" i="1"/>
  <c r="Q224" i="1"/>
  <c r="S224" i="1"/>
  <c r="Q225" i="1"/>
  <c r="S225" i="1"/>
  <c r="Q226" i="1"/>
  <c r="S226" i="1"/>
  <c r="E52" i="14"/>
  <c r="C52" i="14"/>
  <c r="C85" i="6"/>
  <c r="C84" i="6"/>
  <c r="W142" i="6" l="1"/>
  <c r="T142" i="6"/>
  <c r="U142" i="6"/>
  <c r="N142" i="6"/>
  <c r="H142" i="6"/>
  <c r="V142" i="6"/>
  <c r="I142" i="6"/>
  <c r="S142" i="6"/>
  <c r="L142" i="6"/>
  <c r="R142" i="6"/>
  <c r="J142" i="6"/>
  <c r="O142" i="6"/>
  <c r="K142" i="6"/>
  <c r="Q142" i="6"/>
  <c r="M142" i="6"/>
  <c r="N141" i="6"/>
  <c r="J141" i="6"/>
  <c r="U141" i="6"/>
  <c r="Q141" i="6"/>
  <c r="I141" i="6"/>
  <c r="T141" i="6"/>
  <c r="O141" i="6"/>
  <c r="K141" i="6"/>
  <c r="V141" i="6"/>
  <c r="R141" i="6"/>
  <c r="L141" i="6"/>
  <c r="W141" i="6"/>
  <c r="S141" i="6"/>
  <c r="M141" i="6"/>
  <c r="H141" i="6"/>
  <c r="T136" i="6"/>
  <c r="S136" i="6"/>
  <c r="R136" i="6"/>
  <c r="I136" i="6"/>
  <c r="H136" i="6"/>
  <c r="N136" i="6"/>
  <c r="M136" i="6"/>
  <c r="L136" i="6"/>
  <c r="Q136" i="6"/>
  <c r="J136" i="6"/>
  <c r="O136" i="6"/>
  <c r="W136" i="6"/>
  <c r="K136" i="6"/>
  <c r="V136" i="6"/>
  <c r="U136" i="6"/>
  <c r="W131" i="6"/>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42" i="6" l="1"/>
  <c r="G142" i="6" s="1"/>
  <c r="P141" i="6"/>
  <c r="G141" i="6" s="1"/>
  <c r="P136" i="6"/>
  <c r="G136" i="6" s="1"/>
  <c r="P131" i="6"/>
  <c r="G131" i="6" s="1"/>
  <c r="P91" i="6"/>
  <c r="G91" i="6" s="1"/>
  <c r="G32" i="38"/>
  <c r="G31" i="38"/>
  <c r="G29" i="38"/>
  <c r="G28" i="38"/>
  <c r="C82" i="6"/>
  <c r="C32" i="23"/>
  <c r="T192" i="1"/>
  <c r="T193" i="1"/>
  <c r="T191" i="1"/>
  <c r="S191" i="1"/>
  <c r="Q772" i="8"/>
  <c r="R772" i="8"/>
  <c r="Q773" i="8"/>
  <c r="R773" i="8"/>
  <c r="Q203" i="1"/>
  <c r="S203" i="1"/>
  <c r="Q204" i="1"/>
  <c r="S204" i="1"/>
  <c r="Q205" i="1"/>
  <c r="S205" i="1"/>
  <c r="Q206" i="1"/>
  <c r="S206" i="1"/>
  <c r="Q207" i="1"/>
  <c r="S207" i="1"/>
  <c r="Q208" i="1"/>
  <c r="S208" i="1"/>
  <c r="Q209" i="1"/>
  <c r="S209" i="1"/>
  <c r="Q210" i="1"/>
  <c r="S210" i="1"/>
  <c r="Q211" i="1"/>
  <c r="S211" i="1"/>
  <c r="Q212" i="1"/>
  <c r="S212" i="1"/>
  <c r="Q213" i="1"/>
  <c r="S213" i="1"/>
  <c r="Q214" i="1"/>
  <c r="S214" i="1"/>
  <c r="Q215" i="1"/>
  <c r="S215" i="1"/>
  <c r="Q216" i="1"/>
  <c r="S216" i="1"/>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Q764" i="8"/>
  <c r="Q765" i="8"/>
  <c r="Q766" i="8"/>
  <c r="Q767" i="8"/>
  <c r="Q768" i="8"/>
  <c r="Q769" i="8"/>
  <c r="Q770" i="8"/>
  <c r="Q771" i="8"/>
  <c r="F142" i="6" l="1"/>
  <c r="AG142" i="6"/>
  <c r="AG141" i="6"/>
  <c r="F141" i="6"/>
  <c r="F136" i="6"/>
  <c r="AG136" i="6"/>
  <c r="L90" i="6"/>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1" i="1"/>
  <c r="S201" i="1"/>
  <c r="Q202" i="1"/>
  <c r="S202"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26" i="38"/>
  <c r="J14" i="38"/>
  <c r="J12" i="38"/>
  <c r="J11" i="38"/>
  <c r="J10" i="38"/>
  <c r="J9" i="38"/>
  <c r="J8" i="38"/>
  <c r="J7" i="38"/>
  <c r="J6" i="38"/>
  <c r="G43" i="38"/>
  <c r="G41" i="38"/>
  <c r="G40" i="38"/>
  <c r="G12" i="38"/>
  <c r="G11" i="38"/>
  <c r="G30" i="38"/>
  <c r="G10" i="38" s="1"/>
  <c r="G9" i="38"/>
  <c r="G8" i="38"/>
  <c r="G27" i="38"/>
  <c r="G6" i="38"/>
  <c r="H128" i="38"/>
  <c r="H127" i="38"/>
  <c r="H126" i="38"/>
  <c r="K128" i="38"/>
  <c r="N127" i="38"/>
  <c r="M127" i="38"/>
  <c r="K127" i="38"/>
  <c r="M126" i="38"/>
  <c r="L126" i="38"/>
  <c r="K126" i="38"/>
  <c r="AG90" i="6" l="1"/>
  <c r="F90" i="6"/>
  <c r="P132" i="6"/>
  <c r="G132" i="6" s="1"/>
  <c r="AG132" i="6" s="1"/>
  <c r="AG103" i="6"/>
  <c r="F103" i="6"/>
  <c r="AG97" i="6"/>
  <c r="F97" i="6"/>
  <c r="F25" i="23"/>
  <c r="AG25" i="23"/>
  <c r="F4" i="23"/>
  <c r="AG4" i="23"/>
  <c r="G7" i="38"/>
  <c r="P85" i="6"/>
  <c r="G85" i="6" s="1"/>
  <c r="G126" i="38"/>
  <c r="H129" i="38"/>
  <c r="H130" i="38" s="1"/>
  <c r="J128" i="38"/>
  <c r="J127" i="38"/>
  <c r="F72" i="6"/>
  <c r="AG72" i="6"/>
  <c r="F20" i="23"/>
  <c r="J16" i="38"/>
  <c r="J15" i="38"/>
  <c r="G127" i="38"/>
  <c r="K129" i="38"/>
  <c r="K130" i="38" s="1"/>
  <c r="F132" i="6" l="1"/>
  <c r="L128" i="38"/>
  <c r="F85" i="6"/>
  <c r="AG85" i="6"/>
  <c r="G16" i="38"/>
  <c r="G17" i="38" s="1"/>
  <c r="J129" i="38"/>
  <c r="J124" i="38"/>
  <c r="J17" i="38"/>
  <c r="E48" i="14"/>
  <c r="J130" i="38" l="1"/>
  <c r="R629" i="8"/>
  <c r="R630" i="8"/>
  <c r="R631" i="8"/>
  <c r="R632" i="8"/>
  <c r="R633" i="8"/>
  <c r="R634" i="8"/>
  <c r="R635" i="8"/>
  <c r="R636" i="8"/>
  <c r="R637" i="8"/>
  <c r="R638" i="8"/>
  <c r="R639" i="8"/>
  <c r="R640" i="8"/>
  <c r="R641" i="8"/>
  <c r="R642" i="8"/>
  <c r="R643" i="8"/>
  <c r="R644" i="8"/>
  <c r="R645" i="8"/>
  <c r="R646" i="8"/>
  <c r="R647" i="8"/>
  <c r="R648" i="8"/>
  <c r="R649" i="8"/>
  <c r="R650" i="8"/>
  <c r="R651" i="8"/>
  <c r="R628" i="8" l="1"/>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R577" i="8"/>
  <c r="R576" i="8"/>
  <c r="R575" i="8"/>
  <c r="M16" i="38" l="1"/>
  <c r="L15" i="38"/>
  <c r="N124" i="38"/>
  <c r="F12" i="38"/>
  <c r="F9" i="38"/>
  <c r="F129" i="38"/>
  <c r="F130" i="38" s="1"/>
  <c r="L16" i="38"/>
  <c r="N12" i="38"/>
  <c r="M12" i="38"/>
  <c r="L12" i="38"/>
  <c r="I12" i="38"/>
  <c r="E12" i="38"/>
  <c r="N11" i="38"/>
  <c r="M11" i="38"/>
  <c r="L11" i="38"/>
  <c r="I11" i="38"/>
  <c r="F11" i="38"/>
  <c r="E11" i="38"/>
  <c r="N10" i="38"/>
  <c r="M10" i="38"/>
  <c r="L10" i="38"/>
  <c r="I10" i="38"/>
  <c r="F10" i="38"/>
  <c r="E10" i="38"/>
  <c r="N9" i="38"/>
  <c r="M9" i="38"/>
  <c r="I9" i="38"/>
  <c r="E9" i="38"/>
  <c r="N8" i="38"/>
  <c r="M8" i="38"/>
  <c r="L8" i="38"/>
  <c r="I8" i="38"/>
  <c r="F8" i="38"/>
  <c r="E8" i="38"/>
  <c r="N7" i="38"/>
  <c r="M7" i="38"/>
  <c r="L7" i="38"/>
  <c r="I7" i="38"/>
  <c r="E7" i="38"/>
  <c r="N6" i="38"/>
  <c r="M6" i="38"/>
  <c r="L6" i="38"/>
  <c r="I6" i="38"/>
  <c r="F6" i="38"/>
  <c r="E6" i="38"/>
  <c r="E128" i="38" l="1"/>
  <c r="E129" i="38" s="1"/>
  <c r="E130" i="38" s="1"/>
  <c r="N126" i="38"/>
  <c r="N128" i="38"/>
  <c r="G42" i="38"/>
  <c r="E14" i="38"/>
  <c r="L9" i="38"/>
  <c r="L127" i="38"/>
  <c r="L129" i="38" s="1"/>
  <c r="L130" i="38" s="1"/>
  <c r="M14" i="38"/>
  <c r="M17" i="38" s="1"/>
  <c r="I14" i="38"/>
  <c r="I15" i="38"/>
  <c r="F7" i="38"/>
  <c r="Y1" i="36"/>
  <c r="G134" i="38" l="1"/>
  <c r="G128" i="38"/>
  <c r="G129" i="38" s="1"/>
  <c r="G130" i="38" s="1"/>
  <c r="M45" i="38"/>
  <c r="M128" i="38"/>
  <c r="M129" i="38" s="1"/>
  <c r="E15" i="38"/>
  <c r="N129" i="38"/>
  <c r="X1" i="6"/>
  <c r="F16" i="38"/>
  <c r="F17" i="38" s="1"/>
  <c r="L14" i="38"/>
  <c r="L17" i="38" s="1"/>
  <c r="N16" i="38"/>
  <c r="N17" i="38" s="1"/>
  <c r="M124" i="38" l="1"/>
  <c r="M130" i="38" s="1"/>
  <c r="M15" i="38"/>
  <c r="J22" i="38"/>
  <c r="J2" i="38" s="1"/>
  <c r="W32" i="14" l="1"/>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43" i="6" l="1"/>
  <c r="H143" i="6"/>
  <c r="O143" i="6"/>
  <c r="M143" i="6"/>
  <c r="W143" i="6"/>
  <c r="N143" i="6"/>
  <c r="K143" i="6"/>
  <c r="V143" i="6"/>
  <c r="U143" i="6"/>
  <c r="L143" i="6"/>
  <c r="T143" i="6"/>
  <c r="S143" i="6"/>
  <c r="J143" i="6"/>
  <c r="R143" i="6"/>
  <c r="I143" i="6"/>
  <c r="H53" i="6"/>
  <c r="Q129" i="6"/>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P143" i="6" l="1"/>
  <c r="G143" i="6" s="1"/>
  <c r="P129" i="6"/>
  <c r="G129" i="6" s="1"/>
  <c r="P123" i="6"/>
  <c r="G123" i="6" s="1"/>
  <c r="P88" i="6"/>
  <c r="G88" i="6" s="1"/>
  <c r="P83" i="6"/>
  <c r="G83" i="6" s="1"/>
  <c r="AG83" i="6" s="1"/>
  <c r="P76" i="6"/>
  <c r="G76" i="6" s="1"/>
  <c r="AG76" i="6" s="1"/>
  <c r="P70" i="6"/>
  <c r="G70" i="6" s="1"/>
  <c r="AG70" i="6" s="1"/>
  <c r="P71" i="6"/>
  <c r="G71" i="6" s="1"/>
  <c r="AG71" i="6" s="1"/>
  <c r="P22" i="6"/>
  <c r="AG143" i="6" l="1"/>
  <c r="F143" i="6"/>
  <c r="F129" i="6"/>
  <c r="AG129" i="6"/>
  <c r="F123" i="6"/>
  <c r="AG123" i="6"/>
  <c r="F88" i="6"/>
  <c r="AG88" i="6"/>
  <c r="F83" i="6"/>
  <c r="F76" i="6"/>
  <c r="F71" i="6"/>
  <c r="F70" i="6"/>
  <c r="E1" i="14"/>
  <c r="Q39" i="24" l="1"/>
  <c r="Q40" i="24"/>
  <c r="Q37" i="24"/>
  <c r="Q38" i="24"/>
  <c r="Q48" i="23" l="1"/>
  <c r="R48" i="23"/>
  <c r="S48" i="23"/>
  <c r="T48" i="23"/>
  <c r="K48" i="23"/>
  <c r="M48" i="23"/>
  <c r="U48" i="23"/>
  <c r="I48" i="23"/>
  <c r="H48" i="23"/>
  <c r="W48" i="23"/>
  <c r="N48" i="23"/>
  <c r="V48" i="23"/>
  <c r="J48" i="23"/>
  <c r="L48" i="23"/>
  <c r="O48" i="23"/>
  <c r="J46" i="23"/>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0" i="1"/>
  <c r="S200" i="1"/>
  <c r="P48" i="23" l="1"/>
  <c r="G48" i="23" s="1"/>
  <c r="N82" i="6"/>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F48" i="23" l="1"/>
  <c r="AG48" i="23"/>
  <c r="P82" i="6"/>
  <c r="G82" i="6" s="1"/>
  <c r="AG46" i="23"/>
  <c r="U44" i="23"/>
  <c r="R44" i="23"/>
  <c r="M44" i="23"/>
  <c r="S44" i="23"/>
  <c r="N44" i="23"/>
  <c r="K44" i="23"/>
  <c r="W44" i="23"/>
  <c r="V44" i="23"/>
  <c r="T44" i="23"/>
  <c r="O44" i="23"/>
  <c r="J44" i="23"/>
  <c r="I44" i="23"/>
  <c r="H44" i="23"/>
  <c r="L44" i="23"/>
  <c r="AG45" i="23"/>
  <c r="F45" i="23"/>
  <c r="P36" i="23"/>
  <c r="G36" i="23" s="1"/>
  <c r="AG36" i="23" s="1"/>
  <c r="AG53" i="14"/>
  <c r="F53" i="14"/>
  <c r="F82" i="6" l="1"/>
  <c r="AG82" i="6"/>
  <c r="P44" i="23"/>
  <c r="G44" i="23" s="1"/>
  <c r="F44" i="23" s="1"/>
  <c r="F36" i="23"/>
  <c r="Q310" i="11"/>
  <c r="Q309" i="11"/>
  <c r="S192" i="1"/>
  <c r="S193" i="1"/>
  <c r="S194" i="1"/>
  <c r="S195" i="1"/>
  <c r="S196" i="1"/>
  <c r="S197" i="1"/>
  <c r="S198" i="1"/>
  <c r="S199" i="1"/>
  <c r="Q199" i="1"/>
  <c r="Q198" i="1"/>
  <c r="Q197" i="1"/>
  <c r="Q196" i="1"/>
  <c r="Q195" i="1"/>
  <c r="Q194" i="1"/>
  <c r="Q193" i="1"/>
  <c r="Q192" i="1"/>
  <c r="Q763" i="8"/>
  <c r="Q762" i="8"/>
  <c r="Q761" i="8"/>
  <c r="Q760" i="8"/>
  <c r="Q759" i="8"/>
  <c r="Q758" i="8"/>
  <c r="Q757" i="8"/>
  <c r="Q756" i="8"/>
  <c r="Q755" i="8"/>
  <c r="Q754" i="8"/>
  <c r="Q753" i="8"/>
  <c r="Q752" i="8"/>
  <c r="Q751" i="8"/>
  <c r="Q750" i="8"/>
  <c r="Q749" i="8"/>
  <c r="Q748" i="8"/>
  <c r="Q747" i="8"/>
  <c r="Q746" i="8"/>
  <c r="Q745" i="8"/>
  <c r="Q744" i="8"/>
  <c r="Q743" i="8"/>
  <c r="Q742" i="8"/>
  <c r="Q741" i="8"/>
  <c r="Q740" i="8"/>
  <c r="Q739" i="8"/>
  <c r="T139" i="6" l="1"/>
  <c r="N139" i="6"/>
  <c r="Q139" i="6"/>
  <c r="J139" i="6"/>
  <c r="O139" i="6"/>
  <c r="L139" i="6"/>
  <c r="V139" i="6"/>
  <c r="M139" i="6"/>
  <c r="S139" i="6"/>
  <c r="W139" i="6"/>
  <c r="I139" i="6"/>
  <c r="R139" i="6"/>
  <c r="H139" i="6"/>
  <c r="U139" i="6"/>
  <c r="K139" i="6"/>
  <c r="AG44" i="23"/>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P139" i="6" l="1"/>
  <c r="G139" i="6" s="1"/>
  <c r="U137" i="6"/>
  <c r="N137" i="6"/>
  <c r="T137" i="6"/>
  <c r="Q137" i="6"/>
  <c r="M137" i="6"/>
  <c r="S137" i="6"/>
  <c r="O137" i="6"/>
  <c r="R137" i="6"/>
  <c r="J137" i="6"/>
  <c r="H137" i="6"/>
  <c r="K137" i="6"/>
  <c r="V137" i="6"/>
  <c r="I137" i="6"/>
  <c r="W137" i="6"/>
  <c r="L137" i="6"/>
  <c r="R126" i="6"/>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AG139" i="6" l="1"/>
  <c r="F139" i="6"/>
  <c r="P137" i="6"/>
  <c r="G137" i="6" s="1"/>
  <c r="P126" i="6"/>
  <c r="G126" i="6" s="1"/>
  <c r="P118" i="6"/>
  <c r="G118" i="6" s="1"/>
  <c r="P119" i="6"/>
  <c r="G119" i="6" s="1"/>
  <c r="P114" i="6"/>
  <c r="G114" i="6" s="1"/>
  <c r="F114" i="6" s="1"/>
  <c r="F34" i="23"/>
  <c r="AG34" i="23"/>
  <c r="F41" i="23"/>
  <c r="F32" i="23"/>
  <c r="F29" i="23"/>
  <c r="P78" i="6"/>
  <c r="G78" i="6" s="1"/>
  <c r="AG78" i="6" s="1"/>
  <c r="F28" i="23"/>
  <c r="AG137" i="6" l="1"/>
  <c r="F137" i="6"/>
  <c r="AG126" i="6"/>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3" i="11"/>
  <c r="Q251" i="11"/>
  <c r="Q250" i="11"/>
  <c r="Q252" i="11"/>
  <c r="Q254" i="11"/>
  <c r="Q246" i="11"/>
  <c r="Q249" i="11"/>
  <c r="Q248" i="11"/>
  <c r="Q247"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F41" i="14"/>
  <c r="AG41" i="14"/>
  <c r="F19" i="14"/>
  <c r="G5" i="14"/>
  <c r="AG5" i="14" s="1"/>
  <c r="F12" i="14"/>
  <c r="F18" i="14"/>
  <c r="F20" i="14"/>
  <c r="F28" i="14"/>
  <c r="F40" i="14"/>
  <c r="F39" i="14"/>
  <c r="F30" i="14"/>
  <c r="F32" i="14"/>
  <c r="F15" i="14"/>
  <c r="F26" i="14"/>
  <c r="F23" i="14"/>
  <c r="F25" i="14"/>
  <c r="P133" i="6" l="1"/>
  <c r="G133" i="6" s="1"/>
  <c r="P127" i="6"/>
  <c r="G127" i="6" s="1"/>
  <c r="F127" i="6" s="1"/>
  <c r="P128" i="6"/>
  <c r="G128" i="6" s="1"/>
  <c r="P124" i="6"/>
  <c r="G124" i="6" s="1"/>
  <c r="P84" i="6"/>
  <c r="G84" i="6" s="1"/>
  <c r="P109" i="6"/>
  <c r="G109" i="6" s="1"/>
  <c r="P28" i="6"/>
  <c r="AG24" i="14"/>
  <c r="P49" i="6"/>
  <c r="F5" i="14"/>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R27" i="6"/>
  <c r="K27" i="6"/>
  <c r="M27" i="6"/>
  <c r="O27" i="6"/>
  <c r="L27" i="6"/>
  <c r="U27" i="6"/>
  <c r="H27" i="6"/>
  <c r="S27" i="6"/>
  <c r="Q27" i="6"/>
  <c r="J27" i="6"/>
  <c r="V27" i="6"/>
  <c r="W27" i="6"/>
  <c r="I27" i="6"/>
  <c r="N27" i="6"/>
  <c r="T27" i="6"/>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T24" i="6"/>
  <c r="H24" i="6"/>
  <c r="S24" i="6"/>
  <c r="O24" i="6"/>
  <c r="K24" i="6"/>
  <c r="L24" i="6"/>
  <c r="J24" i="6"/>
  <c r="V24" i="6"/>
  <c r="N24" i="6"/>
  <c r="M24" i="6"/>
  <c r="Q24" i="6"/>
  <c r="W24" i="6"/>
  <c r="I24" i="6"/>
  <c r="R24" i="6"/>
  <c r="U24" i="6"/>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19" i="6"/>
  <c r="M19" i="6"/>
  <c r="K19" i="6"/>
  <c r="I19" i="6"/>
  <c r="T19" i="6"/>
  <c r="V19" i="6"/>
  <c r="J19" i="6"/>
  <c r="H19" i="6"/>
  <c r="S19" i="6"/>
  <c r="O19" i="6"/>
  <c r="R19" i="6"/>
  <c r="W19" i="6"/>
  <c r="Q19" i="6"/>
  <c r="O1" i="36"/>
  <c r="W1" i="36"/>
  <c r="J1" i="36"/>
  <c r="V1" i="36"/>
  <c r="M1" i="36"/>
  <c r="U1" i="36"/>
  <c r="L1" i="36"/>
  <c r="M20" i="6"/>
  <c r="K20" i="6"/>
  <c r="R20" i="6"/>
  <c r="J20" i="6"/>
  <c r="N20" i="6"/>
  <c r="O20" i="6"/>
  <c r="U20" i="6"/>
  <c r="V20" i="6"/>
  <c r="Q20" i="6"/>
  <c r="T20" i="6"/>
  <c r="I20" i="6"/>
  <c r="L20" i="6"/>
  <c r="S20" i="6"/>
  <c r="W20" i="6"/>
  <c r="H20" i="6"/>
  <c r="L53" i="6"/>
  <c r="Q53" i="6"/>
  <c r="T53" i="6"/>
  <c r="K53" i="6"/>
  <c r="O53" i="6"/>
  <c r="S53" i="6"/>
  <c r="W53" i="6"/>
  <c r="J53" i="6"/>
  <c r="N53" i="6"/>
  <c r="R53" i="6"/>
  <c r="V53" i="6"/>
  <c r="I53" i="6"/>
  <c r="U53" i="6"/>
  <c r="M53" i="6"/>
  <c r="U25" i="6"/>
  <c r="I25" i="6"/>
  <c r="K25" i="6"/>
  <c r="V25" i="6"/>
  <c r="T25" i="6"/>
  <c r="M25" i="6"/>
  <c r="J25" i="6"/>
  <c r="H25" i="6"/>
  <c r="S25" i="6"/>
  <c r="W25" i="6"/>
  <c r="R25" i="6"/>
  <c r="O25" i="6"/>
  <c r="Q25" i="6"/>
  <c r="L25" i="6"/>
  <c r="N25" i="6"/>
  <c r="S31" i="6"/>
  <c r="O31" i="6"/>
  <c r="R31" i="6"/>
  <c r="W31" i="6"/>
  <c r="Q31" i="6"/>
  <c r="L31" i="6"/>
  <c r="N31" i="6"/>
  <c r="U31" i="6"/>
  <c r="V31" i="6"/>
  <c r="K31" i="6"/>
  <c r="M31" i="6"/>
  <c r="T31" i="6"/>
  <c r="H31" i="6"/>
  <c r="J31" i="6"/>
  <c r="I31" i="6"/>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T15" i="6"/>
  <c r="R15" i="6"/>
  <c r="S15" i="6"/>
  <c r="Q15" i="6"/>
  <c r="O15" i="6"/>
  <c r="N15" i="6"/>
  <c r="W15" i="6"/>
  <c r="M15" i="6"/>
  <c r="J15" i="6"/>
  <c r="L15" i="6"/>
  <c r="H15" i="6"/>
  <c r="U15" i="6"/>
  <c r="V15" i="6"/>
  <c r="H79" i="6"/>
  <c r="J79" i="6"/>
  <c r="T79" i="6"/>
  <c r="M79" i="6"/>
  <c r="O79" i="6"/>
  <c r="V79" i="6"/>
  <c r="K79" i="6"/>
  <c r="I79" i="6"/>
  <c r="R79" i="6"/>
  <c r="U79" i="6"/>
  <c r="W79" i="6"/>
  <c r="N79" i="6"/>
  <c r="Q79" i="6"/>
  <c r="S79" i="6"/>
  <c r="L79" i="6"/>
  <c r="U17" i="6"/>
  <c r="K17" i="6"/>
  <c r="Q17" i="6"/>
  <c r="L17" i="6"/>
  <c r="V17" i="6"/>
  <c r="H17" i="6"/>
  <c r="N17" i="6"/>
  <c r="W17" i="6"/>
  <c r="M17" i="6"/>
  <c r="S17" i="6"/>
  <c r="J17" i="6"/>
  <c r="O17" i="6"/>
  <c r="R17" i="6"/>
  <c r="I17" i="6"/>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J23" i="6"/>
  <c r="R23" i="6"/>
  <c r="U23" i="6"/>
  <c r="V23" i="6"/>
  <c r="H23" i="6"/>
  <c r="N23" i="6"/>
  <c r="L23" i="6"/>
  <c r="W23" i="6"/>
  <c r="I23" i="6"/>
  <c r="O23" i="6"/>
  <c r="M23" i="6"/>
  <c r="K23" i="6"/>
  <c r="S23" i="6"/>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L11" i="6"/>
  <c r="J11" i="6"/>
  <c r="U11" i="6"/>
  <c r="V11" i="6"/>
  <c r="K11" i="6"/>
  <c r="R11" i="6"/>
  <c r="T11" i="6"/>
  <c r="I11" i="6"/>
  <c r="S11" i="6"/>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R14" i="6"/>
  <c r="O14" i="6"/>
  <c r="K14" i="6"/>
  <c r="Q14" i="6"/>
  <c r="V14" i="6"/>
  <c r="M14" i="6"/>
  <c r="W14" i="6"/>
  <c r="L14" i="6"/>
  <c r="N14" i="6"/>
  <c r="U14" i="6"/>
  <c r="J14" i="6"/>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X1" i="14"/>
  <c r="R12" i="6"/>
  <c r="S12" i="6"/>
  <c r="Q12" i="6"/>
  <c r="H12" i="6"/>
  <c r="N12" i="6"/>
  <c r="O12" i="6"/>
  <c r="M12" i="6"/>
  <c r="W12" i="6"/>
  <c r="L12" i="6"/>
  <c r="J12" i="6"/>
  <c r="U12" i="6"/>
  <c r="V12" i="6"/>
  <c r="T12" i="6"/>
  <c r="K12" i="6"/>
  <c r="I12" i="6"/>
  <c r="K7" i="6"/>
  <c r="V7" i="6"/>
  <c r="T7" i="6"/>
  <c r="J7" i="6"/>
  <c r="S7" i="6"/>
  <c r="L7" i="6"/>
  <c r="I7" i="6"/>
  <c r="H7" i="6"/>
  <c r="M7" i="6"/>
  <c r="R7" i="6"/>
  <c r="O7" i="6"/>
  <c r="U7" i="6"/>
  <c r="Q7" i="6"/>
  <c r="W7" i="6"/>
  <c r="N7" i="6"/>
  <c r="M5" i="6"/>
  <c r="W5" i="6"/>
  <c r="N5" i="6"/>
  <c r="L5" i="6"/>
  <c r="J5" i="6"/>
  <c r="U5" i="6"/>
  <c r="V5" i="6"/>
  <c r="K5" i="6"/>
  <c r="S5" i="6"/>
  <c r="I5" i="6"/>
  <c r="R5" i="6"/>
  <c r="O5" i="6"/>
  <c r="H5" i="6"/>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I4" i="6"/>
  <c r="K4" i="6"/>
  <c r="T4" i="6"/>
  <c r="N4" i="6"/>
  <c r="M4" i="6"/>
  <c r="U4" i="6"/>
  <c r="J4" i="6"/>
  <c r="R4" i="6"/>
  <c r="W4" i="6"/>
  <c r="L4" i="6"/>
  <c r="S4" i="6"/>
  <c r="L10" i="6"/>
  <c r="J10" i="6"/>
  <c r="U10" i="6"/>
  <c r="V10" i="6"/>
  <c r="K10" i="6"/>
  <c r="H10" i="6"/>
  <c r="T10" i="6"/>
  <c r="I10" i="6"/>
  <c r="S10" i="6"/>
  <c r="O10" i="6"/>
  <c r="M10" i="6"/>
  <c r="R10" i="6"/>
  <c r="N10" i="6"/>
  <c r="W10" i="6"/>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I18" i="6"/>
  <c r="J18" i="6"/>
  <c r="R18" i="6"/>
  <c r="L18" i="6"/>
  <c r="Q18" i="6"/>
  <c r="W18" i="6"/>
  <c r="N18" i="6"/>
  <c r="O18" i="6"/>
  <c r="U18" i="6"/>
  <c r="M18" i="6"/>
  <c r="K18" i="6"/>
  <c r="V18" i="6"/>
  <c r="T18" i="6"/>
  <c r="H18" i="6"/>
  <c r="S18" i="6"/>
  <c r="V50" i="6"/>
  <c r="M50" i="6"/>
  <c r="U50" i="6"/>
  <c r="L50" i="6"/>
  <c r="S50" i="6"/>
  <c r="J50" i="6"/>
  <c r="R50" i="6"/>
  <c r="I50" i="6"/>
  <c r="Q50" i="6"/>
  <c r="H50" i="6"/>
  <c r="O50" i="6"/>
  <c r="T50" i="6"/>
  <c r="W50" i="6"/>
  <c r="N50" i="6"/>
  <c r="K50" i="6"/>
  <c r="H35" i="6"/>
  <c r="U35" i="6"/>
  <c r="T35" i="6"/>
  <c r="S35" i="6"/>
  <c r="J35" i="6"/>
  <c r="R35" i="6"/>
  <c r="O35" i="6"/>
  <c r="Q35" i="6"/>
  <c r="V35" i="6"/>
  <c r="N35" i="6"/>
  <c r="I35" i="6"/>
  <c r="M35" i="6"/>
  <c r="W35" i="6"/>
  <c r="L35" i="6"/>
  <c r="K35" i="6"/>
  <c r="N33" i="6"/>
  <c r="I33" i="6"/>
  <c r="M33" i="6"/>
  <c r="W33" i="6"/>
  <c r="L33" i="6"/>
  <c r="V33" i="6"/>
  <c r="U33" i="6"/>
  <c r="Q33" i="6"/>
  <c r="K33" i="6"/>
  <c r="H33" i="6"/>
  <c r="T33" i="6"/>
  <c r="J33" i="6"/>
  <c r="S33" i="6"/>
  <c r="O33" i="6"/>
  <c r="R33" i="6"/>
  <c r="T30" i="6"/>
  <c r="V30" i="6"/>
  <c r="S30" i="6"/>
  <c r="H30" i="6"/>
  <c r="I30" i="6"/>
  <c r="O30" i="6"/>
  <c r="R30" i="6"/>
  <c r="J30" i="6"/>
  <c r="Q30" i="6"/>
  <c r="W30" i="6"/>
  <c r="L30" i="6"/>
  <c r="N30" i="6"/>
  <c r="K30" i="6"/>
  <c r="U30" i="6"/>
  <c r="M30" i="6"/>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R39" i="6"/>
  <c r="Q39" i="6"/>
  <c r="N39" i="6"/>
  <c r="M39" i="6"/>
  <c r="L39" i="6"/>
  <c r="U39" i="6"/>
  <c r="K39" i="6"/>
  <c r="T39" i="6"/>
  <c r="J39" i="6"/>
  <c r="O39" i="6"/>
  <c r="I39" i="6"/>
  <c r="W39" i="6"/>
  <c r="H39" i="6"/>
  <c r="S39" i="6"/>
  <c r="V39" i="6"/>
  <c r="T13" i="6"/>
  <c r="S13" i="6"/>
  <c r="R13" i="6"/>
  <c r="H13" i="6"/>
  <c r="Q13" i="6"/>
  <c r="N13" i="6"/>
  <c r="M13" i="6"/>
  <c r="L13" i="6"/>
  <c r="I13" i="6"/>
  <c r="K13" i="6"/>
  <c r="O13" i="6"/>
  <c r="J13" i="6"/>
  <c r="V13" i="6"/>
  <c r="W13" i="6"/>
  <c r="U13" i="6"/>
  <c r="L34" i="6"/>
  <c r="V34" i="6"/>
  <c r="U34" i="6"/>
  <c r="S34" i="6"/>
  <c r="K34" i="6"/>
  <c r="H34" i="6"/>
  <c r="T34" i="6"/>
  <c r="R34" i="6"/>
  <c r="J34" i="6"/>
  <c r="Q34" i="6"/>
  <c r="O34" i="6"/>
  <c r="N34" i="6"/>
  <c r="I34" i="6"/>
  <c r="M34" i="6"/>
  <c r="W34" i="6"/>
  <c r="P125" i="6" l="1"/>
  <c r="G125" i="6" s="1"/>
  <c r="P111" i="6"/>
  <c r="G111" i="6" s="1"/>
  <c r="P122" i="6"/>
  <c r="G122" i="6" s="1"/>
  <c r="AG122" i="6" s="1"/>
  <c r="P81" i="6"/>
  <c r="G81" i="6" s="1"/>
  <c r="P86" i="6"/>
  <c r="G86" i="6" s="1"/>
  <c r="P112" i="6"/>
  <c r="G112" i="6" s="1"/>
  <c r="P115" i="6"/>
  <c r="G115" i="6" s="1"/>
  <c r="P69" i="6"/>
  <c r="G69" i="6" s="1"/>
  <c r="P27" i="6"/>
  <c r="G27" i="6" s="1"/>
  <c r="P46" i="6"/>
  <c r="P110" i="6"/>
  <c r="G110" i="6" s="1"/>
  <c r="P99" i="6"/>
  <c r="G99" i="6"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P19" i="6"/>
  <c r="N1" i="36"/>
  <c r="X1" i="36"/>
  <c r="K1" i="36"/>
  <c r="P20" i="6"/>
  <c r="P53" i="6"/>
  <c r="G53" i="6" s="1"/>
  <c r="P25" i="6"/>
  <c r="P31" i="6"/>
  <c r="G31" i="6" s="1"/>
  <c r="AG31" i="6" s="1"/>
  <c r="P48" i="6"/>
  <c r="G48" i="6" s="1"/>
  <c r="AG48" i="6" s="1"/>
  <c r="P68" i="6"/>
  <c r="G68" i="6" s="1"/>
  <c r="AG68" i="6" s="1"/>
  <c r="P75" i="6"/>
  <c r="G75" i="6" s="1"/>
  <c r="AG75" i="6" s="1"/>
  <c r="P15" i="6"/>
  <c r="P79" i="6"/>
  <c r="G79" i="6" s="1"/>
  <c r="AG79" i="6" s="1"/>
  <c r="P17" i="6"/>
  <c r="P23" i="6"/>
  <c r="P37" i="6"/>
  <c r="P73" i="6"/>
  <c r="G73" i="6" s="1"/>
  <c r="AG73" i="6" s="1"/>
  <c r="O1" i="6"/>
  <c r="P61" i="6"/>
  <c r="G61" i="6" s="1"/>
  <c r="AG61" i="6" s="1"/>
  <c r="P77" i="6"/>
  <c r="G77" i="6" s="1"/>
  <c r="AG77" i="6" s="1"/>
  <c r="P29" i="6"/>
  <c r="P11" i="6"/>
  <c r="P74" i="6"/>
  <c r="G74" i="6" s="1"/>
  <c r="AG74" i="6" s="1"/>
  <c r="P43" i="6"/>
  <c r="P55" i="6"/>
  <c r="G55" i="6" s="1"/>
  <c r="AG55" i="6" s="1"/>
  <c r="P40" i="6"/>
  <c r="P26" i="6"/>
  <c r="P54" i="6"/>
  <c r="G54" i="6" s="1"/>
  <c r="AG54" i="6" s="1"/>
  <c r="P59" i="6"/>
  <c r="G59" i="6" s="1"/>
  <c r="AG59" i="6" s="1"/>
  <c r="P21" i="6"/>
  <c r="P14" i="6"/>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G49" i="6"/>
  <c r="AG49" i="6" s="1"/>
  <c r="G38" i="14"/>
  <c r="AG38" i="14" s="1"/>
  <c r="G21" i="14"/>
  <c r="AG21" i="14" s="1"/>
  <c r="F111" i="6" l="1"/>
  <c r="AG111" i="6"/>
  <c r="AG125" i="6"/>
  <c r="F125" i="6"/>
  <c r="F122" i="6"/>
  <c r="AG81" i="6"/>
  <c r="F81" i="6"/>
  <c r="F86" i="6"/>
  <c r="AG86" i="6"/>
  <c r="F115" i="6"/>
  <c r="AG115" i="6"/>
  <c r="F112" i="6"/>
  <c r="AG112" i="6"/>
  <c r="AG69" i="6"/>
  <c r="F69" i="6"/>
  <c r="AG27" i="6"/>
  <c r="F27" i="6"/>
  <c r="F110" i="6"/>
  <c r="AG110" i="6"/>
  <c r="F99" i="6"/>
  <c r="AG99" i="6"/>
  <c r="AG101" i="6"/>
  <c r="F101" i="6"/>
  <c r="AG102" i="6"/>
  <c r="F102" i="6"/>
  <c r="AG96" i="6"/>
  <c r="F96" i="6"/>
  <c r="F106" i="6"/>
  <c r="AG106" i="6"/>
  <c r="F94" i="6"/>
  <c r="AG94" i="6"/>
  <c r="F93" i="6"/>
  <c r="AG93" i="6"/>
  <c r="AG108" i="6"/>
  <c r="F108" i="6"/>
  <c r="F100" i="6"/>
  <c r="AG100" i="6"/>
  <c r="AG95" i="6"/>
  <c r="F95" i="6"/>
  <c r="F89" i="6"/>
  <c r="AG89" i="6"/>
  <c r="F51" i="6"/>
  <c r="AG53" i="6"/>
  <c r="F53" i="6"/>
  <c r="AG4" i="6"/>
  <c r="F48" i="6"/>
  <c r="F31" i="6"/>
  <c r="F68" i="6"/>
  <c r="F75" i="6"/>
  <c r="F79" i="6"/>
  <c r="F73" i="6"/>
  <c r="P1" i="6"/>
  <c r="F61" i="6"/>
  <c r="F77" i="6"/>
  <c r="F74" i="6"/>
  <c r="F55" i="6"/>
  <c r="F59" i="6"/>
  <c r="F54" i="6"/>
  <c r="F64" i="6"/>
  <c r="F57" i="6"/>
  <c r="F65" i="6"/>
  <c r="F60" i="6"/>
  <c r="F66" i="6"/>
  <c r="F67" i="6"/>
  <c r="F58" i="6"/>
  <c r="F62" i="6"/>
  <c r="F63" i="6"/>
  <c r="F52" i="6"/>
  <c r="F50" i="6"/>
  <c r="F16" i="6"/>
  <c r="F49" i="6"/>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8" i="14"/>
  <c r="AG8" i="14" s="1"/>
  <c r="G6" i="14"/>
  <c r="G9" i="14"/>
  <c r="AG9" i="14" s="1"/>
  <c r="G10" i="14"/>
  <c r="AG10" i="14" s="1"/>
  <c r="F27" i="14"/>
  <c r="F35" i="14"/>
  <c r="F16" i="14"/>
  <c r="F17" i="14"/>
  <c r="F37" i="14"/>
  <c r="F29" i="14"/>
  <c r="F34" i="14"/>
  <c r="F31" i="14"/>
  <c r="F14" i="14"/>
  <c r="F13" i="14"/>
  <c r="F33" i="14"/>
  <c r="F11" i="14"/>
  <c r="F22" i="14"/>
  <c r="G1" i="14" l="1"/>
  <c r="AG4" i="14"/>
  <c r="F6" i="14"/>
  <c r="AG6" i="14"/>
  <c r="F8" i="14"/>
  <c r="F9" i="14"/>
  <c r="F10" i="14"/>
  <c r="AJ1" i="14" l="1"/>
  <c r="R1" i="23"/>
  <c r="U1" i="23"/>
  <c r="N1" i="23"/>
  <c r="V1" i="23"/>
  <c r="W1" i="23"/>
  <c r="H1" i="23"/>
  <c r="Q1" i="23"/>
  <c r="S1" i="23"/>
  <c r="J1" i="23"/>
  <c r="K1" i="23"/>
  <c r="I1" i="23"/>
  <c r="T1" i="23"/>
  <c r="M1" i="23"/>
  <c r="L1" i="23"/>
  <c r="G47" i="6"/>
  <c r="AG47" i="6" s="1"/>
  <c r="G46" i="6"/>
  <c r="AG46" i="6" s="1"/>
  <c r="AH37" i="6"/>
  <c r="AF37" i="6"/>
  <c r="F46" i="6" l="1"/>
  <c r="F47" i="6"/>
  <c r="G12" i="6"/>
  <c r="AG12" i="6" s="1"/>
  <c r="G44" i="6"/>
  <c r="AG44" i="6" s="1"/>
  <c r="G45" i="6"/>
  <c r="AG45" i="6" s="1"/>
  <c r="G41" i="6"/>
  <c r="AG41" i="6" s="1"/>
  <c r="AG42" i="6"/>
  <c r="G18" i="6"/>
  <c r="AG18" i="6" s="1"/>
  <c r="G36" i="6"/>
  <c r="AG36" i="6" s="1"/>
  <c r="G22" i="6"/>
  <c r="AG22" i="6" s="1"/>
  <c r="G38" i="6"/>
  <c r="AG38" i="6" s="1"/>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F12" i="6"/>
  <c r="F18" i="6"/>
  <c r="F19" i="6"/>
  <c r="F7" i="6"/>
  <c r="F28" i="6"/>
  <c r="F24" i="6"/>
  <c r="F20" i="6"/>
  <c r="F9" i="6"/>
  <c r="F10" i="6"/>
  <c r="F25" i="6"/>
  <c r="F8" i="6"/>
  <c r="F6" i="6"/>
  <c r="K1" i="6"/>
  <c r="L1" i="6"/>
  <c r="H1" i="6"/>
  <c r="Q1" i="6"/>
  <c r="J1" i="6"/>
  <c r="T1" i="6"/>
  <c r="S1" i="6"/>
  <c r="R1" i="6"/>
  <c r="U1" i="6"/>
  <c r="N1" i="6"/>
  <c r="I1" i="6"/>
  <c r="M1" i="6"/>
  <c r="V1" i="6"/>
  <c r="W1" i="6"/>
  <c r="AI1" i="6" l="1"/>
  <c r="AI1" i="23"/>
  <c r="AG1" i="6"/>
  <c r="AM6" i="6" l="1"/>
  <c r="AM7" i="6"/>
  <c r="AM9" i="6" s="1"/>
  <c r="AM10" i="6" l="1"/>
  <c r="I124" i="38" l="1"/>
  <c r="I130" i="38" l="1"/>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sharedStrings.xml><?xml version="1.0" encoding="utf-8"?>
<sst xmlns="http://schemas.openxmlformats.org/spreadsheetml/2006/main" count="93385" uniqueCount="15653">
  <si>
    <t>CNPJ</t>
  </si>
  <si>
    <t>NUMNOTA</t>
  </si>
  <si>
    <t>DTVENC</t>
  </si>
  <si>
    <t>NOMEPARC</t>
  </si>
  <si>
    <t>CODPARC</t>
  </si>
  <si>
    <t>Dias vencidos</t>
  </si>
  <si>
    <t>Valor</t>
  </si>
  <si>
    <t>Not Due</t>
  </si>
  <si>
    <t>1-30 Days</t>
  </si>
  <si>
    <t>31-60 Days</t>
  </si>
  <si>
    <t>61-90 Days</t>
  </si>
  <si>
    <t>91-120 Days</t>
  </si>
  <si>
    <t>121-180 Days</t>
  </si>
  <si>
    <t>181-360 Days</t>
  </si>
  <si>
    <t>Above 360 Days</t>
  </si>
  <si>
    <t>Aging Not Due</t>
  </si>
  <si>
    <t>Total AR</t>
  </si>
  <si>
    <t>Due date</t>
  </si>
  <si>
    <t>Type</t>
  </si>
  <si>
    <t>CUSTOMER</t>
  </si>
  <si>
    <t>Tenor</t>
  </si>
  <si>
    <t>Aging Overdue</t>
  </si>
  <si>
    <t>Overdue</t>
  </si>
  <si>
    <t>1</t>
  </si>
  <si>
    <t>Adtives</t>
  </si>
  <si>
    <t>FOSNOR - LUIS EDUARDO MAGALHAES</t>
  </si>
  <si>
    <t>..-</t>
  </si>
  <si>
    <t>00.000.000/0000-00</t>
  </si>
  <si>
    <t>CARGILL - UBERLÂNDIA</t>
  </si>
  <si>
    <t>VENDAS MERCADO INTERNO</t>
  </si>
  <si>
    <t>00.117.842/0001-28</t>
  </si>
  <si>
    <t>ADUBOS ARAGUAIA - ANAPOLIS</t>
  </si>
  <si>
    <t>COMIGO - RIO VERDE</t>
  </si>
  <si>
    <t>HERINGER - RONDONÓPOLIS II</t>
  </si>
  <si>
    <t>22.266.175/0036-08</t>
  </si>
  <si>
    <t>FERTIPAR - RONDONÓPOLIS</t>
  </si>
  <si>
    <t>HERINGER - RIO VERDE</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</si>
  <si>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</si>
  <si>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</si>
  <si>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</si>
  <si>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</si>
  <si>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</si>
  <si>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</si>
  <si>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</si>
  <si>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</si>
  <si>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</si>
  <si>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</si>
  <si>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</si>
  <si>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</si>
  <si>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</si>
  <si>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</si>
  <si>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</si>
  <si>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</si>
  <si>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</si>
  <si>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</si>
  <si>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</si>
  <si>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</si>
  <si>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</si>
  <si>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</si>
  <si>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</si>
  <si>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</si>
  <si>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</si>
  <si>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</si>
  <si>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</si>
  <si>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</si>
  <si>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</si>
  <si>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</si>
  <si>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</si>
  <si>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</si>
  <si>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</si>
  <si>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</si>
  <si>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</si>
  <si>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</si>
  <si>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</si>
  <si>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</si>
  <si>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</si>
  <si>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</si>
  <si>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</si>
  <si>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</si>
  <si>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</si>
  <si>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</si>
  <si>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</si>
  <si>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</si>
  <si>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</si>
  <si>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</si>
  <si>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</si>
  <si>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</si>
  <si>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</si>
  <si>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</si>
  <si>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</si>
  <si>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</si>
  <si>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</si>
  <si>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</si>
  <si>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</si>
  <si>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</si>
  <si>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</si>
  <si>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</si>
  <si>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</si>
  <si>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</si>
  <si>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</si>
  <si>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</si>
  <si>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</si>
  <si>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</si>
  <si>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</si>
  <si>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</si>
  <si>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</si>
  <si>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</si>
  <si>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</si>
  <si>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</si>
  <si>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</si>
  <si>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</si>
  <si>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</si>
  <si>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</si>
  <si>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VENDAS MERCADO EXTERNO</t>
  </si>
  <si>
    <t>BUNGE PARAGUAY S.A</t>
  </si>
  <si>
    <t>99.999.999/9999-99</t>
  </si>
  <si>
    <t>AGROBROKERS - COLÔMBIA</t>
  </si>
  <si>
    <t>FERTIMAX PARAGUAY</t>
  </si>
  <si>
    <t>ISUSA - URUGUAI</t>
  </si>
  <si>
    <t>MOSAIC FERTILIZANTES PARAGUAY S.R.L.</t>
  </si>
  <si>
    <t>LYCSA ARGENTINA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</si>
  <si>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</si>
  <si>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</si>
  <si>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</si>
  <si>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</si>
  <si>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</si>
  <si>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</si>
  <si>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</si>
  <si>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</si>
  <si>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</si>
  <si>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</si>
  <si>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</si>
  <si>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</si>
  <si>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</si>
  <si>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</si>
  <si>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</si>
  <si>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</si>
  <si>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</si>
  <si>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</si>
  <si>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</si>
  <si>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</si>
  <si>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</si>
  <si>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</si>
  <si>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</si>
  <si>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</si>
  <si>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</si>
  <si>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</si>
  <si>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</si>
  <si>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</si>
  <si>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</si>
  <si>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</si>
  <si>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</si>
  <si>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</si>
  <si>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</si>
  <si>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</si>
  <si>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</si>
  <si>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</si>
  <si>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</si>
  <si>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</si>
  <si>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</si>
  <si>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</si>
  <si>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</si>
  <si>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</si>
  <si>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</si>
  <si>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</si>
  <si>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</si>
  <si>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</si>
  <si>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</si>
  <si>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</si>
  <si>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</si>
  <si>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</si>
  <si>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</si>
  <si>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</si>
  <si>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</si>
  <si>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</si>
  <si>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</si>
  <si>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</si>
  <si>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</si>
  <si>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</si>
  <si>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</si>
  <si>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</si>
  <si>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</si>
  <si>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</si>
  <si>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</si>
  <si>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</si>
  <si>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</si>
  <si>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</si>
  <si>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</si>
  <si>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</si>
  <si>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</si>
  <si>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</si>
  <si>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</si>
  <si>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</si>
  <si>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</si>
  <si>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</si>
  <si>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</si>
  <si>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</si>
  <si>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</si>
  <si>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</si>
  <si>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</si>
  <si>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</si>
  <si>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</si>
  <si>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</si>
  <si>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</si>
  <si>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</si>
  <si>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</si>
  <si>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</si>
  <si>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</si>
  <si>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</si>
  <si>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HERINGER - MANHUAÇU</t>
  </si>
  <si>
    <t>FERTILIZ. TOCANTINS - BARCARENA</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</si>
  <si>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</si>
  <si>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</si>
  <si>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</si>
  <si>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</si>
  <si>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</si>
  <si>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</si>
  <si>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</si>
  <si>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</si>
  <si>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</si>
  <si>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</si>
  <si>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</si>
  <si>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</si>
  <si>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</si>
  <si>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</si>
  <si>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</si>
  <si>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</si>
  <si>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</si>
  <si>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</si>
  <si>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</si>
  <si>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</si>
  <si>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</si>
  <si>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</si>
  <si>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</si>
  <si>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</si>
  <si>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</si>
  <si>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</si>
  <si>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</si>
  <si>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</si>
  <si>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</si>
  <si>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</si>
  <si>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</si>
  <si>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</si>
  <si>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</si>
  <si>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</si>
  <si>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</si>
  <si>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</si>
  <si>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</si>
  <si>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</si>
  <si>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</si>
  <si>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</si>
  <si>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</si>
  <si>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</si>
  <si>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</si>
  <si>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</si>
  <si>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</si>
  <si>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</si>
  <si>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</si>
  <si>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</si>
  <si>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</si>
  <si>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</si>
  <si>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SUL GOIANA - GOIATUBA</t>
  </si>
  <si>
    <t>TERRA DE CULTIVO - MACHADO</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</si>
  <si>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</si>
  <si>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</si>
  <si>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</si>
  <si>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</si>
  <si>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</si>
  <si>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</si>
  <si>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</si>
  <si>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</si>
  <si>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</si>
  <si>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</si>
  <si>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</si>
  <si>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</si>
  <si>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</si>
  <si>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</si>
  <si>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</si>
  <si>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</si>
  <si>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</si>
  <si>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</si>
  <si>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</si>
  <si>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</si>
  <si>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</si>
  <si>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</si>
  <si>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</si>
  <si>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</si>
  <si>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</si>
  <si>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</si>
  <si>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</si>
  <si>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</si>
  <si>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</si>
  <si>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</si>
  <si>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</si>
  <si>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</si>
  <si>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</si>
  <si>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</si>
  <si>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</si>
  <si>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</si>
  <si>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</si>
  <si>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</si>
  <si>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</si>
  <si>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NITROFERT SAS - COLOMBIA</t>
  </si>
  <si>
    <t>Remark</t>
  </si>
  <si>
    <t>BU</t>
  </si>
  <si>
    <t>Provision</t>
  </si>
  <si>
    <t>Fertilizer</t>
  </si>
  <si>
    <t>Total Over Due with Possible Loss</t>
  </si>
  <si>
    <t>Low Risk - Expect to Receive soon</t>
  </si>
  <si>
    <t>Provision as per corporate policy</t>
  </si>
  <si>
    <t>Total</t>
  </si>
  <si>
    <t>BOLSA AGRONEGOCIOS</t>
  </si>
  <si>
    <t>FERTIPAR - CANDEIAS</t>
  </si>
  <si>
    <t>FERMAGRI S.A - EQUADOR</t>
  </si>
  <si>
    <t>SAGRA - ARAXÁ</t>
  </si>
  <si>
    <t>FAZENDA SERTAOZINHO</t>
  </si>
  <si>
    <t>HERINGER - RIO GRANDE</t>
  </si>
  <si>
    <t>ADUBOS BOA SAFRA - ITUMBIARA</t>
  </si>
  <si>
    <t>EQUILIBRA PERU S.A</t>
  </si>
  <si>
    <t>INDORAMA - SENEGAL</t>
  </si>
  <si>
    <t>LOUIS DREYFUS - NOVA MUTUM</t>
  </si>
  <si>
    <t>FZD CATULES LUGAR DENOMINADO SANTA CRUZ</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</si>
  <si>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</si>
  <si>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</si>
  <si>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</si>
  <si>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</si>
  <si>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</si>
  <si>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</si>
  <si>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</si>
  <si>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</si>
  <si>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</si>
  <si>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</si>
  <si>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TAKI AGRO - SOCORRO</t>
  </si>
  <si>
    <t>TECNOMYL S.A. - PARAGUAY</t>
  </si>
  <si>
    <t>SEU LIXO</t>
  </si>
  <si>
    <t>50.454.037/0001-68</t>
  </si>
  <si>
    <t>CAPLA PANAMA</t>
  </si>
  <si>
    <t>FAZENDA BOA VISTA</t>
  </si>
  <si>
    <t>FAZENDA APARECIDA GLEBA 1</t>
  </si>
  <si>
    <t>EQUILÍBRIO - CATALÃO</t>
  </si>
  <si>
    <t>INKAFERT - PERU</t>
  </si>
  <si>
    <t>COPEVAL - CHILE</t>
  </si>
  <si>
    <t>ANAGRA - CHILE</t>
  </si>
  <si>
    <t>GRUPO ANDINA PERU</t>
  </si>
  <si>
    <t>FAZENDA CAMPO ALEGRE</t>
  </si>
  <si>
    <t>NATIVA AGRONEGOCIOS - IBIÁ</t>
  </si>
  <si>
    <t>CARGILL PARAGUAI</t>
  </si>
  <si>
    <t>GEN FERTILIZANTES - BARCARENA</t>
  </si>
  <si>
    <t>07.571.116/0015-25</t>
  </si>
  <si>
    <t>FERTALVO FERTILIZANTES - RONDONÓPOLIS</t>
  </si>
  <si>
    <t>C I ACEPALMA SA - COLOMBIA</t>
  </si>
  <si>
    <t>GRUPO</t>
  </si>
  <si>
    <t>Grupo</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</si>
  <si>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</si>
  <si>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</si>
  <si>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</si>
  <si>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</si>
  <si>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</si>
  <si>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</si>
  <si>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</si>
  <si>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</si>
  <si>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</si>
  <si>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</si>
  <si>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</si>
  <si>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</si>
  <si>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</si>
  <si>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</si>
  <si>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</si>
  <si>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</si>
  <si>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</si>
  <si>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</si>
  <si>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</si>
  <si>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</si>
  <si>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</si>
  <si>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</si>
  <si>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</si>
  <si>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FERTIBAL - EQUADOR</t>
  </si>
  <si>
    <t>Cód. Parceiro</t>
  </si>
  <si>
    <t>Nome Parceiro</t>
  </si>
  <si>
    <t>Grupo de Risco</t>
  </si>
  <si>
    <t>Data da Analise</t>
  </si>
  <si>
    <t>Valor do limite</t>
  </si>
  <si>
    <t>Informações da Analise</t>
  </si>
  <si>
    <t>Possui limite?</t>
  </si>
  <si>
    <t>Composição Garantias</t>
  </si>
  <si>
    <t>Fim da Garantia</t>
  </si>
  <si>
    <t>Sim</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</si>
  <si>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</si>
  <si>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</si>
  <si>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</si>
  <si>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</si>
  <si>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</si>
  <si>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</si>
  <si>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</si>
  <si>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</si>
  <si>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</si>
  <si>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</si>
  <si>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</si>
  <si>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</si>
  <si>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</si>
  <si>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</si>
  <si>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</si>
  <si>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LIMITE CONCEDIDO DE 70K E ANALISE A SER COMPLETADA</t>
  </si>
  <si>
    <t>A</t>
  </si>
  <si>
    <t>Valor de Limite disponibilizado para todo grupo.</t>
  </si>
  <si>
    <t>FAZENDA PITAS</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</si>
  <si>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</si>
  <si>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</si>
  <si>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</si>
  <si>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</si>
  <si>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</si>
  <si>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</si>
  <si>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</si>
  <si>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</si>
  <si>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</si>
  <si>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</si>
  <si>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</si>
  <si>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</si>
  <si>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</si>
  <si>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</si>
  <si>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</si>
  <si>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</si>
  <si>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</si>
  <si>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</si>
  <si>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</si>
  <si>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</si>
  <si>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</si>
  <si>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</si>
  <si>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</si>
  <si>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</si>
  <si>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 xml:space="preserve">Exposição </t>
  </si>
  <si>
    <t>GRUPO MOSAIC FERTILIZANTES DO BRASIL</t>
  </si>
  <si>
    <t>JOSÉ RIBEIRO DE CASTRO - SITIO MONGE</t>
  </si>
  <si>
    <t xml:space="preserve">in BRl </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</si>
  <si>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</si>
  <si>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</si>
  <si>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</si>
  <si>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</si>
  <si>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</si>
  <si>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</si>
  <si>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</si>
  <si>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</si>
  <si>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</si>
  <si>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</si>
  <si>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</si>
  <si>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</si>
  <si>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Additives</t>
  </si>
  <si>
    <t>Freight Debit Notes</t>
  </si>
  <si>
    <t>GRUPO HERINGER</t>
  </si>
  <si>
    <t>GRUPO MOSAIC FERTILIZANTES P K LTDA</t>
  </si>
  <si>
    <t>GRUPO FERTILIZ TOCANTINS</t>
  </si>
  <si>
    <t>MOSAIC - RIO GRANDE</t>
  </si>
  <si>
    <t>SQM - CHILE</t>
  </si>
  <si>
    <t>TEPEYAC - MÉXICO</t>
  </si>
  <si>
    <t>JOSÉ  FRANCISCO PIRES DE SOUZA</t>
  </si>
  <si>
    <t>Cobrança</t>
  </si>
  <si>
    <t>Data renegociada</t>
  </si>
  <si>
    <t>Cobrança Administrativa</t>
  </si>
  <si>
    <t>Em Procedimento Judicial</t>
  </si>
  <si>
    <t>Recuperação Judicial</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</si>
  <si>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</si>
  <si>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</si>
  <si>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</si>
  <si>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</si>
  <si>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</si>
  <si>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</si>
  <si>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</si>
  <si>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</si>
  <si>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</si>
  <si>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</si>
  <si>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</si>
  <si>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</si>
  <si>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</si>
  <si>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</si>
  <si>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</si>
  <si>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</si>
  <si>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</si>
  <si>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</si>
  <si>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</si>
  <si>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</si>
  <si>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</si>
  <si>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</si>
  <si>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</si>
  <si>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</si>
  <si>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</si>
  <si>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</si>
  <si>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</si>
  <si>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</si>
  <si>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</si>
  <si>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</si>
  <si>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</si>
  <si>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</si>
  <si>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</si>
  <si>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</si>
  <si>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</si>
  <si>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</si>
  <si>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</si>
  <si>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</si>
  <si>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</si>
  <si>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</si>
  <si>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</si>
  <si>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</si>
  <si>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</si>
  <si>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</si>
  <si>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</si>
  <si>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Valor referente a valor coberto pela COFACE em seguro de credito</t>
  </si>
  <si>
    <t>CERRAGRI</t>
  </si>
  <si>
    <t>Limite concedido pelo Bruno Merlino</t>
  </si>
  <si>
    <t>GRUPO FERTINOR</t>
  </si>
  <si>
    <t>Valor de limite concedido por Bruno Merlino, ate resposta da seguradora.</t>
  </si>
  <si>
    <t>LIMITE CONCEDIDO PELO BRUNO</t>
  </si>
  <si>
    <t>Limite Liberado pela coface R$100.000,00</t>
  </si>
  <si>
    <t>Valor liberado pela seguradora de credito</t>
  </si>
  <si>
    <t>GRUPO FERTILIZANTES BANDEIRANTES</t>
  </si>
  <si>
    <t>GRUPO FERTIPAR FERTILIZANTES PARANA</t>
  </si>
  <si>
    <t>GRUPO FERTIPAR SUDESTE</t>
  </si>
  <si>
    <t>LIMITE CONCEDIDO PELA SEGURADORA COFACE</t>
  </si>
  <si>
    <t>LIMITE CONCEDIDO PELA COFACE</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</si>
  <si>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</si>
  <si>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</si>
  <si>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</si>
  <si>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</si>
  <si>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</si>
  <si>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</si>
  <si>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</si>
  <si>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</si>
  <si>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</si>
  <si>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PREMIUM FERTILIZANTES - ALFENAS</t>
  </si>
  <si>
    <t>SAFRA FERTILIZANTES - ALFENAS</t>
  </si>
  <si>
    <t>MANUCHAR ARGENTINA S.A</t>
  </si>
  <si>
    <t>Limite aprovado pela coface</t>
  </si>
  <si>
    <t>LIMITE CONCEDIDO PELA SEGURADORA</t>
  </si>
  <si>
    <t>Limite liberado pela seguradora de credito (COFACE) R$3.000.000,00</t>
  </si>
  <si>
    <t>Limite liberado concedido pela coface</t>
  </si>
  <si>
    <t>COOMAP</t>
  </si>
  <si>
    <t>Limite concedido pelo Bruno</t>
  </si>
  <si>
    <t>Valor liberado pela seguradora de credito 200.000 USD</t>
  </si>
  <si>
    <t>LIMITE CONCEDIDO PELA COFACE  250.000,00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</si>
  <si>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</si>
  <si>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</si>
  <si>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</si>
  <si>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</si>
  <si>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</si>
  <si>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</si>
  <si>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</si>
  <si>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</si>
  <si>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</si>
  <si>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</si>
  <si>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</si>
  <si>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</si>
  <si>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</si>
  <si>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</si>
  <si>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</si>
  <si>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</si>
  <si>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</si>
  <si>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</si>
  <si>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</si>
  <si>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</si>
  <si>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</si>
  <si>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</si>
  <si>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</si>
  <si>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</si>
  <si>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</si>
  <si>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</si>
  <si>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</si>
  <si>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</si>
  <si>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</si>
  <si>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</si>
  <si>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</si>
  <si>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</si>
  <si>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</si>
  <si>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</si>
  <si>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</si>
  <si>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</si>
  <si>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</si>
  <si>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</si>
  <si>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</si>
  <si>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</si>
  <si>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</si>
  <si>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</si>
  <si>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</si>
  <si>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</si>
  <si>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</si>
  <si>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</si>
  <si>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</si>
  <si>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</si>
  <si>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</si>
  <si>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</si>
  <si>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</si>
  <si>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</si>
  <si>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Total Geral</t>
  </si>
  <si>
    <t>limite concedido pela seguradora</t>
  </si>
  <si>
    <t>GRUPO CAMPO RICO</t>
  </si>
  <si>
    <t>CAMPOFERT - COLOMBIA</t>
  </si>
  <si>
    <t>COFCO INTERNATIONAL ARGENTINA SA</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</si>
  <si>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</si>
  <si>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</si>
  <si>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</si>
  <si>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</si>
  <si>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</si>
  <si>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</si>
  <si>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</si>
  <si>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</si>
  <si>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</si>
  <si>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</si>
  <si>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</si>
  <si>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</si>
  <si>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JOSE FRANCISCO PIRES DE SOUZA</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</si>
  <si>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</si>
  <si>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</si>
  <si>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</si>
  <si>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</si>
  <si>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</si>
  <si>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</si>
  <si>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</si>
  <si>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</si>
  <si>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</si>
  <si>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</si>
  <si>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</si>
  <si>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</si>
  <si>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</si>
  <si>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</si>
  <si>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</si>
  <si>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</si>
  <si>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</si>
  <si>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</si>
  <si>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</si>
  <si>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</si>
  <si>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</si>
  <si>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</si>
  <si>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RODRIGO ESTAQUINI</t>
  </si>
  <si>
    <t>SYLVIA MARTINS DOMINGOS</t>
  </si>
  <si>
    <t>PARANAGRAN - IND E COM DE FERTILIZANTES</t>
  </si>
  <si>
    <t>NUTRIENTES IND DE FERTILIZANTES LTDA</t>
  </si>
  <si>
    <t>SAGRA - PIUMHI</t>
  </si>
  <si>
    <t>01.391.790/0013-80</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</si>
  <si>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</si>
  <si>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</si>
  <si>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</si>
  <si>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</si>
  <si>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</si>
  <si>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</si>
  <si>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</si>
  <si>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</si>
  <si>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</si>
  <si>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</si>
  <si>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</si>
  <si>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</si>
  <si>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</si>
  <si>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</si>
  <si>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</si>
  <si>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</si>
  <si>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</si>
  <si>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</si>
  <si>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</si>
  <si>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</si>
  <si>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</si>
  <si>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</si>
  <si>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DE CRÉDITO LIBERADO PELA COFACE</t>
  </si>
  <si>
    <t>ALFA NATURA DO BRASIL</t>
  </si>
  <si>
    <t>COFCO INTERNATIONAL BRASIL S.A.</t>
  </si>
  <si>
    <t>LIMITE DE CRÉDITO TOTALMENTE ACEITO PELA SEGURADORA COFACE</t>
  </si>
  <si>
    <t>Aug- 2025 Payment plan negotiation ongoing.</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</si>
  <si>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</si>
  <si>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</si>
  <si>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</si>
  <si>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</si>
  <si>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</si>
  <si>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</si>
  <si>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</si>
  <si>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</si>
  <si>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</si>
  <si>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</si>
  <si>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</si>
  <si>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</si>
  <si>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</si>
  <si>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</si>
  <si>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</si>
  <si>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</si>
  <si>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</si>
  <si>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</si>
  <si>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</si>
  <si>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</si>
  <si>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</si>
  <si>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</si>
  <si>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</si>
  <si>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</si>
  <si>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LUCAS DA CONCEIÇÃO CASSIMIRO</t>
  </si>
  <si>
    <t>JOSE ROBERTO DOS SANTOS SILVA JUNIOR</t>
  </si>
  <si>
    <t>THIAGO RODRIGUES SANTOS</t>
  </si>
  <si>
    <t>MOTTA FERTILIZANTES</t>
  </si>
  <si>
    <t>DREYMOOR BRASIL COMERCIO DE FERTILIZANTE</t>
  </si>
  <si>
    <t>35.540.155/0001-03</t>
  </si>
  <si>
    <t>DREYMOOR FERTILIZANTES - CURITIBA</t>
  </si>
  <si>
    <t>INTERBULK</t>
  </si>
  <si>
    <t>MOSAIC - UBERABA (UBA III)</t>
  </si>
  <si>
    <t>MOSAIC - CATALÃO - MISTURA</t>
  </si>
  <si>
    <t>MOSAIC - CATALÃO (CMC2)</t>
  </si>
  <si>
    <t>LIMITE DE CRÉDITO TOTALMENTE ACEITO PELA SEGURADORA COFACE 
TAXA DE CÂMBIO: R$5,50 -&gt; 120.000 USD</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</si>
  <si>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</si>
  <si>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</si>
  <si>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</si>
  <si>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</si>
  <si>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</si>
  <si>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</si>
  <si>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</si>
  <si>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</si>
  <si>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</si>
  <si>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</si>
  <si>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</si>
  <si>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</si>
  <si>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</si>
  <si>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</si>
  <si>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AUREN COMERCIALIZADORA DE ENERGIA LTDA</t>
  </si>
  <si>
    <t>MOSAIC - CUBATÃO</t>
  </si>
  <si>
    <t>61.156.501/0099-60</t>
  </si>
  <si>
    <t>GOTLAND EQUADOR (SOLINAG)</t>
  </si>
  <si>
    <t>19.512.950/9001-</t>
  </si>
  <si>
    <t>ANDRESSA CAROLINA SILVA RODRIGUES</t>
  </si>
  <si>
    <t>DIÁRIAS E ESTADIA DE MOTORISTAS</t>
  </si>
  <si>
    <t>MOSAIC - CANDEIAS</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</si>
  <si>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</si>
  <si>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</si>
  <si>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</si>
  <si>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</si>
  <si>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</si>
  <si>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</si>
  <si>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</si>
  <si>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</si>
  <si>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</si>
  <si>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83.052.407/0003-51</t>
  </si>
  <si>
    <t>05.571.228/0003-17</t>
  </si>
  <si>
    <t>87.249.561/0020-70</t>
  </si>
  <si>
    <t>ELYMAR JOSE DA SILVA FERREIRA</t>
  </si>
  <si>
    <t>MARCELO MARQUES COBRA - PESSOA FISICA</t>
  </si>
  <si>
    <t>01.094.764/0002-37</t>
  </si>
  <si>
    <t>77.294.254/0075-20</t>
  </si>
  <si>
    <t>04.251.044/0001-45</t>
  </si>
  <si>
    <t>VENDA MERC INDUSTRIALIZADA TERCEIROS</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</si>
  <si>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</si>
  <si>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</si>
  <si>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</si>
  <si>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</si>
  <si>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</si>
  <si>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</si>
  <si>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</si>
  <si>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</si>
  <si>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</si>
  <si>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CAMPEVO - SÃO JOSE DO RIO PRETO</t>
  </si>
  <si>
    <t>44.777.951/0008-13</t>
  </si>
  <si>
    <t>CAMPEVO - ITAPETININGA</t>
  </si>
  <si>
    <t>44.777.951/0007-32</t>
  </si>
  <si>
    <t>CAMPEVO - JAÚ</t>
  </si>
  <si>
    <t>44.777.951/0010-38</t>
  </si>
  <si>
    <t>CAMPEVO - JALES</t>
  </si>
  <si>
    <t>44.777.951/0009-02</t>
  </si>
  <si>
    <t>MIP - COLOMBIA</t>
  </si>
  <si>
    <t>HERINGER - PARANAGUÁ</t>
  </si>
  <si>
    <t>87.456.562/0006-37</t>
  </si>
  <si>
    <t>04.987.734/0001-67</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</si>
  <si>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</si>
  <si>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</si>
  <si>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</si>
  <si>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</si>
  <si>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</si>
  <si>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Total Over Due in Litigation (TOP 12)</t>
  </si>
  <si>
    <t>ATMO COMERCIALIZADORA DE ENERGIA LTDA</t>
  </si>
  <si>
    <t>Additive / Litigation</t>
  </si>
  <si>
    <t>LOUIS DREYFUS - RONDONÓPOLIS</t>
  </si>
  <si>
    <t>47.067.525/0222-68</t>
  </si>
  <si>
    <t>MARCELO HONORIO DE CARVALHO RAMOS</t>
  </si>
  <si>
    <t>007.511.136-54</t>
  </si>
  <si>
    <t>03.306.578/0019-98</t>
  </si>
  <si>
    <t>03.306.578/0012-11</t>
  </si>
  <si>
    <t>77.294.254/0024-80</t>
  </si>
  <si>
    <t>Credit Approved</t>
  </si>
  <si>
    <t> Total AR</t>
  </si>
  <si>
    <t>Remark for Open Exposure (approved in credit committee,guarantee or credit approved based on credit rating).</t>
  </si>
  <si>
    <t>AR Not Due</t>
  </si>
  <si>
    <t>AR in Litigation</t>
  </si>
  <si>
    <t>Collection Risk Probable / Possible / Rare</t>
  </si>
  <si>
    <t>Customer</t>
  </si>
  <si>
    <t>Parceiro</t>
  </si>
  <si>
    <t>AR Over Due but not in Litigation</t>
  </si>
  <si>
    <t>ADUFÉRTIL - CAMPEVO</t>
  </si>
  <si>
    <t xml:space="preserve">Tipo aprovação de Credito </t>
  </si>
  <si>
    <t>AGROTEKNE-COMERCIO E REPRESENTACOES LTDA</t>
  </si>
  <si>
    <t>LIMITE DE CRÉDITO PARCIALMENTE ACEITO MEDIANTE APROVAÇÃO DA SEGURADORA COFACE</t>
  </si>
  <si>
    <t>LIMITE DE CRÉDITO REDUZIDO MEDIANTE ANÁLISE PELA SEGURADORA COFACE</t>
  </si>
  <si>
    <t>FERT SOLO COMERCIO DE PRODUTOS AGRICOLAS</t>
  </si>
  <si>
    <t>G.M-GOMES MARIN COM E REPR DE PROD AGRIC</t>
  </si>
  <si>
    <t>Limite concedido pela seguradora COFACE no valor de R$1.500.000,00</t>
  </si>
  <si>
    <t>LIMITE DE CRÉDITO PARCIALMENTE ACEITO PARA 180.000,00 USD PELA SEGURADORA COFACE
TAXA DE CÂMBIO UTILIZADA: R$5,50 -&gt;R$990.000</t>
  </si>
  <si>
    <t>MAFER MARILIA COMERCIO E REPRESENTACOES</t>
  </si>
  <si>
    <t>LIMITE DE CRÉDITO PARCIALEMENTE ACEITO MEDIANTE APROVAÇÃO DA SEGURADORA COFACE</t>
  </si>
  <si>
    <t>NOVO AGRO</t>
  </si>
  <si>
    <t>LIMITE DE CRÉDITO TOTALMENTE ACEITO MEDIANTE APROVAÇÃO DA SEGURADORA COFACE</t>
  </si>
  <si>
    <t>ROMA COMERCIO E REPRESENTACOES AGRICOLA</t>
  </si>
  <si>
    <t>SISTEMA COMERCIO E REPRESENTACOES LTDA</t>
  </si>
  <si>
    <t>SOBERANA</t>
  </si>
  <si>
    <t>05.919.578/0001-60</t>
  </si>
  <si>
    <t>73.674.202/0002-73</t>
  </si>
  <si>
    <t>53.386.683/0001-23</t>
  </si>
  <si>
    <t>47.067.525/0221-87</t>
  </si>
  <si>
    <t>77.294.254/0061-25</t>
  </si>
  <si>
    <t>ASSOCIACAO RECICLA TRIANGULO</t>
  </si>
  <si>
    <t>61.983.083/0001-70</t>
  </si>
  <si>
    <t>CODEMP</t>
  </si>
  <si>
    <t>ANOMES</t>
  </si>
  <si>
    <t>CODPROD</t>
  </si>
  <si>
    <t>UF</t>
  </si>
  <si>
    <t>DESCRPROD</t>
  </si>
  <si>
    <t>QTD_ORCADO</t>
  </si>
  <si>
    <t>QTD (KG)</t>
  </si>
  <si>
    <t>Gross Revenue</t>
  </si>
  <si>
    <t>Impostos</t>
  </si>
  <si>
    <t>Net Revenue</t>
  </si>
  <si>
    <t>COGS</t>
  </si>
  <si>
    <t>Outbound Freight</t>
  </si>
  <si>
    <t>Other Variable Expenses</t>
  </si>
  <si>
    <t>MC</t>
  </si>
  <si>
    <t>MC %</t>
  </si>
  <si>
    <t>Gross Price</t>
  </si>
  <si>
    <t>Gross Price (KG)</t>
  </si>
  <si>
    <t>CODGRUPOPROD</t>
  </si>
  <si>
    <t>DESCRGRUPOPROD</t>
  </si>
  <si>
    <t>NOMECID</t>
  </si>
  <si>
    <t>MERCADO</t>
  </si>
  <si>
    <t>Ano/mês</t>
  </si>
  <si>
    <t>ANO</t>
  </si>
  <si>
    <t>202601</t>
  </si>
  <si>
    <t>PROMINERALES SAS - COLOMBIA</t>
  </si>
  <si>
    <t>EX</t>
  </si>
  <si>
    <t>DUSTPROTEC SC IBC - ADITIVO ANTI-PO P/ FERTILIZANTES GRANULADOS</t>
  </si>
  <si>
    <t>START ANTIDUSTING</t>
  </si>
  <si>
    <t>PUERTO BERRIO</t>
  </si>
  <si>
    <t>International</t>
  </si>
  <si>
    <t>01/2026</t>
  </si>
  <si>
    <t>2026</t>
  </si>
  <si>
    <t>Rótulos de Coluna</t>
  </si>
  <si>
    <t>MT</t>
  </si>
  <si>
    <t>START ANTIDUSTING SC AD IBC ADITIVO ANTI PO P/ FERTILIZANTES</t>
  </si>
  <si>
    <t>CONFRESA</t>
  </si>
  <si>
    <t>Domestic</t>
  </si>
  <si>
    <t>202602</t>
  </si>
  <si>
    <t>202603</t>
  </si>
  <si>
    <t>202604</t>
  </si>
  <si>
    <t>202605</t>
  </si>
  <si>
    <t>202606</t>
  </si>
  <si>
    <t>202607</t>
  </si>
  <si>
    <t>202608</t>
  </si>
  <si>
    <t>202609</t>
  </si>
  <si>
    <t>202610</t>
  </si>
  <si>
    <t>202611</t>
  </si>
  <si>
    <t>202612</t>
  </si>
  <si>
    <t>MG</t>
  </si>
  <si>
    <t>START ANTIDUSTING EURO KG ADITIVO ANTI PO P/ FERTILIZANTES</t>
  </si>
  <si>
    <t>ARAGUARI</t>
  </si>
  <si>
    <t>Soma de Gross Revenue</t>
  </si>
  <si>
    <t>FERTIPAR - RONDONOPOLIS</t>
  </si>
  <si>
    <t>START ANTIDUSTING SC AD ADITIVO ANTI PO P/ FERTILIZANTES</t>
  </si>
  <si>
    <t>RONDONOPOLIS</t>
  </si>
  <si>
    <t>PR</t>
  </si>
  <si>
    <t>START ANTIDUSTING G37 ADITIVO ANTI PO P/ FERTILIZANTES</t>
  </si>
  <si>
    <t>PARANAGUA</t>
  </si>
  <si>
    <t>UBERLANDIA</t>
  </si>
  <si>
    <t>FERTIMAN - BOM JESUS</t>
  </si>
  <si>
    <t>GO</t>
  </si>
  <si>
    <t>START ANTIDUSTING EM ADITIVO ANTI PO P/ FERTILIZANTES</t>
  </si>
  <si>
    <t>BOM JESUS DE GOIAS</t>
  </si>
  <si>
    <t>NUTRISOYA - CATAL?O</t>
  </si>
  <si>
    <t>CATALAO</t>
  </si>
  <si>
    <t>LIMA</t>
  </si>
  <si>
    <t>START ANTIDUSTING KG ADITIVO ANTI PO P/ FERTILIZANTES</t>
  </si>
  <si>
    <t>SORRISO</t>
  </si>
  <si>
    <t>BA</t>
  </si>
  <si>
    <t>CANDEIAS</t>
  </si>
  <si>
    <t>RS</t>
  </si>
  <si>
    <t>RIO GRANDE</t>
  </si>
  <si>
    <t>START ANTIDUSTING MH ADITIVO ANTI PO P/ FERTILIZANTES</t>
  </si>
  <si>
    <t>CANOAS</t>
  </si>
  <si>
    <t>DUSTPROTEC BLACK PLUS ADITIVO ANTI PO P/ FERTILIZANTES</t>
  </si>
  <si>
    <t>SAN JUAN DEL PARANA</t>
  </si>
  <si>
    <t>START ANTIDUSTING SC ADITIVO ANTI PO P/ FERTILIZANTES</t>
  </si>
  <si>
    <t>CONCEICAO DO JACUIPE</t>
  </si>
  <si>
    <t>HERINGER - PARANAGUA</t>
  </si>
  <si>
    <t>FORMOSA</t>
  </si>
  <si>
    <t>SE</t>
  </si>
  <si>
    <t>ROSARIO DO CATETE</t>
  </si>
  <si>
    <t>CIBRA - PARANAGUA II</t>
  </si>
  <si>
    <t>RIO VERDE</t>
  </si>
  <si>
    <t>MOSAIC - UBERABA II</t>
  </si>
  <si>
    <t>UBERABA</t>
  </si>
  <si>
    <t>SC</t>
  </si>
  <si>
    <t>SAO FRANCISCO DO SUL</t>
  </si>
  <si>
    <t>ADUBOS ARAGUAIA - PARANAGUA</t>
  </si>
  <si>
    <t>ITAPUA</t>
  </si>
  <si>
    <t>MA</t>
  </si>
  <si>
    <t>START ANTIDUSTING SC FG ADITIVO ANTI PO P/ FERTILIZANTES</t>
  </si>
  <si>
    <t>SAO LUIS</t>
  </si>
  <si>
    <t>FERTIPAR - S?O LUIS DO MARANH?O</t>
  </si>
  <si>
    <t>FERTILIZANTES ALIANCA - APARECIDA DE GOI</t>
  </si>
  <si>
    <t>APARECIDA DE GOIANIA</t>
  </si>
  <si>
    <t>START ANTIDUSTING BLACK IBC ADITIVO ANTI PO P/ FERTILIZANTES</t>
  </si>
  <si>
    <t>START ANTIDUSTING BLACK ADITIVO ANTI PO P/ FERTILIZANTES</t>
  </si>
  <si>
    <t>CAMACARI</t>
  </si>
  <si>
    <t>MOSAIC RONDONOPOLIS</t>
  </si>
  <si>
    <t>AURORA MINERAC?O LTDA</t>
  </si>
  <si>
    <t>SP</t>
  </si>
  <si>
    <t>START ANTIDUSTING KG AD ADITIVO ANTI PO P/ FERTILIZANTES</t>
  </si>
  <si>
    <t>IPEUNA</t>
  </si>
  <si>
    <t>MEGAMICRO BLACK ADITIVO P/ SUSPENS?O DE MICRONUTRIENTES</t>
  </si>
  <si>
    <t>ADITIVO MEGAMICRO</t>
  </si>
  <si>
    <t>MEGAMICRO ADITIVO P/ SUSPENS?O DE MICRONUTRIENTES</t>
  </si>
  <si>
    <t>MEGAMICRO PLUS ADITIVO P/ SUSPENS?O DE MICRONUTRIENTES</t>
  </si>
  <si>
    <t>SINOP</t>
  </si>
  <si>
    <t>NITROPROTEC GREEN - ADITIVO INIBIDOR DE UREASE P/ FERTILIZANTE NITROGENADO</t>
  </si>
  <si>
    <t>UREMAX</t>
  </si>
  <si>
    <t>CIUDAD DEL PLATA</t>
  </si>
  <si>
    <t>UREMAX COAT AZUL ADITIVO INIBIDOR DE UREASE P/ FERTILIZANTES</t>
  </si>
  <si>
    <t>UREMAX PLUS AZUL ADITIVO P/ INIBIR A NITRIFICACAO E VOLATIZACAO P/ FERTILIZANTES</t>
  </si>
  <si>
    <t>UREMAX COAT VERDE ADITIVO INIBIDOR DE UREASE P/ FERTILIZANTES</t>
  </si>
  <si>
    <t>UREMAX NBPT AZUL ADITIVO INIBIDOR DE UREASE P/ FERTILIZANTES</t>
  </si>
  <si>
    <t>UREMAX NBPT LARANJA ADITIVO INIBIDOR DE UREASE P/ FERTILIZANTES</t>
  </si>
  <si>
    <t>MS</t>
  </si>
  <si>
    <t>RIO BRILHANTE</t>
  </si>
  <si>
    <t>PA</t>
  </si>
  <si>
    <t>UREMAX NBPT AMARELO ADITIVO INIBIDOR DE UREASE P/ FERTILIZANTES</t>
  </si>
  <si>
    <t xml:space="preserve">BARCARENA </t>
  </si>
  <si>
    <t>CORUMBA</t>
  </si>
  <si>
    <t>HOYAGROS - BOLIVIA</t>
  </si>
  <si>
    <t>UREMAX COAT BLUE ADITIVO INIBIDOR DE UREASE P/ FERTILIZANTES</t>
  </si>
  <si>
    <t>EL ALTO, MURILLO</t>
  </si>
  <si>
    <t>NITROPROTEC DUO BLUE - ADITIVO P/ INIBIR A NITRIFICACAO E VOLATIZACAO PARA FERTILIZANTES</t>
  </si>
  <si>
    <t>BARRA DE CARRASCO</t>
  </si>
  <si>
    <t>UREMAX COAT GREEN ADITIVO INIBIDOR DE UREASE P/ FERTILIZANTES</t>
  </si>
  <si>
    <t>SANTA ROSA DE CABAL</t>
  </si>
  <si>
    <t>FERTILIZ. TOCANTINS - S?O LUIS</t>
  </si>
  <si>
    <t>UREMAX NBPT ROXO ADITIVO INIBIDOR DE UREASE P/ FERTILIZANTES</t>
  </si>
  <si>
    <t>CAMPOSOL - BOLIVIA</t>
  </si>
  <si>
    <t>COCHABAMBA</t>
  </si>
  <si>
    <t>PAICANDU</t>
  </si>
  <si>
    <t>SUPERFERTIL FERTILIZANTES - PATROCINIO</t>
  </si>
  <si>
    <t>PATROCINIO</t>
  </si>
  <si>
    <t>UREMAX COAT SC ADITIVO INIBIDOR DE UREASE P/ FERTILIZANTES</t>
  </si>
  <si>
    <t>DURAN</t>
  </si>
  <si>
    <t>GUAYAQUIL</t>
  </si>
  <si>
    <t>UREMAX NBPT VERDE ADITIVO INIBIDOR DE UREASE P/ FERTILIZANTES</t>
  </si>
  <si>
    <t>JUNDIAI</t>
  </si>
  <si>
    <t>CATANDUVA</t>
  </si>
  <si>
    <t>FERTIPLUS-AGRO  BOLIVIA</t>
  </si>
  <si>
    <t>COCHABAMBA (MIZQUE)</t>
  </si>
  <si>
    <t>PATOS DE MINAS</t>
  </si>
  <si>
    <t>PEDRO MACCIO Y CIA S.A. - URUGUAI</t>
  </si>
  <si>
    <t>MONTEVIDEO</t>
  </si>
  <si>
    <t>ANAPOLIS</t>
  </si>
  <si>
    <t>ES</t>
  </si>
  <si>
    <t>VIANA</t>
  </si>
  <si>
    <t>LOUIS DREYFUS - PARANAGUA</t>
  </si>
  <si>
    <t>MAX OIL GRGL ADITIVO ANTI-PO P/ FERTILIZANTES</t>
  </si>
  <si>
    <t>MAX OIL</t>
  </si>
  <si>
    <t>LUIS EDUARDO MAGALHAES</t>
  </si>
  <si>
    <t>MAX OIL MT IBC ADITIVO ANTI-PO P/ FERTILIZANTES</t>
  </si>
  <si>
    <t>REGISTRO</t>
  </si>
  <si>
    <t>HINOVE AGROCIENCIA - GUARA</t>
  </si>
  <si>
    <t>MAX OIL MT ADITIVO ANTI-PO P/ FERTILIZANTES</t>
  </si>
  <si>
    <t>GUARA</t>
  </si>
  <si>
    <t>MAX OIL GRV ADITIVO ANTI-PO P/ FERTILIZANTES</t>
  </si>
  <si>
    <t>SERRA DO SALITRE</t>
  </si>
  <si>
    <t>ARAXA</t>
  </si>
  <si>
    <t>MOSAIC - CATAL?O (CMC3)</t>
  </si>
  <si>
    <t>MAX OIL GRI ADITIVO ANTI-PO P/ FERTILIZANTES</t>
  </si>
  <si>
    <t>MAX OIL MTF ADITIVO ANTI-PO P/ FERTILIZANTES</t>
  </si>
  <si>
    <t>CANITAR</t>
  </si>
  <si>
    <t>TO</t>
  </si>
  <si>
    <t>ARRAIAS</t>
  </si>
  <si>
    <t>CARGILL - UBERLANDIA</t>
  </si>
  <si>
    <t>CICOAT 41175</t>
  </si>
  <si>
    <t>PA TERCEIROS</t>
  </si>
  <si>
    <t>RESIDEX YELLOW IBC ADITIVO ANTI PO P/ FERTILIZANTES</t>
  </si>
  <si>
    <t>RESIDEX</t>
  </si>
  <si>
    <t>CAMPEVO - S?O JOSE DO RIO PRETO</t>
  </si>
  <si>
    <t>BIOSINERGIC K - BB - 20L PRODUTO A BASE DE EXTRATO DE ALGAS E ACIDOS HUMICOS</t>
  </si>
  <si>
    <t>FERTILIZANTE LIQUIDOS</t>
  </si>
  <si>
    <t>SAO JOSE DO RIO PRETO</t>
  </si>
  <si>
    <t>SAGRA - SANTA JULIANA</t>
  </si>
  <si>
    <t>BIOSINERGIC - BB - 20L PRODUTO A BASE DE EXTRATO DE ALGAS E ACIDOS HUMICOS</t>
  </si>
  <si>
    <t>SANTA JULIANA</t>
  </si>
  <si>
    <t xml:space="preserve">SULFORCE IBC - 700 L - SOLUC?O ALTAMENTE CONCENTRADA EM ENXOFRE (60%) </t>
  </si>
  <si>
    <t>SULFORCE - BB - 18 L SOLUC?O ALTAMENTE CONCENTRADA EM ENXOFRE (60%)</t>
  </si>
  <si>
    <t>SAO SEBASTIAO DO PARAISO</t>
  </si>
  <si>
    <t>ITAPETININGA</t>
  </si>
  <si>
    <t>JALES</t>
  </si>
  <si>
    <t>CAMPEVO - JAU</t>
  </si>
  <si>
    <t>JAU</t>
  </si>
  <si>
    <t>CRUZEIRO DA FORTALEZA</t>
  </si>
  <si>
    <t>R-COAT IBC ADITIVO ANTIEMBLOCANTE P/ FERTILIZANTES</t>
  </si>
  <si>
    <t>HIGROSCOPICIDADE</t>
  </si>
  <si>
    <t>BARRANQUILLA</t>
  </si>
  <si>
    <t>R-COAT ADITIVO ANTIEMBLOCANTE P/ FERTILIZANTES</t>
  </si>
  <si>
    <t>COAT BIO GR ADITIVO ANTI-PO P/ FERTILIZANTES</t>
  </si>
  <si>
    <t>COAT BIO</t>
  </si>
  <si>
    <t>PONTA GROSSA</t>
  </si>
  <si>
    <t>TERMAG - GUARUJA</t>
  </si>
  <si>
    <t>SUPERSELEN ADITIVO ANTI PO P/ FERTILIZANTES</t>
  </si>
  <si>
    <t>SUPERSELEN</t>
  </si>
  <si>
    <t>GUARUJA</t>
  </si>
  <si>
    <t>SUPERSELEN IBC ADITIVO ANTI PO P/ FERTILIZANTES</t>
  </si>
  <si>
    <t>COMODORO</t>
  </si>
  <si>
    <t>MARUIM</t>
  </si>
  <si>
    <t>02/2026</t>
  </si>
  <si>
    <t>DUSTPROTEC BLACK PLUS IBC ADITIVO ANTI PO P/ FERTILIZANTES</t>
  </si>
  <si>
    <t>ASSUNCION</t>
  </si>
  <si>
    <t>SOLINAG CIA.LTDA - EQUADOR</t>
  </si>
  <si>
    <t>CUENCA</t>
  </si>
  <si>
    <t>ITUMBIARA</t>
  </si>
  <si>
    <t>MOSAIC - CATAL?O</t>
  </si>
  <si>
    <t>MOSAIC - CUBAT?O</t>
  </si>
  <si>
    <t>CUBATAO</t>
  </si>
  <si>
    <t>MANDAGUARI</t>
  </si>
  <si>
    <t>GOIATUBA</t>
  </si>
  <si>
    <t>NITROPROTEC DUO YELLOW - ADITIVO P/ INIBIR A NITRIFICACAO E VOLATIZACAO PARA FERTILIZANTES</t>
  </si>
  <si>
    <t>PB</t>
  </si>
  <si>
    <t>UREMAX NBPT ADITIVO INIBIDOR DE UREASE P/ FERTILIZANTES</t>
  </si>
  <si>
    <t xml:space="preserve">BOA VISTA </t>
  </si>
  <si>
    <t>NITROPROTEC DUO PURPLE - ADITIVO P/ INIBIR A NITRIFICACAO E VOLATIZACAO PARA FERTILIZANTES</t>
  </si>
  <si>
    <t>QUITO</t>
  </si>
  <si>
    <t>NITROPROTEC PURPLE - ADITIVO INIBIDOR DE UREASE P/ FERTILIZANTE NITROGENADO</t>
  </si>
  <si>
    <t xml:space="preserve">ALMIRANTE TAMANDARE </t>
  </si>
  <si>
    <t>ARAUCARIA</t>
  </si>
  <si>
    <t>LARANJEIRAS</t>
  </si>
  <si>
    <t>NITROPROTEC ORANGE - ADITIVO INIBIDOR DE UREASE P/ FERTILIZANTE NITROGENADO</t>
  </si>
  <si>
    <t>SAN PEDRO DE LOS MILAGROS</t>
  </si>
  <si>
    <t>SANTIAGO</t>
  </si>
  <si>
    <t>BOM JESUS</t>
  </si>
  <si>
    <t>NITROPROTEC BLUE - ADITIVO INIBIDOR DE UREASE P/ FERTILIZANTE NITROGENADO</t>
  </si>
  <si>
    <t>BUENOS AIRES</t>
  </si>
  <si>
    <t>FERTILIZE - GUARAMIRIM-SC</t>
  </si>
  <si>
    <t>GUARAMIRIM</t>
  </si>
  <si>
    <t>FERTINOR - MARUIM</t>
  </si>
  <si>
    <t>AL</t>
  </si>
  <si>
    <t>MACEIO</t>
  </si>
  <si>
    <t>DOURADOS</t>
  </si>
  <si>
    <t>PE</t>
  </si>
  <si>
    <t>RECIFE</t>
  </si>
  <si>
    <t>PHYTOHUMUS BIO IBC PRODUTO A BASE DE EXTRATO DE ALGAS E ACIDOS HUMICOS</t>
  </si>
  <si>
    <t>PHYTOHUMUS</t>
  </si>
  <si>
    <t>RESIDEX GREEN ADITIVO ANTI PO P/ FERTILIZANTES</t>
  </si>
  <si>
    <t>RESIDEX 100 IBC ADITIVO ANTI PO P/ FERTILIZANTES</t>
  </si>
  <si>
    <t>RESIDEX BLUE IBC ADITIVO ANTI PO P/ FERTILIZANTES</t>
  </si>
  <si>
    <t>TAKI AGRO - TRES CORAC?ES</t>
  </si>
  <si>
    <t>BIOSINERGIC N - BB - 5L PRODUTO A BASE DE EXTRATO DE ALGAS E ACIDOS HUMICOS</t>
  </si>
  <si>
    <t>TRES CORACOES</t>
  </si>
  <si>
    <t>TRES PONTAS</t>
  </si>
  <si>
    <t>VARGINHA</t>
  </si>
  <si>
    <t xml:space="preserve">ALFENAS </t>
  </si>
  <si>
    <t>SAGRA - BAMBUI</t>
  </si>
  <si>
    <t xml:space="preserve">BAMBUI </t>
  </si>
  <si>
    <t>COATMAX BMZ 366 - MICRONUTRIENTE LIQUIDO</t>
  </si>
  <si>
    <t>COAT MAX</t>
  </si>
  <si>
    <t>COATMAX BMZ 3313 - MICRONUTRIENTE LIQUIDO</t>
  </si>
  <si>
    <t>RO</t>
  </si>
  <si>
    <t>PORTO VELHO</t>
  </si>
  <si>
    <t>03/2026</t>
  </si>
  <si>
    <t>AGROBROKERS - COLOMBIA</t>
  </si>
  <si>
    <t>SANTA MARTA</t>
  </si>
  <si>
    <t>SETE LAGOAS</t>
  </si>
  <si>
    <t>VARGEM GRANDE DO SUL</t>
  </si>
  <si>
    <t>TEPEYAC - MEXICO</t>
  </si>
  <si>
    <t>OBREGON - MEXICO</t>
  </si>
  <si>
    <t>VILLETA</t>
  </si>
  <si>
    <t>RIO BRANCO DO SUL</t>
  </si>
  <si>
    <t>PHYTOHUMUS BIO PRODUTO A BASE DE EXTRATO DE ALGAS E ACIDOS HUMICOS</t>
  </si>
  <si>
    <t>04/2026</t>
  </si>
  <si>
    <t>MOSAIC - S?O LUIS</t>
  </si>
  <si>
    <t>DUSTPROTEC BLACK IBC ADITIVO ANTI-PO P/ FERTILIZANTES GRANULADOS</t>
  </si>
  <si>
    <t>SAN FERNANDO</t>
  </si>
  <si>
    <t>MOSAIC - S?O FRANCISCO SUL</t>
  </si>
  <si>
    <t>PIURA</t>
  </si>
  <si>
    <t>CIBRA - S?O FRANCISCO DO SUL</t>
  </si>
  <si>
    <t>S?O FRANCISCO DO SUL</t>
  </si>
  <si>
    <t>FERTIPAR SINOP</t>
  </si>
  <si>
    <t>LA PAMPA</t>
  </si>
  <si>
    <t>DREYFUS SUICA</t>
  </si>
  <si>
    <t>NITROPROTEC DUO BLUE/L - ADITIVO INIBIDOR DE UREASE P/ FERTILIZANTE NITROGENADO</t>
  </si>
  <si>
    <t>GENEBRA</t>
  </si>
  <si>
    <t>PAINS</t>
  </si>
  <si>
    <t>05/2026</t>
  </si>
  <si>
    <t>START ANTIDUSTING RED ADITIVO ANTI PO P/ FERTILIZANTES</t>
  </si>
  <si>
    <t>START ANTIDUSTING EURO SC ADITIVO ANTI PO P/ FERTILIZANTES</t>
  </si>
  <si>
    <t>ADUBOS ARAGUAIA - GUARANT? DO NORTE</t>
  </si>
  <si>
    <t>GUARANT? DO NORTE</t>
  </si>
  <si>
    <t>BATATAIS</t>
  </si>
  <si>
    <t>DUSTPROTEC SC - ADITIVO ANTI-PO P/ FERTILIZANTES GRANULADOS</t>
  </si>
  <si>
    <t xml:space="preserve">HERNANDARIAS </t>
  </si>
  <si>
    <t>IMEX SUL INSUMOS - RIO GRANDE</t>
  </si>
  <si>
    <t>ENCARNACION</t>
  </si>
  <si>
    <t>MAX OIL M-NPK ADITIVO ANTI-PO P/ FERTILIZANTES</t>
  </si>
  <si>
    <t>COATMAX BMZC 3663 - MICRONUTRIENTE LIQUIDO</t>
  </si>
  <si>
    <t>DUOBIND ADITIVO ANTI PO P/ FERTILIZANTES</t>
  </si>
  <si>
    <t>MENDOZA</t>
  </si>
  <si>
    <t>06/2026</t>
  </si>
  <si>
    <t>CIUDAD DEL ESTE</t>
  </si>
  <si>
    <t>NITROPROTEC YELLOW - ADITIVO INIBIDOR DE UREASE P/ FERTILIZANTE NITROGENADO</t>
  </si>
  <si>
    <t>UREMAX COAT YELLOW ADITIVO INIBIDOR DE UREASE P/ FERTILIZANTES</t>
  </si>
  <si>
    <t>SANTA CRUZ DE LA SIERRA</t>
  </si>
  <si>
    <t>NITROPROTEC GREEN/L - ADITIVO INIBIDOR DE UREASE P/ FERTILIZANTE NITROGENADO</t>
  </si>
  <si>
    <t>FOSPAR - PARANAGUA</t>
  </si>
  <si>
    <t>MAX OIL GRMO ADITIVO ANTI-PO P/ FERTILIZANTES</t>
  </si>
  <si>
    <t>PELOTAS</t>
  </si>
  <si>
    <t>PASAJE - EL ORO</t>
  </si>
  <si>
    <t>07/2026</t>
  </si>
  <si>
    <t>N?O CLIENTE - ADUBOS REAL - POUSO ALEGRE</t>
  </si>
  <si>
    <t>POUSO ALEGRE</t>
  </si>
  <si>
    <t>HIDROVIAS DO BRASIL ADMINISTRACAO PORTUA</t>
  </si>
  <si>
    <t>SANTOS</t>
  </si>
  <si>
    <t>FRIBON FERTILIZANTES - BARCARENA</t>
  </si>
  <si>
    <t>SANTA BARBARA DO SUL</t>
  </si>
  <si>
    <t>MOSAIC - PALMEIRANTE</t>
  </si>
  <si>
    <t>PALMEIRANTE</t>
  </si>
  <si>
    <t>FERTALVO FERTILIZANTES - RONDONOPOLIS</t>
  </si>
  <si>
    <t>COLOMBO</t>
  </si>
  <si>
    <t>COATMAX BMZC 3662 IBC - MICRONUTRIENTE LIQUIDO</t>
  </si>
  <si>
    <t>CAMPO RICO - SANTAREM</t>
  </si>
  <si>
    <t>SANTAREM</t>
  </si>
  <si>
    <t>08/2026</t>
  </si>
  <si>
    <t>SANTIAGO DE SURCO</t>
  </si>
  <si>
    <t>CARMEN DEL PARANA</t>
  </si>
  <si>
    <t>NOVA MUTUM</t>
  </si>
  <si>
    <t>09/2026</t>
  </si>
  <si>
    <t>COROMANDEL</t>
  </si>
  <si>
    <t>EMPRESA BRASILEIRA DE TEL S/A</t>
  </si>
  <si>
    <t>BELO HORIZONTE</t>
  </si>
  <si>
    <t>DUSTPRO - ADITIVO ANTI PO P/ FERTILIZANTES</t>
  </si>
  <si>
    <t>ADUBOS RIFERTIL - RIO VERDE</t>
  </si>
  <si>
    <t>TERRA NOVA DO NORTE</t>
  </si>
  <si>
    <t>BIOSINERGIC - IBC  PRODUTO A BASE DE EXTRATO DE ALGAS E ACIDOS HUMICOS</t>
  </si>
  <si>
    <t>10/2026</t>
  </si>
  <si>
    <t>FERTIPAR - ARCEBURGO</t>
  </si>
  <si>
    <t>ARCEBURGO</t>
  </si>
  <si>
    <t>ADUBOS SUDOESTE - PARANAGUA</t>
  </si>
  <si>
    <t>BIOSINERGIC N - BB - 20L PRODUTO A BASE DE EXTRATO DE ALGAS E ACIDOS HUMICOS</t>
  </si>
  <si>
    <t>11/2026</t>
  </si>
  <si>
    <t>GEES FERTILIZANTES - S?O LUIS</t>
  </si>
  <si>
    <t>SERTAOZINHO</t>
  </si>
  <si>
    <t>GEES FERTILIZANTES - URUCUI</t>
  </si>
  <si>
    <t>PI</t>
  </si>
  <si>
    <t>URUCUI</t>
  </si>
  <si>
    <t xml:space="preserve">BALSAS </t>
  </si>
  <si>
    <t>EXTERIOR</t>
  </si>
  <si>
    <t>12/2026</t>
  </si>
  <si>
    <t>Buget</t>
  </si>
  <si>
    <t xml:space="preserve">Matriz </t>
  </si>
  <si>
    <t>Cód. Cidade</t>
  </si>
  <si>
    <t>Nome (Cidade do Trabalho)</t>
  </si>
  <si>
    <t>Data nascimento/Fundação</t>
  </si>
  <si>
    <t>BU do Cliente</t>
  </si>
  <si>
    <t>Cliente</t>
  </si>
  <si>
    <t>Nome Parceiro (Matriz)</t>
  </si>
  <si>
    <t>Classificação ICMS</t>
  </si>
  <si>
    <t>CEP</t>
  </si>
  <si>
    <t>Razão social</t>
  </si>
  <si>
    <t>Tipo de pessoa</t>
  </si>
  <si>
    <t>Matriz</t>
  </si>
  <si>
    <t>Vend. Preferencial</t>
  </si>
  <si>
    <t>CNPJ / CPF</t>
  </si>
  <si>
    <t>Insc. Estadual / Identidade</t>
  </si>
  <si>
    <t>Seleção</t>
  </si>
  <si>
    <t>Descrição (abaSugestaoSaida)</t>
  </si>
  <si>
    <t>Cód. Usuário Alteração</t>
  </si>
  <si>
    <t>Nacionalidade do parceiro</t>
  </si>
  <si>
    <t>Nome (Usuário)</t>
  </si>
  <si>
    <t>Usuario de Criação</t>
  </si>
  <si>
    <t>Descrição (País Nacionalidade)</t>
  </si>
  <si>
    <t>Nome (Cidade)</t>
  </si>
  <si>
    <t>Usuário</t>
  </si>
  <si>
    <t>Região</t>
  </si>
  <si>
    <t>Endereço</t>
  </si>
  <si>
    <t>Nome (Endereço)</t>
  </si>
  <si>
    <t>Bairro</t>
  </si>
  <si>
    <t>Nome (Bairro)</t>
  </si>
  <si>
    <t>Número</t>
  </si>
  <si>
    <t>Telefone</t>
  </si>
  <si>
    <t>DARCI SANTO D. BELLO</t>
  </si>
  <si>
    <t>Física</t>
  </si>
  <si>
    <t>M</t>
  </si>
  <si>
    <t>SUP</t>
  </si>
  <si>
    <t>&lt;SEM ENDERECO&gt;</t>
  </si>
  <si>
    <t>&lt; SEM  BAIRRO &gt;</t>
  </si>
  <si>
    <t>JOÃO MIZAEL DOS REIS</t>
  </si>
  <si>
    <t>JOÃO VALDIR PACHECO</t>
  </si>
  <si>
    <t>NÃO CLIENTE - CELEIRO - BRASÍLIA</t>
  </si>
  <si>
    <t>Consumidor Final Não Contribuinte</t>
  </si>
  <si>
    <t>Jurídica</t>
  </si>
  <si>
    <t>FRANCIELLY</t>
  </si>
  <si>
    <t>BRASÍLIA</t>
  </si>
  <si>
    <t>NÃO CLIENTE - ADUBOS BOA SAFRA - ROSÁRIO</t>
  </si>
  <si>
    <t>Revendedor</t>
  </si>
  <si>
    <t>INPUTS BROKERS GROUP SAS</t>
  </si>
  <si>
    <t>PEDRO-H</t>
  </si>
  <si>
    <t>EDUARDA</t>
  </si>
  <si>
    <t>KM 5 PUNTO 5 VIA ALTERNA AL PUERTO BG UNO A PAR IND.</t>
  </si>
  <si>
    <t>PARQUE INDUSTRIAL PUERTO DEL SOL</t>
  </si>
  <si>
    <t>15A-25</t>
  </si>
  <si>
    <t>NÃO CLIENTE - AGROPANTALEÃO - LARANJEIRA</t>
  </si>
  <si>
    <t>ZVINICIUS</t>
  </si>
  <si>
    <t>WEMERSON DOS SANTOS OLIVEIRA</t>
  </si>
  <si>
    <t>38412408</t>
  </si>
  <si>
    <t>F</t>
  </si>
  <si>
    <t>ZCRISTIANE</t>
  </si>
  <si>
    <t>CRETA</t>
  </si>
  <si>
    <t>CANAÃ</t>
  </si>
  <si>
    <t>533</t>
  </si>
  <si>
    <t>NAO UTILIZAR - CADASTRO DUPLICADO</t>
  </si>
  <si>
    <t>38400608</t>
  </si>
  <si>
    <t>MICHEL</t>
  </si>
  <si>
    <t>LUIZ.LEMES</t>
  </si>
  <si>
    <t>RUA CRUZEIRO DOS PEIXOTOS</t>
  </si>
  <si>
    <t>NOSSA SENHORA APAREC</t>
  </si>
  <si>
    <t>499</t>
  </si>
  <si>
    <t>NAO UTILIZAR - CADASTRO DUPLICADO 024</t>
  </si>
  <si>
    <t>38402228</t>
  </si>
  <si>
    <t>0010548360014</t>
  </si>
  <si>
    <t>T</t>
  </si>
  <si>
    <t>COMENDADOR ALEXANDRINO GARCIA</t>
  </si>
  <si>
    <t>MARTA HELENA</t>
  </si>
  <si>
    <t>1139</t>
  </si>
  <si>
    <t>(034) 3212-3138</t>
  </si>
  <si>
    <t>ADFERT ADITIVOS INDUSTRIA E COMERCIO LTD</t>
  </si>
  <si>
    <t>38402333</t>
  </si>
  <si>
    <t>ADFERT ADITIVOS - FILIAL 2</t>
  </si>
  <si>
    <t>ADFERT ADITIVOS INDÚSTRIA E COMÉRCIO LTD</t>
  </si>
  <si>
    <t>0013685200283</t>
  </si>
  <si>
    <t>HONORIO</t>
  </si>
  <si>
    <t>AIRTON BORGES DA SILVA</t>
  </si>
  <si>
    <t>DISTRITO INDUSTRIAL</t>
  </si>
  <si>
    <t>501</t>
  </si>
  <si>
    <t>(034) 3222-2104</t>
  </si>
  <si>
    <t>Produtor Rural</t>
  </si>
  <si>
    <t>38760000</t>
  </si>
  <si>
    <t>FERNANDO BRUNO XAVIER</t>
  </si>
  <si>
    <t>0020550870172</t>
  </si>
  <si>
    <t>CATULES LUGAR DENOMINADO SANTA CRUZ</t>
  </si>
  <si>
    <t>ZONA RURAL.</t>
  </si>
  <si>
    <t>S/N</t>
  </si>
  <si>
    <t>(034) 9982-0663</t>
  </si>
  <si>
    <t>NEW AGRO</t>
  </si>
  <si>
    <t>38402349</t>
  </si>
  <si>
    <t>NEW AGRO INDUSTRIA E COMERCIO LTDA</t>
  </si>
  <si>
    <t>0035585230042</t>
  </si>
  <si>
    <t>ANTONIO THOMAZ FERREIRA REZENDE</t>
  </si>
  <si>
    <t>4239</t>
  </si>
  <si>
    <t>(055) 343222-0652</t>
  </si>
  <si>
    <t>FAZENDA ERMO</t>
  </si>
  <si>
    <t>38860000</t>
  </si>
  <si>
    <t>PEDRO AUGUSTO ALVES DA SILVA</t>
  </si>
  <si>
    <t>19.775.880.025</t>
  </si>
  <si>
    <t>ZIRON</t>
  </si>
  <si>
    <t>ARAPUA</t>
  </si>
  <si>
    <t>ZONA RURAL</t>
  </si>
  <si>
    <t>(034) 99966-8583</t>
  </si>
  <si>
    <t>12605530</t>
  </si>
  <si>
    <t>VALGROUP BRASIL III INDUSTRIA DE EMBALAG</t>
  </si>
  <si>
    <t>VALGROUP- SP4 / LORENA – SP</t>
  </si>
  <si>
    <t>420.192.006.118</t>
  </si>
  <si>
    <t>CAIO</t>
  </si>
  <si>
    <t>LORENA</t>
  </si>
  <si>
    <t>PRESIDENTE DUTRA</t>
  </si>
  <si>
    <t>7400</t>
  </si>
  <si>
    <t>ACIR MARQUES</t>
  </si>
  <si>
    <t>ADAIR SILVA COSTA</t>
  </si>
  <si>
    <t>ADALBERTO FERNADES DE SOUZA</t>
  </si>
  <si>
    <t>ADALTO DOS SANTOS GUIMARÃES</t>
  </si>
  <si>
    <t>ADAUTO MOLINA CORTEZ JUNIOR</t>
  </si>
  <si>
    <t>ADELAR BOSCHEIDT</t>
  </si>
  <si>
    <t>ADEMAR SILVERIO TEXEIRA DE MOURA</t>
  </si>
  <si>
    <t>ADEMILSON APARECIDO DAMACENO</t>
  </si>
  <si>
    <t>ADEMILSON LINO PEIXOTO</t>
  </si>
  <si>
    <t>ADEMIR DOS SANTOS</t>
  </si>
  <si>
    <t>ADEMIR GONÇALVES</t>
  </si>
  <si>
    <t>ADEMIR PEREIRA DOS SANTOS</t>
  </si>
  <si>
    <t>ADERSON DE BRITO</t>
  </si>
  <si>
    <t>AGNALDO MELO DOS SANTOS</t>
  </si>
  <si>
    <t>AILTON EDUARDO DA COSTA</t>
  </si>
  <si>
    <t>AILTON JUVENCIO DA MOTA</t>
  </si>
  <si>
    <t>ALAOR CORREIA DA ROCHA</t>
  </si>
  <si>
    <t>ALBERTO CARLOS DE JESUS</t>
  </si>
  <si>
    <t>ALBERTO JOSE DA SILVA</t>
  </si>
  <si>
    <t>ALCEU LEODORO DO NASCIMENTO</t>
  </si>
  <si>
    <t>ALCILENE NOGUEIRA MORAIS</t>
  </si>
  <si>
    <t>ALESSANDRO BELINELLI DE OLIVEIRA</t>
  </si>
  <si>
    <t>ALEX FARIA ALVES</t>
  </si>
  <si>
    <t>ALEXANDRE CABRAL FERREIRA</t>
  </si>
  <si>
    <t>ALEXANDRE CESAR FRUTUOSO FIGUEREDO</t>
  </si>
  <si>
    <t>ALEXANDRE DE SOUZA</t>
  </si>
  <si>
    <t>ALEXANDRE SEGA</t>
  </si>
  <si>
    <t>ALEXSANDRO DE SOUZA</t>
  </si>
  <si>
    <t>ALEXSANDRO ROMERO DE AGUIAR</t>
  </si>
  <si>
    <t>ALFREDO COUGO VIDART</t>
  </si>
  <si>
    <t>ALTAIR AUGUSTO DA SILVA</t>
  </si>
  <si>
    <t>ALTAIR QUEIROZ DORNELES</t>
  </si>
  <si>
    <t>ALVARO LUIZ DA FONSECA</t>
  </si>
  <si>
    <t>ALVINO ADRIANO DE SOUSA MORAIS</t>
  </si>
  <si>
    <t>ALYSSON FABIANO COSTA</t>
  </si>
  <si>
    <t>AMADIR ALVIMAR TAVARES</t>
  </si>
  <si>
    <t>AMAURI FIGUEIREDO DO CARMO</t>
  </si>
  <si>
    <t>ANASIO GOMES DA SILVA</t>
  </si>
  <si>
    <t>ANDERSON FERREIRA LGENPERG</t>
  </si>
  <si>
    <t>ANDERSON SOLA CORREIA</t>
  </si>
  <si>
    <t>ANDRE BROCK DOS SANTOS</t>
  </si>
  <si>
    <t>ANDRE DA SILVA OLIVEIRA</t>
  </si>
  <si>
    <t>ANDRE LUIZ DA SILVA VIEIRA</t>
  </si>
  <si>
    <t>ANISIO BATISTA</t>
  </si>
  <si>
    <t>&lt;SEM DESCRICAO&gt;</t>
  </si>
  <si>
    <t>ANISIO JOSE DA SILVA</t>
  </si>
  <si>
    <t>&lt;SEM TIPO DE VENDA&gt;</t>
  </si>
  <si>
    <t>WILLIAM.REIS</t>
  </si>
  <si>
    <t>&lt;SEM PAIS&gt;</t>
  </si>
  <si>
    <t>(034) 99100-5777</t>
  </si>
  <si>
    <t>ANTONIO AGOSTINHO</t>
  </si>
  <si>
    <t>ANTONIO BATISTA SILVA DE SOUSA</t>
  </si>
  <si>
    <t>ANTONIO BAZANELLA DA SILVA</t>
  </si>
  <si>
    <t>ANTONIO CANDIDO DE SÁ</t>
  </si>
  <si>
    <t>ANTONIO CARLOS BERNARDES</t>
  </si>
  <si>
    <t>ANTONIO CARLOS MELLON</t>
  </si>
  <si>
    <t>ANTONIO CARLOS RIBEIRO</t>
  </si>
  <si>
    <t>ANTONIO DOMENES SARTORATO</t>
  </si>
  <si>
    <t>ANTONIO FRANCISCO GABRIEL</t>
  </si>
  <si>
    <t>ANTONIO JOSE SILVERIO</t>
  </si>
  <si>
    <t>ANTONIO MARCOS ALVES DIAS</t>
  </si>
  <si>
    <t>ANTONIO RUBENS VIVAN</t>
  </si>
  <si>
    <t>APARECIDO ANTONIO PINTO</t>
  </si>
  <si>
    <t>APARECIDO BATISTA</t>
  </si>
  <si>
    <t>APARECIDO DONIZETI ALVES CUNHA</t>
  </si>
  <si>
    <t>APARECIDO GERALDO ARAGÃO</t>
  </si>
  <si>
    <t>APARECIDO LOPES</t>
  </si>
  <si>
    <t>APARECIDO NEVES</t>
  </si>
  <si>
    <t>ANDREASS</t>
  </si>
  <si>
    <t>(018) 99697-4471</t>
  </si>
  <si>
    <t>ARARI UBIRATA RODRIGUES</t>
  </si>
  <si>
    <t>ARGEMIRO INOCENCIO BARBOSA DE OLIVEIRA</t>
  </si>
  <si>
    <t>ARIVALDO GONÇALVES DA MOTA</t>
  </si>
  <si>
    <t>ARY LINEU STELLE</t>
  </si>
  <si>
    <t>BARNABE PEREIRA DE SIQUEIRA</t>
  </si>
  <si>
    <t>BRUNO ALBERTO DE SOUZA ALVES</t>
  </si>
  <si>
    <t>BRUNO ANDRADE GONÇALVES</t>
  </si>
  <si>
    <t>CABRAL FERREIRA</t>
  </si>
  <si>
    <t>CALSIMAR JOSE CARNEIRO</t>
  </si>
  <si>
    <t>CARIVALDO CARDOSO DOS REIS</t>
  </si>
  <si>
    <t>CARLITO SOUZA CASTRO</t>
  </si>
  <si>
    <t>CARLOS ALBERTO CALLERANI</t>
  </si>
  <si>
    <t>CARLOS ANTONIO SORGI</t>
  </si>
  <si>
    <t>CARLOS CESAR RODRIGUES</t>
  </si>
  <si>
    <t>CARLOS HERINQUE RODRIGUES DOS SANTOS</t>
  </si>
  <si>
    <t>CARLOS JOSE GABRIEL DA SILVA</t>
  </si>
  <si>
    <t>CARLOS MAGNO DE JESUS</t>
  </si>
  <si>
    <t>CARLOS NAGIS DE AGUIAR MADEIRA</t>
  </si>
  <si>
    <t>CARLOS TAGLIAVINI</t>
  </si>
  <si>
    <t>CELIO EDINOR DE OLIVEIRA</t>
  </si>
  <si>
    <t>CELMO DA SILVA VIEIRA</t>
  </si>
  <si>
    <t>CELSO JOSE PERGHER</t>
  </si>
  <si>
    <t>CELSO VILMAR GONÇALVEIS DOS REIS</t>
  </si>
  <si>
    <t>CESAR SALES DE MELO</t>
  </si>
  <si>
    <t>CEZAR SANTANA</t>
  </si>
  <si>
    <t>CICERO DE SOUZA</t>
  </si>
  <si>
    <t>CICERO PEREIRA DA SILVA</t>
  </si>
  <si>
    <t>CLAITON SANTOS FERREIRA</t>
  </si>
  <si>
    <t>CLAUDINEI AUGUSTO DIAS</t>
  </si>
  <si>
    <t>CLAUDINEI MOLINA DE OLIVEIRA</t>
  </si>
  <si>
    <t>CLAUDIO CANTIZANO</t>
  </si>
  <si>
    <t>CLAUDIO CESAR MARTINS</t>
  </si>
  <si>
    <t>CLAUDIO IVAIR TOLENTINO</t>
  </si>
  <si>
    <t>CLAYTON JUNIO DOS SANTOS VIEIRA</t>
  </si>
  <si>
    <t>CLEBER RUBENS DA SILVA</t>
  </si>
  <si>
    <t>CLECIO HENRIQUE VIQUIABO</t>
  </si>
  <si>
    <t>CLEIDMAR VIDAL DA SILVA</t>
  </si>
  <si>
    <t>CLENISON MORAIS DO NASCIMENTO</t>
  </si>
  <si>
    <t>CLEONE PEREIRA DA SILVA</t>
  </si>
  <si>
    <t>CLEYSON ASSIS DE CASTRO</t>
  </si>
  <si>
    <t>CLODOALDO CRISTINO DE BARCELOS</t>
  </si>
  <si>
    <t>CLOVENILDO PINTO FERREIRA</t>
  </si>
  <si>
    <t>CLOVIS CANDIDO DO  RIBEIRO</t>
  </si>
  <si>
    <t>CLOVIS DANIEL ROSA DA SILVA</t>
  </si>
  <si>
    <t>CRISTIAN FABIO FAGUNDES</t>
  </si>
  <si>
    <t>CRISTIANO DOS SANTOS</t>
  </si>
  <si>
    <t>CRISTIANO LUCIO FRANCISCO</t>
  </si>
  <si>
    <t>CRISTIANO PEREIRA DA COSTA</t>
  </si>
  <si>
    <t>CRISTIANO SOUZA DE LIMA</t>
  </si>
  <si>
    <t>CRISTOVÃO SOUZA DE MENDONÇA</t>
  </si>
  <si>
    <t>DAMIÃO JALES DE ARAUJO</t>
  </si>
  <si>
    <t>DANIEL CARRIJO DE ALENCAR</t>
  </si>
  <si>
    <t>DANIEL DE OIVEIRA GONDIM</t>
  </si>
  <si>
    <t>DAVES WILLIAN FERRAZ DE ABREU</t>
  </si>
  <si>
    <t>DERLIVAN DA SILVA PINTO</t>
  </si>
  <si>
    <t>DIOGO HAEIN</t>
  </si>
  <si>
    <t>DIOGO SAMPAIO DA SILVA</t>
  </si>
  <si>
    <t>DIONATAN BARBOSA DA SILVA</t>
  </si>
  <si>
    <t>DIVINO BRAZ DA LUZ</t>
  </si>
  <si>
    <t>DOMINGOS BRAZ CREPALDI</t>
  </si>
  <si>
    <t>DOMINGOS DONISETE DIAS</t>
  </si>
  <si>
    <t>DORIEDSON STRING</t>
  </si>
  <si>
    <t>EDCLEI JOSE DA SILVA</t>
  </si>
  <si>
    <t>EDELTON ANTONIO COMINTO</t>
  </si>
  <si>
    <t>EDER EIFLER DOS SANTOS</t>
  </si>
  <si>
    <t>EDERALDO GONÇALO DA SILVA</t>
  </si>
  <si>
    <t>EDEVALDO APARCIDO DOS SANTOS</t>
  </si>
  <si>
    <t>EDILSON CELESTINO DE ANDRADE</t>
  </si>
  <si>
    <t>EDILSON DO ROSARIO</t>
  </si>
  <si>
    <t>EDIMAR RUBIN LEME</t>
  </si>
  <si>
    <t>EDINALDO LECZYNSKI</t>
  </si>
  <si>
    <t>EDIVAR FARIA FIGUEIRA</t>
  </si>
  <si>
    <t>EDIVINO CEZARANI</t>
  </si>
  <si>
    <t>EDMAR NUNES DA SILVA</t>
  </si>
  <si>
    <t>EDMILSON CARLOS DA SILVA</t>
  </si>
  <si>
    <t>EDMILSON FERREIRA DA SILVA</t>
  </si>
  <si>
    <t>EDNALDO DE OLIVEIRA ARAUJO</t>
  </si>
  <si>
    <t>EDNEI HORT</t>
  </si>
  <si>
    <t>EDSON DE ALMEIDA</t>
  </si>
  <si>
    <t>EDSON ELIESER DE SOUSA</t>
  </si>
  <si>
    <t>EDSON GARCIA</t>
  </si>
  <si>
    <t>EDUARDO ALVES DE OLIVEIRA</t>
  </si>
  <si>
    <t>EDUARDO CARRIJO DE ALENCAR</t>
  </si>
  <si>
    <t>EDUARDO FELIPE DO AMARAL</t>
  </si>
  <si>
    <t>EDUARDO FERNANDES BORGES</t>
  </si>
  <si>
    <t>EDUARDO RIBEIRO DA SILVA</t>
  </si>
  <si>
    <t>EDUARDO ROSALIM</t>
  </si>
  <si>
    <t>EDUARDO STORK TEIXEIRA</t>
  </si>
  <si>
    <t>EDUEDISON BATISTEL</t>
  </si>
  <si>
    <t>EDVALDO ALVES FERREIRA</t>
  </si>
  <si>
    <t>ELCIMAR ALVES DA SILVA</t>
  </si>
  <si>
    <t>ELENIL JOSE DE SOUZA</t>
  </si>
  <si>
    <t>ELI DA SILVA</t>
  </si>
  <si>
    <t>ELI JOSE PINTO</t>
  </si>
  <si>
    <t>ELIAS MARTINS DE OLIVEIRA</t>
  </si>
  <si>
    <t>ELIAS RAFAEL SANTO RIBEIRO</t>
  </si>
  <si>
    <t>ELIEL FERREIRA DA SILVA</t>
  </si>
  <si>
    <t>ELIO MACHADO DE ARAUJO</t>
  </si>
  <si>
    <t>ELIZEU DA COSTA FARIAS</t>
  </si>
  <si>
    <t>ELSIO DO ATISSIMO</t>
  </si>
  <si>
    <t>ELSON ALVES DE OLIVEIRA</t>
  </si>
  <si>
    <t>ELTON FONTANA GUERREIRO</t>
  </si>
  <si>
    <t>ELZIO MANOEL</t>
  </si>
  <si>
    <t>EMERSON EURIPEDES SILVA</t>
  </si>
  <si>
    <t>EMERSON KUSTER CAMARGO</t>
  </si>
  <si>
    <t>ENOMAR WUTZKE</t>
  </si>
  <si>
    <t>ERLI JOSE DOS SANTOS</t>
  </si>
  <si>
    <t>ESTEVAM SALGADO REIS</t>
  </si>
  <si>
    <t>ESTEVAN SALGADO REIS</t>
  </si>
  <si>
    <t>EUNISIO DE SOUZA</t>
  </si>
  <si>
    <t>EURIPEDES BARSANULFO ELIAS</t>
  </si>
  <si>
    <t>EURIPEDES LUIZ DE BRITO</t>
  </si>
  <si>
    <t>EUSTAQUIO DO AMARAL</t>
  </si>
  <si>
    <t>EVALDO SILVA OLIVEIRA</t>
  </si>
  <si>
    <t>EVERALDO TEIXEIRA MAGNUS</t>
  </si>
  <si>
    <t>EVERTON UESLEY DO COUTO</t>
  </si>
  <si>
    <t>FABIANO BARBOSA GODINHO</t>
  </si>
  <si>
    <t>FABIANO CARLOS SILVEIRA</t>
  </si>
  <si>
    <t>FABIANO SCHMIDT DE SOUZA NUNES</t>
  </si>
  <si>
    <t>FABIO APARECIDO ANDRADE BARBOSA</t>
  </si>
  <si>
    <t>FABIO DO CARMO JUNIOR</t>
  </si>
  <si>
    <t>FABIO GALISKI</t>
  </si>
  <si>
    <t>FABIO JUNIO DE JESUS</t>
  </si>
  <si>
    <t>FABIO RIBEIRO DE FARIA</t>
  </si>
  <si>
    <t>FABIO SENETRA CESARE</t>
  </si>
  <si>
    <t>FABRICIO BELLA</t>
  </si>
  <si>
    <t>FERNANDO  JOSE DE CARVALHO</t>
  </si>
  <si>
    <t>FERNANDO CARLOS DA SILVA</t>
  </si>
  <si>
    <t>FERNANDO DA SILVA</t>
  </si>
  <si>
    <t>FERNANDO SOARES</t>
  </si>
  <si>
    <t>FLADERSON TERLECKI DOS SANTOS</t>
  </si>
  <si>
    <t>FLAVIO JOSE DA SILVA</t>
  </si>
  <si>
    <t>FLAVIO MARTINELE HAIALA MORAES</t>
  </si>
  <si>
    <t>FLAVIO PERREIRA CINTRA</t>
  </si>
  <si>
    <t>FLAVIO ROBERTO MOREIRA</t>
  </si>
  <si>
    <t>FRANCIELTON</t>
  </si>
  <si>
    <t>FRANCISCO FILHO NETO</t>
  </si>
  <si>
    <t>FRANCISCO HONORIO SEGALA</t>
  </si>
  <si>
    <t>FRANCISCO LOPES DE SOUSA</t>
  </si>
  <si>
    <t>FRANCISCO MAURILIO SILVA</t>
  </si>
  <si>
    <t>FRANCISMAR BATISTA DE OLIVEIRA</t>
  </si>
  <si>
    <t>FRANCO NEI MELGES</t>
  </si>
  <si>
    <t>FREDERICO BRANCO MONSORES</t>
  </si>
  <si>
    <t>FREDOLINO CONSTANCIO DA SILVA</t>
  </si>
  <si>
    <t>GABRIEL MARQUES DUARTE</t>
  </si>
  <si>
    <t>GABRIEL MARQUEZ DUARDTE</t>
  </si>
  <si>
    <t>GEAN BATISTA DE SOUZA</t>
  </si>
  <si>
    <t>GEDEONIL</t>
  </si>
  <si>
    <t>GELSOM LUIZ ELEUTRRIO</t>
  </si>
  <si>
    <t>GENES LOPES PEREIRA</t>
  </si>
  <si>
    <t>GENOÉ</t>
  </si>
  <si>
    <t>GENTIL CANDIDO DA SILVA</t>
  </si>
  <si>
    <t>GEORGE LUIZ ARTERO</t>
  </si>
  <si>
    <t>GERALDO BALEEIRO JUNIOR</t>
  </si>
  <si>
    <t>GERALDO FLEURY</t>
  </si>
  <si>
    <t>GERALDO MARCOS DE SOUZA</t>
  </si>
  <si>
    <t>GERALDO PARAGUASSU</t>
  </si>
  <si>
    <t>GERALDO RECH</t>
  </si>
  <si>
    <t>GERSON MIATELO</t>
  </si>
  <si>
    <t>GERSON SANTOS DA CRUZ</t>
  </si>
  <si>
    <t>GERSON SANTOS DE CRUZ</t>
  </si>
  <si>
    <t>GILBERTO JOÃO GALINARO</t>
  </si>
  <si>
    <t>GILMAR ALVES DA SILVA</t>
  </si>
  <si>
    <t>GILMAR BEZERRA</t>
  </si>
  <si>
    <t>GILMAR DA SILVA VAROLLO</t>
  </si>
  <si>
    <t>GILMAR ILARIO BARBOSA</t>
  </si>
  <si>
    <t>GILVAN DIAS DA SILVA</t>
  </si>
  <si>
    <t>GIOVANE LOPES DE ANDUJA</t>
  </si>
  <si>
    <t>GLAUCO DE OLIVEIRA</t>
  </si>
  <si>
    <t>GUILHERME GONÇALVES VIEIRA</t>
  </si>
  <si>
    <t>GUSTAVO DIAS DA MATA</t>
  </si>
  <si>
    <t>HELIO DE MORAES FIGUEIRA</t>
  </si>
  <si>
    <t>HELIO DE PAULA SANTIAGO</t>
  </si>
  <si>
    <t>HELIO GLAYTON DA SILVA</t>
  </si>
  <si>
    <t>HELIO LOPO</t>
  </si>
  <si>
    <t>HELIO TEODORO DIAS</t>
  </si>
  <si>
    <t>HENRIQUE BIGOLIN</t>
  </si>
  <si>
    <t>HENRIQUE MESTRIAL</t>
  </si>
  <si>
    <t>HENRRIQUE SOTERAS FERREIRA</t>
  </si>
  <si>
    <t>HIGOR ANTONIO DE SOUZA</t>
  </si>
  <si>
    <t>HILDECASIO FRANCISCO DA SILVA</t>
  </si>
  <si>
    <t>HILSON PEREIRA</t>
  </si>
  <si>
    <t>HILTON JORGE</t>
  </si>
  <si>
    <t>HUBERSON LEANDRO DOS SANTOS</t>
  </si>
  <si>
    <t>HUDSON JOSÉ DE SOUZA RODRIGUES</t>
  </si>
  <si>
    <t>HUGO ELIAS SANTOS COUTINHO</t>
  </si>
  <si>
    <t>HUGO MARQUES SILVA</t>
  </si>
  <si>
    <t>IGOR LEANDRO FONSECA</t>
  </si>
  <si>
    <t>ILDEU COELHO MOREIRA JUNIOR</t>
  </si>
  <si>
    <t>INDORAMA UZBEQUISTÃO</t>
  </si>
  <si>
    <t>INDORAMA KOKAND</t>
  </si>
  <si>
    <t>FILIPE</t>
  </si>
  <si>
    <t>KOKAND</t>
  </si>
  <si>
    <t>DAVRONBEK STREET</t>
  </si>
  <si>
    <t>87</t>
  </si>
  <si>
    <t>ISMAEL JOSE BARCELOS</t>
  </si>
  <si>
    <t>ITAMAR DORNELAS DE OLIVEIRA</t>
  </si>
  <si>
    <t>IVAIR APARECIDO TEOTONIO</t>
  </si>
  <si>
    <t>IVALDO NOE VIEIRA</t>
  </si>
  <si>
    <t>IVANILDO DOS SANTOS SILVA</t>
  </si>
  <si>
    <t>IVANILSON GALDINO DA SILVA</t>
  </si>
  <si>
    <t>IVO MOREIRA DE LIMA</t>
  </si>
  <si>
    <t>JAIME APARECIDO SOLER</t>
  </si>
  <si>
    <t>JAIME ERZINGER</t>
  </si>
  <si>
    <t>JAIME LUIS HARTWIG</t>
  </si>
  <si>
    <t>JAIR MARIO PEREIRA DE SOUZA</t>
  </si>
  <si>
    <t>JARBAS APARECIDO DUARTE ARAUJO</t>
  </si>
  <si>
    <t>JEAN CARLOS FERNANDES</t>
  </si>
  <si>
    <t>JEAN CARLOS FIRMINO</t>
  </si>
  <si>
    <t>JEAN CARLOS LAYNES</t>
  </si>
  <si>
    <t>JEAN DO CARMO COSTA ROSA</t>
  </si>
  <si>
    <t>JEAN MARCELO LOURENÇO</t>
  </si>
  <si>
    <t>JEFERSON FELIPE MARIA</t>
  </si>
  <si>
    <t>JEFFERSON RIBEIRO MOREIRA</t>
  </si>
  <si>
    <t>JEFTER DE PAULA</t>
  </si>
  <si>
    <t>JESSE ABRAAO SOARES DO NASCIMENTO</t>
  </si>
  <si>
    <t>JOAO BATISTA CARLOS DE OLIVEIRA</t>
  </si>
  <si>
    <t>JOÃO BATISTA DE NASCIMENTO BORGES</t>
  </si>
  <si>
    <t>JOÃO BATISTA RAMOS</t>
  </si>
  <si>
    <t>JOÃO BOSCO DA SILVA VIEIRA</t>
  </si>
  <si>
    <t>JOAO DEIVED FRANCISCO</t>
  </si>
  <si>
    <t>JOAO PIO DA SILVA</t>
  </si>
  <si>
    <t>JOAO TORRES NETO</t>
  </si>
  <si>
    <t>JOAQUIM DOS SANTOS</t>
  </si>
  <si>
    <t>JOAQUIM JOSE MONTEIRO</t>
  </si>
  <si>
    <t>JOEL ALEXADRE SIGNORELI</t>
  </si>
  <si>
    <t>JOEL DO AMARAL JORGE</t>
  </si>
  <si>
    <t>JOEL DOMINGOS</t>
  </si>
  <si>
    <t>JOHN KESTER CATALUNHA DA SILVA</t>
  </si>
  <si>
    <t>JORGE AUGUSTO ALBRECHT</t>
  </si>
  <si>
    <t>JORGE KANCLAROVICC</t>
  </si>
  <si>
    <t>JORGE LUIZ OLIVEIRA DE ABREU</t>
  </si>
  <si>
    <t>JORGE VALDIR BARBOSA DE OLIVEIRA</t>
  </si>
  <si>
    <t>JOSE ALCEU TELES</t>
  </si>
  <si>
    <t>JOSE ALFREDO PRADO DAL BELO</t>
  </si>
  <si>
    <t>JOSE ANTONIO EUGENIO DE FREITAS</t>
  </si>
  <si>
    <t>JOSE ANTONIO MACHADO</t>
  </si>
  <si>
    <t>JOSE ARNALDO MARCHI</t>
  </si>
  <si>
    <t>JOSE AUGUSTO BERNADES NETO</t>
  </si>
  <si>
    <t>JOSE BENEDITO DE PAULA</t>
  </si>
  <si>
    <t>JOSE BENEDITO LOPES</t>
  </si>
  <si>
    <t>JOSE BIM SOBRINHO</t>
  </si>
  <si>
    <t>JOSE CALAZANS DE FREITAS</t>
  </si>
  <si>
    <t>JOSE CARLOS DOS SANTO</t>
  </si>
  <si>
    <t>JOSE CARLOS ROCHA</t>
  </si>
  <si>
    <t>JOSE CARLOS SEGA</t>
  </si>
  <si>
    <t>JOSE CRISTIANO RODRIGO</t>
  </si>
  <si>
    <t>JOSÉ DAVID FILHO</t>
  </si>
  <si>
    <t>JOSE DIVINO DA PAZ</t>
  </si>
  <si>
    <t>JOSE DIVINO DOS SANTOS</t>
  </si>
  <si>
    <t>JOSE DOS REIS DE FREITAS</t>
  </si>
  <si>
    <t>JOSE EMILIO TEIXEIRA FERNANDES</t>
  </si>
  <si>
    <t>JOSE EUGENIO</t>
  </si>
  <si>
    <t>JOSE FRANCISCO MOREIRA</t>
  </si>
  <si>
    <t>JOSE GERALDO DE ASSUNÇÃO</t>
  </si>
  <si>
    <t>JOSE GILTON DOS SANTOS</t>
  </si>
  <si>
    <t>JOSE IGOR MODESTO DOS SANTOS</t>
  </si>
  <si>
    <t>JOSE INESIO SACCHI</t>
  </si>
  <si>
    <t>JOSE LAZARO NUNES JUNIOR</t>
  </si>
  <si>
    <t>JOSE LUCIVALDO DA SILVA</t>
  </si>
  <si>
    <t>JOSE MANOEL DOS SANTOS</t>
  </si>
  <si>
    <t>JOSE MARIA MACEDO</t>
  </si>
  <si>
    <t>JOSE MARQUES DE OLIVEIRA</t>
  </si>
  <si>
    <t>JOSE NATALINO DE OLIVEIRA</t>
  </si>
  <si>
    <t>JOSE OLIMPIO DA SILVA</t>
  </si>
  <si>
    <t>JOSE ORLANDO MUNIZ</t>
  </si>
  <si>
    <t>JOSE PAULO ZAMBI</t>
  </si>
  <si>
    <t>JOSE RAIMUNDO DE ALMEIDA</t>
  </si>
  <si>
    <t>JOSE RAMOS DE OLIVEIRA</t>
  </si>
  <si>
    <t>JOSE RICARDO DE ARAUJO</t>
  </si>
  <si>
    <t>JOSE ROBERTO GALIO</t>
  </si>
  <si>
    <t>JOSE ROBERTO PEREIRA</t>
  </si>
  <si>
    <t>JOSE RODRIGUES</t>
  </si>
  <si>
    <t>JOSE ROMES DE OLIVEIRA</t>
  </si>
  <si>
    <t>JOSE ROSA FILHO</t>
  </si>
  <si>
    <t>JOSE VANDERLEI PICOLINI</t>
  </si>
  <si>
    <t>JOSE VARDELIS DA SILA LEMES</t>
  </si>
  <si>
    <t>JOSE VITOR DA COSTA</t>
  </si>
  <si>
    <t>JOSIEL MONTE CARVALHO</t>
  </si>
  <si>
    <t>JOSUEL MARCOS GOMES</t>
  </si>
  <si>
    <t>JUAN CARLOS BAYA OLHOS</t>
  </si>
  <si>
    <t>JULIAN CARDOSO MARTINS</t>
  </si>
  <si>
    <t>JULIO ANTONIO MARÇAL DA SILVA</t>
  </si>
  <si>
    <t>JULIO CESAR CAETANO MAFRA</t>
  </si>
  <si>
    <t>JUNIIOR CESAR DA SILVA XAVIER</t>
  </si>
  <si>
    <t>JURANDIR FERREIRA DOS SANTOS</t>
  </si>
  <si>
    <t>KENNEDE LUIZ DOS SANTOS</t>
  </si>
  <si>
    <t>KLEBER DE ARAUJO GONÇALVEIS</t>
  </si>
  <si>
    <t>LAERCIO LUIZ KLOSOWSKI</t>
  </si>
  <si>
    <t>LEANDRO ALVES DE OLIVEIRA</t>
  </si>
  <si>
    <t>LEANDRO BISINOTO RIQUIERI</t>
  </si>
  <si>
    <t>LEANDRO DA SILVA CAMPOS</t>
  </si>
  <si>
    <t>LEANDRO MEDEIROS TEIXEIRA</t>
  </si>
  <si>
    <t>LEANDRO RODRIGO DOS SANTOS</t>
  </si>
  <si>
    <t>LEANDRO SIMÕES</t>
  </si>
  <si>
    <t>LEO FREDI DE JEUS</t>
  </si>
  <si>
    <t>LEVINDO FRANCA NETO</t>
  </si>
  <si>
    <t>LINDINALDO LINS SILVA</t>
  </si>
  <si>
    <t>LIOSMAR PERREIRA DOS SANTOS</t>
  </si>
  <si>
    <t>LOURIVAL BRAZ BATISTA MACEDO</t>
  </si>
  <si>
    <t>LUCAS JOSE WOLLMER</t>
  </si>
  <si>
    <t>LUCAS MOURA CHAVES</t>
  </si>
  <si>
    <t>LUCIANO JOSE OLIVEIRA FERNANDES</t>
  </si>
  <si>
    <t>LUCIANO LEMOS DE OLIVEIRA</t>
  </si>
  <si>
    <t>LUCIANO ROBERTO DE CARVALHO</t>
  </si>
  <si>
    <t>LUCIO ALVES DE LIMA</t>
  </si>
  <si>
    <t>LUCIO MARTINS NETO</t>
  </si>
  <si>
    <t>LUIS CARLOS ALVES</t>
  </si>
  <si>
    <t>LUIS CARLOS FERNANDES DE SOUZA</t>
  </si>
  <si>
    <t>LUIS JUSTINO DE SOUSA NETO</t>
  </si>
  <si>
    <t>LUIS ROBERTO MARTINS</t>
  </si>
  <si>
    <t>LUIZ  GERALDO DA SILVA</t>
  </si>
  <si>
    <t>LUIZ ANTONIO DA SILVA</t>
  </si>
  <si>
    <t>LUIZ ANTONIO PERINI</t>
  </si>
  <si>
    <t>LUIZ ANTONIO RODRIGUES</t>
  </si>
  <si>
    <t>LUIZ CARLOS BEPPI</t>
  </si>
  <si>
    <t>LUIZ CARLOS JUNQUEIRA SILVA</t>
  </si>
  <si>
    <t>LUIZ CLAUDIO FERREIRA DE SOUZA SILVA</t>
  </si>
  <si>
    <t>LUIZ HENRIQUE DOS SANTOS</t>
  </si>
  <si>
    <t>LUIZ HONORIO VICENTE</t>
  </si>
  <si>
    <t>LUIZ JUSTINO SOUSA NETO</t>
  </si>
  <si>
    <t>LUIZ LEONIR SCHMITZ</t>
  </si>
  <si>
    <t>LUIZ OTAVIO DOS SANTOS</t>
  </si>
  <si>
    <t>MANOEL JOSE DE ALMEIDA JUNIOR</t>
  </si>
  <si>
    <t>MANUEL ALCIDES PEREIRA</t>
  </si>
  <si>
    <t>MARCELO BORGES ARAUJO</t>
  </si>
  <si>
    <t>MARCELO DA COSTA SAMPAIO</t>
  </si>
  <si>
    <t>MARCELO JOSE DE SOUSA</t>
  </si>
  <si>
    <t>MARCELO JOSE MIORALLI</t>
  </si>
  <si>
    <t>MARCELO MEREIRA MELO</t>
  </si>
  <si>
    <t>MARCELO NAVES MIRANDA</t>
  </si>
  <si>
    <t>MARCELO SERGIO DO NASCIMENTO</t>
  </si>
  <si>
    <t>MARCELO VELOSO</t>
  </si>
  <si>
    <t>MARCIO ALEXANDRE TURCO</t>
  </si>
  <si>
    <t>MARCIO ANDRADE NOVAIS</t>
  </si>
  <si>
    <t>MARCIO LEANDRO MENON</t>
  </si>
  <si>
    <t>MARCIO LUIZ DA SILVA</t>
  </si>
  <si>
    <t>MARCIO MACHADO</t>
  </si>
  <si>
    <t>MARCIO ROBERTO ISIDORO</t>
  </si>
  <si>
    <t>MARCIO VALDEZ MORAIS</t>
  </si>
  <si>
    <t>MARCO ANTONIO CESAR DOS  SANTOS</t>
  </si>
  <si>
    <t>MARCO ANTONIO MARTINS FILHO</t>
  </si>
  <si>
    <t>MARCO TULIO NOGUEIRA SOARES</t>
  </si>
  <si>
    <t>MARCO TULIO SOARES</t>
  </si>
  <si>
    <t>MARCONI ROCHA DE QUEIROZ</t>
  </si>
  <si>
    <t>MARCOS ANTONIO GARBIM</t>
  </si>
  <si>
    <t>MARCOS AURELIO PEREIRA DA SILVA</t>
  </si>
  <si>
    <t>MARCOS DA SILVA DOURADO</t>
  </si>
  <si>
    <t>MARCOS DE MELO MOREIRA</t>
  </si>
  <si>
    <t>MARCOS DE OLIVEIRA</t>
  </si>
  <si>
    <t>MARCOS GUSTAVO RIBEIIRO</t>
  </si>
  <si>
    <t>MARCOS LUIS MAGALHÃES</t>
  </si>
  <si>
    <t>(034) 99235-3713</t>
  </si>
  <si>
    <t>MARCOS PAULO DE SOUZA</t>
  </si>
  <si>
    <t>MARCOS PEREIRA DA SILVA</t>
  </si>
  <si>
    <t>MARCOS PEREIRA DE LACERDA</t>
  </si>
  <si>
    <t>MARCUS VINICIUS BORGES DE FARIA</t>
  </si>
  <si>
    <t>MARETI RUDI ZANON</t>
  </si>
  <si>
    <t>MARIO CESAR BUZATTO</t>
  </si>
  <si>
    <t>MARIO DENIZ ROSSONI</t>
  </si>
  <si>
    <t>MARIO HUMBERTO DE MORAES</t>
  </si>
  <si>
    <t>MARLEI ANTONIO DA SILVA</t>
  </si>
  <si>
    <t>MAURICIO ANTONIO DA CRUZ</t>
  </si>
  <si>
    <t>SYLVIA</t>
  </si>
  <si>
    <t>MAURICIO RAMOS</t>
  </si>
  <si>
    <t>MAURICIO RODRIGUES DE BARROS</t>
  </si>
  <si>
    <t>MAYCO SCHENIDER LOPES</t>
  </si>
  <si>
    <t>MICAEL CESAR DA SILVA</t>
  </si>
  <si>
    <t>MIKE DA SILVA ROSA</t>
  </si>
  <si>
    <t>MYCHELL ALVES LOURENÇO</t>
  </si>
  <si>
    <t>NALDO LINS</t>
  </si>
  <si>
    <t>38402346</t>
  </si>
  <si>
    <t>NAO UTILIZAR - DUPLICIDADE - USAR 7969</t>
  </si>
  <si>
    <t>ZLUCAS-S</t>
  </si>
  <si>
    <t>NARCIZO  ALMEIDA</t>
  </si>
  <si>
    <t>NATAEL DE ANDRADE RESENDE</t>
  </si>
  <si>
    <t>NELSON APARECIDO RAIMUNDO</t>
  </si>
  <si>
    <t>NELSON PESSINI</t>
  </si>
  <si>
    <t>NENO DE BASTOS</t>
  </si>
  <si>
    <t>NERI BOFF EVALDT</t>
  </si>
  <si>
    <t>NERI GRANEMAN DA SILVA</t>
  </si>
  <si>
    <t>NERIVALDO DOS SANTOS FERREIRA</t>
  </si>
  <si>
    <t>NEUSMAR JOSE MENDES</t>
  </si>
  <si>
    <t>NILSON RDRIGUES MESSIAS</t>
  </si>
  <si>
    <t>NILSON VIEIRA DA SILVA</t>
  </si>
  <si>
    <t>NILTON DOIMO</t>
  </si>
  <si>
    <t>NILTON EVANGELISTA DOS PASSOS</t>
  </si>
  <si>
    <t>NILTON RODRIGUES FERNANDES</t>
  </si>
  <si>
    <t>ODAIR HIPOLITO PARREIRA</t>
  </si>
  <si>
    <t>ODAIR JOSE DA SILVA</t>
  </si>
  <si>
    <t>ODILOR GHELLERE</t>
  </si>
  <si>
    <t>ODVALDO MILOGRANA</t>
  </si>
  <si>
    <t>ODVALDOMILOGRANA</t>
  </si>
  <si>
    <t>ONEZIO GONÇALVES DA COSTA</t>
  </si>
  <si>
    <t>ORESTE BRUNING</t>
  </si>
  <si>
    <t>ORIVALDO DOS SANTOS FERREIRA</t>
  </si>
  <si>
    <t>ORIVALDO JORONIMO DE SOUZA</t>
  </si>
  <si>
    <t>OSMAR FERNANDES</t>
  </si>
  <si>
    <t>OSVALDO RAMIRO</t>
  </si>
  <si>
    <t>OSVALDO TERUAKI TAKANO</t>
  </si>
  <si>
    <t>OTACILIO MAREANO GUIMARAES</t>
  </si>
  <si>
    <t>PAULO ALVES DE OLIVEIRA</t>
  </si>
  <si>
    <t>PAULO APARECIDO BORDIN</t>
  </si>
  <si>
    <t>PAULO CESAR DOS SANTOS</t>
  </si>
  <si>
    <t>PAULO CESAR MARQUES DE OLIVEIRA</t>
  </si>
  <si>
    <t>PAULO CESAR SANTOS</t>
  </si>
  <si>
    <t>PAULO CEZAR DE MELO</t>
  </si>
  <si>
    <t>PAULO DA SILVA AZEVEDO</t>
  </si>
  <si>
    <t>PAULO DONIZETE CONFESSOR</t>
  </si>
  <si>
    <t>PAULO DONIZETI CONFESSOR</t>
  </si>
  <si>
    <t>PAULO HENRIQUE BRANDINO</t>
  </si>
  <si>
    <t>PAULO HENRIQUE CHITERO</t>
  </si>
  <si>
    <t>PAULO JOSE TORELLI MORGANI</t>
  </si>
  <si>
    <t>PAULO MARQUEZ</t>
  </si>
  <si>
    <t>PAULO PEGORARO</t>
  </si>
  <si>
    <t>PAULO ROBERTO MERCHIOLLI</t>
  </si>
  <si>
    <t>PAULO ROBERTO WEBER</t>
  </si>
  <si>
    <t>PAULO ROBISON MOTTA</t>
  </si>
  <si>
    <t>PAULO SERGIO  FRAGA</t>
  </si>
  <si>
    <t>PAULO SERGIO GUILHERME FILHO</t>
  </si>
  <si>
    <t>PEDRO AFONSO PIRES</t>
  </si>
  <si>
    <t>PEDRO BEZERRA DA SILVA</t>
  </si>
  <si>
    <t>PEDRO DONIZETE MARTINS</t>
  </si>
  <si>
    <t>PEDRO HENRIQUE DIAS BARBOSA SAI</t>
  </si>
  <si>
    <t>PEDRO LUCIO FIRMINO</t>
  </si>
  <si>
    <t>PERSIO LUIZ JOSE DA SILVA</t>
  </si>
  <si>
    <t>RAFAEL RODRIGUES DOS SANTOS</t>
  </si>
  <si>
    <t>RAILSON JOSE DE FIGUEIREDO</t>
  </si>
  <si>
    <t>RAIMUNDO GOMES</t>
  </si>
  <si>
    <t>RAIMUNDO NONATO DA CONSEIÇÃO</t>
  </si>
  <si>
    <t>RAIMUNDO NONATO NASCIMENTO</t>
  </si>
  <si>
    <t>RAIMUNDO OLIVEIRA DA SILVA</t>
  </si>
  <si>
    <t>RAIMUNDO PEREIRA VENANCIO</t>
  </si>
  <si>
    <t>RAUL BETTENCOURT DE GOUVEIA</t>
  </si>
  <si>
    <t>REGINALDO CALAZANS DOS SANTOS</t>
  </si>
  <si>
    <t>REGINALDO CLARO</t>
  </si>
  <si>
    <t>REGINALDO DA SILVA FRANCO</t>
  </si>
  <si>
    <t>REGINALDO TEIXEIRA VILLAR</t>
  </si>
  <si>
    <t>REGIS EZAIAS DA SILVA</t>
  </si>
  <si>
    <t>REGIS FERREIRA</t>
  </si>
  <si>
    <t>REGIS PACHECO GOMES DA SILVA</t>
  </si>
  <si>
    <t>REINALDO ZAMPIERI</t>
  </si>
  <si>
    <t>REMILTON ROGES MARTINS DE FREITAS</t>
  </si>
  <si>
    <t>RENATO APARECIDO ALVES</t>
  </si>
  <si>
    <t>RENATO DA SILVA COELHO</t>
  </si>
  <si>
    <t>RENATO DE  LIMA</t>
  </si>
  <si>
    <t>RENATO DE SOUZA</t>
  </si>
  <si>
    <t>RENATO VALENTINO</t>
  </si>
  <si>
    <t>RICARDO ALEXANDRE BRAZ DE LIMA</t>
  </si>
  <si>
    <t>RICARDO AMARAL MEDEIROS</t>
  </si>
  <si>
    <t>RICARDO ANTONIO PINHEIRO</t>
  </si>
  <si>
    <t>RICARDO DOS REIS SILVA</t>
  </si>
  <si>
    <t>RICARDO MARQUEZ LUNA</t>
  </si>
  <si>
    <t>RICARDO PERGONARO</t>
  </si>
  <si>
    <t>RIVALDO ARAUJO MARQUES</t>
  </si>
  <si>
    <t>RIVELINO PEREIRA DE OLIVEIRA</t>
  </si>
  <si>
    <t>ROBENISIO CARDOZO DA SILVA</t>
  </si>
  <si>
    <t>ROBERTO ARTUR DOS SANTOS</t>
  </si>
  <si>
    <t>ROBERTO CARLOS CARVALHO</t>
  </si>
  <si>
    <t>ROBERTO DE CASTRO</t>
  </si>
  <si>
    <t>ROBERTO DOS REIS SILVA</t>
  </si>
  <si>
    <t>ROBERTO FIRMINO</t>
  </si>
  <si>
    <t>ROBERTO FRANCISCO CHAGAS</t>
  </si>
  <si>
    <t>ROBERTO OLIVEIRA DE SOUZA</t>
  </si>
  <si>
    <t>ROBERTO PEREIRA DE GODOI</t>
  </si>
  <si>
    <t>ROBERTO PEREIRA MARQUES</t>
  </si>
  <si>
    <t>ROBERTO WAGNER GUIDOTTI</t>
  </si>
  <si>
    <t>ROBSON BARROSO LOPES</t>
  </si>
  <si>
    <t>ROBSON CAMILO MOURA</t>
  </si>
  <si>
    <t>RODOLFO RIBEIRO</t>
  </si>
  <si>
    <t>RODRIGO ANDRE MARTONETO</t>
  </si>
  <si>
    <t>RODRIGO AZEVEDO FERNANDES</t>
  </si>
  <si>
    <t>RODRIGO FERREIRA MENDES</t>
  </si>
  <si>
    <t>RODRIGO GONÇALVES BORGES</t>
  </si>
  <si>
    <t>RODRIGO NASCIMENTO RODRIGUES</t>
  </si>
  <si>
    <t>ROGERIO DOS SANTOS</t>
  </si>
  <si>
    <t>RONALDO HIGINO BARBOSA</t>
  </si>
  <si>
    <t>RONALDO JOSE DA SILVA</t>
  </si>
  <si>
    <t>RONALDO LOPES DA SILVA</t>
  </si>
  <si>
    <t>RONALDO LUIZ ANTONIO</t>
  </si>
  <si>
    <t>RONAN CRUZ DE PADOA</t>
  </si>
  <si>
    <t>RONE CESAR CARVALHO RODRIGUES</t>
  </si>
  <si>
    <t>RUDINEIS BARONI</t>
  </si>
  <si>
    <t>SABINO GOMES DE BARCELOS</t>
  </si>
  <si>
    <t>SALVIO PEREIRA</t>
  </si>
  <si>
    <t>SANDRO  ABRAAO DE OLIVEIRA</t>
  </si>
  <si>
    <t>SEBASTIÃO BRAS VERISSIMO</t>
  </si>
  <si>
    <t>SEBASTIAO CARLOS SOBRINHO</t>
  </si>
  <si>
    <t>SEBASTIÃO EGIDIO DA SILVA</t>
  </si>
  <si>
    <t>SEBASTIÃO EUSTAQUIO RIBEIRO</t>
  </si>
  <si>
    <t>SEBASTIAO EVERTON RAMOS LIMA</t>
  </si>
  <si>
    <t>SEBASTIAO MARTINS BORGES</t>
  </si>
  <si>
    <t>SEBASTIÃO NIVALDO RAMOS DA CRUZ</t>
  </si>
  <si>
    <t>SEBASTIÃO ROSIEL FREIRE</t>
  </si>
  <si>
    <t>SEMIÃO XAVIER DE MELO</t>
  </si>
  <si>
    <t>SERGIO ANDRADE DA SILVA</t>
  </si>
  <si>
    <t>SERGIO JOSE MORAES</t>
  </si>
  <si>
    <t>SERGIO LUIZ DOS SANTOS FERREIRA</t>
  </si>
  <si>
    <t>SHELITON CIRINO ARANTES</t>
  </si>
  <si>
    <t>SIDENY CASSOLA SANCHES JUNIOR</t>
  </si>
  <si>
    <t>SIDIMAR VIEIRA SILVA</t>
  </si>
  <si>
    <t>SIDNEI AUGUSTO ESCOLA</t>
  </si>
  <si>
    <t>SIDNEI GONÇALVES DE FARIA</t>
  </si>
  <si>
    <t>SILVIO DE PAULA E SILVA</t>
  </si>
  <si>
    <t>SILVIO MARCOS DOS SANTOS</t>
  </si>
  <si>
    <t>SINOMAR CARDOSO FERNANDES</t>
  </si>
  <si>
    <t>STEFANI MONTOVANI FARIA</t>
  </si>
  <si>
    <t>SUEMAR PASSOS PEREIRA</t>
  </si>
  <si>
    <t>TARCISIO FERREIRA</t>
  </si>
  <si>
    <t>TARCISO DE OLIVEIRA</t>
  </si>
  <si>
    <t>TEILINSON ANTONIO MONTANA BARROSO</t>
  </si>
  <si>
    <t>TEODOLINO APARECIDO GUIMARÃES</t>
  </si>
  <si>
    <t>THIAGO GAITKOSKI MEDEIROS</t>
  </si>
  <si>
    <t>THIAGO GRACINDO PERREIRA</t>
  </si>
  <si>
    <t>THOMAS BORDIN</t>
  </si>
  <si>
    <t>TIALES HENRIQUE FALARZ</t>
  </si>
  <si>
    <t>UDO WOLFRAM  WOLGIEN</t>
  </si>
  <si>
    <t>VAGNER QUARESMA COSTA</t>
  </si>
  <si>
    <t>VALDECI RODRIGUES DE MELLO</t>
  </si>
  <si>
    <t>VALDEIR DA SILVA BRITO</t>
  </si>
  <si>
    <t>VALDEMAR DOMINGOS</t>
  </si>
  <si>
    <t>VALDEMAR EDSON BONILHA</t>
  </si>
  <si>
    <t>VALDENIR MOREIRA DOS SANTOS</t>
  </si>
  <si>
    <t>VALDIR ESTEVAO DO NASCIMENTO FILHO</t>
  </si>
  <si>
    <t>VALDIR GOMES FARIA</t>
  </si>
  <si>
    <t>VALDIR ROSA DE LIMA</t>
  </si>
  <si>
    <t>VALMIR AMERICO</t>
  </si>
  <si>
    <t>VALMIR MENESES DOS SANTOS</t>
  </si>
  <si>
    <t>VALMIR ROSA DA SILVA</t>
  </si>
  <si>
    <t>VALTER ANTONIO ROCHA</t>
  </si>
  <si>
    <t>VANDERLEI ALVES SILVA</t>
  </si>
  <si>
    <t>VANDERLEI APARECIDO</t>
  </si>
  <si>
    <t>VILMAR CARNEIRO DE SOUZA</t>
  </si>
  <si>
    <t>VINICIUS SILVA DE OLIVEIRA</t>
  </si>
  <si>
    <t>VITOR RODRIGUES DE LIMA</t>
  </si>
  <si>
    <t>WAGNER AURELIO SILVA</t>
  </si>
  <si>
    <t>WAGNER AZEVEDO FERREIRA</t>
  </si>
  <si>
    <t>WAGNER DA SILVA CUBA</t>
  </si>
  <si>
    <t>WALAS CHAVES RIBEIRO</t>
  </si>
  <si>
    <t>WANDERLEI ALVES DA SILVA</t>
  </si>
  <si>
    <t>38405086</t>
  </si>
  <si>
    <t>WANDERLEY PINHEIRO</t>
  </si>
  <si>
    <t>EDUARDO</t>
  </si>
  <si>
    <t>WANDERLI ALBERTO SPEZIA</t>
  </si>
  <si>
    <t>WANGELITON DE FREITAS</t>
  </si>
  <si>
    <t>WASHINGTON GONÇALVES DOS SANTOS MENEZES</t>
  </si>
  <si>
    <t>WELITON ALVES DOS SANTOS</t>
  </si>
  <si>
    <t>WELLIGTON APARECIDO DE SOUZA</t>
  </si>
  <si>
    <t>WELLINGTON ALVES OLIVEIRA</t>
  </si>
  <si>
    <t>WELLINGTON CARVALHO ROMANELLI</t>
  </si>
  <si>
    <t>WELLINGTON TEXEIRA DE OLIVEIRA</t>
  </si>
  <si>
    <t>WENG SARTOF NERI ROCHA</t>
  </si>
  <si>
    <t>WEULER FERNANDES SANTOS</t>
  </si>
  <si>
    <t>WILLIAN PEREIRA DA SILVA</t>
  </si>
  <si>
    <t>WILSON CORREIA DA SILVA</t>
  </si>
  <si>
    <t>WILSON JOSE DE PADUA</t>
  </si>
  <si>
    <t>WILSON LUIZ DE MENEZES</t>
  </si>
  <si>
    <t>ZACARIAS LEANDRO</t>
  </si>
  <si>
    <t>&lt;SEM PARCEIRO&gt;</t>
  </si>
  <si>
    <t>AGRIPAC S.A. - EQUADOR</t>
  </si>
  <si>
    <t>AGRIPAC S.A.</t>
  </si>
  <si>
    <t>GENERAL CÓRDOVA</t>
  </si>
  <si>
    <t>PADRE SOLANO</t>
  </si>
  <si>
    <t>623</t>
  </si>
  <si>
    <t>Isento de ICMS</t>
  </si>
  <si>
    <t>Bioaggil Argentina S. A.</t>
  </si>
  <si>
    <t>PARQUE DE DESARROLLO</t>
  </si>
  <si>
    <t>COQUIMBITO MENDOZA</t>
  </si>
  <si>
    <t>1993</t>
  </si>
  <si>
    <t>DIAGRO S.A.</t>
  </si>
  <si>
    <t>A prazo - 28 dias</t>
  </si>
  <si>
    <t>ZZPEDRO</t>
  </si>
  <si>
    <t>FRANCISCO SOLANO LOPEZ</t>
  </si>
  <si>
    <t>CHE LA REINA</t>
  </si>
  <si>
    <t>FERMAN SA DE CV - MEXICO</t>
  </si>
  <si>
    <t>FERMAN SA DE CV</t>
  </si>
  <si>
    <t>ZADRIANO-F</t>
  </si>
  <si>
    <t>JALISCO</t>
  </si>
  <si>
    <t>CALDERA #2094 FRAC. ÁLAMO INDUSTRIAL GUADALAJARA</t>
  </si>
  <si>
    <t>FRAC. ÁLAMO INDUSTRIAL GUADALAJARA</t>
  </si>
  <si>
    <t>2094</t>
  </si>
  <si>
    <t>ADFERT CARTÃO CORPORATIVO</t>
  </si>
  <si>
    <t>ZLYNNEKER</t>
  </si>
  <si>
    <t>CENTRO</t>
  </si>
  <si>
    <t>409</t>
  </si>
  <si>
    <t>(034) 2589-4111</t>
  </si>
  <si>
    <t>CARTÕES CORPORATIVOS ITAU</t>
  </si>
  <si>
    <t>ADM - PARAGUAI</t>
  </si>
  <si>
    <t>ADM PARAGUAY S.A</t>
  </si>
  <si>
    <t>ALTO PARANA</t>
  </si>
  <si>
    <t>7 KM 21</t>
  </si>
  <si>
    <t>MINGA GUAZU</t>
  </si>
  <si>
    <t>0</t>
  </si>
  <si>
    <t>MARCELO PRESTES DOS SANTOS</t>
  </si>
  <si>
    <t>05705270</t>
  </si>
  <si>
    <t>ZERIKA</t>
  </si>
  <si>
    <t>SAO PAULO</t>
  </si>
  <si>
    <t>LEONARDO CERVEIRA VARANDAS</t>
  </si>
  <si>
    <t>PARAÍSO DO MORUMBI</t>
  </si>
  <si>
    <t>50</t>
  </si>
  <si>
    <t>(011) 98746-6659</t>
  </si>
  <si>
    <t>ANTONIUS MATHEUS WILHEUMUS VAN ASS</t>
  </si>
  <si>
    <t>38099999</t>
  </si>
  <si>
    <t>BR 452 KM 198 A DIREITA KM 20</t>
  </si>
  <si>
    <t>(034) 3236-8324</t>
  </si>
  <si>
    <t>OMNIA FERTILIZER</t>
  </si>
  <si>
    <t>BRYANSTON</t>
  </si>
  <si>
    <t>RIVAJ PHUNWASY</t>
  </si>
  <si>
    <t>EPSON DOWNS OFFICE P</t>
  </si>
  <si>
    <t>(027) 11709-8751</t>
  </si>
  <si>
    <t>AMMAG GMBH SCHUETTGUTTECHNIK</t>
  </si>
  <si>
    <t>GUNSKIRCHEN</t>
  </si>
  <si>
    <t>DAHLIENSTRASSE</t>
  </si>
  <si>
    <t>11</t>
  </si>
  <si>
    <t>(043) 724664-0814</t>
  </si>
  <si>
    <t>THOMAZ ENGINEERING INC.</t>
  </si>
  <si>
    <t>60192000</t>
  </si>
  <si>
    <t>HOFFMAN ESTATES</t>
  </si>
  <si>
    <t>WEST CENTRAL ROAD</t>
  </si>
  <si>
    <t>575</t>
  </si>
  <si>
    <t>(084) 7358-5800</t>
  </si>
  <si>
    <t>AGROLAND S.A - PARAGUAI</t>
  </si>
  <si>
    <t>AGROLAND S.A</t>
  </si>
  <si>
    <t>RUTA VENEZUELA CON ARTIGAS</t>
  </si>
  <si>
    <t>NUTRIEN AG SOLUTIONS URUGUAY S.A.</t>
  </si>
  <si>
    <t>MIRELY.FREITAS</t>
  </si>
  <si>
    <t>ITUZAINGO</t>
  </si>
  <si>
    <t>1324</t>
  </si>
  <si>
    <t>(059) 82915-2384</t>
  </si>
  <si>
    <t>TIROLEO - PARAGUAI</t>
  </si>
  <si>
    <t>AGRO MICRO PLANT SA</t>
  </si>
  <si>
    <t>CARLOS A. LOPEZ</t>
  </si>
  <si>
    <t>UNION IN VIVO</t>
  </si>
  <si>
    <t>MONTGERMONT</t>
  </si>
  <si>
    <t>MARÉBAUDIERE STREET</t>
  </si>
  <si>
    <t>(033) 029923-7342</t>
  </si>
  <si>
    <t>KERAWAX LTD</t>
  </si>
  <si>
    <t>CHORLEY</t>
  </si>
  <si>
    <t>COWLING ROAD</t>
  </si>
  <si>
    <t>(044) 125723-7350</t>
  </si>
  <si>
    <t>NUTRIEN ARGENTINA</t>
  </si>
  <si>
    <t>NUTRIEN AG SOLUTIONS ARGENTINA S.A.</t>
  </si>
  <si>
    <t>LAIS</t>
  </si>
  <si>
    <t>MARTINEZ</t>
  </si>
  <si>
    <t>DARDO ROCHA 3278</t>
  </si>
  <si>
    <t>2858</t>
  </si>
  <si>
    <t>(054) 114717-8854</t>
  </si>
  <si>
    <t>NÃO CLIENTE - ÁFRICA</t>
  </si>
  <si>
    <t>NÃO CLIENTE - BAHIA</t>
  </si>
  <si>
    <t>ESTAQUINI</t>
  </si>
  <si>
    <t>NÃO CLIENTE - GOIAIS</t>
  </si>
  <si>
    <t>NÃO CLIENTE - MATO GROSSO</t>
  </si>
  <si>
    <t>NÃO CLIENTE - MATO GROSSO DO SUL</t>
  </si>
  <si>
    <t>NÃO CLIENTE - SÃO PAULO</t>
  </si>
  <si>
    <t>NÃO CLIENTE - COPEBRÁS CATALÃO</t>
  </si>
  <si>
    <t>NÃO CLIENTE - MBAC</t>
  </si>
  <si>
    <t>TIAGO DOS SANTOS CARVALHO</t>
  </si>
  <si>
    <t>HANGZHOU XCOLOR CHEMICAL CO. LTD</t>
  </si>
  <si>
    <t>XIAOSHAN, HANGZHOU</t>
  </si>
  <si>
    <t>RM</t>
  </si>
  <si>
    <t>101</t>
  </si>
  <si>
    <t>BELLIAN COMISSARIA DE DESPACHO</t>
  </si>
  <si>
    <t>11015011</t>
  </si>
  <si>
    <t>BELLIAN ASSESSORIA ADUANEIRA E SERVICOS</t>
  </si>
  <si>
    <t>LOYANNE.LOPES</t>
  </si>
  <si>
    <t>CAMPOS MELLO</t>
  </si>
  <si>
    <t>VILA MATHIAS</t>
  </si>
  <si>
    <t>157</t>
  </si>
  <si>
    <t>(055) 133394-0176</t>
  </si>
  <si>
    <t>NÃO CLIENTE - PARAGUAY ECOP</t>
  </si>
  <si>
    <t>JAIR MANOEL DE LIMA</t>
  </si>
  <si>
    <t>JOAQUIM ROBERTO DE SOUZA</t>
  </si>
  <si>
    <t>TOCANTINS</t>
  </si>
  <si>
    <t>710</t>
  </si>
  <si>
    <t>(034) 99111-2352</t>
  </si>
  <si>
    <t>LANDO FERREIRA</t>
  </si>
  <si>
    <t>ZGISELE</t>
  </si>
  <si>
    <t>ALAMEDA BARROSO</t>
  </si>
  <si>
    <t>TUBALINA</t>
  </si>
  <si>
    <t>690</t>
  </si>
  <si>
    <t>ELIAS FREIRE DE OLIVEIRA</t>
  </si>
  <si>
    <t>FABRÍCIO VIEIRA LEMES</t>
  </si>
  <si>
    <t>GUSTAVO BATISTA DA SILVA</t>
  </si>
  <si>
    <t>MEGA  AÇO INOX LTDA</t>
  </si>
  <si>
    <t>38401344</t>
  </si>
  <si>
    <t>LEIDIANE</t>
  </si>
  <si>
    <t>CORONEL JOSE  TEOFILO CARNEIRO</t>
  </si>
  <si>
    <t>SÃO JORGE</t>
  </si>
  <si>
    <t>1800</t>
  </si>
  <si>
    <t>HONEYWELL INTERNACIONAL INC.</t>
  </si>
  <si>
    <t>MORRISTOWN NEW JERSE</t>
  </si>
  <si>
    <t>COLUMBIA, ROAD</t>
  </si>
  <si>
    <t>(097) 3455-2000</t>
  </si>
  <si>
    <t>LOQUETUDO LOCAÇÕES - CNPJ 19561419000140</t>
  </si>
  <si>
    <t>38408680</t>
  </si>
  <si>
    <t>LOQUETUDO LOCACOES E EQUIPAMENTOS LTDA</t>
  </si>
  <si>
    <t>JOÃO NAVES DE ÁVILA</t>
  </si>
  <si>
    <t>CARAJAS</t>
  </si>
  <si>
    <t>4142</t>
  </si>
  <si>
    <t>(055) 343211-1733</t>
  </si>
  <si>
    <t>FERTILIZANTES ITACI LTDA</t>
  </si>
  <si>
    <t>37150000</t>
  </si>
  <si>
    <t>CARMO DO RIO CLARO</t>
  </si>
  <si>
    <t>RUA FAZENDINHA</t>
  </si>
  <si>
    <t>CAMPINHO</t>
  </si>
  <si>
    <t>SN</t>
  </si>
  <si>
    <t>(035) 3561-1268</t>
  </si>
  <si>
    <t>DONIZETE APARECIDO FERREIRA ROSA</t>
  </si>
  <si>
    <t>ALAMEDA LEOMAR ALVES DA FONSECA</t>
  </si>
  <si>
    <t>96</t>
  </si>
  <si>
    <t>HOTEL IBIS CONGRESSO</t>
  </si>
  <si>
    <t>CALLE HIPOLITO YRIGOYEN</t>
  </si>
  <si>
    <t>1592</t>
  </si>
  <si>
    <t>(011) 5300-5555</t>
  </si>
  <si>
    <t>CIAMSA - COLOMBIA</t>
  </si>
  <si>
    <t>C.I.DE AZUCARES Y MIELES S.A</t>
  </si>
  <si>
    <t>CALI - COLOMBIA - CO</t>
  </si>
  <si>
    <t>AV 3 A NORTE</t>
  </si>
  <si>
    <t>VALLE DEL CAUCA</t>
  </si>
  <si>
    <t>56</t>
  </si>
  <si>
    <t>(057) 2664-7911</t>
  </si>
  <si>
    <t>LIANYUNGANG JM BIOSCIENCE CO., LTD</t>
  </si>
  <si>
    <t>LIANYUNGANG</t>
  </si>
  <si>
    <t>DAGANG WEST RD</t>
  </si>
  <si>
    <t>LIANYUNGANG ECONOMIC</t>
  </si>
  <si>
    <t>8</t>
  </si>
  <si>
    <t>AMEROPA - PARAGUAY</t>
  </si>
  <si>
    <t>AMEROPA PARAGUAY SRL</t>
  </si>
  <si>
    <t>ZROBSON</t>
  </si>
  <si>
    <t>CALLE PAPA XXIII ESQ. MAX BOETTNER</t>
  </si>
  <si>
    <t>LAS LOMAS</t>
  </si>
  <si>
    <t>DJALMA FRANCISCO DA SILVA - CPF PESSOA F</t>
  </si>
  <si>
    <t>38408160</t>
  </si>
  <si>
    <t>DJALMA FRANCISCO DA SILVA</t>
  </si>
  <si>
    <t>VITORYA</t>
  </si>
  <si>
    <t>AV BERLARMINO COTTA PACHECO</t>
  </si>
  <si>
    <t>SANTA MONICA</t>
  </si>
  <si>
    <t>489</t>
  </si>
  <si>
    <t>PRODUCTORA DE FERTIL DEL NOROESTE SA CV</t>
  </si>
  <si>
    <t>OBREGÓN - MÉXICO</t>
  </si>
  <si>
    <t>MIGUEL ALEMÁN Y NAIARI</t>
  </si>
  <si>
    <t>300</t>
  </si>
  <si>
    <t>NUTRICIÓN DE PLANTAS S.A - COLOMBIA</t>
  </si>
  <si>
    <t>NUTRICIÓN DE PLANTAS S.A</t>
  </si>
  <si>
    <t>TULUA -COLOMBIA</t>
  </si>
  <si>
    <t>42</t>
  </si>
  <si>
    <t>EL PRINCIPE</t>
  </si>
  <si>
    <t>1980</t>
  </si>
  <si>
    <t>(057) 2225-2121</t>
  </si>
  <si>
    <t>COPEVAL - ESCRITÓRIO</t>
  </si>
  <si>
    <t>COMPAÑIA AGROPECUARIA COPEVAL S.A</t>
  </si>
  <si>
    <t>AV APOQUINDO</t>
  </si>
  <si>
    <t>LAS CONDES</t>
  </si>
  <si>
    <t>4499</t>
  </si>
  <si>
    <t>(056) 72241-0575</t>
  </si>
  <si>
    <t>PEDRO MACCÍO Y CIA S.A.</t>
  </si>
  <si>
    <t>MANUEL MELENDEZ</t>
  </si>
  <si>
    <t>4454</t>
  </si>
  <si>
    <t>ROBERTO GALERY</t>
  </si>
  <si>
    <t>WILSOM ESTOPA</t>
  </si>
  <si>
    <t>EDUARDO MADERO</t>
  </si>
  <si>
    <t>CAPITAL FEDERAL</t>
  </si>
  <si>
    <t>942</t>
  </si>
  <si>
    <t>ARGUS MEDIA INC.</t>
  </si>
  <si>
    <t>HOUSTON</t>
  </si>
  <si>
    <t>ALLEN PARKWAY</t>
  </si>
  <si>
    <t>700</t>
  </si>
  <si>
    <t>CANPOTEX</t>
  </si>
  <si>
    <t>ZYMATHEUS</t>
  </si>
  <si>
    <t>INKA AGRI - RESOURCES S.A.C</t>
  </si>
  <si>
    <t>AVENIDA LA ENCALADA</t>
  </si>
  <si>
    <t>1388</t>
  </si>
  <si>
    <t>NÃO CLIENTE - YARA - CANOAS</t>
  </si>
  <si>
    <t>NÃO CLIENTE - YARA - CRUZ ALTA</t>
  </si>
  <si>
    <t>CRUZ ALTA</t>
  </si>
  <si>
    <t>NÃO CLIENTE - MULTIFÉRTIL - SANTA MARIA</t>
  </si>
  <si>
    <t>SANTA MARIA</t>
  </si>
  <si>
    <t>NÃO CLIENTE - MULTIFÉRTIL - RIO GRANDE</t>
  </si>
  <si>
    <t>NÃO CLIENTE - INSUMOTEC - RIO GRANDE</t>
  </si>
  <si>
    <t>NÃO CLIENTE - ADUBOS REAL - POUSO ALEGRE</t>
  </si>
  <si>
    <t>NÃO CLIENTE - ADUBOS TOCANTINS - CATALÃO</t>
  </si>
  <si>
    <t>NÃO CLIENTE - FERTIL.ALIANÇA - AP. DE GO</t>
  </si>
  <si>
    <t>APARECIDA DE GOIAS</t>
  </si>
  <si>
    <t>NÃO CLIENTE - VALE - PATOS DE MINAS</t>
  </si>
  <si>
    <t>NÃO CLIENTE - YARA - ALFENAS</t>
  </si>
  <si>
    <t>ALFENAS</t>
  </si>
  <si>
    <t>NÃO CLIENTE - YARA - CATALÃO</t>
  </si>
  <si>
    <t>NÃO CLIENTE - YARA - CONGONHAL</t>
  </si>
  <si>
    <t>CONGONHAL</t>
  </si>
  <si>
    <t>NÃO CLIENTE - YARA - JAÚ</t>
  </si>
  <si>
    <t>JAÚ</t>
  </si>
  <si>
    <t>NÃO CLIENTE - YARA - LIMEIRA</t>
  </si>
  <si>
    <t>LIMEIRA DO OESTE</t>
  </si>
  <si>
    <t>NÃO CLIENTE - YARA - UBERABA II</t>
  </si>
  <si>
    <t>NÃO CLIENTE - ADUBOS VERA CRUZ - IBATÉ</t>
  </si>
  <si>
    <t>IBATE</t>
  </si>
  <si>
    <t>NÃO CLIENTE - AGROCAMPO - GUAXUPÉ</t>
  </si>
  <si>
    <t>GUAXUPE</t>
  </si>
  <si>
    <t>NÃO CLIENTE - COPEBRÁS - CATALÃO</t>
  </si>
  <si>
    <t>NÃO CLIENTE - MACRO E MICRO - MATOZINHO</t>
  </si>
  <si>
    <t>MATOZINHOS MG</t>
  </si>
  <si>
    <t>NÃO CLIENTE - MOSAIC - ALFENAS</t>
  </si>
  <si>
    <t>38400000</t>
  </si>
  <si>
    <t>NÃO CLIENTE - MOSAIC - CATALÃO</t>
  </si>
  <si>
    <t>NÃO CLIENTE - MOSAIC - ANAPOLIS</t>
  </si>
  <si>
    <t>ZFELIPE</t>
  </si>
  <si>
    <t>NÃO CLIENTE - MOSAIC - TOLL COONAGRO</t>
  </si>
  <si>
    <t>NÃO CLIENTE - MOSAIC GRANULAÇÃO - FOSPAR</t>
  </si>
  <si>
    <t>NÃO CLIENTE - MOSAIC TAQUARI VASSOURAS</t>
  </si>
  <si>
    <t>NÃO CLIENTE - TERMINAL LOGISTICO JM LINK</t>
  </si>
  <si>
    <t>NÃO CLIENTE - MOSAIC - RIO VERDE</t>
  </si>
  <si>
    <t>NÃO CLIENTE - PARANAÍBA FERT. - UBERLÂND</t>
  </si>
  <si>
    <t>NÃO CLIENTE - MOSAIC - ALTO ARAGUAIA</t>
  </si>
  <si>
    <t>ALTO ARAGUAIA</t>
  </si>
  <si>
    <t>NÃO CLIENTE - MOSAIC - RONDONÓPOLIS</t>
  </si>
  <si>
    <t>NÃO CLIENTE - MOSAIC - SORRISO</t>
  </si>
  <si>
    <t>NÃO CLIENTE - NUTRI VERDE - LUCAS RIO VE</t>
  </si>
  <si>
    <t>LUCAS DO RIO VERDE</t>
  </si>
  <si>
    <t>NÃO CLIENTE - SEMENTES ADRIANA - ALTO GA</t>
  </si>
  <si>
    <t>ALTO GARCAS</t>
  </si>
  <si>
    <t>NÃO CLIENTE - YARA - BARCARENA</t>
  </si>
  <si>
    <t>BARCARENA</t>
  </si>
  <si>
    <t>NÃO CLIENTE - YARA - RONDONÓPOLIS</t>
  </si>
  <si>
    <t>NÃO CLIENTE - MISTURADORA SERGIO NORTON</t>
  </si>
  <si>
    <t>NÃO CLIENTE - DU SOLO - ARRAIAS</t>
  </si>
  <si>
    <t>NÃO CLIENTE - FERTMAX - PORTO NACIONAL</t>
  </si>
  <si>
    <t>PORTO NACIONAL</t>
  </si>
  <si>
    <t>NÃO CLIENTE - JCO FERTILIZANTES - CANDEI</t>
  </si>
  <si>
    <t>NÃO CLIENTE - PETROBRAS - LARANJEIRAS</t>
  </si>
  <si>
    <t>NÃO CLIENTE - RIFÉRTIL - MARUIM</t>
  </si>
  <si>
    <t>NÃO CLIENTE - RISA FERTIL. - SÃO LUIS</t>
  </si>
  <si>
    <t>NÃO CLIENTE - SQM - CANDEIAS</t>
  </si>
  <si>
    <t>NÃO CLIENTE - VALE - SERGIPE</t>
  </si>
  <si>
    <t>NÃO CLIENTE - YARA - CANDEIAS</t>
  </si>
  <si>
    <t>NÃO CLIENTE - YARA - LUÍS EDUARDO MAGALH</t>
  </si>
  <si>
    <t>NÃO CLIENTE - YARA - MACEIÓ</t>
  </si>
  <si>
    <t>NÃO CLIENTE - COONAGRO - PARANAGUÁ</t>
  </si>
  <si>
    <t>NÃO CLIENTE - MOSAIC - PARANAGUÁ I</t>
  </si>
  <si>
    <t>NÃO CLIENTE - MOSAIC MIST RIO GRANDE 2</t>
  </si>
  <si>
    <t>NÃO CLIENTE - AKSELL QUIMICA - INDAIATUB</t>
  </si>
  <si>
    <t>INDAIATUBA</t>
  </si>
  <si>
    <t>NÃO CLIENTE - PARANAGRAN - COLOMBO</t>
  </si>
  <si>
    <t>AGREFERT - ARGENTINA</t>
  </si>
  <si>
    <t>AGREFERT.AR S.A.</t>
  </si>
  <si>
    <t>FRANCISCO ALVAREZ</t>
  </si>
  <si>
    <t>KM 43.700, ACESSO OESTE</t>
  </si>
  <si>
    <t>1746</t>
  </si>
  <si>
    <t>HIASMIM</t>
  </si>
  <si>
    <t>24 DE MAIO</t>
  </si>
  <si>
    <t>LOUIS DREYFUS - ARGENTINA</t>
  </si>
  <si>
    <t>LDC ARGENTINA AS</t>
  </si>
  <si>
    <t>CALLE OLGA COSSETTINI</t>
  </si>
  <si>
    <t>240</t>
  </si>
  <si>
    <t>PROFERTIL - ARGENTINA</t>
  </si>
  <si>
    <t>PROFERTIL SA</t>
  </si>
  <si>
    <t>BAHÍA BLANCA</t>
  </si>
  <si>
    <t>MANOELA SAENS</t>
  </si>
  <si>
    <t>ZONA CANGREJALES</t>
  </si>
  <si>
    <t>323</t>
  </si>
  <si>
    <t>ANAGRA S.A.</t>
  </si>
  <si>
    <t>LOS CONQUISTADORES</t>
  </si>
  <si>
    <t>PROVIDENCIA</t>
  </si>
  <si>
    <t>1700</t>
  </si>
  <si>
    <t>IANSAGRO - CHILE</t>
  </si>
  <si>
    <t>ANSAGRO - CHILE</t>
  </si>
  <si>
    <t>SOQUIMICH COMERCIAL S.A.</t>
  </si>
  <si>
    <t>LOS MILITARES</t>
  </si>
  <si>
    <t>COMUNA LAS CONDES</t>
  </si>
  <si>
    <t>4290</t>
  </si>
  <si>
    <t>(056) 22425-2525</t>
  </si>
  <si>
    <t>NÃO CLIENTE - PRECISAGRO - COLOMBIA</t>
  </si>
  <si>
    <t>BOGOTÁ</t>
  </si>
  <si>
    <t>MONOMEROS - COLÔMBIA</t>
  </si>
  <si>
    <t>MONOMEROS COLOMBO VENEZOLANOS S.A.</t>
  </si>
  <si>
    <t>VIA 40 LAS FLORES</t>
  </si>
  <si>
    <t>(057) 5361-8507</t>
  </si>
  <si>
    <t>FERTIMAX INDUSTRIAS Y SERVICIOS SAE</t>
  </si>
  <si>
    <t>RUTA PY 19 KM 26,5</t>
  </si>
  <si>
    <t>LOUIS DREYFUS - PARAGUAI</t>
  </si>
  <si>
    <t>LDC PARAGUAY S.A.</t>
  </si>
  <si>
    <t>AVIADORES DEL CHACO</t>
  </si>
  <si>
    <t>2050</t>
  </si>
  <si>
    <t>MOLICOM - PERU</t>
  </si>
  <si>
    <t>ZTHAYS-STEFANY</t>
  </si>
  <si>
    <t>ITALO</t>
  </si>
  <si>
    <t>Equilibra Peru S.A</t>
  </si>
  <si>
    <t>AV. CIRCUNVALACIÓN DEL CLUB GOLF LOS INCA</t>
  </si>
  <si>
    <t>134</t>
  </si>
  <si>
    <t>(051) 01513-5353</t>
  </si>
  <si>
    <t>INDUSTRIA SULFURICA S.A.</t>
  </si>
  <si>
    <t>TREINTA Y TRES ORIENTALES</t>
  </si>
  <si>
    <t>(059) 52347-2035</t>
  </si>
  <si>
    <t>NÃO CLIENTE - YARA - RIO GRANDE RIG 01</t>
  </si>
  <si>
    <t>NÃO CLIENTE - YARA - RG - RIG 01-EX TREV</t>
  </si>
  <si>
    <t>NÃO CLIENTE - YARA - RIO GRANDE RIG 02</t>
  </si>
  <si>
    <t>NÃO CLIENTE - YARA - RG -RIG 02-EX MANAH</t>
  </si>
  <si>
    <t>NÃO CLIENTE - MOSAIC - UBERABA II</t>
  </si>
  <si>
    <t>NÃO CLIENTE - ADM BOLIVIA</t>
  </si>
  <si>
    <t>BOLÍVIA</t>
  </si>
  <si>
    <t>NÃO CLIENTE - MAKUL S.A.</t>
  </si>
  <si>
    <t>LIMPIO</t>
  </si>
  <si>
    <t>KM. 24,4. RUTA INTERNACIONAL N° 3</t>
  </si>
  <si>
    <t>2178-2085</t>
  </si>
  <si>
    <t>NÃO CLIENTE - ADUBOS VANGUARD</t>
  </si>
  <si>
    <t>NÃO CLIENTE - AGRIUM - CHILE</t>
  </si>
  <si>
    <t>AGROFERTIL - PARAGUAI</t>
  </si>
  <si>
    <t>AGROFERTIL S.A.</t>
  </si>
  <si>
    <t>CLEYSSON</t>
  </si>
  <si>
    <t>AV SAN BLAS KM 6,5</t>
  </si>
  <si>
    <t>(059) 56157-2871</t>
  </si>
  <si>
    <t>AGROVITRA - CHILE</t>
  </si>
  <si>
    <t>AGROGESTION VITRA S.A.</t>
  </si>
  <si>
    <t>RANCAGUA</t>
  </si>
  <si>
    <t>CALLE BELLO HORIZONTE</t>
  </si>
  <si>
    <t>8609</t>
  </si>
  <si>
    <t>NÃO CLIENTE - ANGLO AMERICAN - CUBATÃO</t>
  </si>
  <si>
    <t>NÃO CLIENTE - ASISTAGRO</t>
  </si>
  <si>
    <t>NÃO CLIENTE - CARGILL PARAGUAY</t>
  </si>
  <si>
    <t>NÃO CLIENTE - CHS ARGENTINA</t>
  </si>
  <si>
    <t>ARGENTINA</t>
  </si>
  <si>
    <t>LDC URUGUAY S.A.</t>
  </si>
  <si>
    <t>LUIS ALBERTO DE HERRERA - MONTEVIDEO, URUGUAY</t>
  </si>
  <si>
    <t>BUCEO</t>
  </si>
  <si>
    <t>1248</t>
  </si>
  <si>
    <t>KM 16 VIA DAULE</t>
  </si>
  <si>
    <t>CALLE ROSABIN Y ASBESTO</t>
  </si>
  <si>
    <t>(059) 34501-5200</t>
  </si>
  <si>
    <t>NÃO CLIENTE - FERNANDO PEREIRA</t>
  </si>
  <si>
    <t>NÃO CLIENTE - FERPACIFIC</t>
  </si>
  <si>
    <t>NÃO CLIENTE - FERTILIZANTES DEL GOLFO</t>
  </si>
  <si>
    <t>NÃO CLIENTE - FERTILIZANTES RECUPERAR</t>
  </si>
  <si>
    <t>NÃO CLIENTE - FERTILIZANTES SOMAFERTIL</t>
  </si>
  <si>
    <t>NÃO CLIENTE - FERTIQUIM</t>
  </si>
  <si>
    <t>GUADALAJARA</t>
  </si>
  <si>
    <t>NÃO CLIENTE - FYNGSA</t>
  </si>
  <si>
    <t>NÃO CLIENTE - HELM</t>
  </si>
  <si>
    <t>NÃO CLIENTE - NQUIFERSA</t>
  </si>
  <si>
    <t>NÃO CLIENTE - INQUIFERSA</t>
  </si>
  <si>
    <t>ISAOSA - MEXICO</t>
  </si>
  <si>
    <t>SOLUCIONES EN NUTRIENTES DE VALOR AGREGR</t>
  </si>
  <si>
    <t>ZAPOPAN</t>
  </si>
  <si>
    <t>PROLONGACION MARIANO OTERO</t>
  </si>
  <si>
    <t>SANTA ANA TEPETIPLAN</t>
  </si>
  <si>
    <t>3820</t>
  </si>
  <si>
    <t>ISQUISA, SA DE CV - MEXICO</t>
  </si>
  <si>
    <t>ISQUISA, SA de CV</t>
  </si>
  <si>
    <t>XALAPA</t>
  </si>
  <si>
    <t>JESÚS REYES HEROLES</t>
  </si>
  <si>
    <t>COL. OBRERO CAMPESINA</t>
  </si>
  <si>
    <t>36</t>
  </si>
  <si>
    <t>NÃO CLIENTE - K+S</t>
  </si>
  <si>
    <t>NÃO CLIENTE - LAYCO - EQUIPAMENTOS</t>
  </si>
  <si>
    <t>NÃO CLIENTE - MAGRIC</t>
  </si>
  <si>
    <t>NÃO CLIENTE - MEGA AGRO</t>
  </si>
  <si>
    <t>A PRAZO - 90 DIAS</t>
  </si>
  <si>
    <t>EDIFICIO SKYPARK – TORRE 3 – PISO 12 – UNIDAD 12B CALLE PAPA</t>
  </si>
  <si>
    <t>2046</t>
  </si>
  <si>
    <t>02160-2006</t>
  </si>
  <si>
    <t>NÃO CLIENTE - NIDERA NUTRIENTES</t>
  </si>
  <si>
    <t>NÃO CLIENTE - NITROFOSFERTIL IND. E COM.</t>
  </si>
  <si>
    <t>NÃO CLIENTE - PROLESA</t>
  </si>
  <si>
    <t>NÃO CLIENTE - PAULI FERTIL. - VARZEA PAU</t>
  </si>
  <si>
    <t>VARZEA PAULISTA</t>
  </si>
  <si>
    <t>NÃO CLIENTE - SINDIADUBOS - CURITIBA</t>
  </si>
  <si>
    <t>CURITIBA</t>
  </si>
  <si>
    <t>NÃO CLIENTE - SOUTH PACIFIC</t>
  </si>
  <si>
    <t>NÃO CLIENTE - SQM VITAS - LIMA</t>
  </si>
  <si>
    <t>NÃO CLIENTE - TMF FERTILIZANTES</t>
  </si>
  <si>
    <t>NÃO CLIENTE - TOTAL AGRO</t>
  </si>
  <si>
    <t>NÃO CLIENTE - VALE NORDESTE - SERGIPE</t>
  </si>
  <si>
    <t>NÃO CLIENTE - YARA - ARGENTINA</t>
  </si>
  <si>
    <t>YARA - COLOMBIA</t>
  </si>
  <si>
    <t>NÃO CLIENTE - YARA - PERU</t>
  </si>
  <si>
    <t>NÃO CLIENTE - YARA - SUMARÉ</t>
  </si>
  <si>
    <t>SUMARE</t>
  </si>
  <si>
    <t>NÃO CLIENTE - YARGUS</t>
  </si>
  <si>
    <t>ZAUDICON</t>
  </si>
  <si>
    <t>NÃO CLIENTE - YOORIN FERTIL. IND. E COM.</t>
  </si>
  <si>
    <t>YPF ARGENTINA</t>
  </si>
  <si>
    <t>AGRIPAC S.A - EQUADOR</t>
  </si>
  <si>
    <t>AGRIPAC S.A</t>
  </si>
  <si>
    <t>AV PERIMETRAL KM 6.5 VIA LA PUNTILLA SAMBORONDÓN</t>
  </si>
  <si>
    <t>(059) 34500-0258</t>
  </si>
  <si>
    <t>FERTISA AGIF C.L. - EQUADOR</t>
  </si>
  <si>
    <t>Fertisa AGIF C.L.</t>
  </si>
  <si>
    <t>AV SAN JUAN BOSCO 5 Y LA N</t>
  </si>
  <si>
    <t>MOUNT ORIOLI ALVES</t>
  </si>
  <si>
    <t>EMERGER FERTILIZANTES SA</t>
  </si>
  <si>
    <t>DARDO ROCHA</t>
  </si>
  <si>
    <t>3412</t>
  </si>
  <si>
    <t>COLONO AGROPECUARIO</t>
  </si>
  <si>
    <t>COSTA RICA</t>
  </si>
  <si>
    <t>CARRETERAR LIMÓN</t>
  </si>
  <si>
    <t>JIMÉNEZ</t>
  </si>
  <si>
    <t>POLYSERVE GROUP</t>
  </si>
  <si>
    <t>GIZA</t>
  </si>
  <si>
    <t>RUA SYRIA</t>
  </si>
  <si>
    <t>22</t>
  </si>
  <si>
    <t>(020) 23336-0710</t>
  </si>
  <si>
    <t>RECUPERAR SRL</t>
  </si>
  <si>
    <t>CÓRDOBA</t>
  </si>
  <si>
    <t>LA CORDILLERA</t>
  </si>
  <si>
    <t>4985</t>
  </si>
  <si>
    <t>ANA CAROLINA DE OLIVEIRA</t>
  </si>
  <si>
    <t>38400111</t>
  </si>
  <si>
    <t>ZZWESLEY</t>
  </si>
  <si>
    <t>IANA VITÓRIA SPADINI ARANTES</t>
  </si>
  <si>
    <t>NÃO CLIENTE - ADUBOS FERTICEL</t>
  </si>
  <si>
    <t>SAO GABRIEL D' OESTE</t>
  </si>
  <si>
    <t>CNA - CHILE</t>
  </si>
  <si>
    <t>CNA CHILE</t>
  </si>
  <si>
    <t>AVENIDA DEL PARQUE</t>
  </si>
  <si>
    <t>CIUDAD EMPRESARIAL</t>
  </si>
  <si>
    <t>4265</t>
  </si>
  <si>
    <t>(056) 22249-3045</t>
  </si>
  <si>
    <t>UNIPAC - FUPAC</t>
  </si>
  <si>
    <t>38400154</t>
  </si>
  <si>
    <t>FUNDACAO PRESIDENTE ANTONIO CARLOS</t>
  </si>
  <si>
    <t>PRAÇA CLARIMUNDO CARNEIRO</t>
  </si>
  <si>
    <t>FUNDINHO</t>
  </si>
  <si>
    <t>256</t>
  </si>
  <si>
    <t>AGROENFOQUE - URUGUAI</t>
  </si>
  <si>
    <t>AGROENFOQUE A.S</t>
  </si>
  <si>
    <t>CANELONES</t>
  </si>
  <si>
    <t>RUTA 5, KM 9</t>
  </si>
  <si>
    <t>AGREGSA - PARAGUAI</t>
  </si>
  <si>
    <t>AGROENERGETICA REGURA S.A</t>
  </si>
  <si>
    <t>MARIANO ROQUE ALONSO</t>
  </si>
  <si>
    <t>RUA PASEO DE FATIMA</t>
  </si>
  <si>
    <t>(059) 521761-6013</t>
  </si>
  <si>
    <t>YPFB - BOLIVIA</t>
  </si>
  <si>
    <t>YACIMIENTOS PETROLÍFEROS FISCALES BOLIVI</t>
  </si>
  <si>
    <t>LA PAZ</t>
  </si>
  <si>
    <t>RUA BUENO</t>
  </si>
  <si>
    <t>185</t>
  </si>
  <si>
    <t>(059) 12217-6300</t>
  </si>
  <si>
    <t>AGROALFA - NICARAGUA</t>
  </si>
  <si>
    <t>AGROALFA S.A</t>
  </si>
  <si>
    <t>MANAGUA</t>
  </si>
  <si>
    <t>SEMAFOROS GUANACASTE</t>
  </si>
  <si>
    <t>150</t>
  </si>
  <si>
    <t>(050) 52266-0188</t>
  </si>
  <si>
    <t>OMNIA - AFRICA DO SUL</t>
  </si>
  <si>
    <t>OMNIA HOLDINGS LIMITED</t>
  </si>
  <si>
    <t>JOANESBURGO</t>
  </si>
  <si>
    <t>RUA SLOANE</t>
  </si>
  <si>
    <t>13</t>
  </si>
  <si>
    <t>(027) 11709-8888</t>
  </si>
  <si>
    <t>SASOL - AFRICA DO SUL</t>
  </si>
  <si>
    <t>SASOL</t>
  </si>
  <si>
    <t>RUA KATHERINE</t>
  </si>
  <si>
    <t>(027) 10344-5000</t>
  </si>
  <si>
    <t>MAADEN PHOPHATE COMPANY - ARABIA SAUDITA</t>
  </si>
  <si>
    <t>MAADEN PHOPHATE COMPANY</t>
  </si>
  <si>
    <t>ARABIA SAUDITA</t>
  </si>
  <si>
    <t>RAS AL KHAIR</t>
  </si>
  <si>
    <t>37258</t>
  </si>
  <si>
    <t>(096) 611874-8329</t>
  </si>
  <si>
    <t>INDORAMA - DAKAR</t>
  </si>
  <si>
    <t>INDORAMA</t>
  </si>
  <si>
    <t>DAKAR</t>
  </si>
  <si>
    <t>KM 18</t>
  </si>
  <si>
    <t>(022) 133939-5000</t>
  </si>
  <si>
    <t>EL NASR - EGITO</t>
  </si>
  <si>
    <t>EL NASR CO FOR INTERMEDIATE CHEMICALS</t>
  </si>
  <si>
    <t>DESERT ROAD KM 28</t>
  </si>
  <si>
    <t>INDUSTRIA AREA</t>
  </si>
  <si>
    <t>(020) 023539-1640</t>
  </si>
  <si>
    <t>BIOCOM - ANGOLA</t>
  </si>
  <si>
    <t>BIOCOM</t>
  </si>
  <si>
    <t>CACUSO</t>
  </si>
  <si>
    <t>ESTRADA CAPANDA</t>
  </si>
  <si>
    <t>(024) 492316-8200</t>
  </si>
  <si>
    <t>PROFERT - AFRICA DO SUL</t>
  </si>
  <si>
    <t>PROFERT HOLDINGS</t>
  </si>
  <si>
    <t>POTCHEFSTROOM</t>
  </si>
  <si>
    <t>RUA ROSS</t>
  </si>
  <si>
    <t>43</t>
  </si>
  <si>
    <t>(027) 18293-3530</t>
  </si>
  <si>
    <t>JULIO CESAR DE BRANCO</t>
  </si>
  <si>
    <t>AGROGEN - MEXICO</t>
  </si>
  <si>
    <t>AGROGEN S.A DE C.V.</t>
  </si>
  <si>
    <t>QUERETARO</t>
  </si>
  <si>
    <t>CARR. A TLACOTE EL BAJO</t>
  </si>
  <si>
    <t>(055) 5246-4411</t>
  </si>
  <si>
    <t>COMPANIA AGROPECUARIA COPEVAL S.A</t>
  </si>
  <si>
    <t>MANUEL RODRIGUEZ</t>
  </si>
  <si>
    <t>1099</t>
  </si>
  <si>
    <t>RAYANNE FONSECA DIAS</t>
  </si>
  <si>
    <t>FREDDY CORDOVA</t>
  </si>
  <si>
    <t>FERTINAL</t>
  </si>
  <si>
    <t>MICHOACAN</t>
  </si>
  <si>
    <t>RECINTO PORTUARIO, LAZARO CARDENAS</t>
  </si>
  <si>
    <t>(052) 753130-7957</t>
  </si>
  <si>
    <t>FÁBIO PERGHER</t>
  </si>
  <si>
    <t>THIAGO DA SILVA CASSIANO</t>
  </si>
  <si>
    <t>85869657</t>
  </si>
  <si>
    <t>RICARDO TRAUTMANN</t>
  </si>
  <si>
    <t>FOZ DO IGUACU</t>
  </si>
  <si>
    <t>COND.TERRAS ALFA 2</t>
  </si>
  <si>
    <t>1277</t>
  </si>
  <si>
    <t>FERTISUR - PERU</t>
  </si>
  <si>
    <t>FERTILIZANTES DEL SUR SAC</t>
  </si>
  <si>
    <t>CIRCUNVALACION DEL CLUB GOLF LOS INCAS</t>
  </si>
  <si>
    <t>202</t>
  </si>
  <si>
    <t>NÃO CLIENTE - FAZENDAS AMAGGI TUCUNARE</t>
  </si>
  <si>
    <t>NÃO CLIENTE - FAZENDAS AMAGGI AGUA QUENT</t>
  </si>
  <si>
    <t>NÃO CLIENTE - CISBRAFOL</t>
  </si>
  <si>
    <t>SQM - MEXICO</t>
  </si>
  <si>
    <t>SQM M3242EXICO S.A DE CV</t>
  </si>
  <si>
    <t>MOCTEZUMA</t>
  </si>
  <si>
    <t>CIUDAD DEL SOL</t>
  </si>
  <si>
    <t>144</t>
  </si>
  <si>
    <t>FUVIO RIBEIRO PANICE</t>
  </si>
  <si>
    <t>38414697</t>
  </si>
  <si>
    <t>BERGAMO</t>
  </si>
  <si>
    <t>JARDIM EUROPA</t>
  </si>
  <si>
    <t>35</t>
  </si>
  <si>
    <t>(034) 99196-7493</t>
  </si>
  <si>
    <t>LIVIA</t>
  </si>
  <si>
    <t>MEDIANEIRA</t>
  </si>
  <si>
    <t>(045) 99930-2075</t>
  </si>
  <si>
    <t>BBS INFORMATICA LTDA</t>
  </si>
  <si>
    <t>38400081</t>
  </si>
  <si>
    <t>DOUTOR MANOEL THOMAZ T DE SOUZA</t>
  </si>
  <si>
    <t>1066</t>
  </si>
  <si>
    <t>SAN ISIDRO</t>
  </si>
  <si>
    <t>1118</t>
  </si>
  <si>
    <t>CAIO ARIAN D AVILA</t>
  </si>
  <si>
    <t>SAO JOSE</t>
  </si>
  <si>
    <t>427</t>
  </si>
  <si>
    <t>GABRIELA LUCINDO NUNES</t>
  </si>
  <si>
    <t>38408198</t>
  </si>
  <si>
    <t>JOAO PEREIRA DA SILVA</t>
  </si>
  <si>
    <t>320</t>
  </si>
  <si>
    <t>LUCAS SENA ZUZA</t>
  </si>
  <si>
    <t>38400068</t>
  </si>
  <si>
    <t>EDUARDO DE OLIVEIRA</t>
  </si>
  <si>
    <t>1061</t>
  </si>
  <si>
    <t>FOFECHA</t>
  </si>
  <si>
    <t>FOFECHA FORRAJES Y FERTIL. CHAVEZ C.V.</t>
  </si>
  <si>
    <t>JACONA DE PLANCARTE</t>
  </si>
  <si>
    <t>LAURELES</t>
  </si>
  <si>
    <t>28</t>
  </si>
  <si>
    <t>WILLIAM GASPAR FERREIRA DE CASTRO</t>
  </si>
  <si>
    <t>38412436</t>
  </si>
  <si>
    <t>GAZA</t>
  </si>
  <si>
    <t>198</t>
  </si>
  <si>
    <t>90</t>
  </si>
  <si>
    <t>NÃO CLIENTE - BIOGOLD</t>
  </si>
  <si>
    <t>CULIACAN</t>
  </si>
  <si>
    <t>INUDSTIRAL 4 INTERSECÇAO 43C LA</t>
  </si>
  <si>
    <t>NÃO CLIENTE - PERFECT GROWERS</t>
  </si>
  <si>
    <t>MINDEN - EUA</t>
  </si>
  <si>
    <t>PARK PL 2236</t>
  </si>
  <si>
    <t>KALPE. COMUNICACION GRAFICA - MEXICO</t>
  </si>
  <si>
    <t>KALPE. COMUNICACION GRAFICA</t>
  </si>
  <si>
    <t>MIGUEL HIDALGO</t>
  </si>
  <si>
    <t>REVOLUCION</t>
  </si>
  <si>
    <t>TACUBAYA</t>
  </si>
  <si>
    <t>70</t>
  </si>
  <si>
    <t>CARLOS EDUARDO DOS REIS</t>
  </si>
  <si>
    <t>VANDERVALDO ROSA</t>
  </si>
  <si>
    <t>80</t>
  </si>
  <si>
    <t>RANIE VIEIRA JUNIOR RIBEIRO</t>
  </si>
  <si>
    <t>OLINDA MARIA DE JESUS</t>
  </si>
  <si>
    <t>TAIAMAN</t>
  </si>
  <si>
    <t>41</t>
  </si>
  <si>
    <t>JALES GOMES DA SILVA</t>
  </si>
  <si>
    <t>LINEU ANTERINO MARIANO</t>
  </si>
  <si>
    <t>INDUSTRIAL</t>
  </si>
  <si>
    <t>175</t>
  </si>
  <si>
    <t>JAILSON SILVA DE OLIVEIRA</t>
  </si>
  <si>
    <t>(064) 99112-3035</t>
  </si>
  <si>
    <t>RCJ CORPORATION - HONDURAS</t>
  </si>
  <si>
    <t>RCJ CORPORATION</t>
  </si>
  <si>
    <t>CHOLOMA</t>
  </si>
  <si>
    <t>ZIP CHOLOMA</t>
  </si>
  <si>
    <t>(050) 42669-5037</t>
  </si>
  <si>
    <t>SUMAGRO - MÉXICO</t>
  </si>
  <si>
    <t>SUMAGRO</t>
  </si>
  <si>
    <t>CORDOBA</t>
  </si>
  <si>
    <t>CALLE 14</t>
  </si>
  <si>
    <t>(052) 21714-2121</t>
  </si>
  <si>
    <t>FOSYEIKI - PERU</t>
  </si>
  <si>
    <t>FOSYEIKI S.A.C</t>
  </si>
  <si>
    <t>TINGO MARIA</t>
  </si>
  <si>
    <t>1148</t>
  </si>
  <si>
    <t>(051) 1425-8002</t>
  </si>
  <si>
    <t>LA CORNETA - ESPANHA</t>
  </si>
  <si>
    <t>LACORNETA S.A</t>
  </si>
  <si>
    <t>PAMPLONA</t>
  </si>
  <si>
    <t>QUINTA AVENIDA</t>
  </si>
  <si>
    <t>0-40</t>
  </si>
  <si>
    <t>(050) 22314-1199</t>
  </si>
  <si>
    <t>NUTRIVE - MEXICO</t>
  </si>
  <si>
    <t>NUTRIVE</t>
  </si>
  <si>
    <t>NAVOLATO</t>
  </si>
  <si>
    <t>CARRETERA A NAVOLATO</t>
  </si>
  <si>
    <t>000</t>
  </si>
  <si>
    <t>HIDALGO NUTRICION VEGETAL - MEXICO</t>
  </si>
  <si>
    <t>HIDALGO NUTRICION VEGETAL</t>
  </si>
  <si>
    <t>CARRETERA PAN AMERICANA</t>
  </si>
  <si>
    <t>BIOAGRO - COLOMBIA</t>
  </si>
  <si>
    <t>BIOAGRO S.A.S</t>
  </si>
  <si>
    <t>CARRERA 1C</t>
  </si>
  <si>
    <t>22-58</t>
  </si>
  <si>
    <t>MEZCLAS INTEGRALES PROGRAMADAS S.A.S</t>
  </si>
  <si>
    <t>CR 14 # 47- 39</t>
  </si>
  <si>
    <t>EL VERGEL</t>
  </si>
  <si>
    <t>(057) 30143-3566</t>
  </si>
  <si>
    <t>ABONOS DOMINICANOS SRL (ABODOM)</t>
  </si>
  <si>
    <t>SANTO DOMINGO</t>
  </si>
  <si>
    <t>ISABEL AGUIAR</t>
  </si>
  <si>
    <t>ZONA INDUSTRIAL DE HERRERA</t>
  </si>
  <si>
    <t>267</t>
  </si>
  <si>
    <t>RIZOBACTER - ARGENTINA</t>
  </si>
  <si>
    <t>RIZOBACTER ARGENTINA S.A.</t>
  </si>
  <si>
    <t>PERGAMINO</t>
  </si>
  <si>
    <t>N1</t>
  </si>
  <si>
    <t>SUN PRODUCTS - USA</t>
  </si>
  <si>
    <t>SUN PRODUCTS</t>
  </si>
  <si>
    <t>SAN CARLOS</t>
  </si>
  <si>
    <t>5 KM</t>
  </si>
  <si>
    <t>VINICIUS AUGUSTO FIALKOWSKI BORDIGNON</t>
  </si>
  <si>
    <t>98010322</t>
  </si>
  <si>
    <t>CEL LUCIO ANNES DIAS</t>
  </si>
  <si>
    <t>VILA ANASTACIO</t>
  </si>
  <si>
    <t>1486</t>
  </si>
  <si>
    <t>BARBARA LIE UEMATSU</t>
  </si>
  <si>
    <t>38408044</t>
  </si>
  <si>
    <t>ZSHIRLEY</t>
  </si>
  <si>
    <t>JOSE ZACARIAS JUNQUEIRA</t>
  </si>
  <si>
    <t>190</t>
  </si>
  <si>
    <t>IUCHI KIKUCHI SANTOS</t>
  </si>
  <si>
    <t>AGROINSUMOS DEL CAFE - COLOMBIA</t>
  </si>
  <si>
    <t>AGROINSUMOS DEL CAFE SA</t>
  </si>
  <si>
    <t>BOGOTA</t>
  </si>
  <si>
    <t>CALLE 73</t>
  </si>
  <si>
    <t>8-13</t>
  </si>
  <si>
    <t>TRANSGAS DEVELOPMENT SYSTEMS - USA</t>
  </si>
  <si>
    <t>TRANSGAS DEVELOPMENT SYSTEMS</t>
  </si>
  <si>
    <t>NEW YORK</t>
  </si>
  <si>
    <t>630 1 ST AVENUE SUITE 30C</t>
  </si>
  <si>
    <t>(021) 2725-0427</t>
  </si>
  <si>
    <t>VITOR PETRUCCI SANTOS</t>
  </si>
  <si>
    <t>38401044</t>
  </si>
  <si>
    <t>DOMINGOS ALVARES</t>
  </si>
  <si>
    <t>PRESIDENTE ROOSEVELT</t>
  </si>
  <si>
    <t>45</t>
  </si>
  <si>
    <t>MARIANA COSTA RIOS</t>
  </si>
  <si>
    <t>38411094</t>
  </si>
  <si>
    <t>SAO CONRADO</t>
  </si>
  <si>
    <t>PATRIMONIO</t>
  </si>
  <si>
    <t>GUSTAVO DE OLIVEIRA BERNARDES DE SOUZA</t>
  </si>
  <si>
    <t>IRAJA</t>
  </si>
  <si>
    <t>GABRIELA DA SILVA COURA AMARANTE</t>
  </si>
  <si>
    <t>38405378</t>
  </si>
  <si>
    <t>ADHEMAR FREITAS MACEDO</t>
  </si>
  <si>
    <t>ALTO UMUARAMA</t>
  </si>
  <si>
    <t>100</t>
  </si>
  <si>
    <t>THALITA MENDONCA DE RESENDE</t>
  </si>
  <si>
    <t>38405323</t>
  </si>
  <si>
    <t>GUILHERME.NETO</t>
  </si>
  <si>
    <t>PEDRO QUIRINO DA SILVA</t>
  </si>
  <si>
    <t>UMUARAMA</t>
  </si>
  <si>
    <t>2190</t>
  </si>
  <si>
    <t>MOBI SEG</t>
  </si>
  <si>
    <t>38411052</t>
  </si>
  <si>
    <t>MOBI SEG CORRETORA DE SEG. E ASSESS.LTDA</t>
  </si>
  <si>
    <t>LEBLON</t>
  </si>
  <si>
    <t>TABAJARAS</t>
  </si>
  <si>
    <t>140</t>
  </si>
  <si>
    <t>(034) 3306-5222</t>
  </si>
  <si>
    <t>LUCAS PAULO FIGUEIRA</t>
  </si>
  <si>
    <t>38400718</t>
  </si>
  <si>
    <t>BRASIL</t>
  </si>
  <si>
    <t>3539</t>
  </si>
  <si>
    <t>VAGNER AMARANTES GARCIA</t>
  </si>
  <si>
    <t>38414348</t>
  </si>
  <si>
    <t>AV JOSE FONSECA E SILVA</t>
  </si>
  <si>
    <t>LUIZOTE DE FREITAS</t>
  </si>
  <si>
    <t>894</t>
  </si>
  <si>
    <t>(034) 99337-7350</t>
  </si>
  <si>
    <t>RESEARCH REPORT HUB</t>
  </si>
  <si>
    <t>INDIA</t>
  </si>
  <si>
    <t>SECTOR 04</t>
  </si>
  <si>
    <t>SANT NAGAR</t>
  </si>
  <si>
    <t>NÃO CLIENTE - EMERGER FERTILIZANTES</t>
  </si>
  <si>
    <t>YLB - BOLIVIA</t>
  </si>
  <si>
    <t>YACIMIENTOS DE LITIO BOLIVIANOS - YLB</t>
  </si>
  <si>
    <t>MARISCAL SANTA CRUZ</t>
  </si>
  <si>
    <t>PETRODRILL - BOLIVIA</t>
  </si>
  <si>
    <t>PETRODRILL</t>
  </si>
  <si>
    <t>STª CRUZ DE LA SIERRA</t>
  </si>
  <si>
    <t>4TO ANILLO</t>
  </si>
  <si>
    <t>4645</t>
  </si>
  <si>
    <t>FERTILIZANTES DEL SUR S.A.C</t>
  </si>
  <si>
    <t>CIRUNVALACION CLUB GOLF LOS INKAS</t>
  </si>
  <si>
    <t>CAMACHO</t>
  </si>
  <si>
    <t>(051) 1619-9200</t>
  </si>
  <si>
    <t>FILIPE JOSE COLAÇO SILVA</t>
  </si>
  <si>
    <t>38412619</t>
  </si>
  <si>
    <t>JOAO VAZ FERREIRA</t>
  </si>
  <si>
    <t>CHÁCARAS PANORAMA</t>
  </si>
  <si>
    <t>1024</t>
  </si>
  <si>
    <t>(055) 3499677-2607</t>
  </si>
  <si>
    <t>SOLVESA - EQUADOR</t>
  </si>
  <si>
    <t>CASUARINAS</t>
  </si>
  <si>
    <t>VIA DAULE Y</t>
  </si>
  <si>
    <t>(059) 34370-4040</t>
  </si>
  <si>
    <t>EUROFERT - EQUADOR</t>
  </si>
  <si>
    <t>DE LOS SHYRIS</t>
  </si>
  <si>
    <t>344</t>
  </si>
  <si>
    <t>(059) 32382-5615</t>
  </si>
  <si>
    <t>HUMAGRO - PERU</t>
  </si>
  <si>
    <t>AGRO MICRO BIOTECH S.A.C</t>
  </si>
  <si>
    <t>LA MOLINA ESTE</t>
  </si>
  <si>
    <t>3557</t>
  </si>
  <si>
    <t>(051) 01368-3531</t>
  </si>
  <si>
    <t>FENIX FERTILIZANTES</t>
  </si>
  <si>
    <t>PUERTOS Y ESTIBAJES S.A</t>
  </si>
  <si>
    <t>CARLOS ANTONIO LOPEZ PASEO DE FATIMA</t>
  </si>
  <si>
    <t>PARAGUAY RIVER</t>
  </si>
  <si>
    <t>JULIANO FEIJO DA FONSECA</t>
  </si>
  <si>
    <t>LEURY GRECOV</t>
  </si>
  <si>
    <t>SÃO PAULO</t>
  </si>
  <si>
    <t>CARTÃO - NEW CARTÃO GENÉRICO</t>
  </si>
  <si>
    <t>CARTÃO - NEW AGRO</t>
  </si>
  <si>
    <t>UNIVERSITY OF WISCONSIN - ANE LAB - USA</t>
  </si>
  <si>
    <t>UNIVERSITY OF WISCONSIN - ANE LAB</t>
  </si>
  <si>
    <t>MADISON, WI</t>
  </si>
  <si>
    <t>1550 LINDEN DR. ROOM</t>
  </si>
  <si>
    <t>5325</t>
  </si>
  <si>
    <t>ROCHAS CONS. AMB. E ASSOCIADOS LTDA - ME</t>
  </si>
  <si>
    <t>38400062</t>
  </si>
  <si>
    <t>SANTOS DUMONT</t>
  </si>
  <si>
    <t>VILA POVOA</t>
  </si>
  <si>
    <t>980</t>
  </si>
  <si>
    <t>FABIO PIRES DE SOUZA</t>
  </si>
  <si>
    <t>ITUIUTABA</t>
  </si>
  <si>
    <t>HYHCHEM GROUP</t>
  </si>
  <si>
    <t>HENAN HAOYUHANG ECONOMIC&amp;TRADE CO.,LTDA</t>
  </si>
  <si>
    <t>HENAN</t>
  </si>
  <si>
    <t>SANTINATO &amp; SANTINATO CAFÉS LTDA</t>
  </si>
  <si>
    <t>38810000</t>
  </si>
  <si>
    <t>RIO PARANAIBA</t>
  </si>
  <si>
    <t>VIOLETA</t>
  </si>
  <si>
    <t>BAIRRO UNIVESITARIO</t>
  </si>
  <si>
    <t>133</t>
  </si>
  <si>
    <t>QUATRO EMPREENDIMENTOS IMOBILIARIOS</t>
  </si>
  <si>
    <t>38411106</t>
  </si>
  <si>
    <t>QUATRO EMPREENDIMENTOS IMOBILIARIOS LTDA</t>
  </si>
  <si>
    <t>NICOMEDES ALVES DOS SANTOS</t>
  </si>
  <si>
    <t>MORADA DA COLINA</t>
  </si>
  <si>
    <t>1834</t>
  </si>
  <si>
    <t>(055) 343855-2446</t>
  </si>
  <si>
    <t>ANTONIO TOMAS DA ROCHA NETO - ME</t>
  </si>
  <si>
    <t>BUENO BRANDAO</t>
  </si>
  <si>
    <t>3600</t>
  </si>
  <si>
    <t>G D SERVIÇOS INDUSTRIAIS LTDA</t>
  </si>
  <si>
    <t>38400246</t>
  </si>
  <si>
    <t>BOTAFOGO</t>
  </si>
  <si>
    <t>170</t>
  </si>
  <si>
    <t>(034) 99255-0077</t>
  </si>
  <si>
    <t>RIO CLARO S.A.S - COLOMBIA</t>
  </si>
  <si>
    <t>RIO CLARO S.A.S</t>
  </si>
  <si>
    <t>MEDELLIN</t>
  </si>
  <si>
    <t>CIRCULAR 4</t>
  </si>
  <si>
    <t>69-34</t>
  </si>
  <si>
    <t>MP GALAGRO S.A.S. - COLOMBIA</t>
  </si>
  <si>
    <t>MP GALAGRO S.A.S.</t>
  </si>
  <si>
    <t>ITAGUI</t>
  </si>
  <si>
    <t>CARRERA 42</t>
  </si>
  <si>
    <t>84-5</t>
  </si>
  <si>
    <t>VELZAGRO S.A.S - COLOMBIA</t>
  </si>
  <si>
    <t>VELZAGRO S.A.S</t>
  </si>
  <si>
    <t>YUMBO</t>
  </si>
  <si>
    <t>CARRERA 36</t>
  </si>
  <si>
    <t>12-251</t>
  </si>
  <si>
    <t>(057) 2695-9221</t>
  </si>
  <si>
    <t>INKABOR - PERU</t>
  </si>
  <si>
    <t>INKABOR</t>
  </si>
  <si>
    <t>AREQUIPA</t>
  </si>
  <si>
    <t>ITALIA</t>
  </si>
  <si>
    <t>PQ. INDUST. RIO SECO</t>
  </si>
  <si>
    <t>SERPA USA</t>
  </si>
  <si>
    <t>HAIHANG INDUSTRY CO. LTD</t>
  </si>
  <si>
    <t>ZXALEXSANDR</t>
  </si>
  <si>
    <t>TIANJIN, CHINA</t>
  </si>
  <si>
    <t>ZHAPU ROAD</t>
  </si>
  <si>
    <t>512</t>
  </si>
  <si>
    <t>SERPA CHINA CONSULTING GROUP LTD.</t>
  </si>
  <si>
    <t>SERPA USA TRADING</t>
  </si>
  <si>
    <t>MIAMI</t>
  </si>
  <si>
    <t>7858 NW 71ST STREET</t>
  </si>
  <si>
    <t>JOSE BATISTA DA CUNHA JR</t>
  </si>
  <si>
    <t>38411002</t>
  </si>
  <si>
    <t>LIBERDADE</t>
  </si>
  <si>
    <t>COPACABANA</t>
  </si>
  <si>
    <t>243</t>
  </si>
  <si>
    <t>FERNANDO JANSEN WYCHRISTUK</t>
  </si>
  <si>
    <t>38400236</t>
  </si>
  <si>
    <t>RUA SENADOR SALGADO FILHO</t>
  </si>
  <si>
    <t>MARACANÃ</t>
  </si>
  <si>
    <t>642</t>
  </si>
  <si>
    <t>TIMAC AGRO - ARGENTINA</t>
  </si>
  <si>
    <t>TIMAC AGRO ARGENTINA</t>
  </si>
  <si>
    <t>RODRIGUEZ DE BUSTO</t>
  </si>
  <si>
    <t>ALTO VERDE</t>
  </si>
  <si>
    <t>4086</t>
  </si>
  <si>
    <t>ZINSA - PERU</t>
  </si>
  <si>
    <t>ZINC INDUSTRIAIS NACIONALES S.A.</t>
  </si>
  <si>
    <t>CALLAO</t>
  </si>
  <si>
    <t>NESTOR GAMBETTA</t>
  </si>
  <si>
    <t>9053</t>
  </si>
  <si>
    <t>LIGNOQUIM - EQUADOR</t>
  </si>
  <si>
    <t>LIGNOQUIM</t>
  </si>
  <si>
    <t>DE LAS AMERICAS</t>
  </si>
  <si>
    <t>I.C. MAIA SERVIÇOS GRAFICOS</t>
  </si>
  <si>
    <t>38408102</t>
  </si>
  <si>
    <t>FRANCISCO VICENTE FERREIRA</t>
  </si>
  <si>
    <t>180</t>
  </si>
  <si>
    <t>ANUVIA PLANTS NUTRIENTS - USA</t>
  </si>
  <si>
    <t>ANUVIA PLANTS NUTRIENTS</t>
  </si>
  <si>
    <t>ZELLWOOD</t>
  </si>
  <si>
    <t>6751 W JONES AVE</t>
  </si>
  <si>
    <t>ADVANSIX - USA</t>
  </si>
  <si>
    <t>ADVANSIX</t>
  </si>
  <si>
    <t>PARSIPPANY</t>
  </si>
  <si>
    <t>300 KIMBALL DR</t>
  </si>
  <si>
    <t>BEST FED CHILE S.A.</t>
  </si>
  <si>
    <t>OSORNO</t>
  </si>
  <si>
    <t>848</t>
  </si>
  <si>
    <t>JORGE JOSE BEZERRA JUNIOR</t>
  </si>
  <si>
    <t>ZMARCIELLE</t>
  </si>
  <si>
    <t>BRACO DO NORTE</t>
  </si>
  <si>
    <t>TRADING SUR S.A. - PARAGUAI</t>
  </si>
  <si>
    <t>TRADING SUR S.A.</t>
  </si>
  <si>
    <t>CHILE</t>
  </si>
  <si>
    <t>398</t>
  </si>
  <si>
    <t>FRANCISCO FRANCIMARIO DE LUCENA</t>
  </si>
  <si>
    <t>49950000</t>
  </si>
  <si>
    <t>JAPOATÃ</t>
  </si>
  <si>
    <t>RODOVIA COMENDADOR MANOEL GONCALVES</t>
  </si>
  <si>
    <t>KM 14</t>
  </si>
  <si>
    <t>MECANICA INDUSTRIAL SCHIAVINATO - EPP</t>
  </si>
  <si>
    <t>38402810</t>
  </si>
  <si>
    <t>RUA CESAR MUGNATO</t>
  </si>
  <si>
    <t>151</t>
  </si>
  <si>
    <t>(034) 3215-1000</t>
  </si>
  <si>
    <t>SOFBEY SA</t>
  </si>
  <si>
    <t>GENEVA</t>
  </si>
  <si>
    <t>RUA DE GRAMAN</t>
  </si>
  <si>
    <t>PUPLING</t>
  </si>
  <si>
    <t>12</t>
  </si>
  <si>
    <t>ALIANCA SIPA</t>
  </si>
  <si>
    <t>91787740</t>
  </si>
  <si>
    <t>PORTO ALEGRE</t>
  </si>
  <si>
    <t>ESTRADA SAO CAETANO</t>
  </si>
  <si>
    <t>LAMI</t>
  </si>
  <si>
    <t>1888</t>
  </si>
  <si>
    <t>ASA AERO AGRICOLA LTDA</t>
  </si>
  <si>
    <t>38400366</t>
  </si>
  <si>
    <t>ASA AERO AGRICOLA</t>
  </si>
  <si>
    <t>PRACA NICOLAU FERES</t>
  </si>
  <si>
    <t>MARTINS</t>
  </si>
  <si>
    <t>QATAR CHEM AND PETROC MARK AND DIST CO</t>
  </si>
  <si>
    <t>DOHA</t>
  </si>
  <si>
    <t>AL DANA TOWER STREET</t>
  </si>
  <si>
    <t>837</t>
  </si>
  <si>
    <t>BIO ETANOL SOCIAEDAD ANONIMA</t>
  </si>
  <si>
    <t>CIDADE DE GUATEMALA</t>
  </si>
  <si>
    <t>DIAGONAL 6</t>
  </si>
  <si>
    <t>ZONA 10</t>
  </si>
  <si>
    <t>ASA AGROSERVICE AGRICOLA LTDA</t>
  </si>
  <si>
    <t>IMPORT EXPORT COPLA - BOLIVIA</t>
  </si>
  <si>
    <t>IMPORT EXPORT COPLA LTDA</t>
  </si>
  <si>
    <t>SANCHEZ LIMA</t>
  </si>
  <si>
    <t>SOPOCACHI</t>
  </si>
  <si>
    <t>2127</t>
  </si>
  <si>
    <t>KOCH FERTILIZE,LLC</t>
  </si>
  <si>
    <t>DIRECT HEDGE DANMARK FONDSMAEGLERSELSKAB</t>
  </si>
  <si>
    <t>TUBORG BOULEVARD 12, 3.SAL</t>
  </si>
  <si>
    <t>2900</t>
  </si>
  <si>
    <t>38412422</t>
  </si>
  <si>
    <t>ELIM</t>
  </si>
  <si>
    <t>452</t>
  </si>
  <si>
    <t>ABONOS DEL PARAGUAY S.A</t>
  </si>
  <si>
    <t>COLONEL ESPIRITU ARANDA</t>
  </si>
  <si>
    <t>JOSE RIBEIRO</t>
  </si>
  <si>
    <t>00000000</t>
  </si>
  <si>
    <t>(041) 99863-4377</t>
  </si>
  <si>
    <t>OPPAR BUSINESS S.A. - PARAGUAI</t>
  </si>
  <si>
    <t>OPPAR BUSINESS S.A.</t>
  </si>
  <si>
    <t>CHILE ESQUINA ESTRELA</t>
  </si>
  <si>
    <t>CORONEL ESPIRITU ARANDA</t>
  </si>
  <si>
    <t>2810</t>
  </si>
  <si>
    <t>NUTRIEN CHILE</t>
  </si>
  <si>
    <t>NUTRIEN AG SOLUTIONS CHILE S.A</t>
  </si>
  <si>
    <t>4700</t>
  </si>
  <si>
    <t>SEFERSSA - MEXICO</t>
  </si>
  <si>
    <t>SEMILLAS FERTILIZANTES Y SERVICIOS S.A.</t>
  </si>
  <si>
    <t>LOS MOCHIS</t>
  </si>
  <si>
    <t>BLVD ADOLFO LOPEZ MATEOS</t>
  </si>
  <si>
    <t>2360</t>
  </si>
  <si>
    <t>MARCELO MOREIRA</t>
  </si>
  <si>
    <t>PACIFEX S.A DE C.V</t>
  </si>
  <si>
    <t>AVENIDA MARIANO OTERO</t>
  </si>
  <si>
    <t>2347</t>
  </si>
  <si>
    <t>GLENCORE - SAMSA - ARGENTINA</t>
  </si>
  <si>
    <t>SUCESION DE ANTONIO MORENO S.A.</t>
  </si>
  <si>
    <t>AV BELGRANO</t>
  </si>
  <si>
    <t>485</t>
  </si>
  <si>
    <t>DAILSON MANOEL DA CONSTA FILHO</t>
  </si>
  <si>
    <t>38604000</t>
  </si>
  <si>
    <t>DOM BOSCO</t>
  </si>
  <si>
    <t>FAZENDA ESTANCIO RIO PRETO</t>
  </si>
  <si>
    <t>38401883</t>
  </si>
  <si>
    <t>ALAOR CARLOS GARCIA</t>
  </si>
  <si>
    <t>JARDIM BRASILIA</t>
  </si>
  <si>
    <t>455</t>
  </si>
  <si>
    <t>(034) 98426-3424</t>
  </si>
  <si>
    <t>LOYANNE CRISTINA SOUZA LOPES</t>
  </si>
  <si>
    <t>38410246</t>
  </si>
  <si>
    <t>TAILANDIA</t>
  </si>
  <si>
    <t>646</t>
  </si>
  <si>
    <t>(034) 99261-2439</t>
  </si>
  <si>
    <t>AGROEMPRESA COLON</t>
  </si>
  <si>
    <t>AGROEMPRESA COLON S.A</t>
  </si>
  <si>
    <t>RUTA 9</t>
  </si>
  <si>
    <t>YARA MEXICO</t>
  </si>
  <si>
    <t>AV AMERICAS</t>
  </si>
  <si>
    <t>COLONIA PROVIDENCIA</t>
  </si>
  <si>
    <t>1545</t>
  </si>
  <si>
    <t>IND. DE MIN. LA COLINA INDUC. CIA. LTDA</t>
  </si>
  <si>
    <t>KM 68 VÍA A PLAYAS (PROGRESSO)</t>
  </si>
  <si>
    <t>(059) 398755-8425</t>
  </si>
  <si>
    <t>VIBRASERVICE SERVIÇOS LTDA</t>
  </si>
  <si>
    <t>38400652</t>
  </si>
  <si>
    <t>ZBRENDON</t>
  </si>
  <si>
    <t>SANTA CATARINA</t>
  </si>
  <si>
    <t>426</t>
  </si>
  <si>
    <t>(034) 3224-3348</t>
  </si>
  <si>
    <t>ADVANSIX - REINO UNIDO</t>
  </si>
  <si>
    <t>CHESTER</t>
  </si>
  <si>
    <t>BERMUDA HUNDRED</t>
  </si>
  <si>
    <t>BUILDING 12</t>
  </si>
  <si>
    <t>4101</t>
  </si>
  <si>
    <t>LOS LAPACHOS C/ RIO PARANA - PUERTO TROCIUK FERTICOM</t>
  </si>
  <si>
    <t>Fertilizantes y Enmiendas Fertymend SAS</t>
  </si>
  <si>
    <t>MOSAIC FERTILIZER</t>
  </si>
  <si>
    <t>LITHIA</t>
  </si>
  <si>
    <t>1 CIRCA CROSSING DRIVE</t>
  </si>
  <si>
    <t>3830</t>
  </si>
  <si>
    <t>BUDDYS PLANT</t>
  </si>
  <si>
    <t>BUDDYS PLANT PLUS CORPORATION</t>
  </si>
  <si>
    <t>BALLINGER</t>
  </si>
  <si>
    <t>NORTH BROADWAY</t>
  </si>
  <si>
    <t>2022</t>
  </si>
  <si>
    <t>JM FERTILIZER</t>
  </si>
  <si>
    <t>TAMPA</t>
  </si>
  <si>
    <t>RUA AZEELE</t>
  </si>
  <si>
    <t>610</t>
  </si>
  <si>
    <t>DISAGRO DE GUATEMALA, S.A.</t>
  </si>
  <si>
    <t>ANILLO PERIFÉRICO</t>
  </si>
  <si>
    <t>17-36</t>
  </si>
  <si>
    <t>MAYAFERT</t>
  </si>
  <si>
    <t>Mayafert</t>
  </si>
  <si>
    <t>13 CALLE</t>
  </si>
  <si>
    <t>3-40</t>
  </si>
  <si>
    <t>FERTICA</t>
  </si>
  <si>
    <t>BULEVAR DE LOS HEROES</t>
  </si>
  <si>
    <t>COLINAGRO</t>
  </si>
  <si>
    <t>CARRERA</t>
  </si>
  <si>
    <t>72</t>
  </si>
  <si>
    <t>MUNDISLEY JOSÉ ALVES DAS NEVES</t>
  </si>
  <si>
    <t>38402210</t>
  </si>
  <si>
    <t>MUNDISLEY JOSE ALVES DAS NEVES</t>
  </si>
  <si>
    <t>RUA DA TULHA</t>
  </si>
  <si>
    <t>MINAS GERAIS</t>
  </si>
  <si>
    <t>2999</t>
  </si>
  <si>
    <t>VER MEXPORT TRADING - SUMAGRO 2 ARGENTIN</t>
  </si>
  <si>
    <t>VER MEXPORT TRADING SA DE CV</t>
  </si>
  <si>
    <t>RUA 14</t>
  </si>
  <si>
    <t>JAKE LINNEMAN</t>
  </si>
  <si>
    <t>STILLWATER</t>
  </si>
  <si>
    <t>1233 W OSAGE DR</t>
  </si>
  <si>
    <t>CAIO HENRIQUE FALEIROS</t>
  </si>
  <si>
    <t>38414656</t>
  </si>
  <si>
    <t>JOSE DE SOUSA REZENDE</t>
  </si>
  <si>
    <t>48</t>
  </si>
  <si>
    <t>(034) 99192-6700</t>
  </si>
  <si>
    <t>SINOCHEM PHARMACEUTICAL CO LTD</t>
  </si>
  <si>
    <t>NANJING</t>
  </si>
  <si>
    <t>JINCHENG TOWER</t>
  </si>
  <si>
    <t>MIDDLE LONGPAN ROAD</t>
  </si>
  <si>
    <t>216</t>
  </si>
  <si>
    <t>FRANCISCO ERMELINDO RODRIGUES,</t>
  </si>
  <si>
    <t>39440000</t>
  </si>
  <si>
    <t>Francisco Ermelindo Rodrigues,</t>
  </si>
  <si>
    <t>JANAUBA</t>
  </si>
  <si>
    <t>REINALDO VIANA</t>
  </si>
  <si>
    <t>MORADA DO SOL</t>
  </si>
  <si>
    <t>1976</t>
  </si>
  <si>
    <t>PUERTO SEGURO</t>
  </si>
  <si>
    <t>Puerto Seguro Fluvial S.A.</t>
  </si>
  <si>
    <t>RUTA VILLETA - ALBERDI K. 4,5,</t>
  </si>
  <si>
    <t>(059) 521238-1627</t>
  </si>
  <si>
    <t>BMF INVESTIMENTOS LTDA</t>
  </si>
  <si>
    <t>30110044</t>
  </si>
  <si>
    <t>AVENIDA DO CONTORNO</t>
  </si>
  <si>
    <t>SAVASSI</t>
  </si>
  <si>
    <t>6594</t>
  </si>
  <si>
    <t>(034) 3222-0652</t>
  </si>
  <si>
    <t>JOAQUIM CARLOS DE OLIVEIRA</t>
  </si>
  <si>
    <t>38405248</t>
  </si>
  <si>
    <t>ACRE</t>
  </si>
  <si>
    <t>CUSTÓDIO PEREIRA</t>
  </si>
  <si>
    <t>NÃO CLIENTE - MOSAIC TOLL CAMPO GRANDE</t>
  </si>
  <si>
    <t>NÃO CLIENTE - MOSAIC MIST CATALÃO</t>
  </si>
  <si>
    <t>NÃO CLIENTE - MOSAIC TOLL ALFENAS</t>
  </si>
  <si>
    <t>NÃO CLIENTE - MOSAIC TOLL ANAPOLIS</t>
  </si>
  <si>
    <t>CAMPO GRANDE  MATO G</t>
  </si>
  <si>
    <t>NÃO CLIENTE - MOSAIC TOLL CEFERTIL CUBAT</t>
  </si>
  <si>
    <t>NÃO CLIENTE - MOSAIC TOLL JM LINK RONDON</t>
  </si>
  <si>
    <t>NÃO CLIENTE - MOSAIC TOLL RIO GRANDENSE</t>
  </si>
  <si>
    <t>MARIO LUCIO CHAVES CINTRA PAZINI</t>
  </si>
  <si>
    <t>78464046</t>
  </si>
  <si>
    <t>ANITA GARIBALDI</t>
  </si>
  <si>
    <t>PARQUE DAS ARARAS</t>
  </si>
  <si>
    <t>1565</t>
  </si>
  <si>
    <t>PEDRO HENRIQUE RODRIGUES SILVA</t>
  </si>
  <si>
    <t>APARECIDO LAMANES DOS SANTOS</t>
  </si>
  <si>
    <t>MANSOUR III</t>
  </si>
  <si>
    <t>1241</t>
  </si>
  <si>
    <t>(034) 98400-9105</t>
  </si>
  <si>
    <t>HARLEY BOAVENTURA DE MORAES</t>
  </si>
  <si>
    <t>ANTECIPE CONSULTORIA CRED COBRANÇA LTDA</t>
  </si>
  <si>
    <t>88032005</t>
  </si>
  <si>
    <t>FLORIANOPOLIS</t>
  </si>
  <si>
    <t>JOSE CARLOS DAUX</t>
  </si>
  <si>
    <t>SACO GRANDE</t>
  </si>
  <si>
    <t>5500</t>
  </si>
  <si>
    <t>(034) 3211-1589</t>
  </si>
  <si>
    <t>HIGH HOPE</t>
  </si>
  <si>
    <t>HIGH HOPE INT´L GROUP JIANGSU IMP EXP CO</t>
  </si>
  <si>
    <t>JOSE.F</t>
  </si>
  <si>
    <t>QINGDAO</t>
  </si>
  <si>
    <t>LEONARDO CAMPOS FARIA</t>
  </si>
  <si>
    <t>38405275</t>
  </si>
  <si>
    <t>VISCONDE DE OURO PRETO</t>
  </si>
  <si>
    <t>990</t>
  </si>
  <si>
    <t>LUCIO NICOLÁS NAYA GARAT</t>
  </si>
  <si>
    <t>Lucio Nicolás Naya Garat</t>
  </si>
  <si>
    <t>MARIANO ACHA</t>
  </si>
  <si>
    <t>3928</t>
  </si>
  <si>
    <t>MILENA LIMA SEGISMUNDO</t>
  </si>
  <si>
    <t>38408106</t>
  </si>
  <si>
    <t>IZAAC DE OLIVEIRA</t>
  </si>
  <si>
    <t>166</t>
  </si>
  <si>
    <t>(034) 99240-0090</t>
  </si>
  <si>
    <t>AGROINSUMOS S.A.S - COLOMBIA</t>
  </si>
  <si>
    <t>AGROINSUMOS S.A.S</t>
  </si>
  <si>
    <t>CARTAGO - VALLE DEL CAUCA</t>
  </si>
  <si>
    <t>RUA 13</t>
  </si>
  <si>
    <t>56-20</t>
  </si>
  <si>
    <t>VALTER RIBEIRO RICHTER NETO</t>
  </si>
  <si>
    <t>78705609</t>
  </si>
  <si>
    <t>PIAUÍ</t>
  </si>
  <si>
    <t>JARDIM BELO HORIZONTE</t>
  </si>
  <si>
    <t>2107</t>
  </si>
  <si>
    <t>3301</t>
  </si>
  <si>
    <t>CR 53 80 198 OF 201</t>
  </si>
  <si>
    <t>201</t>
  </si>
  <si>
    <t>VITOR DONIZETH CAIXETA</t>
  </si>
  <si>
    <t>38706194</t>
  </si>
  <si>
    <t>DOUTOR MARIO DA FONSECA FILHO</t>
  </si>
  <si>
    <t>GRAMADO</t>
  </si>
  <si>
    <t>517</t>
  </si>
  <si>
    <t>SPORA C.L.</t>
  </si>
  <si>
    <t>AV. 3RA</t>
  </si>
  <si>
    <t>PARROQUIA PASCUALES</t>
  </si>
  <si>
    <t>(059) 399325-9035</t>
  </si>
  <si>
    <t>Cargill Argentina</t>
  </si>
  <si>
    <t>(054) 291459-9200</t>
  </si>
  <si>
    <t>LUISMAR SANTOS</t>
  </si>
  <si>
    <t>38401392</t>
  </si>
  <si>
    <t>Luismar Santos</t>
  </si>
  <si>
    <t>RUA CRUZEIRO DO SUL</t>
  </si>
  <si>
    <t>852</t>
  </si>
  <si>
    <t>(034) 99630-7557</t>
  </si>
  <si>
    <t>MARCELO SILVIO DAINEIS 81915136920</t>
  </si>
  <si>
    <t>14407707</t>
  </si>
  <si>
    <t>31.057.157 MARCELO SILVIO DAINEIS</t>
  </si>
  <si>
    <t>FRANCA</t>
  </si>
  <si>
    <t>RUA FRANK CESAR PEREIRA</t>
  </si>
  <si>
    <t>RECANTO CAPITÃO HELIODORO</t>
  </si>
  <si>
    <t>703</t>
  </si>
  <si>
    <t>(055) 168144-7851</t>
  </si>
  <si>
    <t>MOVIPORT DEP. Y LOG. - ARGENTINA</t>
  </si>
  <si>
    <t>Moviport Depósitos Y Logística</t>
  </si>
  <si>
    <t>AVENIDA LAS ROSA</t>
  </si>
  <si>
    <t>SAN NICOLÁS DE LOS ARROYOS</t>
  </si>
  <si>
    <t>(054) 336446-2628</t>
  </si>
  <si>
    <t>INSAPRO S.A.S. - COLOMBIA</t>
  </si>
  <si>
    <t>VIA 40 N°85-1495</t>
  </si>
  <si>
    <t>LAS FLORES</t>
  </si>
  <si>
    <t>85</t>
  </si>
  <si>
    <t>78898006</t>
  </si>
  <si>
    <t>TRAVESSA SÃO SIMÃO</t>
  </si>
  <si>
    <t>SÃO MATEUS</t>
  </si>
  <si>
    <t>55</t>
  </si>
  <si>
    <t>LUIZ HENRIQUE LEMES</t>
  </si>
  <si>
    <t>38421559</t>
  </si>
  <si>
    <t>Luiz Henrique Lemes</t>
  </si>
  <si>
    <t>MARIA GADIA SAMPAIO</t>
  </si>
  <si>
    <t>LOTEAMENTO MONTE HEBRON</t>
  </si>
  <si>
    <t>367</t>
  </si>
  <si>
    <t>38414142</t>
  </si>
  <si>
    <t>Stenio Freitas Carvalho</t>
  </si>
  <si>
    <t>FELDSPATO</t>
  </si>
  <si>
    <t>JARDIM PATRÍCIA</t>
  </si>
  <si>
    <t>91</t>
  </si>
  <si>
    <t>(034) 99891-5011</t>
  </si>
  <si>
    <t>38408280</t>
  </si>
  <si>
    <t>Michel Magaiver Assunção Barbosa</t>
  </si>
  <si>
    <t>SEBASTIÃO JOSÉ SOBRINHO</t>
  </si>
  <si>
    <t>SEGISMUNDO PEREIRA</t>
  </si>
  <si>
    <t>5136</t>
  </si>
  <si>
    <t>MARQUINHO CONSTRUTORA</t>
  </si>
  <si>
    <t>38415207</t>
  </si>
  <si>
    <t>MARCOS ANTONIO MONTEIRO</t>
  </si>
  <si>
    <t>RUA CELIDA MARIA SAMPAIO</t>
  </si>
  <si>
    <t>176</t>
  </si>
  <si>
    <t>(055) 343238-1748</t>
  </si>
  <si>
    <t>ALESSANDRO JOSE FELISBINO</t>
  </si>
  <si>
    <t>38401048</t>
  </si>
  <si>
    <t>CESARIO CROSARA</t>
  </si>
  <si>
    <t>1426</t>
  </si>
  <si>
    <t>FUNILARIA E PINTURA BETO</t>
  </si>
  <si>
    <t>37130001</t>
  </si>
  <si>
    <t>PUPIN &amp; CRELEZ LTDA</t>
  </si>
  <si>
    <t>JAIR FURTADO</t>
  </si>
  <si>
    <t>JARDIM AMÉRICA</t>
  </si>
  <si>
    <t>10</t>
  </si>
  <si>
    <t>BERLITZ CENTRO DE IDIOMAS LTDA</t>
  </si>
  <si>
    <t>06754210</t>
  </si>
  <si>
    <t>TABOÃO DA SERRA</t>
  </si>
  <si>
    <t>ARMANDO DE ANDRADE</t>
  </si>
  <si>
    <t>PARQUE SANTOS DUMONT</t>
  </si>
  <si>
    <t>287</t>
  </si>
  <si>
    <t>LABORATORIO SOLO CERTO</t>
  </si>
  <si>
    <t>78455000</t>
  </si>
  <si>
    <t>SOLO CERTO LABORATORIO DE ANALISES DE SO</t>
  </si>
  <si>
    <t>RUA AMAZONAS</t>
  </si>
  <si>
    <t>PIONEIRO</t>
  </si>
  <si>
    <t>1450</t>
  </si>
  <si>
    <t>SOBERANA LIMPEZA, CONSERVAÇÃO E MANUTEN</t>
  </si>
  <si>
    <t>JOAO NAVES DE AVILA</t>
  </si>
  <si>
    <t>631</t>
  </si>
  <si>
    <t>UDIPRIME SERVIÇOS AUTOMOTIVOS LTDA</t>
  </si>
  <si>
    <t>38405307</t>
  </si>
  <si>
    <t>JOÃO PINHEIRO</t>
  </si>
  <si>
    <t>JARDIM UMUARAMA</t>
  </si>
  <si>
    <t>4200</t>
  </si>
  <si>
    <t>FERNANDO H. PEREIRA DE SOUZA 08909488603</t>
  </si>
  <si>
    <t>38405216</t>
  </si>
  <si>
    <t>EUCLIDES DA CUNHA</t>
  </si>
  <si>
    <t>CUSTODIO PEREIRA</t>
  </si>
  <si>
    <t>104</t>
  </si>
  <si>
    <t>GRUPO TCDN</t>
  </si>
  <si>
    <t>PUEBLA</t>
  </si>
  <si>
    <t>31 A SUR</t>
  </si>
  <si>
    <t>COL. EL VERGEL</t>
  </si>
  <si>
    <t>3502</t>
  </si>
  <si>
    <t>(022) 2248-5794</t>
  </si>
  <si>
    <t>CAIO EDILSON LAZARI</t>
  </si>
  <si>
    <t>83209340</t>
  </si>
  <si>
    <t>DOMINGOS PENEDA</t>
  </si>
  <si>
    <t>SÃO VICENTE</t>
  </si>
  <si>
    <t>2155</t>
  </si>
  <si>
    <t>FENIX HOTEL ARAXA LTDA</t>
  </si>
  <si>
    <t>38184200</t>
  </si>
  <si>
    <t>ZEDUARDO-H</t>
  </si>
  <si>
    <t>AV. JOSÉ ANANIAS DE AGUIAR</t>
  </si>
  <si>
    <t>BOA VISTA</t>
  </si>
  <si>
    <t>5145</t>
  </si>
  <si>
    <t>RERISSON SANTOS SOUSA</t>
  </si>
  <si>
    <t>38412864</t>
  </si>
  <si>
    <t>ZARLINDO</t>
  </si>
  <si>
    <t>JOÃO PEREIRA DE CARVALHO</t>
  </si>
  <si>
    <t>JARDIM HOLANDA</t>
  </si>
  <si>
    <t>460</t>
  </si>
  <si>
    <t>(034) 99149-3522</t>
  </si>
  <si>
    <t>63300000</t>
  </si>
  <si>
    <t>LARTIRIGOYEN Y CÍA S.A</t>
  </si>
  <si>
    <t>VICTOR J. DEL CARRIL</t>
  </si>
  <si>
    <t>CATRILÓ</t>
  </si>
  <si>
    <t>(054) 9115058-7553</t>
  </si>
  <si>
    <t>38408032</t>
  </si>
  <si>
    <t>NICODEMOS ALVES DOS SANTOS</t>
  </si>
  <si>
    <t>SARAIVA</t>
  </si>
  <si>
    <t>ANGLO AMERICAN</t>
  </si>
  <si>
    <t>Anglo American</t>
  </si>
  <si>
    <t>SCARBOROUGH</t>
  </si>
  <si>
    <t>LAKE VIEW</t>
  </si>
  <si>
    <t>YO113B</t>
  </si>
  <si>
    <t>GALFARM S.A - URUGUAI</t>
  </si>
  <si>
    <t>GALFARM S.A</t>
  </si>
  <si>
    <t>CERRITO</t>
  </si>
  <si>
    <t>572/2</t>
  </si>
  <si>
    <t>(059) 89100-0179</t>
  </si>
  <si>
    <t>CORPO DE BOMBEIROS MILITAR DE MINAS GERA</t>
  </si>
  <si>
    <t>31630900</t>
  </si>
  <si>
    <t>ROD PAPA JOAO PAULO II</t>
  </si>
  <si>
    <t>SERRA VERDE</t>
  </si>
  <si>
    <t>4143</t>
  </si>
  <si>
    <t>SGS CHINA</t>
  </si>
  <si>
    <t>CSTC STANDARDS TECHNICAL SERVICES (QINGD</t>
  </si>
  <si>
    <t>ZHUZHOU ROAD</t>
  </si>
  <si>
    <t>LAOSHAN DISTRICT</t>
  </si>
  <si>
    <t>143</t>
  </si>
  <si>
    <t>SERPA INTERNATIONAL LOGISTICS AGENCIAMEN</t>
  </si>
  <si>
    <t>11013161</t>
  </si>
  <si>
    <t>SERPA INTERNATIONAL LOGISTICS</t>
  </si>
  <si>
    <t>BRAZ CUBAS</t>
  </si>
  <si>
    <t>03/09</t>
  </si>
  <si>
    <t>(055) 312104-5501</t>
  </si>
  <si>
    <t>EULER ANIBALDO DOS SANTOS 96628944620</t>
  </si>
  <si>
    <t>38410661</t>
  </si>
  <si>
    <t>AMAZONIA</t>
  </si>
  <si>
    <t>JARDIM BOTANICO</t>
  </si>
  <si>
    <t>540</t>
  </si>
  <si>
    <t>(055) 343225-2114</t>
  </si>
  <si>
    <t>PTP - URUGUAY</t>
  </si>
  <si>
    <t>PTP URUGUAY</t>
  </si>
  <si>
    <t>NUEVA PALMIRA</t>
  </si>
  <si>
    <t>BRAVO 684</t>
  </si>
  <si>
    <t>70700</t>
  </si>
  <si>
    <t>CATHEQUIM - VENEZUELA</t>
  </si>
  <si>
    <t>CHIVACOA</t>
  </si>
  <si>
    <t>SORTE, HOMBRILLO NORTE, LOCAL GALPÓN CATHEQUIM</t>
  </si>
  <si>
    <t>FERTI - VENEZUELA</t>
  </si>
  <si>
    <t>BARCELONA</t>
  </si>
  <si>
    <t>PRINCIPAL DE MESONES GALPÓN</t>
  </si>
  <si>
    <t>37130774</t>
  </si>
  <si>
    <t>MARCELO MARQUES COBRA</t>
  </si>
  <si>
    <t>JUSCELINO FERREIRA</t>
  </si>
  <si>
    <t>JARDIM AEROPORTO</t>
  </si>
  <si>
    <t>26</t>
  </si>
  <si>
    <t>INDORAMA BRASIL LTDA - ADFERT</t>
  </si>
  <si>
    <t>INDORAMA CARTÃO CORPORATIVO</t>
  </si>
  <si>
    <t>13091605</t>
  </si>
  <si>
    <t>INDORAMA IHBL</t>
  </si>
  <si>
    <t>INDORAMA BRASIL LTDA</t>
  </si>
  <si>
    <t>CAMPINAS</t>
  </si>
  <si>
    <t>SELMA PARADA BAILARINA</t>
  </si>
  <si>
    <t>JARDIM MADALENA</t>
  </si>
  <si>
    <t>505</t>
  </si>
  <si>
    <t>CANDEIAS HOTEL</t>
  </si>
  <si>
    <t>14300001</t>
  </si>
  <si>
    <t>N &amp; N HOTELARIA LTDA</t>
  </si>
  <si>
    <t>ZBENVINDO</t>
  </si>
  <si>
    <t>QUATORZE DE MARCO</t>
  </si>
  <si>
    <t>RIACHUELO</t>
  </si>
  <si>
    <t>1161</t>
  </si>
  <si>
    <t>(055) 163761-4700</t>
  </si>
  <si>
    <t>RENATO FONSECA RODRIGUES DOS SANTOS</t>
  </si>
  <si>
    <t>38401574</t>
  </si>
  <si>
    <t>ZMICHELLE</t>
  </si>
  <si>
    <t>R VINTE E UM DE ABRIL</t>
  </si>
  <si>
    <t>PACAEMBU</t>
  </si>
  <si>
    <t>629</t>
  </si>
  <si>
    <t>(038) 99108-8975</t>
  </si>
  <si>
    <t>ICT TRADING</t>
  </si>
  <si>
    <t>00200136</t>
  </si>
  <si>
    <t>ICT-Industrial Chemicals Trading CO., LT</t>
  </si>
  <si>
    <t>SHANGHAI</t>
  </si>
  <si>
    <t>ROOM 705, BLOCK 6, NO. 3611, ZHANGYANG ROAD</t>
  </si>
  <si>
    <t>PUDONG DISTRICT</t>
  </si>
  <si>
    <t>(011) 4615-5150</t>
  </si>
  <si>
    <t>LUIZ CARLOS SANTOS VIEIRA</t>
  </si>
  <si>
    <t>14710020</t>
  </si>
  <si>
    <t>BEBEDOURO</t>
  </si>
  <si>
    <t>ATILIO SANTIN</t>
  </si>
  <si>
    <t>RESIDENCIAL BEBEDOURO</t>
  </si>
  <si>
    <t>00051010</t>
  </si>
  <si>
    <t>CALLE 45 # 50</t>
  </si>
  <si>
    <t>57886-8164</t>
  </si>
  <si>
    <t>KP CONSULTORIA LTDA</t>
  </si>
  <si>
    <t>38400234</t>
  </si>
  <si>
    <t>FERNANDO COSTA</t>
  </si>
  <si>
    <t>177</t>
  </si>
  <si>
    <t>(055) 343235-5400</t>
  </si>
  <si>
    <t>MAQUINARIAS</t>
  </si>
  <si>
    <t>ZONA INDUSTRIAL</t>
  </si>
  <si>
    <t>205</t>
  </si>
  <si>
    <t>(051) 97657-1099</t>
  </si>
  <si>
    <t>Fertilizantes Eficientes Balanceados Fer</t>
  </si>
  <si>
    <t>COOP. 13 DE MAYO</t>
  </si>
  <si>
    <t>OCHÔA LÉON</t>
  </si>
  <si>
    <t>(059) 393993-8796</t>
  </si>
  <si>
    <t>OSVALDO ANTONIO DE OLIVEIRA NETO</t>
  </si>
  <si>
    <t>38401566</t>
  </si>
  <si>
    <t>Osvaldo Antonio de Oliveira Neto</t>
  </si>
  <si>
    <t>1° DE JANEIRO</t>
  </si>
  <si>
    <t>DAYAN PEREIRA DE ALBUQUERQUE</t>
  </si>
  <si>
    <t>38405104</t>
  </si>
  <si>
    <t>Dayan Pereira de Albuquerque</t>
  </si>
  <si>
    <t>ALASCA</t>
  </si>
  <si>
    <t>TIBERY</t>
  </si>
  <si>
    <t>400</t>
  </si>
  <si>
    <t>CIAGROPA SA - PARAGUAI</t>
  </si>
  <si>
    <t>COMPANÍA DE AGROQUIMICOS DEL PARAGUAY SA</t>
  </si>
  <si>
    <t>(059) 521919-0000</t>
  </si>
  <si>
    <t>CAMINO DURÁN</t>
  </si>
  <si>
    <t>(059) 89965-7226</t>
  </si>
  <si>
    <t>99999999</t>
  </si>
  <si>
    <t>CALLE 77 B 57 103</t>
  </si>
  <si>
    <t>(057) 314256-3022</t>
  </si>
  <si>
    <t>SUNFIT</t>
  </si>
  <si>
    <t>ZHEJIANG SUNFIT ADVANCED MATERIALS CO.,</t>
  </si>
  <si>
    <t>ZHEJIANG</t>
  </si>
  <si>
    <t>2 WEIWU RD., HANGZHOU BAY SHANGYU INDUSTRIAL PARK</t>
  </si>
  <si>
    <t>SHAOXING</t>
  </si>
  <si>
    <t>(086) 5758273-8239</t>
  </si>
  <si>
    <t>LARTIRIGOYEN SRL BOLIVIA</t>
  </si>
  <si>
    <t>MUTUALISTA</t>
  </si>
  <si>
    <t>(059) 16921-9788</t>
  </si>
  <si>
    <t>CRENTO COLOMBIA</t>
  </si>
  <si>
    <t>AGROMIL S.A.S.</t>
  </si>
  <si>
    <t>CRA 48 #72 SUR 01</t>
  </si>
  <si>
    <t>(057) 4378-7800</t>
  </si>
  <si>
    <t>EDER DOS SANTOS MACIEL</t>
  </si>
  <si>
    <t>79320040</t>
  </si>
  <si>
    <t>MONTE CASTELLO</t>
  </si>
  <si>
    <t>AEROPORTO</t>
  </si>
  <si>
    <t>195</t>
  </si>
  <si>
    <t>FITOSAN A.S</t>
  </si>
  <si>
    <t>KM 4.5 VÍA DURÁN TÁMBO</t>
  </si>
  <si>
    <t>(059) 304312-3008</t>
  </si>
  <si>
    <t>SEITON  AG SRL</t>
  </si>
  <si>
    <t>SAAVEDRA</t>
  </si>
  <si>
    <t>1430</t>
  </si>
  <si>
    <t>(054) 116886-4119</t>
  </si>
  <si>
    <t>INDUSTRIES CHIMIQUES DU SENEGAL</t>
  </si>
  <si>
    <t>KM 18, ROUTE DE DUFISQUE</t>
  </si>
  <si>
    <t>(022) 133879-1000</t>
  </si>
  <si>
    <t>ARAB POTASH CO. LTD</t>
  </si>
  <si>
    <t>00001470</t>
  </si>
  <si>
    <t>OMA</t>
  </si>
  <si>
    <t>SHMEISSANI, AL-JAHIDH STREET P.O. BOX 1470</t>
  </si>
  <si>
    <t>(096) 277548-2373</t>
  </si>
  <si>
    <t>38405088</t>
  </si>
  <si>
    <t>EUROPA</t>
  </si>
  <si>
    <t>(034) 99204-2632</t>
  </si>
  <si>
    <t>00001218</t>
  </si>
  <si>
    <t>LOUIS DREYFUS COMPANY SUISSE S.A</t>
  </si>
  <si>
    <t>RTE DE L'AÉROPORT 29</t>
  </si>
  <si>
    <t>LE GRAND-SACONNEX</t>
  </si>
  <si>
    <t>29</t>
  </si>
  <si>
    <t>(058) 92626-3304</t>
  </si>
  <si>
    <t>CI SUAGROQUIM SAS</t>
  </si>
  <si>
    <t>CI Suagroquim SAS</t>
  </si>
  <si>
    <t>VÍA 40 #85-1495</t>
  </si>
  <si>
    <t>85-149</t>
  </si>
  <si>
    <t>(056) 304218-0528</t>
  </si>
  <si>
    <t>00001003</t>
  </si>
  <si>
    <t>CIUDAD AUTÓNOMA DE BUENOS AIRES</t>
  </si>
  <si>
    <t>RECONQUISTA</t>
  </si>
  <si>
    <t>CABA</t>
  </si>
  <si>
    <t>1056</t>
  </si>
  <si>
    <t>(054) 114342-5270</t>
  </si>
  <si>
    <t>SAO JOSE LAVACAR - ESTETICA AUTOMOTIVA</t>
  </si>
  <si>
    <t>18200035</t>
  </si>
  <si>
    <t>47.670.418 MARCIO CELIO PORPHIRIO MENDES</t>
  </si>
  <si>
    <t>PROFESSOR FRANCISCO VALIO</t>
  </si>
  <si>
    <t>1780</t>
  </si>
  <si>
    <t>(055) 159649-0274</t>
  </si>
  <si>
    <t>HELDER MARTINS COELHO</t>
  </si>
  <si>
    <t>14460000</t>
  </si>
  <si>
    <t>FRANCINNI</t>
  </si>
  <si>
    <t>CRISTAIS PAULISTA</t>
  </si>
  <si>
    <t>HORÁCIO ALVES BRANQUINHO</t>
  </si>
  <si>
    <t>442</t>
  </si>
  <si>
    <t>ANA PAULA PEREIRA</t>
  </si>
  <si>
    <t>37701000</t>
  </si>
  <si>
    <t>POCOS DE CALDAS</t>
  </si>
  <si>
    <t>RUA ASSIS FIGUEIREDO</t>
  </si>
  <si>
    <t>298</t>
  </si>
  <si>
    <t>MARINA DE FATIMA GOMES DA COSTA</t>
  </si>
  <si>
    <t>37715126</t>
  </si>
  <si>
    <t>RUA PEDRO MARCELO</t>
  </si>
  <si>
    <t>JARDIM DOS MANACAS</t>
  </si>
  <si>
    <t>178</t>
  </si>
  <si>
    <t>INDORAMA CORPORATION</t>
  </si>
  <si>
    <t>INDORAMA CORPORATION PTE. LTD</t>
  </si>
  <si>
    <t>SINGAPURA</t>
  </si>
  <si>
    <t>CECIL STREET</t>
  </si>
  <si>
    <t>FÁBIO GODINHO</t>
  </si>
  <si>
    <t>81110520</t>
  </si>
  <si>
    <t>FABIO GODINHO</t>
  </si>
  <si>
    <t>ELOI ORESTES ZEGLIN</t>
  </si>
  <si>
    <t>PINHEIRINHO</t>
  </si>
  <si>
    <t>345</t>
  </si>
  <si>
    <t>FERNANDO HIDEKI ITO</t>
  </si>
  <si>
    <t>82540115</t>
  </si>
  <si>
    <t>JOVINO DO ROSÁRIO</t>
  </si>
  <si>
    <t>1674</t>
  </si>
  <si>
    <t>(034) 99230-0033</t>
  </si>
  <si>
    <t>NAO UTILIZAR - DUPLICIDADE - USAR 11417</t>
  </si>
  <si>
    <t>ARTUR.SILVA</t>
  </si>
  <si>
    <t>ANASTACIO OVERSEAS INC</t>
  </si>
  <si>
    <t>CITY OF PANAMA</t>
  </si>
  <si>
    <t>AV. SAMUEL LEWIS</t>
  </si>
  <si>
    <t>OBARRIO</t>
  </si>
  <si>
    <t>59</t>
  </si>
  <si>
    <t>(050) 755310-0661</t>
  </si>
  <si>
    <t>EFRAIN HUANAPACO MAMANI</t>
  </si>
  <si>
    <t>CALLE CARACOLLO, ZONA VILLA TUNARI</t>
  </si>
  <si>
    <t>(059) 17879-4764</t>
  </si>
  <si>
    <t>PANAMA PETROCHEM LTD</t>
  </si>
  <si>
    <t>MUMBAI</t>
  </si>
  <si>
    <t>401, AZA HOUSE, 24, TURNER ROAD</t>
  </si>
  <si>
    <t>BANDRA (W)</t>
  </si>
  <si>
    <t>(091) 224217-7777</t>
  </si>
  <si>
    <t>MATEUS VIEIRA</t>
  </si>
  <si>
    <t>85851100</t>
  </si>
  <si>
    <t>BELARMINO DE MENDONÇA</t>
  </si>
  <si>
    <t>656</t>
  </si>
  <si>
    <t>LINOX CALHAS E RUFOS</t>
  </si>
  <si>
    <t>38412004</t>
  </si>
  <si>
    <t>29.742.990 DEIVID HENRIQUE DE ALMEIDA</t>
  </si>
  <si>
    <t>GUERRA JUNQUEIRA</t>
  </si>
  <si>
    <t>558</t>
  </si>
  <si>
    <t>(055) 349168-3765</t>
  </si>
  <si>
    <t>PUERTO FENIX</t>
  </si>
  <si>
    <t>PUERTOS &amp; ESTIBAJES S A</t>
  </si>
  <si>
    <t>CARLOS ANTONIO LOPEZ Y PASEO DE FATIMA</t>
  </si>
  <si>
    <t>755500</t>
  </si>
  <si>
    <t>PTP PARAGUAY S.A.E</t>
  </si>
  <si>
    <t>14 DE MAYO Y COLÓN</t>
  </si>
  <si>
    <t>AGROZAFRA SA</t>
  </si>
  <si>
    <t>AGROZAFRA COMERCIAL E INDUSTRIAL SA</t>
  </si>
  <si>
    <t>CARMÉN DEL PARANÁ</t>
  </si>
  <si>
    <t>RUTA GRANADEROS DEL SUR - KM 2,5</t>
  </si>
  <si>
    <t>(059) 59853-0501</t>
  </si>
  <si>
    <t>INDORAMA NIGERIA</t>
  </si>
  <si>
    <t>Indorama Eleme Fertilizer &amp; Chemicals Li</t>
  </si>
  <si>
    <t>PORT HARCOURT</t>
  </si>
  <si>
    <t>INDORAMA COMPLEX, EAST-WEST EXPRESSWAY</t>
  </si>
  <si>
    <t>ELEME, P.M.B 5151</t>
  </si>
  <si>
    <t>(023) 4913936-4345</t>
  </si>
  <si>
    <t>ORGANO MINERAL - PARAGUAI</t>
  </si>
  <si>
    <t>85855594</t>
  </si>
  <si>
    <t>DALTON ABDALA</t>
  </si>
  <si>
    <t>RUA CAPIVARI</t>
  </si>
  <si>
    <t>LIBRA</t>
  </si>
  <si>
    <t>952</t>
  </si>
  <si>
    <t>(059) 598157-0391</t>
  </si>
  <si>
    <t>38410261</t>
  </si>
  <si>
    <t>RUA ELBA</t>
  </si>
  <si>
    <t>MIGUEL OLIVEIRA DO NASCIMENTO</t>
  </si>
  <si>
    <t>RUA VENUS</t>
  </si>
  <si>
    <t>930</t>
  </si>
  <si>
    <t>(034) 99968-7635</t>
  </si>
  <si>
    <t>JCW SERVICOS E COMERCIO LTDA</t>
  </si>
  <si>
    <t>83209708</t>
  </si>
  <si>
    <t>SENADOR ATTILIO FONTANA</t>
  </si>
  <si>
    <t>COLONIA SANTA RITA</t>
  </si>
  <si>
    <t>615</t>
  </si>
  <si>
    <t>(055) 419542-3795</t>
  </si>
  <si>
    <t>INGEVITY CORPORATION</t>
  </si>
  <si>
    <t>00029405</t>
  </si>
  <si>
    <t>NORTH CHARLESTON</t>
  </si>
  <si>
    <t>O'HEAR AVENUE SUITE 400</t>
  </si>
  <si>
    <t>4920</t>
  </si>
  <si>
    <t>(055) 1999946-8404</t>
  </si>
  <si>
    <t>MAIKON JOSÉ FARIA GUIMARÃES</t>
  </si>
  <si>
    <t>JOAO MARIANO</t>
  </si>
  <si>
    <t>214</t>
  </si>
  <si>
    <t>BOX17 - RYAN RIBEIRO DE SOUZA</t>
  </si>
  <si>
    <t>14706045</t>
  </si>
  <si>
    <t>51.611.326 RYAN RIBEIRO DE SOUZA CARDOSO</t>
  </si>
  <si>
    <t>RAUL FURQUIM</t>
  </si>
  <si>
    <t>JARDIM MARAJA</t>
  </si>
  <si>
    <t>(055) 173342-3413</t>
  </si>
  <si>
    <t>38401546</t>
  </si>
  <si>
    <t>RUA DO CONDE</t>
  </si>
  <si>
    <t>1306</t>
  </si>
  <si>
    <t>ADITYA BIRLA</t>
  </si>
  <si>
    <t>00049513</t>
  </si>
  <si>
    <t>ADITYA BIRLA GLOBAL TRADING (SINGAPORE)</t>
  </si>
  <si>
    <t>CHULIA STREET #48-05/08 OCBC</t>
  </si>
  <si>
    <t>65</t>
  </si>
  <si>
    <t>DULARI SRL</t>
  </si>
  <si>
    <t>CALLE ECHEVARRIARZA</t>
  </si>
  <si>
    <t>3535</t>
  </si>
  <si>
    <t>(059) 89441-3386</t>
  </si>
  <si>
    <t>FAZENDA EXPERIMENTAL TERRAS GERAIS</t>
  </si>
  <si>
    <t>37209899</t>
  </si>
  <si>
    <t>TERRAS GERAIS EXPERIMENTAL LTDA</t>
  </si>
  <si>
    <t>LAVRAS</t>
  </si>
  <si>
    <t>RURAL</t>
  </si>
  <si>
    <t>AREA RURAL DE LAVRAS</t>
  </si>
  <si>
    <t>(055) 359959-0400</t>
  </si>
  <si>
    <t>KATIA GOMES DA SILVA 31766134823</t>
  </si>
  <si>
    <t>18290000</t>
  </si>
  <si>
    <t>BURI</t>
  </si>
  <si>
    <t>CEL LICINIO</t>
  </si>
  <si>
    <t>363</t>
  </si>
  <si>
    <t>(055) 159764-6992</t>
  </si>
  <si>
    <t>MARIA CELIA ROMES DE LIMA</t>
  </si>
  <si>
    <t>Cargill Agropecuaria S.A.C.I</t>
  </si>
  <si>
    <t>SAN BLAS</t>
  </si>
  <si>
    <t>DEPARTAMENTO DE ALTO PARANÁ</t>
  </si>
  <si>
    <t>(059) 561548-3000</t>
  </si>
  <si>
    <t>00111613</t>
  </si>
  <si>
    <t>ORGANITEC FERTILIZANTES S.A.</t>
  </si>
  <si>
    <t>RUTA A ALBERDI, KM 6</t>
  </si>
  <si>
    <t>DEPARTAMENTO CENTRAL</t>
  </si>
  <si>
    <t>(059) 597490-1300</t>
  </si>
  <si>
    <t>JS VISTORIA VEICULAR</t>
  </si>
  <si>
    <t>38405062</t>
  </si>
  <si>
    <t>JS VISTORIA VEICULAR LTDA.</t>
  </si>
  <si>
    <t>GUATEMALA ( B TIBERY )</t>
  </si>
  <si>
    <t>780</t>
  </si>
  <si>
    <t>(055) 343236-8241</t>
  </si>
  <si>
    <t>UDICAR VISTORIA VEICULAR LTDA</t>
  </si>
  <si>
    <t>38425367</t>
  </si>
  <si>
    <t>MANOEL MADRUGA</t>
  </si>
  <si>
    <t>SHOPPING PARK I</t>
  </si>
  <si>
    <t>1200</t>
  </si>
  <si>
    <t>(055) 343235-4818</t>
  </si>
  <si>
    <t>MAYARA CRISTINA DOS SANTOS</t>
  </si>
  <si>
    <t>78460403</t>
  </si>
  <si>
    <t>AV CUIABA</t>
  </si>
  <si>
    <t>893N</t>
  </si>
  <si>
    <t>(055) 669925-8590</t>
  </si>
  <si>
    <t>MAURICIO SAMUEL FRANCO</t>
  </si>
  <si>
    <t>78896062</t>
  </si>
  <si>
    <t>TANCREDO NEVES</t>
  </si>
  <si>
    <t>CENTRO-SUL</t>
  </si>
  <si>
    <t>218</t>
  </si>
  <si>
    <t>(055) 669921-1391</t>
  </si>
  <si>
    <t>JUNIANA APARECIDA ESTEVES VILELA</t>
  </si>
  <si>
    <t>37940000</t>
  </si>
  <si>
    <t>ALPINOPOLIS</t>
  </si>
  <si>
    <t>SEBASTIAO RODARTE BRASILEIRO</t>
  </si>
  <si>
    <t>JARDIM BELA VISTA</t>
  </si>
  <si>
    <t>135</t>
  </si>
  <si>
    <t>(055) 359894-0108</t>
  </si>
  <si>
    <t>LEANDRO RUDOLF PEREIRA 22178889867</t>
  </si>
  <si>
    <t>14405302</t>
  </si>
  <si>
    <t>CORIFEU AZEVEDO MARQUES</t>
  </si>
  <si>
    <t>JARDIM CALIFORNIA</t>
  </si>
  <si>
    <t>1077</t>
  </si>
  <si>
    <t>(055) 163018-1355</t>
  </si>
  <si>
    <t>SIQUEIRA HOTEIS LTDA</t>
  </si>
  <si>
    <t>97050531</t>
  </si>
  <si>
    <t>NOSSA SENHORA DAS DORES</t>
  </si>
  <si>
    <t>903</t>
  </si>
  <si>
    <t>(055) 2101-1919</t>
  </si>
  <si>
    <t>LCS AGRO REPRESENTACOES</t>
  </si>
  <si>
    <t>38701339</t>
  </si>
  <si>
    <t>LUCAS OLIVEIRA COLARES REPRESENTACOES</t>
  </si>
  <si>
    <t>LAURA LOPES BRAGA</t>
  </si>
  <si>
    <t>CERRADO</t>
  </si>
  <si>
    <t>31</t>
  </si>
  <si>
    <t>(055) 349686-5873</t>
  </si>
  <si>
    <t>DETEC PESQUISA E EVENTOS LTDA</t>
  </si>
  <si>
    <t>18740000</t>
  </si>
  <si>
    <t>TAQUARITUBA</t>
  </si>
  <si>
    <t>SILVANO DE PAULA BUENO</t>
  </si>
  <si>
    <t>DOS NEVES</t>
  </si>
  <si>
    <t>(014) 98190-3779</t>
  </si>
  <si>
    <t>RAMAC - NICARAGUA</t>
  </si>
  <si>
    <t>RAPPACCIOLI MCGREGOR S.A</t>
  </si>
  <si>
    <t>ROTONDA SANTO DOMINGO</t>
  </si>
  <si>
    <t>RIGUERO</t>
  </si>
  <si>
    <t>(050) 58672-4860</t>
  </si>
  <si>
    <t>AMIL ASSISTENCIA MEDICA INTERNACIONAL S.</t>
  </si>
  <si>
    <t>(055) 113805-1000</t>
  </si>
  <si>
    <t>NAKED.</t>
  </si>
  <si>
    <t>38400060</t>
  </si>
  <si>
    <t>BELEZA E BEM ESTAR ESTETICA A LASER LTDA</t>
  </si>
  <si>
    <t>992</t>
  </si>
  <si>
    <t>(055) 343210-8110</t>
  </si>
  <si>
    <t>HOTEL MONT BLANC LTDA</t>
  </si>
  <si>
    <t>95700010</t>
  </si>
  <si>
    <t>BENTO GONCALVES</t>
  </si>
  <si>
    <t>GOIS DE MONTEIRO</t>
  </si>
  <si>
    <t>SÃO FRANCISCO</t>
  </si>
  <si>
    <t>711</t>
  </si>
  <si>
    <t>(055) 543451-3766</t>
  </si>
  <si>
    <t>NUREN CRISTINA FARIAS ANDRADE</t>
  </si>
  <si>
    <t>96212430</t>
  </si>
  <si>
    <t>OLAVO BILAC</t>
  </si>
  <si>
    <t>VILA JUNCAO</t>
  </si>
  <si>
    <t>555</t>
  </si>
  <si>
    <t>(055) 533230-7661</t>
  </si>
  <si>
    <t>NIDHIANE KAEMPFER SEBEN 02813494011</t>
  </si>
  <si>
    <t>99950000</t>
  </si>
  <si>
    <t>TAPEJARA</t>
  </si>
  <si>
    <t>20 DE SETEMBRO</t>
  </si>
  <si>
    <t>(055) 549963-4605</t>
  </si>
  <si>
    <t>BARUERI MUDANCAS</t>
  </si>
  <si>
    <t>06433060</t>
  </si>
  <si>
    <t>JACOB DE OLIVEIRA NETO MUDANCAS</t>
  </si>
  <si>
    <t>BARUERI</t>
  </si>
  <si>
    <t>BENEDITO DE PAULA MARCONDES</t>
  </si>
  <si>
    <t>JARDIM AUDIR</t>
  </si>
  <si>
    <t>246</t>
  </si>
  <si>
    <t>(055) 114194-0644</t>
  </si>
  <si>
    <t>PROVARE DELICATESSEN</t>
  </si>
  <si>
    <t>38413309</t>
  </si>
  <si>
    <t>DOLCI PROVARE ALIMENTOS LTDA</t>
  </si>
  <si>
    <t>ALAMEDA MATA ATLANTICA</t>
  </si>
  <si>
    <t>OURO VERDE (LOTEAMENTO)</t>
  </si>
  <si>
    <t>14</t>
  </si>
  <si>
    <t>(055) 343236-5908</t>
  </si>
  <si>
    <t>VIRTUOSA CLINICA DE ESTETICA AVANCADA</t>
  </si>
  <si>
    <t>38400170</t>
  </si>
  <si>
    <t>POVOA (LOTEAMENTO)</t>
  </si>
  <si>
    <t>475</t>
  </si>
  <si>
    <t>(055) 349127-4800</t>
  </si>
  <si>
    <t>MAURO HENRIQUE DE OLIVEIRA SANTOS</t>
  </si>
  <si>
    <t>38414648</t>
  </si>
  <si>
    <t>EVARISTO ATANASIO DE MELO</t>
  </si>
  <si>
    <t>(055) 343253-0969</t>
  </si>
  <si>
    <t>38421627</t>
  </si>
  <si>
    <t>NEUZA APARECIDA DA SILVA</t>
  </si>
  <si>
    <t>RESIDENCIAL LAGO AZUL</t>
  </si>
  <si>
    <t>128</t>
  </si>
  <si>
    <t>(034) 98444-6978</t>
  </si>
  <si>
    <t>MERCER HUMAN RESOURCE CONSULTING LTDA.</t>
  </si>
  <si>
    <t>04711130</t>
  </si>
  <si>
    <t>DR CHUCRI ZAIDAN</t>
  </si>
  <si>
    <t>VILA SAO FRANCISCO (ZONA SUL)</t>
  </si>
  <si>
    <t>(055) 113048-1935</t>
  </si>
  <si>
    <t>NUTREX - PARAGUAY</t>
  </si>
  <si>
    <t>NUTREX PARAGUAY SRL</t>
  </si>
  <si>
    <t>PAPA JUAN XXIII ESQ. MAX BOETTNER</t>
  </si>
  <si>
    <t>(059) 598392-5214</t>
  </si>
  <si>
    <t>FERTILIZANTES Y SEMILLAS ANDINAS S.A.C</t>
  </si>
  <si>
    <t>BENAVIDES</t>
  </si>
  <si>
    <t>MIRAFLORES</t>
  </si>
  <si>
    <t>1579</t>
  </si>
  <si>
    <t>(051) 01255-2830</t>
  </si>
  <si>
    <t>49.127.883 DEYNER LUKOSEVICIUS NUNES</t>
  </si>
  <si>
    <t>38400429</t>
  </si>
  <si>
    <t>OSVALDO REZENDE</t>
  </si>
  <si>
    <t>2227</t>
  </si>
  <si>
    <t>(055) 349296-2734</t>
  </si>
  <si>
    <t>FAUJI FERTILIZER - PAQUISTÃO</t>
  </si>
  <si>
    <t>00046000</t>
  </si>
  <si>
    <t>FAUJI FERTILIZER COMPANY LIMITED</t>
  </si>
  <si>
    <t>RAWALPINDI</t>
  </si>
  <si>
    <t>THE MALL ROAD</t>
  </si>
  <si>
    <t>156</t>
  </si>
  <si>
    <t>(092) 51845-4420</t>
  </si>
  <si>
    <t>38415132</t>
  </si>
  <si>
    <t>DOS PIANOS</t>
  </si>
  <si>
    <t>5</t>
  </si>
  <si>
    <t>(034) 98418-8825</t>
  </si>
  <si>
    <t>GABRIELA PEREIRA VELOSO</t>
  </si>
  <si>
    <t>38057050</t>
  </si>
  <si>
    <t>VERMELHA</t>
  </si>
  <si>
    <t>GRANDE HORIZONTE</t>
  </si>
  <si>
    <t>391</t>
  </si>
  <si>
    <t>(055) 349767-7447</t>
  </si>
  <si>
    <t>SILMAR CASTRO PIMENTA</t>
  </si>
  <si>
    <t>14503344</t>
  </si>
  <si>
    <t>ITUVERAVA</t>
  </si>
  <si>
    <t>ALAMEDA ANA CÉLIA PEREIRA</t>
  </si>
  <si>
    <t>JARDIM RAFAEL FERREIRA DA SILVA FILHO</t>
  </si>
  <si>
    <t>GRUPO ANDINO PERU</t>
  </si>
  <si>
    <t>COMERCIAL ANDINA INDUSTRIAL SAC</t>
  </si>
  <si>
    <t>BENAVIDES   EDIFICIO DE PARK II.</t>
  </si>
  <si>
    <t>(059) 3098422-8326</t>
  </si>
  <si>
    <t>ROCO EQUADOR</t>
  </si>
  <si>
    <t>ROCO C. LTDA.</t>
  </si>
  <si>
    <t>DE LAS AMERICAS EDIFICIO SKY BUILDING</t>
  </si>
  <si>
    <t>LA GARZOTA</t>
  </si>
  <si>
    <t>510</t>
  </si>
  <si>
    <t>MOSAIC POTASH CANADA</t>
  </si>
  <si>
    <t>BELLE PLAINE</t>
  </si>
  <si>
    <t>#3 KALIUM ROAD</t>
  </si>
  <si>
    <t>(013) 06345-8210</t>
  </si>
  <si>
    <t>PACIFICOZONE S.A.</t>
  </si>
  <si>
    <t>TARQUI</t>
  </si>
  <si>
    <t>(059) 104242-1019</t>
  </si>
  <si>
    <t>SUHDO TECNOLOGIA</t>
  </si>
  <si>
    <t>38407327</t>
  </si>
  <si>
    <t>SUHDO TECNOLOGIA LTDA</t>
  </si>
  <si>
    <t>MARILENE DE FATIMA CARDOSO</t>
  </si>
  <si>
    <t>MORUMBI</t>
  </si>
  <si>
    <t>(055) 413209-5554</t>
  </si>
  <si>
    <t>AGROLIFE BOLIVIA</t>
  </si>
  <si>
    <t>AGROLIFE</t>
  </si>
  <si>
    <t>CLARA CUTA</t>
  </si>
  <si>
    <t>8313B</t>
  </si>
  <si>
    <t>PANTAGRO</t>
  </si>
  <si>
    <t>79330030</t>
  </si>
  <si>
    <t>DIEGO FRANCISCO ORMACHEA PACHECO</t>
  </si>
  <si>
    <t>SETE DE SETEMBRO</t>
  </si>
  <si>
    <t>698</t>
  </si>
  <si>
    <t>CESCON, BARRIEU, FLESCH, BARRETO E TEIXE</t>
  </si>
  <si>
    <t>22250040</t>
  </si>
  <si>
    <t>RIO DE JANEIRO</t>
  </si>
  <si>
    <t>DE BOTAFOGO</t>
  </si>
  <si>
    <t>228</t>
  </si>
  <si>
    <t>(055) 212196-9200</t>
  </si>
  <si>
    <t>VIPER LAVA JATO</t>
  </si>
  <si>
    <t>81130000</t>
  </si>
  <si>
    <t>VIPER LAVA JATO LTDA</t>
  </si>
  <si>
    <t>WINSTON CHURCHILL</t>
  </si>
  <si>
    <t>CAPÃ¿O RASO</t>
  </si>
  <si>
    <t>670</t>
  </si>
  <si>
    <t>(055) 419642-7726</t>
  </si>
  <si>
    <t>38412324</t>
  </si>
  <si>
    <t>JOSÉ DE OLIVEIRA GUIMARÃES</t>
  </si>
  <si>
    <t>38401072</t>
  </si>
  <si>
    <t>ANA DE OLIVEIRA</t>
  </si>
  <si>
    <t>ROOSEVELT</t>
  </si>
  <si>
    <t>(034) 99323-7767</t>
  </si>
  <si>
    <t>KEHDI PLAZA HOTEL</t>
  </si>
  <si>
    <t>14780040</t>
  </si>
  <si>
    <t>PAULO COSTA KEHDI</t>
  </si>
  <si>
    <t>BARRETOS</t>
  </si>
  <si>
    <t>1497</t>
  </si>
  <si>
    <t>677</t>
  </si>
  <si>
    <t>(055) 173322-8622</t>
  </si>
  <si>
    <t>MAXIMO S.A.</t>
  </si>
  <si>
    <t>RUTA GRANEROS DEL SUR</t>
  </si>
  <si>
    <t>KM2,5</t>
  </si>
  <si>
    <t>(059) 598571-3600</t>
  </si>
  <si>
    <t>A/ZAGGA COMUNICACAO</t>
  </si>
  <si>
    <t>37410001</t>
  </si>
  <si>
    <t>ADRIANO DE ALMEIDA GADBEM</t>
  </si>
  <si>
    <t>LUCIANO PEREIRA PENHA</t>
  </si>
  <si>
    <t>155</t>
  </si>
  <si>
    <t>(055) 358866-0969</t>
  </si>
  <si>
    <t>37402324</t>
  </si>
  <si>
    <t>OSCAR BERNARDES COSTA</t>
  </si>
  <si>
    <t>75</t>
  </si>
  <si>
    <t>VISTORICAR</t>
  </si>
  <si>
    <t>38400642</t>
  </si>
  <si>
    <t>TIBURCIO CASSIO DE QUEIROZ</t>
  </si>
  <si>
    <t>BELEM</t>
  </si>
  <si>
    <t>264</t>
  </si>
  <si>
    <t>(055) 343224-5395</t>
  </si>
  <si>
    <t>ABEL ANTONIO ALVES</t>
  </si>
  <si>
    <t>38408272</t>
  </si>
  <si>
    <t>ZABEL</t>
  </si>
  <si>
    <t>RUA JOÃO ANGELO SCHIAVINATO</t>
  </si>
  <si>
    <t>252</t>
  </si>
  <si>
    <t>(034) 99114-9891</t>
  </si>
  <si>
    <t>TRINDAD HOTEL</t>
  </si>
  <si>
    <t>65760000</t>
  </si>
  <si>
    <t>TRINDAD HOTEL LTDA</t>
  </si>
  <si>
    <t>MAGALHAES DE ALMEIDA</t>
  </si>
  <si>
    <t>251</t>
  </si>
  <si>
    <t>MATEUS LEAO GUIMARAES 10031061613</t>
  </si>
  <si>
    <t>38411276</t>
  </si>
  <si>
    <t>MARILIA DE DIRCEU</t>
  </si>
  <si>
    <t>JARDIM INCONFIDENCIA</t>
  </si>
  <si>
    <t>424</t>
  </si>
  <si>
    <t>(055) 343214-9168</t>
  </si>
  <si>
    <t>PAULO HENRIQUE MARQUES DO NASCIMENTO 050</t>
  </si>
  <si>
    <t>38700210</t>
  </si>
  <si>
    <t>PAULO HENRIQUE MARQUES DO NASCIMENTO</t>
  </si>
  <si>
    <t>LAURO SANTOS</t>
  </si>
  <si>
    <t>CONEGO GETULIO</t>
  </si>
  <si>
    <t>222</t>
  </si>
  <si>
    <t>(055) 343822-3500</t>
  </si>
  <si>
    <t>LILIANE APARECIDA STUCK 34867017892</t>
  </si>
  <si>
    <t>14500000</t>
  </si>
  <si>
    <t>RUA ABRAAO DIB</t>
  </si>
  <si>
    <t>JARDIM PRIMAVERA</t>
  </si>
  <si>
    <t>420</t>
  </si>
  <si>
    <t>(055) 168819-3346</t>
  </si>
  <si>
    <t>JONATHAN BRUNO VERGARA COLARES</t>
  </si>
  <si>
    <t>96213022</t>
  </si>
  <si>
    <t>PANDIA CALOGERAS</t>
  </si>
  <si>
    <t>SAO JOAO</t>
  </si>
  <si>
    <t>982</t>
  </si>
  <si>
    <t>(053) 98113-0809</t>
  </si>
  <si>
    <t>LT SA - PARAGUAI</t>
  </si>
  <si>
    <t>TRANS CHACO</t>
  </si>
  <si>
    <t>212</t>
  </si>
  <si>
    <t>38401374</t>
  </si>
  <si>
    <t>AL JUPITER</t>
  </si>
  <si>
    <t>103</t>
  </si>
  <si>
    <t>38412852</t>
  </si>
  <si>
    <t>ANISIO MANOEL DE OLIVEIRA</t>
  </si>
  <si>
    <t>62</t>
  </si>
  <si>
    <t>(034) 99260-5392</t>
  </si>
  <si>
    <t>POUSADA CACTOS CHAPADA</t>
  </si>
  <si>
    <t>78195000</t>
  </si>
  <si>
    <t>53.931.364 MARCELO DIAS DOS SANTOS FILHO</t>
  </si>
  <si>
    <t>CHAPADA DOS GUIMARAES</t>
  </si>
  <si>
    <t>DAS FLORESTAS</t>
  </si>
  <si>
    <t>MIRA FLORES</t>
  </si>
  <si>
    <t>(055) 739195-8874</t>
  </si>
  <si>
    <t>ALESSANDRA ANGELICA</t>
  </si>
  <si>
    <t>18400460</t>
  </si>
  <si>
    <t>ALESSANDRA ANGELICA DE OLIVEIRA</t>
  </si>
  <si>
    <t>ITAPEVA</t>
  </si>
  <si>
    <t>MARTINHO CARNEIRO</t>
  </si>
  <si>
    <t>17</t>
  </si>
  <si>
    <t>(055) 159733-1651</t>
  </si>
  <si>
    <t>TAK AGRO</t>
  </si>
  <si>
    <t>TAK AGRO AND CHEMICALS LIMITED</t>
  </si>
  <si>
    <t>KADUNA TOWN</t>
  </si>
  <si>
    <t>NEAR GOVERNMENT COLLEGE, AHMAD BELLOW ROAD</t>
  </si>
  <si>
    <t>ABAKPA</t>
  </si>
  <si>
    <t>EURIPEDES DIVINO GONCALVES 46966811149</t>
  </si>
  <si>
    <t>38412326</t>
  </si>
  <si>
    <t>JUNIOR PERSIANAS E CORTINAS</t>
  </si>
  <si>
    <t>PAULO CESAR SANTANA</t>
  </si>
  <si>
    <t>885</t>
  </si>
  <si>
    <t>(055) 343235-7246</t>
  </si>
  <si>
    <t>WALLISSON ALVES QUIRINO</t>
  </si>
  <si>
    <t>38414156</t>
  </si>
  <si>
    <t>53.886.121 WALLISSON ALVES QUIRINO</t>
  </si>
  <si>
    <t>DONA INHAZINHA</t>
  </si>
  <si>
    <t>(055) 349145-8181</t>
  </si>
  <si>
    <t>M. TOWER HOTEL LTDA</t>
  </si>
  <si>
    <t>96010000</t>
  </si>
  <si>
    <t>FELIX DA CUNHA</t>
  </si>
  <si>
    <t>213</t>
  </si>
  <si>
    <t>(055) 533227-4886</t>
  </si>
  <si>
    <t>IFDC INTERNATIONAL FERT. DEVELOP. CENTER</t>
  </si>
  <si>
    <t>INTERNACIONAL FERTILIZER DEVELOP. CENTER</t>
  </si>
  <si>
    <t>MUSCLE SHOALS</t>
  </si>
  <si>
    <t>DAVID LILIENTHAL DRIVE</t>
  </si>
  <si>
    <t>46</t>
  </si>
  <si>
    <t>LUIS GOMES DA SILVA</t>
  </si>
  <si>
    <t>38413024</t>
  </si>
  <si>
    <t>DAS SERINGUEIRAS</t>
  </si>
  <si>
    <t>JARAGUÁ</t>
  </si>
  <si>
    <t>109</t>
  </si>
  <si>
    <t>(055) 349688-8524</t>
  </si>
  <si>
    <t>COMASA SPA - CHILE</t>
  </si>
  <si>
    <t>48600000</t>
  </si>
  <si>
    <t>COMASA SPA</t>
  </si>
  <si>
    <t>COMUNA DE LAUTARO</t>
  </si>
  <si>
    <t>RUTA 5 SUR KM 645 CAMINO A COLINIA KM 0,5 S/N</t>
  </si>
  <si>
    <t>CAMINO A COLONIA</t>
  </si>
  <si>
    <t>88</t>
  </si>
  <si>
    <t>(056) 45299-2800</t>
  </si>
  <si>
    <t>JFS CONSRUCOES LTDA.</t>
  </si>
  <si>
    <t>38425584</t>
  </si>
  <si>
    <t>JFS CONSTRUCOES LTDA.</t>
  </si>
  <si>
    <t>IVETE CORDEIRO DA SILVA</t>
  </si>
  <si>
    <t>1962</t>
  </si>
  <si>
    <t>(055) 349192-1856</t>
  </si>
  <si>
    <t>MULTIFERT SA - ARGENTINA</t>
  </si>
  <si>
    <t>16050000</t>
  </si>
  <si>
    <t>MULTIFERT SA</t>
  </si>
  <si>
    <t>RASTREADOR FOURNIER 3269- 1 B- MUNRO</t>
  </si>
  <si>
    <t>MUNRO- OLIVOS</t>
  </si>
  <si>
    <t>3269</t>
  </si>
  <si>
    <t>(054) 9115639-7386</t>
  </si>
  <si>
    <t>TACIELI CASSIANO AMARAL</t>
  </si>
  <si>
    <t>37225000</t>
  </si>
  <si>
    <t>TACIELI CASSIANO AMARAL 13109275619</t>
  </si>
  <si>
    <t>CARMO DA CACHOEIRA</t>
  </si>
  <si>
    <t>SÃO PEDRO</t>
  </si>
  <si>
    <t>(055) 359841-0896</t>
  </si>
  <si>
    <t>DALLAS PALACE HOTEL</t>
  </si>
  <si>
    <t>78360000</t>
  </si>
  <si>
    <t>VILMAR ROZIN LTDA</t>
  </si>
  <si>
    <t>CAMPO NOVO DO PARECIS</t>
  </si>
  <si>
    <t>854NE</t>
  </si>
  <si>
    <t>(055) 653382-1385</t>
  </si>
  <si>
    <t>ITAMIRIM EMPREENDIMENTOS</t>
  </si>
  <si>
    <t>89240000</t>
  </si>
  <si>
    <t>ITAMIRIM EMPREENDIMENTOS LTDA</t>
  </si>
  <si>
    <t>SÃO FRANCISCO DO SUL</t>
  </si>
  <si>
    <t>COMANDANTE CABO</t>
  </si>
  <si>
    <t>95</t>
  </si>
  <si>
    <t>(055) 473444-5835</t>
  </si>
  <si>
    <t>53.298.404 MARCELO FARIAS DOIN</t>
  </si>
  <si>
    <t>RUA R BARAO DO RIO BRANCO</t>
  </si>
  <si>
    <t>377</t>
  </si>
  <si>
    <t>(055) 479618-7642</t>
  </si>
  <si>
    <t>HOTEL VIEIRAS</t>
  </si>
  <si>
    <t>88338220</t>
  </si>
  <si>
    <t>SARIEIV HOTEL E EVENTOS LTDA</t>
  </si>
  <si>
    <t>BALNEARIO CAMBORIU.</t>
  </si>
  <si>
    <t>MEXICO</t>
  </si>
  <si>
    <t>NAÇÕES</t>
  </si>
  <si>
    <t>25</t>
  </si>
  <si>
    <t>(055) 473433-1111</t>
  </si>
  <si>
    <t>10580000</t>
  </si>
  <si>
    <t>CAPLA S.A</t>
  </si>
  <si>
    <t>CIDADE DO PANAMA</t>
  </si>
  <si>
    <t>INTERAMERICANA</t>
  </si>
  <si>
    <t>LAS MANANITAS</t>
  </si>
  <si>
    <t>(050) 73920-0300</t>
  </si>
  <si>
    <t>UNIVERSITARIO COPIAS</t>
  </si>
  <si>
    <t>78890000</t>
  </si>
  <si>
    <t>UNIVERSITARIO COPIAS LTDA</t>
  </si>
  <si>
    <t>JARDIM ALVORADA</t>
  </si>
  <si>
    <t>991</t>
  </si>
  <si>
    <t>(055) 663544-3175</t>
  </si>
  <si>
    <t>MATHEUS CARVALHO BARBOZA SANTOS</t>
  </si>
  <si>
    <t>38401680</t>
  </si>
  <si>
    <t>SEBASTIÃO MARTINS DA SILVA</t>
  </si>
  <si>
    <t>535</t>
  </si>
  <si>
    <t>(021) 98375-7929</t>
  </si>
  <si>
    <t>GLAICO GUNDIM</t>
  </si>
  <si>
    <t>82100540</t>
  </si>
  <si>
    <t>AVELINO LUCCHESI</t>
  </si>
  <si>
    <t>92</t>
  </si>
  <si>
    <t>ALLOG PARTICIPACOES LTDA</t>
  </si>
  <si>
    <t>88301600</t>
  </si>
  <si>
    <t>ITAJAI</t>
  </si>
  <si>
    <t>DR. PEDRO FERREIRA</t>
  </si>
  <si>
    <t>333</t>
  </si>
  <si>
    <t>(055) 473241-1700</t>
  </si>
  <si>
    <t>DISAN PERÚ S.A.</t>
  </si>
  <si>
    <t>AV AV. LOS TUCANES S/N LOTE. 12Y3 FND. PEDREROS</t>
  </si>
  <si>
    <t>LURIGANCHO</t>
  </si>
  <si>
    <t>(051) 1612-7878</t>
  </si>
  <si>
    <t>CAMPOSOL S.R.L</t>
  </si>
  <si>
    <t>CALLE INOMINADA,ZONA MOTECATO,AL NORTE DEL PUENTE</t>
  </si>
  <si>
    <t>53.477.455 SAMUEL CORDEIRO DE OLIVEIRA</t>
  </si>
  <si>
    <t>38401388</t>
  </si>
  <si>
    <t>DAS MAES</t>
  </si>
  <si>
    <t>(055) 349941-7348</t>
  </si>
  <si>
    <t>GRUPO LUTA PELA VIDA</t>
  </si>
  <si>
    <t>38405352</t>
  </si>
  <si>
    <t>FRANCISCO CANDIDO XAVIER</t>
  </si>
  <si>
    <t>ALTO UMUARAMA II (LOTEAMENTO)</t>
  </si>
  <si>
    <t>(055) 342101-1921</t>
  </si>
  <si>
    <t>GIOVANA MALDONADO</t>
  </si>
  <si>
    <t>79321002</t>
  </si>
  <si>
    <t>GIOVANA MALDONADO (CAMPOSOL)</t>
  </si>
  <si>
    <t>PARAIBA</t>
  </si>
  <si>
    <t>CONJUNTO GUATOS</t>
  </si>
  <si>
    <t>RAFAEL CARLOS GARCIA</t>
  </si>
  <si>
    <t>38414094</t>
  </si>
  <si>
    <t>ESTELA SARAIVA DE PEANO</t>
  </si>
  <si>
    <t>313</t>
  </si>
  <si>
    <t>WALDINO BRITOS NOGUEIRA</t>
  </si>
  <si>
    <t>85863150</t>
  </si>
  <si>
    <t>CARLOS LUZ</t>
  </si>
  <si>
    <t>CENTRO CIVICO</t>
  </si>
  <si>
    <t>387</t>
  </si>
  <si>
    <t>(045) 98801-6816</t>
  </si>
  <si>
    <t>ALFA NATURA BOLIVIA</t>
  </si>
  <si>
    <t>ALFA NATURA SRL</t>
  </si>
  <si>
    <t>PI MZA 29B</t>
  </si>
  <si>
    <t>PARQUE INDUSTRIAL</t>
  </si>
  <si>
    <t>29B</t>
  </si>
  <si>
    <t>(059) 17630-3737</t>
  </si>
  <si>
    <t>BUNGE - URUGUAI</t>
  </si>
  <si>
    <t>BUNGE URUGUAI</t>
  </si>
  <si>
    <t>CONTINUACIÓN ECHEVARRIARZA</t>
  </si>
  <si>
    <t>3535B</t>
  </si>
  <si>
    <t>(059) 82628-4775</t>
  </si>
  <si>
    <t>NÃO CLIENTE - CAMPO RICO - SANTARÉM</t>
  </si>
  <si>
    <t>SANTARÉM</t>
  </si>
  <si>
    <t>CARGILL URUGUAY</t>
  </si>
  <si>
    <t>REPUBLICA DE MEXICO</t>
  </si>
  <si>
    <t>6517</t>
  </si>
  <si>
    <t>(059) 82604-3374</t>
  </si>
  <si>
    <t>NÃO CLIENTE - DREYFUS - NOVA MUTUM</t>
  </si>
  <si>
    <t>NÃO CLIENTE - FERTIPAR - DOURADOS</t>
  </si>
  <si>
    <t>NÃO CLIENTE - FERTIPAR SUDESTE - MARTINS</t>
  </si>
  <si>
    <t>MARTINS SOARES</t>
  </si>
  <si>
    <t>THASSIA CAMILA DE ALM SOARES 1018462</t>
  </si>
  <si>
    <t>38408420</t>
  </si>
  <si>
    <t>TUPIS</t>
  </si>
  <si>
    <t>705</t>
  </si>
  <si>
    <t>(055) 349234-0420</t>
  </si>
  <si>
    <t>ASSOC. DE EMPREEND. DO AGRONEG. FRANCA</t>
  </si>
  <si>
    <t>14406301</t>
  </si>
  <si>
    <t>WILSON SABIO DE MELLO</t>
  </si>
  <si>
    <t>SAO JOAQUIM</t>
  </si>
  <si>
    <t>1490</t>
  </si>
  <si>
    <t>(055) 163720-2444</t>
  </si>
  <si>
    <t>ECOPLANA - CONSULTORIAS</t>
  </si>
  <si>
    <t>78528000</t>
  </si>
  <si>
    <t>WANDERSON A. DE GOIS</t>
  </si>
  <si>
    <t>NOVO MUNDO</t>
  </si>
  <si>
    <t>TOPAZIO</t>
  </si>
  <si>
    <t>SETOR III</t>
  </si>
  <si>
    <t>(055) 6699236-1615</t>
  </si>
  <si>
    <t>TGL URUGUAY S.A.</t>
  </si>
  <si>
    <t>AV. DE LAS AMERICAS</t>
  </si>
  <si>
    <t>8200</t>
  </si>
  <si>
    <t>(059) 89963-7701</t>
  </si>
  <si>
    <t>TRANSPORTADORA CAPIVARI LIMITADA</t>
  </si>
  <si>
    <t>13052710</t>
  </si>
  <si>
    <t>JOSE BIGATTO</t>
  </si>
  <si>
    <t>CHACARAS SAO FRANCISCO DO AEROPORTO</t>
  </si>
  <si>
    <t>(055) 193765-8700</t>
  </si>
  <si>
    <t>PARACHOQUES NOSSA SENHORA DA PAZ</t>
  </si>
  <si>
    <t>82510290</t>
  </si>
  <si>
    <t>K &amp; G RECUPERADORA DE PARACHOQUES E COME</t>
  </si>
  <si>
    <t>RUA CANADA</t>
  </si>
  <si>
    <t>BACACHERI</t>
  </si>
  <si>
    <t>1311</t>
  </si>
  <si>
    <t>(055) 413023-3374</t>
  </si>
  <si>
    <t>RODOVIARIO CAMILO DOS SANTOS FILHO</t>
  </si>
  <si>
    <t>29137110</t>
  </si>
  <si>
    <t>RODOVIARIO CAMILO DOS SANTOS FILHO LTDA</t>
  </si>
  <si>
    <t>GUARAPARI</t>
  </si>
  <si>
    <t>AREINHA</t>
  </si>
  <si>
    <t>(055) 322102-8011</t>
  </si>
  <si>
    <t>E P ROJAS - CONSULTORIA E PESQUISA</t>
  </si>
  <si>
    <t>78559899</t>
  </si>
  <si>
    <t>E. P. ROJAS &amp; CIA. LTDA.</t>
  </si>
  <si>
    <t>ROD MT 222, KM 05 SENTIDO SINOP/AEROPORTO LADO DIREITO</t>
  </si>
  <si>
    <t>AREA RURAL DE SINOP</t>
  </si>
  <si>
    <t>(055) 669603-9522</t>
  </si>
  <si>
    <t>SOMAX AGRO S.A.</t>
  </si>
  <si>
    <t>HERNANDARIAS</t>
  </si>
  <si>
    <t>AVENIDA JOSÉ ASUNCIÓN FLORES C/ MANUEL ORTIZ GUERRERO</t>
  </si>
  <si>
    <t>PARANÁ COUNTRY CLUB</t>
  </si>
  <si>
    <t>(059) 561572-2124</t>
  </si>
  <si>
    <t>18048090</t>
  </si>
  <si>
    <t>UPPER DOG COMERCIAL LTDA.</t>
  </si>
  <si>
    <t>SOROCABA</t>
  </si>
  <si>
    <t>JOAO DIAS DE SOUZA</t>
  </si>
  <si>
    <t>PARQUE CAMPOLIM</t>
  </si>
  <si>
    <t>(055) 159823-4070</t>
  </si>
  <si>
    <t>NPK BOLIVIA</t>
  </si>
  <si>
    <t>00000591</t>
  </si>
  <si>
    <t>EMPRESA BOLIVIANA DE INDUTRIALIZACIÓN DE</t>
  </si>
  <si>
    <t>MANZANO A</t>
  </si>
  <si>
    <t>(059) 1466-3214</t>
  </si>
  <si>
    <t>MAYARA RODRIGUES DOS SANTOS 10354149610</t>
  </si>
  <si>
    <t>38408432</t>
  </si>
  <si>
    <t>SAO FRANCISCO DE ASSIS</t>
  </si>
  <si>
    <t>VIGILATO PEREIRA</t>
  </si>
  <si>
    <t>1300</t>
  </si>
  <si>
    <t>58.940.542 ALESSANDER ALVES CARDOSO</t>
  </si>
  <si>
    <t>38400684</t>
  </si>
  <si>
    <t>FELICIANO DE MORAIS</t>
  </si>
  <si>
    <t>NOSSA SENHORA APARECIDA</t>
  </si>
  <si>
    <t>GOTLAND INDUSTRIES GOTIN S.A.S</t>
  </si>
  <si>
    <t>AZUAY</t>
  </si>
  <si>
    <t>99559-7689</t>
  </si>
  <si>
    <t>KAYAN - EGITO</t>
  </si>
  <si>
    <t>KAYAN FOR INTERNATIONAL TRADE</t>
  </si>
  <si>
    <t>NEW CAIRO</t>
  </si>
  <si>
    <t>BANKS CENTER ST.</t>
  </si>
  <si>
    <t>74</t>
  </si>
  <si>
    <t>(055) 1193330-7777</t>
  </si>
  <si>
    <t>FÁBIO VALE</t>
  </si>
  <si>
    <t>13403866</t>
  </si>
  <si>
    <t>ADUBAI - CONSULT. PESQ. PLANEJ. AGRIC LT</t>
  </si>
  <si>
    <t>PIRACICABA</t>
  </si>
  <si>
    <t>LUIZ BANDORIA</t>
  </si>
  <si>
    <t>TERRAS DE PIRACICABA</t>
  </si>
  <si>
    <t>71</t>
  </si>
  <si>
    <t>(055) 199888-1428</t>
  </si>
  <si>
    <t>RAUL LEONARDO LAUZ RODRIGUEZ</t>
  </si>
  <si>
    <t>96300000</t>
  </si>
  <si>
    <t>JAGUARAO</t>
  </si>
  <si>
    <t>MENNA BARRETO</t>
  </si>
  <si>
    <t>1875</t>
  </si>
  <si>
    <t>(055) 5399959-9518</t>
  </si>
  <si>
    <t>HOTEL CARAJAS</t>
  </si>
  <si>
    <t>36280000</t>
  </si>
  <si>
    <t>HOTEL LANA RODRIGUES LTDA</t>
  </si>
  <si>
    <t>CARANDAÍ</t>
  </si>
  <si>
    <t>PRESIDENTE VARGAS</t>
  </si>
  <si>
    <t>ELIVANIA FERREIRA DE PAULA - CLAUDIONOR</t>
  </si>
  <si>
    <t>50.921.594 ELIVANIA FERREIRA DE PAULA</t>
  </si>
  <si>
    <t>NESTOR ALVES FERREIRA</t>
  </si>
  <si>
    <t>CJ A M COIMBRA</t>
  </si>
  <si>
    <t>(055) 169165-1639</t>
  </si>
  <si>
    <t>JOSE LEMOS DE OLIVEIRA NETO</t>
  </si>
  <si>
    <t>38408266</t>
  </si>
  <si>
    <t>JOÃO LIMIRIO DOS ANJOS</t>
  </si>
  <si>
    <t>2065</t>
  </si>
  <si>
    <t>(034) 99295-0012</t>
  </si>
  <si>
    <t>20239827000160 - RONAN FARIA DOS SANTOS</t>
  </si>
  <si>
    <t>38415270</t>
  </si>
  <si>
    <t>RONAN FARIA DOS SANTOS 93761937687</t>
  </si>
  <si>
    <t>DOUTOR MANOEL THOMAZ TEIXEIRA DE SOUZA</t>
  </si>
  <si>
    <t>142</t>
  </si>
  <si>
    <t>(055) 349248-9562</t>
  </si>
  <si>
    <t>FRANCISCO NARCISO DE LAPRIDA</t>
  </si>
  <si>
    <t>VILLA MARTELLI</t>
  </si>
  <si>
    <t>3175</t>
  </si>
  <si>
    <t>(054) 9341655-4481</t>
  </si>
  <si>
    <t>LAFE CONSULTORIA</t>
  </si>
  <si>
    <t>37430000</t>
  </si>
  <si>
    <t>AUAC BRENO LAFE LTDA</t>
  </si>
  <si>
    <t>CONCEICAO DO RIO VERDE</t>
  </si>
  <si>
    <t>PRES. GETÚLIO VARGAS</t>
  </si>
  <si>
    <t>PONTE VELHA</t>
  </si>
  <si>
    <t>137</t>
  </si>
  <si>
    <t>(055) 3599839-9295</t>
  </si>
  <si>
    <t>59.124.918 KARITHA DORNELAS L. V. BORGES</t>
  </si>
  <si>
    <t>38401102</t>
  </si>
  <si>
    <t>ELPÍDIO ARISTIDES DE FREITAS</t>
  </si>
  <si>
    <t>315</t>
  </si>
  <si>
    <t>38401886</t>
  </si>
  <si>
    <t>ARISTÓTELES DOS SANTOS</t>
  </si>
  <si>
    <t>112</t>
  </si>
  <si>
    <t>MARCOS FIRMINO DE ALMEIDA</t>
  </si>
  <si>
    <t>UBERSOLO ANALISES AGRICOLAS</t>
  </si>
  <si>
    <t>38412012</t>
  </si>
  <si>
    <t>APAGRI - CONSULTORIA AGRONOMICA S.A</t>
  </si>
  <si>
    <t>IMPERATRIZ LEOPOLDINA</t>
  </si>
  <si>
    <t>(055) 193236-8002</t>
  </si>
  <si>
    <t>GISELA AGUERO</t>
  </si>
  <si>
    <t>79303070</t>
  </si>
  <si>
    <t>Gisela Aguero (Alfa Natura )</t>
  </si>
  <si>
    <t>RUA CUIABA</t>
  </si>
  <si>
    <t>15</t>
  </si>
  <si>
    <t>(067) 9926-8373</t>
  </si>
  <si>
    <t>GABRIEL OSINAGA PENA</t>
  </si>
  <si>
    <t>79311570</t>
  </si>
  <si>
    <t>RUA ALAMEDA MONTEIRO LOBATO</t>
  </si>
  <si>
    <t>CRISTO REDENTOR</t>
  </si>
  <si>
    <t>6</t>
  </si>
  <si>
    <t>(059) 17144-3552</t>
  </si>
  <si>
    <t>HOTEL AGUAS VERDES</t>
  </si>
  <si>
    <t>HOTEL AGUAS VERDES LTDA</t>
  </si>
  <si>
    <t>SAO LOURENCO DO OESTE</t>
  </si>
  <si>
    <t>ALVORADA</t>
  </si>
  <si>
    <t>1391S</t>
  </si>
  <si>
    <t>(055) 653549-2492</t>
  </si>
  <si>
    <t>FUNDO DO EXERCITO</t>
  </si>
  <si>
    <t>70052900</t>
  </si>
  <si>
    <t>COMANDO DO EXERCITO</t>
  </si>
  <si>
    <t>ESPL. DOS MINISTERIOS</t>
  </si>
  <si>
    <t>V</t>
  </si>
  <si>
    <t>DENIZE APARECIDA DANTAS 03804807607</t>
  </si>
  <si>
    <t>38400058</t>
  </si>
  <si>
    <t>RIO BRANCO</t>
  </si>
  <si>
    <t>LÍDICE</t>
  </si>
  <si>
    <t>1036</t>
  </si>
  <si>
    <t>(055) 349256-0009</t>
  </si>
  <si>
    <t>50.352.105 RENATO RODRIGUES DE OLIVEIRA</t>
  </si>
  <si>
    <t>14404106</t>
  </si>
  <si>
    <t>LUIZ DE CASTRO SILVA</t>
  </si>
  <si>
    <t>JARDIM AEROPORTO II</t>
  </si>
  <si>
    <t>1447</t>
  </si>
  <si>
    <t>(055) 169180-6068</t>
  </si>
  <si>
    <t>ARTUR PARREIRA SILVA</t>
  </si>
  <si>
    <t>38414505</t>
  </si>
  <si>
    <t>AMÉRICO ATTIÊ</t>
  </si>
  <si>
    <t>MANSOUR</t>
  </si>
  <si>
    <t>61</t>
  </si>
  <si>
    <t>(034) 99990-4001</t>
  </si>
  <si>
    <t>49770000</t>
  </si>
  <si>
    <t>DO PORTO (SE-226)</t>
  </si>
  <si>
    <t>226</t>
  </si>
  <si>
    <t>MAPRIN SRL - BOLÍVIA</t>
  </si>
  <si>
    <t>MAPRIN SRL</t>
  </si>
  <si>
    <t>6 DE AGOSTO Y SILES</t>
  </si>
  <si>
    <t>481</t>
  </si>
  <si>
    <t>(059) 17222-3231</t>
  </si>
  <si>
    <t>GUILHERME MAPRIN</t>
  </si>
  <si>
    <t>78250000</t>
  </si>
  <si>
    <t>Guilherme Mazeto Greve</t>
  </si>
  <si>
    <t>PONTES E LACERDA</t>
  </si>
  <si>
    <t>PIRES DE CAMPOS</t>
  </si>
  <si>
    <t>SANTA ANA</t>
  </si>
  <si>
    <t>666</t>
  </si>
  <si>
    <t>MARLON LIMA FEITOSA</t>
  </si>
  <si>
    <t>65081395</t>
  </si>
  <si>
    <t>32</t>
  </si>
  <si>
    <t>VILA EMBRATEL</t>
  </si>
  <si>
    <t>JORGE SANTOS GUIMARAES</t>
  </si>
  <si>
    <t>SWAP INSTITUICAO</t>
  </si>
  <si>
    <t>01452922</t>
  </si>
  <si>
    <t>SWAP INSTITUICAO DE PAGAMENTO S.A.</t>
  </si>
  <si>
    <t>BRIG FARIA LIMA</t>
  </si>
  <si>
    <t>JARDIM PAULISTANO</t>
  </si>
  <si>
    <t>2369</t>
  </si>
  <si>
    <t>(055) 113663-5088</t>
  </si>
  <si>
    <t>ZIM DO BRASIL</t>
  </si>
  <si>
    <t>11013010</t>
  </si>
  <si>
    <t>ZIM DO BRASIL LTDA</t>
  </si>
  <si>
    <t>PRAÇA DA REPÚBLICA</t>
  </si>
  <si>
    <t>BELA VISTA</t>
  </si>
  <si>
    <t>(055) 133228-3138</t>
  </si>
  <si>
    <t>SERCOMPE</t>
  </si>
  <si>
    <t>89219600</t>
  </si>
  <si>
    <t>SERCOMPE IT SERVICES LTDA</t>
  </si>
  <si>
    <t>ANDRESSA</t>
  </si>
  <si>
    <t>JOINVILLE</t>
  </si>
  <si>
    <t>DONA FRANCISCA</t>
  </si>
  <si>
    <t>ZONA INDUSTRIAL NORTE</t>
  </si>
  <si>
    <t>8300</t>
  </si>
  <si>
    <t>(055) 473431-9700</t>
  </si>
  <si>
    <t>THAWANY RAFAELLE DA SILVA</t>
  </si>
  <si>
    <t>37048570</t>
  </si>
  <si>
    <t>Thawany Rafaelle da Silva</t>
  </si>
  <si>
    <t>DOM OTHON MOTTA</t>
  </si>
  <si>
    <t>JARDIM SION</t>
  </si>
  <si>
    <t>751</t>
  </si>
  <si>
    <t>(035) 98822-5951</t>
  </si>
  <si>
    <t>INDORAMA - NIGÉRIA</t>
  </si>
  <si>
    <t>INDORAMA ELEME FERTILIZER &amp; CHEMICAL LTD</t>
  </si>
  <si>
    <t>EAST WEST EXPRESS WAY RIVERS, NIGERIA</t>
  </si>
  <si>
    <t>(023) 4812223-7895</t>
  </si>
  <si>
    <t>COONAGRO - PALMEIRANTE</t>
  </si>
  <si>
    <t>77798000</t>
  </si>
  <si>
    <t>BOA ESPERANCA - LOTEAMENTO POMBAS PARCELA E - RODOVIA TO-335</t>
  </si>
  <si>
    <t>GLEBA ANAJA</t>
  </si>
  <si>
    <t>(055) 413281-1522</t>
  </si>
  <si>
    <t>RANGEL TRANSPORTES</t>
  </si>
  <si>
    <t>35738000</t>
  </si>
  <si>
    <t>R.T RANGEL TRANSPORTE LTDA</t>
  </si>
  <si>
    <t>ZIGOR.GABRIEL</t>
  </si>
  <si>
    <t>PRUDENTE DE MORAIS</t>
  </si>
  <si>
    <t>(055) 229996-3672</t>
  </si>
  <si>
    <t>ADRIANA DE FREITAS PEDROSA 71873856687</t>
  </si>
  <si>
    <t>38405283</t>
  </si>
  <si>
    <t>RUA PAULO DE FRONTIN</t>
  </si>
  <si>
    <t>1027</t>
  </si>
  <si>
    <t>(055) 349195-2506</t>
  </si>
  <si>
    <t>ADAMES TRANSPORTES</t>
  </si>
  <si>
    <t>85859688</t>
  </si>
  <si>
    <t>ADAMES TRANSP CARGAS ROD NAC E INT LTDA</t>
  </si>
  <si>
    <t>ZLUDMILLA</t>
  </si>
  <si>
    <t>ROD BR-277</t>
  </si>
  <si>
    <t>8990</t>
  </si>
  <si>
    <t>(055) 4599851-9999</t>
  </si>
  <si>
    <t>HUSK VENTURES CO., LTD. - CAMBOJA</t>
  </si>
  <si>
    <t>00012310</t>
  </si>
  <si>
    <t>HUSK VENTURES CO., LTD.</t>
  </si>
  <si>
    <t>PHNOM PENH</t>
  </si>
  <si>
    <t>1159</t>
  </si>
  <si>
    <t>BERNARDO NERI</t>
  </si>
  <si>
    <t>38412146</t>
  </si>
  <si>
    <t>BERNARDO NERI ROSA 05134977658</t>
  </si>
  <si>
    <t>DAS PRIMAVERAS</t>
  </si>
  <si>
    <t>CIDADE JARDIM</t>
  </si>
  <si>
    <t>595</t>
  </si>
  <si>
    <t>(055) 348835-2918</t>
  </si>
  <si>
    <t>54.696.121 THALITA ALVES TORRES GARCIA R</t>
  </si>
  <si>
    <t>Consumidor Final Contribuinte</t>
  </si>
  <si>
    <t>38400622</t>
  </si>
  <si>
    <t>PRATA</t>
  </si>
  <si>
    <t>(055) 349726-7999</t>
  </si>
  <si>
    <t>TIMAC AGRO URUGUAY S.A.</t>
  </si>
  <si>
    <t>00090400</t>
  </si>
  <si>
    <t>JUANICÓ</t>
  </si>
  <si>
    <t>RUTA 5 KM 37.500</t>
  </si>
  <si>
    <t>RMS ESTACIONAMENTOS</t>
  </si>
  <si>
    <t>88306600</t>
  </si>
  <si>
    <t>TRADE HOLDING LTDA</t>
  </si>
  <si>
    <t>OSVALDO REIS</t>
  </si>
  <si>
    <t>PRAIA BRAVA</t>
  </si>
  <si>
    <t>3281</t>
  </si>
  <si>
    <t>(055) 478872-5362</t>
  </si>
  <si>
    <t>CANDEIAS GUARUJA</t>
  </si>
  <si>
    <t>11440510</t>
  </si>
  <si>
    <t>CANDEIAS ESPORTE LAZER E RECREACAO</t>
  </si>
  <si>
    <t>FRANCA PINTO</t>
  </si>
  <si>
    <t>ENSEADA</t>
  </si>
  <si>
    <t>553</t>
  </si>
  <si>
    <t>(055) 413072-7113</t>
  </si>
  <si>
    <t>PANICE INFORMATICA</t>
  </si>
  <si>
    <t>38408288</t>
  </si>
  <si>
    <t>PANICE SUPORTE EM INFORMATICA LTDA</t>
  </si>
  <si>
    <t>4825</t>
  </si>
  <si>
    <t>(055) 343292-7140</t>
  </si>
  <si>
    <t>MÁS FÉRTIL - PARAGUAI</t>
  </si>
  <si>
    <t>MÁS FÉRTIL S.A.</t>
  </si>
  <si>
    <t>CAAGUAZÚ</t>
  </si>
  <si>
    <t>RUTA PY 13 KM 181</t>
  </si>
  <si>
    <t>(059) 597645-2251</t>
  </si>
  <si>
    <t>MATTOS FILHO, VEIGA FILHO, MARREY JR. E</t>
  </si>
  <si>
    <t>01403001</t>
  </si>
  <si>
    <t>JOAQUIM EUGENIO DE LIMA</t>
  </si>
  <si>
    <t>JARDIM PAULISTA</t>
  </si>
  <si>
    <t>447</t>
  </si>
  <si>
    <t>BRANDNBOOK DESIGN &amp; SOFTWARES LTDA</t>
  </si>
  <si>
    <t>14169380</t>
  </si>
  <si>
    <t>BRANDNBOOK DESIGN E SOFTWARES LTDA</t>
  </si>
  <si>
    <t>MARIA APARECIDA ANDRADE</t>
  </si>
  <si>
    <t>JARDIM TROPICAL</t>
  </si>
  <si>
    <t>373</t>
  </si>
  <si>
    <t>(055) 114708-8347</t>
  </si>
  <si>
    <t>CIFERT PERU</t>
  </si>
  <si>
    <t>00015034</t>
  </si>
  <si>
    <t>COMPANIA INDUSTRIAL DE  FERTILIZANTES SA</t>
  </si>
  <si>
    <t>REPUBLICA DE PANAMA</t>
  </si>
  <si>
    <t>URB. SANTA CATALINA</t>
  </si>
  <si>
    <t>2461</t>
  </si>
  <si>
    <t>(051) 99636-9159</t>
  </si>
  <si>
    <t>THIAGO GEANINI DOS SANTOS</t>
  </si>
  <si>
    <t>Thiago Geanini dos Santos</t>
  </si>
  <si>
    <t>ENCARNACIÓN</t>
  </si>
  <si>
    <t>CALLE DR JUAN LEO MALLORQUIN Y PADRE KREUSSER</t>
  </si>
  <si>
    <t>(059) 598362-3779</t>
  </si>
  <si>
    <t>UNILINE AGENCIA MARITIMA</t>
  </si>
  <si>
    <t>11013220</t>
  </si>
  <si>
    <t>UNILINE AGENCIA MARITIMA LTDA.</t>
  </si>
  <si>
    <t>CORREA DE MELO</t>
  </si>
  <si>
    <t>08</t>
  </si>
  <si>
    <t>(055) 132101-7890</t>
  </si>
  <si>
    <t>OIL COMPANY REPRESENTAÇÕES DE COMMODITIE</t>
  </si>
  <si>
    <t>01139000</t>
  </si>
  <si>
    <t>MARQUES DE SAO VICENTE</t>
  </si>
  <si>
    <t>BARRA FUNDA</t>
  </si>
  <si>
    <t>446</t>
  </si>
  <si>
    <t>(011) 95480-3534</t>
  </si>
  <si>
    <t>FERTIPLUS-AGRO  BOLÍVIA</t>
  </si>
  <si>
    <t>FERTIPLUS-AGRO Demetrio Albarracin</t>
  </si>
  <si>
    <t>SENOR DE BURGOS Y CARRETERA CBBA-SUCRE</t>
  </si>
  <si>
    <t>LOCALIDAD MIZQUE</t>
  </si>
  <si>
    <t>(059) 17237-6071</t>
  </si>
  <si>
    <t>ENLASA - EQUADOR</t>
  </si>
  <si>
    <t>ENLASA</t>
  </si>
  <si>
    <t>SAN MIGUEL PETAPA</t>
  </si>
  <si>
    <t>1A. CALLE 18-60 ZONA 10</t>
  </si>
  <si>
    <t>COMPLEJO INDUSTRIAL MAYAN GOLF</t>
  </si>
  <si>
    <t>18</t>
  </si>
  <si>
    <t>(059) 398909-8423</t>
  </si>
  <si>
    <t>TAXA SISCOMEX</t>
  </si>
  <si>
    <t>70048900</t>
  </si>
  <si>
    <t>DOS MINISTERIOS</t>
  </si>
  <si>
    <t>ZONA CIVICO-ADMINISTRATIVA</t>
  </si>
  <si>
    <t>(055) 613412-2707</t>
  </si>
  <si>
    <t>IMPOSTO DE IMPORTAÇÃO</t>
  </si>
  <si>
    <t>GUILHERME VALADÃO BARROS DE PAULA</t>
  </si>
  <si>
    <t>BRUNO DO NASCIMENTO SILVA</t>
  </si>
  <si>
    <t>13084490</t>
  </si>
  <si>
    <t>CONSTANCIA REIS LOPES</t>
  </si>
  <si>
    <t>JARDIM INDEPENDENCIA</t>
  </si>
  <si>
    <t>OCP NUTRICROPS - MARROCOS</t>
  </si>
  <si>
    <t>OCP Nutricrops</t>
  </si>
  <si>
    <t>CASABLANCA</t>
  </si>
  <si>
    <t>COMPLEXE JORF LASFAR</t>
  </si>
  <si>
    <t>118</t>
  </si>
  <si>
    <t>(021) 266230-3541</t>
  </si>
  <si>
    <t>ESTADO DE MINAS GERAIS</t>
  </si>
  <si>
    <t>31630901</t>
  </si>
  <si>
    <t>JOAO PAULO II</t>
  </si>
  <si>
    <t>4001</t>
  </si>
  <si>
    <t>(055) 313915-6102</t>
  </si>
  <si>
    <t>CENTRO DE PESQUISA IVALU</t>
  </si>
  <si>
    <t>38510000</t>
  </si>
  <si>
    <t>CENTRO DE PESQUISA IVALU LTDA</t>
  </si>
  <si>
    <t>IRAI DE MINAS</t>
  </si>
  <si>
    <t>MG 190 KM 74</t>
  </si>
  <si>
    <t>(055) 343842-1065</t>
  </si>
  <si>
    <t>CAIO BRENNER DIAS GUEDES</t>
  </si>
  <si>
    <t>38415414</t>
  </si>
  <si>
    <t>DO SAMBA</t>
  </si>
  <si>
    <t>GUARANI</t>
  </si>
  <si>
    <t>(034) 99959-3349</t>
  </si>
  <si>
    <t>38400214</t>
  </si>
  <si>
    <t>QUINZE DE NOVEMBRO</t>
  </si>
  <si>
    <t>431</t>
  </si>
  <si>
    <t>(034) 99195-3951</t>
  </si>
  <si>
    <t>62.714.295 GUSTAVO ROSA BATISTA</t>
  </si>
  <si>
    <t>38.412-6</t>
  </si>
  <si>
    <t>GUSTAVO ROSA BATISTA</t>
  </si>
  <si>
    <t>DOS PICA PAUS</t>
  </si>
  <si>
    <t>NOVA UBERLÂNDIA</t>
  </si>
  <si>
    <t>INDORAMA INDONÉSIA</t>
  </si>
  <si>
    <t>PT INDO-RAMA SYNTHETICS TBK</t>
  </si>
  <si>
    <t>JAKARTA</t>
  </si>
  <si>
    <t>GRAHA IRAMA, 17TH FLOOR, JL. H. R. RASUNA SAID, BLOK X-1</t>
  </si>
  <si>
    <t>21526-1555</t>
  </si>
  <si>
    <t>60.089.879 MATEUS LUIZ CLASMANN</t>
  </si>
  <si>
    <t>78894067</t>
  </si>
  <si>
    <t>PERIMETRAL SUDOESTE</t>
  </si>
  <si>
    <t>JARDIM ITALIA</t>
  </si>
  <si>
    <t>1237</t>
  </si>
  <si>
    <t>(055) 669985-8738</t>
  </si>
  <si>
    <t>RODOLFO SANTOS PEREIRA</t>
  </si>
  <si>
    <t>38413345</t>
  </si>
  <si>
    <t>ANTONIO DOMINGUES</t>
  </si>
  <si>
    <t>CHACARAS TUBALINA</t>
  </si>
  <si>
    <t>430</t>
  </si>
  <si>
    <t>(013) 99179-9243</t>
  </si>
  <si>
    <t>CAMPOFERT S.A.S.</t>
  </si>
  <si>
    <t>CALLE 15B #25A-352</t>
  </si>
  <si>
    <t>(057) 2666-8041</t>
  </si>
  <si>
    <t>AMILTON ANDRANDE MACHADO</t>
  </si>
  <si>
    <t>38414317</t>
  </si>
  <si>
    <t>GRUPO GLORIA (CIFERT) - PERU</t>
  </si>
  <si>
    <t>LECHE GLORIA SOCIEDAD ANONIMA - GLORIA S</t>
  </si>
  <si>
    <t>LA VICTORIA</t>
  </si>
  <si>
    <t>(051) 199636-9159</t>
  </si>
  <si>
    <t>CAMARA DE COMERCIO BRASIL CANADA</t>
  </si>
  <si>
    <t>04552000</t>
  </si>
  <si>
    <t>NOSSA SENHORA DO RÓCIO</t>
  </si>
  <si>
    <t>VILA OLIMPIA</t>
  </si>
  <si>
    <t>220</t>
  </si>
  <si>
    <t>(055) 114058-0400</t>
  </si>
  <si>
    <t>WE AGRO COLOMBIA</t>
  </si>
  <si>
    <t>00055428</t>
  </si>
  <si>
    <t>WE AGRO SAS ZOMAC</t>
  </si>
  <si>
    <t>ENVIGADO</t>
  </si>
  <si>
    <t>CALLE 26 SUR,</t>
  </si>
  <si>
    <t>48–12</t>
  </si>
  <si>
    <t>(057) 4321252-0291</t>
  </si>
  <si>
    <t>ABADIAS ANDRADE NOVAIS</t>
  </si>
  <si>
    <t>38402330</t>
  </si>
  <si>
    <t>NIVALDO GUERREIRO NUNES</t>
  </si>
  <si>
    <t>871</t>
  </si>
  <si>
    <t>JEFERSON MARINHO TORQUATO TATUI</t>
  </si>
  <si>
    <t>18275700</t>
  </si>
  <si>
    <t>TATUI</t>
  </si>
  <si>
    <t>SILVIO SILVERIO DE LIMA</t>
  </si>
  <si>
    <t>JARDIM ROSA GARCIA</t>
  </si>
  <si>
    <t>86</t>
  </si>
  <si>
    <t>(055) 153251-1481</t>
  </si>
  <si>
    <t>INMERSA - PARAGUAI</t>
  </si>
  <si>
    <t>INDUSTRIAS DEL MERCOSUR AS</t>
  </si>
  <si>
    <t>RUTA PY 19 KM 5</t>
  </si>
  <si>
    <t>(059) 598187-6902</t>
  </si>
  <si>
    <t>HMM BRAZIL LTDA</t>
  </si>
  <si>
    <t>04029200</t>
  </si>
  <si>
    <t>IBIRAPUERA</t>
  </si>
  <si>
    <t>INDIANOPOLIS</t>
  </si>
  <si>
    <t>2315</t>
  </si>
  <si>
    <t>(055) 113382-9240</t>
  </si>
  <si>
    <t>TEZLA HOTEL</t>
  </si>
  <si>
    <t>78850000</t>
  </si>
  <si>
    <t>HOTEL J.D.F. LTDA</t>
  </si>
  <si>
    <t>PRIMAVERA DO LESTE</t>
  </si>
  <si>
    <t>OLIVERIO PORTA</t>
  </si>
  <si>
    <t>CENTRO LESTE</t>
  </si>
  <si>
    <t>910</t>
  </si>
  <si>
    <t>(055) 663498-7070</t>
  </si>
  <si>
    <t>EMPREITEIRO DE CONVENÇÕES DA EXPO</t>
  </si>
  <si>
    <t>00033169</t>
  </si>
  <si>
    <t>15959 NW 15ª AVENIDA</t>
  </si>
  <si>
    <t>(030) 5751-1234</t>
  </si>
  <si>
    <t>AFA ARGENTINA</t>
  </si>
  <si>
    <t>00002000</t>
  </si>
  <si>
    <t>Agricultores Federados Argentinos SCL</t>
  </si>
  <si>
    <t>ROSARIO</t>
  </si>
  <si>
    <t>MITRE</t>
  </si>
  <si>
    <t>1132</t>
  </si>
  <si>
    <t>(054) 341420-0901</t>
  </si>
  <si>
    <t>ESPACO EMOCIONAL</t>
  </si>
  <si>
    <t>ESPACO EMOCIONAL SERVICOS LTDA.</t>
  </si>
  <si>
    <t>280</t>
  </si>
  <si>
    <t>(055) 343231-3151</t>
  </si>
  <si>
    <t>INDORAMA DUBAI</t>
  </si>
  <si>
    <t>Indorama Commerce DMCC</t>
  </si>
  <si>
    <t>DUBAI</t>
  </si>
  <si>
    <t>OFFICE NO. 3705, 37TH FLOOR - SWISS TOWER, CLUSTER Y</t>
  </si>
  <si>
    <t>3705</t>
  </si>
  <si>
    <t>(097) 150718-4462</t>
  </si>
  <si>
    <t>52.845.209 MARIA DE LOURDES FERNANDES RI</t>
  </si>
  <si>
    <t>38408652</t>
  </si>
  <si>
    <t>CARVALHO DE MENDONCA</t>
  </si>
  <si>
    <t>PAMPULHA</t>
  </si>
  <si>
    <t>1229</t>
  </si>
  <si>
    <t>(055) 349796-9373</t>
  </si>
  <si>
    <t>54.826.114 IGNAR JOSE CARLOS JUNIOR</t>
  </si>
  <si>
    <t>38412064</t>
  </si>
  <si>
    <t>WENCESLAU BRAZ</t>
  </si>
  <si>
    <t>P&amp;T GROUP LLC</t>
  </si>
  <si>
    <t>BAYSHORE DR. STE. 1A 136-1071</t>
  </si>
  <si>
    <t>FRONTERRA P&amp;D</t>
  </si>
  <si>
    <t>38740026</t>
  </si>
  <si>
    <t>FRONTERRA PESQUISA E DESENVOLVIMENTO LTD</t>
  </si>
  <si>
    <t>JOAO ALVES DO NASCIMENTO</t>
  </si>
  <si>
    <t>1825</t>
  </si>
  <si>
    <t>(055) 349834-5990</t>
  </si>
  <si>
    <t>00140300</t>
  </si>
  <si>
    <t>AGRO INDUSTRIAL CALPAR S.A.</t>
  </si>
  <si>
    <t>ASUNCION</t>
  </si>
  <si>
    <t>TENIENTE MAXIMO CABALLERO</t>
  </si>
  <si>
    <t>ITAY</t>
  </si>
  <si>
    <t>547</t>
  </si>
  <si>
    <t>(059) 599140-2697</t>
  </si>
  <si>
    <t>COFACE DO BRASIL</t>
  </si>
  <si>
    <t>04571070</t>
  </si>
  <si>
    <t>COFACE DO BRASIL SERVICOS DE GERENCIAMEN</t>
  </si>
  <si>
    <t>JOAO DURAN ALONSO</t>
  </si>
  <si>
    <t>CIDADE MONCOES</t>
  </si>
  <si>
    <t>34</t>
  </si>
  <si>
    <t>(055) 115509-8181</t>
  </si>
  <si>
    <t>AMAUTA ARGENTINA</t>
  </si>
  <si>
    <t>02000000</t>
  </si>
  <si>
    <t>AMAUTA AGRO S.A.</t>
  </si>
  <si>
    <t>MADRES DE PLAZA 25 DE MAYO</t>
  </si>
  <si>
    <t>ROSARIO NORTE</t>
  </si>
  <si>
    <t>3020</t>
  </si>
  <si>
    <t>(055) 4341409-1200</t>
  </si>
  <si>
    <t>MILLIKEN AND COMPANY920</t>
  </si>
  <si>
    <t>MILLIKEN AND COMPANY</t>
  </si>
  <si>
    <t>SPARTANBURG</t>
  </si>
  <si>
    <t>MILLIKEN RD</t>
  </si>
  <si>
    <t>SOUTH CAROLINA</t>
  </si>
  <si>
    <t>920</t>
  </si>
  <si>
    <t>ASIS TAXTECH S.A.</t>
  </si>
  <si>
    <t>06454000</t>
  </si>
  <si>
    <t>RIO NEGRO</t>
  </si>
  <si>
    <t>ALPHAVILLE CENTRO INDUSTRIAL E EMPRESARIAL/ALPHAV</t>
  </si>
  <si>
    <t>503</t>
  </si>
  <si>
    <t>(055) 114191-4500</t>
  </si>
  <si>
    <t>NAO UTILIZAR - DUPLICIDADE - USAR 6144</t>
  </si>
  <si>
    <t>G&amp;B ENGENHARIA</t>
  </si>
  <si>
    <t>38411102</t>
  </si>
  <si>
    <t>G&amp;B ENGENHARIA LTDA</t>
  </si>
  <si>
    <t>OSCARINA CUNHA CHAVES</t>
  </si>
  <si>
    <t>(055) 3499672-2912</t>
  </si>
  <si>
    <t>LIDENOR MARQUES JUNIOR</t>
  </si>
  <si>
    <t>38412760</t>
  </si>
  <si>
    <t>EDSON GALLANA</t>
  </si>
  <si>
    <t>SAO BENTO (LOT. CONVENCIONAL)</t>
  </si>
  <si>
    <t>590</t>
  </si>
  <si>
    <t>(055) 3499111-2539</t>
  </si>
  <si>
    <t>MASFERTIL SAE</t>
  </si>
  <si>
    <t>RUTA 13 PY, KM 181</t>
  </si>
  <si>
    <t>TORO BRANCO</t>
  </si>
  <si>
    <t>FERTILIZANTES SANTO DOMINGO S.A.</t>
  </si>
  <si>
    <t>SANTO DOMINGO DISTRITO NACIONAL</t>
  </si>
  <si>
    <t>JOHN F. KENNEDY</t>
  </si>
  <si>
    <t>SERRALLES</t>
  </si>
  <si>
    <t>60</t>
  </si>
  <si>
    <t>S B M</t>
  </si>
  <si>
    <t>20020906</t>
  </si>
  <si>
    <t>SOCIEDADE BRASILEIRA DE METROLOGIA</t>
  </si>
  <si>
    <t>GABRIEL.VICTOR</t>
  </si>
  <si>
    <t>NILO PECANHA</t>
  </si>
  <si>
    <t>(055) 212253-7373</t>
  </si>
  <si>
    <t>HORIZON - PARAGUAY</t>
  </si>
  <si>
    <t>HORIZON TRADE AND LOGISTICS AS</t>
  </si>
  <si>
    <t>PAPA JUAN XXIII ESQ. JUAN MAX BOETTNER</t>
  </si>
  <si>
    <t>N/A</t>
  </si>
  <si>
    <t>(059) 598270-9158</t>
  </si>
  <si>
    <t>FUNDACAO BA</t>
  </si>
  <si>
    <t>47850000</t>
  </si>
  <si>
    <t>FUNDACAO APOIO PESQ DESENV OESTE BAIANO</t>
  </si>
  <si>
    <t>BR 020/242</t>
  </si>
  <si>
    <t>(055) 773639-3131</t>
  </si>
  <si>
    <t>SATUS ARGENTINA</t>
  </si>
  <si>
    <t>SATUS S.A.</t>
  </si>
  <si>
    <t>CARRIL NACIONAL</t>
  </si>
  <si>
    <t>11890</t>
  </si>
  <si>
    <t>(054) 61325-7000</t>
  </si>
  <si>
    <t>PBA COLOMBIA</t>
  </si>
  <si>
    <t>00170004</t>
  </si>
  <si>
    <t>PBA PRODUCTOS BIOTECNOLÓGICOS SAS</t>
  </si>
  <si>
    <t>MANIZALES CALDAS</t>
  </si>
  <si>
    <t>CALLE 66 A NO 26- 36</t>
  </si>
  <si>
    <t>PALERMO</t>
  </si>
  <si>
    <t>CASA6</t>
  </si>
  <si>
    <t>RENAN RODRIGUES DE OLIVEIRA</t>
  </si>
  <si>
    <t>29102036</t>
  </si>
  <si>
    <t>VILA VELHA</t>
  </si>
  <si>
    <t>SATURNINO RANGEL MAURO</t>
  </si>
  <si>
    <t>CENTRO DE VILA VELHA</t>
  </si>
  <si>
    <t>6122</t>
  </si>
  <si>
    <t>(041) 99893-3972</t>
  </si>
  <si>
    <t>BIOPRIME AGRISOLUTIONS PRIVATE LIMITED</t>
  </si>
  <si>
    <t>00411041</t>
  </si>
  <si>
    <t>VICTOR.SILVA</t>
  </si>
  <si>
    <t>DHAYARI</t>
  </si>
  <si>
    <t>2ND FLOOR, SURVEY NO. 143/1 TO 10/6B, LAGAD MALA, SINHGAD</t>
  </si>
  <si>
    <t>(055) 115535-3373</t>
  </si>
  <si>
    <t>SAD CONSULTORIA LTDA.</t>
  </si>
  <si>
    <t>01452921</t>
  </si>
  <si>
    <t>1461</t>
  </si>
  <si>
    <t>(055) 113093-7777</t>
  </si>
  <si>
    <t>LABORATORIO SOLOS &amp; PLANTAS - UNIDADE LE</t>
  </si>
  <si>
    <t>CCA - CONTROLE CENTRO ANALITICO LTDA</t>
  </si>
  <si>
    <t>VALDEMAR KLEIN</t>
  </si>
  <si>
    <t>JARDIM IMPERIAL II</t>
  </si>
  <si>
    <t>356</t>
  </si>
  <si>
    <t>(055) 779843-5601</t>
  </si>
  <si>
    <t>JC DECOR</t>
  </si>
  <si>
    <t>30710543</t>
  </si>
  <si>
    <t>JC DECOR PLASTICOS E TECIDOS LTDA</t>
  </si>
  <si>
    <t>DOM PEDRO II</t>
  </si>
  <si>
    <t>CARLOS PRATES</t>
  </si>
  <si>
    <t>1479</t>
  </si>
  <si>
    <t>(055) 313201-3187</t>
  </si>
  <si>
    <t>YARA ARGENTINA</t>
  </si>
  <si>
    <t>YARA ARGENTINA S.A</t>
  </si>
  <si>
    <t>VIAMONTE 1145 - PISO 2</t>
  </si>
  <si>
    <t>1145</t>
  </si>
  <si>
    <t>(054) 115289-3101</t>
  </si>
  <si>
    <t>MOSAIC</t>
  </si>
  <si>
    <t>04583916</t>
  </si>
  <si>
    <t>MOSAIC FERTILIZANTES DO BRASIL LTDA.</t>
  </si>
  <si>
    <t>VILA CORDEIRO</t>
  </si>
  <si>
    <t>(055) 343352-2000</t>
  </si>
  <si>
    <t>AGRO PRO PANAMA</t>
  </si>
  <si>
    <t>01142000</t>
  </si>
  <si>
    <t>Agro Pro Panama, S.A.</t>
  </si>
  <si>
    <t>VIA INTERAMERICANA, 24 DE DICIEMBRE</t>
  </si>
  <si>
    <t>TOCUMEN</t>
  </si>
  <si>
    <t>BRASIL VERDE FERTILIZANTES</t>
  </si>
  <si>
    <t>14930000</t>
  </si>
  <si>
    <t>SAO JOSE - INDUSTRIA E COMERCIO DE FERTI</t>
  </si>
  <si>
    <t>BOA ESPERANCA DO SUL</t>
  </si>
  <si>
    <t>DOS PIERRI</t>
  </si>
  <si>
    <t>125</t>
  </si>
  <si>
    <t>(055) 163508-9250</t>
  </si>
  <si>
    <t>NORD DRIVESYSTEMS BRASIL</t>
  </si>
  <si>
    <t>07140003</t>
  </si>
  <si>
    <t>NORD DRIVESYSTEMS BRASIL LTDA</t>
  </si>
  <si>
    <t>GUARULHOS</t>
  </si>
  <si>
    <t>ARTHUR FERREIRA DOS SANTOS</t>
  </si>
  <si>
    <t>JARDIM SANTA LIDIA</t>
  </si>
  <si>
    <t>362</t>
  </si>
  <si>
    <t>(055) 112402-8858</t>
  </si>
  <si>
    <t>SOHO MEDICAL CO., LTD.</t>
  </si>
  <si>
    <t>10º E 11º ANDARES, EDIFÍCIO SOHO HIGH HOPE</t>
  </si>
  <si>
    <t>(086) 258469-0587</t>
  </si>
  <si>
    <t>NETLEX TECNOLOGIA LTDA.</t>
  </si>
  <si>
    <t>30130156</t>
  </si>
  <si>
    <t>PERNAMBUCO</t>
  </si>
  <si>
    <t>554</t>
  </si>
  <si>
    <t>(055) 313081-5412</t>
  </si>
  <si>
    <t>37418030</t>
  </si>
  <si>
    <t>MINAS SUL CEREAIS- INSUMOS AGRICOLAS</t>
  </si>
  <si>
    <t>00.102960300-74</t>
  </si>
  <si>
    <t>REI PELE</t>
  </si>
  <si>
    <t>3775</t>
  </si>
  <si>
    <t>(055) 353234-3676</t>
  </si>
  <si>
    <t>RITA GARDÊNCIA FELISMINO DE SOUZA</t>
  </si>
  <si>
    <t>0000000</t>
  </si>
  <si>
    <t>(034) 9173-8530</t>
  </si>
  <si>
    <t>JOSIAS DE SOUZA</t>
  </si>
  <si>
    <t>44002000</t>
  </si>
  <si>
    <t>FEIRA DE SANTANA</t>
  </si>
  <si>
    <t>JOSE JOAQUIM SEABRA</t>
  </si>
  <si>
    <t>401</t>
  </si>
  <si>
    <t>HADRICH ENGENHARIA</t>
  </si>
  <si>
    <t>88502125</t>
  </si>
  <si>
    <t>FABIANO LUIZ HADRICH</t>
  </si>
  <si>
    <t>0000000000</t>
  </si>
  <si>
    <t>LAGES</t>
  </si>
  <si>
    <t>SIMEAO MORITZ</t>
  </si>
  <si>
    <t>152</t>
  </si>
  <si>
    <t>SIRLEI DE SOUZA FERREIRA</t>
  </si>
  <si>
    <t>0000000000000000</t>
  </si>
  <si>
    <t>TECWEY EQUIPAMENTOS INDUSTRIAIS</t>
  </si>
  <si>
    <t>03133200</t>
  </si>
  <si>
    <t>SYBS INDUSTRIA COMERC SERVIÇO</t>
  </si>
  <si>
    <t>09941750</t>
  </si>
  <si>
    <t>SYBS</t>
  </si>
  <si>
    <t>DIADEMA</t>
  </si>
  <si>
    <t>ESPIRITO SANTO</t>
  </si>
  <si>
    <t>76800000</t>
  </si>
  <si>
    <t>AMAGGI EXPORTACAO E IMPORTACAO LTDA</t>
  </si>
  <si>
    <t>00000003051595</t>
  </si>
  <si>
    <t>A PRAZO - 60 DIAS</t>
  </si>
  <si>
    <t>ROD LOTES 01 A 06 PF AM PORTOCHUELO</t>
  </si>
  <si>
    <t>PROJETO J FUNDIARIO ALTO</t>
  </si>
  <si>
    <t>(065) 3645-5000</t>
  </si>
  <si>
    <t>HOTEL PRADENSE</t>
  </si>
  <si>
    <t>95250000</t>
  </si>
  <si>
    <t>HOTEL PRADENSE LTDA</t>
  </si>
  <si>
    <t>00000019</t>
  </si>
  <si>
    <t>ANTONIO PRADO</t>
  </si>
  <si>
    <t>VALDOMIRO BOCHESE</t>
  </si>
  <si>
    <t>360</t>
  </si>
  <si>
    <t>(055) 543293-2600</t>
  </si>
  <si>
    <t>PATRICK DUARTE DA COSTA</t>
  </si>
  <si>
    <t>38402322</t>
  </si>
  <si>
    <t>AZSHIP TECNOLOGIA EM LOGISTICA  LTDA</t>
  </si>
  <si>
    <t>AZ SHIP</t>
  </si>
  <si>
    <t>0000008255289682</t>
  </si>
  <si>
    <t>JOSE ANDRAUS GASSANI</t>
  </si>
  <si>
    <t>1504</t>
  </si>
  <si>
    <t>TORNEADORA NARDINI LTDA</t>
  </si>
  <si>
    <t>38400614</t>
  </si>
  <si>
    <t>00023200</t>
  </si>
  <si>
    <t>PETROBRAS - FAFEN BA</t>
  </si>
  <si>
    <t>42810000</t>
  </si>
  <si>
    <t>PETRÓLEO BRASILEIRO SA - PETROBRAS</t>
  </si>
  <si>
    <t>000950123</t>
  </si>
  <si>
    <t>ETENO</t>
  </si>
  <si>
    <t>POLO PETROQUIMICO</t>
  </si>
  <si>
    <t>2198</t>
  </si>
  <si>
    <t>(071) 3348-3875</t>
  </si>
  <si>
    <t>METALURGICA BRASILIA LTDA</t>
  </si>
  <si>
    <t>38402002</t>
  </si>
  <si>
    <t>0010021030090</t>
  </si>
  <si>
    <t>AVENIDA ANDRE REBOUCAS</t>
  </si>
  <si>
    <t>NOSSA SENHORA DAS GR</t>
  </si>
  <si>
    <t>116</t>
  </si>
  <si>
    <t>(034) 3211-7700</t>
  </si>
  <si>
    <t>OBJETIVA AMBIENTES</t>
  </si>
  <si>
    <t>38410518</t>
  </si>
  <si>
    <t>OBJETIVA AMBIENTES DIV &amp; FORROS LTDA</t>
  </si>
  <si>
    <t>0010058740023</t>
  </si>
  <si>
    <t>(055) 343210-7584</t>
  </si>
  <si>
    <t>PANSERVICE TRANSPORTES E LOCACAO LTDA</t>
  </si>
  <si>
    <t>38402335</t>
  </si>
  <si>
    <t>0010070800049</t>
  </si>
  <si>
    <t>(055) 343211-0562</t>
  </si>
  <si>
    <t>VITORIA FERTILIZANTES</t>
  </si>
  <si>
    <t>38700970</t>
  </si>
  <si>
    <t>VITORIA FERTILIZANTES LTDA</t>
  </si>
  <si>
    <t>0010143140086</t>
  </si>
  <si>
    <t>ROD BR 146 KM 1</t>
  </si>
  <si>
    <t>37750000</t>
  </si>
  <si>
    <t>TERRA DE CULTIVO IND. DE FERTIL. LTDA</t>
  </si>
  <si>
    <t>0010167860135</t>
  </si>
  <si>
    <t>MACHADO</t>
  </si>
  <si>
    <t>BR 267</t>
  </si>
  <si>
    <t>(035) 3295-0300</t>
  </si>
  <si>
    <t>38748899</t>
  </si>
  <si>
    <t>SUPERFÉRTIL FERTILIZANTES LTDA</t>
  </si>
  <si>
    <t>0010184320046</t>
  </si>
  <si>
    <t>BR 365 KM 466</t>
  </si>
  <si>
    <t>(034) 3832-2227</t>
  </si>
  <si>
    <t>SACKET DO BRASIL EQUIPAMENTOS E SISTEMAS</t>
  </si>
  <si>
    <t>38180305</t>
  </si>
  <si>
    <t>0010190510013</t>
  </si>
  <si>
    <t>ARAXÁ</t>
  </si>
  <si>
    <t>DISTRITO INDUSTRIAL JOSE HONORATO DA SILVA</t>
  </si>
  <si>
    <t>290</t>
  </si>
  <si>
    <t>(055) 343664-6117</t>
  </si>
  <si>
    <t>A A FRIGELLAR MOTO REFRIGERACAO LTDA</t>
  </si>
  <si>
    <t>37640000</t>
  </si>
  <si>
    <t>FRIGELAR COMERCIO E INDUSTRIA LTDA</t>
  </si>
  <si>
    <t>0010228810060</t>
  </si>
  <si>
    <t>EXTREMA</t>
  </si>
  <si>
    <t>FERNÃO DIAS</t>
  </si>
  <si>
    <t>DOS PESSEGUEIROS</t>
  </si>
  <si>
    <t>(055) 513058-8999</t>
  </si>
  <si>
    <t>EW ELETRIC</t>
  </si>
  <si>
    <t>38400628</t>
  </si>
  <si>
    <t>EW ELETRIC SERVICOS LTDA</t>
  </si>
  <si>
    <t>0010235560030</t>
  </si>
  <si>
    <t>IVALDO ALVES DO NASCIMENTO</t>
  </si>
  <si>
    <t>768</t>
  </si>
  <si>
    <t>(055) 343211-0155</t>
  </si>
  <si>
    <t>TMF FERTILIZANTES</t>
  </si>
  <si>
    <t>35582000</t>
  </si>
  <si>
    <t>TMF INDUSTRIA DE FERTILIZANTES INTELIGEN</t>
  </si>
  <si>
    <t>0010254870090</t>
  </si>
  <si>
    <t>MG 170 KM 87</t>
  </si>
  <si>
    <t>(055) 373323-2182</t>
  </si>
  <si>
    <t>VALE DO TIJUCO ACUCAR E ALCOOL S.A</t>
  </si>
  <si>
    <t>38001970</t>
  </si>
  <si>
    <t>0010286390027</t>
  </si>
  <si>
    <t>RODOVIA  BR-050</t>
  </si>
  <si>
    <t>DISRITO INDUSTRIAL</t>
  </si>
  <si>
    <t>(034) 99806-4285</t>
  </si>
  <si>
    <t>36202630</t>
  </si>
  <si>
    <t>TAKIAGRO - BARBACENA</t>
  </si>
  <si>
    <t>MINAS SUL CEREAIS- INS. AGRICOLAS LTDA</t>
  </si>
  <si>
    <t>0010296030490</t>
  </si>
  <si>
    <t>BARBACENA</t>
  </si>
  <si>
    <t>BR-265</t>
  </si>
  <si>
    <t>GROGOTO</t>
  </si>
  <si>
    <t>1053</t>
  </si>
  <si>
    <t>PMG COMERCIAL EXPORTADORA LTDA</t>
  </si>
  <si>
    <t>35585000</t>
  </si>
  <si>
    <t>0010341800090</t>
  </si>
  <si>
    <t>PIMENTA</t>
  </si>
  <si>
    <t>AVENIDA SABINO GUALBERTO DE MACEDO</t>
  </si>
  <si>
    <t>ANTONIO LARA</t>
  </si>
  <si>
    <t>EXTINCENDIO VASCONCELOS</t>
  </si>
  <si>
    <t>38400450</t>
  </si>
  <si>
    <t>EXTINCENDIO PRADOS SECURITY LTDA</t>
  </si>
  <si>
    <t>0010360500021</t>
  </si>
  <si>
    <t>VASCONCELOS COSTA</t>
  </si>
  <si>
    <t>2200</t>
  </si>
  <si>
    <t>(055) 343214-2242</t>
  </si>
  <si>
    <t>ALUMINIOS E VIDROS IND E COM E SERVICOS</t>
  </si>
  <si>
    <t>38402182</t>
  </si>
  <si>
    <t>0010366450093</t>
  </si>
  <si>
    <t>RUA AMARAL COUTINHO</t>
  </si>
  <si>
    <t>130</t>
  </si>
  <si>
    <t>(034) 3229-5000</t>
  </si>
  <si>
    <t>GRAFICA VITORIA</t>
  </si>
  <si>
    <t>38405250</t>
  </si>
  <si>
    <t>PCS GRAFICA LTDA</t>
  </si>
  <si>
    <t>0010369680057</t>
  </si>
  <si>
    <t>RUA CIRO DE CASTRO ALMEIDA</t>
  </si>
  <si>
    <t>3059</t>
  </si>
  <si>
    <t>(055) 343111-4446</t>
  </si>
  <si>
    <t>AUTO POSTO SOUZA II LTDA.</t>
  </si>
  <si>
    <t>37130000</t>
  </si>
  <si>
    <t>0010390810045</t>
  </si>
  <si>
    <t>ALFENAS FAMA KM 2</t>
  </si>
  <si>
    <t>680</t>
  </si>
  <si>
    <t>COMERCIAL AÇO FORT LTDA</t>
  </si>
  <si>
    <t>0010466370040</t>
  </si>
  <si>
    <t>951</t>
  </si>
  <si>
    <t>(034) 3222-0228</t>
  </si>
  <si>
    <t>BIOENERGETICA AROEIRA S.A.</t>
  </si>
  <si>
    <t>38480000</t>
  </si>
  <si>
    <t>0010511820038</t>
  </si>
  <si>
    <t>TUPACIGUARA</t>
  </si>
  <si>
    <t>BR 452</t>
  </si>
  <si>
    <t>AGUIAR IMPLEMENTOS RODOVIÁRIOS LTDA</t>
  </si>
  <si>
    <t>Aguiar Implementos Rodoviários Ltda</t>
  </si>
  <si>
    <t>0010521310091</t>
  </si>
  <si>
    <t>2540</t>
  </si>
  <si>
    <t>COSTA FERREIRA MECÂNICA INDUSTRIAL</t>
  </si>
  <si>
    <t>MECÂNICA IND. SILVA FERREIRA LTDA - ME</t>
  </si>
  <si>
    <t>0010522580009</t>
  </si>
  <si>
    <t>JARDIM BRASÍLIA</t>
  </si>
  <si>
    <t>640</t>
  </si>
  <si>
    <t>(034) 3232-7067</t>
  </si>
  <si>
    <t>ALFA TRANSPORTES - UBERLANDIA</t>
  </si>
  <si>
    <t>38402343</t>
  </si>
  <si>
    <t>D. ALBIERI TRANSPORTE E LOGISTICA LTDA</t>
  </si>
  <si>
    <t>0010524100152</t>
  </si>
  <si>
    <t>(034) 3222-3771</t>
  </si>
  <si>
    <t>BRAHMA EXPRESS</t>
  </si>
  <si>
    <t>38408482</t>
  </si>
  <si>
    <t>SOUZA &amp; CARVALHO COMERCIO DE BEBIDAS</t>
  </si>
  <si>
    <t>0010529700000</t>
  </si>
  <si>
    <t>LAGOINHA</t>
  </si>
  <si>
    <t>(055) 343303-0600</t>
  </si>
  <si>
    <t>UBERTAMBORES</t>
  </si>
  <si>
    <t>32450000</t>
  </si>
  <si>
    <t>MINAS TAMBORES</t>
  </si>
  <si>
    <t>RECUPERADORA MINAS TAMBORES LTDA</t>
  </si>
  <si>
    <t>0010541750046</t>
  </si>
  <si>
    <t>SARZEDO</t>
  </si>
  <si>
    <t>COMENDADOR FRANCISCO ALVES QUINTAS</t>
  </si>
  <si>
    <t>(055) 313522-8101</t>
  </si>
  <si>
    <t>EG POCOS ARTESIANOS COM SERV LTDA</t>
  </si>
  <si>
    <t>38413045</t>
  </si>
  <si>
    <t>0010544880013</t>
  </si>
  <si>
    <t>DAS PERÓBAS</t>
  </si>
  <si>
    <t>JARAGUA</t>
  </si>
  <si>
    <t>27</t>
  </si>
  <si>
    <t>(034) 3236-0004</t>
  </si>
  <si>
    <t>ELÉTRICA MOTORES</t>
  </si>
  <si>
    <t>38400724</t>
  </si>
  <si>
    <t>ELETRICA MOTORES COMERCIAL LTDA</t>
  </si>
  <si>
    <t>0010562890017</t>
  </si>
  <si>
    <t>MATO GROSSO</t>
  </si>
  <si>
    <t>N.S. APARECIDA</t>
  </si>
  <si>
    <t>1001</t>
  </si>
  <si>
    <t>34323-2724</t>
  </si>
  <si>
    <t>PATOS EPI</t>
  </si>
  <si>
    <t>38706187</t>
  </si>
  <si>
    <t>PATOS COMERCIO DE EPI LTDA</t>
  </si>
  <si>
    <t>0010746210035</t>
  </si>
  <si>
    <t>JUSCELINO KUBITSCHEK DE OLIVEIRA</t>
  </si>
  <si>
    <t>JARDIM CEU AZUL</t>
  </si>
  <si>
    <t>1799</t>
  </si>
  <si>
    <t>(055) 343822-1676</t>
  </si>
  <si>
    <t>38040450</t>
  </si>
  <si>
    <t>0010765400111</t>
  </si>
  <si>
    <t>FILOMENA CARTAFINA</t>
  </si>
  <si>
    <t>RECREIO DOS BANDEIRANTES</t>
  </si>
  <si>
    <t>23651</t>
  </si>
  <si>
    <t>38044750</t>
  </si>
  <si>
    <t>0010812111036</t>
  </si>
  <si>
    <t>DISTRITO INDUSTRIAL III</t>
  </si>
  <si>
    <t>23400</t>
  </si>
  <si>
    <t>(055) 343319-1300</t>
  </si>
  <si>
    <t>SOLUCAO TELECON LTDA</t>
  </si>
  <si>
    <t>31130260</t>
  </si>
  <si>
    <t>0010813840090</t>
  </si>
  <si>
    <t>CORONEL ALVES</t>
  </si>
  <si>
    <t>CACHOEIRINHA</t>
  </si>
  <si>
    <t>63</t>
  </si>
  <si>
    <t>(034) 2551-9104</t>
  </si>
  <si>
    <t>A ALVES COMÉRCIO DE VEÍCULOS LTDA</t>
  </si>
  <si>
    <t>0010891400079</t>
  </si>
  <si>
    <t>RONDON PACHECO</t>
  </si>
  <si>
    <t>3223</t>
  </si>
  <si>
    <t>E-COMMERCE ELETROZEMA</t>
  </si>
  <si>
    <t>ELETROZEMA S/A</t>
  </si>
  <si>
    <t>0010905272188</t>
  </si>
  <si>
    <t>JOSE ANANIAS DE AGUIAR</t>
  </si>
  <si>
    <t>CONJUNTO HABITACIONAL BOA VISTA</t>
  </si>
  <si>
    <t>5005</t>
  </si>
  <si>
    <t>(055) 343669-1015</t>
  </si>
  <si>
    <t>38706510</t>
  </si>
  <si>
    <t>VEGA AGRONEGOCIOS LTDA</t>
  </si>
  <si>
    <t>0010914500066</t>
  </si>
  <si>
    <t>JEFFERSON NEPOMUCENO</t>
  </si>
  <si>
    <t>IPANEMA</t>
  </si>
  <si>
    <t>570</t>
  </si>
  <si>
    <t>(034) 3061-3182</t>
  </si>
  <si>
    <t>CASA DO ADUBO - PASSOS</t>
  </si>
  <si>
    <t>37901300</t>
  </si>
  <si>
    <t>CASA DO ADUBO S.A</t>
  </si>
  <si>
    <t>0010978370732</t>
  </si>
  <si>
    <t>PASSOS</t>
  </si>
  <si>
    <t>RODOVIA MG-050</t>
  </si>
  <si>
    <t>VILA RICA</t>
  </si>
  <si>
    <t>564</t>
  </si>
  <si>
    <t>CASA DO ADUBO</t>
  </si>
  <si>
    <t>38740514</t>
  </si>
  <si>
    <t>0010978370996</t>
  </si>
  <si>
    <t>FARIA PEREIRA</t>
  </si>
  <si>
    <t>3995</t>
  </si>
  <si>
    <t>(027) 3346-4649</t>
  </si>
  <si>
    <t>38405120</t>
  </si>
  <si>
    <t>CAS DO ADUBO - UBERLANDIA</t>
  </si>
  <si>
    <t>0010978371070</t>
  </si>
  <si>
    <t>RUA FLORESTANO DE MACEDO TIBERY</t>
  </si>
  <si>
    <t>6638</t>
  </si>
  <si>
    <t>ASL LOGISTICA</t>
  </si>
  <si>
    <t>38400760</t>
  </si>
  <si>
    <t>JEAN ANDRADE SILVA</t>
  </si>
  <si>
    <t>0011008950017</t>
  </si>
  <si>
    <t>BR-050</t>
  </si>
  <si>
    <t>10745</t>
  </si>
  <si>
    <t>(034) 99792-2200</t>
  </si>
  <si>
    <t>MINERAÇÃO RIACHO DOS MACHADOS LTDA</t>
  </si>
  <si>
    <t>39529000</t>
  </si>
  <si>
    <t>0011040640001</t>
  </si>
  <si>
    <t>RIACHO DOS MACHADOS</t>
  </si>
  <si>
    <t>FAZ FRANCISCO SA 2</t>
  </si>
  <si>
    <t>346</t>
  </si>
  <si>
    <t>TRANSPORTADORA SUL MINEIRA</t>
  </si>
  <si>
    <t>37570000</t>
  </si>
  <si>
    <t>PADUA &amp; SANTOS TRANSPORTES LTDA</t>
  </si>
  <si>
    <t>00110915300-68</t>
  </si>
  <si>
    <t>OURO FINO</t>
  </si>
  <si>
    <t>DOM PEDRO I</t>
  </si>
  <si>
    <t>477</t>
  </si>
  <si>
    <t>(055) 353441-6236</t>
  </si>
  <si>
    <t>38120000</t>
  </si>
  <si>
    <t>COMERCIO E REPRESENTACOES OURO BRANCO GU</t>
  </si>
  <si>
    <t>0011222180006</t>
  </si>
  <si>
    <t>CONCEICAO DAS ALAGOAS</t>
  </si>
  <si>
    <t>IRACEMA SOUZA SENE ANTUNES DE OLIVEIRA</t>
  </si>
  <si>
    <t>740</t>
  </si>
  <si>
    <t>(055) 173331-2068</t>
  </si>
  <si>
    <t>JOSÉ NELSON MALLMANN</t>
  </si>
  <si>
    <t>37300000</t>
  </si>
  <si>
    <t>0011237550912</t>
  </si>
  <si>
    <t>ANDRELANDIA</t>
  </si>
  <si>
    <t>CACHOEIRA</t>
  </si>
  <si>
    <t>(019) 3861-0120</t>
  </si>
  <si>
    <t>ALEXANDRE SILVEIRA MARTINS E OUTRO(S)</t>
  </si>
  <si>
    <t>38709999</t>
  </si>
  <si>
    <t>0011244040045</t>
  </si>
  <si>
    <t>MATA DOS FERNANDES</t>
  </si>
  <si>
    <t>(034) 9150-2525</t>
  </si>
  <si>
    <t>FAZENDA R R</t>
  </si>
  <si>
    <t>37540000</t>
  </si>
  <si>
    <t>VICENTE SIQUEIRA RIBEIRO DO VALE</t>
  </si>
  <si>
    <t>0011285760050</t>
  </si>
  <si>
    <t>SANTA RITA DO SAPUCAI</t>
  </si>
  <si>
    <t>RR</t>
  </si>
  <si>
    <t>PORTO SAPUCAI</t>
  </si>
  <si>
    <t>JULIO CESAR PEREIRA JUNIOR</t>
  </si>
  <si>
    <t>38415999</t>
  </si>
  <si>
    <t>0011287100007</t>
  </si>
  <si>
    <t>(034) 3231-9524</t>
  </si>
  <si>
    <t>VANDER CESARIO DA SILVA</t>
  </si>
  <si>
    <t>38785000</t>
  </si>
  <si>
    <t>00113/87590057</t>
  </si>
  <si>
    <t>LAGAMAR</t>
  </si>
  <si>
    <t>MABIUIU PALMEIRA</t>
  </si>
  <si>
    <t>FAZENDA GROTÃO</t>
  </si>
  <si>
    <t>38840000</t>
  </si>
  <si>
    <t>GERALDO MAGELA ALBINO</t>
  </si>
  <si>
    <t>0011324110090</t>
  </si>
  <si>
    <t>CARMO DO PARANAIBA</t>
  </si>
  <si>
    <t>AVENIDA BELA VISTA</t>
  </si>
  <si>
    <t>471</t>
  </si>
  <si>
    <t>37965000</t>
  </si>
  <si>
    <t>0011331430070</t>
  </si>
  <si>
    <t>JACUI</t>
  </si>
  <si>
    <t>ESTRADA JACUI A MONTE SANTO DE MINAS KM 13</t>
  </si>
  <si>
    <t>(035) 99915-1732</t>
  </si>
  <si>
    <t>SITIO PINHEIROS</t>
  </si>
  <si>
    <t>37730000</t>
  </si>
  <si>
    <t>GILSONI GARCIA ARAUJO</t>
  </si>
  <si>
    <t>0011352600072</t>
  </si>
  <si>
    <t>CAMPESTRE</t>
  </si>
  <si>
    <t>SÍTIO PINHEIROS</t>
  </si>
  <si>
    <t>(035) 99845-9320</t>
  </si>
  <si>
    <t>FAZENDA SANTO ANTONIO</t>
  </si>
  <si>
    <t>37190000</t>
  </si>
  <si>
    <t>ERIC MIRANDA ABREU</t>
  </si>
  <si>
    <t>0011373110309</t>
  </si>
  <si>
    <t>SANTO ANTONIO</t>
  </si>
  <si>
    <t>(035) 99971-8900</t>
  </si>
  <si>
    <t>PLANALTO DA SERRA GRANDE E GAMELEIRA</t>
  </si>
  <si>
    <t>39280000</t>
  </si>
  <si>
    <t>OVIDIO DOMINGOS NETO</t>
  </si>
  <si>
    <t>0011375590006</t>
  </si>
  <si>
    <t>BURITIZEIRO</t>
  </si>
  <si>
    <t>ACESSO BR 365 KM 253</t>
  </si>
  <si>
    <t>s/n</t>
  </si>
  <si>
    <t>FAZENDA SAO TOMAZ</t>
  </si>
  <si>
    <t>FLAVIO DIAS MACIEL</t>
  </si>
  <si>
    <t>0011405160055</t>
  </si>
  <si>
    <t>GRUPO FAZENDA SANTA MONICA</t>
  </si>
  <si>
    <t>HOMERO FERRI PEREIRA</t>
  </si>
  <si>
    <t>0011406530140</t>
  </si>
  <si>
    <t>(035) 99720-7913</t>
  </si>
  <si>
    <t>CONTATO TELECOM LTDA</t>
  </si>
  <si>
    <t>38703236</t>
  </si>
  <si>
    <t>0011442100010</t>
  </si>
  <si>
    <t>AVENIDA MARABA</t>
  </si>
  <si>
    <t>2330</t>
  </si>
  <si>
    <t>(034) 3814-1050</t>
  </si>
  <si>
    <t>FAZENDA PLANALTO DO MANABUIU</t>
  </si>
  <si>
    <t>38755000</t>
  </si>
  <si>
    <t>MARIA GERALDA TEIXEIRA AVILA E OUTRA</t>
  </si>
  <si>
    <t>0011448730066</t>
  </si>
  <si>
    <t>LAGOA GRANDE</t>
  </si>
  <si>
    <t>PLANALTO DO MANABUIU</t>
  </si>
  <si>
    <t>(034) 3816-1715</t>
  </si>
  <si>
    <t>38750000</t>
  </si>
  <si>
    <t>0011448730147</t>
  </si>
  <si>
    <t>PRESIDENTE OLEGARIO</t>
  </si>
  <si>
    <t>FAZ. CAPOEIRAO, S/N</t>
  </si>
  <si>
    <t>LEAO FRANCISCO PIRES FILHO</t>
  </si>
  <si>
    <t>38140000</t>
  </si>
  <si>
    <t>FAZENDA NOVO HORIZONTE</t>
  </si>
  <si>
    <t>0011468790439</t>
  </si>
  <si>
    <t>RODOVIA BR 497 KM 43</t>
  </si>
  <si>
    <t>MAKOTO EDISON SEKITA E OUTRO(S)</t>
  </si>
  <si>
    <t>MAKOTO EDISON SEKITA e outro(s)</t>
  </si>
  <si>
    <t>0011492510009</t>
  </si>
  <si>
    <t>FAZ LOTES 46 - 47 - 49 E 59 DO PADAP</t>
  </si>
  <si>
    <t>DANIEL RODRIGO LOPES E OUTROS</t>
  </si>
  <si>
    <t>0011509270019</t>
  </si>
  <si>
    <t>RODOVIA BR 050 KM 86 A DIREITA</t>
  </si>
  <si>
    <t>DÉCIO BRUXEL E OUTROS</t>
  </si>
  <si>
    <t>38794000</t>
  </si>
  <si>
    <t>0011575760258</t>
  </si>
  <si>
    <t>VARJAO DE MINAS</t>
  </si>
  <si>
    <t>BR 365 KM 351 FAZ. SÃO JOÃO</t>
  </si>
  <si>
    <t>(034) 3818-2500</t>
  </si>
  <si>
    <t>DECIO BRUXEL E OUTRO(S)</t>
  </si>
  <si>
    <t>DECIO BRUXEL e outro(s)</t>
  </si>
  <si>
    <t>0011575760584</t>
  </si>
  <si>
    <t>BOM RETIRO</t>
  </si>
  <si>
    <t>DECIO BRUXEL E OUTROS (FAZ. SAO ZEFERINO</t>
  </si>
  <si>
    <t>0011575761084</t>
  </si>
  <si>
    <t>BR 365</t>
  </si>
  <si>
    <t>CIRO MASANOBU TAKAMORI</t>
  </si>
  <si>
    <t>37235000</t>
  </si>
  <si>
    <t>0011581000499</t>
  </si>
  <si>
    <t>COQUEIRAL</t>
  </si>
  <si>
    <t>MORRO DO CHAPEU</t>
  </si>
  <si>
    <t>ANTONIO APARECIDO ALVES</t>
  </si>
  <si>
    <t>38610000</t>
  </si>
  <si>
    <t>FAZENDA PORTEIRA OU SANTA CRUZ E SANTA C</t>
  </si>
  <si>
    <t>0011603460020</t>
  </si>
  <si>
    <t>UNAI</t>
  </si>
  <si>
    <t>PORTEIRA OU SANTA CRUZ E SANTA CLARA</t>
  </si>
  <si>
    <t>(038) 3676-1460</t>
  </si>
  <si>
    <t>VALDEMAR BERNARDELI</t>
  </si>
  <si>
    <t>38300000</t>
  </si>
  <si>
    <t>0011606120565</t>
  </si>
  <si>
    <t>FAZENDA PRAIAO</t>
  </si>
  <si>
    <t>(034) 3263-1120</t>
  </si>
  <si>
    <t>SITIO DA CURVA</t>
  </si>
  <si>
    <t>37120000</t>
  </si>
  <si>
    <t>ADELIO PENHA</t>
  </si>
  <si>
    <t>0011607720094</t>
  </si>
  <si>
    <t>PARAGUAÇU</t>
  </si>
  <si>
    <t>ESTRADA PARAGUAÇU/FAZ. ORIENTE</t>
  </si>
  <si>
    <t>ORIENTE</t>
  </si>
  <si>
    <t>37420000</t>
  </si>
  <si>
    <t>DOMINGOS ARCI NETO</t>
  </si>
  <si>
    <t>0011696030153</t>
  </si>
  <si>
    <t>CAMBUQUIRA</t>
  </si>
  <si>
    <t>BOA VISTA 1</t>
  </si>
  <si>
    <t>SITIO NOVO HORIZONTE</t>
  </si>
  <si>
    <t>37370000</t>
  </si>
  <si>
    <t>TARCISIO RODRIGUES VILELA</t>
  </si>
  <si>
    <t>0011706700296</t>
  </si>
  <si>
    <t>SAO VICENTE DE MINAS</t>
  </si>
  <si>
    <t>NOVO HORIZONTE</t>
  </si>
  <si>
    <t>PABLO BERETENS GUIMARAES</t>
  </si>
  <si>
    <t>35570000</t>
  </si>
  <si>
    <t>0011723380059</t>
  </si>
  <si>
    <t>FORMIGA</t>
  </si>
  <si>
    <t>MG 050 - VIRA NO KM 233</t>
  </si>
  <si>
    <t>(037) 3322-5272</t>
  </si>
  <si>
    <t>ALEXANDRE DA SILVA ALVES</t>
  </si>
  <si>
    <t>0011737100045</t>
  </si>
  <si>
    <t>CASCALHO</t>
  </si>
  <si>
    <t>FAZENDA BIBOCA</t>
  </si>
  <si>
    <t>38780000</t>
  </si>
  <si>
    <t>JOSE RICARDO STABILE e outro(s)</t>
  </si>
  <si>
    <t>0011750740788</t>
  </si>
  <si>
    <t>VAZANTE</t>
  </si>
  <si>
    <t>BIBOCA</t>
  </si>
  <si>
    <t>RENATO AVILA DE OLIVEIRA-FAZENDA BOA VIS</t>
  </si>
  <si>
    <t>38740000</t>
  </si>
  <si>
    <t>0011775660303</t>
  </si>
  <si>
    <t>RUA DEMOCRITO FRANÇA</t>
  </si>
  <si>
    <t>272</t>
  </si>
  <si>
    <t>PAULO VELOSO DOS SANTOS</t>
  </si>
  <si>
    <t>Paulo Veloso dos Santos</t>
  </si>
  <si>
    <t>0011811470092</t>
  </si>
  <si>
    <t>JOÃO BATISTA DA SILVA</t>
  </si>
  <si>
    <t>AMAZONAS</t>
  </si>
  <si>
    <t>801</t>
  </si>
  <si>
    <t>FAZENDA OURO PRETO</t>
  </si>
  <si>
    <t>38658000</t>
  </si>
  <si>
    <t>FABIANO LUCAS COELHO E OUTRO(S)</t>
  </si>
  <si>
    <t>0011870430042</t>
  </si>
  <si>
    <t>NATALANDIA</t>
  </si>
  <si>
    <t>OURO PRETO</t>
  </si>
  <si>
    <t>LEONIDIO HENRIQUE CORREA BOUCAS</t>
  </si>
  <si>
    <t>0012015780351</t>
  </si>
  <si>
    <t>RODOVIA BR 365 KM 06,0</t>
  </si>
  <si>
    <t>TERRA BRANCA PARTE DA FAZENDA BURITI</t>
  </si>
  <si>
    <t>ANDRE LUIZ ALVES DOS SANTOS</t>
  </si>
  <si>
    <t>0012306790027</t>
  </si>
  <si>
    <t>VIA AEROPORTO</t>
  </si>
  <si>
    <t>FAZENDA SAO PEDRO</t>
  </si>
  <si>
    <t>38950000</t>
  </si>
  <si>
    <t>PEDRO PEZZUTI AVILA DE AGUIAR</t>
  </si>
  <si>
    <t>0012351160002</t>
  </si>
  <si>
    <t>IBIA</t>
  </si>
  <si>
    <t>SAO PEDRO</t>
  </si>
  <si>
    <t>(034) 3661-4110</t>
  </si>
  <si>
    <t>JOSE EDIS DIAS</t>
  </si>
  <si>
    <t>38370000</t>
  </si>
  <si>
    <t>0012397340062</t>
  </si>
  <si>
    <t>CACHOEIRA DOURADA</t>
  </si>
  <si>
    <t>ESTANCIA DOURADA</t>
  </si>
  <si>
    <t>JOSE EDSON DIAS</t>
  </si>
  <si>
    <t>0012397590034</t>
  </si>
  <si>
    <t>ZHELTON</t>
  </si>
  <si>
    <t>38360000</t>
  </si>
  <si>
    <t>0012397590115</t>
  </si>
  <si>
    <t>CAPINOPOLIS</t>
  </si>
  <si>
    <t>BARREIRO</t>
  </si>
  <si>
    <t>JOSE AUGUSTO DIAS FILHO</t>
  </si>
  <si>
    <t>0012411180080</t>
  </si>
  <si>
    <t>JOSE RICARDO STABILE</t>
  </si>
  <si>
    <t>0012424880042</t>
  </si>
  <si>
    <t>BOA VISTA / RANCHO DOS FERNANDES</t>
  </si>
  <si>
    <t>(034) 99156-8616</t>
  </si>
  <si>
    <t>BANDEIRANTES BOMBAS E MOTORES LTDA</t>
  </si>
  <si>
    <t>0012457720087</t>
  </si>
  <si>
    <t>686</t>
  </si>
  <si>
    <t>(034) 3236-2929</t>
  </si>
  <si>
    <t>DELCIO SASSERON JUNIOR</t>
  </si>
  <si>
    <t>0012466310058</t>
  </si>
  <si>
    <t>ALFENAS/ AREADO KM 18</t>
  </si>
  <si>
    <t>CANGURU</t>
  </si>
  <si>
    <t>GIOVANI CESAR GASTALDI FERREIRA</t>
  </si>
  <si>
    <t>0012477900161</t>
  </si>
  <si>
    <t>GUARIROBA</t>
  </si>
  <si>
    <t>(034) 99698-1051</t>
  </si>
  <si>
    <t>FAZENDA PAREDAO</t>
  </si>
  <si>
    <t>37175000</t>
  </si>
  <si>
    <t>TIAGO AUGUSTO DA SILVA</t>
  </si>
  <si>
    <t>0012508890022</t>
  </si>
  <si>
    <t>ILICINEA</t>
  </si>
  <si>
    <t>PAREDAO</t>
  </si>
  <si>
    <t>EDINALDO LUIS CORREIA DA SILVA</t>
  </si>
  <si>
    <t>38623899</t>
  </si>
  <si>
    <t>FAZENDA SANTO ANTONIO DO GARAPA</t>
  </si>
  <si>
    <t>0012621570348</t>
  </si>
  <si>
    <t>(038) 3676-4947</t>
  </si>
  <si>
    <t>NILSON INACIO DE FARIA</t>
  </si>
  <si>
    <t>0012660540055</t>
  </si>
  <si>
    <t>BAIXADA</t>
  </si>
  <si>
    <t>EDER JOAO PAULO PEREIRA</t>
  </si>
  <si>
    <t>37143000</t>
  </si>
  <si>
    <t>0012681230144</t>
  </si>
  <si>
    <t>SERRANIA</t>
  </si>
  <si>
    <t>SITIO MALHADA</t>
  </si>
  <si>
    <t>GERSON EUGENIO TUDELA</t>
  </si>
  <si>
    <t>0012730130020</t>
  </si>
  <si>
    <t>MACAUBAS</t>
  </si>
  <si>
    <t>VERA INEZ VERGUTZ - FAZENDA DOIS IRMÃOS</t>
  </si>
  <si>
    <t>0012756820105</t>
  </si>
  <si>
    <t>RODOVIA MG 410</t>
  </si>
  <si>
    <t>KM59</t>
  </si>
  <si>
    <t>FAZENDA DOIS IRMAOS</t>
  </si>
  <si>
    <t>VERA INEZ VERGUTZ</t>
  </si>
  <si>
    <t>0012756820288</t>
  </si>
  <si>
    <t>ESTRADA PM A PRESIDENTE OLEGARIO</t>
  </si>
  <si>
    <t>37405000</t>
  </si>
  <si>
    <t>HISTOSHI CLAUDIO TAKIGONE</t>
  </si>
  <si>
    <t>0012849830372</t>
  </si>
  <si>
    <t>MONSENHOR PAULO</t>
  </si>
  <si>
    <t>(055) 3599996-4803</t>
  </si>
  <si>
    <t>JOAO JOSE DA SILVA</t>
  </si>
  <si>
    <t>0012948740029</t>
  </si>
  <si>
    <t>FAZENDA PALMEIRAS</t>
  </si>
  <si>
    <t>FAZENDA SAO FRANCISCO</t>
  </si>
  <si>
    <t>39237000</t>
  </si>
  <si>
    <t>VINICIUS FERREIRA MAIA</t>
  </si>
  <si>
    <t>0012982960125</t>
  </si>
  <si>
    <t>FELIXLÂNDIA</t>
  </si>
  <si>
    <t>RODOVIA BR 0404 KM339</t>
  </si>
  <si>
    <t>(034) 3821-4727</t>
  </si>
  <si>
    <t>JOSE ALAERSON LINO DE SOUZA</t>
  </si>
  <si>
    <t>38650000</t>
  </si>
  <si>
    <t>0013008470181</t>
  </si>
  <si>
    <t>BONFINOPOLIS DE MINA</t>
  </si>
  <si>
    <t>FAZENDA MATINHA</t>
  </si>
  <si>
    <t>SITIO SERRA DA PONTE</t>
  </si>
  <si>
    <t>37215000</t>
  </si>
  <si>
    <t>EDMAR LUIZ DAS GRACAS</t>
  </si>
  <si>
    <t>0013022490070</t>
  </si>
  <si>
    <t>INGAI</t>
  </si>
  <si>
    <t>SEERA DA PONTE</t>
  </si>
  <si>
    <t>(055) 3599845-9096</t>
  </si>
  <si>
    <t>FAZENDA SANTA RITA DE CASSIA</t>
  </si>
  <si>
    <t>38184999</t>
  </si>
  <si>
    <t>ADIB DAMIAO</t>
  </si>
  <si>
    <t>0013030760030</t>
  </si>
  <si>
    <t>SANTA RITA DE CASSIA</t>
  </si>
  <si>
    <t>ZONA RITA</t>
  </si>
  <si>
    <t>JOSE CARLOS PEREIRA</t>
  </si>
  <si>
    <t>0013066350037</t>
  </si>
  <si>
    <t>(035) 99885-8503</t>
  </si>
  <si>
    <t>JOAO OLIVEIRA DA SILVA E OUTRO (S)</t>
  </si>
  <si>
    <t>0013071200137</t>
  </si>
  <si>
    <t>BOA ESPERANÇA</t>
  </si>
  <si>
    <t>FAZENDA PONTINHA</t>
  </si>
  <si>
    <t>EVANDRO VERGUTZ</t>
  </si>
  <si>
    <t>0013074650044</t>
  </si>
  <si>
    <t>FAZENDA ONÇA</t>
  </si>
  <si>
    <t>EVANDRO VERGUTZ - FAZENDA ONÇA</t>
  </si>
  <si>
    <t>0013074650206</t>
  </si>
  <si>
    <t>ESTRADA PRESIDENTE OLEGARIO A VARGEM GRANDE</t>
  </si>
  <si>
    <t>KM17</t>
  </si>
  <si>
    <t>EVANDRO VERGUTZ - FAZENDA DOIS IRMÃOS</t>
  </si>
  <si>
    <t>0013074650389</t>
  </si>
  <si>
    <t>PASTO DO CORREGO E FIGUEIRA</t>
  </si>
  <si>
    <t>37305000</t>
  </si>
  <si>
    <t>HAMILTON NASCIMENTO PEREIRA</t>
  </si>
  <si>
    <t>0013154380019</t>
  </si>
  <si>
    <t>MADRE DE DEUS DE MINAS</t>
  </si>
  <si>
    <t>(032) 99969-9720</t>
  </si>
  <si>
    <t>KARINE CARDOSO BORGES</t>
  </si>
  <si>
    <t>38403322</t>
  </si>
  <si>
    <t>0013213990078</t>
  </si>
  <si>
    <t>JOSÉ ANDRAUS GASSANI</t>
  </si>
  <si>
    <t>(034) 3213-9135</t>
  </si>
  <si>
    <t>JOAO ALBERTO MENDONCA - FAZENDA ALVORADA</t>
  </si>
  <si>
    <t>0013247980075</t>
  </si>
  <si>
    <t>(034) 98851-0019</t>
  </si>
  <si>
    <t>JAMIR DONIZETTE DA COSTA</t>
  </si>
  <si>
    <t>0013255130093</t>
  </si>
  <si>
    <t>JEHORGYELY</t>
  </si>
  <si>
    <t>(034) 3356-0511</t>
  </si>
  <si>
    <t>FAZ. ENGENHO VELHO</t>
  </si>
  <si>
    <t>LUIZ ANTONIO PENA</t>
  </si>
  <si>
    <t>0013314390092</t>
  </si>
  <si>
    <t>ENGENHO VELHO</t>
  </si>
  <si>
    <t>(034) 99983-0339</t>
  </si>
  <si>
    <t>TJ AUTOMACAO</t>
  </si>
  <si>
    <t>38401721</t>
  </si>
  <si>
    <t>TJ AUTOMACAO INDUSTRIAL LTDA</t>
  </si>
  <si>
    <t>0013341760040</t>
  </si>
  <si>
    <t>CLEANTO VIEIRA GONCALVES</t>
  </si>
  <si>
    <t>SANTA ROSA</t>
  </si>
  <si>
    <t>1916</t>
  </si>
  <si>
    <t>(055) 343223-2330</t>
  </si>
  <si>
    <t>ALAIR MOREIRA DE MELO</t>
  </si>
  <si>
    <t>0013351740085</t>
  </si>
  <si>
    <t>BARREIRAS</t>
  </si>
  <si>
    <t>(034) 99904-1088</t>
  </si>
  <si>
    <t>FAZENDA MARQUES</t>
  </si>
  <si>
    <t>38550000</t>
  </si>
  <si>
    <t>ARI DONEDA</t>
  </si>
  <si>
    <t>0013387940009</t>
  </si>
  <si>
    <t>MARQUES DO PARANÁ</t>
  </si>
  <si>
    <t>JOAO HONORIO DE CARVALHO RAMOS</t>
  </si>
  <si>
    <t>0013411230070</t>
  </si>
  <si>
    <t>(061) 99989-2459</t>
  </si>
  <si>
    <t>SITIO BERIMBAU</t>
  </si>
  <si>
    <t>JOSE FERNANDO FERREIRA MARTINS</t>
  </si>
  <si>
    <t>0013456510039</t>
  </si>
  <si>
    <t>MUNICIPAL BAIRRO CACHOEIRINHA</t>
  </si>
  <si>
    <t>SITIO SERRA NEGRA</t>
  </si>
  <si>
    <t>JOSE HAMILTON SCALCO</t>
  </si>
  <si>
    <t>0013500410090</t>
  </si>
  <si>
    <t>SITIO PARAISO</t>
  </si>
  <si>
    <t>RAFAEL FERNANDES PALA</t>
  </si>
  <si>
    <t>0013536990274</t>
  </si>
  <si>
    <t>TRES PONTAS A CARMO DA CACHOEIRA</t>
  </si>
  <si>
    <t>(035) 99971-7743</t>
  </si>
  <si>
    <t>FAZENDA IMBUIA - UBIRATAN DE SOUZA DIAS</t>
  </si>
  <si>
    <t>37550000</t>
  </si>
  <si>
    <t>UBIRATAN DE SOUZA DIAS</t>
  </si>
  <si>
    <t>0013567040065</t>
  </si>
  <si>
    <t>PASSARO PRETO</t>
  </si>
  <si>
    <t>EMBUIA</t>
  </si>
  <si>
    <t>FAZENDA CACHOEIRINHA</t>
  </si>
  <si>
    <t>VANIA HELENA PEREIRA MENDONCA E OUTRO</t>
  </si>
  <si>
    <t>0013578590070</t>
  </si>
  <si>
    <t>MARGEM ESQUERDA DO CORREGO CACHOEIRINHA</t>
  </si>
  <si>
    <t>(034) 3832-1267</t>
  </si>
  <si>
    <t>FAZENDA SAPE</t>
  </si>
  <si>
    <t>37170000</t>
  </si>
  <si>
    <t>DIANA ANTONIA DA COSTA CUNHA</t>
  </si>
  <si>
    <t>0013582250008</t>
  </si>
  <si>
    <t>AV ESMERALDA</t>
  </si>
  <si>
    <t>FAZENDA CAIÇARA</t>
  </si>
  <si>
    <t>39205000</t>
  </si>
  <si>
    <t>GUILHERME FERREIRA MAIA</t>
  </si>
  <si>
    <t>0013661000055</t>
  </si>
  <si>
    <t>TRÊS MARIAS</t>
  </si>
  <si>
    <t>CAIÇARA</t>
  </si>
  <si>
    <t>(034) 98833-6157</t>
  </si>
  <si>
    <t>VOTORANTIM CIMENTOS</t>
  </si>
  <si>
    <t>38402360</t>
  </si>
  <si>
    <t>VOTORANTIM CIMENTOS SA</t>
  </si>
  <si>
    <t>0013679462328</t>
  </si>
  <si>
    <t>ANTÔNIO THOMAZ FERREIRA</t>
  </si>
  <si>
    <t>4240</t>
  </si>
  <si>
    <t>ADFERT - MUTUO</t>
  </si>
  <si>
    <t>ADFERT ADITIVOS INDUSTRIA E COMERCIO</t>
  </si>
  <si>
    <t>0013685200020</t>
  </si>
  <si>
    <t>DIST INDUSTRIAL</t>
  </si>
  <si>
    <t>WICHITA</t>
  </si>
  <si>
    <t>4111 E 37TH STREET NORTH</t>
  </si>
  <si>
    <t>67220</t>
  </si>
  <si>
    <t>VIVOCHEM LIMITED</t>
  </si>
  <si>
    <t>WAN CHAI, HONG KONG</t>
  </si>
  <si>
    <t>LEVEL 54, HOPEWELL CENTRE, 183 QUEE'S ROAD EAST</t>
  </si>
  <si>
    <t>ADFERT ADITIVOS - FILIAL 3</t>
  </si>
  <si>
    <t>0013685200364</t>
  </si>
  <si>
    <t>2215</t>
  </si>
  <si>
    <t>(034) 2589-4100</t>
  </si>
  <si>
    <t>FAZENDA PEDRAS LUGAR ALEGRIA</t>
  </si>
  <si>
    <t>MAURO VIEIRA MAGALHAES</t>
  </si>
  <si>
    <t>0013709110092</t>
  </si>
  <si>
    <t>RUA A</t>
  </si>
  <si>
    <t>(038) 3676-7010</t>
  </si>
  <si>
    <t>LUIS ANTONIO STABILE SILVA</t>
  </si>
  <si>
    <t>0013762430012</t>
  </si>
  <si>
    <t>BR 050 KM 93 A ESQUERDA MAIS 07 KM</t>
  </si>
  <si>
    <t>OLIVEIROS MARTINS DE ANDRADE</t>
  </si>
  <si>
    <t>0013776660023</t>
  </si>
  <si>
    <t>ESTRADA INTERMUNICIPAL LAGOA FORMOSA A SANTANA DE PATOS</t>
  </si>
  <si>
    <t>ROMUALDO SILVONI</t>
  </si>
  <si>
    <t>0013793110036</t>
  </si>
  <si>
    <t>ARCOS SAO JOAO</t>
  </si>
  <si>
    <t>(034) 99983-1011</t>
  </si>
  <si>
    <t>VALDIRENE AP. STABILE SILVA GUIMARAES</t>
  </si>
  <si>
    <t>0013825040160</t>
  </si>
  <si>
    <t>SITIO CAPINZAL</t>
  </si>
  <si>
    <t>37757000</t>
  </si>
  <si>
    <t>FERNANDO MARINI</t>
  </si>
  <si>
    <t>0013874030083</t>
  </si>
  <si>
    <t>POCO FUNDO</t>
  </si>
  <si>
    <t>BARREIRINHO</t>
  </si>
  <si>
    <t>LAZARO TULIO MENDES - FAZENDA SAO LAZARO</t>
  </si>
  <si>
    <t>0013874390020</t>
  </si>
  <si>
    <t>SAO LAZARO</t>
  </si>
  <si>
    <t>(034) 3263-1198</t>
  </si>
  <si>
    <t>FAZENDA MACAUBAS LG DEN SANTA APOLONIA</t>
  </si>
  <si>
    <t>38449999</t>
  </si>
  <si>
    <t>KLEBER JESUS BALTAZAR GARCIA</t>
  </si>
  <si>
    <t>0013907390008</t>
  </si>
  <si>
    <t>N/S</t>
  </si>
  <si>
    <t>SITIO BOA VISTA I I</t>
  </si>
  <si>
    <t>37567000</t>
  </si>
  <si>
    <t>JOAO CARLOS DE OLIVEIRA</t>
  </si>
  <si>
    <t>0013909160042</t>
  </si>
  <si>
    <t>SAO SEBASTIAO DA BELA VISTA</t>
  </si>
  <si>
    <t>QUATRO IRMAOS AO LADO DA EST DAS FURNAS</t>
  </si>
  <si>
    <t>FURNAS</t>
  </si>
  <si>
    <t>38700000</t>
  </si>
  <si>
    <t>JOSE REGINALDO QUEIROZ PEREIRA E OUTRO</t>
  </si>
  <si>
    <t>0013949950044</t>
  </si>
  <si>
    <t>FAZ. MARINHEIRO</t>
  </si>
  <si>
    <t>ERCIVON BRAZ DE MELO</t>
  </si>
  <si>
    <t>0014005730019</t>
  </si>
  <si>
    <t>(034) 99961-0202</t>
  </si>
  <si>
    <t>LAURENCE FONSECA MATOS - FAZENDA ALMAS</t>
  </si>
  <si>
    <t>0014211100076</t>
  </si>
  <si>
    <t>FAZENDA ALMAS</t>
  </si>
  <si>
    <t>(034) 99961-2131</t>
  </si>
  <si>
    <t>RONALDO FERREIRA</t>
  </si>
  <si>
    <t>38747316</t>
  </si>
  <si>
    <t>0014214700210</t>
  </si>
  <si>
    <t>JOAQUIM PEDRO BARBOSA</t>
  </si>
  <si>
    <t>153</t>
  </si>
  <si>
    <t>FAZENDA CEDRO</t>
  </si>
  <si>
    <t>VALTER AFONSO DA FONSECA</t>
  </si>
  <si>
    <t>0014221250046</t>
  </si>
  <si>
    <t>RODOVIA PATOS A ARAXA 24 KM MARGEM DIREITA</t>
  </si>
  <si>
    <t>(041) 3669-4355</t>
  </si>
  <si>
    <t>38520000</t>
  </si>
  <si>
    <t>ISRAEL ALVES DA SILVA</t>
  </si>
  <si>
    <t>0014254720076</t>
  </si>
  <si>
    <t>ROMARIA</t>
  </si>
  <si>
    <t>SANTA FE LUGAR BOA VISTA</t>
  </si>
  <si>
    <t>(055) 3499959-2828</t>
  </si>
  <si>
    <t>FAZENDA XAVIER</t>
  </si>
  <si>
    <t>37447000</t>
  </si>
  <si>
    <t>ADEMIR DOS SANTOS DIAS</t>
  </si>
  <si>
    <t>0014311140070</t>
  </si>
  <si>
    <t>MINDURI</t>
  </si>
  <si>
    <t>MINDURI CRUZILIA KM 05</t>
  </si>
  <si>
    <t>(035) 99944-7791</t>
  </si>
  <si>
    <t>NEWTON SOUZA SANTOS</t>
  </si>
  <si>
    <t>38380000</t>
  </si>
  <si>
    <t>0014378720124</t>
  </si>
  <si>
    <t>CANAPOLIS</t>
  </si>
  <si>
    <t>FAZENDA RECANTO DOS BOIS</t>
  </si>
  <si>
    <t>FAZENDA QUEBRA ANZOL</t>
  </si>
  <si>
    <t>JOAO FRANCISCO DE OLIVEIRA JUNIOR</t>
  </si>
  <si>
    <t>0014411050030</t>
  </si>
  <si>
    <t>MAICOM MANICA</t>
  </si>
  <si>
    <t>64905000</t>
  </si>
  <si>
    <t>0014458170090</t>
  </si>
  <si>
    <t>PARACATU</t>
  </si>
  <si>
    <t>FAZENDA ROCHA BONFIM</t>
  </si>
  <si>
    <t>(038) 99911-9521</t>
  </si>
  <si>
    <t>NILTON BORGES DA SILVA</t>
  </si>
  <si>
    <t>0014458460161</t>
  </si>
  <si>
    <t>SAO BRAZ / LUGAR GAMELEIRA</t>
  </si>
  <si>
    <t>FAZENDA RETIRO</t>
  </si>
  <si>
    <t>WILLIAM JOSE CAIXETA</t>
  </si>
  <si>
    <t>0014484680084</t>
  </si>
  <si>
    <t>GRUPO MARCELO MOREIRA</t>
  </si>
  <si>
    <t>31480004</t>
  </si>
  <si>
    <t>FAZENDA SANTA RITA</t>
  </si>
  <si>
    <t>MARCELO MOREIRA DE SOUSA</t>
  </si>
  <si>
    <t>0014592290267</t>
  </si>
  <si>
    <t>(034) 99132-9506</t>
  </si>
  <si>
    <t>FAZENDA CORREGO OLHOS D'AGUA</t>
  </si>
  <si>
    <t>0014592290348</t>
  </si>
  <si>
    <t>CORREGO OLHOS D'AGUA</t>
  </si>
  <si>
    <t>CARLOS EDUARDO ROCHA FERREIRA COSTA</t>
  </si>
  <si>
    <t>00146/91700129</t>
  </si>
  <si>
    <t>SAO LOURENCO</t>
  </si>
  <si>
    <t>GEDIESEL</t>
  </si>
  <si>
    <t>38740001</t>
  </si>
  <si>
    <t>GEDIESEL PECAS E MECANICA LTDA</t>
  </si>
  <si>
    <t>0014608550098</t>
  </si>
  <si>
    <t>SEBASTIAO HORACIO TEIXEIRA</t>
  </si>
  <si>
    <t>CRUZEIRO DA SERRA</t>
  </si>
  <si>
    <t>(055) 343831-9175</t>
  </si>
  <si>
    <t>FAZENDA PEROBA</t>
  </si>
  <si>
    <t>CELIO ROBERTO PIVA</t>
  </si>
  <si>
    <t>0014647800059</t>
  </si>
  <si>
    <t>ILICINEA/PEREDAO KM 22</t>
  </si>
  <si>
    <t>FAZENDA QUILOMBO</t>
  </si>
  <si>
    <t>ALFREDO BROLEZE</t>
  </si>
  <si>
    <t>0014656670030</t>
  </si>
  <si>
    <t>ROD MG 029 KM 2 E MEIO A DIREITA</t>
  </si>
  <si>
    <t>(034) 99721-3330</t>
  </si>
  <si>
    <t>MARCIO JOSE DOS REIS SILVA</t>
  </si>
  <si>
    <t>38041097</t>
  </si>
  <si>
    <t>CELIO ANTONIO DE MELO</t>
  </si>
  <si>
    <t>0014661680014</t>
  </si>
  <si>
    <t>FAZENDA SANTA FE</t>
  </si>
  <si>
    <t>(034) 3851-1137</t>
  </si>
  <si>
    <t>MARCELO MOREIRA DE SOUSA e outro(s)</t>
  </si>
  <si>
    <t>0014719610021</t>
  </si>
  <si>
    <t>BOM SUCESSO</t>
  </si>
  <si>
    <t>(034) 99961-2111</t>
  </si>
  <si>
    <t>37950000</t>
  </si>
  <si>
    <t>LUAN HENRIQUE LIMA SILVEIRA</t>
  </si>
  <si>
    <t>0014744130275</t>
  </si>
  <si>
    <t>(035) 99809-2260</t>
  </si>
  <si>
    <t>FAZENDA MANGUEIRA</t>
  </si>
  <si>
    <t>0014756090290</t>
  </si>
  <si>
    <t>BR 365 KM 179 MARGEM ESQUERDA RIO SAO FRANCISCO</t>
  </si>
  <si>
    <t>JOSE RIBEIRO DE CASTRO - SITIO MONGE</t>
  </si>
  <si>
    <t>0014763300059</t>
  </si>
  <si>
    <t>ZVIVIANE</t>
  </si>
  <si>
    <t>ALPINOPOLIS A BOM JESUS DA PENHA KM 14</t>
  </si>
  <si>
    <t>KM15</t>
  </si>
  <si>
    <t>(035) 99848-4049</t>
  </si>
  <si>
    <t>ANIBAL RAMOS RODRIGUES</t>
  </si>
  <si>
    <t>38500000</t>
  </si>
  <si>
    <t>0014777100073</t>
  </si>
  <si>
    <t>MONTE CARMELO</t>
  </si>
  <si>
    <t>FAZENDA MACACOS XVII</t>
  </si>
  <si>
    <t>FLANTER HENRIQUE TORRES</t>
  </si>
  <si>
    <t>0014790390098</t>
  </si>
  <si>
    <t>PEDRA AZUL</t>
  </si>
  <si>
    <t>(035) 9996-8721</t>
  </si>
  <si>
    <t>FAZENDA MORRO ALTO</t>
  </si>
  <si>
    <t>37148000</t>
  </si>
  <si>
    <t>CLAUDIO BRUNO DE ALMEIDA CARVALHO</t>
  </si>
  <si>
    <t>0014802580100</t>
  </si>
  <si>
    <t>CONCEICAO DA APARECIDA</t>
  </si>
  <si>
    <t>MORRO ALTO</t>
  </si>
  <si>
    <t>SITIO SANTA GENOVEVA I</t>
  </si>
  <si>
    <t>37400000</t>
  </si>
  <si>
    <t>JOSE ANTONIO PINTO FILHO</t>
  </si>
  <si>
    <t>0014813880061</t>
  </si>
  <si>
    <t>CAMPANHA</t>
  </si>
  <si>
    <t>A. A. AGROINDUSTRIAL LTDA</t>
  </si>
  <si>
    <t>35326000</t>
  </si>
  <si>
    <t>0014870280027</t>
  </si>
  <si>
    <t>SANTA RITA DE MINAS</t>
  </si>
  <si>
    <t>RUA ANA BAPTISTA FERREIRA</t>
  </si>
  <si>
    <t>40</t>
  </si>
  <si>
    <t>(033) 3322-7000</t>
  </si>
  <si>
    <t>LECIO FRANQUEIRO</t>
  </si>
  <si>
    <t>38400710</t>
  </si>
  <si>
    <t>0014968650060</t>
  </si>
  <si>
    <t>AV AFONSO PENA</t>
  </si>
  <si>
    <t>3597</t>
  </si>
  <si>
    <t>LUIZ JOSE DE MELO</t>
  </si>
  <si>
    <t>0014972290129</t>
  </si>
  <si>
    <t>FAZENDA CAMPO DO MEIO</t>
  </si>
  <si>
    <t>(034) 3851-2240</t>
  </si>
  <si>
    <t>AGROPECUARIA DORISTO AYUSSO LTDA</t>
  </si>
  <si>
    <t>0015098300053</t>
  </si>
  <si>
    <t>FAZ SAO JOAO</t>
  </si>
  <si>
    <t>KM 10</t>
  </si>
  <si>
    <t>(034) 3821-9088</t>
  </si>
  <si>
    <t>JOAO RAFAEL DA LUZ</t>
  </si>
  <si>
    <t>0015118870011</t>
  </si>
  <si>
    <t>(055) 3499132-9506</t>
  </si>
  <si>
    <t>0015118870194</t>
  </si>
  <si>
    <t>GAMELAO</t>
  </si>
  <si>
    <t>(034) 99961-6610</t>
  </si>
  <si>
    <t>AFONSO PEREIRA DUARTE</t>
  </si>
  <si>
    <t>0015137840165</t>
  </si>
  <si>
    <t>ODILON MENDES DE SOUZA</t>
  </si>
  <si>
    <t>0015232090127</t>
  </si>
  <si>
    <t>FAZENDA BOA ESPERANCA</t>
  </si>
  <si>
    <t>OSVANDO MOREIRA DE MELO - FAZENDA SANTA</t>
  </si>
  <si>
    <t>OSVANDO MOREIRA DE MELO- FAZENDA SANTA F</t>
  </si>
  <si>
    <t>0015276680078</t>
  </si>
  <si>
    <t>SANTA FÉ</t>
  </si>
  <si>
    <t>VEDCOM SELOS MECANICOS</t>
  </si>
  <si>
    <t>37584000</t>
  </si>
  <si>
    <t>VEDCOM INDUSTRIA E COMERCIO LTDA</t>
  </si>
  <si>
    <t>0015409460006</t>
  </si>
  <si>
    <t>DR RUBENS VILELA DOS SANTOS</t>
  </si>
  <si>
    <t>PRIMAVERA</t>
  </si>
  <si>
    <t>239</t>
  </si>
  <si>
    <t>(055) 353422-9587</t>
  </si>
  <si>
    <t>FERRAMAC FERRAM EQUIP DE SEG LTDA</t>
  </si>
  <si>
    <t>38400704</t>
  </si>
  <si>
    <t>0015654480073</t>
  </si>
  <si>
    <t>FLORIANO PEIXOTO</t>
  </si>
  <si>
    <t>3304</t>
  </si>
  <si>
    <t>(034) 3222-0800</t>
  </si>
  <si>
    <t>38400650</t>
  </si>
  <si>
    <t>FERRAMAC</t>
  </si>
  <si>
    <t>0015654480154</t>
  </si>
  <si>
    <t>RIO GRANDE DO SUL</t>
  </si>
  <si>
    <t>FERRAMAC FERRAMENTAS E EQUIPAMENTOS DE S</t>
  </si>
  <si>
    <t>0015654480235</t>
  </si>
  <si>
    <t>SANTA TEREZINHA (LOTEAMENTO)</t>
  </si>
  <si>
    <t>(055) 343222-0800</t>
  </si>
  <si>
    <t>FERRAGISTA ITALIA E MAT P CONST</t>
  </si>
  <si>
    <t>38421637</t>
  </si>
  <si>
    <t>LM-MATERIAIS DE COSNTRUCAOEE.P/E.LTDA</t>
  </si>
  <si>
    <t>0015661740166</t>
  </si>
  <si>
    <t>AV ALDO BORGES LEAO</t>
  </si>
  <si>
    <t>2240</t>
  </si>
  <si>
    <t>LAGO SILVA POLLO AGRO LTDA</t>
  </si>
  <si>
    <t>0015818810097</t>
  </si>
  <si>
    <t>MG-050</t>
  </si>
  <si>
    <t>SERRA DAS BRISAS</t>
  </si>
  <si>
    <t>(055) 343821-4484</t>
  </si>
  <si>
    <t>35600000</t>
  </si>
  <si>
    <t>TRIANGULO AGRO – BOM DESPACHO</t>
  </si>
  <si>
    <t>0015818810259</t>
  </si>
  <si>
    <t>BOM DESPACHO</t>
  </si>
  <si>
    <t>AV BANDEIRANTES</t>
  </si>
  <si>
    <t>NOVO DOM JOAQUIM</t>
  </si>
  <si>
    <t>412</t>
  </si>
  <si>
    <t>(037) 3522-1224</t>
  </si>
  <si>
    <t>35640000</t>
  </si>
  <si>
    <t>0015818810330</t>
  </si>
  <si>
    <t>POMPEU</t>
  </si>
  <si>
    <t>SANTA LUZIA</t>
  </si>
  <si>
    <t>TREVO</t>
  </si>
  <si>
    <t>855</t>
  </si>
  <si>
    <t>(037) 3460-1269</t>
  </si>
  <si>
    <t>ALFA MARE</t>
  </si>
  <si>
    <t>38015150</t>
  </si>
  <si>
    <t>E B DA SILVA - ME</t>
  </si>
  <si>
    <t>0015837670084</t>
  </si>
  <si>
    <t>BERNARDO GUIMARÃES</t>
  </si>
  <si>
    <t>ESTADOS UNIDOS</t>
  </si>
  <si>
    <t>(034) 3332-2475</t>
  </si>
  <si>
    <t>FER ALVAREZ</t>
  </si>
  <si>
    <t>38407180</t>
  </si>
  <si>
    <t>FER-ALVAREZ PROD SIDER IND. COM. LTDA</t>
  </si>
  <si>
    <t>0015857900085</t>
  </si>
  <si>
    <t>BR-365 (SAIDA PATROCINIO)</t>
  </si>
  <si>
    <t>CONJUNTO ALVORADA</t>
  </si>
  <si>
    <t>KM612</t>
  </si>
  <si>
    <t>(055) 343293-7300</t>
  </si>
  <si>
    <t>SONDESTE FUNDAÇÕES E SONDAGENS</t>
  </si>
  <si>
    <t>38402028</t>
  </si>
  <si>
    <t>MBC ENGENHARIA LTDA</t>
  </si>
  <si>
    <t>0016316320060</t>
  </si>
  <si>
    <t>REPUBLICA DO PIRATINI</t>
  </si>
  <si>
    <t>531</t>
  </si>
  <si>
    <t>(034) 3212-3780</t>
  </si>
  <si>
    <t>MOVEIS FARIAS LTDA ME</t>
  </si>
  <si>
    <t>38415057</t>
  </si>
  <si>
    <t>0016328890010</t>
  </si>
  <si>
    <t>RUA JUSCELINO KUBITSCHEK</t>
  </si>
  <si>
    <t>DONA ZULMIRA</t>
  </si>
  <si>
    <t>(034) 3231-0548</t>
  </si>
  <si>
    <t>SHOPPING DO EPI PATROCINIO</t>
  </si>
  <si>
    <t>38740478</t>
  </si>
  <si>
    <t>QUEIROS E MAGALHÃES EQUIPAMENTOS DE SEGU</t>
  </si>
  <si>
    <t>0016404470080</t>
  </si>
  <si>
    <t>MARCIANO BRANDÃO</t>
  </si>
  <si>
    <t>3127</t>
  </si>
  <si>
    <t>(034) 3831-4075</t>
  </si>
  <si>
    <t>ANTONIO RODRIGO MENDES CIRINO</t>
  </si>
  <si>
    <t>0016471430302</t>
  </si>
  <si>
    <t>(038) 99938-2008</t>
  </si>
  <si>
    <t>METROMINAS SOLUÇÕES EM METROLOGIA</t>
  </si>
  <si>
    <t>35160295</t>
  </si>
  <si>
    <t>MMG SOLUÇÕES EM METROLOGIA EIRELI</t>
  </si>
  <si>
    <t>0016548960092</t>
  </si>
  <si>
    <t>IPATINGA</t>
  </si>
  <si>
    <t>CAVIUNA</t>
  </si>
  <si>
    <t>HORTO</t>
  </si>
  <si>
    <t>(031) 3821-6370</t>
  </si>
  <si>
    <t>EDENILSON SILVEIRA FARIA</t>
  </si>
  <si>
    <t>38160000</t>
  </si>
  <si>
    <t>0016552400098</t>
  </si>
  <si>
    <t>NOVA PONTE</t>
  </si>
  <si>
    <t>ESTRADA NOVA PONTA</t>
  </si>
  <si>
    <t>JOSE BATISTA DANTAS - FAZENDA BAIXADA</t>
  </si>
  <si>
    <t>0016556940070</t>
  </si>
  <si>
    <t>FAZENDA MARQUES BURITIZINHO</t>
  </si>
  <si>
    <t>NILSON JOSE DOS SANTOS</t>
  </si>
  <si>
    <t>0016700620163</t>
  </si>
  <si>
    <t>(034) 99821-5907</t>
  </si>
  <si>
    <t>LEDIFRAN LOGISTICA</t>
  </si>
  <si>
    <t>LEDIFRAN LOGISTICA LTDA</t>
  </si>
  <si>
    <t>0016740450099</t>
  </si>
  <si>
    <t>(055) 343232-3539</t>
  </si>
  <si>
    <t>KIOSKY</t>
  </si>
  <si>
    <t>38412602</t>
  </si>
  <si>
    <t>JARDIM DO CERRADO LTDA - ME</t>
  </si>
  <si>
    <t>0016838340054</t>
  </si>
  <si>
    <t>SANTA BÁRBARA</t>
  </si>
  <si>
    <t>PANORAMA</t>
  </si>
  <si>
    <t>(034) 3214-3553</t>
  </si>
  <si>
    <t>GLOBAL DIST.DE BENS DE CONSUMO LTDA</t>
  </si>
  <si>
    <t>38408100</t>
  </si>
  <si>
    <t>0016882490848</t>
  </si>
  <si>
    <t>1331</t>
  </si>
  <si>
    <t>ENGAP COMÉRCIO EQUIP. IND. LTDA</t>
  </si>
  <si>
    <t>38402337</t>
  </si>
  <si>
    <t>0016935660017</t>
  </si>
  <si>
    <t>ZLUCIANO.J</t>
  </si>
  <si>
    <t>ODORICO LUIZ DE OLIVEIRA</t>
  </si>
  <si>
    <t>141</t>
  </si>
  <si>
    <t>(034) 3227-0053</t>
  </si>
  <si>
    <t>BERTOLDI &amp; BUZATTO LTDA</t>
  </si>
  <si>
    <t>38405100</t>
  </si>
  <si>
    <t>0016996040043</t>
  </si>
  <si>
    <t>NICARAGUA</t>
  </si>
  <si>
    <t>1390</t>
  </si>
  <si>
    <t>(034) 3216-8844</t>
  </si>
  <si>
    <t>PADARIA NOVA AMERICA</t>
  </si>
  <si>
    <t>CLAYTON ALEXANDRE CECILIO</t>
  </si>
  <si>
    <t>0017022190062</t>
  </si>
  <si>
    <t>ALAOR FERREIRA DA FONSECA</t>
  </si>
  <si>
    <t>(055) 353292-4096</t>
  </si>
  <si>
    <t>VF GUEDES TAPEÇARIA</t>
  </si>
  <si>
    <t>38402292</t>
  </si>
  <si>
    <t>TAPEÇARIA GUEDES</t>
  </si>
  <si>
    <t>0017211770031</t>
  </si>
  <si>
    <t>BALAIADAS</t>
  </si>
  <si>
    <t>1595</t>
  </si>
  <si>
    <t>(034) 3211-9426</t>
  </si>
  <si>
    <t>LOG RECICLAGEM LTDA</t>
  </si>
  <si>
    <t>0017376860053</t>
  </si>
  <si>
    <t>(034) 3210-1332</t>
  </si>
  <si>
    <t>ZINCO TELHAS</t>
  </si>
  <si>
    <t>38446236</t>
  </si>
  <si>
    <t>SANTOS PARENTE IND. E COM. LTDA - ME</t>
  </si>
  <si>
    <t>0017455190085</t>
  </si>
  <si>
    <t>RUA SATURNO</t>
  </si>
  <si>
    <t>NOSSA SENHORA PENHA</t>
  </si>
  <si>
    <t>245</t>
  </si>
  <si>
    <t>(034) 3242-5151</t>
  </si>
  <si>
    <t>NELIO ANDRE SILVA</t>
  </si>
  <si>
    <t>0017543370034</t>
  </si>
  <si>
    <t>(034) 99663-3459</t>
  </si>
  <si>
    <t>MINASGRAN INDÚSTRIA E COM FERTILIZANTES</t>
  </si>
  <si>
    <t>35578000</t>
  </si>
  <si>
    <t>0017564870044</t>
  </si>
  <si>
    <t>ZCARLA</t>
  </si>
  <si>
    <t>CÓRREGO FUNDO</t>
  </si>
  <si>
    <t>MG 050 KM 215</t>
  </si>
  <si>
    <t>00</t>
  </si>
  <si>
    <t>(037) 3322-9524</t>
  </si>
  <si>
    <t>38475000</t>
  </si>
  <si>
    <t>NATALIA CANDELAS BERNARDINO HEMMER</t>
  </si>
  <si>
    <t>0017613880079</t>
  </si>
  <si>
    <t>MONTE ALEGRE DE MINAS</t>
  </si>
  <si>
    <t>38420000</t>
  </si>
  <si>
    <t>MORUM BERNARDINO</t>
  </si>
  <si>
    <t>0017613940055</t>
  </si>
  <si>
    <t>BR 497 - KM 43 + 15 KM DO LADO DIREITO</t>
  </si>
  <si>
    <t>(034) 3226-0066</t>
  </si>
  <si>
    <t>37901775</t>
  </si>
  <si>
    <t>GRAO DE OURO AGRONEGOCIOS LTDA</t>
  </si>
  <si>
    <t>0017807940034</t>
  </si>
  <si>
    <t>RUA FARID ESPER KALLAS</t>
  </si>
  <si>
    <t>VILA ROMANA</t>
  </si>
  <si>
    <t>0017807940115</t>
  </si>
  <si>
    <t>550</t>
  </si>
  <si>
    <t>37135522</t>
  </si>
  <si>
    <t>0017807940298</t>
  </si>
  <si>
    <t>AV ALBERTO VIEIRA ROMAO</t>
  </si>
  <si>
    <t>2759</t>
  </si>
  <si>
    <t>0017807940379</t>
  </si>
  <si>
    <t>IPIRANGA</t>
  </si>
  <si>
    <t>SANTANA</t>
  </si>
  <si>
    <t>1696</t>
  </si>
  <si>
    <t>RAV TRANSPORTES</t>
  </si>
  <si>
    <t>38414080</t>
  </si>
  <si>
    <t>LUCI CARMEN DAL BELLO - ME</t>
  </si>
  <si>
    <t>0018114410043</t>
  </si>
  <si>
    <t>FLÁVIO DE SOUZA REZENDE</t>
  </si>
  <si>
    <t>(034) 3236-8770</t>
  </si>
  <si>
    <t>INTEGRAL AUTOMACAO E CONTROLE IND</t>
  </si>
  <si>
    <t>38402244</t>
  </si>
  <si>
    <t>0018470170007</t>
  </si>
  <si>
    <t>1400</t>
  </si>
  <si>
    <t>(034) 3232-2232</t>
  </si>
  <si>
    <t>GLOBAL INDUSTRIA E COMERCIO DE EPIS LTDA</t>
  </si>
  <si>
    <t>38410663</t>
  </si>
  <si>
    <t>0018577670074</t>
  </si>
  <si>
    <t>IRAQUE</t>
  </si>
  <si>
    <t>546</t>
  </si>
  <si>
    <t>38044762</t>
  </si>
  <si>
    <t>MOSAIC FERTILIZANTES P&amp;K S.A</t>
  </si>
  <si>
    <t>0018767850065</t>
  </si>
  <si>
    <t>ZLAMONIER</t>
  </si>
  <si>
    <t>URA-143</t>
  </si>
  <si>
    <t>(034) 3352-2000</t>
  </si>
  <si>
    <t>38184270</t>
  </si>
  <si>
    <t>MOSAIC FERTILIZANTES P&amp;K LTDA.</t>
  </si>
  <si>
    <t>0018767850146</t>
  </si>
  <si>
    <t>ARAFERTIL</t>
  </si>
  <si>
    <t>SETOR SUL</t>
  </si>
  <si>
    <t>5000</t>
  </si>
  <si>
    <t>(055) 343352-2122</t>
  </si>
  <si>
    <t>0018767850308</t>
  </si>
  <si>
    <t>UDITORNO SERVICOS DE USINAGEM LTDA</t>
  </si>
  <si>
    <t>38400734</t>
  </si>
  <si>
    <t>0018785200050</t>
  </si>
  <si>
    <t>1280</t>
  </si>
  <si>
    <t>MARANATHA TRANSPORTES E AGENCIAMENTOS</t>
  </si>
  <si>
    <t>38412868</t>
  </si>
  <si>
    <t>JANE STELA MARTINS</t>
  </si>
  <si>
    <t>0018813300042</t>
  </si>
  <si>
    <t>ANNA MENDONCA RODRIGUES</t>
  </si>
  <si>
    <t>(055) 349200-3331</t>
  </si>
  <si>
    <t>FAZENDA SANTA LUZIA</t>
  </si>
  <si>
    <t>MARCIO ZANARDI GIMENES</t>
  </si>
  <si>
    <t>0018922780029</t>
  </si>
  <si>
    <t>CONFONHAS SAPE OU PATOS</t>
  </si>
  <si>
    <t>PAULO OTAVIO DE QUEIROZ</t>
  </si>
  <si>
    <t>0018966510140</t>
  </si>
  <si>
    <t>FAZ. LIBERDADE</t>
  </si>
  <si>
    <t>SITIO W3</t>
  </si>
  <si>
    <t>ROMULO FERREIRA BRAGA JUNIOR</t>
  </si>
  <si>
    <t>0019006280089</t>
  </si>
  <si>
    <t>RUA CALDAS</t>
  </si>
  <si>
    <t>VILA ASSUNTA</t>
  </si>
  <si>
    <t>TERRA FERTIL IND E COM AGRICOLA LTDA</t>
  </si>
  <si>
    <t>0019109610014</t>
  </si>
  <si>
    <t>AV ARTHUR BERNARDES</t>
  </si>
  <si>
    <t>598</t>
  </si>
  <si>
    <t>(035) 3015-1051</t>
  </si>
  <si>
    <t>WILLIAN MARTINS DE MORAES</t>
  </si>
  <si>
    <t>38401478</t>
  </si>
  <si>
    <t>0019153160037</t>
  </si>
  <si>
    <t>CONSTELAÇÃO</t>
  </si>
  <si>
    <t>38180315</t>
  </si>
  <si>
    <t>TERRA FERTILIZANTES LTDA</t>
  </si>
  <si>
    <t>0019195240080</t>
  </si>
  <si>
    <t>IMBIARA</t>
  </si>
  <si>
    <t>(034) 9167-6675</t>
  </si>
  <si>
    <t>38735000</t>
  </si>
  <si>
    <t>EVERTON ALVES CINTRA</t>
  </si>
  <si>
    <t>0019318640366</t>
  </si>
  <si>
    <t>L A CRUZEIRO TREINAMENTO GERENCIAL</t>
  </si>
  <si>
    <t>38401127</t>
  </si>
  <si>
    <t>0019334740086</t>
  </si>
  <si>
    <t>RUA CONSTELACAO</t>
  </si>
  <si>
    <t>900</t>
  </si>
  <si>
    <t>(034) 3086-2005</t>
  </si>
  <si>
    <t>FAZENDA SAO JUDAS TADEU</t>
  </si>
  <si>
    <t>38170000</t>
  </si>
  <si>
    <t>MATEUS CROZARIOL MANETA</t>
  </si>
  <si>
    <t>0019367230052</t>
  </si>
  <si>
    <t>PERDIZES</t>
  </si>
  <si>
    <t>SÃO JUDAS TADEU</t>
  </si>
  <si>
    <t>(034) 99903-6610</t>
  </si>
  <si>
    <t>AUTOMAKE LTDA</t>
  </si>
  <si>
    <t>38400299</t>
  </si>
  <si>
    <t>0019470320085</t>
  </si>
  <si>
    <t>DANIEL FONSECA</t>
  </si>
  <si>
    <t>0019565640087</t>
  </si>
  <si>
    <t>TERRA FORTE INSUMOS - REDUTO MG</t>
  </si>
  <si>
    <t>36920000</t>
  </si>
  <si>
    <t>TERRA FORTE INSUMOS AGRÍCOLAS LTDA</t>
  </si>
  <si>
    <t>0019573260018</t>
  </si>
  <si>
    <t>REDUTO</t>
  </si>
  <si>
    <t>LOTEAMENTO RESIDENCIAL HERINGER</t>
  </si>
  <si>
    <t>(033) 3331-7408</t>
  </si>
  <si>
    <t>JOSE ANTONIO DE OLIVEIRA-FAZ. ALEGRIA DO</t>
  </si>
  <si>
    <t>0019637270361</t>
  </si>
  <si>
    <t>FAZ. ALEGRIA DO QUEBRA COCO</t>
  </si>
  <si>
    <t>NOTE TECH INFORMATICA</t>
  </si>
  <si>
    <t>38400716</t>
  </si>
  <si>
    <t>DANILO NUNES DE PAULA</t>
  </si>
  <si>
    <t>0019666770067</t>
  </si>
  <si>
    <t>1886</t>
  </si>
  <si>
    <t>(055) 343235-9797</t>
  </si>
  <si>
    <t>TONY MARRONE DIAS OLIVEIRA</t>
  </si>
  <si>
    <t>0019897820078</t>
  </si>
  <si>
    <t>BEIRA RIO</t>
  </si>
  <si>
    <t>AMERICANAS.COM</t>
  </si>
  <si>
    <t>38414583</t>
  </si>
  <si>
    <t>B2W COMPANHIA DIGITAL</t>
  </si>
  <si>
    <t>0019918010010</t>
  </si>
  <si>
    <t>RODOVIA BR 497 KM 1480</t>
  </si>
  <si>
    <t>HIU ADMINISTRATORA DE HOTEIS E COND.LTDA</t>
  </si>
  <si>
    <t>38020440</t>
  </si>
  <si>
    <t>0020044200069</t>
  </si>
  <si>
    <t>LEONOR BORGES DE CARVALHO</t>
  </si>
  <si>
    <t>SAO BENEDITO</t>
  </si>
  <si>
    <t>(034) 3521-9900</t>
  </si>
  <si>
    <t>INSPEMEC SERVIÇOS E ACESSÓRIOS IND.LTDA</t>
  </si>
  <si>
    <t>38401432</t>
  </si>
  <si>
    <t>0020129900060</t>
  </si>
  <si>
    <t>RUA TRES MARIAS</t>
  </si>
  <si>
    <t>180A</t>
  </si>
  <si>
    <t>(034) 3306-0006</t>
  </si>
  <si>
    <t>ANDRE COSTA DANTAS - FAZENDA PINDOBAL</t>
  </si>
  <si>
    <t>0020160000181</t>
  </si>
  <si>
    <t>(034) 3239-6565</t>
  </si>
  <si>
    <t>SKINAO BAR</t>
  </si>
  <si>
    <t>38022250</t>
  </si>
  <si>
    <t>CELSO DONIZETI DA SILVA LTDA</t>
  </si>
  <si>
    <t>0020176040080</t>
  </si>
  <si>
    <t>JESUINO DO MONTE CARMELO</t>
  </si>
  <si>
    <t>227</t>
  </si>
  <si>
    <t>(055) 343326-3105</t>
  </si>
  <si>
    <t>PANICE SOLUÇÕES - 16777189/0001-63</t>
  </si>
  <si>
    <t>38400706</t>
  </si>
  <si>
    <t>PANICE SOLUÇÕES TECNOLOGICAS LTDA</t>
  </si>
  <si>
    <t>0020212390074</t>
  </si>
  <si>
    <t>CORRÉGO</t>
  </si>
  <si>
    <t>1182</t>
  </si>
  <si>
    <t>(034) 3292-7140</t>
  </si>
  <si>
    <t>RJ MECATRONICA E TRANSPORTES</t>
  </si>
  <si>
    <t>38414522</t>
  </si>
  <si>
    <t>RJ MECATRONICA E TRANSPORTES LTDA</t>
  </si>
  <si>
    <t>0020305750038</t>
  </si>
  <si>
    <t>THAYANDERSON</t>
  </si>
  <si>
    <t>LUXEMBURGO</t>
  </si>
  <si>
    <t>110</t>
  </si>
  <si>
    <t>(055) 349650-3893</t>
  </si>
  <si>
    <t>RENOVOLTECH</t>
  </si>
  <si>
    <t>38407716</t>
  </si>
  <si>
    <t>RENO DRIVES MANUTENCAO E REPARACAO DE EQ</t>
  </si>
  <si>
    <t>0020436700077</t>
  </si>
  <si>
    <t>WHASHINGTON</t>
  </si>
  <si>
    <t>381</t>
  </si>
  <si>
    <t>(055) 343217-6300</t>
  </si>
  <si>
    <t>MERCURY PROJETOS E SERVICOS</t>
  </si>
  <si>
    <t>38400327</t>
  </si>
  <si>
    <t>MERCURY PROJETOS E SERVICOS LTDA</t>
  </si>
  <si>
    <t>0020634240048</t>
  </si>
  <si>
    <t>FERNANDO VILELA</t>
  </si>
  <si>
    <t>2848</t>
  </si>
  <si>
    <t>(055) 343237-1018</t>
  </si>
  <si>
    <t>RC DISTRIBUIDORA DE PISOS</t>
  </si>
  <si>
    <t>38412066</t>
  </si>
  <si>
    <t>DISTRIBUIDORA E COMERCIO RC LTDA</t>
  </si>
  <si>
    <t>0020884091058</t>
  </si>
  <si>
    <t>GETÚLIO VARGAS</t>
  </si>
  <si>
    <t>3667</t>
  </si>
  <si>
    <t>(055) 343224-3964</t>
  </si>
  <si>
    <t>VIGOR FERTILIZANTES LTDA - EPP</t>
  </si>
  <si>
    <t>38407049</t>
  </si>
  <si>
    <t>0020969140053</t>
  </si>
  <si>
    <t>JARDIM PANORAMA</t>
  </si>
  <si>
    <t>(034) 3257-6500</t>
  </si>
  <si>
    <t>TORNEADORA E FRES. MARTINS CAM. LTDA ME</t>
  </si>
  <si>
    <t>0021000790010</t>
  </si>
  <si>
    <t>1158</t>
  </si>
  <si>
    <t>(034) 3236-7811</t>
  </si>
  <si>
    <t>CV - MANUTENCAO E MONTAGEM INDUSTRIAL</t>
  </si>
  <si>
    <t>38438899</t>
  </si>
  <si>
    <t>CV - COMERCIO MANUTENCAO E MONTAGEM INDU</t>
  </si>
  <si>
    <t>0021006170081</t>
  </si>
  <si>
    <t>HUGO SPINI</t>
  </si>
  <si>
    <t>(055) 343253-2095</t>
  </si>
  <si>
    <t>CLASS HOTEL</t>
  </si>
  <si>
    <t>37062770</t>
  </si>
  <si>
    <t>ALJA HOTELARIA &amp; SERVICOS LTDA</t>
  </si>
  <si>
    <t>0021018470425</t>
  </si>
  <si>
    <t>PRESIDENTE CASTELO BRANCO</t>
  </si>
  <si>
    <t>JARDIM PETROPOLIS</t>
  </si>
  <si>
    <t>(055) 353221-4325</t>
  </si>
  <si>
    <t>RT SOLUÇÕES LTDA</t>
  </si>
  <si>
    <t>0021037870069</t>
  </si>
  <si>
    <t>502</t>
  </si>
  <si>
    <t>(034) 3222-9233</t>
  </si>
  <si>
    <t>AGROCP FERTILIZANTES - TRES PONTAS</t>
  </si>
  <si>
    <t>37187006</t>
  </si>
  <si>
    <t>AGROCP IND E COM DE FERTILIZANTES LTDA</t>
  </si>
  <si>
    <t>002113392.00-39</t>
  </si>
  <si>
    <t>AVENIDA CAIO DE BRITO</t>
  </si>
  <si>
    <t>1505</t>
  </si>
  <si>
    <t>(055) 353265-3227</t>
  </si>
  <si>
    <t>AGROCP - MULT FERTILIZANTES</t>
  </si>
  <si>
    <t>37195000</t>
  </si>
  <si>
    <t>AGROCP INDUSTRIA E COMERCIO DE FERTILIZA</t>
  </si>
  <si>
    <t>0021133920110</t>
  </si>
  <si>
    <t>SANTANA DA VARGEM</t>
  </si>
  <si>
    <t>ROD MG 167</t>
  </si>
  <si>
    <t>RODOVIA PARQUE</t>
  </si>
  <si>
    <t>(035) 99725-0264</t>
  </si>
  <si>
    <t>FRIBON TRANSPORTES LTDA</t>
  </si>
  <si>
    <t>38402019</t>
  </si>
  <si>
    <t>0021210170060</t>
  </si>
  <si>
    <t>RODOVIA BR-452</t>
  </si>
  <si>
    <t>GARANTIA AGRÍCOLA - FORMIGA</t>
  </si>
  <si>
    <t>35574801</t>
  </si>
  <si>
    <t>GARANTIA AGRONEGOCIOS LTDA</t>
  </si>
  <si>
    <t>0021234270056</t>
  </si>
  <si>
    <t>RUA MARIA RIBEIRO GHELLI</t>
  </si>
  <si>
    <t>PLANALTO</t>
  </si>
  <si>
    <t>525</t>
  </si>
  <si>
    <t>(037) 3322-8480</t>
  </si>
  <si>
    <t>37925000</t>
  </si>
  <si>
    <t>GARANTIA AGRÍCOLA - PIUMHI</t>
  </si>
  <si>
    <t>0021234270137</t>
  </si>
  <si>
    <t>PIUMHI</t>
  </si>
  <si>
    <t>AV FRANCISCO MACHADO</t>
  </si>
  <si>
    <t>1030</t>
  </si>
  <si>
    <t>LEANDRO ROBERTO DOS REIS SILVA</t>
  </si>
  <si>
    <t>Leandro Roberto dos Reis Silva</t>
  </si>
  <si>
    <t>0021649610033</t>
  </si>
  <si>
    <t>OURO</t>
  </si>
  <si>
    <t>(034) 3841-1717</t>
  </si>
  <si>
    <t>38044760</t>
  </si>
  <si>
    <t>BUNGE NPK FERTILIZANTES - UBERABA UNID 3</t>
  </si>
  <si>
    <t>NPK FERTILIZANTES LTDA</t>
  </si>
  <si>
    <t>0021695160185</t>
  </si>
  <si>
    <t>ANTÔNIO CARLOS GUILLAUMON</t>
  </si>
  <si>
    <t>805</t>
  </si>
  <si>
    <t>(034) 3319-7153</t>
  </si>
  <si>
    <t>BUNGE NPK FERTILIZANTES - UBERABA UNID 1</t>
  </si>
  <si>
    <t>0021695160428</t>
  </si>
  <si>
    <t>R E VAPOR SERVICOS - RENATA CAETANO</t>
  </si>
  <si>
    <t>RENATA CAETANO DA SILVA SANTOS</t>
  </si>
  <si>
    <t>0021789480043</t>
  </si>
  <si>
    <t>(055) 349689-8551</t>
  </si>
  <si>
    <t>ATUAL TINTAS</t>
  </si>
  <si>
    <t>ATUAL IND.E COM.DE TINTAS EIRELI</t>
  </si>
  <si>
    <t>0021825030014</t>
  </si>
  <si>
    <t>571</t>
  </si>
  <si>
    <t>(034) 3213-1821</t>
  </si>
  <si>
    <t>RENUTRE</t>
  </si>
  <si>
    <t>35588000</t>
  </si>
  <si>
    <t>FERTILIZE IND. E COM. DE FERTIL. LTDA</t>
  </si>
  <si>
    <t>0021843670097</t>
  </si>
  <si>
    <t>ARCOS</t>
  </si>
  <si>
    <t>FAZENDA PAVOA</t>
  </si>
  <si>
    <t>(037) 3322-1866</t>
  </si>
  <si>
    <t>ELETRO VOLTS MOTORES ELETRICO</t>
  </si>
  <si>
    <t>38020300</t>
  </si>
  <si>
    <t>ELETRO VOLTS MOTORES ELETRICO LTDA</t>
  </si>
  <si>
    <t>002199124.00-74</t>
  </si>
  <si>
    <t>BARAO DO RIO BRANCO</t>
  </si>
  <si>
    <t>1664</t>
  </si>
  <si>
    <t>(055) 343522-2085</t>
  </si>
  <si>
    <t>TESTAR ENGENHARIA</t>
  </si>
  <si>
    <t>38402128</t>
  </si>
  <si>
    <t>TESTAR - TREINAMENTOS E SERV TEC LTDA</t>
  </si>
  <si>
    <t>0022112760092</t>
  </si>
  <si>
    <t>RUA CRISTINA</t>
  </si>
  <si>
    <t>NOSSA SENHORA DAS GRACAS</t>
  </si>
  <si>
    <t>119</t>
  </si>
  <si>
    <t>(055) 349767-4573</t>
  </si>
  <si>
    <t>MAURICIO VELOSO MENDES TEIXEIRA E OUTROS</t>
  </si>
  <si>
    <t>38600000</t>
  </si>
  <si>
    <t>0022139430026</t>
  </si>
  <si>
    <t>FAZENDA GAIVOTAS</t>
  </si>
  <si>
    <t>MUEQUIPAR HIDRAULICA INDUSTRIAL LTDA</t>
  </si>
  <si>
    <t>31555000</t>
  </si>
  <si>
    <t>0022245190076</t>
  </si>
  <si>
    <t>PORTUGAL</t>
  </si>
  <si>
    <t>SANTA AMÉLIA</t>
  </si>
  <si>
    <t>2085</t>
  </si>
  <si>
    <t>(055) 313243-2770</t>
  </si>
  <si>
    <t>VILLARES METALS LTDA</t>
  </si>
  <si>
    <t>33200000</t>
  </si>
  <si>
    <t>0022298850070</t>
  </si>
  <si>
    <t>VESPASIANO</t>
  </si>
  <si>
    <t>AVENIDA TRES</t>
  </si>
  <si>
    <t>105</t>
  </si>
  <si>
    <t>(031) 3268-4498</t>
  </si>
  <si>
    <t>MEGA AÇO</t>
  </si>
  <si>
    <t>38402288</t>
  </si>
  <si>
    <t>COMERCIAL MEGA MAT. DE CONST EIRELE LTDA</t>
  </si>
  <si>
    <t>0022318730091</t>
  </si>
  <si>
    <t>955</t>
  </si>
  <si>
    <t>(034) 3222-4334</t>
  </si>
  <si>
    <t>37960000</t>
  </si>
  <si>
    <t>TIAGO FERREIRA DE FIGUEIREDO</t>
  </si>
  <si>
    <t>0022323940058</t>
  </si>
  <si>
    <t>SAO TOMAS DE AQUINO</t>
  </si>
  <si>
    <t>NA</t>
  </si>
  <si>
    <t>FABIO BARRA SOARES E OUTRO(S)</t>
  </si>
  <si>
    <t>FABIO BARRA SOARES e outro(s)</t>
  </si>
  <si>
    <t>0022413770259</t>
  </si>
  <si>
    <t>(034) 3263-1688</t>
  </si>
  <si>
    <t>AGRO-VIVA INSUMOS AGRICOLAS LTDA</t>
  </si>
  <si>
    <t>0022560400057</t>
  </si>
  <si>
    <t>(035) 9718-0908</t>
  </si>
  <si>
    <t>FAZENDA CONTENDAS</t>
  </si>
  <si>
    <t>JUNIO CESAR MOREIRA</t>
  </si>
  <si>
    <t>0022771090031</t>
  </si>
  <si>
    <t>RODOVIA BOA ESPERANCA VIA CAMPO BELO KM 15</t>
  </si>
  <si>
    <t>37135528</t>
  </si>
  <si>
    <t>0022876080028</t>
  </si>
  <si>
    <t>FAZENDA CAMPOS</t>
  </si>
  <si>
    <t>TIAGO OLIVEIRA ALMEIDA - ME</t>
  </si>
  <si>
    <t>38401386</t>
  </si>
  <si>
    <t>0023124300009</t>
  </si>
  <si>
    <t>RUA MARTE</t>
  </si>
  <si>
    <t>124</t>
  </si>
  <si>
    <t>(034) 3210-3957</t>
  </si>
  <si>
    <t>BELIZE FERTILIZANTES E AGRONEGOCIOS</t>
  </si>
  <si>
    <t>14850000</t>
  </si>
  <si>
    <t>BELIZE FERTILIZANTES E AGRONEGOCIOS LTDA</t>
  </si>
  <si>
    <t>002319558.00-12</t>
  </si>
  <si>
    <t>PRADOPOLIS</t>
  </si>
  <si>
    <t>JOAO VENDITE</t>
  </si>
  <si>
    <t>JARDIM MARIA LUIZA I</t>
  </si>
  <si>
    <t>1044</t>
  </si>
  <si>
    <t>(055) 163981-4949</t>
  </si>
  <si>
    <t>FAZENDA SOCORRO</t>
  </si>
  <si>
    <t>38720000</t>
  </si>
  <si>
    <t>GIANFRANCO DI ANGELIS BARROSO</t>
  </si>
  <si>
    <t>002343031009</t>
  </si>
  <si>
    <t>LAGOA FORMOSA</t>
  </si>
  <si>
    <t>SOCORRO</t>
  </si>
  <si>
    <t>ALFA TRANSPORTES EIRELI</t>
  </si>
  <si>
    <t>0023626940268</t>
  </si>
  <si>
    <t>MANOEL BECKMAN</t>
  </si>
  <si>
    <t>1180</t>
  </si>
  <si>
    <t>LOC EASY</t>
  </si>
  <si>
    <t>38401036</t>
  </si>
  <si>
    <t>LOC EASY LOCAÇÃO DE EQUIP.E MAQ.P/ CONST</t>
  </si>
  <si>
    <t>0023675810046</t>
  </si>
  <si>
    <t>OSMAR SALES MONTEIRO</t>
  </si>
  <si>
    <t>100B</t>
  </si>
  <si>
    <t>(034) 3235-2503</t>
  </si>
  <si>
    <t>START SHOP</t>
  </si>
  <si>
    <t>38408343</t>
  </si>
  <si>
    <t>SHOPPING DA LIMPEZA START LTDA</t>
  </si>
  <si>
    <t>0023772460020</t>
  </si>
  <si>
    <t>2064</t>
  </si>
  <si>
    <t>(055) 343256-7400</t>
  </si>
  <si>
    <t>38800000</t>
  </si>
  <si>
    <t>R3 - SAO GOTARDO</t>
  </si>
  <si>
    <t>R3 AGRONEGOCIOS EIRELI</t>
  </si>
  <si>
    <t>0023779890070</t>
  </si>
  <si>
    <t>SAO GOTARDO</t>
  </si>
  <si>
    <t>AV BRASIL</t>
  </si>
  <si>
    <t>SANTA TEREZINHA</t>
  </si>
  <si>
    <t>353</t>
  </si>
  <si>
    <t>(034) 3671-1332</t>
  </si>
  <si>
    <t>38970000</t>
  </si>
  <si>
    <t>R3 - CAMPOS ALTOS</t>
  </si>
  <si>
    <t>0023779890151</t>
  </si>
  <si>
    <t>CAMPOS ALTOS</t>
  </si>
  <si>
    <t>AVENIDA VEREADOR JOAO ALEGRE</t>
  </si>
  <si>
    <t>(037) 3426-4144</t>
  </si>
  <si>
    <t>IDEAL SERVICE CONSERVACAO E MANUTENCAO L</t>
  </si>
  <si>
    <t>38400098</t>
  </si>
  <si>
    <t>0023871860085</t>
  </si>
  <si>
    <t>ZSSOUZA</t>
  </si>
  <si>
    <t>CESÁRIO ALVIM</t>
  </si>
  <si>
    <t>818</t>
  </si>
  <si>
    <t>(034) 3222-4241</t>
  </si>
  <si>
    <t>UDIDRIVES MANUTENÇÃO</t>
  </si>
  <si>
    <t>UDIDRIVES MANT. COM E MAT. ELET. EIRELI</t>
  </si>
  <si>
    <t>0023945620015</t>
  </si>
  <si>
    <t>1251</t>
  </si>
  <si>
    <t>(034) 3257-4958</t>
  </si>
  <si>
    <t>37990000</t>
  </si>
  <si>
    <t>BOLSA AGRONEGOCIOS REPRESENTACOES LTDA</t>
  </si>
  <si>
    <t>0024020500070</t>
  </si>
  <si>
    <t>IBIRACI</t>
  </si>
  <si>
    <t>MARIA JOSE DA CUNHA</t>
  </si>
  <si>
    <t>588</t>
  </si>
  <si>
    <t>(055) 163720-2323</t>
  </si>
  <si>
    <t>GETEC INDUSTRIAL</t>
  </si>
  <si>
    <t>UDIALPE MONTAGENS INDUSTRIAIS LTDA  - ME</t>
  </si>
  <si>
    <t>0024020670013</t>
  </si>
  <si>
    <t>ALTO UMUARAMA II</t>
  </si>
  <si>
    <t>1611</t>
  </si>
  <si>
    <t>(034) 3086-4091</t>
  </si>
  <si>
    <t>AGROMOTORES</t>
  </si>
  <si>
    <t>AGROMOTORES LTDA</t>
  </si>
  <si>
    <t>0024201190080</t>
  </si>
  <si>
    <t>(055) 343214-6257</t>
  </si>
  <si>
    <t>RAFAELA REZENDE BERETENS</t>
  </si>
  <si>
    <t>0024304750020</t>
  </si>
  <si>
    <t>HOTEL VALE DO CAFÉ EIRELI - ME</t>
  </si>
  <si>
    <t>0024304840045</t>
  </si>
  <si>
    <t>RUA DO CURTUME</t>
  </si>
  <si>
    <t>(035) 3295-5575</t>
  </si>
  <si>
    <t>JOAO ERNESTINO FILHO EIRELLI – ME</t>
  </si>
  <si>
    <t>0024313360050</t>
  </si>
  <si>
    <t>RUA VEREADOR BOLIVAR RAMOS GOULART</t>
  </si>
  <si>
    <t>1120</t>
  </si>
  <si>
    <t>ARNOLD FERTILIZANTES</t>
  </si>
  <si>
    <t>ARNOLD COMERCIO E REPRESENTACAO LTDA</t>
  </si>
  <si>
    <t>0024484390086</t>
  </si>
  <si>
    <t>PARQUE E INTEGRACAO ACESSO 01</t>
  </si>
  <si>
    <t>AREA RURAL DE UNAI</t>
  </si>
  <si>
    <t>3860</t>
  </si>
  <si>
    <t>(038) 3677-1908</t>
  </si>
  <si>
    <t>AGRONEGÓCIO COMUNICAÇÃO LTDA - ME</t>
  </si>
  <si>
    <t>38400220</t>
  </si>
  <si>
    <t>0024503980017</t>
  </si>
  <si>
    <t>BERNARDINO FONSECA</t>
  </si>
  <si>
    <t>GENERAL OSÓRIO</t>
  </si>
  <si>
    <t>(034) 3235-9011</t>
  </si>
  <si>
    <t>FERRAPRO FERRAMENTAS E SERVICOS</t>
  </si>
  <si>
    <t>38408170</t>
  </si>
  <si>
    <t>FERRAPRO FERRAMENTAS E SERVICOS LTDA</t>
  </si>
  <si>
    <t>0024519350093</t>
  </si>
  <si>
    <t>1542</t>
  </si>
  <si>
    <t>(055) 343224-1382</t>
  </si>
  <si>
    <t>FAZENDA MENDONÇA</t>
  </si>
  <si>
    <t>SAULO RODRIGO DE OLIVEIRA</t>
  </si>
  <si>
    <t>0024535150079</t>
  </si>
  <si>
    <t>ILICINEA / MENDONÇA</t>
  </si>
  <si>
    <t>13KM</t>
  </si>
  <si>
    <t>SETEC COM REP DE PROD AGRIC LTDA</t>
  </si>
  <si>
    <t>0024661320069</t>
  </si>
  <si>
    <t>3129</t>
  </si>
  <si>
    <t>(034) 3231-0401</t>
  </si>
  <si>
    <t>FAZENDA VEREDAS</t>
  </si>
  <si>
    <t>THIAGO MARSON CASAVECHIA E OUTROS</t>
  </si>
  <si>
    <t>0024854970006</t>
  </si>
  <si>
    <t>(038) 3676-3243</t>
  </si>
  <si>
    <t>MAGAZINE LUIZA S/A</t>
  </si>
  <si>
    <t>38414097</t>
  </si>
  <si>
    <t>0025359005165</t>
  </si>
  <si>
    <t>JOSÉ FONSECA E SILVA</t>
  </si>
  <si>
    <t>1149</t>
  </si>
  <si>
    <t>(055) 163711-2002</t>
  </si>
  <si>
    <t>A SEMENTEIRA LTDA</t>
  </si>
  <si>
    <t>38407718</t>
  </si>
  <si>
    <t>0025900120090</t>
  </si>
  <si>
    <t>3659</t>
  </si>
  <si>
    <t>(034) 3210-3839</t>
  </si>
  <si>
    <t>22.919.506 ELIZABETH MARIA CHIOVATO PERE</t>
  </si>
  <si>
    <t>38440081</t>
  </si>
  <si>
    <t>002597889.00-30</t>
  </si>
  <si>
    <t>IRMA MARGARIDA</t>
  </si>
  <si>
    <t>(055) 349148-1412</t>
  </si>
  <si>
    <t>TOP AGRO</t>
  </si>
  <si>
    <t>TOP AGRONEGOCIOS LTDA</t>
  </si>
  <si>
    <t>0025993960078</t>
  </si>
  <si>
    <t>RUA LEOSINA MOREIRA</t>
  </si>
  <si>
    <t>599</t>
  </si>
  <si>
    <t>(034) 3824-0800</t>
  </si>
  <si>
    <t>0026045300041</t>
  </si>
  <si>
    <t>FAZENDA CATULES</t>
  </si>
  <si>
    <t>CIRO MASANOBU TAKAMORI e outro(s)</t>
  </si>
  <si>
    <t>0026083850096</t>
  </si>
  <si>
    <t>ESTRELA DO ORIENTE</t>
  </si>
  <si>
    <t>FMJ COMERCIO DE TINTAS LTDA</t>
  </si>
  <si>
    <t>38400708</t>
  </si>
  <si>
    <t>0026084010040</t>
  </si>
  <si>
    <t>AFONSO PENA</t>
  </si>
  <si>
    <t>(034) 3216-8616</t>
  </si>
  <si>
    <t>38400454</t>
  </si>
  <si>
    <t>0026084010792</t>
  </si>
  <si>
    <t>OSVALDO RESENDE</t>
  </si>
  <si>
    <t>747</t>
  </si>
  <si>
    <t>(034) 3303-1973</t>
  </si>
  <si>
    <t>38408096</t>
  </si>
  <si>
    <t>IMPERIO DAS TINTAS</t>
  </si>
  <si>
    <t>0026084011292</t>
  </si>
  <si>
    <t>ALFREDO TORMIN</t>
  </si>
  <si>
    <t>395</t>
  </si>
  <si>
    <t>(055) 343303-1986</t>
  </si>
  <si>
    <t>38412316</t>
  </si>
  <si>
    <t>0026084011608</t>
  </si>
  <si>
    <t>JARDIM DAS PALMEIRAS</t>
  </si>
  <si>
    <t>4681</t>
  </si>
  <si>
    <t>(034) 3213-1908</t>
  </si>
  <si>
    <t>38406396</t>
  </si>
  <si>
    <t>0026084011780</t>
  </si>
  <si>
    <t>SACADURA CABRAL</t>
  </si>
  <si>
    <t>ALTO UMUARAMA III (LOTEAMENTO)</t>
  </si>
  <si>
    <t>1079</t>
  </si>
  <si>
    <t>38410675</t>
  </si>
  <si>
    <t>0026084012280</t>
  </si>
  <si>
    <t>SEME SIMÃO</t>
  </si>
  <si>
    <t>BOTANICO (LOTEAMENTO)</t>
  </si>
  <si>
    <t>1894</t>
  </si>
  <si>
    <t>MARIA ALICE DE DEUS VIEIRA E OUTRO(S)</t>
  </si>
  <si>
    <t>0026114500067</t>
  </si>
  <si>
    <t>CARMO A PATOS</t>
  </si>
  <si>
    <t>SITIO ITAGUACU</t>
  </si>
  <si>
    <t>EDER PAULO PEREIRA</t>
  </si>
  <si>
    <t>0026188640016</t>
  </si>
  <si>
    <t>(035) 99995-7964</t>
  </si>
  <si>
    <t>MULTIGÁS</t>
  </si>
  <si>
    <t>38400666</t>
  </si>
  <si>
    <t>D.P.A SERVIÇOS EIRELI</t>
  </si>
  <si>
    <t>0026399770068</t>
  </si>
  <si>
    <t>ALAGOAS</t>
  </si>
  <si>
    <t>1599</t>
  </si>
  <si>
    <t>(034) 3227-8026</t>
  </si>
  <si>
    <t>VARREFERTIL</t>
  </si>
  <si>
    <t>38400372</t>
  </si>
  <si>
    <t>VARREFERTIL COM. DE FERTILIZ. LTDA - ME</t>
  </si>
  <si>
    <t>0026410220073</t>
  </si>
  <si>
    <t>RAULINO COTTA PACHECO</t>
  </si>
  <si>
    <t>1589</t>
  </si>
  <si>
    <t>(034) 9971-7930</t>
  </si>
  <si>
    <t>FAZENDA SAO BENTO</t>
  </si>
  <si>
    <t>37980000</t>
  </si>
  <si>
    <t>ALISSON DE SOUZA MACHADO</t>
  </si>
  <si>
    <t>0026497230289</t>
  </si>
  <si>
    <t>CASSIA</t>
  </si>
  <si>
    <t>SÃO BENTO</t>
  </si>
  <si>
    <t>(034) 99152-2979</t>
  </si>
  <si>
    <t>ACF VANS</t>
  </si>
  <si>
    <t>38408252</t>
  </si>
  <si>
    <t>ACF VANS LTDA</t>
  </si>
  <si>
    <t>0026695280002</t>
  </si>
  <si>
    <t>JOSÉ RODRIGUES QUEIROZ FILHO</t>
  </si>
  <si>
    <t>352</t>
  </si>
  <si>
    <t>MASTERFOL - ARAGUARI</t>
  </si>
  <si>
    <t>38446396</t>
  </si>
  <si>
    <t>MAGALHAES BIDOIA INDUSTRIAL AGRICOLA</t>
  </si>
  <si>
    <t>0026799550030</t>
  </si>
  <si>
    <t>AIRTON DONIZETTE MONTINA</t>
  </si>
  <si>
    <t>160</t>
  </si>
  <si>
    <t>(055) 343242-3454</t>
  </si>
  <si>
    <t>KABUM S.A.</t>
  </si>
  <si>
    <t>0026839200507</t>
  </si>
  <si>
    <t>MARIA MARGARIDA PINTO (DONA BELINHA)</t>
  </si>
  <si>
    <t>DISTRITO INDUSTRIAL PIRES</t>
  </si>
  <si>
    <t>742</t>
  </si>
  <si>
    <t>(055) 113504-2011</t>
  </si>
  <si>
    <t>IMPROCROP DO BRASIL LTDA</t>
  </si>
  <si>
    <t>38402353</t>
  </si>
  <si>
    <t>0026997610013</t>
  </si>
  <si>
    <t>RUA ANGELO PIZZATO</t>
  </si>
  <si>
    <t>250</t>
  </si>
  <si>
    <t>(034) 3233-5501</t>
  </si>
  <si>
    <t>38402276</t>
  </si>
  <si>
    <t>0027011330097</t>
  </si>
  <si>
    <t>RUA JOÃO ASCINDINO DA COSTA</t>
  </si>
  <si>
    <t>295</t>
  </si>
  <si>
    <t>(034) 3226-8772</t>
  </si>
  <si>
    <t>TC ENERGIA ENGENHARIA INDUSTRIAL EIRELI</t>
  </si>
  <si>
    <t>38400124</t>
  </si>
  <si>
    <t>0027025670073</t>
  </si>
  <si>
    <t>ZRENATO</t>
  </si>
  <si>
    <t>AVENIDA JOAO PINHEIRO</t>
  </si>
  <si>
    <t>39</t>
  </si>
  <si>
    <t>(034) 3216-5081</t>
  </si>
  <si>
    <t>EPI BRASIL</t>
  </si>
  <si>
    <t>EPI BRASIL EQUIPAMENTOS DE PROTECAO LTDA</t>
  </si>
  <si>
    <t>0027038960091</t>
  </si>
  <si>
    <t>476</t>
  </si>
  <si>
    <t>(055) 343336-5444</t>
  </si>
  <si>
    <t>FAST SHOP S.A.</t>
  </si>
  <si>
    <t>58320000</t>
  </si>
  <si>
    <t>0027169691167</t>
  </si>
  <si>
    <t>ALHANDRA</t>
  </si>
  <si>
    <t>MANOEL CESAR DE MELO</t>
  </si>
  <si>
    <t>CODEL RECICLAGEM LTDA</t>
  </si>
  <si>
    <t>0027223220031</t>
  </si>
  <si>
    <t>470</t>
  </si>
  <si>
    <t>(055) 343086-9619</t>
  </si>
  <si>
    <t>UDITECH BALANCAS</t>
  </si>
  <si>
    <t>38413093</t>
  </si>
  <si>
    <t>UDITECH BALANCAS MANUTENCAO E CALIB</t>
  </si>
  <si>
    <t>0027450200066</t>
  </si>
  <si>
    <t>MONTESE</t>
  </si>
  <si>
    <t>47</t>
  </si>
  <si>
    <t>NUTRIEN SOL AGRICOLAS - ARAXA</t>
  </si>
  <si>
    <t>38183970</t>
  </si>
  <si>
    <t>NUTRIEN SOLUCOES AGRICOLAS LTDA</t>
  </si>
  <si>
    <t>0027743880010</t>
  </si>
  <si>
    <t>ROD MG 146, FAZENDA PAO DE ACUCAR</t>
  </si>
  <si>
    <t>(055) 115400-0021</t>
  </si>
  <si>
    <t>CELSO BELCHIOR DA SILVA E OUTRO(S)</t>
  </si>
  <si>
    <t>CELSO BELCHIOR DA SILVA e outro(s)</t>
  </si>
  <si>
    <t>0027919470030</t>
  </si>
  <si>
    <t>OUTROS PA FELIZ UNIAO</t>
  </si>
  <si>
    <t>SHOPPING DO EPI VARGINHA</t>
  </si>
  <si>
    <t>37014160</t>
  </si>
  <si>
    <t>MAGALHÃES EQUIP DE SEGURANÇA EIRELI</t>
  </si>
  <si>
    <t>0028023500074</t>
  </si>
  <si>
    <t>AVENIDA PLINIO SALGADO</t>
  </si>
  <si>
    <t>BOM PASTOR</t>
  </si>
  <si>
    <t>480</t>
  </si>
  <si>
    <t>CELSO BATISTA DE SOUZA</t>
  </si>
  <si>
    <t>0028128710001</t>
  </si>
  <si>
    <t>FAZ GAMELEIRA ATAQUE LUGAR BICAMO E SANTANA</t>
  </si>
  <si>
    <t>(034) 3841-1672</t>
  </si>
  <si>
    <t>R.G AUTOMACAO LTDA</t>
  </si>
  <si>
    <t>38446857</t>
  </si>
  <si>
    <t>0028203020062</t>
  </si>
  <si>
    <t>JOSE DAVID SKAF</t>
  </si>
  <si>
    <t>BOSQUE</t>
  </si>
  <si>
    <t>750</t>
  </si>
  <si>
    <t>(055) 349939-1114</t>
  </si>
  <si>
    <t>RG ROLAMENTOS E RETENTORES LTDA ME</t>
  </si>
  <si>
    <t>38400322</t>
  </si>
  <si>
    <t>0028207050004</t>
  </si>
  <si>
    <t>411</t>
  </si>
  <si>
    <t>(034) 3214-5125</t>
  </si>
  <si>
    <t>MERCER SOLUCOES INDUSTRIAIS EIRELI</t>
  </si>
  <si>
    <t>38406568</t>
  </si>
  <si>
    <t>0028207570016</t>
  </si>
  <si>
    <t>PITANGUEIRAS</t>
  </si>
  <si>
    <t>BOSQUE DOS BURITIS</t>
  </si>
  <si>
    <t>206</t>
  </si>
  <si>
    <t>CORAM</t>
  </si>
  <si>
    <t>37901734</t>
  </si>
  <si>
    <t>CORAM COM E REPRESENTACOES AGRICOLA LTDA</t>
  </si>
  <si>
    <t>0028232940280</t>
  </si>
  <si>
    <t>AVENIDA JUCA STOCKLER</t>
  </si>
  <si>
    <t>ACLIMAÇÃO</t>
  </si>
  <si>
    <t>2474</t>
  </si>
  <si>
    <t>(016) 3729-5622</t>
  </si>
  <si>
    <t>FF INDUSTRIA E COMERCIO</t>
  </si>
  <si>
    <t>38400696</t>
  </si>
  <si>
    <t>FF INDUSTRIA E COM DE MATERIAS DE SEG LT</t>
  </si>
  <si>
    <t>0028255080031</t>
  </si>
  <si>
    <t>ZRANIERY</t>
  </si>
  <si>
    <t>4425</t>
  </si>
  <si>
    <t>(055) 343291-9100</t>
  </si>
  <si>
    <t>MARCA MEDICA</t>
  </si>
  <si>
    <t>TOSHIAKI FUKUSHIMA EIRELI - ME</t>
  </si>
  <si>
    <t>0028664800057</t>
  </si>
  <si>
    <t>1295</t>
  </si>
  <si>
    <t>(034) 3084-0579</t>
  </si>
  <si>
    <t>FARMÁCIA DOS TRABALHADORES MINAS</t>
  </si>
  <si>
    <t>38410020</t>
  </si>
  <si>
    <t>T B DE MEIRELES EIRELI</t>
  </si>
  <si>
    <t>0028780840019</t>
  </si>
  <si>
    <t>ALAMEDA RAUL PETRONILHO PADUA</t>
  </si>
  <si>
    <t>GRANADA</t>
  </si>
  <si>
    <t>164</t>
  </si>
  <si>
    <t>35701700</t>
  </si>
  <si>
    <t>MICROSOLO INDUSTRIAL LTDA</t>
  </si>
  <si>
    <t>0028910360046</t>
  </si>
  <si>
    <t>TULIO.ARAUJO</t>
  </si>
  <si>
    <t>MG-238</t>
  </si>
  <si>
    <t>QUINDUCHA</t>
  </si>
  <si>
    <t>(055) 313779-4300</t>
  </si>
  <si>
    <t>GRANLAGO HOTEL PREMIUM</t>
  </si>
  <si>
    <t>37557030</t>
  </si>
  <si>
    <t>GRANLAGO HOTEL LTDA</t>
  </si>
  <si>
    <t>0028922760052</t>
  </si>
  <si>
    <t>PREFEITO OLAVO GOMES DE OLIVEIRA</t>
  </si>
  <si>
    <t>FRANCISCA AUGUSTA RIOS</t>
  </si>
  <si>
    <t>3381</t>
  </si>
  <si>
    <t>(055) 353025-9100</t>
  </si>
  <si>
    <t>ANCHOR PROJETOS P/TRABALHO EM ALTURA LTD</t>
  </si>
  <si>
    <t>32372120</t>
  </si>
  <si>
    <t>0029041780092</t>
  </si>
  <si>
    <t>CONTAGEM</t>
  </si>
  <si>
    <t>GAMA</t>
  </si>
  <si>
    <t>VILA PARIS</t>
  </si>
  <si>
    <t>196</t>
  </si>
  <si>
    <t>(031) 3483-1565</t>
  </si>
  <si>
    <t>GERALDO VAZ DE OLIVEIRA</t>
  </si>
  <si>
    <t>0029087600003</t>
  </si>
  <si>
    <t>NÉLIO MARQUES RAMOS ME</t>
  </si>
  <si>
    <t>34004642</t>
  </si>
  <si>
    <t>Nélio Marques Ramos ME</t>
  </si>
  <si>
    <t>0029106560067</t>
  </si>
  <si>
    <t>GUILHERME</t>
  </si>
  <si>
    <t>NOVA LIMA</t>
  </si>
  <si>
    <t>JANUÁRIO CARNEIRO</t>
  </si>
  <si>
    <t>PAU POMBO</t>
  </si>
  <si>
    <t>876</t>
  </si>
  <si>
    <t>VS TECH SOLUÇÕES EM INFORMÁTICA</t>
  </si>
  <si>
    <t>38400204</t>
  </si>
  <si>
    <t>VS TECH INFORMÁTICA E SIST. EIRELLI -EPP</t>
  </si>
  <si>
    <t>0029205940070</t>
  </si>
  <si>
    <t>RUA FELISBERTO CARRIJO</t>
  </si>
  <si>
    <t>1798</t>
  </si>
  <si>
    <t>(034) 3227-0335</t>
  </si>
  <si>
    <t>AMPLA SLI TRANSPORTES S/A</t>
  </si>
  <si>
    <t>37066405</t>
  </si>
  <si>
    <t>0029269580083</t>
  </si>
  <si>
    <t>JOSE RIBEIRO BUENO</t>
  </si>
  <si>
    <t>DISTRITO INDUSTRIAL CLAUDIO GALVAO NOGUEIRA</t>
  </si>
  <si>
    <t>1069</t>
  </si>
  <si>
    <t>(055) 353219-7600</t>
  </si>
  <si>
    <t>GABRIEL RIBEIRO ARAUJO LTDA</t>
  </si>
  <si>
    <t>0029275270007</t>
  </si>
  <si>
    <t>JOAO JOSE MACHADO</t>
  </si>
  <si>
    <t>DAS FLORES</t>
  </si>
  <si>
    <t>197</t>
  </si>
  <si>
    <t>(055) 349823-4501</t>
  </si>
  <si>
    <t>INACIO CARLOS URBAN</t>
  </si>
  <si>
    <t>0029355940750</t>
  </si>
  <si>
    <t>(034) 3822-9950</t>
  </si>
  <si>
    <t>38446424</t>
  </si>
  <si>
    <t>FERTILIZANTES TOCANTINS S.A.</t>
  </si>
  <si>
    <t>0029411440061</t>
  </si>
  <si>
    <t>CALIMERIO BORGES</t>
  </si>
  <si>
    <t>BEATRIZ</t>
  </si>
  <si>
    <t>(034) 3241-4900</t>
  </si>
  <si>
    <t>38045255</t>
  </si>
  <si>
    <t>0029814020095</t>
  </si>
  <si>
    <t>RUA JOSE GOMES DA SILVA CAMPOS</t>
  </si>
  <si>
    <t>PARQUE DAS AMÉRICAS</t>
  </si>
  <si>
    <t>436</t>
  </si>
  <si>
    <t>(034) 8847-8001</t>
  </si>
  <si>
    <t>CHARLES GONCALVES CASTRO 04507316693</t>
  </si>
  <si>
    <t>38412234</t>
  </si>
  <si>
    <t>0029901160049</t>
  </si>
  <si>
    <t>RUA DOS PASSAROS PRETOS</t>
  </si>
  <si>
    <t>84</t>
  </si>
  <si>
    <t>(034) 9257-5414</t>
  </si>
  <si>
    <t>VALMINAS</t>
  </si>
  <si>
    <t>38402234</t>
  </si>
  <si>
    <t>VALMINAS IMP. VALVULAS ACESS.SERV. IND.</t>
  </si>
  <si>
    <t>0029939040008</t>
  </si>
  <si>
    <t>PAULO ROBERTO CUNHA SANTOS</t>
  </si>
  <si>
    <t>1747</t>
  </si>
  <si>
    <t>(034) 3222-4222</t>
  </si>
  <si>
    <t>LAMONIER DIST DE MATERIAL DE CONSTRUCAO</t>
  </si>
  <si>
    <t>38410239</t>
  </si>
  <si>
    <t>0030063490021</t>
  </si>
  <si>
    <t>RUA DOLORITA ELIAS DO NASCIMENTO</t>
  </si>
  <si>
    <t>784</t>
  </si>
  <si>
    <t>FAZENDA RR</t>
  </si>
  <si>
    <t>OCTAVIO AUGUSTO NOGUEIRA RIBEIRO</t>
  </si>
  <si>
    <t>0030259090000</t>
  </si>
  <si>
    <t>(035) 99194-5189</t>
  </si>
  <si>
    <t>ALFAMAQ</t>
  </si>
  <si>
    <t>38400452</t>
  </si>
  <si>
    <t>ALFAMAQ COM E SERVICOS LTDA</t>
  </si>
  <si>
    <t>0030781910013</t>
  </si>
  <si>
    <t>1706</t>
  </si>
  <si>
    <t>(055) 343231-9927</t>
  </si>
  <si>
    <t>JEFERSON AUGUSTO BORGES</t>
  </si>
  <si>
    <t>0030821370081</t>
  </si>
  <si>
    <t>RUA PROFESSORA MARIANA GONZAGA</t>
  </si>
  <si>
    <t>868</t>
  </si>
  <si>
    <t>(037) 99938-2533</t>
  </si>
  <si>
    <t>REHAGRO PESQUISA</t>
  </si>
  <si>
    <t>36370000</t>
  </si>
  <si>
    <t>ESTACAO EXPER REHAGRO PESQUISA LTDA</t>
  </si>
  <si>
    <t>0030980340098</t>
  </si>
  <si>
    <t>NAZARENO</t>
  </si>
  <si>
    <t>BR 265 KM 292</t>
  </si>
  <si>
    <t>(055) 313048-7222</t>
  </si>
  <si>
    <t>FAZENDA SALTO DE MINAS</t>
  </si>
  <si>
    <t>SILVIO ANTONIO CORDEIRO FARINELLI</t>
  </si>
  <si>
    <t>0031096690829</t>
  </si>
  <si>
    <t>NAO UTILIZAR - DUPLICIDADE</t>
  </si>
  <si>
    <t>POLO PROJETOS E CONSTRUCOES LTDA</t>
  </si>
  <si>
    <t>0031108460003</t>
  </si>
  <si>
    <t>915</t>
  </si>
  <si>
    <t>(034) 3212-1477</t>
  </si>
  <si>
    <t>POLO PROJETOS</t>
  </si>
  <si>
    <t>(055) 343212-1477</t>
  </si>
  <si>
    <t>ALTA PRESSÃO ENGENHARIA LTDA - ME</t>
  </si>
  <si>
    <t>0031138750069</t>
  </si>
  <si>
    <t>TOP FERTILIZANTES</t>
  </si>
  <si>
    <t>38020970</t>
  </si>
  <si>
    <t>TOP FERTILIZANTES LTDA</t>
  </si>
  <si>
    <t>0031265410097</t>
  </si>
  <si>
    <t>BR 050, KM 126</t>
  </si>
  <si>
    <t>(055) 343230-3300</t>
  </si>
  <si>
    <t>TENDMIX IMPORTAÇÃO E COMERCIO ONLINE LTD</t>
  </si>
  <si>
    <t>38408168</t>
  </si>
  <si>
    <t>0031327860023</t>
  </si>
  <si>
    <t>BELARMINO COTTA PACHECO</t>
  </si>
  <si>
    <t>1000</t>
  </si>
  <si>
    <t>ALLIANZ FERTILIZANTES</t>
  </si>
  <si>
    <t>38099899</t>
  </si>
  <si>
    <t>ALLIANZ FERTILIZANTES LTDA</t>
  </si>
  <si>
    <t>0031415380066</t>
  </si>
  <si>
    <t>AREA RURAL DE UBERABA</t>
  </si>
  <si>
    <t>(055) 343336-5036</t>
  </si>
  <si>
    <t>REALIZE COMERCIO DE MATERIAIS DE CONSTRU</t>
  </si>
  <si>
    <t>0031506080138</t>
  </si>
  <si>
    <t>3142</t>
  </si>
  <si>
    <t>(034) 3213-7000</t>
  </si>
  <si>
    <t>BRASILIA EXPRESS ENC. E CARGAS LTDA</t>
  </si>
  <si>
    <t>38410260</t>
  </si>
  <si>
    <t>BRASILIA EXPRESS - UBERLANDIA</t>
  </si>
  <si>
    <t>0031868400026</t>
  </si>
  <si>
    <t>MADAGASCAR</t>
  </si>
  <si>
    <t>283</t>
  </si>
  <si>
    <t>TRANSPORTADORA JOELMA - UBERABA</t>
  </si>
  <si>
    <t>38041006</t>
  </si>
  <si>
    <t>TRANSPORTADORA JOELMA MOREIRA LTDA</t>
  </si>
  <si>
    <t>0031907860010</t>
  </si>
  <si>
    <t>ADAIL GOMES FERREIRA</t>
  </si>
  <si>
    <t>JARDIM MARACANÃ</t>
  </si>
  <si>
    <t>607</t>
  </si>
  <si>
    <t>(055) 163511-2416</t>
  </si>
  <si>
    <t>FERT INSUMOS SCP</t>
  </si>
  <si>
    <t>0031992970009</t>
  </si>
  <si>
    <t>CHARLES BATISTA DA CRUZ 04535613656</t>
  </si>
  <si>
    <t>38402235</t>
  </si>
  <si>
    <t>0032088050094</t>
  </si>
  <si>
    <t>2115</t>
  </si>
  <si>
    <t>(034) 9817-3880</t>
  </si>
  <si>
    <t>RODOFROTA TRANSPORTES ROD E LOG LTDA</t>
  </si>
  <si>
    <t>38446392</t>
  </si>
  <si>
    <t>0032142190057</t>
  </si>
  <si>
    <t>RUA SEIS</t>
  </si>
  <si>
    <t>(034) 3531-1026</t>
  </si>
  <si>
    <t>AUTO ELETRICA SIGA BEM</t>
  </si>
  <si>
    <t>AUTO ELETRICA FW LTDA</t>
  </si>
  <si>
    <t>0032223820018</t>
  </si>
  <si>
    <t>(055) 343213-3438</t>
  </si>
  <si>
    <t>FAZENDA TAMBORIL</t>
  </si>
  <si>
    <t>LUCIO JOSE DE FIGUEIREDO</t>
  </si>
  <si>
    <t>0032276230037</t>
  </si>
  <si>
    <t>RODOVIA BOA ESPERANÇA VIA ILICÍNEA KM 18</t>
  </si>
  <si>
    <t>TRANSPORTES DU AVESSO</t>
  </si>
  <si>
    <t>32433022</t>
  </si>
  <si>
    <t>DU AVESSO TRANSPORTES LTDA</t>
  </si>
  <si>
    <t>0032403550051</t>
  </si>
  <si>
    <t>IBIRITÉ</t>
  </si>
  <si>
    <t>DISTRITO INDUSTRIAL (PARQUE DURVAL DE BARROS)</t>
  </si>
  <si>
    <t>727</t>
  </si>
  <si>
    <t>W K REFRIGERACAO</t>
  </si>
  <si>
    <t>38412863</t>
  </si>
  <si>
    <t>W K REFRIGERACAO LTDA</t>
  </si>
  <si>
    <t>0032445020085</t>
  </si>
  <si>
    <t>ALICE DE OLIVEIRA E SILVA</t>
  </si>
  <si>
    <t>(055) 349653-0537</t>
  </si>
  <si>
    <t>FAZ. SUCURIU</t>
  </si>
  <si>
    <t>35628000</t>
  </si>
  <si>
    <t>SAO MATEUS AGROPECUARIA LTDA.</t>
  </si>
  <si>
    <t>0032619800200</t>
  </si>
  <si>
    <t>MORADA NOVA DE MINAS</t>
  </si>
  <si>
    <t>DIREITA DO CORREGO DA MORADA</t>
  </si>
  <si>
    <t>(055) 313078-7925</t>
  </si>
  <si>
    <t>CEARA ELETRICA DE MOTORES</t>
  </si>
  <si>
    <t>38408240</t>
  </si>
  <si>
    <t>MARIA SANDRA SERAFIM MACEDO 02391879385</t>
  </si>
  <si>
    <t>0032619850037</t>
  </si>
  <si>
    <t>JOAO CATANDUVA</t>
  </si>
  <si>
    <t>337</t>
  </si>
  <si>
    <t>38616192</t>
  </si>
  <si>
    <t>0032740520077</t>
  </si>
  <si>
    <t>RUA ARLINDO GOMES BRANQUINHO</t>
  </si>
  <si>
    <t>VILA DO SOL</t>
  </si>
  <si>
    <t>ANDERSON F SOUSA</t>
  </si>
  <si>
    <t>38408378</t>
  </si>
  <si>
    <t>0032850530026</t>
  </si>
  <si>
    <t>MACHADO DE ASSIS</t>
  </si>
  <si>
    <t>2052</t>
  </si>
  <si>
    <t>(034) 3238-8348</t>
  </si>
  <si>
    <t>REGINALDO SEBASTIAO BERNARDINE E OUTRO(S</t>
  </si>
  <si>
    <t>38415899</t>
  </si>
  <si>
    <t>REGINALDO SEBASTIAO BERNARDINE e outro(S</t>
  </si>
  <si>
    <t>0032911050100</t>
  </si>
  <si>
    <t>AREA RURAL DE UBERLANDIA</t>
  </si>
  <si>
    <t>DIVINO GONCALVES DE RESENDE</t>
  </si>
  <si>
    <t>0032927020051</t>
  </si>
  <si>
    <t>FAZENDA FRADIQUES</t>
  </si>
  <si>
    <t>ROBERTO SARDELA FILHO</t>
  </si>
  <si>
    <t>Usar a da TOP</t>
  </si>
  <si>
    <t>38440128</t>
  </si>
  <si>
    <t>0033143860014</t>
  </si>
  <si>
    <t>ZMATHEUS-B</t>
  </si>
  <si>
    <t>MARCIANO SANTOS</t>
  </si>
  <si>
    <t>(034) 99123-8770</t>
  </si>
  <si>
    <t>FAZENDA VARJÃO</t>
  </si>
  <si>
    <t>38460000</t>
  </si>
  <si>
    <t>CASCALHO RICO</t>
  </si>
  <si>
    <t>CASCALHO RICO/ SANTA LUZIA KM 01</t>
  </si>
  <si>
    <t>37910000</t>
  </si>
  <si>
    <t>WILTON APARECIDO GOBBO</t>
  </si>
  <si>
    <t>0033162570107</t>
  </si>
  <si>
    <t>DELFINOPLIS</t>
  </si>
  <si>
    <t>SANTA CRUZ</t>
  </si>
  <si>
    <t>FERTAP - PATOS DE MINAS</t>
  </si>
  <si>
    <t>38706289</t>
  </si>
  <si>
    <t>FERTILIZANTES ALTO PARANAIBA LTDA</t>
  </si>
  <si>
    <t>0033178800000</t>
  </si>
  <si>
    <t>NAUR ISAC DA SILVA</t>
  </si>
  <si>
    <t>CAMPOS ELISEOS</t>
  </si>
  <si>
    <t>(034) 99174-0239</t>
  </si>
  <si>
    <t>CNCALDEIRARIA</t>
  </si>
  <si>
    <t>38413216</t>
  </si>
  <si>
    <t>CARDOSO &amp; NUNES CALDEIRARIA LTDA</t>
  </si>
  <si>
    <t>0033295520011</t>
  </si>
  <si>
    <t>JORGE CAUHY</t>
  </si>
  <si>
    <t>719</t>
  </si>
  <si>
    <t>GILMAR DOS SANTOS</t>
  </si>
  <si>
    <t>00334/00560081</t>
  </si>
  <si>
    <t>ARKO FERTILIZANTES - SACRAMENTO</t>
  </si>
  <si>
    <t>38190000</t>
  </si>
  <si>
    <t>ARKO IND E COM DE MINERACAO E FERT LTDA</t>
  </si>
  <si>
    <t>0034090970008</t>
  </si>
  <si>
    <t>A prazo - 05 dias</t>
  </si>
  <si>
    <t>SACRAMENTO</t>
  </si>
  <si>
    <t>MG 190,KM 4,5.</t>
  </si>
  <si>
    <t>(034) 3489-1873</t>
  </si>
  <si>
    <t>MARCO ANTONIO VIEIRA E SILVA E OUTRO(S)</t>
  </si>
  <si>
    <t>MARCO ANTONIO VIEIRA E SILVA e outro(s)</t>
  </si>
  <si>
    <t>0034104240036</t>
  </si>
  <si>
    <t>LAGOA GRANDE SENTIDO LUGAR TAPERA</t>
  </si>
  <si>
    <t>THAYNARA MACHADO FARIA</t>
  </si>
  <si>
    <t>38412044</t>
  </si>
  <si>
    <t>0034528280043</t>
  </si>
  <si>
    <t>OSCAR GOMES MOREIRA JÚNIOR</t>
  </si>
  <si>
    <t>38040460</t>
  </si>
  <si>
    <t>INATIVO - CIBRA UBERABA ANTIGO</t>
  </si>
  <si>
    <t>AGRO INDUSTRIAL SAO LUIZ LTDA</t>
  </si>
  <si>
    <t>0034558900015</t>
  </si>
  <si>
    <t>RECREIO BANDEIRANTES</t>
  </si>
  <si>
    <t>21930</t>
  </si>
  <si>
    <t>0034558900198</t>
  </si>
  <si>
    <t>(071) 2202-4295</t>
  </si>
  <si>
    <t>ARTCUP COLORS</t>
  </si>
  <si>
    <t>38413018</t>
  </si>
  <si>
    <t>ARTCUP COLORS COMERCIO DE COPOS LTDA</t>
  </si>
  <si>
    <t>003470481.00-03</t>
  </si>
  <si>
    <t>ASPIRANTE MEGA</t>
  </si>
  <si>
    <t>1268</t>
  </si>
  <si>
    <t>(055) 349147-0020</t>
  </si>
  <si>
    <t>FRANCIS ANTONIS CORREA</t>
  </si>
  <si>
    <t>0034740300010</t>
  </si>
  <si>
    <t>FAZ RETIRO DA ROCA LUGAR CORREGO VACA</t>
  </si>
  <si>
    <t>0034740840081</t>
  </si>
  <si>
    <t>(055) 343229-5787</t>
  </si>
  <si>
    <t>CAPITAL LOG - PEDRA DOURADA</t>
  </si>
  <si>
    <t>36847000</t>
  </si>
  <si>
    <t>CAPITAL LOG LTDA</t>
  </si>
  <si>
    <t>0034943770029</t>
  </si>
  <si>
    <t>PEDRA DOURADA</t>
  </si>
  <si>
    <t>(055) 116182-3979</t>
  </si>
  <si>
    <t>DGT SISTEMAS DE ENERGIA E SERV EIRELI-ME</t>
  </si>
  <si>
    <t>0034954910005</t>
  </si>
  <si>
    <t>PLANETA DOS FILTROS LTDA</t>
  </si>
  <si>
    <t>0035046380056</t>
  </si>
  <si>
    <t>AVENIDA CESARIO ALVIM</t>
  </si>
  <si>
    <t>(034) 9999-7219</t>
  </si>
  <si>
    <t>WELSON FERREIRA LEMES</t>
  </si>
  <si>
    <t>003506722.02-10</t>
  </si>
  <si>
    <t>FAZENDA ATAQUE LUGAR COQUEIROS</t>
  </si>
  <si>
    <t>NEGOCIO DAKI MOVEIS ESCRITORIO EIRELI</t>
  </si>
  <si>
    <t>38408584</t>
  </si>
  <si>
    <t>0035571820004</t>
  </si>
  <si>
    <t>TEOTONIO ROCHA FIGUEIRA</t>
  </si>
  <si>
    <t>(034) 3226-6626</t>
  </si>
  <si>
    <t>NEW AGRO - MÚTUO</t>
  </si>
  <si>
    <t>AGRICAL FERTILIZANTES - ARCOS</t>
  </si>
  <si>
    <t>AGRICAL INDUSTRIA E COMERCIO LTDA</t>
  </si>
  <si>
    <t>0035722340006</t>
  </si>
  <si>
    <t>ROD BR 354</t>
  </si>
  <si>
    <t>(055) 373405-0416</t>
  </si>
  <si>
    <t>DIGITAL CRIATIVA</t>
  </si>
  <si>
    <t>38400694</t>
  </si>
  <si>
    <t>MENDES &amp; CARNEIRO LTDA</t>
  </si>
  <si>
    <t>003578515.00-69</t>
  </si>
  <si>
    <t>2832</t>
  </si>
  <si>
    <t>(055) 349861-2506</t>
  </si>
  <si>
    <t>TRANSERTAO SULNOROESTE TRANSPORTES E LOG</t>
  </si>
  <si>
    <t>38041081</t>
  </si>
  <si>
    <t>TRANSERTAO SULNOROESTE TRANSP E LOG LTDA</t>
  </si>
  <si>
    <t>0036041990078</t>
  </si>
  <si>
    <t>GALDINO SOARES PINHEIRO</t>
  </si>
  <si>
    <t>(055) 183321-5758</t>
  </si>
  <si>
    <t>CASA DO SALGADO</t>
  </si>
  <si>
    <t>38401000</t>
  </si>
  <si>
    <t>MOURA &amp; SOUSA CIA LTDA</t>
  </si>
  <si>
    <t>0036244810058</t>
  </si>
  <si>
    <t>JOÃO JORGE COURY</t>
  </si>
  <si>
    <t>(055) 343212-6648</t>
  </si>
  <si>
    <t>ELETROFAZ - PEDRO LUCIANO FERNANDES FORN</t>
  </si>
  <si>
    <t>38410130</t>
  </si>
  <si>
    <t>PEDRO LUCIANO FERNANDES FORNAZIER</t>
  </si>
  <si>
    <t>0036257670063</t>
  </si>
  <si>
    <t>ABADIO BONIFACIO DA SILVA</t>
  </si>
  <si>
    <t>971</t>
  </si>
  <si>
    <t>(055) 349930-3874</t>
  </si>
  <si>
    <t>REI DAS FRUTAS</t>
  </si>
  <si>
    <t>0036379010076</t>
  </si>
  <si>
    <t>BR-050 - SENTIDO UBERABA</t>
  </si>
  <si>
    <t>90042</t>
  </si>
  <si>
    <t>(055) 343212-8044</t>
  </si>
  <si>
    <t>AUTO ELETRICA E MECANICA AF EIRELI</t>
  </si>
  <si>
    <t>0036461500006</t>
  </si>
  <si>
    <t>851</t>
  </si>
  <si>
    <t>(034) 3217-8645</t>
  </si>
  <si>
    <t>VAGNER VALIM SCALON</t>
  </si>
  <si>
    <t>0036580520116</t>
  </si>
  <si>
    <t>SAUDADE</t>
  </si>
  <si>
    <t>(034) 3318-7591</t>
  </si>
  <si>
    <t>TRES ARCOS PARTICIPACOES E EMPREENDIMENT</t>
  </si>
  <si>
    <t>38401970</t>
  </si>
  <si>
    <t>0036610990093</t>
  </si>
  <si>
    <t>JOAO LUIS NETO</t>
  </si>
  <si>
    <t>0036768750054</t>
  </si>
  <si>
    <t>FAZENDA SERRA DAS PIMENTAS</t>
  </si>
  <si>
    <t>(034) 99961-6502</t>
  </si>
  <si>
    <t>GLINFERTIL FERTILIZANTES LTDA</t>
  </si>
  <si>
    <t>38660000</t>
  </si>
  <si>
    <t>0036884900091</t>
  </si>
  <si>
    <t>BURITIS</t>
  </si>
  <si>
    <t>318</t>
  </si>
  <si>
    <t>(047) 3449-1958</t>
  </si>
  <si>
    <t>GILMAR DE MATOS DA SILVA</t>
  </si>
  <si>
    <t>38610970</t>
  </si>
  <si>
    <t>FAZENDA VARGEM BONITA DE CIMA</t>
  </si>
  <si>
    <t>0037253470060</t>
  </si>
  <si>
    <t>VARGEM BONITA DE CIMA</t>
  </si>
  <si>
    <t>FAZENDA PADRE VITOR</t>
  </si>
  <si>
    <t>JOSE VITOR PERES</t>
  </si>
  <si>
    <t>0037358770005</t>
  </si>
  <si>
    <t>PADRE VITOR</t>
  </si>
  <si>
    <t>38740970</t>
  </si>
  <si>
    <t>AUGUSTO BRUNO XAVIER</t>
  </si>
  <si>
    <t>003753460.00-22</t>
  </si>
  <si>
    <t>FAZENDA CÓRREGO FEIO</t>
  </si>
  <si>
    <t>(034) 99944-7020</t>
  </si>
  <si>
    <t>GREEN TEC SEEDS COMERCIO DE SEMENTES LTD</t>
  </si>
  <si>
    <t>0037548920059</t>
  </si>
  <si>
    <t>JUSCELINO KUBISCHECK</t>
  </si>
  <si>
    <t>407</t>
  </si>
  <si>
    <t>VALDENIR ANTUNES</t>
  </si>
  <si>
    <t>0037704820052</t>
  </si>
  <si>
    <t>(034) 99906-1850</t>
  </si>
  <si>
    <t>PADARIA E LANCHONETE DEGUSTA</t>
  </si>
  <si>
    <t>37140000</t>
  </si>
  <si>
    <t>PADARIA E LANCHONETE DEGUSTA LTDA</t>
  </si>
  <si>
    <t>0037800490009</t>
  </si>
  <si>
    <t>AREADO</t>
  </si>
  <si>
    <t>CORONEL JORGE VIEIRA</t>
  </si>
  <si>
    <t>397</t>
  </si>
  <si>
    <t>(055) 359846-6803</t>
  </si>
  <si>
    <t>38620562</t>
  </si>
  <si>
    <t>CAMARGOS CHEVALIER TRADING IMPORTACAO E</t>
  </si>
  <si>
    <t>0037818210016</t>
  </si>
  <si>
    <t>MARIA REZENDE SANTANA</t>
  </si>
  <si>
    <t>TERRA NOVA</t>
  </si>
  <si>
    <t>1651</t>
  </si>
  <si>
    <t>(038) 99814-0023</t>
  </si>
  <si>
    <t>GREEN PLUS LA</t>
  </si>
  <si>
    <t>38402332</t>
  </si>
  <si>
    <t>GREEN PLUS LA MANUFATURA IMP E EXP LTDA</t>
  </si>
  <si>
    <t>0037823070006</t>
  </si>
  <si>
    <t>(055) 343235-4829</t>
  </si>
  <si>
    <t>37138899</t>
  </si>
  <si>
    <t>PREMIUM FERTILIZANTES LTDA</t>
  </si>
  <si>
    <t>0037916510006</t>
  </si>
  <si>
    <t>AREA RURAL DE ALFENAS</t>
  </si>
  <si>
    <t>(055) 353292-4892</t>
  </si>
  <si>
    <t>PLANTA RICA FERTILIZANTES</t>
  </si>
  <si>
    <t>38616000</t>
  </si>
  <si>
    <t>RAUEN E OLIVEIRA FERTILIZANTES LTDA</t>
  </si>
  <si>
    <t>0038078530048</t>
  </si>
  <si>
    <t>ALBA GONZAGA</t>
  </si>
  <si>
    <t>BARROCA</t>
  </si>
  <si>
    <t>355</t>
  </si>
  <si>
    <t>(038) 3676-9793</t>
  </si>
  <si>
    <t>AUTOSEG MULTIMARCAS</t>
  </si>
  <si>
    <t>38020580</t>
  </si>
  <si>
    <t>AUTOSEG CENTRO AUTOMOTIVO LTDA</t>
  </si>
  <si>
    <t>0038081390073</t>
  </si>
  <si>
    <t>DONATO CICCI</t>
  </si>
  <si>
    <t>(055) 343321-6000</t>
  </si>
  <si>
    <t>KUTY EXTINTORES</t>
  </si>
  <si>
    <t>JOAO CARLOS DE MOURA 90324757620</t>
  </si>
  <si>
    <t>0038098860027</t>
  </si>
  <si>
    <t>CENTO E DEZESSETE</t>
  </si>
  <si>
    <t>208</t>
  </si>
  <si>
    <t>FERNANDO FERREIRA DO NASCIMENTO</t>
  </si>
  <si>
    <t>0038124620075</t>
  </si>
  <si>
    <t>PITAS BANANAL BOLIVIA</t>
  </si>
  <si>
    <t>FORTGREEN VARGINHA</t>
  </si>
  <si>
    <t>37031075</t>
  </si>
  <si>
    <t>FORTGREEN COMERCIAL AGRICOLA LTDA</t>
  </si>
  <si>
    <t>003829040.00-20</t>
  </si>
  <si>
    <t>JOSE RIBEIRO TRISTAO</t>
  </si>
  <si>
    <t>1770</t>
  </si>
  <si>
    <t>(055) 443027-2300</t>
  </si>
  <si>
    <t>RADIOPLAN SOLUCOES EM TECNOLOGIAS EIRELI</t>
  </si>
  <si>
    <t>38400328</t>
  </si>
  <si>
    <t>0038305370046</t>
  </si>
  <si>
    <t>MARCOS DE FREITAS COSTA</t>
  </si>
  <si>
    <t>965</t>
  </si>
  <si>
    <t>35550000</t>
  </si>
  <si>
    <t>0038572580050</t>
  </si>
  <si>
    <t>ITAPECERICA</t>
  </si>
  <si>
    <t>LAVAPES</t>
  </si>
  <si>
    <t>ZONA RURAL/MARILANDIA</t>
  </si>
  <si>
    <t>(055) 373281-2144</t>
  </si>
  <si>
    <t>MALAVAZI SELOS MECANICOS SERVICE LTDA</t>
  </si>
  <si>
    <t>0038676220000</t>
  </si>
  <si>
    <t>5829</t>
  </si>
  <si>
    <t>ASL LOGISTICA - CNPJ 39439480000127</t>
  </si>
  <si>
    <t>38409138</t>
  </si>
  <si>
    <t>ASL LOGISTICA LTDA</t>
  </si>
  <si>
    <t>0038688900027</t>
  </si>
  <si>
    <t>MARIO QUINTANA</t>
  </si>
  <si>
    <t>(055) 343214-2200</t>
  </si>
  <si>
    <t>THIAGO - TOP AGRO</t>
  </si>
  <si>
    <t>THIAGO DE SOUSA GONCALVES e outro(s)</t>
  </si>
  <si>
    <t>0038784650192</t>
  </si>
  <si>
    <t>(034) 99975-3884</t>
  </si>
  <si>
    <t>38408108</t>
  </si>
  <si>
    <t>DANIEL MENDONÇA RODRIGUES</t>
  </si>
  <si>
    <t>0038792410057</t>
  </si>
  <si>
    <t>TOMAZ FALBO</t>
  </si>
  <si>
    <t>(034) 99645-5358</t>
  </si>
  <si>
    <t>PRIME USINAGEM E MANUTENCAO INDUSTRIAL</t>
  </si>
  <si>
    <t>38402310</t>
  </si>
  <si>
    <t>PRIME USINAGEM E MANUTENCAO</t>
  </si>
  <si>
    <t>0038858790049</t>
  </si>
  <si>
    <t>FREI CANECA</t>
  </si>
  <si>
    <t>685</t>
  </si>
  <si>
    <t>ATIVA LOCAÇÃO</t>
  </si>
  <si>
    <t>38402100</t>
  </si>
  <si>
    <t>ATIVA LOCACAO LTDA</t>
  </si>
  <si>
    <t>0038933000011</t>
  </si>
  <si>
    <t>1500</t>
  </si>
  <si>
    <t>(055) 343226-2223</t>
  </si>
  <si>
    <t>VITA NUTRITION</t>
  </si>
  <si>
    <t>36416216</t>
  </si>
  <si>
    <t>ADENIR FABIANO MAIA</t>
  </si>
  <si>
    <t>0039275970025</t>
  </si>
  <si>
    <t>CONGONHAS</t>
  </si>
  <si>
    <t>FREI GALVAO</t>
  </si>
  <si>
    <t>147</t>
  </si>
  <si>
    <t>SOWE PAPER</t>
  </si>
  <si>
    <t>38400656</t>
  </si>
  <si>
    <t>40.428.475 JOSIANE ESTEVES DE ASSIS</t>
  </si>
  <si>
    <t>0039427790075</t>
  </si>
  <si>
    <t>1204</t>
  </si>
  <si>
    <t>(055) 349770-8770</t>
  </si>
  <si>
    <t>MULTI-AR MULTI EPI</t>
  </si>
  <si>
    <t>MULTI-AR MULTI EPI COM E SOLUCAO LTDA</t>
  </si>
  <si>
    <t>0039477280097</t>
  </si>
  <si>
    <t>OZANAN</t>
  </si>
  <si>
    <t>(055) 343213-6937</t>
  </si>
  <si>
    <t>RIGONATO MOTORS</t>
  </si>
  <si>
    <t>38400714</t>
  </si>
  <si>
    <t>RIGONATO MOTORS LTDA</t>
  </si>
  <si>
    <t>0039581560092</t>
  </si>
  <si>
    <t>2820</t>
  </si>
  <si>
    <t>(055) 343222-9232</t>
  </si>
  <si>
    <t>MONTAGENS MERCER</t>
  </si>
  <si>
    <t>38409057</t>
  </si>
  <si>
    <t>EMERSON MERCER</t>
  </si>
  <si>
    <t>0039733690090</t>
  </si>
  <si>
    <t>AV UBIRAJARA ZACHARIAS</t>
  </si>
  <si>
    <t>BEM VIVER (LOTEAMENTO CONVENCIONAL)</t>
  </si>
  <si>
    <t>FE FABRICACAO E MONTAGENS INDUSTRIAL</t>
  </si>
  <si>
    <t>38414307</t>
  </si>
  <si>
    <t>FE FABRICACAO E MONTAGENS INDUSTRIAIS LT</t>
  </si>
  <si>
    <t>0039915520085</t>
  </si>
  <si>
    <t>ANTONIO VICENTINI</t>
  </si>
  <si>
    <t>(055) 349990-2198</t>
  </si>
  <si>
    <t>CIMOAGRO</t>
  </si>
  <si>
    <t>38401117</t>
  </si>
  <si>
    <t>CIMOAGRO-COMERCIO E REPRESENTACAO AGROPE</t>
  </si>
  <si>
    <t>004.275.845-0020</t>
  </si>
  <si>
    <t>2003</t>
  </si>
  <si>
    <t>(055) 343219-8319</t>
  </si>
  <si>
    <t>BRUNO INACIO GALVAO</t>
  </si>
  <si>
    <t>0040022620001</t>
  </si>
  <si>
    <t>RUA JOAQUIM ROCHA FILGUEIRAS</t>
  </si>
  <si>
    <t>38525000</t>
  </si>
  <si>
    <t>D3 FERTILIZANTES COMERCIO EXPORTACAO E I</t>
  </si>
  <si>
    <t>0040144710030</t>
  </si>
  <si>
    <t>ESTRELA DO SUL</t>
  </si>
  <si>
    <t>RODOVIA MG 223</t>
  </si>
  <si>
    <t>(055) 348871-1127</t>
  </si>
  <si>
    <t>38414321</t>
  </si>
  <si>
    <t>MINAS FARM AGRONEGOCIOS LTDA.</t>
  </si>
  <si>
    <t>0040403780080</t>
  </si>
  <si>
    <t>LUCIANO FONSECA</t>
  </si>
  <si>
    <t>657</t>
  </si>
  <si>
    <t>TRANSOUZA TRANSPORTADORA SOUZA LTDA</t>
  </si>
  <si>
    <t>38280000</t>
  </si>
  <si>
    <t>0040526580089</t>
  </si>
  <si>
    <t>ITURAMA</t>
  </si>
  <si>
    <t>R C</t>
  </si>
  <si>
    <t>CONJUNTO HABITACIONALTIRADENTES</t>
  </si>
  <si>
    <t>MINAS SOLUÇÕES INDUSTRIAIS LTDA</t>
  </si>
  <si>
    <t>0040643340025</t>
  </si>
  <si>
    <t>RUA COMENDADOR FRANSCISCO ALVES QUINTA</t>
  </si>
  <si>
    <t>HELIO FERRAZ DE OLIVEIRA E OUTRO(S)</t>
  </si>
  <si>
    <t>FAZENDA SANTA HELENA</t>
  </si>
  <si>
    <t>0040796050082</t>
  </si>
  <si>
    <t>BR 497 KM 82 A DIREITA</t>
  </si>
  <si>
    <t>(016) 3761-5066</t>
  </si>
  <si>
    <t>TFER ARMAZENAGEM E LOGISTICA - UBERABA</t>
  </si>
  <si>
    <t>TFER ARMAZENAGEM E LOGISTICA S.A.</t>
  </si>
  <si>
    <t>004084046.00-82</t>
  </si>
  <si>
    <t>22500</t>
  </si>
  <si>
    <t>(055) 3499820-1956</t>
  </si>
  <si>
    <t>DENIS GONCALVES AVILA</t>
  </si>
  <si>
    <t>38770000</t>
  </si>
  <si>
    <t>0040890920079</t>
  </si>
  <si>
    <t>JOAO PINHEIRO</t>
  </si>
  <si>
    <t>FAZENDA SANTA FE E FAZENDA SAO JOSE</t>
  </si>
  <si>
    <t>38709899</t>
  </si>
  <si>
    <t>TERA FERTILIZANTES LTDA</t>
  </si>
  <si>
    <t>0040941050009</t>
  </si>
  <si>
    <t>(055) 343825-0066</t>
  </si>
  <si>
    <t>SMI MONTAGEM INDUSTRIAL</t>
  </si>
  <si>
    <t>38402268</t>
  </si>
  <si>
    <t>SMI MONTAGEM INDUSTRIAL LTDA</t>
  </si>
  <si>
    <t>0040983760039</t>
  </si>
  <si>
    <t>REBELIAO PRAIEIRA</t>
  </si>
  <si>
    <t>(055) 349656-0479</t>
  </si>
  <si>
    <t>ELETROSERVICE</t>
  </si>
  <si>
    <t>38401018</t>
  </si>
  <si>
    <t>ELETROSERVICE ELET AUT INDU LTDA</t>
  </si>
  <si>
    <t>0040999450042</t>
  </si>
  <si>
    <t>RODRIGO PEREIRA JUNIOR</t>
  </si>
  <si>
    <t>SÍTIO PAU DA BANDEIRA</t>
  </si>
  <si>
    <t>MARCELO ANTONIO DA COSTA SILVA</t>
  </si>
  <si>
    <t>0041009810065</t>
  </si>
  <si>
    <t>(035) 9929-2744</t>
  </si>
  <si>
    <t>SALITRE FERTILIZANTES LTDA.</t>
  </si>
  <si>
    <t>0041165370085</t>
  </si>
  <si>
    <t>FAZENDA SALITRE</t>
  </si>
  <si>
    <t>MARRUA</t>
  </si>
  <si>
    <t>(055) 113096-2551</t>
  </si>
  <si>
    <t>ERIC JAN ROORDA</t>
  </si>
  <si>
    <t>0041300530081</t>
  </si>
  <si>
    <t>LMG. 880. KM 21</t>
  </si>
  <si>
    <t>880</t>
  </si>
  <si>
    <t>SITIO CANTAGALO</t>
  </si>
  <si>
    <t>BRUNO DA SILVA IRINEU</t>
  </si>
  <si>
    <t>0041318570190</t>
  </si>
  <si>
    <t>TORNEADORA RECUPERE</t>
  </si>
  <si>
    <t>38402282</t>
  </si>
  <si>
    <t>TORNEADORA &amp; SERVICOS RECUPERE LTDA.</t>
  </si>
  <si>
    <t>0041334910073</t>
  </si>
  <si>
    <t>474</t>
  </si>
  <si>
    <t>(055) 343217-8824</t>
  </si>
  <si>
    <t>RAPHAEL ALMANSA MALAGOLI 06267252671</t>
  </si>
  <si>
    <t>0041391710096</t>
  </si>
  <si>
    <t>4903</t>
  </si>
  <si>
    <t>FAZENDA SAPÉ</t>
  </si>
  <si>
    <t>LUIZ CARLOS DE SOUZA e outro(s)</t>
  </si>
  <si>
    <t>0042063330034</t>
  </si>
  <si>
    <t>N</t>
  </si>
  <si>
    <t>MAIKON JOSE FARIA GUIMARAES</t>
  </si>
  <si>
    <t>0042241120090</t>
  </si>
  <si>
    <t>CATULES BAIXADA DA SANTA CRUZ</t>
  </si>
  <si>
    <t>(034) 99985-9427</t>
  </si>
  <si>
    <t>BOBB QUADROS</t>
  </si>
  <si>
    <t>YNGRID SILVEIRA SOUZA LTDA</t>
  </si>
  <si>
    <t>0042795270021</t>
  </si>
  <si>
    <t>FELISBERTO CARRIJO</t>
  </si>
  <si>
    <t>611</t>
  </si>
  <si>
    <t>(034) 2512-5608</t>
  </si>
  <si>
    <t>DELTATEC SERVIÇOS INDUSTRIAIS E COMÉRCIO</t>
  </si>
  <si>
    <t>38405080</t>
  </si>
  <si>
    <t>0042902540086</t>
  </si>
  <si>
    <t>LONDRES</t>
  </si>
  <si>
    <t>0043026120030</t>
  </si>
  <si>
    <t>BR 497</t>
  </si>
  <si>
    <t>(055) 343226-0066</t>
  </si>
  <si>
    <t>FAZENDA NOSSA SENHORA APARECIDA</t>
  </si>
  <si>
    <t>39460000</t>
  </si>
  <si>
    <t>IVAN SANTOS DA SILVA</t>
  </si>
  <si>
    <t>0043076600079</t>
  </si>
  <si>
    <t>NOSSA SENHORA APARECIDA MT 140 KM 32</t>
  </si>
  <si>
    <t>CARDAG INDUSTRIAL</t>
  </si>
  <si>
    <t>38400474</t>
  </si>
  <si>
    <t>AGRIPINO PROJECT LTDA</t>
  </si>
  <si>
    <t>0043245840080</t>
  </si>
  <si>
    <t>INDIANÓPOLIS</t>
  </si>
  <si>
    <t>1289</t>
  </si>
  <si>
    <t>(055) 349940-5117</t>
  </si>
  <si>
    <t>FLAVIANE EDITE FIDELIS REIS</t>
  </si>
  <si>
    <t>FLAVIANE EDITE FIDELIS REIS 09540618614</t>
  </si>
  <si>
    <t>0043394670097</t>
  </si>
  <si>
    <t>(035) 3858-1300</t>
  </si>
  <si>
    <t>ELENISIO MACHADO</t>
  </si>
  <si>
    <t>38744884</t>
  </si>
  <si>
    <t>ELENISIO MACHADO FILHO 02590022670</t>
  </si>
  <si>
    <t>0043443730027</t>
  </si>
  <si>
    <t>JOAO BATISTA DA MOTA</t>
  </si>
  <si>
    <t>(055) 349955-8901</t>
  </si>
  <si>
    <t>TORNEADORA CAMPOS</t>
  </si>
  <si>
    <t>38401338</t>
  </si>
  <si>
    <t>TORNEADORA CAMPOS E USINAGEM LTDA</t>
  </si>
  <si>
    <t>0043483440097</t>
  </si>
  <si>
    <t>AVELINO JOSE SOUZA</t>
  </si>
  <si>
    <t>126</t>
  </si>
  <si>
    <t>(055) 349156-4314</t>
  </si>
  <si>
    <t>MAYARA GRAZIELLE DA SILVA SANTOS BORGES</t>
  </si>
  <si>
    <t>38408694</t>
  </si>
  <si>
    <t>0043557090035</t>
  </si>
  <si>
    <t>REGINA MORAES</t>
  </si>
  <si>
    <t>418</t>
  </si>
  <si>
    <t>(055) 349985-5739</t>
  </si>
  <si>
    <t>FAZENDA AGUA SANTA</t>
  </si>
  <si>
    <t>MARCELO DELLA ROSA</t>
  </si>
  <si>
    <t>0043971800076</t>
  </si>
  <si>
    <t>AGUA SANTA</t>
  </si>
  <si>
    <t>FAZENDA ESMERIL</t>
  </si>
  <si>
    <t>ANA LUCIA ITSUKO TAKAMORI</t>
  </si>
  <si>
    <t>0044065400015</t>
  </si>
  <si>
    <t>ROCHA PALACE HOTEL</t>
  </si>
  <si>
    <t>38900000</t>
  </si>
  <si>
    <t>FIGUEIREDO AGUIAR LTDA</t>
  </si>
  <si>
    <t>0044192830035</t>
  </si>
  <si>
    <t>BAMBUI</t>
  </si>
  <si>
    <t>(055) 373431-1339</t>
  </si>
  <si>
    <t>JANDER CONCEICAO SILVA FILHO 06051635106</t>
  </si>
  <si>
    <t>38440076</t>
  </si>
  <si>
    <t>0044296300032</t>
  </si>
  <si>
    <t>MANOEL BONITO</t>
  </si>
  <si>
    <t>(034) 3234-3246</t>
  </si>
  <si>
    <t>FAZENDA SOSSEGO</t>
  </si>
  <si>
    <t>37490000</t>
  </si>
  <si>
    <t>RODOLFO CESAR RAIMUNDO MOSCHEN</t>
  </si>
  <si>
    <t>0044672630064</t>
  </si>
  <si>
    <t>SAO GONCALO DO SAPUCAI</t>
  </si>
  <si>
    <t>SOSSEGO</t>
  </si>
  <si>
    <t>VL TRANSPORTES</t>
  </si>
  <si>
    <t>38041051</t>
  </si>
  <si>
    <t>VIEIRA LIMA TRANSPORTES LTDA</t>
  </si>
  <si>
    <t>0044780570093</t>
  </si>
  <si>
    <t>RAFAEL ROSANO</t>
  </si>
  <si>
    <t>291</t>
  </si>
  <si>
    <t>(055) 349952-2161</t>
  </si>
  <si>
    <t>MERCER ENGENHARIA</t>
  </si>
  <si>
    <t>38436024</t>
  </si>
  <si>
    <t>MERCER SOLUCOES ENGENHARIA LTDA</t>
  </si>
  <si>
    <t>0044907280092</t>
  </si>
  <si>
    <t>DA ESPERANCA</t>
  </si>
  <si>
    <t>PORTAL DO VALE</t>
  </si>
  <si>
    <t>(055) 349334-2404</t>
  </si>
  <si>
    <t>FAZENDA SAO VICENTE</t>
  </si>
  <si>
    <t>JOCIENE DIAS DO VALE NUNES</t>
  </si>
  <si>
    <t>0044988410102</t>
  </si>
  <si>
    <t>(034) 99126-9254</t>
  </si>
  <si>
    <t>MEGA AUTO ADESIVOS LTDA</t>
  </si>
  <si>
    <t>38706306</t>
  </si>
  <si>
    <t>0045021130005</t>
  </si>
  <si>
    <t>PROFESSORA ELZA BORGES FONSECA</t>
  </si>
  <si>
    <t>192</t>
  </si>
  <si>
    <t>INDORAMA BRASIL LTDA - AFT/SHEL</t>
  </si>
  <si>
    <t>0045453340193</t>
  </si>
  <si>
    <t>INDORAMA BRASIL LTDA - NEW AGRO</t>
  </si>
  <si>
    <t>0045453340274</t>
  </si>
  <si>
    <t>ANTONIO TOMAZ FERREIRA DE REZENDE (TONINHO REZENDE)</t>
  </si>
  <si>
    <t>0045453340355</t>
  </si>
  <si>
    <t>APARECIDA AGRONEGOCIO LTDA</t>
  </si>
  <si>
    <t>0045680830060</t>
  </si>
  <si>
    <t>PADRE JOSE ANTONIO PANUCCI</t>
  </si>
  <si>
    <t>999</t>
  </si>
  <si>
    <t>(035) 99951-5946</t>
  </si>
  <si>
    <t>FAZENDA DAS CACHOEIRAS</t>
  </si>
  <si>
    <t>38440970</t>
  </si>
  <si>
    <t>NATALY COSTA MELO FERREIRA</t>
  </si>
  <si>
    <t>0045712700042</t>
  </si>
  <si>
    <t>(055) 3499708-1336</t>
  </si>
  <si>
    <t>MC SEG MARA LUANA PEREIRA</t>
  </si>
  <si>
    <t>38748688</t>
  </si>
  <si>
    <t>49.980.340 MARA LUANA PEREIRA</t>
  </si>
  <si>
    <t>0045727730066</t>
  </si>
  <si>
    <t>DAS JAQUEIRAS</t>
  </si>
  <si>
    <t>MORADA NOVA</t>
  </si>
  <si>
    <t>587</t>
  </si>
  <si>
    <t>(034) 99815-5979</t>
  </si>
  <si>
    <t>AUTEM DO BRASIL LTDA</t>
  </si>
  <si>
    <t>38408188</t>
  </si>
  <si>
    <t>0045917430063</t>
  </si>
  <si>
    <t>DOUTOR JAIME RIBEIRO DA LUZ</t>
  </si>
  <si>
    <t>(055) 413023-6493</t>
  </si>
  <si>
    <t>USI JET TEC USINAGEM E MANUT IND LTDA.</t>
  </si>
  <si>
    <t>38406580</t>
  </si>
  <si>
    <t>0045971640097</t>
  </si>
  <si>
    <t>ECOLOGICA</t>
  </si>
  <si>
    <t>1220</t>
  </si>
  <si>
    <t>(055) 349868-6292</t>
  </si>
  <si>
    <t>38411217</t>
  </si>
  <si>
    <t>SEU LIXO LTDA</t>
  </si>
  <si>
    <t>0046030750097</t>
  </si>
  <si>
    <t>ESPÍRITO SANTO</t>
  </si>
  <si>
    <t>120</t>
  </si>
  <si>
    <t>(055) 349797-9633</t>
  </si>
  <si>
    <t>UDISOFT PURIFICADORES DE AGUA</t>
  </si>
  <si>
    <t>38412312</t>
  </si>
  <si>
    <t>UDISOFT PURIFICADORES DE AGUA LTDA</t>
  </si>
  <si>
    <t>0046070940067</t>
  </si>
  <si>
    <t>DO ADVOGADO</t>
  </si>
  <si>
    <t>SAO LUCAS (LOTEAMENTO)</t>
  </si>
  <si>
    <t>394</t>
  </si>
  <si>
    <t>(055) 349646-2215</t>
  </si>
  <si>
    <t>GOLDEN TOWER EXPRESS NACOES UNIDAS</t>
  </si>
  <si>
    <t>MRM - EMPREENDIMENTOS HOTELEIROS LTDA</t>
  </si>
  <si>
    <t>0046319520051</t>
  </si>
  <si>
    <t>CAZECA</t>
  </si>
  <si>
    <t>820</t>
  </si>
  <si>
    <t>FERRO ARTE SERRALHERIA</t>
  </si>
  <si>
    <t>38413649</t>
  </si>
  <si>
    <t>FERRO ARTE SERRALHERIA LTDA</t>
  </si>
  <si>
    <t>0046571090015</t>
  </si>
  <si>
    <t>DA FLOR DE CERA</t>
  </si>
  <si>
    <t>(055) 343212-5774</t>
  </si>
  <si>
    <t>AUTOSEG SERVICOS</t>
  </si>
  <si>
    <t>38020590</t>
  </si>
  <si>
    <t>AUTOSEG SERVICOS LTDA</t>
  </si>
  <si>
    <t>0046722280004</t>
  </si>
  <si>
    <t>ESPIR NICOLAU BICHUETTI</t>
  </si>
  <si>
    <t>(055) 343315-1200</t>
  </si>
  <si>
    <t>38738000</t>
  </si>
  <si>
    <t>FERREIRA COMERCIO E REPRESENTACAO DE PRO</t>
  </si>
  <si>
    <t>0047092470072</t>
  </si>
  <si>
    <t>BREJO BONITO</t>
  </si>
  <si>
    <t>413</t>
  </si>
  <si>
    <t>(055) 349904-1088</t>
  </si>
  <si>
    <t>TO INCRIVEL</t>
  </si>
  <si>
    <t>RESTAURANTE TO INCRIVEL LTDA</t>
  </si>
  <si>
    <t>0047186740014</t>
  </si>
  <si>
    <t>CORONEL FREDERICO FRANCO</t>
  </si>
  <si>
    <t>726</t>
  </si>
  <si>
    <t>(055) 378855-2109</t>
  </si>
  <si>
    <t>TATIANE MARA DE SOUZA GOULART</t>
  </si>
  <si>
    <t>0047204490045</t>
  </si>
  <si>
    <t>SITIO SAO JOSE II</t>
  </si>
  <si>
    <t>NAOINF</t>
  </si>
  <si>
    <t>REVISA CAR</t>
  </si>
  <si>
    <t>CRISTIANO MACHADO RIBEIRO</t>
  </si>
  <si>
    <t>0047439660005</t>
  </si>
  <si>
    <t>2280</t>
  </si>
  <si>
    <t>(055) 349956-6113</t>
  </si>
  <si>
    <t>38445129</t>
  </si>
  <si>
    <t>OLIVEIRAS AGRO LTDA</t>
  </si>
  <si>
    <t>0047707120043</t>
  </si>
  <si>
    <t>ORLANDO MARTINS GOMES</t>
  </si>
  <si>
    <t>SIBIPIRUNA</t>
  </si>
  <si>
    <t>131</t>
  </si>
  <si>
    <t>(055) 3499909-4492</t>
  </si>
  <si>
    <t>FRUTAS PRIMEL AGROPECUARIA LTDA</t>
  </si>
  <si>
    <t>37275000</t>
  </si>
  <si>
    <t>0047735960085</t>
  </si>
  <si>
    <t>CRISTAIS</t>
  </si>
  <si>
    <t>MARIA PINHEIRO MAIA</t>
  </si>
  <si>
    <t>VILA MARIA IDALINA</t>
  </si>
  <si>
    <t>(055) 313394-2127</t>
  </si>
  <si>
    <t>UDIMETAL CORTE E DOBRA</t>
  </si>
  <si>
    <t>38402136</t>
  </si>
  <si>
    <t>UDIMETAL METALUR. CORTE E DOBRA METAIS L</t>
  </si>
  <si>
    <t>0048034050067</t>
  </si>
  <si>
    <t>CERES</t>
  </si>
  <si>
    <t>1275</t>
  </si>
  <si>
    <t>BRUNO MARCELO RENDE DA CUNHA</t>
  </si>
  <si>
    <t>38408406</t>
  </si>
  <si>
    <t>0048060590081</t>
  </si>
  <si>
    <t>RUA GUAJAJARAS</t>
  </si>
  <si>
    <t>STRIKE BOLICHE BAR</t>
  </si>
  <si>
    <t>38411145</t>
  </si>
  <si>
    <t>STRIKE BOLICHE UDI LTDA</t>
  </si>
  <si>
    <t>0048158860036</t>
  </si>
  <si>
    <t>PAULO GRACINDO</t>
  </si>
  <si>
    <t>GAVEA</t>
  </si>
  <si>
    <t>54.061.292 ADRIANA MORAES SILVA</t>
  </si>
  <si>
    <t>004830575.00-35</t>
  </si>
  <si>
    <t>3136</t>
  </si>
  <si>
    <t>(055) 349894-5715</t>
  </si>
  <si>
    <t>FAZENDA SAO JOAO DO MEIO</t>
  </si>
  <si>
    <t>38490000</t>
  </si>
  <si>
    <t>ADILSON FERREIRA PAULINO</t>
  </si>
  <si>
    <t>0048522230030</t>
  </si>
  <si>
    <t>BR 365 KM 0</t>
  </si>
  <si>
    <t>SW23 CONFECCOES E UNIFORMES</t>
  </si>
  <si>
    <t>38408562</t>
  </si>
  <si>
    <t>SW23 CONFECCOES E UNIFORMES LTDA</t>
  </si>
  <si>
    <t>0048524880023</t>
  </si>
  <si>
    <t>81</t>
  </si>
  <si>
    <t>37135516</t>
  </si>
  <si>
    <t>CONNTACTA AGRONEGOCIOS LTDA.</t>
  </si>
  <si>
    <t>004871099.00-46</t>
  </si>
  <si>
    <t>(055) 352002-8204</t>
  </si>
  <si>
    <t>FAZENDA SANTA IZABEL</t>
  </si>
  <si>
    <t>TIAGO DE OLIVEIRA TAVARES</t>
  </si>
  <si>
    <t>0049045290014</t>
  </si>
  <si>
    <t>SANTA IZABEL</t>
  </si>
  <si>
    <t>JYRA COMERCIO PECAS E ACESSORIOS LTDA</t>
  </si>
  <si>
    <t>38400460</t>
  </si>
  <si>
    <t>0049304230055</t>
  </si>
  <si>
    <t>PROFESSOR JOAO BASILIO</t>
  </si>
  <si>
    <t>792</t>
  </si>
  <si>
    <t>(055) 3432371-1234</t>
  </si>
  <si>
    <t>FAZENDA FOLHADOS</t>
  </si>
  <si>
    <t>38744000</t>
  </si>
  <si>
    <t>0049528780032</t>
  </si>
  <si>
    <t>PROFESSOR JOSE MORAIS</t>
  </si>
  <si>
    <t>(034) 99912-2112</t>
  </si>
  <si>
    <t>J D GOMES ME</t>
  </si>
  <si>
    <t>36900000</t>
  </si>
  <si>
    <t>0049585</t>
  </si>
  <si>
    <t>MANHUACU</t>
  </si>
  <si>
    <t>PRAÇA PEDRO FARIA</t>
  </si>
  <si>
    <t>1170</t>
  </si>
  <si>
    <t>(033) 3331-5218</t>
  </si>
  <si>
    <t>0049836990062</t>
  </si>
  <si>
    <t>(055) 349771-7771</t>
  </si>
  <si>
    <t>FAZENDA BELA VISTA</t>
  </si>
  <si>
    <t>SERGIO CLAUDIO GARCIA</t>
  </si>
  <si>
    <t>005006602.00-26</t>
  </si>
  <si>
    <t>(016) 98209-0800</t>
  </si>
  <si>
    <t>48.465.831 LUCAS DOS REIS SANTOS</t>
  </si>
  <si>
    <t>38408382</t>
  </si>
  <si>
    <t>0050216530067</t>
  </si>
  <si>
    <t>DUQUE DE CAXIAS</t>
  </si>
  <si>
    <t>1769</t>
  </si>
  <si>
    <t>(055) 349218-1881</t>
  </si>
  <si>
    <t>C.L.F ENGENHARIA E SERVICOS</t>
  </si>
  <si>
    <t>38412456</t>
  </si>
  <si>
    <t>C.L.F ENGENHARIA E SERVICOS LTDA</t>
  </si>
  <si>
    <t>0051475220022</t>
  </si>
  <si>
    <t>BIBLOS</t>
  </si>
  <si>
    <t>JARDIM CANAA</t>
  </si>
  <si>
    <t>93</t>
  </si>
  <si>
    <t>(055) 3499918-4797</t>
  </si>
  <si>
    <t>ADUFERTIL - ALFENAS</t>
  </si>
  <si>
    <t>ADUFERTIL FERTILIZANTES LTDA.</t>
  </si>
  <si>
    <t>0051487400098</t>
  </si>
  <si>
    <t>ROD BR 491</t>
  </si>
  <si>
    <t>KM173</t>
  </si>
  <si>
    <t>(055) 113379-5000</t>
  </si>
  <si>
    <t>SERTEC CALDEIRARIA E MANUTENCAO LTDA</t>
  </si>
  <si>
    <t>0051577570014</t>
  </si>
  <si>
    <t>NORDESTE TRANSPORTES FRANCA LTDA</t>
  </si>
  <si>
    <t>30140100</t>
  </si>
  <si>
    <t>0051802580018</t>
  </si>
  <si>
    <t>CLAUDIO MANOEL</t>
  </si>
  <si>
    <t>FUNCIONÁRIOS</t>
  </si>
  <si>
    <t>326</t>
  </si>
  <si>
    <t>(055) 163403-3013</t>
  </si>
  <si>
    <t>SAGA AUTOMINAS</t>
  </si>
  <si>
    <t>38408144</t>
  </si>
  <si>
    <t>SAGA AUTOMINAS COMERCIO DE VEICULOS LTDA</t>
  </si>
  <si>
    <t>007020348040068</t>
  </si>
  <si>
    <t>3333</t>
  </si>
  <si>
    <t>(034) 3239-8500</t>
  </si>
  <si>
    <t>HOTEL BARRAMARES</t>
  </si>
  <si>
    <t>54400003</t>
  </si>
  <si>
    <t>TIMES E ROSSI HOTEIS LTDA</t>
  </si>
  <si>
    <t>0114459-63</t>
  </si>
  <si>
    <t>JABOATAO DOS GUARARAPES</t>
  </si>
  <si>
    <t>SENADOR SERGIO GUERRA</t>
  </si>
  <si>
    <t>PIEDADE</t>
  </si>
  <si>
    <t>544</t>
  </si>
  <si>
    <t>(055) 813118-0208</t>
  </si>
  <si>
    <t>DAGOBERTO BARCELLOS S/A</t>
  </si>
  <si>
    <t>96570000</t>
  </si>
  <si>
    <t>013/0000930</t>
  </si>
  <si>
    <t>CACAPAVA DO SUL</t>
  </si>
  <si>
    <t>BR392 KM 252,5</t>
  </si>
  <si>
    <t>PRIMEIRO DISTRITO</t>
  </si>
  <si>
    <t>(055) 08008-0101</t>
  </si>
  <si>
    <t>FIDAGRAN - CACAPAVA DO SUL</t>
  </si>
  <si>
    <t>CIOCCARI E CIA LTDA</t>
  </si>
  <si>
    <t>0130050792</t>
  </si>
  <si>
    <t>BR 392 KM 253</t>
  </si>
  <si>
    <t>1 DISTRITO</t>
  </si>
  <si>
    <t>(055) 3281-1552</t>
  </si>
  <si>
    <t>IBAR NORDESTE</t>
  </si>
  <si>
    <t>46100000</t>
  </si>
  <si>
    <t>IBAR NORDESTE LTDA</t>
  </si>
  <si>
    <t>013114398</t>
  </si>
  <si>
    <t>BRUMADO</t>
  </si>
  <si>
    <t>FAZENDA CAMPO DE DENTRO</t>
  </si>
  <si>
    <t>SEDE</t>
  </si>
  <si>
    <t>CAFÉ BRASIL - CARMO DO RIO CLARO</t>
  </si>
  <si>
    <t>CAFÉ BRASIL INDÚSTRIA, COMÉRCIO, IMPORTA</t>
  </si>
  <si>
    <t>0161954690469</t>
  </si>
  <si>
    <t>ANTÔNIO JACINTO FERREIRA</t>
  </si>
  <si>
    <t>(035) 3292-3377</t>
  </si>
  <si>
    <t>SAFRA IND E COM DE FERTILIZANTES ALFENAS</t>
  </si>
  <si>
    <t>0163404570039</t>
  </si>
  <si>
    <t>KM172</t>
  </si>
  <si>
    <t>35292-1727</t>
  </si>
  <si>
    <t>LATICINIOS ALFENENSE</t>
  </si>
  <si>
    <t>37130167</t>
  </si>
  <si>
    <t>MUNHOZ IND. E COM DE PROD. ALIMENTICIOS</t>
  </si>
  <si>
    <t>0167963140056</t>
  </si>
  <si>
    <t>JUSCELINO BARBOSA</t>
  </si>
  <si>
    <t>708</t>
  </si>
  <si>
    <t>(055) 353291-1079</t>
  </si>
  <si>
    <t>78450139</t>
  </si>
  <si>
    <t>TIUKETA REPRESENTACOES LTDA</t>
  </si>
  <si>
    <t>0181379-03</t>
  </si>
  <si>
    <t>GUSTAVO.MONTES</t>
  </si>
  <si>
    <t>DOS JAMBOS</t>
  </si>
  <si>
    <t>LOTEAMENTO RESERVA TECNICA</t>
  </si>
  <si>
    <t>355N</t>
  </si>
  <si>
    <t>(055) 653308-2217</t>
  </si>
  <si>
    <t>COMERCIAL AGROVENTANIA PILUCIO LTDA.</t>
  </si>
  <si>
    <t>0192233940073</t>
  </si>
  <si>
    <t>BAHIA</t>
  </si>
  <si>
    <t>MUNDO NOVO</t>
  </si>
  <si>
    <t>717</t>
  </si>
  <si>
    <t>(035) 98406-2013</t>
  </si>
  <si>
    <t>50030290</t>
  </si>
  <si>
    <t>FERTILIZANTES DO NORDESTE LTDA</t>
  </si>
  <si>
    <t>019474512</t>
  </si>
  <si>
    <t>DR. ASCÂNIO PEIXOTO</t>
  </si>
  <si>
    <t>DO RECIFE</t>
  </si>
  <si>
    <t>(041) 3026-9009</t>
  </si>
  <si>
    <t>92130360</t>
  </si>
  <si>
    <t>UNIFÉRTIL UNIVERSAL DE FERTILIZANTES LTD</t>
  </si>
  <si>
    <t>0240043499</t>
  </si>
  <si>
    <t>GRAVATAÍ</t>
  </si>
  <si>
    <t>NITEROI</t>
  </si>
  <si>
    <t>(051) 3462-6250</t>
  </si>
  <si>
    <t>INDUSTRIA E COMERCIO BASTOS</t>
  </si>
  <si>
    <t>92035000</t>
  </si>
  <si>
    <t>INDUSTRIA E COMERCIO BASTOS LTDA</t>
  </si>
  <si>
    <t>0240340396</t>
  </si>
  <si>
    <t>AV DO NAZARIO</t>
  </si>
  <si>
    <t>OLARIA</t>
  </si>
  <si>
    <t>2100</t>
  </si>
  <si>
    <t>(055) 518406-9292</t>
  </si>
  <si>
    <t>92200640</t>
  </si>
  <si>
    <t>0240349296</t>
  </si>
  <si>
    <t>HENRIQUE LUIS ROESSLER</t>
  </si>
  <si>
    <t>EXTREMO SUL TRANSPORTES</t>
  </si>
  <si>
    <t>92035190</t>
  </si>
  <si>
    <t>XTSUL TRANSPORTES LTDA</t>
  </si>
  <si>
    <t>0240510879</t>
  </si>
  <si>
    <t>GILDO DE FREITAS</t>
  </si>
  <si>
    <t>440</t>
  </si>
  <si>
    <t>(055) 513032-4900</t>
  </si>
  <si>
    <t>92200150</t>
  </si>
  <si>
    <t>FERTIBAS FERTILIZANTES LTDA</t>
  </si>
  <si>
    <t>0240595793</t>
  </si>
  <si>
    <t>HERMES DA FONSECA</t>
  </si>
  <si>
    <t>2255</t>
  </si>
  <si>
    <t>(055) 513428-7008</t>
  </si>
  <si>
    <t>GALVANI - LUIS EDUARDO MAGALHÃES</t>
  </si>
  <si>
    <t>GALVANI IND COM SERV S/A</t>
  </si>
  <si>
    <t>030895078</t>
  </si>
  <si>
    <t>A prazo - 60 dias</t>
  </si>
  <si>
    <t>LUIS EDUARDO MAGA</t>
  </si>
  <si>
    <t>JARDIM ACÁCIA</t>
  </si>
  <si>
    <t>2071</t>
  </si>
  <si>
    <t>ASS.DOS SERV. DA POLICIA CIVIL EST.DE MG</t>
  </si>
  <si>
    <t>30120060</t>
  </si>
  <si>
    <t>03252290016</t>
  </si>
  <si>
    <t>DOS CARIJOS</t>
  </si>
  <si>
    <t>98030440</t>
  </si>
  <si>
    <t>YARA - CRUZ ALTA</t>
  </si>
  <si>
    <t>YARA BRASIL FERTILIZANTES S/A</t>
  </si>
  <si>
    <t>034/0124881</t>
  </si>
  <si>
    <t>A prazo - 40 dias</t>
  </si>
  <si>
    <t>(055) 513230-1300</t>
  </si>
  <si>
    <t>LEILA JORGE MILAGRE</t>
  </si>
  <si>
    <t>0352860670038</t>
  </si>
  <si>
    <t>1196</t>
  </si>
  <si>
    <t>(034) 3235-0399</t>
  </si>
  <si>
    <t>PALLET ARAGUARI</t>
  </si>
  <si>
    <t>38440210</t>
  </si>
  <si>
    <t>PALLET ARAGUARI LTDA</t>
  </si>
  <si>
    <t>0352914670081</t>
  </si>
  <si>
    <t>BATALHÃO MAUÁ</t>
  </si>
  <si>
    <t>(055) 343241-4900</t>
  </si>
  <si>
    <t>GEZA LTDA</t>
  </si>
  <si>
    <t>38446394</t>
  </si>
  <si>
    <t>0353513590045</t>
  </si>
  <si>
    <t>PERCIO PERFEITO</t>
  </si>
  <si>
    <t>OUROFÉRTIL NORDESTE LTDA</t>
  </si>
  <si>
    <t>56328010</t>
  </si>
  <si>
    <t>037040332</t>
  </si>
  <si>
    <t>PETROLINA</t>
  </si>
  <si>
    <t>INTEGRAÇÃO</t>
  </si>
  <si>
    <t>VILA EDUARDO</t>
  </si>
  <si>
    <t>66</t>
  </si>
  <si>
    <t>(087) 3867-6499</t>
  </si>
  <si>
    <t>ANDRE ARAUJO MARTINS</t>
  </si>
  <si>
    <t>38407390</t>
  </si>
  <si>
    <t>0380711420097</t>
  </si>
  <si>
    <t>DUNAS</t>
  </si>
  <si>
    <t>(034) 99191-2788</t>
  </si>
  <si>
    <t>SWIDD ENGENHARIA</t>
  </si>
  <si>
    <t>99711350</t>
  </si>
  <si>
    <t>SWIDD ENGENHARIA INDUSTRIA E COMERCIO LT</t>
  </si>
  <si>
    <t>0390187801</t>
  </si>
  <si>
    <t>ERECHIM</t>
  </si>
  <si>
    <t>ELISA VACCHI</t>
  </si>
  <si>
    <t>383</t>
  </si>
  <si>
    <t>(055) 549118-6135</t>
  </si>
  <si>
    <t>MAGAZINE LUIZA</t>
  </si>
  <si>
    <t>32183680</t>
  </si>
  <si>
    <t>0402992109650</t>
  </si>
  <si>
    <t>WILSON TAVARES RIBEIRO</t>
  </si>
  <si>
    <t>AUTO ELETRICA AMARAL</t>
  </si>
  <si>
    <t>38182000</t>
  </si>
  <si>
    <t>ADILSON AMARAL &amp; CIA LTDA</t>
  </si>
  <si>
    <t>0406299570043</t>
  </si>
  <si>
    <t>WILSON BORGES</t>
  </si>
  <si>
    <t>SANTO ANTONIO/VILA SANTA TEREZINHA</t>
  </si>
  <si>
    <t>165</t>
  </si>
  <si>
    <t>PAPELARIA REGIONAL</t>
  </si>
  <si>
    <t>38183184</t>
  </si>
  <si>
    <t>PAPELARIA REGIONAL LTDA</t>
  </si>
  <si>
    <t>0406638740086</t>
  </si>
  <si>
    <t>CALIMERIO GUIMARAES</t>
  </si>
  <si>
    <t>341</t>
  </si>
  <si>
    <t>(055) 343662-3898</t>
  </si>
  <si>
    <t>38180084</t>
  </si>
  <si>
    <t>SAGRA INSUMOS AGROPECUARIOS LTDA</t>
  </si>
  <si>
    <t>0409828280321</t>
  </si>
  <si>
    <t>AV MINISTRO OLAVO DRUMOND</t>
  </si>
  <si>
    <t>SAO GERALDO</t>
  </si>
  <si>
    <t>(034) 3818-9999</t>
  </si>
  <si>
    <t>RESSEG DISTRIBUIDORA</t>
  </si>
  <si>
    <t>54518085</t>
  </si>
  <si>
    <t>RESSEG DISTRIBUIDORA LTDA</t>
  </si>
  <si>
    <t>044212488</t>
  </si>
  <si>
    <t>CABO DE SANTO AGOSTINHO</t>
  </si>
  <si>
    <t>CAMARAGIBE</t>
  </si>
  <si>
    <t>GARAPU</t>
  </si>
  <si>
    <t>111</t>
  </si>
  <si>
    <t>(055) 813524-4220</t>
  </si>
  <si>
    <t>43813000</t>
  </si>
  <si>
    <t>FERTIPAR FERTILIZANTES DO NORDESTE LTDA</t>
  </si>
  <si>
    <t>047640612</t>
  </si>
  <si>
    <t>MATOIM</t>
  </si>
  <si>
    <t>(071) 3602-8900</t>
  </si>
  <si>
    <t>FRANKARIMBOS INDUSTRIA E COMERCIO LTDA</t>
  </si>
  <si>
    <t>05130600</t>
  </si>
  <si>
    <t>CRUZEIRO DOS PEIXOTOS</t>
  </si>
  <si>
    <t>APARECIDA</t>
  </si>
  <si>
    <t>509</t>
  </si>
  <si>
    <t>(055) 343235-6942</t>
  </si>
  <si>
    <t>42800970</t>
  </si>
  <si>
    <t>HERINGER - CAMAÇARI</t>
  </si>
  <si>
    <t>FERTILIZANTES HERINGER S.A.</t>
  </si>
  <si>
    <t>055044615</t>
  </si>
  <si>
    <t>A prazo - 30 dias</t>
  </si>
  <si>
    <t>DOS PIGMENTOS</t>
  </si>
  <si>
    <t>(071) 3634-3500</t>
  </si>
  <si>
    <t>44092400</t>
  </si>
  <si>
    <t>GRANPHOS FERTILIZANTES LTDA</t>
  </si>
  <si>
    <t>055583941</t>
  </si>
  <si>
    <t>PROBAHIA</t>
  </si>
  <si>
    <t>TOMBA</t>
  </si>
  <si>
    <t>679</t>
  </si>
  <si>
    <t>(075) 4009-9200</t>
  </si>
  <si>
    <t>43805190</t>
  </si>
  <si>
    <t>057495758</t>
  </si>
  <si>
    <t>BA 522 KM06,0</t>
  </si>
  <si>
    <t>C.IND DE ARATU</t>
  </si>
  <si>
    <t>SULINA COMERCIO DE OLEOS LTDA</t>
  </si>
  <si>
    <t>92718500</t>
  </si>
  <si>
    <t>0580089215</t>
  </si>
  <si>
    <t>GUAIBA</t>
  </si>
  <si>
    <t>BOM FIM</t>
  </si>
  <si>
    <t>(051) 3401-7500</t>
  </si>
  <si>
    <t>DIPROTEC</t>
  </si>
  <si>
    <t>062.223.907-028</t>
  </si>
  <si>
    <t>SEW EURODRIVE BRASIL LTDA</t>
  </si>
  <si>
    <t>38402016</t>
  </si>
  <si>
    <t>0621486980170</t>
  </si>
  <si>
    <t>RIO GRANDE DO NORTE</t>
  </si>
  <si>
    <t>(034) 3211-3300</t>
  </si>
  <si>
    <t>TELEFONICA BRASIL S.A.</t>
  </si>
  <si>
    <t>30411018</t>
  </si>
  <si>
    <t>0621904680045</t>
  </si>
  <si>
    <t>GUARATAN</t>
  </si>
  <si>
    <t>PRADO</t>
  </si>
  <si>
    <t>667</t>
  </si>
  <si>
    <t>(055) 113430-0000</t>
  </si>
  <si>
    <t>LOCALIZA RENT A CAR</t>
  </si>
  <si>
    <t>31150000</t>
  </si>
  <si>
    <t>LOCALIZA RENT A CAR SA</t>
  </si>
  <si>
    <t>062244911.00-96</t>
  </si>
  <si>
    <t>BERNARDO DE VASCONCELOS</t>
  </si>
  <si>
    <t>(055) 313247-7915</t>
  </si>
  <si>
    <t>CEMIG GT</t>
  </si>
  <si>
    <t>30190924</t>
  </si>
  <si>
    <t>CEMIG GERACAO E TRANSMISSAO S.A</t>
  </si>
  <si>
    <t>0623221310098</t>
  </si>
  <si>
    <t>SANTO AGOSTINHO</t>
  </si>
  <si>
    <t>(055) 313506-7500</t>
  </si>
  <si>
    <t>CONFINS TRANSPORTES LTDA</t>
  </si>
  <si>
    <t>32684170</t>
  </si>
  <si>
    <t>0627054890085</t>
  </si>
  <si>
    <t>BETIM</t>
  </si>
  <si>
    <t>PALMEIRAS</t>
  </si>
  <si>
    <t>SANTO ANTÔNIO</t>
  </si>
  <si>
    <t>(031) 2519-6450</t>
  </si>
  <si>
    <t>ICELTEC LTDA</t>
  </si>
  <si>
    <t>31565140</t>
  </si>
  <si>
    <t>0628639890055</t>
  </si>
  <si>
    <t>MONTE CASTELO</t>
  </si>
  <si>
    <t>STA BRANCA</t>
  </si>
  <si>
    <t>1003</t>
  </si>
  <si>
    <t>(031) 3303-9400</t>
  </si>
  <si>
    <t>MLM ACION AUTOMACAO ELETRICA LTDA</t>
  </si>
  <si>
    <t>32113485</t>
  </si>
  <si>
    <t>0628721850177</t>
  </si>
  <si>
    <t>AV HEGEL RAYMUNDO DE CASTRO LIMA</t>
  </si>
  <si>
    <t>HOTEL 44</t>
  </si>
  <si>
    <t>98700000</t>
  </si>
  <si>
    <t>HOTEL 44 IJUI LTDA</t>
  </si>
  <si>
    <t>065/0133056</t>
  </si>
  <si>
    <t>IJUI</t>
  </si>
  <si>
    <t>RS 342 KM 119</t>
  </si>
  <si>
    <t>215</t>
  </si>
  <si>
    <t>(055) 3331-7504</t>
  </si>
  <si>
    <t>EKOSIL - ITAQUI</t>
  </si>
  <si>
    <t>97650000</t>
  </si>
  <si>
    <t>EKOSIL – EIRELI - EPP</t>
  </si>
  <si>
    <t>0670062324</t>
  </si>
  <si>
    <t>ITAQUI</t>
  </si>
  <si>
    <t>URUGUAIANA</t>
  </si>
  <si>
    <t>S.R.R SOLUCOES E RECICLAGEM DE RESIDUOS</t>
  </si>
  <si>
    <t>48903970</t>
  </si>
  <si>
    <t>068498587</t>
  </si>
  <si>
    <t>JUAZEIRO</t>
  </si>
  <si>
    <t>AVENIDA VEREADOR CARLITO CORDEIRO</t>
  </si>
  <si>
    <t>(074) 99935-3515</t>
  </si>
  <si>
    <t>CAPEBE - BOA ESPERANÇA</t>
  </si>
  <si>
    <t>COOP AGRO PEC DE BOA ESPERANÇA LTDA</t>
  </si>
  <si>
    <t>0710953440025</t>
  </si>
  <si>
    <t>0710953440939</t>
  </si>
  <si>
    <t>SEMENTES PROTEN</t>
  </si>
  <si>
    <t>PROTEN PRODUTOS AGROPECUARIOS LTDA</t>
  </si>
  <si>
    <t>074506370</t>
  </si>
  <si>
    <t>R I</t>
  </si>
  <si>
    <t>CENTRO IND  CERRADO</t>
  </si>
  <si>
    <t>(077) 3628-0817</t>
  </si>
  <si>
    <t>POLICARBONATOS</t>
  </si>
  <si>
    <t>PROQUIGEL QUIMICA S/A</t>
  </si>
  <si>
    <t>075123401</t>
  </si>
  <si>
    <t>FAZENDA CAROBA</t>
  </si>
  <si>
    <t>CENTRO INDUSTRIAL DE ARATU</t>
  </si>
  <si>
    <t>(055) 112504-6100</t>
  </si>
  <si>
    <t>TIMAC AGRO - CANDEIAS</t>
  </si>
  <si>
    <t>TIMAC AGRO IND. E COM. DE FERTIL. LTDA</t>
  </si>
  <si>
    <t>078285149</t>
  </si>
  <si>
    <t>PORTUARIA</t>
  </si>
  <si>
    <t>CIA NORTE</t>
  </si>
  <si>
    <t>(055) 712107-0005</t>
  </si>
  <si>
    <t>29136519</t>
  </si>
  <si>
    <t>INATIVO - HERINGER - VIANA</t>
  </si>
  <si>
    <t>080732216</t>
  </si>
  <si>
    <t>EUROCHEM</t>
  </si>
  <si>
    <t>IDALINO CARVALHO</t>
  </si>
  <si>
    <t>(027) 2122-2200</t>
  </si>
  <si>
    <t>TODACARGA TRANSPORTES LTDA</t>
  </si>
  <si>
    <t>29148640</t>
  </si>
  <si>
    <t>081262426</t>
  </si>
  <si>
    <t>CARIACICA</t>
  </si>
  <si>
    <t>RODOVIA BR 101 NORTE CONTORNO</t>
  </si>
  <si>
    <t>VILA INDEPENDENCIA</t>
  </si>
  <si>
    <t>(027) 3226-0055</t>
  </si>
  <si>
    <t>COMERCIAL EPI'S</t>
  </si>
  <si>
    <t>INFOAR COM. E SERV. AR COND. INF. EIRELI</t>
  </si>
  <si>
    <t>083004840</t>
  </si>
  <si>
    <t>CENTAURO ASFALTOS</t>
  </si>
  <si>
    <t>29918899</t>
  </si>
  <si>
    <t>CENTAURO INDUSTRIA DE ASFALTOS EIRELI</t>
  </si>
  <si>
    <t>083054413</t>
  </si>
  <si>
    <t>LINHARES</t>
  </si>
  <si>
    <t>EST 440</t>
  </si>
  <si>
    <t>BEBEDOURO REGENCIA</t>
  </si>
  <si>
    <t>(027) 3097-1242</t>
  </si>
  <si>
    <t>BGM PETRÓLEO E GÁS LTDA</t>
  </si>
  <si>
    <t>083512772</t>
  </si>
  <si>
    <t>FAZENDA NOSSA SENHORA DA PENHA,</t>
  </si>
  <si>
    <t>(027) 2121-5642</t>
  </si>
  <si>
    <t>PAUTA DISTRIBUICAO E LOGISTICA S.A.</t>
  </si>
  <si>
    <t>29155270</t>
  </si>
  <si>
    <t>083577017</t>
  </si>
  <si>
    <t>ROMUALDO SILVEIRA</t>
  </si>
  <si>
    <t>VILA CAJUEIRO</t>
  </si>
  <si>
    <t>(055) 483281-7500</t>
  </si>
  <si>
    <t>NATIVA FERTILIZANTES - CANDEIAS</t>
  </si>
  <si>
    <t>NATIVA FERTILIZANTES LTDA</t>
  </si>
  <si>
    <t>083835481</t>
  </si>
  <si>
    <t>(071) 3602-9189</t>
  </si>
  <si>
    <t>TEMALA CONEXOES DIGITAIS</t>
  </si>
  <si>
    <t>29147030</t>
  </si>
  <si>
    <t>083898387</t>
  </si>
  <si>
    <t>RUA TONINHO MAGALHAES</t>
  </si>
  <si>
    <t>POLO EMPRESARIAL NOVO MEXICO</t>
  </si>
  <si>
    <t>(013) 2101-5555</t>
  </si>
  <si>
    <t>084200499</t>
  </si>
  <si>
    <t>(055) 272122-2200</t>
  </si>
  <si>
    <t>PETER CHEMICAL</t>
  </si>
  <si>
    <t>93315114</t>
  </si>
  <si>
    <t>PETER CHEMICAL INDUSTRIA E COM. EIRELI</t>
  </si>
  <si>
    <t>0860199320</t>
  </si>
  <si>
    <t>NOVO HAMBURGO</t>
  </si>
  <si>
    <t>AV NACOES UNIDAS</t>
  </si>
  <si>
    <t>VILA ROSA</t>
  </si>
  <si>
    <t>(051) 3036-8181</t>
  </si>
  <si>
    <t>SQM VITAS BRASIL AGROINDUSTRIA</t>
  </si>
  <si>
    <t>088344661</t>
  </si>
  <si>
    <t>VIA CANDEIAS</t>
  </si>
  <si>
    <t>(071) 3602-3056</t>
  </si>
  <si>
    <t>IRGOVEL</t>
  </si>
  <si>
    <t>96040000</t>
  </si>
  <si>
    <t>IRGOVEL IND.RIOGR.DE ÓLEOS VEGETAIS LTDA</t>
  </si>
  <si>
    <t>0930078063</t>
  </si>
  <si>
    <t>PRESIDENTE JOÃO GOULART</t>
  </si>
  <si>
    <t>7351</t>
  </si>
  <si>
    <t>(053) 3301-9211</t>
  </si>
  <si>
    <t>VALCRON COM FERRAGENS E ACESS IND LTDA</t>
  </si>
  <si>
    <t>96085000</t>
  </si>
  <si>
    <t>0930171500</t>
  </si>
  <si>
    <t>AV FERREIRA VIANA</t>
  </si>
  <si>
    <t>AREAL</t>
  </si>
  <si>
    <t>826</t>
  </si>
  <si>
    <t>(055) 533279-3850</t>
  </si>
  <si>
    <t>96085080</t>
  </si>
  <si>
    <t>JOSAPAR JOAQUIM OLIVEIRA S/A PART</t>
  </si>
  <si>
    <t>0930279247</t>
  </si>
  <si>
    <t>CAPITÃO NELSON PEREIRA</t>
  </si>
  <si>
    <t>1125</t>
  </si>
  <si>
    <t>(053) 3284-1000</t>
  </si>
  <si>
    <t>96090575</t>
  </si>
  <si>
    <t>OUROFERTIL FERTILIZANTES LTDA</t>
  </si>
  <si>
    <t>0930335961</t>
  </si>
  <si>
    <t>ANTONIO SATTE ALAM SOBRINHO</t>
  </si>
  <si>
    <t>351</t>
  </si>
  <si>
    <t>PONTO FRIO - PELOTAS</t>
  </si>
  <si>
    <t>VIA VAREJO S/A</t>
  </si>
  <si>
    <t>0930447581</t>
  </si>
  <si>
    <t>1526</t>
  </si>
  <si>
    <t>TERMOLAR</t>
  </si>
  <si>
    <t>91900790</t>
  </si>
  <si>
    <t>TERMOLAR SA</t>
  </si>
  <si>
    <t>0960219285</t>
  </si>
  <si>
    <t>TAMANDARÉ</t>
  </si>
  <si>
    <t>CAMAQUÃ</t>
  </si>
  <si>
    <t>500</t>
  </si>
  <si>
    <t>(055) 512121-8000</t>
  </si>
  <si>
    <t>90250680</t>
  </si>
  <si>
    <t>YARA - PORTO ALEGRE</t>
  </si>
  <si>
    <t>YARA BRASIL FERTILIZANTES S.A.</t>
  </si>
  <si>
    <t>0960364250</t>
  </si>
  <si>
    <t>JOÃO MOREIRA MACIEL</t>
  </si>
  <si>
    <t>ANCHIETA</t>
  </si>
  <si>
    <t>5100</t>
  </si>
  <si>
    <t>(051) 2103-7300</t>
  </si>
  <si>
    <t>INATIVO - MAXIFERTIL</t>
  </si>
  <si>
    <t>MAXIFERTIL FERTILIZANTES LTDA</t>
  </si>
  <si>
    <t>0960805141</t>
  </si>
  <si>
    <t>VILA FARRAPOS</t>
  </si>
  <si>
    <t>3430</t>
  </si>
  <si>
    <t>PIRATINI - PORTO ALEGRE</t>
  </si>
  <si>
    <t>FERTILIZANTES PIRATINI LTDA</t>
  </si>
  <si>
    <t>0960998985</t>
  </si>
  <si>
    <t>1656</t>
  </si>
  <si>
    <t>(051) 3342-5078</t>
  </si>
  <si>
    <t>TIMAC AGRO - PORTO ALEGRE</t>
  </si>
  <si>
    <t>90480001</t>
  </si>
  <si>
    <t>TIMAC AGRO IND. E COM. DE FERTILIZ. LTDA</t>
  </si>
  <si>
    <t>0962674397</t>
  </si>
  <si>
    <t>CARLOS GOMES</t>
  </si>
  <si>
    <t>(051) 3382-8700</t>
  </si>
  <si>
    <t>J. ALVES FERTILIZANTES EIRELI</t>
  </si>
  <si>
    <t>096313722</t>
  </si>
  <si>
    <t>RODOVIA BA 522</t>
  </si>
  <si>
    <t>CAROBA</t>
  </si>
  <si>
    <t>90250380</t>
  </si>
  <si>
    <t>HERINGER - PORTO ALEGRE</t>
  </si>
  <si>
    <t>0963197436</t>
  </si>
  <si>
    <t>HUMAITA</t>
  </si>
  <si>
    <t>ICH ADMINISTRACAO DE HOTEIS S.A.</t>
  </si>
  <si>
    <t>90240640</t>
  </si>
  <si>
    <t>0963406000</t>
  </si>
  <si>
    <t>PROFESSOR SARMENTO BARATA</t>
  </si>
  <si>
    <t>NAVEGANTES</t>
  </si>
  <si>
    <t>(055) 513325-7761</t>
  </si>
  <si>
    <t>POSTO MENINO DEUS</t>
  </si>
  <si>
    <t>90150003</t>
  </si>
  <si>
    <t>ABASTECEDORA MENINO DEUS LTDA</t>
  </si>
  <si>
    <t>0963785559</t>
  </si>
  <si>
    <t>MENINO DEUS</t>
  </si>
  <si>
    <t>(055) 513037-7633</t>
  </si>
  <si>
    <t>43813400</t>
  </si>
  <si>
    <t>096501291</t>
  </si>
  <si>
    <t>BR 324</t>
  </si>
  <si>
    <t>7131</t>
  </si>
  <si>
    <t>(071) 3183-2207</t>
  </si>
  <si>
    <t>CASA META SHOP</t>
  </si>
  <si>
    <t>93950000</t>
  </si>
  <si>
    <t>CASA META SHOP LOJA DE DEP. LTDA</t>
  </si>
  <si>
    <t>0991064176</t>
  </si>
  <si>
    <t>DOIS IRMAOS</t>
  </si>
  <si>
    <t>SAO LEOPOLDO</t>
  </si>
  <si>
    <t>(055) 512160-5055</t>
  </si>
  <si>
    <t>ITOGRASS</t>
  </si>
  <si>
    <t>38400970</t>
  </si>
  <si>
    <t>ITOGRASS AGRICOLA ALTA MOGIANA LTDA</t>
  </si>
  <si>
    <t>0999777630879</t>
  </si>
  <si>
    <t>RODOVIA BR 497 KM 38</t>
  </si>
  <si>
    <t>(016) 2102-1500</t>
  </si>
  <si>
    <t>COOPERCARGA S/A</t>
  </si>
  <si>
    <t>74810340</t>
  </si>
  <si>
    <t>10.247.005-7</t>
  </si>
  <si>
    <t>GOIANIA</t>
  </si>
  <si>
    <t>BR 116 KM 698</t>
  </si>
  <si>
    <t>JD GOIAS</t>
  </si>
  <si>
    <t>779</t>
  </si>
  <si>
    <t>(055) 343227-2229</t>
  </si>
  <si>
    <t>NACIONAL FERTILIZANTES - LUZIANIA</t>
  </si>
  <si>
    <t>72813400</t>
  </si>
  <si>
    <t>NACIONAL FERTILIZANTES LTDA</t>
  </si>
  <si>
    <t>10.449.130-2</t>
  </si>
  <si>
    <t>LUZIANIA</t>
  </si>
  <si>
    <t>FAZENDA BURACAO/JORDAO</t>
  </si>
  <si>
    <t>(055) 619815-3324</t>
  </si>
  <si>
    <t>CEMARIM HOTEL</t>
  </si>
  <si>
    <t>75709570</t>
  </si>
  <si>
    <t>CELMO MARQUES DE AMORIM</t>
  </si>
  <si>
    <t>10.574.217-1</t>
  </si>
  <si>
    <t>JOAQUIM FERNANDES PARANHOS</t>
  </si>
  <si>
    <t>LOTEAMENTO JK</t>
  </si>
  <si>
    <t>(055) 643441-2552</t>
  </si>
  <si>
    <t>CAMPO FERTIL PRODUTOS AGROPECUARIOS</t>
  </si>
  <si>
    <t>75124820</t>
  </si>
  <si>
    <t>CAMPO FERTIL PROD AGROP LTDA</t>
  </si>
  <si>
    <t>10.741.596-8</t>
  </si>
  <si>
    <t>À vista</t>
  </si>
  <si>
    <t>SETOR SUL JAMIL MIGUEL</t>
  </si>
  <si>
    <t>4000</t>
  </si>
  <si>
    <t>(055) 623316-5567</t>
  </si>
  <si>
    <t>CIBRA - RIO VERDE</t>
  </si>
  <si>
    <t>75913899</t>
  </si>
  <si>
    <t>CIBRAFERTIL COMPANHIA BRASILEIRA DE FERT</t>
  </si>
  <si>
    <t>10.992.449-5</t>
  </si>
  <si>
    <t>ZONA ATIVIDADE LOGISTICA I-ZAL-I</t>
  </si>
  <si>
    <t>S/Nº</t>
  </si>
  <si>
    <t>(055) 712202-4200</t>
  </si>
  <si>
    <t>96217010</t>
  </si>
  <si>
    <t>JOSAPAR JOAQUIM OLIVEIRA SA PARTICIP</t>
  </si>
  <si>
    <t>100/0277531</t>
  </si>
  <si>
    <t>ANA PERNIGOTTI</t>
  </si>
  <si>
    <t>BOLAXA</t>
  </si>
  <si>
    <t>5565</t>
  </si>
  <si>
    <t>(055) 533284-1000</t>
  </si>
  <si>
    <t>MINUANO FERTILIZANTES</t>
  </si>
  <si>
    <t>MINUANO FERTILIZANTES - IND., COM.</t>
  </si>
  <si>
    <t>100/0335310</t>
  </si>
  <si>
    <t>(055) 543344-1589</t>
  </si>
  <si>
    <t>VALE FERTILIZANTES - CUBATÃO CPG</t>
  </si>
  <si>
    <t>11570900</t>
  </si>
  <si>
    <t>VALE FERTILIZANTES S.A.</t>
  </si>
  <si>
    <t>100002243</t>
  </si>
  <si>
    <t>ENGENHEIRO PLINIO DE QUEIROZ</t>
  </si>
  <si>
    <t>JARDIM SÃO MARCOS</t>
  </si>
  <si>
    <t>96204040</t>
  </si>
  <si>
    <t>1000055270</t>
  </si>
  <si>
    <t>MAXIMIANO DA FONSECA</t>
  </si>
  <si>
    <t>2001</t>
  </si>
  <si>
    <t>(051) 3230-1300</t>
  </si>
  <si>
    <t>TIMAC AGRO INDUSTRIA - RIO GRANDE (PLANT</t>
  </si>
  <si>
    <t>TIMAC AGRO IND E COM DE FERT LTDA</t>
  </si>
  <si>
    <t>1000194164</t>
  </si>
  <si>
    <t>ALMIRANTE MAXIMIANO FONSECA</t>
  </si>
  <si>
    <t>1550</t>
  </si>
  <si>
    <t>CENTER PECAS</t>
  </si>
  <si>
    <t>96202188</t>
  </si>
  <si>
    <t>BEN HUR VANGHON DE ARAUJO &amp; CIA LTDA</t>
  </si>
  <si>
    <t>1000202612</t>
  </si>
  <si>
    <t>798</t>
  </si>
  <si>
    <t>(055) 533230-1103</t>
  </si>
  <si>
    <t>ADUBOS COXILHA - RIO GRANDE</t>
  </si>
  <si>
    <t>COXILHA IND. DE FERTIL. E CORRETIVOS LTD</t>
  </si>
  <si>
    <t>1000238358</t>
  </si>
  <si>
    <t>6360</t>
  </si>
  <si>
    <t>(054) 3344-1589</t>
  </si>
  <si>
    <t>RIO GRANDE FERTILIZANTES LTDA</t>
  </si>
  <si>
    <t>RIO GRANDE FERTILIZANTES LTDA.</t>
  </si>
  <si>
    <t>1000239052</t>
  </si>
  <si>
    <t>(055) 54344-1589</t>
  </si>
  <si>
    <t>PIRATINI - RIO GRANDE</t>
  </si>
  <si>
    <t>1000243696</t>
  </si>
  <si>
    <t>1750</t>
  </si>
  <si>
    <t>(051) 2126-2355</t>
  </si>
  <si>
    <t>INSUMOTEC - RIO GRANDE</t>
  </si>
  <si>
    <t>INSUMOTEC FERTILIZANTES LTDA</t>
  </si>
  <si>
    <t>1000249597</t>
  </si>
  <si>
    <t>6380</t>
  </si>
  <si>
    <t>(055) 533028-0707</t>
  </si>
  <si>
    <t>ZANON IND. E COM. DE FERTILIZANTES</t>
  </si>
  <si>
    <t>ZANON COM., SERV. E TRANSPORTE LTDA</t>
  </si>
  <si>
    <t>1000252709</t>
  </si>
  <si>
    <t>MAXIMILIANO DA FONSECA</t>
  </si>
  <si>
    <t>(051) 3472-8439</t>
  </si>
  <si>
    <t>FERTILIZANTES MULTIFERTIL - SANTA MARIA</t>
  </si>
  <si>
    <t>96204036</t>
  </si>
  <si>
    <t>FERTILIZANTES MULTIFERTIL - RIO GRANDE</t>
  </si>
  <si>
    <t>FERTILIZANTES MULTIFERTIL IND E COM LTDA</t>
  </si>
  <si>
    <t>1000275598</t>
  </si>
  <si>
    <t>A prazo - 14 dias</t>
  </si>
  <si>
    <t>ANTONIO JOAO BIANCHINI</t>
  </si>
  <si>
    <t>(053) 3234-1096</t>
  </si>
  <si>
    <t>POLYFERRAMENTAS</t>
  </si>
  <si>
    <t>96200390</t>
  </si>
  <si>
    <t>POLYNAVE COMERCIO E REPRESENTACAO LTDA.</t>
  </si>
  <si>
    <t>1000278015</t>
  </si>
  <si>
    <t>RUA RIACHUELO</t>
  </si>
  <si>
    <t>(055) 533232-1414</t>
  </si>
  <si>
    <t>96204470</t>
  </si>
  <si>
    <t>FERTISANTA FERTILIZANTES LTDA</t>
  </si>
  <si>
    <t>1000289610</t>
  </si>
  <si>
    <t>5015</t>
  </si>
  <si>
    <t>1000292816</t>
  </si>
  <si>
    <t>ZONA PORTUARIA</t>
  </si>
  <si>
    <t>2800</t>
  </si>
  <si>
    <t>(055) 532126-2200</t>
  </si>
  <si>
    <t>NÃO USAR - UNIFERTIL - RIO GRANDE</t>
  </si>
  <si>
    <t>1000304792</t>
  </si>
  <si>
    <t>ZONA PORTUÁRIA</t>
  </si>
  <si>
    <t>MOSAIC FERTILIZANTES DO BRASIL LTDA</t>
  </si>
  <si>
    <t>1000309743</t>
  </si>
  <si>
    <t>1040</t>
  </si>
  <si>
    <t>(034) 3352-2122</t>
  </si>
  <si>
    <t>AGM OPERADORA PORTUARIA - RIO GRANDE</t>
  </si>
  <si>
    <t>AGM OPERADORA PORTUARIA LTDA</t>
  </si>
  <si>
    <t>1000310768</t>
  </si>
  <si>
    <t>ENGENHEIRO CARLOS FIRMO SCHMIDT</t>
  </si>
  <si>
    <t>(053) 3931-0600</t>
  </si>
  <si>
    <t>CIBRAFERTIL COMP BRASILEIRA DE FERT</t>
  </si>
  <si>
    <t>1000311012</t>
  </si>
  <si>
    <t>OCP FERTILIZANTES - RIO GRANDE</t>
  </si>
  <si>
    <t>OCP FERTILIZANTES LTDA</t>
  </si>
  <si>
    <t>1000311373</t>
  </si>
  <si>
    <t>(011) 2663-8200</t>
  </si>
  <si>
    <t>IMEX SUL INSUMOS AGRICOLAS LTDA</t>
  </si>
  <si>
    <t>1000313260</t>
  </si>
  <si>
    <t>(055) 3028-6500</t>
  </si>
  <si>
    <t>INVICTA FERTILIZER NUTRIENTES LTDA</t>
  </si>
  <si>
    <t>1000322375</t>
  </si>
  <si>
    <t>4500</t>
  </si>
  <si>
    <t>(055) 3281-1323</t>
  </si>
  <si>
    <t>UNIFERTIL UNIVERSAL DE FERTILIZANTES LTD</t>
  </si>
  <si>
    <t>1000324173</t>
  </si>
  <si>
    <t>2850</t>
  </si>
  <si>
    <t>IRMAOS JOUGLARD LTDA</t>
  </si>
  <si>
    <t>1000325447</t>
  </si>
  <si>
    <t>639</t>
  </si>
  <si>
    <t>(055) 539149-5015</t>
  </si>
  <si>
    <t>ANGLO AMERICAN FOSFATOS BRASIL LTDA</t>
  </si>
  <si>
    <t>75704260</t>
  </si>
  <si>
    <t>100405932</t>
  </si>
  <si>
    <t>OUVIDOR  DOS CLAUDIOS KM 787</t>
  </si>
  <si>
    <t>ANGLO AMERICAN - NIQUELANDIA</t>
  </si>
  <si>
    <t>76420000</t>
  </si>
  <si>
    <t>ANGLO AMERICAN NÍQUEL BRASIL LTDA</t>
  </si>
  <si>
    <t>100568696</t>
  </si>
  <si>
    <t>NIQUELANDIA</t>
  </si>
  <si>
    <t>RODOVIA  GO 532</t>
  </si>
  <si>
    <t>(031) 3401-9100</t>
  </si>
  <si>
    <t>JOÃO MEDEIROS</t>
  </si>
  <si>
    <t>13900049</t>
  </si>
  <si>
    <t>1006107765</t>
  </si>
  <si>
    <t>AMPARO</t>
  </si>
  <si>
    <t>RUA PRACA RUI BARBOSA</t>
  </si>
  <si>
    <t>235</t>
  </si>
  <si>
    <t>DELIVAR ROSA DA SILVA</t>
  </si>
  <si>
    <t>10089510</t>
  </si>
  <si>
    <t>ZANGELICA</t>
  </si>
  <si>
    <t>TAILÂNDIA</t>
  </si>
  <si>
    <t>PARQUE DAS LARANJEIR</t>
  </si>
  <si>
    <t>(034) 99197-3613</t>
  </si>
  <si>
    <t>75905904</t>
  </si>
  <si>
    <t>COOP. AGROIND. DOS PRODUTORES RURAIS DO</t>
  </si>
  <si>
    <t>100903690</t>
  </si>
  <si>
    <t>RODOVIA  BR-060</t>
  </si>
  <si>
    <t>SETOR INDUSTRIAL</t>
  </si>
  <si>
    <t>(064) 3611-4316</t>
  </si>
  <si>
    <t>INTERMARITIMA PORTOS E LOGISTICA S/A</t>
  </si>
  <si>
    <t>101.862.174</t>
  </si>
  <si>
    <t>482</t>
  </si>
  <si>
    <t>(055) 712202-5500</t>
  </si>
  <si>
    <t>81130210</t>
  </si>
  <si>
    <t>BOUTIN FERTILIZANTES - CURITIBA</t>
  </si>
  <si>
    <t>BOUTIN FERTILIZANTES LTDA</t>
  </si>
  <si>
    <t>1011573424</t>
  </si>
  <si>
    <t>ANDRÉ FERREIRA BARBOSA</t>
  </si>
  <si>
    <t>CAPÃO RASO</t>
  </si>
  <si>
    <t>7097</t>
  </si>
  <si>
    <t>(041) 3014-1530</t>
  </si>
  <si>
    <t>101657790</t>
  </si>
  <si>
    <t>75132150</t>
  </si>
  <si>
    <t>ARAGUAIA S.A.</t>
  </si>
  <si>
    <t>101685220</t>
  </si>
  <si>
    <t>BR 251</t>
  </si>
  <si>
    <t>DISTRITO AGROINDUSTRIAL DE ANAPOLIS</t>
  </si>
  <si>
    <t>(055) 623310-8131</t>
  </si>
  <si>
    <t>74984300</t>
  </si>
  <si>
    <t>FERTILIZANTES ALIANCA EIRELI</t>
  </si>
  <si>
    <t>101874596</t>
  </si>
  <si>
    <t>RUA PARAISO</t>
  </si>
  <si>
    <t>JARDIM IPANEMA</t>
  </si>
  <si>
    <t>SAN FRANCISCO CORRETIVOS E FERTILIZANTES</t>
  </si>
  <si>
    <t>83513167</t>
  </si>
  <si>
    <t>102.00192-35</t>
  </si>
  <si>
    <t>ALMIRANTE TAMANDARE</t>
  </si>
  <si>
    <t>FRANCISCO DE LARA VAZ</t>
  </si>
  <si>
    <t>MORRO AZUL</t>
  </si>
  <si>
    <t>5151</t>
  </si>
  <si>
    <t>(055) 413657-2011</t>
  </si>
  <si>
    <t>FERTION INDÚSTRIA DE FERTILIZANTES LTDA</t>
  </si>
  <si>
    <t>83540000</t>
  </si>
  <si>
    <t>1020166530</t>
  </si>
  <si>
    <t>DOS MINÉRIOS</t>
  </si>
  <si>
    <t>AREIAS</t>
  </si>
  <si>
    <t>(041) 3652-8508</t>
  </si>
  <si>
    <t>WILLIAM LUIZ REZENDE SILVA</t>
  </si>
  <si>
    <t>10207621</t>
  </si>
  <si>
    <t>PADRE PIO</t>
  </si>
  <si>
    <t>842</t>
  </si>
  <si>
    <t>(034) 99682-7211</t>
  </si>
  <si>
    <t>75536140</t>
  </si>
  <si>
    <t>BOA SAFRA IND E COM DE FERTIL LTDA</t>
  </si>
  <si>
    <t>102138290</t>
  </si>
  <si>
    <t>Parcelado - 28/56</t>
  </si>
  <si>
    <t>PRIMARIA 4</t>
  </si>
  <si>
    <t>DISTRITO AGROINDUSTRIAL DE ITUMBIARA - DIAGRI</t>
  </si>
  <si>
    <t>(055) 643431-3153</t>
  </si>
  <si>
    <t>75600000</t>
  </si>
  <si>
    <t>SUL GOIANA IND COM FERTILIZANTES LTDA</t>
  </si>
  <si>
    <t>102343632</t>
  </si>
  <si>
    <t>GO 320 KM 02 MARGEM ESQUERDA</t>
  </si>
  <si>
    <t>320 KM</t>
  </si>
  <si>
    <t>(064) 3495-2600</t>
  </si>
  <si>
    <t>UBERPISO LTDA</t>
  </si>
  <si>
    <t>38400368</t>
  </si>
  <si>
    <t>10247170003</t>
  </si>
  <si>
    <t>ARTHUR BERNADES</t>
  </si>
  <si>
    <t>HIGINO GUERRA</t>
  </si>
  <si>
    <t>1540</t>
  </si>
  <si>
    <t>(034) 3225-6025</t>
  </si>
  <si>
    <t>ADUCAT ADUBOS</t>
  </si>
  <si>
    <t>75700000</t>
  </si>
  <si>
    <t>ADUCAT ADUBOS CATALAO COMERCIO IND LTDA</t>
  </si>
  <si>
    <t>102923663</t>
  </si>
  <si>
    <t>EIXO 1</t>
  </si>
  <si>
    <t>DIST MIN IND CATALAO</t>
  </si>
  <si>
    <t>(064) 3442-4192</t>
  </si>
  <si>
    <t>ADM - CATALÃO</t>
  </si>
  <si>
    <t>75701970</t>
  </si>
  <si>
    <t>ADM DO BRASIL LTDA</t>
  </si>
  <si>
    <t>102955387</t>
  </si>
  <si>
    <t>1, MODULO 47 A 72 SALA 02</t>
  </si>
  <si>
    <t>D.I.M.I.C.</t>
  </si>
  <si>
    <t>(064) 3441-7706</t>
  </si>
  <si>
    <t>ADUBOS ARAGUAIA</t>
  </si>
  <si>
    <t>102977224</t>
  </si>
  <si>
    <t>JAMIL MIGUEL</t>
  </si>
  <si>
    <t>4040</t>
  </si>
  <si>
    <t>(055) 062313-1144</t>
  </si>
  <si>
    <t>TANCAL COMERCIO - COLOMBO</t>
  </si>
  <si>
    <t>83414270</t>
  </si>
  <si>
    <t>COMERCIO E INDUSTRIA DE CAL TANCAL LTDA</t>
  </si>
  <si>
    <t>1030023206</t>
  </si>
  <si>
    <t>MARECHAL FLORIANO PEIXOTO</t>
  </si>
  <si>
    <t>8688</t>
  </si>
  <si>
    <t>83414510</t>
  </si>
  <si>
    <t>PRIMOCAL - COLOMBO</t>
  </si>
  <si>
    <t>PRIMOCAL INDÚSTRIA E COMÉRCIO DE FERTILI</t>
  </si>
  <si>
    <t>1030073483</t>
  </si>
  <si>
    <t>VICTOR RODRIGUES DE REZENDE</t>
  </si>
  <si>
    <t>567</t>
  </si>
  <si>
    <t>(041) 3656-3163</t>
  </si>
  <si>
    <t>83415070</t>
  </si>
  <si>
    <t>DIAMANTE IND. - COLOMBO</t>
  </si>
  <si>
    <t>DIAMANTE INDUSTRIA E COMERCIO LTDA</t>
  </si>
  <si>
    <t>1030202127</t>
  </si>
  <si>
    <t>ANTONIO GASPARINI</t>
  </si>
  <si>
    <t>POCO NEGRO</t>
  </si>
  <si>
    <t>423</t>
  </si>
  <si>
    <t>FERTIBOM FERTILIZANTES</t>
  </si>
  <si>
    <t>75570000</t>
  </si>
  <si>
    <t>FERTILIZANTES BOM JESUS LTDA</t>
  </si>
  <si>
    <t>103031421</t>
  </si>
  <si>
    <t>SECUNDARIA</t>
  </si>
  <si>
    <t>75801701</t>
  </si>
  <si>
    <t>ADUBOS SUDOESTE LTDA</t>
  </si>
  <si>
    <t>103160884</t>
  </si>
  <si>
    <t>JATAI</t>
  </si>
  <si>
    <t>BR 060</t>
  </si>
  <si>
    <t>DISTRITO AGROINDUSTR</t>
  </si>
  <si>
    <t>75905030</t>
  </si>
  <si>
    <t>IND. E COM. DE FERTILIZANTES RIFÉRTIL</t>
  </si>
  <si>
    <t>103274332</t>
  </si>
  <si>
    <t>DOS TRABALHADORES</t>
  </si>
  <si>
    <t>(064) 3612-1755</t>
  </si>
  <si>
    <t>INATIVO - FERTIMAN - BOM JESUS</t>
  </si>
  <si>
    <t>FERTIMAN IND. COM. PROD. QUÍM. LTDA</t>
  </si>
  <si>
    <t>103280375</t>
  </si>
  <si>
    <t>BR 452 KM 134</t>
  </si>
  <si>
    <t>(064) 3608-1747</t>
  </si>
  <si>
    <t>75901970</t>
  </si>
  <si>
    <t>103313737</t>
  </si>
  <si>
    <t>ESTADUAL ANEL VIARIO</t>
  </si>
  <si>
    <t>INDUMAX INDÚSTRIA E COMÉRCIO LTDA</t>
  </si>
  <si>
    <t>75513492</t>
  </si>
  <si>
    <t>103381708</t>
  </si>
  <si>
    <t>MARIANO HUNGRIA</t>
  </si>
  <si>
    <t>(055) 643404-7674</t>
  </si>
  <si>
    <t>ADUBOS SUDOESTE - CATALÃO</t>
  </si>
  <si>
    <t>103515542</t>
  </si>
  <si>
    <t>SANTO ANTONIO DO OUVIDOR</t>
  </si>
  <si>
    <t>(064) 9984-7337</t>
  </si>
  <si>
    <t>GISELE KARLA ROSA</t>
  </si>
  <si>
    <t>38400248</t>
  </si>
  <si>
    <t>10352968</t>
  </si>
  <si>
    <t>2795</t>
  </si>
  <si>
    <t>CARGILL - RIO VERDE</t>
  </si>
  <si>
    <t>CARGILL AGRÍCOLA S.A.</t>
  </si>
  <si>
    <t>103594108</t>
  </si>
  <si>
    <t>ROD EST ANEL VR FAZ S THOMAZ</t>
  </si>
  <si>
    <t>(064) 3611-1800</t>
  </si>
  <si>
    <t>STEFANI FERTILIZANTES FOLIARES</t>
  </si>
  <si>
    <t>75250000</t>
  </si>
  <si>
    <t>STEFANI FERTILIZANTES ESPECIAIS EIRELI</t>
  </si>
  <si>
    <t>103602062</t>
  </si>
  <si>
    <t>SENADOR CANEDO</t>
  </si>
  <si>
    <t>01</t>
  </si>
  <si>
    <t>(062) 3240-0400</t>
  </si>
  <si>
    <t>NUTRIGESSO - CATALÃO</t>
  </si>
  <si>
    <t>103606211</t>
  </si>
  <si>
    <t>MUNICIPAL SEBASTIAO DE PADUA</t>
  </si>
  <si>
    <t>FERTIGRAN - CATALÃO</t>
  </si>
  <si>
    <t>75713899</t>
  </si>
  <si>
    <t>FERTIGRAN FERTILIZANTES VALE DO RIO GRAN</t>
  </si>
  <si>
    <t>103643346</t>
  </si>
  <si>
    <t>(064) 3441-8900</t>
  </si>
  <si>
    <t>75700001</t>
  </si>
  <si>
    <t>ARAGUAIA S.A</t>
  </si>
  <si>
    <t>103659862</t>
  </si>
  <si>
    <t>BR 050 KM 274 A DIREITA</t>
  </si>
  <si>
    <t>(064) 3441-8844</t>
  </si>
  <si>
    <t>GEHAKA</t>
  </si>
  <si>
    <t>05686900</t>
  </si>
  <si>
    <t>INDUSTRIA E COM ELETRO ELET GEHAKA LTDA</t>
  </si>
  <si>
    <t>103681222116</t>
  </si>
  <si>
    <t>DUQUESA DE GOIAS</t>
  </si>
  <si>
    <t>REAL PARQUE</t>
  </si>
  <si>
    <t>(055) 112165-1100</t>
  </si>
  <si>
    <t>73816899</t>
  </si>
  <si>
    <t>CISBRA QUIMICA DO BRASIL LTDA</t>
  </si>
  <si>
    <t>103770623</t>
  </si>
  <si>
    <t>SANTA CRUZ-FUNDAO</t>
  </si>
  <si>
    <t>AREA RURAL DE FORMOSA</t>
  </si>
  <si>
    <t>CH84</t>
  </si>
  <si>
    <t>(055) 613632-2830</t>
  </si>
  <si>
    <t>LAS DO BRASIL COM.DE PROD A. E LAB. LTDA</t>
  </si>
  <si>
    <t>74993500</t>
  </si>
  <si>
    <t>103838627</t>
  </si>
  <si>
    <t>TANNER DE MELO</t>
  </si>
  <si>
    <t>PARQUE INDUSTRIAL VICE-PRESIDENTE JOSE ALENCAR</t>
  </si>
  <si>
    <t>PIMFOR EMPREENDIMENTOS AGROPECUARIOS LTD</t>
  </si>
  <si>
    <t>35578899</t>
  </si>
  <si>
    <t>10397900007</t>
  </si>
  <si>
    <t>PONTE VILA</t>
  </si>
  <si>
    <t>(055) 379922-4532</t>
  </si>
  <si>
    <t>TRANSAL TRANSPORTADORA SALVAN LTDA</t>
  </si>
  <si>
    <t>AGUETONI TRANSPORTES LTDA</t>
  </si>
  <si>
    <t>104130342</t>
  </si>
  <si>
    <t>RUA COPACABANA</t>
  </si>
  <si>
    <t>VILA GARCIA</t>
  </si>
  <si>
    <t>204</t>
  </si>
  <si>
    <t>(064) 03495-1411</t>
  </si>
  <si>
    <t>104189282</t>
  </si>
  <si>
    <t>(055) 643441-5100</t>
  </si>
  <si>
    <t>104383968</t>
  </si>
  <si>
    <t>GO 174 KM 1,5</t>
  </si>
  <si>
    <t>(064) 3613-6400</t>
  </si>
  <si>
    <t>ALMAD AGROINDUSTRIA LTDA</t>
  </si>
  <si>
    <t>75520375</t>
  </si>
  <si>
    <t>104594756</t>
  </si>
  <si>
    <t>EXPRESSO JULIO BORGES DE SOUZA</t>
  </si>
  <si>
    <t>NOVA EURORA</t>
  </si>
  <si>
    <t>(064) 3404-0100</t>
  </si>
  <si>
    <t>75132145</t>
  </si>
  <si>
    <t>HERINGER - ANÁPOLIS</t>
  </si>
  <si>
    <t>104696842</t>
  </si>
  <si>
    <t>VP 7-E</t>
  </si>
  <si>
    <t>DAIA</t>
  </si>
  <si>
    <t>(062) 4015-2200</t>
  </si>
  <si>
    <t>SHIMIZU FERTILIZANTES</t>
  </si>
  <si>
    <t>73808705</t>
  </si>
  <si>
    <t>SHIMIZU AGRO E QUIMICA DO BRASIL LTDA</t>
  </si>
  <si>
    <t>104731834</t>
  </si>
  <si>
    <t>AV SENADOR COIMBRA BUENO</t>
  </si>
  <si>
    <t>PARQUE VILA VERDE</t>
  </si>
  <si>
    <t>(061) 3631-7713</t>
  </si>
  <si>
    <t>CATAFÓS FERTILIZANTES LTDA - CATALÃO</t>
  </si>
  <si>
    <t>CATAFÓS FERTILIZANTES LTDA</t>
  </si>
  <si>
    <t>104870885</t>
  </si>
  <si>
    <t>QUIFÉRTIL IND. COM. REPRESENTAÇÕES</t>
  </si>
  <si>
    <t>QUIFÉRTIL IND. COM. REPRESENTAÇÕES LTDA</t>
  </si>
  <si>
    <t>104900326</t>
  </si>
  <si>
    <t>QUIRINOPOLIS</t>
  </si>
  <si>
    <t>VIA SECUNDÁRIA</t>
  </si>
  <si>
    <t>AGROINDUSTRIAL</t>
  </si>
  <si>
    <t>(064) 3651-3165</t>
  </si>
  <si>
    <t>RENOVAR ÓLEOS VEGETAIS LTDA - ME</t>
  </si>
  <si>
    <t>75780000</t>
  </si>
  <si>
    <t>104965592</t>
  </si>
  <si>
    <t>IPAMERI</t>
  </si>
  <si>
    <t>RODOVIA GO 213, KM 217</t>
  </si>
  <si>
    <t>(064) 3491-1017</t>
  </si>
  <si>
    <t>LUCAS LINO GUNDIM TRANSPORTES</t>
  </si>
  <si>
    <t>75706125</t>
  </si>
  <si>
    <t>105031259</t>
  </si>
  <si>
    <t>GERALDO BELO DA SILVA</t>
  </si>
  <si>
    <t>SETOR UNIVERSITARIO</t>
  </si>
  <si>
    <t>RIFÉRTIL - CATALÃO</t>
  </si>
  <si>
    <t>105085111</t>
  </si>
  <si>
    <t>BR 050 KM 270</t>
  </si>
  <si>
    <t>(064) 3411-3620</t>
  </si>
  <si>
    <t>75709150</t>
  </si>
  <si>
    <t>105194115</t>
  </si>
  <si>
    <t>L-2</t>
  </si>
  <si>
    <t>ZONA SUBURBANA</t>
  </si>
  <si>
    <t>MOSAIC - CATALÃO (CMC1)</t>
  </si>
  <si>
    <t>105194131</t>
  </si>
  <si>
    <t>CHAPADAO</t>
  </si>
  <si>
    <t>(034) 3252-2122</t>
  </si>
  <si>
    <t>INSTITUTO FEDERAL GOIANO - RIO VERDE</t>
  </si>
  <si>
    <t>INSTITUTO FEDERAL DE EDUCAÇÃO,CIENCIA E</t>
  </si>
  <si>
    <t>105231525</t>
  </si>
  <si>
    <t>SUL GOIANA</t>
  </si>
  <si>
    <t>SOLOFERTIL FERTILIZANTES LTDA</t>
  </si>
  <si>
    <t>75709660</t>
  </si>
  <si>
    <t>105340049</t>
  </si>
  <si>
    <t>EIXO PRINCIPAL 1, QUADRA 4, MÓDULO 1719</t>
  </si>
  <si>
    <t>1719</t>
  </si>
  <si>
    <t>(064) 3442-7094</t>
  </si>
  <si>
    <t>75707265</t>
  </si>
  <si>
    <t>EQUILÍBRIO FERTILIZANTES LTDA</t>
  </si>
  <si>
    <t>105449920</t>
  </si>
  <si>
    <t>BR 050 FAZENDA RIBEIRÃO</t>
  </si>
  <si>
    <t>(064) 3442-3031</t>
  </si>
  <si>
    <t>75713085</t>
  </si>
  <si>
    <t>JÉSSICA FERREIRA MACHADO DA SILVA -ME</t>
  </si>
  <si>
    <t>105522392</t>
  </si>
  <si>
    <t>RICARDO PARANHOS</t>
  </si>
  <si>
    <t>VILA MARGON</t>
  </si>
  <si>
    <t>209</t>
  </si>
  <si>
    <t>38414100</t>
  </si>
  <si>
    <t>1055350555</t>
  </si>
  <si>
    <t>OLGA MELO SILVA</t>
  </si>
  <si>
    <t>BAIRRO JARDIM PATRICIA 1</t>
  </si>
  <si>
    <t>MEGA MODA HOTEL</t>
  </si>
  <si>
    <t>74063320</t>
  </si>
  <si>
    <t>MEGA MODA HOTEL LTDA</t>
  </si>
  <si>
    <t>105618381</t>
  </si>
  <si>
    <t>67B</t>
  </si>
  <si>
    <t>SET NORTE FERROVIARIO</t>
  </si>
  <si>
    <t>(055) 623257-5040</t>
  </si>
  <si>
    <t>ADUFORT FERTILIZANTES - CATALÃO</t>
  </si>
  <si>
    <t>MINEROFERTIL IND E COM FERTILIZANTES LTD</t>
  </si>
  <si>
    <t>105644994</t>
  </si>
  <si>
    <t>GO 210 KM 55</t>
  </si>
  <si>
    <t>(064) 3441-3659</t>
  </si>
  <si>
    <t>CIA TRANSPORTES</t>
  </si>
  <si>
    <t>75912228</t>
  </si>
  <si>
    <t>EVERTON FERREIRA SANTOS E CIA LTDA</t>
  </si>
  <si>
    <t>105685020</t>
  </si>
  <si>
    <t>SETOR DOS FUNCIONARIOS</t>
  </si>
  <si>
    <t>(055) 349680-2961</t>
  </si>
  <si>
    <t>AMPLA COMERCIAL</t>
  </si>
  <si>
    <t>73813010</t>
  </si>
  <si>
    <t>AMPLA COMERCIAL AGRICOLA LTDA</t>
  </si>
  <si>
    <t>105942898</t>
  </si>
  <si>
    <t>AV BRASILIA</t>
  </si>
  <si>
    <t>FORMOSINHA</t>
  </si>
  <si>
    <t>1370</t>
  </si>
  <si>
    <t>(016) 3642-1033</t>
  </si>
  <si>
    <t>73850000</t>
  </si>
  <si>
    <t>MZE - COMERCIO E REPRESENTACOES DE PRODU</t>
  </si>
  <si>
    <t>106136810</t>
  </si>
  <si>
    <t>CRISTALINA</t>
  </si>
  <si>
    <t>JOSÉ DE ALENCAR</t>
  </si>
  <si>
    <t>JARDIM PLANALTO</t>
  </si>
  <si>
    <t>(062) 3247-0907</t>
  </si>
  <si>
    <t>HOCHSCHILD MINING</t>
  </si>
  <si>
    <t>76490000</t>
  </si>
  <si>
    <t>AMARILLO MINERACAO DO BRASIL LTDA</t>
  </si>
  <si>
    <t>106175920</t>
  </si>
  <si>
    <t>MARA ROSA</t>
  </si>
  <si>
    <t>INVERNADA</t>
  </si>
  <si>
    <t>(062) 3366-1929</t>
  </si>
  <si>
    <t>106213091</t>
  </si>
  <si>
    <t>BIONE FERTILIZANTES - OUVIDOR</t>
  </si>
  <si>
    <t>75715000</t>
  </si>
  <si>
    <t>BIONE FERTILIZANTES LTDA</t>
  </si>
  <si>
    <t>106233270</t>
  </si>
  <si>
    <t>OUVIDOR</t>
  </si>
  <si>
    <t>RODOVIA GO 503</t>
  </si>
  <si>
    <t>FERTILIZ. TOCANTINS - LUIS EDUARDO MAGAL</t>
  </si>
  <si>
    <t>106474350</t>
  </si>
  <si>
    <t>PERNANBUCO</t>
  </si>
  <si>
    <t>MIMOSO DO OESTE</t>
  </si>
  <si>
    <t>(063) 3363-0300</t>
  </si>
  <si>
    <t>FERTIMAIS FERTILIZANTES IND E COM LTDA</t>
  </si>
  <si>
    <t>106507150</t>
  </si>
  <si>
    <t>(055) 643442-3441</t>
  </si>
  <si>
    <t>GRUPO ELEVAR</t>
  </si>
  <si>
    <t>75905690</t>
  </si>
  <si>
    <t>ELETRICA ELEVAR LTDA</t>
  </si>
  <si>
    <t>106525590</t>
  </si>
  <si>
    <t>DAS SAFIRAS</t>
  </si>
  <si>
    <t>PARQUE BANDEIRANTE</t>
  </si>
  <si>
    <t>(055) 649977-3864</t>
  </si>
  <si>
    <t>NÃO USAR - GEN FERTILIZANTES - BOM JESUS</t>
  </si>
  <si>
    <t>GEN IND. E COM. DE FERTILIZ. LTDA - ME</t>
  </si>
  <si>
    <t>106552252</t>
  </si>
  <si>
    <t>(064) 9279-1228</t>
  </si>
  <si>
    <t>CIBRA - CRISTALINA</t>
  </si>
  <si>
    <t>CIBRAFÉRTIL COMPANHIA BRASILEIRA DE FERT</t>
  </si>
  <si>
    <t>106581830</t>
  </si>
  <si>
    <t>GO 436</t>
  </si>
  <si>
    <t>(071) 2202-4246</t>
  </si>
  <si>
    <t>SOLOTEK IND DE ADUBOS E FERTILIZANTES SA</t>
  </si>
  <si>
    <t>106920413</t>
  </si>
  <si>
    <t>V PR VP 7E</t>
  </si>
  <si>
    <t>DIST AGRO ANAPOLIS</t>
  </si>
  <si>
    <t>(062) 4006-0630</t>
  </si>
  <si>
    <t>FERTIMAN IND. COM. FERTILIZANTES LTDA</t>
  </si>
  <si>
    <t>106959425</t>
  </si>
  <si>
    <t>ROD BR 452</t>
  </si>
  <si>
    <t>98240000</t>
  </si>
  <si>
    <t>TRES TENTOS AGROINDUSTRIAL S/A</t>
  </si>
  <si>
    <t>1070014211</t>
  </si>
  <si>
    <t>AV PRINCIPAL</t>
  </si>
  <si>
    <t>187</t>
  </si>
  <si>
    <t>(055) 3372-3700</t>
  </si>
  <si>
    <t>83707762</t>
  </si>
  <si>
    <t>1070193759</t>
  </si>
  <si>
    <t>DOS PINHEIRAIS</t>
  </si>
  <si>
    <t>CHAPADA</t>
  </si>
  <si>
    <t>1761</t>
  </si>
  <si>
    <t>107022796</t>
  </si>
  <si>
    <t>PRESIDENTE MÉDICE</t>
  </si>
  <si>
    <t>(063) 3025-8080</t>
  </si>
  <si>
    <t>83700970</t>
  </si>
  <si>
    <t>SOLO VIVO IND COM DE FERTILIZANTES LTDA</t>
  </si>
  <si>
    <t>1070247352</t>
  </si>
  <si>
    <t>Parcelado - 30/60</t>
  </si>
  <si>
    <t>BR 476 KM 165</t>
  </si>
  <si>
    <t>GUAJUVIRA DE CIMA</t>
  </si>
  <si>
    <t>(041) 3614-3000</t>
  </si>
  <si>
    <t>GREIF EMBALAGENS INDUSTRIAIS DO BRASIL L</t>
  </si>
  <si>
    <t>83705575</t>
  </si>
  <si>
    <t>1070305492</t>
  </si>
  <si>
    <t>CAPELA VELHA</t>
  </si>
  <si>
    <t>465</t>
  </si>
  <si>
    <t>(055) 115694-9736</t>
  </si>
  <si>
    <t>TRANSPANORAMA TRANSPORTES S/A</t>
  </si>
  <si>
    <t>74925170</t>
  </si>
  <si>
    <t>107040840</t>
  </si>
  <si>
    <t>V ACESSO</t>
  </si>
  <si>
    <t>DANUBIO ROZA COELHO</t>
  </si>
  <si>
    <t>96211330</t>
  </si>
  <si>
    <t>1070884117</t>
  </si>
  <si>
    <t>LAGOA</t>
  </si>
  <si>
    <t>577</t>
  </si>
  <si>
    <t>INATIVO - CISBRA QUIMICA DO BRASIL LTDA</t>
  </si>
  <si>
    <t>107129493</t>
  </si>
  <si>
    <t>FAZ. SANTA CRUZ</t>
  </si>
  <si>
    <t>(061) 3632-2830</t>
  </si>
  <si>
    <t>AGROFÉRTIL CATALÃO</t>
  </si>
  <si>
    <t>AGROFERTIL COM. DE FERT. E CEREAIS LTDA</t>
  </si>
  <si>
    <t>107471850</t>
  </si>
  <si>
    <t>ZKAREN</t>
  </si>
  <si>
    <t>P 1 MODULOS 04 A 12</t>
  </si>
  <si>
    <t>DISTRITO MINERO INDUSTRIAL DE CATALAO</t>
  </si>
  <si>
    <t>ONIX PIZZARIA</t>
  </si>
  <si>
    <t>ONIX PIZZARIA LTDA</t>
  </si>
  <si>
    <t>107611503</t>
  </si>
  <si>
    <t>GOIAS</t>
  </si>
  <si>
    <t>30A</t>
  </si>
  <si>
    <t>(055) 623354-3414</t>
  </si>
  <si>
    <t>HOTEL LA VITRE</t>
  </si>
  <si>
    <t>75800005</t>
  </si>
  <si>
    <t>HOTEL LA VITRE LTDA</t>
  </si>
  <si>
    <t>107642964</t>
  </si>
  <si>
    <t>JOSE PEREIRA REZENDE</t>
  </si>
  <si>
    <t>SETOR CENTRAL - PARTE BAIXA</t>
  </si>
  <si>
    <t>1015</t>
  </si>
  <si>
    <t>(055) 643631-1824</t>
  </si>
  <si>
    <t>INATIVO - EQUILÍBRIO FERTIL. CATALAO</t>
  </si>
  <si>
    <t>107645548</t>
  </si>
  <si>
    <t>RODOVIA BR050</t>
  </si>
  <si>
    <t>TREVO DAS MINERACOES</t>
  </si>
  <si>
    <t>NUTRIEN AG - CRISTALINA</t>
  </si>
  <si>
    <t>107770857</t>
  </si>
  <si>
    <t>75714300</t>
  </si>
  <si>
    <t>NUTRISOYA IND. E COM. DE FERTILIZANTES</t>
  </si>
  <si>
    <t>107771870</t>
  </si>
  <si>
    <t>PIRES, ROD GO 506</t>
  </si>
  <si>
    <t>DISTR. DE PIRES BELO</t>
  </si>
  <si>
    <t>(055) 648128-7593</t>
  </si>
  <si>
    <t>CMOC - CATALAO</t>
  </si>
  <si>
    <t>CMOC BRASIL MINERAÇÃO IND E PARTIC. LTDA</t>
  </si>
  <si>
    <t>107800209</t>
  </si>
  <si>
    <t>ESTRADA OUVIDOR DOS CLAUDIOS</t>
  </si>
  <si>
    <t>NUTRIEN AG - MORRINHOS</t>
  </si>
  <si>
    <t>75650000</t>
  </si>
  <si>
    <t>107857405</t>
  </si>
  <si>
    <t>MORRINHOS</t>
  </si>
  <si>
    <t>75740000</t>
  </si>
  <si>
    <t>AGROFERTIL AGROPECUARIA EIRELI</t>
  </si>
  <si>
    <t>107956292</t>
  </si>
  <si>
    <t>GOIANDIRA</t>
  </si>
  <si>
    <t>ESAU MARQUES</t>
  </si>
  <si>
    <t>SÃO JOÃO</t>
  </si>
  <si>
    <t>SUPERFERTIL FERTILIZANTES.</t>
  </si>
  <si>
    <t>73840000</t>
  </si>
  <si>
    <t>SUPERFERTIL FABRICAÇÃO E COMERCIALIZAÇÃO</t>
  </si>
  <si>
    <t>107956586</t>
  </si>
  <si>
    <t>CAMPOS BELOS</t>
  </si>
  <si>
    <t>APARECIDA PRICINOTE GALVÃO,</t>
  </si>
  <si>
    <t>(062) 3451-1635</t>
  </si>
  <si>
    <t>HRC MANUTENCAO E ENSAIOS</t>
  </si>
  <si>
    <t>38405368</t>
  </si>
  <si>
    <t>HRC MANUTENCAO E ENSAIOS LTDA</t>
  </si>
  <si>
    <t>10796380023</t>
  </si>
  <si>
    <t>JOSE HUMBERTO ALCANTARA</t>
  </si>
  <si>
    <t>1350</t>
  </si>
  <si>
    <t>(055) 343255-7776</t>
  </si>
  <si>
    <t>MAPFRE SEGUROS GERAIS SA</t>
  </si>
  <si>
    <t>04794000</t>
  </si>
  <si>
    <t>108244683111</t>
  </si>
  <si>
    <t>DAS NAÇOES UNIDAS</t>
  </si>
  <si>
    <t>VILA GERTRUDES</t>
  </si>
  <si>
    <t>14261</t>
  </si>
  <si>
    <t>(011) 5111-2700</t>
  </si>
  <si>
    <t>GEN INDUSTRIA E COMERCIO DE FERTILIZANTE</t>
  </si>
  <si>
    <t>108278760</t>
  </si>
  <si>
    <t>V SECUNDARIA I</t>
  </si>
  <si>
    <t>DISTRITO AGROINDUSTRIAL</t>
  </si>
  <si>
    <t>(064) 3431-2005</t>
  </si>
  <si>
    <t>LOUIS DREYFUS - CATALAO</t>
  </si>
  <si>
    <t>LOUIS DREYFUS COMPANY BRASIL S.A.</t>
  </si>
  <si>
    <t>108285120</t>
  </si>
  <si>
    <t>A PRAZO - 35 DIAS</t>
  </si>
  <si>
    <t>SAO FRANCISCO</t>
  </si>
  <si>
    <t>04571936</t>
  </si>
  <si>
    <t>108383949112</t>
  </si>
  <si>
    <t>ENGENHEIRO LUIZ CARLOS BERRINI</t>
  </si>
  <si>
    <t>1376</t>
  </si>
  <si>
    <t>(055) 113430-4532</t>
  </si>
  <si>
    <t>ARAGUAIA</t>
  </si>
  <si>
    <t>72940000</t>
  </si>
  <si>
    <t>108543331</t>
  </si>
  <si>
    <t>ABADIANIA</t>
  </si>
  <si>
    <t>GO-474, KM 12 A ESQUERDA</t>
  </si>
  <si>
    <t>HOTEL PIRINEUS</t>
  </si>
  <si>
    <t>72975000</t>
  </si>
  <si>
    <t>IDELMA ALVES DE ASSUNCAO OLIVEIRA</t>
  </si>
  <si>
    <t>108864502</t>
  </si>
  <si>
    <t>COCALZINHO DE GOIAS</t>
  </si>
  <si>
    <t>CIDADE DOS PIRINEUS</t>
  </si>
  <si>
    <t>MINERIOS FURQUIM LTDA.</t>
  </si>
  <si>
    <t>1090024708</t>
  </si>
  <si>
    <t>DOS MINERIOS, KM 29, SN</t>
  </si>
  <si>
    <t>SANTARIA</t>
  </si>
  <si>
    <t>(055) 413652-3344</t>
  </si>
  <si>
    <t>BRASCAL CALCAREO DO BRASIL LTDA</t>
  </si>
  <si>
    <t>1090044300</t>
  </si>
  <si>
    <t>RODOVIA DOS MINÉRIOS</t>
  </si>
  <si>
    <t>(041) 3652-1333</t>
  </si>
  <si>
    <t>97140000</t>
  </si>
  <si>
    <t>FERTILIZANTES MULTIFERTIL INDUSTRIA E CO</t>
  </si>
  <si>
    <t>1090104526</t>
  </si>
  <si>
    <t>BR 392</t>
  </si>
  <si>
    <t>DISTRITO DE PAINS</t>
  </si>
  <si>
    <t>(055) 3226-1250</t>
  </si>
  <si>
    <t>1090206280</t>
  </si>
  <si>
    <t>SUPREMEFERTIL LTDA</t>
  </si>
  <si>
    <t>109024168</t>
  </si>
  <si>
    <t>GO 110, CAMPOS BELOS A NOVO ALEGRE, KM5,5 A ESQUERDA 1,5 KM</t>
  </si>
  <si>
    <t>LABORGLAS IND COM MAT LAB LTDA</t>
  </si>
  <si>
    <t>03054020</t>
  </si>
  <si>
    <t>109178230114</t>
  </si>
  <si>
    <t>RUA CORONEL ALBINO BAIRAO</t>
  </si>
  <si>
    <t>BELENZINHO</t>
  </si>
  <si>
    <t>203</t>
  </si>
  <si>
    <t>(011) 2790-4222</t>
  </si>
  <si>
    <t>FAZENDA JARDIM</t>
  </si>
  <si>
    <t>AGROPECUARIA VILHENA LTDA</t>
  </si>
  <si>
    <t>1098828860054</t>
  </si>
  <si>
    <t>MAESTRO POMPEU</t>
  </si>
  <si>
    <t>XORORO</t>
  </si>
  <si>
    <t>273</t>
  </si>
  <si>
    <t>(055) 353261-1435</t>
  </si>
  <si>
    <t>FAZENDA SANT'ANA</t>
  </si>
  <si>
    <t>ANA MARIA DE CARVALHO GASPAR</t>
  </si>
  <si>
    <t>11.297.610.024</t>
  </si>
  <si>
    <t>(035) 99987-0745</t>
  </si>
  <si>
    <t>ALFA INSTRUMENTOS ELETRÔNICOS LTDA</t>
  </si>
  <si>
    <t>02710020</t>
  </si>
  <si>
    <t>110091589118</t>
  </si>
  <si>
    <t>ZVANESSA</t>
  </si>
  <si>
    <t>CEL. MARIO DE AZEVEDO</t>
  </si>
  <si>
    <t>LIMÃO</t>
  </si>
  <si>
    <t>138</t>
  </si>
  <si>
    <t>(011) 3952-2299</t>
  </si>
  <si>
    <t>ROBERTO DIB ACESSORIOS E PEÇAS</t>
  </si>
  <si>
    <t>02116010</t>
  </si>
  <si>
    <t>110394299110</t>
  </si>
  <si>
    <t>RUA CARMOPOLIS DE MINAS</t>
  </si>
  <si>
    <t>VILA MARIA</t>
  </si>
  <si>
    <t>425</t>
  </si>
  <si>
    <t>(011) 3388-4040</t>
  </si>
  <si>
    <t>PAPA-LEGUAS AUTO CENTER, LIMPEZA E CONSE</t>
  </si>
  <si>
    <t>38408186</t>
  </si>
  <si>
    <t>11064610064</t>
  </si>
  <si>
    <t>FRANCISCO RIBEIRO</t>
  </si>
  <si>
    <t>1765</t>
  </si>
  <si>
    <t>(055) 343232-8447</t>
  </si>
  <si>
    <t>INDUSTRIA DE ARTEFATOS DE BORRACHAS CATU</t>
  </si>
  <si>
    <t>03021070</t>
  </si>
  <si>
    <t>110724554111</t>
  </si>
  <si>
    <t>RUA PERO LOPES DE SOUZA</t>
  </si>
  <si>
    <t>146</t>
  </si>
  <si>
    <t>TRANSPORTADORA NEVES</t>
  </si>
  <si>
    <t>37415830</t>
  </si>
  <si>
    <t>TRANSPORTADORA NEVES LTDA</t>
  </si>
  <si>
    <t>1109280170002</t>
  </si>
  <si>
    <t>OTACILIO PEREIRA AMORELLI</t>
  </si>
  <si>
    <t>VILA FERNAO DIAS</t>
  </si>
  <si>
    <t>(055) 354101-0233</t>
  </si>
  <si>
    <t>INSTRUTHERM INSTRUMENTOS DE MEDICAO LTDA</t>
  </si>
  <si>
    <t>02911030</t>
  </si>
  <si>
    <t>111093664118</t>
  </si>
  <si>
    <t>JORGE DE FREITAS</t>
  </si>
  <si>
    <t>VILA SANTA DELFINA</t>
  </si>
  <si>
    <t>274</t>
  </si>
  <si>
    <t>(055) 112144-2800</t>
  </si>
  <si>
    <t>NUTRISAFRA</t>
  </si>
  <si>
    <t>05318000</t>
  </si>
  <si>
    <t>NUTRISAFRA FERTILIZANTES LTDA</t>
  </si>
  <si>
    <t>111170613116</t>
  </si>
  <si>
    <t>BAUMANN</t>
  </si>
  <si>
    <t>VILA LEOPOLDINA</t>
  </si>
  <si>
    <t>1337</t>
  </si>
  <si>
    <t>CONFOR</t>
  </si>
  <si>
    <t>02037001</t>
  </si>
  <si>
    <t>CONFOR INSTRUMENTOS DE MEDICAO LTDA -EPP</t>
  </si>
  <si>
    <t>111271580116</t>
  </si>
  <si>
    <t>DR OLAVO EGIDIO</t>
  </si>
  <si>
    <t>579</t>
  </si>
  <si>
    <t>(011) 2281-9777</t>
  </si>
  <si>
    <t>ROGÉLIO TOLEDO MARTINS</t>
  </si>
  <si>
    <t>11145687</t>
  </si>
  <si>
    <t>DA CRIANÇA</t>
  </si>
  <si>
    <t>263</t>
  </si>
  <si>
    <t>(034) 99168-6988</t>
  </si>
  <si>
    <t>COMERCIAL ELETRICA PJ LTDA</t>
  </si>
  <si>
    <t>05311030</t>
  </si>
  <si>
    <t>COMERCIAL ELETRICA P.J.LTDA</t>
  </si>
  <si>
    <t>111775231117</t>
  </si>
  <si>
    <t>RUA MERGENTHALER</t>
  </si>
  <si>
    <t>(055) 113649-9800</t>
  </si>
  <si>
    <t>JAMES SOARES JUNIOR</t>
  </si>
  <si>
    <t>73870000</t>
  </si>
  <si>
    <t>112249779</t>
  </si>
  <si>
    <t>CABECEIRAS</t>
  </si>
  <si>
    <t>ROD BR 020 KM 62</t>
  </si>
  <si>
    <t>03422001</t>
  </si>
  <si>
    <t>SANTA CRUZ INDUSTRIAL E COMERCIAL LTDA</t>
  </si>
  <si>
    <t>112365871117</t>
  </si>
  <si>
    <t>GUILHERME GIORGI</t>
  </si>
  <si>
    <t>VILA FORMOSA</t>
  </si>
  <si>
    <t>1320</t>
  </si>
  <si>
    <t>(055) 112676-9300</t>
  </si>
  <si>
    <t>FAZENDA DOS COCAIS LG FLORESTA</t>
  </si>
  <si>
    <t>SILVIA ARAUJO CENCI</t>
  </si>
  <si>
    <t>1123730125</t>
  </si>
  <si>
    <t>FAZENDA FLORESTA</t>
  </si>
  <si>
    <t>SOLUÇÕES STORE</t>
  </si>
  <si>
    <t>21830600</t>
  </si>
  <si>
    <t>T P S VIEIRA COMÉRCIO ELETRÔNICOS</t>
  </si>
  <si>
    <t>11252389</t>
  </si>
  <si>
    <t>CARVALHO</t>
  </si>
  <si>
    <t>SENADOR CAMARÁ</t>
  </si>
  <si>
    <t>(021) 8083-1003</t>
  </si>
  <si>
    <t>SUZANO PAPEL E CELULOSE</t>
  </si>
  <si>
    <t>01452919</t>
  </si>
  <si>
    <t>SUZANO S.A.</t>
  </si>
  <si>
    <t>113028860113</t>
  </si>
  <si>
    <t>BRIGADEIRO FARIA LIMA</t>
  </si>
  <si>
    <t>1355</t>
  </si>
  <si>
    <t>K &amp; K DO BRASIL LTDA</t>
  </si>
  <si>
    <t>04050000</t>
  </si>
  <si>
    <t>113311288111</t>
  </si>
  <si>
    <t>DAS ORQUÍDEAS</t>
  </si>
  <si>
    <t>MIRANDOPOLIS</t>
  </si>
  <si>
    <t>(011) 5071-1630</t>
  </si>
  <si>
    <t>JULIANA DA SILVA GOMES</t>
  </si>
  <si>
    <t>11376496</t>
  </si>
  <si>
    <t>BOSQUE KARAÍBA</t>
  </si>
  <si>
    <t>4550</t>
  </si>
  <si>
    <t>PF CARGAS TRANSPORTES EIRELI</t>
  </si>
  <si>
    <t>21070032</t>
  </si>
  <si>
    <t>11446710</t>
  </si>
  <si>
    <t>BRAZ DE PINA</t>
  </si>
  <si>
    <t>JARDIM DA PENHA</t>
  </si>
  <si>
    <t>00096</t>
  </si>
  <si>
    <t>(055) 216428-4958</t>
  </si>
  <si>
    <t>SOVEREIGN COM PROD LABORATORIO LTDA</t>
  </si>
  <si>
    <t>05089001</t>
  </si>
  <si>
    <t>114533841113</t>
  </si>
  <si>
    <t>GUAIPÁ</t>
  </si>
  <si>
    <t>179</t>
  </si>
  <si>
    <t>(011) 3838-2450</t>
  </si>
  <si>
    <t>ENDRESS + HAUSER CONTROLE E AUTOMAÇÃO LT</t>
  </si>
  <si>
    <t>04029901</t>
  </si>
  <si>
    <t>ENDRESS + HAUSER</t>
  </si>
  <si>
    <t>114964657110</t>
  </si>
  <si>
    <t>ZMAXWELL</t>
  </si>
  <si>
    <t>MOEMA</t>
  </si>
  <si>
    <t>2033</t>
  </si>
  <si>
    <t>(011) 5033-4333</t>
  </si>
  <si>
    <t>MAERSK BRASIL BRASMAR</t>
  </si>
  <si>
    <t>04719002</t>
  </si>
  <si>
    <t>MAERSK BRASIL BRASMAR LTDA</t>
  </si>
  <si>
    <t>115.560.587.119</t>
  </si>
  <si>
    <t>VERBO DIVINO</t>
  </si>
  <si>
    <t>CHACARA SANTO ANTONIO (ZONA SUL)</t>
  </si>
  <si>
    <t>1547</t>
  </si>
  <si>
    <t>(055) 113595-0650</t>
  </si>
  <si>
    <t>VIGNA</t>
  </si>
  <si>
    <t>01046010</t>
  </si>
  <si>
    <t>VIGNA BRASIL CONSULTORIA EM ASSUNTOS EST</t>
  </si>
  <si>
    <t>115.566.831.119</t>
  </si>
  <si>
    <t>(055) 113124-4455</t>
  </si>
  <si>
    <t>05425070</t>
  </si>
  <si>
    <t>115.970.590.118</t>
  </si>
  <si>
    <t>DOUTORA RUTH CARDOSO</t>
  </si>
  <si>
    <t>PINHEIROS</t>
  </si>
  <si>
    <t>8501</t>
  </si>
  <si>
    <t>(055) 1195303-1741</t>
  </si>
  <si>
    <t>SITIO POR DO SOL</t>
  </si>
  <si>
    <t>37498000</t>
  </si>
  <si>
    <t>JOSE SEBASTIAO PEREIRA</t>
  </si>
  <si>
    <t>11509160043</t>
  </si>
  <si>
    <t>CORDISLANDIA</t>
  </si>
  <si>
    <t>POR DO SOL</t>
  </si>
  <si>
    <t>(035) 3263-1148</t>
  </si>
  <si>
    <t>MARCELO MARQUES COBRA - PROD.RURAL</t>
  </si>
  <si>
    <t>11546690050</t>
  </si>
  <si>
    <t>(034) 99225-0164</t>
  </si>
  <si>
    <t>BPAR QUIMICA LTDA</t>
  </si>
  <si>
    <t>04089001</t>
  </si>
  <si>
    <t>115611580111</t>
  </si>
  <si>
    <t>DOS MARACATINS</t>
  </si>
  <si>
    <t>(011) 5094-2050</t>
  </si>
  <si>
    <t>95110195</t>
  </si>
  <si>
    <t>115805</t>
  </si>
  <si>
    <t>CAXIAS DO SUL</t>
  </si>
  <si>
    <t>THEREZINHA PAULETTI SANVITTO</t>
  </si>
  <si>
    <t>DESVIO RIZZO</t>
  </si>
  <si>
    <t>(055) 543026-1000</t>
  </si>
  <si>
    <t>MILIA INTERNATIONAL TRADE LTDA</t>
  </si>
  <si>
    <t>25620040</t>
  </si>
  <si>
    <t>11596592</t>
  </si>
  <si>
    <t>PETROPOLIS</t>
  </si>
  <si>
    <t>DEZESSEIS DE MARCO</t>
  </si>
  <si>
    <t>51</t>
  </si>
  <si>
    <t>(055) 242233-1717</t>
  </si>
  <si>
    <t>COMPASS MINERALS</t>
  </si>
  <si>
    <t>01310920</t>
  </si>
  <si>
    <t>COMPASS MINERALS AMERICA SUL IND COM S.A</t>
  </si>
  <si>
    <t>116429420110</t>
  </si>
  <si>
    <t>PAULISTA</t>
  </si>
  <si>
    <t>CERQUEIRA CÉSAR</t>
  </si>
  <si>
    <t>1754</t>
  </si>
  <si>
    <t>(011) 3016-9600</t>
  </si>
  <si>
    <t>FAP ACRILICOS</t>
  </si>
  <si>
    <t>04675060</t>
  </si>
  <si>
    <t>FAP IND. E COM. DE ACRILICOS LTDA - EPP</t>
  </si>
  <si>
    <t>116507893115</t>
  </si>
  <si>
    <t>SARGENTO FRANCISCO BOEMING</t>
  </si>
  <si>
    <t>JARDIM TAQUARAL</t>
  </si>
  <si>
    <t>189</t>
  </si>
  <si>
    <t>(011) 5525-0000</t>
  </si>
  <si>
    <t>HIDROPARTS METALURGICA LTDA</t>
  </si>
  <si>
    <t>03107002</t>
  </si>
  <si>
    <t>116832048111</t>
  </si>
  <si>
    <t>PRESIDENTE WILSON</t>
  </si>
  <si>
    <t>PARQUE DA MOOCA</t>
  </si>
  <si>
    <t>2531</t>
  </si>
  <si>
    <t>LUCAS AMANCIO GOMES DE OLIVEIRA</t>
  </si>
  <si>
    <t>11768450056</t>
  </si>
  <si>
    <t>83221685</t>
  </si>
  <si>
    <t>1180126402</t>
  </si>
  <si>
    <t>GABRIEL DE LARA</t>
  </si>
  <si>
    <t>29 DE JULHO</t>
  </si>
  <si>
    <t>IBIS BUDGET SAO PAULO MORUMBI</t>
  </si>
  <si>
    <t>04707000</t>
  </si>
  <si>
    <t>HOTELARIA ALBA S.A.</t>
  </si>
  <si>
    <t>118017625114</t>
  </si>
  <si>
    <t>ROQUE PETRONI JUNIOR</t>
  </si>
  <si>
    <t>JARDIM DAS ACACIAS</t>
  </si>
  <si>
    <t>800</t>
  </si>
  <si>
    <t>(055) 112107-0840</t>
  </si>
  <si>
    <t>83221755</t>
  </si>
  <si>
    <t>FOSPAR S/A</t>
  </si>
  <si>
    <t>1180338094</t>
  </si>
  <si>
    <t>CARLOS FONSECA DE ARAUJO</t>
  </si>
  <si>
    <t>VILA PORTUARIA</t>
  </si>
  <si>
    <t>375</t>
  </si>
  <si>
    <t>83203762</t>
  </si>
  <si>
    <t>FERTIPAR FERTILIZANTES DO PARANA LTDA</t>
  </si>
  <si>
    <t>1180414530</t>
  </si>
  <si>
    <t>COMENDADOR CORREIA JUNIOR</t>
  </si>
  <si>
    <t>1178</t>
  </si>
  <si>
    <t>41326-9009</t>
  </si>
  <si>
    <t>AUTO ELETRICA FLAVIO</t>
  </si>
  <si>
    <t>83206350</t>
  </si>
  <si>
    <t>FLAVIO KAZUTOYO VITAKI</t>
  </si>
  <si>
    <t>1180533202</t>
  </si>
  <si>
    <t>PREFEITO ROQUE VERNALHA</t>
  </si>
  <si>
    <t>ITIBERE</t>
  </si>
  <si>
    <t>38</t>
  </si>
  <si>
    <t>(041) 3422-5637</t>
  </si>
  <si>
    <t>ABC BRASIL COMERC DE ENERGIA LTDA.</t>
  </si>
  <si>
    <t>01453000</t>
  </si>
  <si>
    <t>118804672115</t>
  </si>
  <si>
    <t>ITAIM BIBI</t>
  </si>
  <si>
    <t>803</t>
  </si>
  <si>
    <t>ENGEA ENGENHARIA</t>
  </si>
  <si>
    <t>38400112</t>
  </si>
  <si>
    <t>ENGEA ENGEN AVAL E CONSULTORIA LTDA</t>
  </si>
  <si>
    <t>11925600</t>
  </si>
  <si>
    <t>(055) 349194-0008</t>
  </si>
  <si>
    <t>LYNNEKER PRADO BARBOSA</t>
  </si>
  <si>
    <t>38440174</t>
  </si>
  <si>
    <t>11928647</t>
  </si>
  <si>
    <t>AVARÉ</t>
  </si>
  <si>
    <t>(034) 3241-6739</t>
  </si>
  <si>
    <t>INDFLOW EQUIPAMENTO INDUSTRIAIS</t>
  </si>
  <si>
    <t>04773000</t>
  </si>
  <si>
    <t>119410881115</t>
  </si>
  <si>
    <t>AV CORONEL OCTAVIANO DE FREITAS</t>
  </si>
  <si>
    <t>VELEIROS</t>
  </si>
  <si>
    <t>519</t>
  </si>
  <si>
    <t>PARATY ENERGIA LTDA</t>
  </si>
  <si>
    <t>04571050</t>
  </si>
  <si>
    <t>119783794110</t>
  </si>
  <si>
    <t>SURUBIM</t>
  </si>
  <si>
    <t>(055) 115200-0800</t>
  </si>
  <si>
    <t>EDSON DOS SANTOS SILVA</t>
  </si>
  <si>
    <t>38401134</t>
  </si>
  <si>
    <t>11987360</t>
  </si>
  <si>
    <t>DONA JOSEFINA DE OLIVEIRA SILVA</t>
  </si>
  <si>
    <t>114</t>
  </si>
  <si>
    <t>(034) 99245-9118</t>
  </si>
  <si>
    <t>NAO UTILIZAR - DUPLICIDADE - USAR 2123</t>
  </si>
  <si>
    <t>ALBERTO DE SOUZA</t>
  </si>
  <si>
    <t>02060000</t>
  </si>
  <si>
    <t>119981044112</t>
  </si>
  <si>
    <t>EUGENIO DE FREITAS</t>
  </si>
  <si>
    <t>VILA GUILHERME</t>
  </si>
  <si>
    <t>777</t>
  </si>
  <si>
    <t>37245000</t>
  </si>
  <si>
    <t>MESSIAS ADAILSON DE OLIVEIRA</t>
  </si>
  <si>
    <t>12.882.040.008</t>
  </si>
  <si>
    <t>CARRANCAS</t>
  </si>
  <si>
    <t>ACAMPAMENTO FAZENDA BOA VISTA</t>
  </si>
  <si>
    <t>(035) 9966-2506</t>
  </si>
  <si>
    <t>FLYMIX</t>
  </si>
  <si>
    <t>06186073</t>
  </si>
  <si>
    <t>RAFAEL DOS SANTOS MECHELETTI 30827913877</t>
  </si>
  <si>
    <t>120117800115</t>
  </si>
  <si>
    <t>OSASCO</t>
  </si>
  <si>
    <t>AZALEIA BRANCA</t>
  </si>
  <si>
    <t>PQ SÃO PEDRO</t>
  </si>
  <si>
    <t>115</t>
  </si>
  <si>
    <t>(055) 114554-6357</t>
  </si>
  <si>
    <t>CLARA TRANSP E OPER LOGISTICA</t>
  </si>
  <si>
    <t>06278010</t>
  </si>
  <si>
    <t>CLARA TRANSPORTES E OPER LOGISTICA LTDA.</t>
  </si>
  <si>
    <t>120375516112</t>
  </si>
  <si>
    <t>AV DOUTOR MAURO LINDEMBERG MONTEIRO</t>
  </si>
  <si>
    <t>INDUSTRIAL ANHANGUERRA</t>
  </si>
  <si>
    <t>121</t>
  </si>
  <si>
    <t>(055) 343213-1407</t>
  </si>
  <si>
    <t>KANGU TRANSPORTES LTDA</t>
  </si>
  <si>
    <t>06020012</t>
  </si>
  <si>
    <t>120540242118</t>
  </si>
  <si>
    <t>DOS AUTONOMISTAS</t>
  </si>
  <si>
    <t>VILA YARA</t>
  </si>
  <si>
    <t>FALKE</t>
  </si>
  <si>
    <t>02079020</t>
  </si>
  <si>
    <t>FALKE INDUSTRIA E COMERCIO DE MAQUINAS</t>
  </si>
  <si>
    <t>120964423116</t>
  </si>
  <si>
    <t>BENEDITA RODRIGUES DOMINGOS</t>
  </si>
  <si>
    <t>VILA ISOLINA MAZZEI</t>
  </si>
  <si>
    <t>(055) 119911-1858</t>
  </si>
  <si>
    <t>WARNEY VALENÇA COUTINHO</t>
  </si>
  <si>
    <t>49000590</t>
  </si>
  <si>
    <t>1212272</t>
  </si>
  <si>
    <t>ARACAJU</t>
  </si>
  <si>
    <t>RUA C, RESIDENCIAL PORTO SUL</t>
  </si>
  <si>
    <t>ARUANA</t>
  </si>
  <si>
    <t>HEITOR HONORATO GONÇALVES SANTOS</t>
  </si>
  <si>
    <t>12131916</t>
  </si>
  <si>
    <t>MARCOLINO RIBEIRO</t>
  </si>
  <si>
    <t>KARAÍBA</t>
  </si>
  <si>
    <t>(034) 99974-8052</t>
  </si>
  <si>
    <t>CIA DAS FRUTAS LTDA</t>
  </si>
  <si>
    <t>38408369</t>
  </si>
  <si>
    <t>12132690030</t>
  </si>
  <si>
    <t>65800000</t>
  </si>
  <si>
    <t>GEES S/A</t>
  </si>
  <si>
    <t>121781771</t>
  </si>
  <si>
    <t>BALSAS</t>
  </si>
  <si>
    <t>MA 006 KM 05</t>
  </si>
  <si>
    <t>VIVA GLOBAL CARGO, SERVICOS LOGISTICOS L</t>
  </si>
  <si>
    <t>13042832</t>
  </si>
  <si>
    <t>VIVA GLOBAL CARGO, SERV. LOG. LTDA</t>
  </si>
  <si>
    <t>122222823117</t>
  </si>
  <si>
    <t>ANA SANTINA PEREIRA</t>
  </si>
  <si>
    <t>CHACARAS SAO MARTINHO</t>
  </si>
  <si>
    <t>1094</t>
  </si>
  <si>
    <t>(055) 193856-9700</t>
  </si>
  <si>
    <t>AUTOGLASS</t>
  </si>
  <si>
    <t>13070051</t>
  </si>
  <si>
    <t>SP CRISTAIS AUTOMOTIVOS LTDA</t>
  </si>
  <si>
    <t>122349099114</t>
  </si>
  <si>
    <t>FRANCISCO JOSE DE CAMARGO ANDRADE</t>
  </si>
  <si>
    <t>JARDIM CHAPADAO</t>
  </si>
  <si>
    <t>770</t>
  </si>
  <si>
    <t>(055) 272121-5501</t>
  </si>
  <si>
    <t>65095603</t>
  </si>
  <si>
    <t>FERTIPAR FERTILIZANTES DO MARANHAO LTDA</t>
  </si>
  <si>
    <t>122377168</t>
  </si>
  <si>
    <t>ENG. EMILIANO MACIEIRA</t>
  </si>
  <si>
    <t>PEDRINHAS</t>
  </si>
  <si>
    <t>3000</t>
  </si>
  <si>
    <t>65095604</t>
  </si>
  <si>
    <t>123257310</t>
  </si>
  <si>
    <t>ESTIVA</t>
  </si>
  <si>
    <t>(098) 8802-4189</t>
  </si>
  <si>
    <t>FAZENDA CAMPO BONITO</t>
  </si>
  <si>
    <t>ELIOMAR RODRIGUES ROSA</t>
  </si>
  <si>
    <t>12336950057</t>
  </si>
  <si>
    <t>CAMPO BONITO</t>
  </si>
  <si>
    <t>65099090</t>
  </si>
  <si>
    <t>123572703</t>
  </si>
  <si>
    <t>123673062</t>
  </si>
  <si>
    <t>ENGENHEIRO EMILIANO MACIEIRA</t>
  </si>
  <si>
    <t>(055) 984009-7600</t>
  </si>
  <si>
    <t>OCEANA MINERAIS MARINHOS LTDA</t>
  </si>
  <si>
    <t>65580000</t>
  </si>
  <si>
    <t>123843537</t>
  </si>
  <si>
    <t>TUTOIA</t>
  </si>
  <si>
    <t>RUA TIMBIRAS</t>
  </si>
  <si>
    <t>POVOADO DE BOM GOSTO</t>
  </si>
  <si>
    <t>65055085</t>
  </si>
  <si>
    <t>MG VIDROS AUTOMOTIVOS LTDA</t>
  </si>
  <si>
    <t>123892082</t>
  </si>
  <si>
    <t>DOS FRANCESES</t>
  </si>
  <si>
    <t>TIRIRICAL</t>
  </si>
  <si>
    <t>1100</t>
  </si>
  <si>
    <t>VALGE</t>
  </si>
  <si>
    <t>93022680</t>
  </si>
  <si>
    <t>VALDIR GEREMIA INDUSTRIA E COMERCIO LTDA</t>
  </si>
  <si>
    <t>1240199993</t>
  </si>
  <si>
    <t>GERMANO HAUSCHILD</t>
  </si>
  <si>
    <t>CRISTO REI</t>
  </si>
  <si>
    <t>(055) 513568-5240</t>
  </si>
  <si>
    <t>GEES FERTILIZANTES - SÃO LUIS</t>
  </si>
  <si>
    <t>65095600</t>
  </si>
  <si>
    <t>124050247</t>
  </si>
  <si>
    <t>GEES COMERCIO - BALSAS</t>
  </si>
  <si>
    <t>124133975</t>
  </si>
  <si>
    <t>MA 06</t>
  </si>
  <si>
    <t>(099) 3541-6500</t>
  </si>
  <si>
    <t>TOLL-MULTITRANS TRANSP - SAO LUIS-MA</t>
  </si>
  <si>
    <t>TOLL-MULTITRANS TRANSP E ARMAZENS GERAIS</t>
  </si>
  <si>
    <t>124394590</t>
  </si>
  <si>
    <t>1996</t>
  </si>
  <si>
    <t>34207-7700</t>
  </si>
  <si>
    <t>FAZENDA QUEIMADA PRETA</t>
  </si>
  <si>
    <t>37588000</t>
  </si>
  <si>
    <t>MIGUEL DONIZETI PEREZ DE SOUZA</t>
  </si>
  <si>
    <t>12442700611</t>
  </si>
  <si>
    <t>IPUIUNA</t>
  </si>
  <si>
    <t>ESTRADA QUEIMADA PRETA</t>
  </si>
  <si>
    <t>QUEIMADA PRETA</t>
  </si>
  <si>
    <t>(035) 99144-2383</t>
  </si>
  <si>
    <t>15035560</t>
  </si>
  <si>
    <t>124463855118</t>
  </si>
  <si>
    <t>THESSALONICO BARBOSA</t>
  </si>
  <si>
    <t>WALDEMAR DE OLIVEIRA VERDI - DIST. IND.</t>
  </si>
  <si>
    <t>301</t>
  </si>
  <si>
    <t>CIBRAFERTIL COMP BRASILEIRA DE FERTIL</t>
  </si>
  <si>
    <t>124663855</t>
  </si>
  <si>
    <t>12512738</t>
  </si>
  <si>
    <t>COPI - SÃO LUIS</t>
  </si>
  <si>
    <t>65085370</t>
  </si>
  <si>
    <t>COMPANHIA OPERADORA PORTUARIA DO ITAQUI</t>
  </si>
  <si>
    <t>125393164</t>
  </si>
  <si>
    <t>PTO DO ITAQUI</t>
  </si>
  <si>
    <t>A.S.T GUINDASTES - ARAUJO SERVICOS DE TR</t>
  </si>
  <si>
    <t>65043765</t>
  </si>
  <si>
    <t>ARAUJO SERVICOS DE TRANSPORTES E GUINDAS</t>
  </si>
  <si>
    <t>125642334</t>
  </si>
  <si>
    <t>AVENIDA DOS FRANCESES</t>
  </si>
  <si>
    <t>COHEB DO SACAVEM</t>
  </si>
  <si>
    <t>(055) 989860-4398</t>
  </si>
  <si>
    <t>DK CIENCIA AGRONOMICA - HENRY SAKO</t>
  </si>
  <si>
    <t>13080661</t>
  </si>
  <si>
    <t>DK CIENCIA AGRONOMICA E SERVICOS LTDA</t>
  </si>
  <si>
    <t>125864668110</t>
  </si>
  <si>
    <t>ADELAIDE DANIEL DE ALMEIDA</t>
  </si>
  <si>
    <t>LOTEAMENTO CENTER SANTA GENEBRA</t>
  </si>
  <si>
    <t>(055) 199104-1043</t>
  </si>
  <si>
    <t>SITIO TAIPAS</t>
  </si>
  <si>
    <t>36282000</t>
  </si>
  <si>
    <t>CARLOS ALBERTO TUYAMA</t>
  </si>
  <si>
    <t>12593930063</t>
  </si>
  <si>
    <t>TAIPAS</t>
  </si>
  <si>
    <t>(032) 99938-1061</t>
  </si>
  <si>
    <t>VALEN HOTEL LTDA</t>
  </si>
  <si>
    <t>65091320</t>
  </si>
  <si>
    <t>126216541</t>
  </si>
  <si>
    <t>DE ACESSO A EMILIANO MACIEIRA</t>
  </si>
  <si>
    <t>VILA MARANHAO</t>
  </si>
  <si>
    <t>(055) 983226-9787</t>
  </si>
  <si>
    <t>ACRILTECH SOLUCOES EM ACRILICO</t>
  </si>
  <si>
    <t>07182040</t>
  </si>
  <si>
    <t>ACRILTECH SOLUCOES EM ACRILICO LTDA</t>
  </si>
  <si>
    <t>127.172.930.110</t>
  </si>
  <si>
    <t>SARGENTO DA AERONAUTICA JOSE PEREIRA ALVES</t>
  </si>
  <si>
    <t>CIDADE JARDIM CUMBICA</t>
  </si>
  <si>
    <t>136</t>
  </si>
  <si>
    <t>(055) 113512-7137</t>
  </si>
  <si>
    <t>BRENNTAG QUIMICA BRASIL LTDA</t>
  </si>
  <si>
    <t>07250130</t>
  </si>
  <si>
    <t>127047514115</t>
  </si>
  <si>
    <t>RUA LANDRI SALES</t>
  </si>
  <si>
    <t>CIDADE ARACILIA</t>
  </si>
  <si>
    <t>1070</t>
  </si>
  <si>
    <t>(011) 24809-4151</t>
  </si>
  <si>
    <t>BOULEVARD EMPREENDIMENTOS EM HOTELARIA</t>
  </si>
  <si>
    <t>65055285</t>
  </si>
  <si>
    <t>BOULEVARD EMPREENDIMENTOS EM HOTELARIA L</t>
  </si>
  <si>
    <t>127307788</t>
  </si>
  <si>
    <t>GUAJAJARAS</t>
  </si>
  <si>
    <t>(055) 983227-0772</t>
  </si>
  <si>
    <t>FAZENDA DOIS IRMÃOS</t>
  </si>
  <si>
    <t>12756820024</t>
  </si>
  <si>
    <t>km59</t>
  </si>
  <si>
    <t>65091620</t>
  </si>
  <si>
    <t>127594930</t>
  </si>
  <si>
    <t>SIT SANTO ANTONIO</t>
  </si>
  <si>
    <t>RIO DOS CACHORROS</t>
  </si>
  <si>
    <t>GEN FERTILIZANTES - BALSAS</t>
  </si>
  <si>
    <t>127646850</t>
  </si>
  <si>
    <t>DR JUSTO PEDROSA</t>
  </si>
  <si>
    <t>(055) 643431-2005</t>
  </si>
  <si>
    <t>VALEN FERTILIZANTES - SAO LUIS</t>
  </si>
  <si>
    <t>VALEN FERTILIZANTES &amp; ARMAZENS LTDA</t>
  </si>
  <si>
    <t>127705759</t>
  </si>
  <si>
    <t>DE ACESSO A BR-135/ AVENIDA EMILIANO MACIEIRA, LOJA:02;</t>
  </si>
  <si>
    <t>ATA ASSESSORIA IND E COM DE TENSOATIVOS</t>
  </si>
  <si>
    <t>02519200</t>
  </si>
  <si>
    <t>128228735116</t>
  </si>
  <si>
    <t>AV CASA VERDE</t>
  </si>
  <si>
    <t>CASA VERDE</t>
  </si>
  <si>
    <t>3431</t>
  </si>
  <si>
    <t>HGIL DESIGNER</t>
  </si>
  <si>
    <t>65110000</t>
  </si>
  <si>
    <t>HISLANEIDE DE JESUS ARAUJO DOS SANTOS</t>
  </si>
  <si>
    <t>128285303</t>
  </si>
  <si>
    <t>SAO JOSE DE RIBAMAR</t>
  </si>
  <si>
    <t>ESTRADA DE RIBAMAR</t>
  </si>
  <si>
    <t>PARAISO DAS ROSAS</t>
  </si>
  <si>
    <t>(055) 988222-8428</t>
  </si>
  <si>
    <t>MOTTA FERTILIZANTES - SAO LUIS</t>
  </si>
  <si>
    <t>65099899</t>
  </si>
  <si>
    <t>AGROPECUARIA JEM LTDA</t>
  </si>
  <si>
    <t>128751576</t>
  </si>
  <si>
    <t>PORTO GRANDE/PRINCIPAL</t>
  </si>
  <si>
    <t>(055) 639263-9075</t>
  </si>
  <si>
    <t>SULFABRAS SULFATOS DO BRASIL LTDA</t>
  </si>
  <si>
    <t>42816100</t>
  </si>
  <si>
    <t>129160957</t>
  </si>
  <si>
    <t>RUA ALFA</t>
  </si>
  <si>
    <t>POLO INDUSTRIAL</t>
  </si>
  <si>
    <t>1646F</t>
  </si>
  <si>
    <t>SITIO DAS GOIABEIRAS</t>
  </si>
  <si>
    <t>37568000</t>
  </si>
  <si>
    <t>LUIZ CARLOS BORGES</t>
  </si>
  <si>
    <t>12916840087</t>
  </si>
  <si>
    <t>SÃO JOÃO DA MATA</t>
  </si>
  <si>
    <t>(035) 99800-7894</t>
  </si>
  <si>
    <t>FAZENDA SAO JOAO</t>
  </si>
  <si>
    <t>GUSTAVO PIEDADE CASTRO</t>
  </si>
  <si>
    <t>12924060052</t>
  </si>
  <si>
    <t>TRÊS PONTAS/SANTANA DA VARGEM</t>
  </si>
  <si>
    <t>(035) 3265-1388</t>
  </si>
  <si>
    <t>BARRO VERMELHO</t>
  </si>
  <si>
    <t>MARCOS ANTONIO DE ALMEIDA</t>
  </si>
  <si>
    <t>12956970062</t>
  </si>
  <si>
    <t>BOA ESPERANCA VIA ILICINEA KM 5</t>
  </si>
  <si>
    <t>(035) 98856-7146</t>
  </si>
  <si>
    <t>AGROPECUARIA JP LTDA</t>
  </si>
  <si>
    <t>12982430061</t>
  </si>
  <si>
    <t>TERRA ENTRE M. ALEGRE E TUPACIGUARA</t>
  </si>
  <si>
    <t>KM06</t>
  </si>
  <si>
    <t>(055) 343213-4070</t>
  </si>
  <si>
    <t>SEBASTIAO JOAQUIM PEREIRA</t>
  </si>
  <si>
    <t>13.049.980.079</t>
  </si>
  <si>
    <t>SAO JOSE DO PANTANO</t>
  </si>
  <si>
    <t>(035) 99915-5139</t>
  </si>
  <si>
    <t>FAZENDA BÁLSAMO</t>
  </si>
  <si>
    <t>LAURENCE DE QUEIROZ GONTIJO</t>
  </si>
  <si>
    <t>13.342.250.178</t>
  </si>
  <si>
    <t>FAZENDA REUNIDAS</t>
  </si>
  <si>
    <t>78870000</t>
  </si>
  <si>
    <t>JOSÉ IZIDORO CORSO E OUTRO</t>
  </si>
  <si>
    <t>13.383.779-3</t>
  </si>
  <si>
    <t>PARANATINGA</t>
  </si>
  <si>
    <t>RODOVIA MT 130 KM 86</t>
  </si>
  <si>
    <t>(066) 99209-6256</t>
  </si>
  <si>
    <t>FAZENDA CEREJA</t>
  </si>
  <si>
    <t>78888000</t>
  </si>
  <si>
    <t>VALTER YOSHIHARU KAJIYAMA</t>
  </si>
  <si>
    <t>13.394.371-2</t>
  </si>
  <si>
    <t>NOVA UBIRATA</t>
  </si>
  <si>
    <t>ESTRADA VICINAL SENTIDO VERA</t>
  </si>
  <si>
    <t>FAZENDA MALVINAS</t>
  </si>
  <si>
    <t>FRANCISCO ALEXANDRE GEMMI</t>
  </si>
  <si>
    <t>13.537.884-2</t>
  </si>
  <si>
    <t>RUA ESTRADA VALE DO VERDE</t>
  </si>
  <si>
    <t>78898342</t>
  </si>
  <si>
    <t>BIOLOGICA INSUMOS AGRICOLAS LTDA</t>
  </si>
  <si>
    <t>13.571.614-4</t>
  </si>
  <si>
    <t>PERIMETRAL NOVO HORIZONTE</t>
  </si>
  <si>
    <t>NOVO HORIZONTE III</t>
  </si>
  <si>
    <t>2087</t>
  </si>
  <si>
    <t>(055) 669645-8861</t>
  </si>
  <si>
    <t>CIBRA - RONDONOPOLIS</t>
  </si>
  <si>
    <t>78746055</t>
  </si>
  <si>
    <t>13.628.373-0</t>
  </si>
  <si>
    <t>BR-163</t>
  </si>
  <si>
    <t>PARQUE INDUSTRIAL VETORASSO</t>
  </si>
  <si>
    <t>(055) 712202-4295</t>
  </si>
  <si>
    <t>78505000</t>
  </si>
  <si>
    <t>ADAO LUIZ PORTELA</t>
  </si>
  <si>
    <t>13.734.811-8</t>
  </si>
  <si>
    <t>FAZENDA CRUZEIRO</t>
  </si>
  <si>
    <t>37280000</t>
  </si>
  <si>
    <t>ANTONIO CARLOS DE CASTRO NETO</t>
  </si>
  <si>
    <t>13.782.150.074</t>
  </si>
  <si>
    <t>FAZENDA SERRA DO CACHIMBO</t>
  </si>
  <si>
    <t>78520000</t>
  </si>
  <si>
    <t>PAULO CEZAR DE OLIVEIRA E OUTRO</t>
  </si>
  <si>
    <t>13.826.199-7</t>
  </si>
  <si>
    <t>GUARANTÃ DO NORTE</t>
  </si>
  <si>
    <t>RODOVIA BR 163 KM 780 VALE DO XV</t>
  </si>
  <si>
    <t>(055) 1151841-1143</t>
  </si>
  <si>
    <t>78400000</t>
  </si>
  <si>
    <t>DBR AGROCET LTDA</t>
  </si>
  <si>
    <t>13.856.552-0</t>
  </si>
  <si>
    <t>DIAMANTINO</t>
  </si>
  <si>
    <t>BR 364 KM 620</t>
  </si>
  <si>
    <t>(055) 653337-1161</t>
  </si>
  <si>
    <t>78880000</t>
  </si>
  <si>
    <t>DREYMOOR FERTILIZANTES - VERA</t>
  </si>
  <si>
    <t>DREYMOOR BRASIL COM. FERTILIZANTES LTDA</t>
  </si>
  <si>
    <t>13.871.514-9</t>
  </si>
  <si>
    <t>VERA</t>
  </si>
  <si>
    <t>PORTO RICO</t>
  </si>
  <si>
    <t>1071</t>
  </si>
  <si>
    <t>(055) 413209-6613</t>
  </si>
  <si>
    <t>SITIO RETIRINHO 1</t>
  </si>
  <si>
    <t>37780000</t>
  </si>
  <si>
    <t>PAULO CESAR RAMOS</t>
  </si>
  <si>
    <t>13.883.430.056</t>
  </si>
  <si>
    <t>CALDAS</t>
  </si>
  <si>
    <t>ESTRADA ZONA RURA</t>
  </si>
  <si>
    <t>RETIRINHO E LAGOA</t>
  </si>
  <si>
    <t>(035) 99976-2300</t>
  </si>
  <si>
    <t>78460387</t>
  </si>
  <si>
    <t>SCHIRMER AGRONEGOCIOS LTDA</t>
  </si>
  <si>
    <t>13.917.975-5</t>
  </si>
  <si>
    <t>(055) 659969-3311</t>
  </si>
  <si>
    <t>78460590</t>
  </si>
  <si>
    <t>TRICATTO REPRESENTACAO COMERCIAL LTDA</t>
  </si>
  <si>
    <t>13.924.493-0</t>
  </si>
  <si>
    <t>DOS PAPIROS</t>
  </si>
  <si>
    <t>BANDEIRANTES</t>
  </si>
  <si>
    <t>1621W</t>
  </si>
  <si>
    <t>(055) 659668-6581</t>
  </si>
  <si>
    <t>78456455</t>
  </si>
  <si>
    <t>J &amp; B AGRO LTDA</t>
  </si>
  <si>
    <t>13.988.902-7</t>
  </si>
  <si>
    <t>NIKOLA TESLA</t>
  </si>
  <si>
    <t>DISTRITO INDUSTRIAL MARCOS FRANCISCO DE MORAES</t>
  </si>
  <si>
    <t>5266</t>
  </si>
  <si>
    <t>(055) 659932-9869</t>
  </si>
  <si>
    <t>GNH PECAS E ACESSORIOS INDUSTRIAIS LTDA</t>
  </si>
  <si>
    <t>03734220</t>
  </si>
  <si>
    <t>131168057113</t>
  </si>
  <si>
    <t>QUARUNAS</t>
  </si>
  <si>
    <t>VILA RUI BARBOSA</t>
  </si>
  <si>
    <t>DANIEL MENDONÇA RODRIGUES_INATIVO</t>
  </si>
  <si>
    <t>13135397</t>
  </si>
  <si>
    <t>ETIL COMERCIO DE PRODUTOS QUIMICOS LTDA</t>
  </si>
  <si>
    <t>03132080</t>
  </si>
  <si>
    <t>131723548118</t>
  </si>
  <si>
    <t>VILA PRUDENTE</t>
  </si>
  <si>
    <t>NUTRIVERDE IND COM IMP EXPORTAÇÃO LTDA</t>
  </si>
  <si>
    <t>131734415</t>
  </si>
  <si>
    <t>IZIDORO VIVALDINO PIVETTA</t>
  </si>
  <si>
    <t>(065) 3549-1260</t>
  </si>
  <si>
    <t>CAR FILMES AUGUSTO</t>
  </si>
  <si>
    <t>78896084</t>
  </si>
  <si>
    <t>E. MANTOVANI &amp; CIA LTDA</t>
  </si>
  <si>
    <t>131773577</t>
  </si>
  <si>
    <t>PERIMETRAL SUDESTE</t>
  </si>
  <si>
    <t>11255</t>
  </si>
  <si>
    <t>(055) 663544-8824</t>
  </si>
  <si>
    <t>131787187</t>
  </si>
  <si>
    <t>JOAO PEDRO MOREIRA DE CARVALHO</t>
  </si>
  <si>
    <t>LIDIA</t>
  </si>
  <si>
    <t>18942</t>
  </si>
  <si>
    <t>PENINSULA INTERNACIONAL SA -RONDONOPOLIS</t>
  </si>
  <si>
    <t>78746590</t>
  </si>
  <si>
    <t>131920847</t>
  </si>
  <si>
    <t>NATO VETORASSO</t>
  </si>
  <si>
    <t>DIST. IND.VETORASSO</t>
  </si>
  <si>
    <t>(066) 3421-8065</t>
  </si>
  <si>
    <t>78705000</t>
  </si>
  <si>
    <t>YARA RONDONÓPOLIS</t>
  </si>
  <si>
    <t>131999117</t>
  </si>
  <si>
    <t>FABRICIO VETORASSO</t>
  </si>
  <si>
    <t>1301</t>
  </si>
  <si>
    <t>FAZENDA SÃO MIGUEL ARCANJO</t>
  </si>
  <si>
    <t>MOACIR ANTONIO PICININ</t>
  </si>
  <si>
    <t>132.236.419</t>
  </si>
  <si>
    <t>RODOVIA MT 140 KM 37</t>
  </si>
  <si>
    <t>LUIMAR LUIZ GEMI E OUTRA</t>
  </si>
  <si>
    <t>132.237.598</t>
  </si>
  <si>
    <t>RODOVIA BR 163 KM 707</t>
  </si>
  <si>
    <t>RURAL PROJETO ANA TERRA PRODECER II</t>
  </si>
  <si>
    <t>FAZENDA AGUA SUJA</t>
  </si>
  <si>
    <t>37160000</t>
  </si>
  <si>
    <t>CLEBER ERNANDES DA SILVA</t>
  </si>
  <si>
    <t>13202060058</t>
  </si>
  <si>
    <t>CAMPOS GERAIS</t>
  </si>
  <si>
    <t>ESTRADA TRES PONTAS</t>
  </si>
  <si>
    <t>ADUBOS SUDOESTE - RONDONÓPOLIS</t>
  </si>
  <si>
    <t>78745710</t>
  </si>
  <si>
    <t>132057611</t>
  </si>
  <si>
    <t>ALBERTO SADDI</t>
  </si>
  <si>
    <t>1344</t>
  </si>
  <si>
    <t>(064) 2102-2000</t>
  </si>
  <si>
    <t>ADM - RONDONÓPOLIS</t>
  </si>
  <si>
    <t>78745900</t>
  </si>
  <si>
    <t>132104911</t>
  </si>
  <si>
    <t>(066) 3411-2931</t>
  </si>
  <si>
    <t>BERTUOL - SORRISO</t>
  </si>
  <si>
    <t>BERTUOL INDÚSTRIA DE FERTILIZANTES LTDA</t>
  </si>
  <si>
    <t>132233894</t>
  </si>
  <si>
    <t>BR 163 KM 758,7</t>
  </si>
  <si>
    <t>EXPANSÃO URBANA</t>
  </si>
  <si>
    <t>(066) 3545-2000</t>
  </si>
  <si>
    <t>AGROPECUÁRIA MAGGI LTDA</t>
  </si>
  <si>
    <t>78365000</t>
  </si>
  <si>
    <t>132321483</t>
  </si>
  <si>
    <t>SAPEZAL</t>
  </si>
  <si>
    <t>MT 235</t>
  </si>
  <si>
    <t>MONITORA AGRO - FAZENDA POTRICH</t>
  </si>
  <si>
    <t>DARCI POTRICH</t>
  </si>
  <si>
    <t>132349191</t>
  </si>
  <si>
    <t>MT 242 KM 50</t>
  </si>
  <si>
    <t>DISTRITO DE CARAVAGIO</t>
  </si>
  <si>
    <t>(066) 99985-8895</t>
  </si>
  <si>
    <t>132392496</t>
  </si>
  <si>
    <t>HENRIQUE ADOLFO FERRONATO</t>
  </si>
  <si>
    <t>459</t>
  </si>
  <si>
    <t>MONITORA AGRO - FAZENDA POTRICH III</t>
  </si>
  <si>
    <t>MARCIO POTRICH</t>
  </si>
  <si>
    <t>132618109</t>
  </si>
  <si>
    <t>BONZAO KM 14 + 6 KM A DIREITA</t>
  </si>
  <si>
    <t>GILBERTO PERUZI</t>
  </si>
  <si>
    <t>132634643</t>
  </si>
  <si>
    <t>GLEBA ATLANTICA FAZ. PRIMAVERA G</t>
  </si>
  <si>
    <t>sn</t>
  </si>
  <si>
    <t>FUNDAÇAO APOIO PESQ.AGROP.MT</t>
  </si>
  <si>
    <t>78750360</t>
  </si>
  <si>
    <t>FUNDACAO DE APOIO A PESQ AGROPEC.DE M G</t>
  </si>
  <si>
    <t>132759063</t>
  </si>
  <si>
    <t>ANTÔNIO TEIXEIRA DOS SANTOS</t>
  </si>
  <si>
    <t>PARQUE RESIDENCIAL UNIVERSITARIO</t>
  </si>
  <si>
    <t>1559</t>
  </si>
  <si>
    <t>(055) 663439-4100</t>
  </si>
  <si>
    <t>TELMO MOISES HUBNER</t>
  </si>
  <si>
    <t>132765527</t>
  </si>
  <si>
    <t>HERINGER - RONDONÓPOLIS I</t>
  </si>
  <si>
    <t>132911876</t>
  </si>
  <si>
    <t>1085</t>
  </si>
  <si>
    <t>(066) 2101-2300</t>
  </si>
  <si>
    <t>BOA ESPERANCA AGROPECUARIA</t>
  </si>
  <si>
    <t>BOA ESPERANCA AGROPECUARIA LTDA</t>
  </si>
  <si>
    <t>133.874.150</t>
  </si>
  <si>
    <t>MT 242 - KM 34,8 A DIREITA ESTRADA TROPICAL BARREIRO + 10 KM</t>
  </si>
  <si>
    <t>(055) 663411-5600</t>
  </si>
  <si>
    <t>MIMUS CONFECCOES</t>
  </si>
  <si>
    <t>MIMUS CONFECCOES LTDA</t>
  </si>
  <si>
    <t>133077683</t>
  </si>
  <si>
    <t>CIDADE NOVA</t>
  </si>
  <si>
    <t>1457E</t>
  </si>
  <si>
    <t>(055) 653549-2150</t>
  </si>
  <si>
    <t>37928000</t>
  </si>
  <si>
    <t>CLAUDECI DIVINO DE ARAUJO</t>
  </si>
  <si>
    <t>13315240329</t>
  </si>
  <si>
    <t>SAO ROQUE DE MINAS</t>
  </si>
  <si>
    <t>CAMPO ALEGRE</t>
  </si>
  <si>
    <t>METALURGICA SINOP</t>
  </si>
  <si>
    <t>78550000</t>
  </si>
  <si>
    <t>SERGIO BEZ METALURGICA</t>
  </si>
  <si>
    <t>133206190</t>
  </si>
  <si>
    <t>SET INDUSTRIAL</t>
  </si>
  <si>
    <t>(066) 3515-6198</t>
  </si>
  <si>
    <t>133391515</t>
  </si>
  <si>
    <t>1444</t>
  </si>
  <si>
    <t>MEGACELL COMERCIAL DE ELETRONICOS</t>
  </si>
  <si>
    <t>01039000</t>
  </si>
  <si>
    <t>133413866112</t>
  </si>
  <si>
    <t>AV IPIRANGA</t>
  </si>
  <si>
    <t>REPUBLICA</t>
  </si>
  <si>
    <t>1007</t>
  </si>
  <si>
    <t>ETIQUETOU ADESIVOS LTDA</t>
  </si>
  <si>
    <t>08062050</t>
  </si>
  <si>
    <t>133462894119</t>
  </si>
  <si>
    <t>LIMOEIRO DO AJURU</t>
  </si>
  <si>
    <t>VILA MONTE SANTO</t>
  </si>
  <si>
    <t>73</t>
  </si>
  <si>
    <t>(055) 112541-1773</t>
  </si>
  <si>
    <t>POSTO CASTRO</t>
  </si>
  <si>
    <t>78860000</t>
  </si>
  <si>
    <t>S. V. DE CASTRO &amp; CASTRO LTDA.</t>
  </si>
  <si>
    <t>133638413</t>
  </si>
  <si>
    <t>NOVA BRASILANDIA</t>
  </si>
  <si>
    <t>1527</t>
  </si>
  <si>
    <t>(055) 663385-1169</t>
  </si>
  <si>
    <t>SITIO CORREGO DAS CONTAS</t>
  </si>
  <si>
    <t>37110000</t>
  </si>
  <si>
    <t>JOSE ALESSANDRO DA SILVA</t>
  </si>
  <si>
    <t>13375790228</t>
  </si>
  <si>
    <t>ELOI MENDES</t>
  </si>
  <si>
    <t>ESTRADA ELOI MENDES X BAIRRO CORREGO DAS CONTAS</t>
  </si>
  <si>
    <t>(035) 3234-3676</t>
  </si>
  <si>
    <t>NORTON OLIVEIRA FERTILIZANTES</t>
  </si>
  <si>
    <t>78840000</t>
  </si>
  <si>
    <t>NORTON OLIVEIRA IND.COM. FERTIL.LTDA-EPP</t>
  </si>
  <si>
    <t>133762173</t>
  </si>
  <si>
    <t>CAMPO VERDE</t>
  </si>
  <si>
    <t>FAZENDA SÃO FRANCISCO</t>
  </si>
  <si>
    <t>(066) 3419-2871</t>
  </si>
  <si>
    <t>MONITORA AGRO - FAZENDA SÃO LUIZ</t>
  </si>
  <si>
    <t>78578000</t>
  </si>
  <si>
    <t>DANIEL PINHEIRO BARRETO</t>
  </si>
  <si>
    <t>133774864</t>
  </si>
  <si>
    <t>IPIRANGA DO NORTE</t>
  </si>
  <si>
    <t>MT 010 KM 50</t>
  </si>
  <si>
    <t>(065) 99949-0818</t>
  </si>
  <si>
    <t>MONITORA AGRO - FAZENDA TAMARI AGROPECUA</t>
  </si>
  <si>
    <t>RICARDO POTRICH</t>
  </si>
  <si>
    <t>133799832</t>
  </si>
  <si>
    <t>MT 140 KM  30 + 10 KM A DIREITA</t>
  </si>
  <si>
    <t>78746732</t>
  </si>
  <si>
    <t>FERTIPAR FERTILIZANTES DO MATO GROSSO LT</t>
  </si>
  <si>
    <t>133829170</t>
  </si>
  <si>
    <t>370</t>
  </si>
  <si>
    <t>ATTO AGRICOLA LTDA</t>
  </si>
  <si>
    <t>78770000</t>
  </si>
  <si>
    <t>133847152</t>
  </si>
  <si>
    <t>RODOVIA BR 364</t>
  </si>
  <si>
    <t>GXPOSTAL</t>
  </si>
  <si>
    <t>04105900</t>
  </si>
  <si>
    <t>PAG EXPRESS COMERCIAL LTDA</t>
  </si>
  <si>
    <t>133982132111</t>
  </si>
  <si>
    <t>DR NICOLAU DE SOUSA QUEIROS</t>
  </si>
  <si>
    <t>VILA MARIANA</t>
  </si>
  <si>
    <t>(055) 114733-3795</t>
  </si>
  <si>
    <t>SEMENTES BOM FUTURO - ITIQUIRA</t>
  </si>
  <si>
    <t>78790000</t>
  </si>
  <si>
    <t>RAFAEL BORTOLI E OUTRO</t>
  </si>
  <si>
    <t>133983161</t>
  </si>
  <si>
    <t>ITIQUIRA</t>
  </si>
  <si>
    <t>BR 163</t>
  </si>
  <si>
    <t>(066) 9623-0255</t>
  </si>
  <si>
    <t>HOTEL MARION - ALVORADA</t>
  </si>
  <si>
    <t>CRISNAJU SERVICOS DE HOTELARIA LTDA</t>
  </si>
  <si>
    <t>133983390</t>
  </si>
  <si>
    <t>AV LIONS INTERNACIONAL</t>
  </si>
  <si>
    <t>151 NE</t>
  </si>
  <si>
    <t>(055) 653382-4646</t>
  </si>
  <si>
    <t>FAZENDA FRASSETO II</t>
  </si>
  <si>
    <t>78573000</t>
  </si>
  <si>
    <t>CLAUDIO FRASSETO</t>
  </si>
  <si>
    <t>134129377</t>
  </si>
  <si>
    <t>TAPURAH</t>
  </si>
  <si>
    <t>RODOVIA MT 338 KM 130 À DIREITA</t>
  </si>
  <si>
    <t>(065) 3549-1742</t>
  </si>
  <si>
    <t>78643000</t>
  </si>
  <si>
    <t>EUROCHEM TOCANTINS - QUERENCIA</t>
  </si>
  <si>
    <t>FERTILIZANTES TOCANTINS S.A</t>
  </si>
  <si>
    <t>134301447</t>
  </si>
  <si>
    <t>QUERENCIA</t>
  </si>
  <si>
    <t>NORBERTO SCHWANTES</t>
  </si>
  <si>
    <t>PROJETO QUERÊNCIA I</t>
  </si>
  <si>
    <t>(055) 623414-6334</t>
  </si>
  <si>
    <t>SERRAS HOTEL</t>
  </si>
  <si>
    <t>78060000</t>
  </si>
  <si>
    <t>TERESA C. O. DELCARO</t>
  </si>
  <si>
    <t>134362683</t>
  </si>
  <si>
    <t>CUIABÁ</t>
  </si>
  <si>
    <t>MIGUEL SUTIL</t>
  </si>
  <si>
    <t>JARDIM LEBLON</t>
  </si>
  <si>
    <t>4098</t>
  </si>
  <si>
    <t>(055) 653326-3998</t>
  </si>
  <si>
    <t>78307899</t>
  </si>
  <si>
    <t>134539630</t>
  </si>
  <si>
    <t>TANGARA DA SERRA</t>
  </si>
  <si>
    <t>A ESTRADA DA PEDREIRA</t>
  </si>
  <si>
    <t>AREA RURAL DE TANGARA DA SERRA</t>
  </si>
  <si>
    <t>134545273</t>
  </si>
  <si>
    <t>KM747</t>
  </si>
  <si>
    <t>78750899</t>
  </si>
  <si>
    <t>134551591</t>
  </si>
  <si>
    <t>BR 364</t>
  </si>
  <si>
    <t>ZONA DE EXPANSÃO URB</t>
  </si>
  <si>
    <t>KM197</t>
  </si>
  <si>
    <t>SEMENTES BOM FUTURO - RONDONÓPOLIS</t>
  </si>
  <si>
    <t>78705273</t>
  </si>
  <si>
    <t>LUIZ ROBERTO BUZETTI - ME</t>
  </si>
  <si>
    <t>134591640</t>
  </si>
  <si>
    <t>PLANVILLE</t>
  </si>
  <si>
    <t>1438</t>
  </si>
  <si>
    <t>BERTUOL FERTILIZANTES - SORRISO</t>
  </si>
  <si>
    <t>78898899</t>
  </si>
  <si>
    <t>BERTUOL INDUSTRIA DE FERTILIZANTES</t>
  </si>
  <si>
    <t>134595165</t>
  </si>
  <si>
    <t>ROD BR 163 KM 783,5</t>
  </si>
  <si>
    <t>AREA RURAL DE SORRISO</t>
  </si>
  <si>
    <t>(055) 663545-2000</t>
  </si>
  <si>
    <t>78710525</t>
  </si>
  <si>
    <t>R B DIST DE PEÇAS E SERVIÇOS LTDA</t>
  </si>
  <si>
    <t>134681894</t>
  </si>
  <si>
    <t>RAMIRO BERNARDO DA SILVA</t>
  </si>
  <si>
    <t>JARDIM PINDORAMA</t>
  </si>
  <si>
    <t>219</t>
  </si>
  <si>
    <t>(066) 3411-8095</t>
  </si>
  <si>
    <t>PACIFICO ENERGIA COMERCIALIZADORA LTDA</t>
  </si>
  <si>
    <t>04516000</t>
  </si>
  <si>
    <t>134697672110</t>
  </si>
  <si>
    <t>ROUXINOL</t>
  </si>
  <si>
    <t>(055) 115092-8493</t>
  </si>
  <si>
    <t>ANDALI - RONDONÓPOLIS</t>
  </si>
  <si>
    <t>ANDALI S.A</t>
  </si>
  <si>
    <t>135055571</t>
  </si>
  <si>
    <t>PQ. INDL. INTERMODAL</t>
  </si>
  <si>
    <t>(066) 3423-2477</t>
  </si>
  <si>
    <t>KONRAD HOTEL</t>
  </si>
  <si>
    <t>MAGNOS JOSE KONRAD</t>
  </si>
  <si>
    <t>135494931</t>
  </si>
  <si>
    <t>VILA BRASILANDIA</t>
  </si>
  <si>
    <t>468</t>
  </si>
  <si>
    <t>(055) 663471-1168</t>
  </si>
  <si>
    <t>SOY AGRO INSUMOS AGRICOLAS</t>
  </si>
  <si>
    <t>78525000</t>
  </si>
  <si>
    <t>SCHWINN COM. GRAOS E INSUMOS AGRICOLAS</t>
  </si>
  <si>
    <t>135579503</t>
  </si>
  <si>
    <t>MATUPA</t>
  </si>
  <si>
    <t>AV DEPUTADO SEBASTIAO ALVES JUNIOR</t>
  </si>
  <si>
    <t>ZC1-004 ZONA CENTRAL</t>
  </si>
  <si>
    <t>(055) 653354-9616</t>
  </si>
  <si>
    <t>INATIVO - ITERUM COMERCIO INTERNACIONAL</t>
  </si>
  <si>
    <t>ITERUM COMERCIO INTERNACIONAL LTDA</t>
  </si>
  <si>
    <t>135585104</t>
  </si>
  <si>
    <t>MARGINAL</t>
  </si>
  <si>
    <t>AREA RURAL DE RONDONOPOLIS</t>
  </si>
  <si>
    <t>(055) 413373-0208</t>
  </si>
  <si>
    <t>78745735</t>
  </si>
  <si>
    <t>135662389</t>
  </si>
  <si>
    <t>J</t>
  </si>
  <si>
    <t>MONITORA AGRO - FAZENDA NOVA ESPERANCA</t>
  </si>
  <si>
    <t>NELSO ANTONIO BASSAN</t>
  </si>
  <si>
    <t>135832349</t>
  </si>
  <si>
    <t>GLEBA BRAÇO SUL, SETOR 2, LOTE 480</t>
  </si>
  <si>
    <t>(066) 99604-6100</t>
  </si>
  <si>
    <t>FERTILE - ROSARIO OESTE</t>
  </si>
  <si>
    <t>78470000</t>
  </si>
  <si>
    <t>FERTILE IND. COM. IMP. E EXP. FERT. LTDA</t>
  </si>
  <si>
    <t>135834694</t>
  </si>
  <si>
    <t>ROSARIO OESTE</t>
  </si>
  <si>
    <t>(066) 3419-2832</t>
  </si>
  <si>
    <t>78310000</t>
  </si>
  <si>
    <t>135946328</t>
  </si>
  <si>
    <t>BR 364 KM 120</t>
  </si>
  <si>
    <t>OC DISTRIBUICAO DE OLEOS</t>
  </si>
  <si>
    <t>05724003</t>
  </si>
  <si>
    <t>OC DIST DE OLEOS E TRANSPORTES LTDA</t>
  </si>
  <si>
    <t>136.468.100.110</t>
  </si>
  <si>
    <t>GIOVANNI GRONCHI</t>
  </si>
  <si>
    <t>VILA ANDRADE</t>
  </si>
  <si>
    <t>6195</t>
  </si>
  <si>
    <t>(055) 113582-9514</t>
  </si>
  <si>
    <t>AMAZON HOTEL</t>
  </si>
  <si>
    <t>AMAZON PALACE HOTEL LTDA</t>
  </si>
  <si>
    <t>136109616</t>
  </si>
  <si>
    <t>GOIÁS</t>
  </si>
  <si>
    <t>1097-S</t>
  </si>
  <si>
    <t>(055) 653549-2689</t>
  </si>
  <si>
    <t>FERTIPAR FERT DO MATO GROSSO LTDA.</t>
  </si>
  <si>
    <t>136172911</t>
  </si>
  <si>
    <t>MT 220</t>
  </si>
  <si>
    <t>(055) 413026-9009</t>
  </si>
  <si>
    <t>OCP FERTILIZANTES - RONDONOPOLIS</t>
  </si>
  <si>
    <t>136187722</t>
  </si>
  <si>
    <t>PQ IND INTERMODAL</t>
  </si>
  <si>
    <t>MONITORA AGRO - ROMARIO POSSAMAI</t>
  </si>
  <si>
    <t>78480000</t>
  </si>
  <si>
    <t>ROMARIO POSSAMAI</t>
  </si>
  <si>
    <t>136409342</t>
  </si>
  <si>
    <t>MARZAGAO KM 70</t>
  </si>
  <si>
    <t>(066) 99998-7847</t>
  </si>
  <si>
    <t>CAMPO RICO - GUARANTÃ DO NORTE</t>
  </si>
  <si>
    <t>CAMPO RICO BRASIL COM DE FERTILIZANTE</t>
  </si>
  <si>
    <t>136455930</t>
  </si>
  <si>
    <t>(011) 3033-1766</t>
  </si>
  <si>
    <t>ADDITIVA COMERCIO DE PRODUTOS QUIMICOS</t>
  </si>
  <si>
    <t>ADDITIVA COMERCIO DE PRODUTOS QUIMICOS L</t>
  </si>
  <si>
    <t>136544562115</t>
  </si>
  <si>
    <t>(055) 513012-7410</t>
  </si>
  <si>
    <t>78652000</t>
  </si>
  <si>
    <t>136590527</t>
  </si>
  <si>
    <t>BR 158, KM 139, MARGEM ESQUERDA</t>
  </si>
  <si>
    <t>136663567</t>
  </si>
  <si>
    <t>364</t>
  </si>
  <si>
    <t>(065) 3549-5041</t>
  </si>
  <si>
    <t>CIBRA - SORRISO</t>
  </si>
  <si>
    <t>136829198</t>
  </si>
  <si>
    <t>(066) 3544-8588</t>
  </si>
  <si>
    <t>78550970</t>
  </si>
  <si>
    <t>136849164</t>
  </si>
  <si>
    <t>RODOVIA MT 423 KM 4</t>
  </si>
  <si>
    <t>SETOR COMERCIAL</t>
  </si>
  <si>
    <t>(063) 9992-4846</t>
  </si>
  <si>
    <t>FAZENDA GAMELEIRA - LUGAR BRASIL E NEVES</t>
  </si>
  <si>
    <t>LUIS FERNANDO FONSECA RIBEIRO</t>
  </si>
  <si>
    <t>13691610129</t>
  </si>
  <si>
    <t>GAMELEIRA - LUGAR BRASIL E NEVES</t>
  </si>
  <si>
    <t>(034) 99644-6619</t>
  </si>
  <si>
    <t>78746856</t>
  </si>
  <si>
    <t>ONNO LOGISTICA LTDA</t>
  </si>
  <si>
    <t>136917607</t>
  </si>
  <si>
    <t>PARQUE IND. INTERMODAL DE RONDONOPOLIS</t>
  </si>
  <si>
    <t>2468</t>
  </si>
  <si>
    <t>(066) 3321-7401</t>
  </si>
  <si>
    <t>CONCESSIONARIA DO AEROPORTO INTERNACIONA</t>
  </si>
  <si>
    <t>07190100</t>
  </si>
  <si>
    <t>137.840.875.115</t>
  </si>
  <si>
    <t>HELIO SMIDT</t>
  </si>
  <si>
    <t>(055) 114113-1935</t>
  </si>
  <si>
    <t>OXY FERTILIZANTES E DISTRIBUICAO</t>
  </si>
  <si>
    <t>14406093</t>
  </si>
  <si>
    <t>OXY IND E COM DE PRODUTOS QUIMICOS LTDA</t>
  </si>
  <si>
    <t>137017910112</t>
  </si>
  <si>
    <t>JOAQUIM CORREA JUNIOR</t>
  </si>
  <si>
    <t>DISTRITO INDUSTRIAL ANTONIO DELLA - TORRE</t>
  </si>
  <si>
    <t>03380</t>
  </si>
  <si>
    <t>(055) 1195766-9284</t>
  </si>
  <si>
    <t>COFCO INTERNATIONAL GRAINS LTDA</t>
  </si>
  <si>
    <t>78746860</t>
  </si>
  <si>
    <t>137164696</t>
  </si>
  <si>
    <t>RUA B</t>
  </si>
  <si>
    <t>PARQUE INDUSTRIAL INTERMODAL</t>
  </si>
  <si>
    <t>3692</t>
  </si>
  <si>
    <t>FAZENDA PORTEIRINHAS</t>
  </si>
  <si>
    <t>35790000</t>
  </si>
  <si>
    <t>SERGIO ANDRE DA FONSECA XAVIER</t>
  </si>
  <si>
    <t>13718060000</t>
  </si>
  <si>
    <t>CURVELO</t>
  </si>
  <si>
    <t>(031) 99979-9070</t>
  </si>
  <si>
    <t>FAZENDA RBR</t>
  </si>
  <si>
    <t>78885000</t>
  </si>
  <si>
    <t>BRUNO ESTEVES STELLATO</t>
  </si>
  <si>
    <t>137185871</t>
  </si>
  <si>
    <t>FELIZ NATAL</t>
  </si>
  <si>
    <t>GLEBA COLONIAL RIO FERRO LOTE 252 -B</t>
  </si>
  <si>
    <t>(066) 99617-6377</t>
  </si>
  <si>
    <t>ATTUAL AGRICOLA</t>
  </si>
  <si>
    <t>78896052</t>
  </si>
  <si>
    <t>ATTUA COMERCIAL AGRICOLA LTDA</t>
  </si>
  <si>
    <t>137296851</t>
  </si>
  <si>
    <t>AV PERIMETRAL SUDESTE</t>
  </si>
  <si>
    <t>10871</t>
  </si>
  <si>
    <t>POSTO VIA BRASIL</t>
  </si>
  <si>
    <t>ABRANTES COMERCIO DE COMBUSTIVEIS LTDA</t>
  </si>
  <si>
    <t>137299753</t>
  </si>
  <si>
    <t>2125</t>
  </si>
  <si>
    <t>(055) 663544-1910</t>
  </si>
  <si>
    <t>78895404</t>
  </si>
  <si>
    <t>AGROREP. REPRESENTACOES AGRICOLAS LTDA</t>
  </si>
  <si>
    <t>137469640</t>
  </si>
  <si>
    <t>TOM JOBIM</t>
  </si>
  <si>
    <t>NOVA PRATA</t>
  </si>
  <si>
    <t>(066) 3544-3745</t>
  </si>
  <si>
    <t>OSCARPES LAB. AGRO. - TAPURAH</t>
  </si>
  <si>
    <t>JOAO CARPES</t>
  </si>
  <si>
    <t>137484224</t>
  </si>
  <si>
    <t>AV DOS PIONEIROS</t>
  </si>
  <si>
    <t>COMERCIAL DOS PIONEIROS</t>
  </si>
  <si>
    <t>Syngenta Seeds Ltda</t>
  </si>
  <si>
    <t>137532253</t>
  </si>
  <si>
    <t>ROD MT 449</t>
  </si>
  <si>
    <t>Km8</t>
  </si>
  <si>
    <t>(011) 5643-2322</t>
  </si>
  <si>
    <t>ADUBRAS FERTILIZANTES - RONDONOPOLIS</t>
  </si>
  <si>
    <t>78740038</t>
  </si>
  <si>
    <t>ADUBRAS FERTILIZANTES S.A.</t>
  </si>
  <si>
    <t>137656289</t>
  </si>
  <si>
    <t>RUA ELENITA CASTRO CARDOSO</t>
  </si>
  <si>
    <t>VILA AURORA</t>
  </si>
  <si>
    <t>(041) 3232-1494</t>
  </si>
  <si>
    <t>GEN FERTILIZANTES - QUERENCIA</t>
  </si>
  <si>
    <t>GEN IND E COMERCIO DE FERTILIZANTES LTDA</t>
  </si>
  <si>
    <t>137682387</t>
  </si>
  <si>
    <t>SUL</t>
  </si>
  <si>
    <t>SETOR H</t>
  </si>
  <si>
    <t>122</t>
  </si>
  <si>
    <t>78700970</t>
  </si>
  <si>
    <t>137701683</t>
  </si>
  <si>
    <t>(055) 633363-0300</t>
  </si>
  <si>
    <t>MONITORA AGRO - FAZENDA CONQUISTA</t>
  </si>
  <si>
    <t>78548000</t>
  </si>
  <si>
    <t>MARCO AURELIO MOSCON ZAMIGNAN</t>
  </si>
  <si>
    <t>137726970</t>
  </si>
  <si>
    <t>NOVA SANTA HELENA</t>
  </si>
  <si>
    <t>POP KM 7</t>
  </si>
  <si>
    <t>(066) 99936-8911</t>
  </si>
  <si>
    <t>HOTEL MATO GROSSO</t>
  </si>
  <si>
    <t>78887000</t>
  </si>
  <si>
    <t>A. J. FERREIRA &amp; CIA LTDA</t>
  </si>
  <si>
    <t>137979282</t>
  </si>
  <si>
    <t>BOA ESPERANCA DO NORTE</t>
  </si>
  <si>
    <t>DAS GOIABEIRAS</t>
  </si>
  <si>
    <t>1752</t>
  </si>
  <si>
    <t>(055) 669961-2156</t>
  </si>
  <si>
    <t>AGRODANIELI INDUSTRIA E COMERCIO LTDA</t>
  </si>
  <si>
    <t>138/0042310</t>
  </si>
  <si>
    <t>VALDO NUNES VIEIRA</t>
  </si>
  <si>
    <t>(054) 3344-4200</t>
  </si>
  <si>
    <t>ADUBOS COXILHA - TAPEJARA</t>
  </si>
  <si>
    <t>1380024738</t>
  </si>
  <si>
    <t>JÚLIO DE CASTILHOS</t>
  </si>
  <si>
    <t>890</t>
  </si>
  <si>
    <t>COXILHA IND DE FERT E CORRETIVOS LTDA</t>
  </si>
  <si>
    <t>1380032897</t>
  </si>
  <si>
    <t>RS 463,KM 2,5</t>
  </si>
  <si>
    <t>54344-1589</t>
  </si>
  <si>
    <t>DINACO IMPORTACAO, COMERCIO LTDA.</t>
  </si>
  <si>
    <t>04795920</t>
  </si>
  <si>
    <t>138056315110</t>
  </si>
  <si>
    <t>VILA ALMEIDA</t>
  </si>
  <si>
    <t>17891</t>
  </si>
  <si>
    <t>(055) 213147-3340</t>
  </si>
  <si>
    <t>SASC</t>
  </si>
  <si>
    <t>ATACAMA SUPERMERCADO ATACAREJO LTDA</t>
  </si>
  <si>
    <t>138079820</t>
  </si>
  <si>
    <t>MARAVILHA</t>
  </si>
  <si>
    <t>(055) 663585-1000</t>
  </si>
  <si>
    <t>LAB. SOLOS &amp; PLANTA - UNID SORRISO/MT</t>
  </si>
  <si>
    <t>78898084</t>
  </si>
  <si>
    <t>AGROCELLA ANALISES AGRONOMICAS LTDA</t>
  </si>
  <si>
    <t>138292906</t>
  </si>
  <si>
    <t>IDEMAR RIEDI</t>
  </si>
  <si>
    <t>INDUSTRIAL - 1A ETAPA</t>
  </si>
  <si>
    <t>9582</t>
  </si>
  <si>
    <t>(055) 663544-5637</t>
  </si>
  <si>
    <t>SAMUEL ANDRÉ DOGNANI E OUTROS</t>
  </si>
  <si>
    <t>138296120</t>
  </si>
  <si>
    <t>ZJORGE</t>
  </si>
  <si>
    <t>RODOVIA BR 364 KM 187 A DIREITA SENTIDO PEDRA PRETA</t>
  </si>
  <si>
    <t>78450000</t>
  </si>
  <si>
    <t>138488606</t>
  </si>
  <si>
    <t>PERIMETRAL DAS SAMAMBAIAS</t>
  </si>
  <si>
    <t>3378</t>
  </si>
  <si>
    <t>(013) 2127-9893</t>
  </si>
  <si>
    <t>138586080</t>
  </si>
  <si>
    <t>ROD MT-220</t>
  </si>
  <si>
    <t>KM01</t>
  </si>
  <si>
    <t>CLAUDIO LUIS WOLF</t>
  </si>
  <si>
    <t>13885210061</t>
  </si>
  <si>
    <t>ESTRADA MUNICIPAL SRMINAS/ARAXA VIA SERRINHA</t>
  </si>
  <si>
    <t>km47</t>
  </si>
  <si>
    <t>(037) 99981-5540</t>
  </si>
  <si>
    <t>78748702</t>
  </si>
  <si>
    <t>139043357</t>
  </si>
  <si>
    <t>PARQUE INDUSTRIAL INTERMODAL DE RONDONOPOLIS</t>
  </si>
  <si>
    <t>1011</t>
  </si>
  <si>
    <t>(055) 132127-9893</t>
  </si>
  <si>
    <t>POSTO SAO FRANCISCO DE ASSIS</t>
  </si>
  <si>
    <t>POSTO SAO FRANCISCO DE ASSIS LTDA</t>
  </si>
  <si>
    <t>139148167</t>
  </si>
  <si>
    <t>JOAO PEDRO MOREIRA DE CARVALHO II</t>
  </si>
  <si>
    <t>BAIRRO DE CHACARAS SINOP</t>
  </si>
  <si>
    <t>57</t>
  </si>
  <si>
    <t>(055) 623088-0200</t>
  </si>
  <si>
    <t>139180664</t>
  </si>
  <si>
    <t>RUA NATO VETORASSO</t>
  </si>
  <si>
    <t>SORRISO EPI'S</t>
  </si>
  <si>
    <t>NEVIO AUGUSTO ARGENTON LTDA</t>
  </si>
  <si>
    <t>139251340</t>
  </si>
  <si>
    <t>(055) 663544-0915</t>
  </si>
  <si>
    <t>78570000</t>
  </si>
  <si>
    <t>LEANDRO RODRIGO SARTI e outro(s)</t>
  </si>
  <si>
    <t>139329986</t>
  </si>
  <si>
    <t>NOVO HORIZONTE DO NORTE</t>
  </si>
  <si>
    <t>NOVO HORIZONTE KM 30, TABAJARA 3</t>
  </si>
  <si>
    <t>(066) 3556-2499</t>
  </si>
  <si>
    <t>ZIGOMAR LUIZ GIACOMINI</t>
  </si>
  <si>
    <t>139617892</t>
  </si>
  <si>
    <t>BR 163 KM 950 QUINTA AGROVILA</t>
  </si>
  <si>
    <t>(066) 99626-4180</t>
  </si>
  <si>
    <t>SITIO GAMELEIRA</t>
  </si>
  <si>
    <t>36345000</t>
  </si>
  <si>
    <t>RENATO PEDRO DA COSTA</t>
  </si>
  <si>
    <t>13975410035</t>
  </si>
  <si>
    <t>LAGOA DOURADA</t>
  </si>
  <si>
    <t>GAMELEIRA</t>
  </si>
  <si>
    <t>(032) 99954-6159</t>
  </si>
  <si>
    <t>MONITORA AGRO</t>
  </si>
  <si>
    <t>78896001</t>
  </si>
  <si>
    <t>MONITORA AGRO LTDA</t>
  </si>
  <si>
    <t>139756850</t>
  </si>
  <si>
    <t>AV BLUMENAU</t>
  </si>
  <si>
    <t>2734</t>
  </si>
  <si>
    <t>(055) 669956-7452</t>
  </si>
  <si>
    <t>BRUNA PINHEIRO MACEDO</t>
  </si>
  <si>
    <t>13986858</t>
  </si>
  <si>
    <t>NELSON DE OLIVEIRA</t>
  </si>
  <si>
    <t>276</t>
  </si>
  <si>
    <t>(034) 99267-8150</t>
  </si>
  <si>
    <t>139869050</t>
  </si>
  <si>
    <t>GLEBA BRAÇO SUL</t>
  </si>
  <si>
    <t>SETOR 1-A</t>
  </si>
  <si>
    <t>(055) 623310-8100</t>
  </si>
  <si>
    <t>CAVALETTI POUSADA E EVENTOS</t>
  </si>
  <si>
    <t>CAVALETTI POUSADA E EVENTOS LTDA</t>
  </si>
  <si>
    <t>13988594-3</t>
  </si>
  <si>
    <t>BRASIL 4 KM APOS MT 249</t>
  </si>
  <si>
    <t>(055) 659966-7508</t>
  </si>
  <si>
    <t>01555468</t>
  </si>
  <si>
    <t>THIAGO CUNHA BONATTI</t>
  </si>
  <si>
    <t>14 342 400</t>
  </si>
  <si>
    <t>(034) 99648-4403</t>
  </si>
  <si>
    <t>PLENITUDE ARMAZENS GERAIS LTDA</t>
  </si>
  <si>
    <t>14.016.180-5</t>
  </si>
  <si>
    <t>BR 163 KM 1070</t>
  </si>
  <si>
    <t>GLEBA BRACO SUL</t>
  </si>
  <si>
    <t>(055) 669936-8911</t>
  </si>
  <si>
    <t>78435000</t>
  </si>
  <si>
    <t>VISAO AGRO SOLUCOES REPRESENTACOES LTDA</t>
  </si>
  <si>
    <t>14.017.431-1</t>
  </si>
  <si>
    <t>SAO JOSE DO RIO CLARO</t>
  </si>
  <si>
    <t>EMILIO BUSS</t>
  </si>
  <si>
    <t>936C</t>
  </si>
  <si>
    <t>(055) 659213-8585</t>
  </si>
  <si>
    <t>ARAGUAIA HOTEL</t>
  </si>
  <si>
    <t>78601234</t>
  </si>
  <si>
    <t>JF HOTEIS E EVENTOS LTDA</t>
  </si>
  <si>
    <t>14.024.423-9</t>
  </si>
  <si>
    <t>BARRA DO GARCAS</t>
  </si>
  <si>
    <t>SALOME JOSE RODRIGUES</t>
  </si>
  <si>
    <t>SETOR CIDADE VELHA</t>
  </si>
  <si>
    <t>365</t>
  </si>
  <si>
    <t>(055) 669239-3104</t>
  </si>
  <si>
    <t>FERTALVO INDÚSTRIA E COMÉRCIO DE FERTILI</t>
  </si>
  <si>
    <t>14.035.870-6</t>
  </si>
  <si>
    <t>ANEL VIARIO (CONRADO S. BRITO)</t>
  </si>
  <si>
    <t>(055) 663498-8055</t>
  </si>
  <si>
    <t>SITIO DOS MAFRAS</t>
  </si>
  <si>
    <t>37410000</t>
  </si>
  <si>
    <t>SEBASTIAO ROBISON MARTINS</t>
  </si>
  <si>
    <t>14.060.990.019</t>
  </si>
  <si>
    <t>RODOVIA T CORAÇÕES A SÃO TOME DAS LETRAS</t>
  </si>
  <si>
    <t>(035) 3234-1024</t>
  </si>
  <si>
    <t>NOVO AGRO COMERCIO E REPRESENTACOES LTDA</t>
  </si>
  <si>
    <t>14.089.819-0</t>
  </si>
  <si>
    <t>MT-242</t>
  </si>
  <si>
    <t>(055) 663588-1635</t>
  </si>
  <si>
    <t>FAZENDA CHAPEU DO SOL</t>
  </si>
  <si>
    <t>35534000</t>
  </si>
  <si>
    <t>LUIZ CARLOS DA SILVA</t>
  </si>
  <si>
    <t>14.606.820.152</t>
  </si>
  <si>
    <t>CARMOPOLIS DE MINAS</t>
  </si>
  <si>
    <t>(037) 99871-4426</t>
  </si>
  <si>
    <t>PAULO CEZAR DE OLIVEIRA</t>
  </si>
  <si>
    <t>140057889</t>
  </si>
  <si>
    <t>RODOVIA BR 163 GLEBA VALE XV</t>
  </si>
  <si>
    <t>140092662110</t>
  </si>
  <si>
    <t>14401</t>
  </si>
  <si>
    <t>(055) 312512-7770</t>
  </si>
  <si>
    <t>LEIDIANE ARAUJO ALVES</t>
  </si>
  <si>
    <t>38407845</t>
  </si>
  <si>
    <t>LEIDANE ARAUJO ALVES</t>
  </si>
  <si>
    <t>14023055</t>
  </si>
  <si>
    <t>ANSELMO ALVES DOS SANTOS</t>
  </si>
  <si>
    <t>GRAND VILLE</t>
  </si>
  <si>
    <t>4800</t>
  </si>
  <si>
    <t>(034) 99650-3751</t>
  </si>
  <si>
    <t>SITIO MUTUQUINHA</t>
  </si>
  <si>
    <t>VICENTE DE PAULO MELO</t>
  </si>
  <si>
    <t>14034990066</t>
  </si>
  <si>
    <t>MUTUQUINHA</t>
  </si>
  <si>
    <t>BL SERVICE ADMINISTRADORA DE SERVIÇOS LT</t>
  </si>
  <si>
    <t>78466506</t>
  </si>
  <si>
    <t>BL SERVICOS E TRANSPORTES</t>
  </si>
  <si>
    <t>BL SERVICOS E TRANSPORTES LTDA</t>
  </si>
  <si>
    <t>140457364</t>
  </si>
  <si>
    <t>1138S</t>
  </si>
  <si>
    <t>(055) 659628-8786</t>
  </si>
  <si>
    <t>GRATITUDE LTDA</t>
  </si>
  <si>
    <t>04675010</t>
  </si>
  <si>
    <t>140681393117</t>
  </si>
  <si>
    <t>AV DOUTOR SILVA MELO</t>
  </si>
  <si>
    <t>106</t>
  </si>
  <si>
    <t>(055) 117548-8121</t>
  </si>
  <si>
    <t>FUNDACAO APOIO PESQ AGROP FUND MATO G</t>
  </si>
  <si>
    <t>140729097</t>
  </si>
  <si>
    <t>RURAL MT242 KM19+3,5KM ESQUERDA DA TRAVESSA FAZ NOVO MILENIO</t>
  </si>
  <si>
    <t>KM19</t>
  </si>
  <si>
    <t>CTC LOGISTICA</t>
  </si>
  <si>
    <t>03057000</t>
  </si>
  <si>
    <t>SINOSTAR AGENCIADORA DE CARGAS LTDA</t>
  </si>
  <si>
    <t>140956286112</t>
  </si>
  <si>
    <t>CAJURU</t>
  </si>
  <si>
    <t>691</t>
  </si>
  <si>
    <t>(055) 115189-0523</t>
  </si>
  <si>
    <t>HOTEL SCHROEDER LTDA</t>
  </si>
  <si>
    <t>89107000</t>
  </si>
  <si>
    <t>POMERODE</t>
  </si>
  <si>
    <t>15 DE NOVEMBRO</t>
  </si>
  <si>
    <t>514</t>
  </si>
  <si>
    <t>(047) 3387-0933</t>
  </si>
  <si>
    <t>02162050</t>
  </si>
  <si>
    <t>141149028117</t>
  </si>
  <si>
    <t>RUA SAMUEL LUCAS</t>
  </si>
  <si>
    <t>JARDIM JULIETA</t>
  </si>
  <si>
    <t>(055) 353441-3214</t>
  </si>
  <si>
    <t>SITIO DO QUARTETO</t>
  </si>
  <si>
    <t>MARCO TULIO GOMES COSTA RIBEIRO</t>
  </si>
  <si>
    <t>14116140007</t>
  </si>
  <si>
    <t>(035) 99976-1475</t>
  </si>
  <si>
    <t>FUSP</t>
  </si>
  <si>
    <t>05507000</t>
  </si>
  <si>
    <t>FUNDACAO DE APOIO A UNIV DE SAO PAULO</t>
  </si>
  <si>
    <t>141587902114</t>
  </si>
  <si>
    <t>P</t>
  </si>
  <si>
    <t>AFRANIO PEIXOTO</t>
  </si>
  <si>
    <t>BUTANTÃ</t>
  </si>
  <si>
    <t>(055) 113035-0574</t>
  </si>
  <si>
    <t>FAZENDA PONTE DO BAGUARI</t>
  </si>
  <si>
    <t>SEBASTIAO BELINE DIAS</t>
  </si>
  <si>
    <t>14210760005</t>
  </si>
  <si>
    <t>PARAGUAÇU/ELOI MENDES KM 5</t>
  </si>
  <si>
    <t>(035) 99762-7441</t>
  </si>
  <si>
    <t>NIEDSON DA COSTA PONTES</t>
  </si>
  <si>
    <t>14214170</t>
  </si>
  <si>
    <t>ANTONIO SANTA CECILIA</t>
  </si>
  <si>
    <t>(034) 99897-1648</t>
  </si>
  <si>
    <t>OCP FERTILIZANTES - SAO PAULO</t>
  </si>
  <si>
    <t>04578000</t>
  </si>
  <si>
    <t>142560803112</t>
  </si>
  <si>
    <t>DAS NAÇÕES UNIDAS</t>
  </si>
  <si>
    <t>BROOKLIN</t>
  </si>
  <si>
    <t>11711</t>
  </si>
  <si>
    <t>ENVASADORA FALCON</t>
  </si>
  <si>
    <t>02117001</t>
  </si>
  <si>
    <t>ENVASADORA FALCON IND COM MAQUINAS LTDA</t>
  </si>
  <si>
    <t>143004471115</t>
  </si>
  <si>
    <t>ANDARAI</t>
  </si>
  <si>
    <t>530</t>
  </si>
  <si>
    <t>(011) 99911-1858</t>
  </si>
  <si>
    <t>POWER BRASIL TRANSPORTES LTDA</t>
  </si>
  <si>
    <t>03370020</t>
  </si>
  <si>
    <t>143150974112</t>
  </si>
  <si>
    <t>RUA MARIA AFONSO</t>
  </si>
  <si>
    <t>CHACARA MAFALDA</t>
  </si>
  <si>
    <t>ILSON JOSE DE OLIVEIRA</t>
  </si>
  <si>
    <t>14362840036</t>
  </si>
  <si>
    <t>(034) 99982-5907</t>
  </si>
  <si>
    <t>LIXLIMP LIXEIRAS PROD LIMP. LT. ME</t>
  </si>
  <si>
    <t>04142082</t>
  </si>
  <si>
    <t>143868972110</t>
  </si>
  <si>
    <t>AV BOSQUE DA SAUDE</t>
  </si>
  <si>
    <t>BOSQUE DA SAUDE</t>
  </si>
  <si>
    <t>1806</t>
  </si>
  <si>
    <t>(011) 2577-3097</t>
  </si>
  <si>
    <t>VIVA! EXPERIENCIAS</t>
  </si>
  <si>
    <t>01435001</t>
  </si>
  <si>
    <t>SUSSKA PREMIACOES E INCENTIVOS LTDA</t>
  </si>
  <si>
    <t>144.546.621.115</t>
  </si>
  <si>
    <t>S GABRIEL</t>
  </si>
  <si>
    <t>(055) 115525-3270</t>
  </si>
  <si>
    <t>38406136</t>
  </si>
  <si>
    <t>14465832</t>
  </si>
  <si>
    <t>DOS FERREIRAS</t>
  </si>
  <si>
    <t>(034) 99128-5909</t>
  </si>
  <si>
    <t>38414564</t>
  </si>
  <si>
    <t>14474961</t>
  </si>
  <si>
    <t>BERLIM</t>
  </si>
  <si>
    <t>(034) 99205-4770</t>
  </si>
  <si>
    <t>ALURA</t>
  </si>
  <si>
    <t>04101300</t>
  </si>
  <si>
    <t>AOVS SISTEMAS DE INFORMATICA S.A.</t>
  </si>
  <si>
    <t>144873428117</t>
  </si>
  <si>
    <t>VERGUEIRO</t>
  </si>
  <si>
    <t>3195</t>
  </si>
  <si>
    <t>(055) 115571-2751</t>
  </si>
  <si>
    <t>ALPHA COMPRESSORES</t>
  </si>
  <si>
    <t>05092000</t>
  </si>
  <si>
    <t>ALPHA COM. E MANUTENÇÃO E SERV. EIRELI</t>
  </si>
  <si>
    <t>144983818110</t>
  </si>
  <si>
    <t>RUA BARTOLOMEU PAES</t>
  </si>
  <si>
    <t>(011) 2592-2261</t>
  </si>
  <si>
    <t>CARDOSO &amp; CARDOSO TRA INT LOG ASSESSORIA</t>
  </si>
  <si>
    <t>07222110</t>
  </si>
  <si>
    <t>145.707.805-114</t>
  </si>
  <si>
    <t>SANTANA DA BOA VISTA</t>
  </si>
  <si>
    <t>CUMBICA</t>
  </si>
  <si>
    <t>638</t>
  </si>
  <si>
    <t>(055) 112546-4082</t>
  </si>
  <si>
    <t>TARCISIO LEÃO VALVERDE</t>
  </si>
  <si>
    <t>14538120</t>
  </si>
  <si>
    <t>SERRA MARACATU</t>
  </si>
  <si>
    <t>53</t>
  </si>
  <si>
    <t>PRESTACOES DE SERVICOS CONTENTE LTDA</t>
  </si>
  <si>
    <t>05206020</t>
  </si>
  <si>
    <t>145556791119</t>
  </si>
  <si>
    <t>R PADRE MANUEL CAMPELLO</t>
  </si>
  <si>
    <t>PERUS</t>
  </si>
  <si>
    <t>232</t>
  </si>
  <si>
    <t>GLYCEROSOLUTION QUÍMICA LTDA</t>
  </si>
  <si>
    <t>04571000</t>
  </si>
  <si>
    <t>145578457113</t>
  </si>
  <si>
    <t>1748</t>
  </si>
  <si>
    <t>RENATO ALVES ARAUJO</t>
  </si>
  <si>
    <t>14562260</t>
  </si>
  <si>
    <t>IMBAUBAS</t>
  </si>
  <si>
    <t>(034) 99660-1646</t>
  </si>
  <si>
    <t>MINIPA METROLOGIA E SERVICOS LTDA</t>
  </si>
  <si>
    <t>04186100</t>
  </si>
  <si>
    <t>145667974113</t>
  </si>
  <si>
    <t>CARLOS LIVIERO</t>
  </si>
  <si>
    <t>VILA LIVIERO</t>
  </si>
  <si>
    <t>(055) 115078-1854</t>
  </si>
  <si>
    <t>ANTON PAAR BRASIL IMP. EXP COM DE INSTRU</t>
  </si>
  <si>
    <t>04026090</t>
  </si>
  <si>
    <t>145725539118</t>
  </si>
  <si>
    <t>JOSÉ DE MAGALHÃES</t>
  </si>
  <si>
    <t>(011) 5906-9000</t>
  </si>
  <si>
    <t>RUCKEN INSTRUMENTOS DE MEDIÇÃO LTDA</t>
  </si>
  <si>
    <t>04264100</t>
  </si>
  <si>
    <t>145756364110</t>
  </si>
  <si>
    <t>PADRE SENEPA</t>
  </si>
  <si>
    <t>VILA MONUMENTO</t>
  </si>
  <si>
    <t>199</t>
  </si>
  <si>
    <t>(011) 2061-7333</t>
  </si>
  <si>
    <t>FAZENDA DOS MAFRAS</t>
  </si>
  <si>
    <t>37418899</t>
  </si>
  <si>
    <t>JOSE ALEXANDRE MAFRA</t>
  </si>
  <si>
    <t>14593990190</t>
  </si>
  <si>
    <t>(035) 99946-3378</t>
  </si>
  <si>
    <t>VULCANO IND E COM DE MAQUINAS</t>
  </si>
  <si>
    <t>01136010</t>
  </si>
  <si>
    <t>146434991113</t>
  </si>
  <si>
    <t>RUA JOAQUIM MANUEL DE MACEDO</t>
  </si>
  <si>
    <t>DMCATRANSP.ROD.DEPROD.EIRELI</t>
  </si>
  <si>
    <t>DMCATRANSP ROD DEPROD EIRELI</t>
  </si>
  <si>
    <t>14649885000169</t>
  </si>
  <si>
    <t>MILLIKEN</t>
  </si>
  <si>
    <t>04578903</t>
  </si>
  <si>
    <t>MILLIKEN DO BRASIL</t>
  </si>
  <si>
    <t>147036935110</t>
  </si>
  <si>
    <t>AV DAS NAÇÕES UNIDAS</t>
  </si>
  <si>
    <t>BROOKLIN PAULISTA</t>
  </si>
  <si>
    <t>12551</t>
  </si>
  <si>
    <t>(011) 3043-7944</t>
  </si>
  <si>
    <t>MWM MOTORES DIESEL</t>
  </si>
  <si>
    <t>04795000</t>
  </si>
  <si>
    <t>MWM - TUPY DO BRASIL LTDA.</t>
  </si>
  <si>
    <t>147794031114</t>
  </si>
  <si>
    <t>PQ INDUSTRIAL JURUBATUBA</t>
  </si>
  <si>
    <t>22002</t>
  </si>
  <si>
    <t>(055) 112739-4022</t>
  </si>
  <si>
    <t>04543000</t>
  </si>
  <si>
    <t>NOVA ENERGIA COMERCIALIZADORA S.A.</t>
  </si>
  <si>
    <t>148.808.090.115</t>
  </si>
  <si>
    <t>PRES JUSCELINO KUBITSCHEK</t>
  </si>
  <si>
    <t>VILA NOVA CONCEICAO</t>
  </si>
  <si>
    <t>(055) 113124-4174</t>
  </si>
  <si>
    <t>ICHIP TECNOLOGIA EIRELI</t>
  </si>
  <si>
    <t>02130030</t>
  </si>
  <si>
    <t>Ichip Tecnologia Eireli</t>
  </si>
  <si>
    <t>148285292113</t>
  </si>
  <si>
    <t>LACANGA</t>
  </si>
  <si>
    <t>STAND NETWORK COMERCIO DE CONECTORES LTD</t>
  </si>
  <si>
    <t>01209001</t>
  </si>
  <si>
    <t>STAND NETWORK COMERCIO DE CONEC LTDA</t>
  </si>
  <si>
    <t>148517022117</t>
  </si>
  <si>
    <t>RUA AURORA</t>
  </si>
  <si>
    <t>SANTA EFIGÊNIA</t>
  </si>
  <si>
    <t>159</t>
  </si>
  <si>
    <t>(055) 113333-1045</t>
  </si>
  <si>
    <t>ATENUA GROUP</t>
  </si>
  <si>
    <t>01522030</t>
  </si>
  <si>
    <t>TRISHOPPING INDUSTRIA E COMERCIO LTDA</t>
  </si>
  <si>
    <t>148698259110</t>
  </si>
  <si>
    <t>DOS PESCADORES</t>
  </si>
  <si>
    <t>CAMBUCI</t>
  </si>
  <si>
    <t>102</t>
  </si>
  <si>
    <t>(055) 112117-2970</t>
  </si>
  <si>
    <t>SEAL TELECOM</t>
  </si>
  <si>
    <t>05001100</t>
  </si>
  <si>
    <t>SEAL TELECOM COMÉRCIO E SERVIÇOS DE TELE</t>
  </si>
  <si>
    <t>148954770113</t>
  </si>
  <si>
    <t>FRANCISCO MATARAZZO</t>
  </si>
  <si>
    <t>ÁGUA BRANCA</t>
  </si>
  <si>
    <t>(011) 3877-4000</t>
  </si>
  <si>
    <t>ES TECH SOLUCOES INTELIGENTES</t>
  </si>
  <si>
    <t>02011200</t>
  </si>
  <si>
    <t>ES TECH TECNOLOGIA CORPORATIVA LTDA</t>
  </si>
  <si>
    <t>149.541.896.110</t>
  </si>
  <si>
    <t>VOLUNTARIOS DA PATRIA</t>
  </si>
  <si>
    <t>1493</t>
  </si>
  <si>
    <t>(055) 112823-7066</t>
  </si>
  <si>
    <t>SERTRAZA TRANSPORTES</t>
  </si>
  <si>
    <t>02054100</t>
  </si>
  <si>
    <t>SERTRAZA TRANSPORTES LTDA</t>
  </si>
  <si>
    <t>149390930110</t>
  </si>
  <si>
    <t>JOAO VENTURA BATISTA</t>
  </si>
  <si>
    <t>559</t>
  </si>
  <si>
    <t>(011) 2905-2224</t>
  </si>
  <si>
    <t>RUMO MALHA PAULISTA S.A.</t>
  </si>
  <si>
    <t>04538132</t>
  </si>
  <si>
    <t>149569373118</t>
  </si>
  <si>
    <t>AVENIDA BRIGADEIRO FARIA LIMA</t>
  </si>
  <si>
    <t>4100</t>
  </si>
  <si>
    <t>(048) 1000-8174</t>
  </si>
  <si>
    <t>FAZENDA SÃO JOÃO</t>
  </si>
  <si>
    <t>37589000</t>
  </si>
  <si>
    <t>JOAO LEAL FAGUNDES NETTO</t>
  </si>
  <si>
    <t>14960130032</t>
  </si>
  <si>
    <t>SILVIANOPOLIS</t>
  </si>
  <si>
    <t>(035) 99984-0056</t>
  </si>
  <si>
    <t>NET FESTAS LTDA</t>
  </si>
  <si>
    <t>01026904</t>
  </si>
  <si>
    <t>149779484115</t>
  </si>
  <si>
    <t>SEN QUEIROS</t>
  </si>
  <si>
    <t>(055) 113229-4409</t>
  </si>
  <si>
    <t>BUNTECH - SAO PAULO</t>
  </si>
  <si>
    <t>04728150</t>
  </si>
  <si>
    <t>BUNTECH TECNOLOGIA EM INSUMOS LTDA</t>
  </si>
  <si>
    <t>149994845111</t>
  </si>
  <si>
    <t>BALDOMERO CORDADA DE ALMEIDA</t>
  </si>
  <si>
    <t>CHACARA JAPONESA</t>
  </si>
  <si>
    <t>68445000</t>
  </si>
  <si>
    <t>15.740.527-3</t>
  </si>
  <si>
    <t>PA 483, KM 18</t>
  </si>
  <si>
    <t>VILA DO CONDE</t>
  </si>
  <si>
    <t>(055) 629394-8836</t>
  </si>
  <si>
    <t>35774000</t>
  </si>
  <si>
    <t>TRIANGULO AGRO - PARAOPEBA</t>
  </si>
  <si>
    <t>15.818.810.410</t>
  </si>
  <si>
    <t>PARAOPEBA</t>
  </si>
  <si>
    <t>DR. JULIO CESAR</t>
  </si>
  <si>
    <t>941</t>
  </si>
  <si>
    <t>(055) 353522-1104</t>
  </si>
  <si>
    <t>37973000</t>
  </si>
  <si>
    <t>TRIANGULO AGRO - ITAMOGI</t>
  </si>
  <si>
    <t>15.818.810.666</t>
  </si>
  <si>
    <t>ITAMOGI</t>
  </si>
  <si>
    <t>OVIDIO DE ABREU</t>
  </si>
  <si>
    <t>VILA NOVA</t>
  </si>
  <si>
    <t>ACACIA PALACE HOTEL</t>
  </si>
  <si>
    <t>68181030</t>
  </si>
  <si>
    <t>M. MARTINS GAMA &amp; CIA LTDA</t>
  </si>
  <si>
    <t>152426744</t>
  </si>
  <si>
    <t>ITAITUBA</t>
  </si>
  <si>
    <t>HAROLDO VELOSO</t>
  </si>
  <si>
    <t>340</t>
  </si>
  <si>
    <t>(055) 938802-3262</t>
  </si>
  <si>
    <t>UBIRAJARA PERON</t>
  </si>
  <si>
    <t>38412641</t>
  </si>
  <si>
    <t>15279397</t>
  </si>
  <si>
    <t>DOS PICA-PAUS</t>
  </si>
  <si>
    <t>(034) 3210-8687</t>
  </si>
  <si>
    <t>47862090</t>
  </si>
  <si>
    <t>FOSNOR FOSFATADO DO NORTE NORDESTE S/A</t>
  </si>
  <si>
    <t>154184700</t>
  </si>
  <si>
    <t>(011) 3767-0044</t>
  </si>
  <si>
    <t>68447000</t>
  </si>
  <si>
    <t>154300420</t>
  </si>
  <si>
    <t>PLANTA PORTO DA R C C</t>
  </si>
  <si>
    <t>(063) 3363-0335</t>
  </si>
  <si>
    <t>CECÍLIA DE BRITO DANTAS</t>
  </si>
  <si>
    <t>15450705</t>
  </si>
  <si>
    <t>R JOAO TOBIAS</t>
  </si>
  <si>
    <t>GDP</t>
  </si>
  <si>
    <t>06454050</t>
  </si>
  <si>
    <t>GDP - COMERCIO ATACADISTA LTDA</t>
  </si>
  <si>
    <t>154522831112</t>
  </si>
  <si>
    <t>ALAMEDA GRAJAU</t>
  </si>
  <si>
    <t>614</t>
  </si>
  <si>
    <t>(055) 114040-6331</t>
  </si>
  <si>
    <t>HOTEL UNIAO</t>
  </si>
  <si>
    <t>37440000</t>
  </si>
  <si>
    <t>HOTEL UNIAO LTDA</t>
  </si>
  <si>
    <t>1550825900040</t>
  </si>
  <si>
    <t>CAXAMBU</t>
  </si>
  <si>
    <t>JOÃO PESSOA</t>
  </si>
  <si>
    <t>284</t>
  </si>
  <si>
    <t>BERTUOL FERTILIZANTES - SANTAREM</t>
  </si>
  <si>
    <t>68116000</t>
  </si>
  <si>
    <t>BERTUOL INDUSTRIA DE FERTILIZANTES LTDA</t>
  </si>
  <si>
    <t>155369920</t>
  </si>
  <si>
    <t>BR 163 SANTAREM CUIABA</t>
  </si>
  <si>
    <t>7825</t>
  </si>
  <si>
    <t>68030000</t>
  </si>
  <si>
    <t>CAMPO RICO - SANTARÉM</t>
  </si>
  <si>
    <t>CAMPO RICO BRASIL COM. DE FERTILIZANTES</t>
  </si>
  <si>
    <t>155430211</t>
  </si>
  <si>
    <t>ROD SANTAREM CUIABA</t>
  </si>
  <si>
    <t>MATINHA</t>
  </si>
  <si>
    <t>(011) 3124-3070</t>
  </si>
  <si>
    <t>UNI-Z - MIRITITUBA</t>
  </si>
  <si>
    <t>68180020</t>
  </si>
  <si>
    <t>UNI-Z OPERACOES PORTUARIAS LTDA</t>
  </si>
  <si>
    <t>156115468</t>
  </si>
  <si>
    <t>DIREITA DO RIO TAPAJOS, LOTE 02 SAO JOSE, GLEBASANTA CRUZ</t>
  </si>
  <si>
    <t>6054</t>
  </si>
  <si>
    <t>(091) 4008-8603</t>
  </si>
  <si>
    <t>IPE AGRONEGOCIOS LTDA</t>
  </si>
  <si>
    <t>156175023</t>
  </si>
  <si>
    <t>JUSCELINO KUBITSCHECK</t>
  </si>
  <si>
    <t>JARDIM PARAÍSO</t>
  </si>
  <si>
    <t>806</t>
  </si>
  <si>
    <t>(077) 99843-5915</t>
  </si>
  <si>
    <t>FAZENDA SANTA MARIA</t>
  </si>
  <si>
    <t>35537000</t>
  </si>
  <si>
    <t>FERNANDO HENRIQUE MUNHOZ FERNANDES</t>
  </si>
  <si>
    <t>15643920085</t>
  </si>
  <si>
    <t>PASSA TEMPO</t>
  </si>
  <si>
    <t>PACIENCIA PONTE DE PEDRA</t>
  </si>
  <si>
    <t>(037) 9993-2269</t>
  </si>
  <si>
    <t>157298990</t>
  </si>
  <si>
    <t>PA 483</t>
  </si>
  <si>
    <t>FRIBON FERTILIZANTES LTDA</t>
  </si>
  <si>
    <t>157423905</t>
  </si>
  <si>
    <t>PA 483 KM 18</t>
  </si>
  <si>
    <t>(055) 663421-5392</t>
  </si>
  <si>
    <t>157778991</t>
  </si>
  <si>
    <t>SITIO RECANTOS DOS OVIDIOS</t>
  </si>
  <si>
    <t>RIANI JUNIOR DE SOUZA</t>
  </si>
  <si>
    <t>15808050090</t>
  </si>
  <si>
    <t>RECANTO DOS OVIDIOS</t>
  </si>
  <si>
    <t>(035) 99917-9836</t>
  </si>
  <si>
    <t>ERCY ABADIA MOREIRA</t>
  </si>
  <si>
    <t>15843030016</t>
  </si>
  <si>
    <t>SERRA DO SALITRE A CARMO</t>
  </si>
  <si>
    <t>VARGEM DO CERVO</t>
  </si>
  <si>
    <t>JAIR DONIZETE FRANCO</t>
  </si>
  <si>
    <t>15891880016</t>
  </si>
  <si>
    <t>RUA SILVESTRE DOS REIS,</t>
  </si>
  <si>
    <t>SAUDE</t>
  </si>
  <si>
    <t>(035) 3424-1748</t>
  </si>
  <si>
    <t>LINDEMBERGUE GOMES</t>
  </si>
  <si>
    <t>15911976</t>
  </si>
  <si>
    <t>PEDRO DIAS DA SILVA</t>
  </si>
  <si>
    <t>LUIZOTE 2</t>
  </si>
  <si>
    <t>269</t>
  </si>
  <si>
    <t>58411450</t>
  </si>
  <si>
    <t>BENTONIT UNIAO NORDESTE INDUSTRIA E COME</t>
  </si>
  <si>
    <t>160141346</t>
  </si>
  <si>
    <t>CAMPINA GRANDE</t>
  </si>
  <si>
    <t>JORNALISTA ASSIS CHATEAUBRIAND</t>
  </si>
  <si>
    <t>3877</t>
  </si>
  <si>
    <t>(011) 2112-6600</t>
  </si>
  <si>
    <t>58082797</t>
  </si>
  <si>
    <t>BENTONIT UNIAO NORDESTE INDUSTRIA LTDA</t>
  </si>
  <si>
    <t>160236193</t>
  </si>
  <si>
    <t>JOAO PESSOA</t>
  </si>
  <si>
    <t>JOSE ANTONIO FERREIRA DE MIRANDA</t>
  </si>
  <si>
    <t>(055) 833233-1130</t>
  </si>
  <si>
    <t>58123000</t>
  </si>
  <si>
    <t>160239362</t>
  </si>
  <si>
    <t>PARCELADO - 45/60</t>
  </si>
  <si>
    <t>BR 412</t>
  </si>
  <si>
    <t>ESPINHEIRO</t>
  </si>
  <si>
    <t>(083) 313-1000</t>
  </si>
  <si>
    <t>BENTONISA</t>
  </si>
  <si>
    <t>BENTONISA BENTONITA DO NORDESTE S A</t>
  </si>
  <si>
    <t>160334837</t>
  </si>
  <si>
    <t>BR 412 KM19</t>
  </si>
  <si>
    <t>(055) 832108-9800</t>
  </si>
  <si>
    <t>38408248</t>
  </si>
  <si>
    <t>16250797</t>
  </si>
  <si>
    <t>JORNALISTA JOÃO DE OLIVEIRA</t>
  </si>
  <si>
    <t>1219</t>
  </si>
  <si>
    <t>(034) 99186-7340</t>
  </si>
  <si>
    <t>ARTUD INDUSTRIA E COMERCIO LTDA</t>
  </si>
  <si>
    <t>13160000</t>
  </si>
  <si>
    <t>165001207117</t>
  </si>
  <si>
    <t>ARTUR NOGUEIRA</t>
  </si>
  <si>
    <t>ESTRADA TORRE DA RADIO</t>
  </si>
  <si>
    <t>1882</t>
  </si>
  <si>
    <t>VICTOR CESAR RODRIGUES ALVES</t>
  </si>
  <si>
    <t>38411673</t>
  </si>
  <si>
    <t>16536657</t>
  </si>
  <si>
    <t>RENATO DE OLIVEIRA GAMA</t>
  </si>
  <si>
    <t>(034) 99222-6352</t>
  </si>
  <si>
    <t>SAFRA BAG</t>
  </si>
  <si>
    <t>13478820</t>
  </si>
  <si>
    <t>SAFRA BAG INDÚSTRIA E COMÉRCIO DE EMBALA</t>
  </si>
  <si>
    <t>165630134119</t>
  </si>
  <si>
    <t>ZRODRIGOMB</t>
  </si>
  <si>
    <t>AMERICANA</t>
  </si>
  <si>
    <t>JOSÉ MENEGHEL</t>
  </si>
  <si>
    <t>INDUSTRIAL SIGISFREDO BOER</t>
  </si>
  <si>
    <t>265</t>
  </si>
  <si>
    <t>(019) 2217-2002</t>
  </si>
  <si>
    <t>FERNANDO MAURO CARDOSO NEMOTO</t>
  </si>
  <si>
    <t>41815130</t>
  </si>
  <si>
    <t>166627884</t>
  </si>
  <si>
    <t>DR ANTONIO MONTEIRO</t>
  </si>
  <si>
    <t>ITAIGARA</t>
  </si>
  <si>
    <t>CESAR FERNANDES GIRARD</t>
  </si>
  <si>
    <t>18243899</t>
  </si>
  <si>
    <t>171021590119</t>
  </si>
  <si>
    <t>ANGATUBA</t>
  </si>
  <si>
    <t>RAPOSO TAVARES - FAZENDA SANTA IRENE</t>
  </si>
  <si>
    <t>ATERRADINHO</t>
  </si>
  <si>
    <t>(055) 159156-4173</t>
  </si>
  <si>
    <t>GABRIEL RAMOS E SILVA</t>
  </si>
  <si>
    <t>17187514</t>
  </si>
  <si>
    <t>BELKINA CARVALHO CUNHA</t>
  </si>
  <si>
    <t>(034) 99994-8975</t>
  </si>
  <si>
    <t>FAZENDA DO GAMA</t>
  </si>
  <si>
    <t>MAURICIO JOSE DE AQUINO</t>
  </si>
  <si>
    <t>17194170078</t>
  </si>
  <si>
    <t>CARANDAI/CHACARA</t>
  </si>
  <si>
    <t>(032) 99988-1358</t>
  </si>
  <si>
    <t>PAULO CEZAR DE AQUINO</t>
  </si>
  <si>
    <t>17194230054</t>
  </si>
  <si>
    <t>(032) 3361-1957</t>
  </si>
  <si>
    <t>JMD TRANSPORTES EIRELI</t>
  </si>
  <si>
    <t>38413033</t>
  </si>
  <si>
    <t>17326750033</t>
  </si>
  <si>
    <t>DOS BACURIS</t>
  </si>
  <si>
    <t>(034) 3237-1018</t>
  </si>
  <si>
    <t>RODRIGO LARA DOS REIS</t>
  </si>
  <si>
    <t>17346813</t>
  </si>
  <si>
    <t>CECILIA</t>
  </si>
  <si>
    <t>GOIABEIRAS</t>
  </si>
  <si>
    <t>649</t>
  </si>
  <si>
    <t>CONSORCIO RIO DA PRATA</t>
  </si>
  <si>
    <t>MANOEL DE LIMA RAMALHO</t>
  </si>
  <si>
    <t>17601230090</t>
  </si>
  <si>
    <t>BR 040 KM 116</t>
  </si>
  <si>
    <t>(016) 99619-4422</t>
  </si>
  <si>
    <t>ARTHUR VINICIUS VILELA GOMES</t>
  </si>
  <si>
    <t>17681754</t>
  </si>
  <si>
    <t>(034) 99185-5420</t>
  </si>
  <si>
    <t>A B METALURGICA</t>
  </si>
  <si>
    <t>94930000</t>
  </si>
  <si>
    <t>ARAUTERM EQPTOS TERMO METALURGICOS</t>
  </si>
  <si>
    <t>1770043915</t>
  </si>
  <si>
    <t>FREDERICO AUGUSTO RITTER</t>
  </si>
  <si>
    <t>3150</t>
  </si>
  <si>
    <t>(051) 3406-6979</t>
  </si>
  <si>
    <t>RODOMAIOR TRANSPORTES LTDA</t>
  </si>
  <si>
    <t>16018805</t>
  </si>
  <si>
    <t>177154449117</t>
  </si>
  <si>
    <t>ARACATUBA</t>
  </si>
  <si>
    <t>MARECHAL RONDON</t>
  </si>
  <si>
    <t>KM 527</t>
  </si>
  <si>
    <t>(067) 3348-0300</t>
  </si>
  <si>
    <t>CHAO DE MINAS - ALFENAS</t>
  </si>
  <si>
    <t>37136018</t>
  </si>
  <si>
    <t>CHAO DE MINAS AGRONEGOCIOS LTDA</t>
  </si>
  <si>
    <t>1780064330030</t>
  </si>
  <si>
    <t>AV HENRIQUE MUNHOZ GARCIA</t>
  </si>
  <si>
    <t>RESIDENCIAL MORADA DO SOL</t>
  </si>
  <si>
    <t>14550000</t>
  </si>
  <si>
    <t>FLAVIO JOSE GOMES</t>
  </si>
  <si>
    <t>179011992113</t>
  </si>
  <si>
    <t>ARAMINA</t>
  </si>
  <si>
    <t>APARECIDA GLEBA 1</t>
  </si>
  <si>
    <t>(055) 169998-0100</t>
  </si>
  <si>
    <t>ABREXIA NEGOCIOS AGRICOLAS LTDA</t>
  </si>
  <si>
    <t>17944690064</t>
  </si>
  <si>
    <t>SERIO TISO</t>
  </si>
  <si>
    <t>SANTA MARGARIDA</t>
  </si>
  <si>
    <t>1010</t>
  </si>
  <si>
    <t>(055) 358882-9213</t>
  </si>
  <si>
    <t>FERTIMAN IND. E COM DE PROD. QUIM. LTDA</t>
  </si>
  <si>
    <t>1797599620090</t>
  </si>
  <si>
    <t>J K OLIVEIRA</t>
  </si>
  <si>
    <t>(055) 353424-1206</t>
  </si>
  <si>
    <t>SITIO PANELAO</t>
  </si>
  <si>
    <t>DAVID MEZZAVILLA PEREIRA</t>
  </si>
  <si>
    <t>18.133.420.105</t>
  </si>
  <si>
    <t>ESTRADA MUNICIPAL BAIRRO PANELAO</t>
  </si>
  <si>
    <t>(055) 3599930-1966</t>
  </si>
  <si>
    <t>MENDONCA RADIOCOMUNICACAO ARARAQUARA</t>
  </si>
  <si>
    <t>14807345</t>
  </si>
  <si>
    <t>181150560110</t>
  </si>
  <si>
    <t>ARARAQUARA</t>
  </si>
  <si>
    <t>PAPA PIO X</t>
  </si>
  <si>
    <t>VILA MARIA HELENA</t>
  </si>
  <si>
    <t>560</t>
  </si>
  <si>
    <t>(055) 163334-2043</t>
  </si>
  <si>
    <t>14803886</t>
  </si>
  <si>
    <t>HINOVE AGROCIENCIA - ARARAQUARA</t>
  </si>
  <si>
    <t>HINOVE AGROCIENCIA S.A</t>
  </si>
  <si>
    <t>181159423115</t>
  </si>
  <si>
    <t>HINOVE</t>
  </si>
  <si>
    <t>LILIA ELISA EBERLE LUPO</t>
  </si>
  <si>
    <t>JARDIM SALTO GRANDE</t>
  </si>
  <si>
    <t>200B</t>
  </si>
  <si>
    <t>(016) 3322-7481</t>
  </si>
  <si>
    <t>TRANSCHUVA TRANSPORTE LTDA</t>
  </si>
  <si>
    <t>14808110</t>
  </si>
  <si>
    <t>181254737117</t>
  </si>
  <si>
    <t>PROFESSORA ERGILIA MICELLI</t>
  </si>
  <si>
    <t>JARDIM REGINA</t>
  </si>
  <si>
    <t>COPY TEM - COPIADORA LTDA - EPP</t>
  </si>
  <si>
    <t>18441600</t>
  </si>
  <si>
    <t>1730</t>
  </si>
  <si>
    <t>CALIBRATEC COM E CALIBRACOES DE INST</t>
  </si>
  <si>
    <t>32110005</t>
  </si>
  <si>
    <t>1860915320080</t>
  </si>
  <si>
    <t>AV SEVERINO BALLESTEROS RODRIGUES</t>
  </si>
  <si>
    <t>RESSACA</t>
  </si>
  <si>
    <t>LOCAR GUINDASTES E TRANSPORTES INTERMODA</t>
  </si>
  <si>
    <t>38402340</t>
  </si>
  <si>
    <t>Locar Guindastes e Transportes Intermoda</t>
  </si>
  <si>
    <t>1861749260363</t>
  </si>
  <si>
    <t>RUA IGNEZ FAVATO</t>
  </si>
  <si>
    <t>304</t>
  </si>
  <si>
    <t>RODOATIVA TRANSPORTES RODOVIÁRIOS LTDA</t>
  </si>
  <si>
    <t>32315010</t>
  </si>
  <si>
    <t>1863070140079</t>
  </si>
  <si>
    <t>AVENIDA CANAL</t>
  </si>
  <si>
    <t>ELDORADO</t>
  </si>
  <si>
    <t>TOYOTA EMPILHADEIRA</t>
  </si>
  <si>
    <t>TOYOTA MAT.HANDLING MERCOSUR IND. E COM.</t>
  </si>
  <si>
    <t>187030361115</t>
  </si>
  <si>
    <t>AV JAPAO</t>
  </si>
  <si>
    <t>TERRAPLANAGEM TRÊS IRMÃS LTDA</t>
  </si>
  <si>
    <t>38408311</t>
  </si>
  <si>
    <t>18741000</t>
  </si>
  <si>
    <t>7385</t>
  </si>
  <si>
    <t>(034) 3224-1012</t>
  </si>
  <si>
    <t>WAGNER GONCALVES FELICIANO COUTO 3080328</t>
  </si>
  <si>
    <t>07401090</t>
  </si>
  <si>
    <t>WFC MAINTENANCE</t>
  </si>
  <si>
    <t>188.186.560.114</t>
  </si>
  <si>
    <t>ARUJA</t>
  </si>
  <si>
    <t>ELPIDIO FERREIRA GUIMARAES</t>
  </si>
  <si>
    <t>CENTRO INDL.DE ARUJA</t>
  </si>
  <si>
    <t>POLYCROM</t>
  </si>
  <si>
    <t>07411650</t>
  </si>
  <si>
    <t>POLYCROM QUIMICA DO BRASIL LTDA</t>
  </si>
  <si>
    <t>188072500116</t>
  </si>
  <si>
    <t>(011) 2782-2222</t>
  </si>
  <si>
    <t>FAZENDA SANTA EMLIA</t>
  </si>
  <si>
    <t>12940970</t>
  </si>
  <si>
    <t>LUIZ ALBERTO POSSO E OUTRO</t>
  </si>
  <si>
    <t>190.200.023.110</t>
  </si>
  <si>
    <t>ATIBAIA</t>
  </si>
  <si>
    <t>SANTA EMLIA</t>
  </si>
  <si>
    <t>CAETETUBA</t>
  </si>
  <si>
    <t>(055) 114415-1680</t>
  </si>
  <si>
    <t>DAVVERO</t>
  </si>
  <si>
    <t>12946734</t>
  </si>
  <si>
    <t>DAVVERO - LTDA</t>
  </si>
  <si>
    <t>190394565112</t>
  </si>
  <si>
    <t>JOSIAS ROCHA</t>
  </si>
  <si>
    <t>JARDIM MARISTELA</t>
  </si>
  <si>
    <t>(055) 114402-2787</t>
  </si>
  <si>
    <t>AGROGUST INDUSTRIA E COMERCIO LTDA</t>
  </si>
  <si>
    <t>48921000</t>
  </si>
  <si>
    <t>192089807</t>
  </si>
  <si>
    <t>DT MANICOBA, SN - RODOVIA BA 210</t>
  </si>
  <si>
    <t>MANICOBA</t>
  </si>
  <si>
    <t>CTC COMERCIAL E TRANSPORTES LTDA - ME</t>
  </si>
  <si>
    <t>16360000</t>
  </si>
  <si>
    <t>193063300110</t>
  </si>
  <si>
    <t>AVANHADAVA</t>
  </si>
  <si>
    <t>JOAQUIM FERREIRA GRAMA</t>
  </si>
  <si>
    <t>338</t>
  </si>
  <si>
    <t>ERCAL EMPRESAS REUNIDAS DE CALCARIO LTDA</t>
  </si>
  <si>
    <t>1934346130292</t>
  </si>
  <si>
    <t>GEES FERTILIZANTES - URUÇUI</t>
  </si>
  <si>
    <t>64860000</t>
  </si>
  <si>
    <t>194629074</t>
  </si>
  <si>
    <t>URUÇUÍ</t>
  </si>
  <si>
    <t>PI 247 KM 06</t>
  </si>
  <si>
    <t>LUCIANO DA SILVA BORGES</t>
  </si>
  <si>
    <t>19487910085</t>
  </si>
  <si>
    <t>RODOVIA MG 223 KM 35 A DIR + 5 KM</t>
  </si>
  <si>
    <t>(034) 99931-3134</t>
  </si>
  <si>
    <t>TIAGO CARDOSO DOS SANTOS</t>
  </si>
  <si>
    <t>38415069</t>
  </si>
  <si>
    <t>19846700</t>
  </si>
  <si>
    <t>DOS TAROIS</t>
  </si>
  <si>
    <t>SITIO EUCACEDRO I</t>
  </si>
  <si>
    <t>37452000</t>
  </si>
  <si>
    <t>RAFAEL ALVES VAN HAM</t>
  </si>
  <si>
    <t>19909770261</t>
  </si>
  <si>
    <t>SERRANOS</t>
  </si>
  <si>
    <t>EUCACEDRO I</t>
  </si>
  <si>
    <t>(019) 99219-9318</t>
  </si>
  <si>
    <t>FAZENDA NATIVIDADE</t>
  </si>
  <si>
    <t>38220000</t>
  </si>
  <si>
    <t>CARLOS RENATO DE OLIVEIRA FAVARO</t>
  </si>
  <si>
    <t>19940490534</t>
  </si>
  <si>
    <t>PLANURA</t>
  </si>
  <si>
    <t>RODOVIA CRUZEIRO DO SUL KM 1</t>
  </si>
  <si>
    <t>(017) 3331-2068</t>
  </si>
  <si>
    <t>SITIO SANTA FE</t>
  </si>
  <si>
    <t>37407000</t>
  </si>
  <si>
    <t>SIMONE BUZETTI JUNQUEIRA REZENDE</t>
  </si>
  <si>
    <t>20.253.500.087</t>
  </si>
  <si>
    <t>SAO BENTO ABADE</t>
  </si>
  <si>
    <t>ESTRADA SAO BENTO ABADE A CARMO DA CACHOEIRA</t>
  </si>
  <si>
    <t>(035) 99805-2074</t>
  </si>
  <si>
    <t>HOTEL GOIAS</t>
  </si>
  <si>
    <t>72834237</t>
  </si>
  <si>
    <t>GOIAS HOTEL LTDA</t>
  </si>
  <si>
    <t>2000007282</t>
  </si>
  <si>
    <t>QUADRA 13</t>
  </si>
  <si>
    <t>LUZÍLIA PARQUE</t>
  </si>
  <si>
    <t>(055) 613622-4525</t>
  </si>
  <si>
    <t>TELLARO TECIDOS E DECORACOES</t>
  </si>
  <si>
    <t>74075010</t>
  </si>
  <si>
    <t>TELLARO TECIDOS E DECORACOES LTDA</t>
  </si>
  <si>
    <t>200175106</t>
  </si>
  <si>
    <t>AV ANHANGUERA</t>
  </si>
  <si>
    <t>SET AEROPORTO</t>
  </si>
  <si>
    <t>5966</t>
  </si>
  <si>
    <t>(055) 348857-5059</t>
  </si>
  <si>
    <t>200707051</t>
  </si>
  <si>
    <t>A prazo - 15 dias</t>
  </si>
  <si>
    <t>(016) 3772-2100</t>
  </si>
  <si>
    <t>JGUSTIN TRANSPORTES EIRELI</t>
  </si>
  <si>
    <t>38446146</t>
  </si>
  <si>
    <t>20078270073</t>
  </si>
  <si>
    <t>R JOAQUIM BARBOSA</t>
  </si>
  <si>
    <t>AMORIM</t>
  </si>
  <si>
    <t>1590</t>
  </si>
  <si>
    <t>(034) 3021-1772</t>
  </si>
  <si>
    <t>84036030</t>
  </si>
  <si>
    <t>INATIVO - BUNGE - PONTA GROSSA</t>
  </si>
  <si>
    <t>BUNGE FERTILIZANTES S/A</t>
  </si>
  <si>
    <t>2010447235</t>
  </si>
  <si>
    <t>VISCONDE DO RIO BRANCO</t>
  </si>
  <si>
    <t>VILA VENDRAMI</t>
  </si>
  <si>
    <t>2859</t>
  </si>
  <si>
    <t>(042) 3219-5500</t>
  </si>
  <si>
    <t>KRAEMER FERTILIZANTES</t>
  </si>
  <si>
    <t>84165710</t>
  </si>
  <si>
    <t>AGRO MERCANTIL KRAEMER EIRELI</t>
  </si>
  <si>
    <t>2020200700</t>
  </si>
  <si>
    <t>CASTRO</t>
  </si>
  <si>
    <t>EST DA COLONIA SANTA LEOPOLDINA</t>
  </si>
  <si>
    <t>BOM SUCESSO 2</t>
  </si>
  <si>
    <t>(042) 2232-5225</t>
  </si>
  <si>
    <t>HOTEL PATAO</t>
  </si>
  <si>
    <t>38706328</t>
  </si>
  <si>
    <t>HOTEL PATAO LTDA</t>
  </si>
  <si>
    <t>20204410002</t>
  </si>
  <si>
    <t>(055) 343818-7800</t>
  </si>
  <si>
    <t>CAPEBE - CRISTAIS</t>
  </si>
  <si>
    <t>2020953441118</t>
  </si>
  <si>
    <t>NOSSA SENHORA DA APARECIDA</t>
  </si>
  <si>
    <t>43813100</t>
  </si>
  <si>
    <t>BIGFERTIL IND E COM FERTILIZANTES LTDA</t>
  </si>
  <si>
    <t>202774567</t>
  </si>
  <si>
    <t>CIA ARATU VIA DAS TORRES</t>
  </si>
  <si>
    <t>7149</t>
  </si>
  <si>
    <t>(055) 813071-6010</t>
  </si>
  <si>
    <t>JOSE ARMANDO MILANI E OUTRAS</t>
  </si>
  <si>
    <t>14780970</t>
  </si>
  <si>
    <t>204.129.269.118</t>
  </si>
  <si>
    <t>SANTA ADELAIDE</t>
  </si>
  <si>
    <t>(055) 173323-5229</t>
  </si>
  <si>
    <t>FAZENDA GRAUNA</t>
  </si>
  <si>
    <t>DECIO LOPES</t>
  </si>
  <si>
    <t>204.142.549.115</t>
  </si>
  <si>
    <t>GRAUNA</t>
  </si>
  <si>
    <t>(055) 173341-8129</t>
  </si>
  <si>
    <t>EMBRAFÓS INDÚSTRIA E COMÉRCIO DE FERTILI</t>
  </si>
  <si>
    <t>14781150</t>
  </si>
  <si>
    <t>204189182110</t>
  </si>
  <si>
    <t>JOSÉ SOARES GARCIA</t>
  </si>
  <si>
    <t>270</t>
  </si>
  <si>
    <t>(017) 3323-6201</t>
  </si>
  <si>
    <t>FENCHEM BIOQUIMICA LTDA</t>
  </si>
  <si>
    <t>06460200</t>
  </si>
  <si>
    <t>206.492.565.119</t>
  </si>
  <si>
    <t>MARGINAL PROJETADA</t>
  </si>
  <si>
    <t>FAZENDA TAMBORE</t>
  </si>
  <si>
    <t>1810</t>
  </si>
  <si>
    <t>(055) 1199914-1444</t>
  </si>
  <si>
    <t>DIPLOMATA COM. IMP EXP. LTDA</t>
  </si>
  <si>
    <t>06472002</t>
  </si>
  <si>
    <t>206.870.444.116</t>
  </si>
  <si>
    <t>DEZOITO DO FORTE EMPRESARIAL/ALPHAVILLE.</t>
  </si>
  <si>
    <t>(055) 113044-7364</t>
  </si>
  <si>
    <t>QUIMICA ARAGUAYA IND COM IMP EXP LTDA</t>
  </si>
  <si>
    <t>06409060</t>
  </si>
  <si>
    <t>206041563116</t>
  </si>
  <si>
    <t>SAO JOAO DO ARAGUAIA</t>
  </si>
  <si>
    <t>285</t>
  </si>
  <si>
    <t>(011) 4199-7636</t>
  </si>
  <si>
    <t>THOR BRASIL LTDA</t>
  </si>
  <si>
    <t>06460110</t>
  </si>
  <si>
    <t>206175435110</t>
  </si>
  <si>
    <t>CAIAPOS</t>
  </si>
  <si>
    <t>TAMBORE</t>
  </si>
  <si>
    <t>861</t>
  </si>
  <si>
    <t>(011) 4133-4154</t>
  </si>
  <si>
    <t>FNM FILTRANS INDÚSTRIA E COMÉRCIO LTDA</t>
  </si>
  <si>
    <t>06408060</t>
  </si>
  <si>
    <t>206216099110</t>
  </si>
  <si>
    <t>RUA OSCAR BRESSANE</t>
  </si>
  <si>
    <t>VILA MORELLATO</t>
  </si>
  <si>
    <t>231</t>
  </si>
  <si>
    <t>(011) 4163-3999</t>
  </si>
  <si>
    <t>AIR SAFETY</t>
  </si>
  <si>
    <t>06413000</t>
  </si>
  <si>
    <t>SBPR-SIST. BRASILEIRO PROT. RESP. LTDA.</t>
  </si>
  <si>
    <t>206256435110</t>
  </si>
  <si>
    <t>CRUZ PRETA</t>
  </si>
  <si>
    <t>869</t>
  </si>
  <si>
    <t>(011) 4199-3299</t>
  </si>
  <si>
    <t>VR BENEFICIOS E SERV DE PROCESSAMENT</t>
  </si>
  <si>
    <t>04553900</t>
  </si>
  <si>
    <t>VR BENEFICIOS E SERV DE PROCESS S.A</t>
  </si>
  <si>
    <t>206292690113</t>
  </si>
  <si>
    <t>DOS BANDEIRANTES 460</t>
  </si>
  <si>
    <t>(055) 114134-4100</t>
  </si>
  <si>
    <t>NUTRIPLANT INDUSTRIA E COMERCIO S/A</t>
  </si>
  <si>
    <t>06415110</t>
  </si>
  <si>
    <t>206316650110</t>
  </si>
  <si>
    <t>ARNALDO</t>
  </si>
  <si>
    <t>VL ENGENHO NOVO</t>
  </si>
  <si>
    <t>388</t>
  </si>
  <si>
    <t>HANNA INSTRUMENTS BRASIL IMPORTAÇÃO</t>
  </si>
  <si>
    <t>06460090</t>
  </si>
  <si>
    <t>206323912114</t>
  </si>
  <si>
    <t>JUARI</t>
  </si>
  <si>
    <t>539</t>
  </si>
  <si>
    <t>WEDSON CAMPOS DA SILVA</t>
  </si>
  <si>
    <t>2064861971</t>
  </si>
  <si>
    <t>DAS EMAS</t>
  </si>
  <si>
    <t>117</t>
  </si>
  <si>
    <t>(034) 99834-8484</t>
  </si>
  <si>
    <t>SABER DECOR PRESENTES E DECORACOES LTDA</t>
  </si>
  <si>
    <t>06460055</t>
  </si>
  <si>
    <t>206866882110</t>
  </si>
  <si>
    <t>INAJA</t>
  </si>
  <si>
    <t>(055) 118597-9250</t>
  </si>
  <si>
    <t>FERTIPELL ADUBOS</t>
  </si>
  <si>
    <t>95340000</t>
  </si>
  <si>
    <t>IRMAOS PELLE INDUSTRIA DE ADUBOS LTDA</t>
  </si>
  <si>
    <t>2070016638</t>
  </si>
  <si>
    <t>NOVA BASSANO</t>
  </si>
  <si>
    <t>SILVA JARDIM</t>
  </si>
  <si>
    <t>NOSSA SENHORA DA SAUDE</t>
  </si>
  <si>
    <t>(055) 543273-2604</t>
  </si>
  <si>
    <t>UNIDADE DE NEGOCIO - KLABIN PAPEIS</t>
  </si>
  <si>
    <t>84275000</t>
  </si>
  <si>
    <t>KLABIN S.A.</t>
  </si>
  <si>
    <t>2080021472</t>
  </si>
  <si>
    <t>TELEMACO BORBA</t>
  </si>
  <si>
    <t>MONTE ALEGRE</t>
  </si>
  <si>
    <t>HARMONIA</t>
  </si>
  <si>
    <t>(055) 113046-5800</t>
  </si>
  <si>
    <t>14315798</t>
  </si>
  <si>
    <t>AGROPLANTA FERT E INOV S.A.</t>
  </si>
  <si>
    <t>208029481117</t>
  </si>
  <si>
    <t>ALTINO ARANTES SP 351</t>
  </si>
  <si>
    <t>(055) 163660-6500</t>
  </si>
  <si>
    <t>WITZLER ENERGIA LTDA</t>
  </si>
  <si>
    <t>17012151</t>
  </si>
  <si>
    <t>209449137116</t>
  </si>
  <si>
    <t>BAURU</t>
  </si>
  <si>
    <t>AV DUQUE DE CAXIAS QUADRA</t>
  </si>
  <si>
    <t>VILA ALTINOPOLIS</t>
  </si>
  <si>
    <t>11-70</t>
  </si>
  <si>
    <t>WITZLER COMERCIALIZADORA DE ENERGIA LTDA</t>
  </si>
  <si>
    <t>209894840110</t>
  </si>
  <si>
    <t>AVENIDA DUQUE DE CAXIAS</t>
  </si>
  <si>
    <t>17012431</t>
  </si>
  <si>
    <t>209943540110</t>
  </si>
  <si>
    <t>RUA ANTONIO ALVES</t>
  </si>
  <si>
    <t>VILA AEROPORTO</t>
  </si>
  <si>
    <t>35-48</t>
  </si>
  <si>
    <t>(014) 3104-8220</t>
  </si>
  <si>
    <t>95360000</t>
  </si>
  <si>
    <t>GIGAMIX TECNOLOGIAS FUTURAS LTDA</t>
  </si>
  <si>
    <t>210/0015375</t>
  </si>
  <si>
    <t>PARAI</t>
  </si>
  <si>
    <t>RS 324 KM 33</t>
  </si>
  <si>
    <t>BARRA SECA</t>
  </si>
  <si>
    <t>(055) 543477-1540</t>
  </si>
  <si>
    <t>AGRORISSI PECAS E ACESSORIOS PARA MAQUIN</t>
  </si>
  <si>
    <t>14700435</t>
  </si>
  <si>
    <t>210139305114</t>
  </si>
  <si>
    <t>MARECHAL DEODORO DA FONSECA</t>
  </si>
  <si>
    <t>JARDIM SAO JOAO</t>
  </si>
  <si>
    <t>(055) 173361-2244</t>
  </si>
  <si>
    <t>14700735</t>
  </si>
  <si>
    <t>HERINGER - BEBEDOURO</t>
  </si>
  <si>
    <t>210141452118</t>
  </si>
  <si>
    <t>DIMER PIOVEZAN</t>
  </si>
  <si>
    <t>JARDIM TALARICO</t>
  </si>
  <si>
    <t>ANCORA - ECO HOTEL LTDA</t>
  </si>
  <si>
    <t>93180000</t>
  </si>
  <si>
    <t>2130040939</t>
  </si>
  <si>
    <t>PORTAO</t>
  </si>
  <si>
    <t>RINCAO DO CASCALHO</t>
  </si>
  <si>
    <t>7246</t>
  </si>
  <si>
    <t>(055) 513632-1657</t>
  </si>
  <si>
    <t>ILSA BRASIL - PORTAO</t>
  </si>
  <si>
    <t>ILSA BRASIL INDUSTRIA DE FERTILIZ. LTDA</t>
  </si>
  <si>
    <t>2130044721</t>
  </si>
  <si>
    <t>ESTANCIA VELHA</t>
  </si>
  <si>
    <t>PORTAO VELHO</t>
  </si>
  <si>
    <t>1901</t>
  </si>
  <si>
    <t>(051) 3500-3043</t>
  </si>
  <si>
    <t>JMX IMPORTACAO E COMERCIO DE TELEFONIA L</t>
  </si>
  <si>
    <t>45651730</t>
  </si>
  <si>
    <t>213873150</t>
  </si>
  <si>
    <t>ILHEUS</t>
  </si>
  <si>
    <t>UBAITABA</t>
  </si>
  <si>
    <t>MALHADO</t>
  </si>
  <si>
    <t>1352</t>
  </si>
  <si>
    <t>MOMESSO INDUSTRIA DE MAQUINAS LTDA</t>
  </si>
  <si>
    <t>16200054</t>
  </si>
  <si>
    <t>214001460114</t>
  </si>
  <si>
    <t>BIRIGUI</t>
  </si>
  <si>
    <t>JOÃO CERNACK</t>
  </si>
  <si>
    <t>(018) 3642-2460</t>
  </si>
  <si>
    <t>GUSTAVO LEMES MIRANDA</t>
  </si>
  <si>
    <t>38415078</t>
  </si>
  <si>
    <t>21537057</t>
  </si>
  <si>
    <t>DOS CLARINETES</t>
  </si>
  <si>
    <t>(034) 9278-2712</t>
  </si>
  <si>
    <t>BOITUFLEX</t>
  </si>
  <si>
    <t>18550724</t>
  </si>
  <si>
    <t>BOITUFLEX COMERCIO E SERVICOS LTDA</t>
  </si>
  <si>
    <t>219152243111</t>
  </si>
  <si>
    <t>BOITUVA</t>
  </si>
  <si>
    <t>IVAN ALVES DO AMARAL</t>
  </si>
  <si>
    <t>TROPICALIA GARDEN</t>
  </si>
  <si>
    <t>(055) 489694-5048</t>
  </si>
  <si>
    <t>DALPACK EMBALAGENS</t>
  </si>
  <si>
    <t>12955000</t>
  </si>
  <si>
    <t>DALPACK COMERCIO ELETRONICO LTDA</t>
  </si>
  <si>
    <t>220045916110</t>
  </si>
  <si>
    <t>BOM JESUS DOS PERDOES</t>
  </si>
  <si>
    <t>DOM DUARTE LEOPOLDO</t>
  </si>
  <si>
    <t>(055) 333322-2282</t>
  </si>
  <si>
    <t>GLAUCO MARIANO TEIXEIRA</t>
  </si>
  <si>
    <t>13563776</t>
  </si>
  <si>
    <t>222089386</t>
  </si>
  <si>
    <t>SAO CARLOS</t>
  </si>
  <si>
    <t>AV CARMEN APARECIDA GARCIA</t>
  </si>
  <si>
    <t>PARQUE FEHR</t>
  </si>
  <si>
    <t>(034) 9312-2900</t>
  </si>
  <si>
    <t>MART MINAS</t>
  </si>
  <si>
    <t>MART MINAS DISTRIBUICAO LTDA</t>
  </si>
  <si>
    <t>2231523812584</t>
  </si>
  <si>
    <t>DEPUTADO RENATO AZEREDO</t>
  </si>
  <si>
    <t>(055) 313519-9000</t>
  </si>
  <si>
    <t>2231523815893</t>
  </si>
  <si>
    <t>AVE URBANO GARCIA NETO</t>
  </si>
  <si>
    <t>ESPERANÇA</t>
  </si>
  <si>
    <t>350</t>
  </si>
  <si>
    <t>COFER</t>
  </si>
  <si>
    <t>COFER FERRO E ACO LTDA</t>
  </si>
  <si>
    <t>2231529730474</t>
  </si>
  <si>
    <t>390</t>
  </si>
  <si>
    <t>(055) 373512-3000</t>
  </si>
  <si>
    <t>ASTRO LINE</t>
  </si>
  <si>
    <t>12900161</t>
  </si>
  <si>
    <t>ASTRO LINE LOGISTICA INTERNACIONAL LTDA</t>
  </si>
  <si>
    <t>225.552.816.110</t>
  </si>
  <si>
    <t>BRAGANCA PAULISTA</t>
  </si>
  <si>
    <t>CORONEL JOAO LEME</t>
  </si>
  <si>
    <t>688</t>
  </si>
  <si>
    <t>(011) 5107-0155</t>
  </si>
  <si>
    <t>JOSILDO NUNES DA SILVA</t>
  </si>
  <si>
    <t>22584412</t>
  </si>
  <si>
    <t>INTERPLANETÁRIA</t>
  </si>
  <si>
    <t>825</t>
  </si>
  <si>
    <t>(034) 99223-2614</t>
  </si>
  <si>
    <t>RENOVE AGROAMBIENTAL PESQ E CONS LTDA</t>
  </si>
  <si>
    <t>17380000</t>
  </si>
  <si>
    <t>228045793118</t>
  </si>
  <si>
    <t>BROTAS</t>
  </si>
  <si>
    <t>RODOVIA ENG. PAULO NILO ROMANO</t>
  </si>
  <si>
    <t>AGROBERALDO AGRONEGOCIOS LTDA</t>
  </si>
  <si>
    <t>229.029.541.117</t>
  </si>
  <si>
    <t>EMIDIO NUNES</t>
  </si>
  <si>
    <t>(055) 153546-1092</t>
  </si>
  <si>
    <t>SÍTIO SÃO SEBASTIÃO</t>
  </si>
  <si>
    <t>RAPHAEL MORAES FIGUEIREDO</t>
  </si>
  <si>
    <t>23.981.860.055</t>
  </si>
  <si>
    <t>FAZENDA GRANDE</t>
  </si>
  <si>
    <t>(035) 99851-6551</t>
  </si>
  <si>
    <t>ROQT</t>
  </si>
  <si>
    <t>87014070</t>
  </si>
  <si>
    <t>ROQT GROUP SOLUCOES EMPRESARIAIS LTDA</t>
  </si>
  <si>
    <t>230396</t>
  </si>
  <si>
    <t>ZONA 04</t>
  </si>
  <si>
    <t>4835</t>
  </si>
  <si>
    <t>(055) 449118-1550</t>
  </si>
  <si>
    <t>FAZENDA OURO VERDE</t>
  </si>
  <si>
    <t>36335000</t>
  </si>
  <si>
    <t>VINICIUS HENRIQUE DE ALMEIDA RESENDE</t>
  </si>
  <si>
    <t>23103510004</t>
  </si>
  <si>
    <t>RITÁPOLIS</t>
  </si>
  <si>
    <t>ESTRADA MONTE PIO</t>
  </si>
  <si>
    <t>(032) 98898-4189</t>
  </si>
  <si>
    <t>VERA LUCIA DE QUEIROZ</t>
  </si>
  <si>
    <t>23290820009</t>
  </si>
  <si>
    <t>EVOLUCAO AGRICOLA CAFE LTDA</t>
  </si>
  <si>
    <t>13770000</t>
  </si>
  <si>
    <t>236049386111</t>
  </si>
  <si>
    <t>CACONDE</t>
  </si>
  <si>
    <t>RUA DR PEDRO DE TOLEDO</t>
  </si>
  <si>
    <t>J REIS SERALHERIA</t>
  </si>
  <si>
    <t>JOAO DOS REIS CAND RODR 47578920634</t>
  </si>
  <si>
    <t>23731810050</t>
  </si>
  <si>
    <t>ZZWARLEY</t>
  </si>
  <si>
    <t>735</t>
  </si>
  <si>
    <t>(055) 343227-2598</t>
  </si>
  <si>
    <t>BERTEL IND. METALURGICA LTDA</t>
  </si>
  <si>
    <t>07743140</t>
  </si>
  <si>
    <t>239004816113</t>
  </si>
  <si>
    <t>CAIEIRAS</t>
  </si>
  <si>
    <t>PAULICEIA</t>
  </si>
  <si>
    <t>2000</t>
  </si>
  <si>
    <t>(011) 4441-8044</t>
  </si>
  <si>
    <t>UPS LOGISTICS</t>
  </si>
  <si>
    <t>07776700</t>
  </si>
  <si>
    <t>UPS SCS LOGISTICA (BRASIL) LTDA.</t>
  </si>
  <si>
    <t>241.050.370.111</t>
  </si>
  <si>
    <t>CAJAMAR</t>
  </si>
  <si>
    <t>AVENIDA DOUTOR ANTONIO JOAO ABDALLA</t>
  </si>
  <si>
    <t>VILA DAS AMÉRICAS</t>
  </si>
  <si>
    <t>260</t>
  </si>
  <si>
    <t>(055) 114898-7500</t>
  </si>
  <si>
    <t>57061000</t>
  </si>
  <si>
    <t>FERTIAL - FERTILIZANTES DE ALAGOAS LTDA</t>
  </si>
  <si>
    <t>241013690</t>
  </si>
  <si>
    <t>DR. DURVAL DE GÓES MONTEIRO</t>
  </si>
  <si>
    <t>TABULEIRO DO MARTINS</t>
  </si>
  <si>
    <t>TIMAC AGRO - MACEIÓ</t>
  </si>
  <si>
    <t>57130000</t>
  </si>
  <si>
    <t>241059690</t>
  </si>
  <si>
    <t>SANTA LUZIA DO NORTE</t>
  </si>
  <si>
    <t>ROD AL 401</t>
  </si>
  <si>
    <t>GUARDIANO</t>
  </si>
  <si>
    <t>SERVICE EXPRESS</t>
  </si>
  <si>
    <t>07776450</t>
  </si>
  <si>
    <t>SERVICE EXPRESS DISTR. E LOG. LTDA EPP</t>
  </si>
  <si>
    <t>241078405119</t>
  </si>
  <si>
    <t>AVENIDA VER. JOAQUIM PEREIRA BARBOSA</t>
  </si>
  <si>
    <t>JORDANÉSIA</t>
  </si>
  <si>
    <t>JARDINS CASA E CONSTRUCAO LTDA</t>
  </si>
  <si>
    <t>07753580</t>
  </si>
  <si>
    <t>241205461118</t>
  </si>
  <si>
    <t>DE ACESSO NORTE KM 31</t>
  </si>
  <si>
    <t>EMPRESARIAL ANHANGUERA</t>
  </si>
  <si>
    <t>(055) 112919-5139</t>
  </si>
  <si>
    <t>57030101</t>
  </si>
  <si>
    <t>ULTRAGAZ COMERCIALIZAD DE ENERGIA S.A.</t>
  </si>
  <si>
    <t>241245460</t>
  </si>
  <si>
    <t>EPAMINONDAS GRACINDO</t>
  </si>
  <si>
    <t>PAJUCARA</t>
  </si>
  <si>
    <t>(055) 143104-8220</t>
  </si>
  <si>
    <t>BENGER - REAÇÃO BRASIL</t>
  </si>
  <si>
    <t>15410000</t>
  </si>
  <si>
    <t>REAÇÃO BRASIL ALIMENTOS ESPECIAL LTDA</t>
  </si>
  <si>
    <t>242010283111</t>
  </si>
  <si>
    <t>CAJOBI</t>
  </si>
  <si>
    <t>RUA ANGELO VERONEZE</t>
  </si>
  <si>
    <t>JD SANTO ANTONIO</t>
  </si>
  <si>
    <t>(017) 3563-3496</t>
  </si>
  <si>
    <t>LATAM CARGO BRASIL</t>
  </si>
  <si>
    <t>13052970</t>
  </si>
  <si>
    <t>ABSA AEROLINHAS BRASILEIRAS S.A.</t>
  </si>
  <si>
    <t>244.885.844.116</t>
  </si>
  <si>
    <t>SANTOS DUMONT KM 66</t>
  </si>
  <si>
    <t>PRQ VIRACOPOS</t>
  </si>
  <si>
    <t>(055) 192138-4400</t>
  </si>
  <si>
    <t>COOPERFERTIL - CAMPINAS</t>
  </si>
  <si>
    <t>13069096</t>
  </si>
  <si>
    <t>COOPERATIVA CENTRAL DE FERT-COOPERFÉRTIL</t>
  </si>
  <si>
    <t>244360928110</t>
  </si>
  <si>
    <t>AV COMENDADOR ALADINO SELMI</t>
  </si>
  <si>
    <t>PUERTO GENERAL SAN MARTÍN</t>
  </si>
  <si>
    <t>4910</t>
  </si>
  <si>
    <t>(019) 3281-1181</t>
  </si>
  <si>
    <t>KALATEC AUTOMACAO</t>
  </si>
  <si>
    <t>13030145</t>
  </si>
  <si>
    <t>KALATEC AUTOMACAO LTDA.</t>
  </si>
  <si>
    <t>244423344110</t>
  </si>
  <si>
    <t>SALTO</t>
  </si>
  <si>
    <t>JARDIM DO TREVO</t>
  </si>
  <si>
    <t>99</t>
  </si>
  <si>
    <t>(055) 193243-4316</t>
  </si>
  <si>
    <t>HM COM E MANUTENÇÃO DE EMPILHADEIRAS</t>
  </si>
  <si>
    <t>13052501</t>
  </si>
  <si>
    <t>HM COMERCIO E MAN DE EMPILHADEIRA LTDA</t>
  </si>
  <si>
    <t>244530080113</t>
  </si>
  <si>
    <t>RUA DOUTOR GUSTAVO ORSOLINI</t>
  </si>
  <si>
    <t>JARDIM NOVA MERCEDES</t>
  </si>
  <si>
    <t>6601</t>
  </si>
  <si>
    <t>HIPER CENTRIFUGATION LTDA</t>
  </si>
  <si>
    <t>13060066</t>
  </si>
  <si>
    <t>244582016112</t>
  </si>
  <si>
    <t>PASCHOAL CIOLFI</t>
  </si>
  <si>
    <t>JARDIM CAMPOS ELISEO</t>
  </si>
  <si>
    <t>422</t>
  </si>
  <si>
    <t>INSTRUCAMP INSTRUMENTOS DE MEDICAO LTDA</t>
  </si>
  <si>
    <t>13070192</t>
  </si>
  <si>
    <t>244605638110</t>
  </si>
  <si>
    <t>RUA ANTONIO ZINGRA</t>
  </si>
  <si>
    <t>(055) 193243-5972</t>
  </si>
  <si>
    <t>EQUIPAR TECNOLOGIA INDUSTRIAL LTDA</t>
  </si>
  <si>
    <t>13058550</t>
  </si>
  <si>
    <t>244891853119</t>
  </si>
  <si>
    <t>ESTRADA VELHA CAMPINAS MONTE MOR</t>
  </si>
  <si>
    <t>CAMPO GRANDE</t>
  </si>
  <si>
    <t>TECA TRANSPORTES LTDA</t>
  </si>
  <si>
    <t>13052445</t>
  </si>
  <si>
    <t>244956680111</t>
  </si>
  <si>
    <t>CAMPOS NOVOS</t>
  </si>
  <si>
    <t>JARDIM ITATINGA</t>
  </si>
  <si>
    <t>(055) 193765-6060</t>
  </si>
  <si>
    <t>MSM COMERCIO, IMPORTACAO E EXPORTACAO LT</t>
  </si>
  <si>
    <t>13092190</t>
  </si>
  <si>
    <t>244970284110</t>
  </si>
  <si>
    <t>DONA MARIA CONCEICAO FRANCO DE ANDRADE</t>
  </si>
  <si>
    <t>NOVA CAMPINAS</t>
  </si>
  <si>
    <t>858</t>
  </si>
  <si>
    <t>(055) 193251-7062</t>
  </si>
  <si>
    <t>13231620</t>
  </si>
  <si>
    <t>FERTIPAR - BANDEIRANTES</t>
  </si>
  <si>
    <t>FERTIPAR BANDEIRANTES LTDA</t>
  </si>
  <si>
    <t>245000447119</t>
  </si>
  <si>
    <t>CAMPO LIMPO PAULISTA</t>
  </si>
  <si>
    <t>JOÃO AMATO</t>
  </si>
  <si>
    <t>(066) 2101-2050</t>
  </si>
  <si>
    <t>PRIMA TRANSPORTADORA</t>
  </si>
  <si>
    <t>PRIMA TRANSPORTADORA LOG LTDA</t>
  </si>
  <si>
    <t>24884540085</t>
  </si>
  <si>
    <t>BR 050, KM 66,3</t>
  </si>
  <si>
    <t>(055) 343213-1485</t>
  </si>
  <si>
    <t>SAGA LOGISTICA</t>
  </si>
  <si>
    <t>19880000</t>
  </si>
  <si>
    <t>SAGA LOGISTICA LTDA</t>
  </si>
  <si>
    <t>249061733112</t>
  </si>
  <si>
    <t>CANDIDO MOTA</t>
  </si>
  <si>
    <t>PEREIRA DO LAZARO</t>
  </si>
  <si>
    <t>DISTRITO DE NOVA ALEXANDRIA</t>
  </si>
  <si>
    <t>(055) 433232-1194</t>
  </si>
  <si>
    <t>NETZSCH DO BRASIL IND.COM. LTDA</t>
  </si>
  <si>
    <t>250005050</t>
  </si>
  <si>
    <t>HERMANN WEEGE</t>
  </si>
  <si>
    <t>2383</t>
  </si>
  <si>
    <t>(047) 3387-8222</t>
  </si>
  <si>
    <t>FERNANDO VALDIR DELLA ROSA E OUTRO</t>
  </si>
  <si>
    <t>18300999</t>
  </si>
  <si>
    <t>251129234118</t>
  </si>
  <si>
    <t>CAPÃO BONITO</t>
  </si>
  <si>
    <t>SIT GUARUVAS</t>
  </si>
  <si>
    <t>DOS SANTANAS</t>
  </si>
  <si>
    <t>POZOFLY</t>
  </si>
  <si>
    <t>88745000</t>
  </si>
  <si>
    <t>COMERCIO DE CINZAS LIMA LTDA</t>
  </si>
  <si>
    <t>251549011</t>
  </si>
  <si>
    <t>CAPIVARI DE BAIXO</t>
  </si>
  <si>
    <t>LEONETE FRONTINO ALVES</t>
  </si>
  <si>
    <t>ILHOTINHA</t>
  </si>
  <si>
    <t>819</t>
  </si>
  <si>
    <t>(055) 483623-1210</t>
  </si>
  <si>
    <t>FERTICEL INDÚSTRIA DE FERTILIZANTES LTDA</t>
  </si>
  <si>
    <t>89840000</t>
  </si>
  <si>
    <t>251713571</t>
  </si>
  <si>
    <t>CORONEL FREITAS</t>
  </si>
  <si>
    <t>LINHA ZENAIDE BERTASO</t>
  </si>
  <si>
    <t>INTERIOR</t>
  </si>
  <si>
    <t>(043) 3347-0183</t>
  </si>
  <si>
    <t>FERTISANTA  - IMBITUBA</t>
  </si>
  <si>
    <t>88780000</t>
  </si>
  <si>
    <t>FERTILIZANTES SANTA CATARINA LTDA</t>
  </si>
  <si>
    <t>252475674</t>
  </si>
  <si>
    <t>IMBITUBA</t>
  </si>
  <si>
    <t>MANOEL FLORENTINO MACHADO</t>
  </si>
  <si>
    <t>ACESSO NORTE IMBITUB</t>
  </si>
  <si>
    <t>INTERCROMA SA</t>
  </si>
  <si>
    <t>89286691</t>
  </si>
  <si>
    <t>253046173</t>
  </si>
  <si>
    <t>SAO BENTO DO SUL</t>
  </si>
  <si>
    <t>CONDE D EU</t>
  </si>
  <si>
    <t>ALPINO</t>
  </si>
  <si>
    <t>(047) 3631-4600</t>
  </si>
  <si>
    <t>MANUCHAR COMERCIO EXTERIOR LTDA</t>
  </si>
  <si>
    <t>253365937</t>
  </si>
  <si>
    <t>RODOVIA BR 101</t>
  </si>
  <si>
    <t>(048) 3355-4653</t>
  </si>
  <si>
    <t>BOMBINOX INDÚSTRIA E COMÉRCIO LTDA</t>
  </si>
  <si>
    <t>88119008</t>
  </si>
  <si>
    <t>BOMBINOX INDUSTRIA &amp; COMERCIO LTDA</t>
  </si>
  <si>
    <t>253883032</t>
  </si>
  <si>
    <t>SÃO JOSÉ</t>
  </si>
  <si>
    <t>KILIANO HAMES</t>
  </si>
  <si>
    <t>POTECAS</t>
  </si>
  <si>
    <t>(055) 483357-0874</t>
  </si>
  <si>
    <t>MBX INDÚSTRIA E COMERCIO LTDA</t>
  </si>
  <si>
    <t>89163053</t>
  </si>
  <si>
    <t>MBX Indústria e Comercio Ltda</t>
  </si>
  <si>
    <t>254227295</t>
  </si>
  <si>
    <t>RIO DO SUL</t>
  </si>
  <si>
    <t>GOVERNADOR IVO SILVEIRA</t>
  </si>
  <si>
    <t>CANTA GALO</t>
  </si>
  <si>
    <t>FECOAGRO - FEDERACAO DAS COOPERATIVAS AG</t>
  </si>
  <si>
    <t>254505333</t>
  </si>
  <si>
    <t>OLIVIO NÓBREGA</t>
  </si>
  <si>
    <t>ROCIO GRANDE</t>
  </si>
  <si>
    <t>(047) 3223-0020</t>
  </si>
  <si>
    <t>NETZSCH EQUIPAMENTOS</t>
  </si>
  <si>
    <t>NETZSCH IND E COM DE EQUIPDE MOAGEM LTDA</t>
  </si>
  <si>
    <t>254976220</t>
  </si>
  <si>
    <t>EMÍLIO MARQUARDT</t>
  </si>
  <si>
    <t>RIBEIRAO SOUTO</t>
  </si>
  <si>
    <t>(055) 473387-7000</t>
  </si>
  <si>
    <t>88865000</t>
  </si>
  <si>
    <t>NIORG FERTILIZANTES</t>
  </si>
  <si>
    <t>ADUBOS ORGANICOS NIORG LTDA</t>
  </si>
  <si>
    <t>255004044</t>
  </si>
  <si>
    <t>NOVA VENEZA</t>
  </si>
  <si>
    <t>JOSE LINO JUNKES</t>
  </si>
  <si>
    <t>SAO BONIFACIO</t>
  </si>
  <si>
    <t>TRANSOLIVEIRA</t>
  </si>
  <si>
    <t>89256290</t>
  </si>
  <si>
    <t>JOSE OSVALDO DE OLIVEIRA LTDA</t>
  </si>
  <si>
    <t>255208944</t>
  </si>
  <si>
    <t>JARAGUA DO SUL</t>
  </si>
  <si>
    <t>PROFESSOR HEINRICH GEFFERT</t>
  </si>
  <si>
    <t>VILA LALAU</t>
  </si>
  <si>
    <t>644</t>
  </si>
  <si>
    <t>(055) 473055-7900</t>
  </si>
  <si>
    <t>89270000</t>
  </si>
  <si>
    <t>FERTILIZE - AGRICOLA LTDA</t>
  </si>
  <si>
    <t>255381514</t>
  </si>
  <si>
    <t>LOURIVAL JOSE DA SILVA</t>
  </si>
  <si>
    <t>QUATI</t>
  </si>
  <si>
    <t>33</t>
  </si>
  <si>
    <t>(041) 3642-8636</t>
  </si>
  <si>
    <t>MFT COMERCIO ONLINE</t>
  </si>
  <si>
    <t>06330340</t>
  </si>
  <si>
    <t>MFT COMERCIO ONLINE LTDA</t>
  </si>
  <si>
    <t>255686379111</t>
  </si>
  <si>
    <t>CARAPICUIBA</t>
  </si>
  <si>
    <t>JARDIM GUAPIUVA</t>
  </si>
  <si>
    <t>3A</t>
  </si>
  <si>
    <t>(055) 118288-1330</t>
  </si>
  <si>
    <t>SULGESSO - IMBITUBA</t>
  </si>
  <si>
    <t>SULGESSO INDÚSTRIA E COMÉRCIO S.A.</t>
  </si>
  <si>
    <t>255701950</t>
  </si>
  <si>
    <t>MARIETA KONDER BORNHAUSEN</t>
  </si>
  <si>
    <t>VILA NOVA ALVORADA</t>
  </si>
  <si>
    <t>(048) 3255-4321</t>
  </si>
  <si>
    <t>MACK TRANSPORTES</t>
  </si>
  <si>
    <t>88820000</t>
  </si>
  <si>
    <t>MACK TRANSPORTES LTDA</t>
  </si>
  <si>
    <t>256036799</t>
  </si>
  <si>
    <t>ICARA</t>
  </si>
  <si>
    <t>RODOVIA SC 443</t>
  </si>
  <si>
    <t>DEMBOSKI</t>
  </si>
  <si>
    <t>4304</t>
  </si>
  <si>
    <t>(055) 482102-7146</t>
  </si>
  <si>
    <t>TESC</t>
  </si>
  <si>
    <t>TESC - TERMINAL SANTA CATARINA S/A</t>
  </si>
  <si>
    <t>256080267</t>
  </si>
  <si>
    <t>ENGENHEIRO LEITE RIBEIRO</t>
  </si>
  <si>
    <t>(055) 473471-2112</t>
  </si>
  <si>
    <t>GLINFERTIL FOSFATOS NATURAIS LTDA</t>
  </si>
  <si>
    <t>256761787</t>
  </si>
  <si>
    <t>AGUA BRANCA</t>
  </si>
  <si>
    <t>4960</t>
  </si>
  <si>
    <t>CLUBE DE AUTORES PUBLICACOES SA</t>
  </si>
  <si>
    <t>89201700</t>
  </si>
  <si>
    <t>256819343</t>
  </si>
  <si>
    <t>RUA OTTO BOEHM</t>
  </si>
  <si>
    <t>AMERICA</t>
  </si>
  <si>
    <t>756</t>
  </si>
  <si>
    <t>256961808</t>
  </si>
  <si>
    <t>ACARAI</t>
  </si>
  <si>
    <t>ADUBOS COXILHA - IMBITUBA</t>
  </si>
  <si>
    <t>256998116</t>
  </si>
  <si>
    <t>89333510</t>
  </si>
  <si>
    <t>EXTRA CARGO ARMAZENS GERAIS LTDA</t>
  </si>
  <si>
    <t>257064680</t>
  </si>
  <si>
    <t>RODOVIA DUQUE DE CAXIAS</t>
  </si>
  <si>
    <t>RETA</t>
  </si>
  <si>
    <t>(055) 473488-6881</t>
  </si>
  <si>
    <t>FECOAGRO - FILIAL</t>
  </si>
  <si>
    <t>257176969</t>
  </si>
  <si>
    <t>VEREADOR JOÃO MARCELINO</t>
  </si>
  <si>
    <t>(048) 3878-8155</t>
  </si>
  <si>
    <t>SAO FRANCISCO ARMAZENS GERAIS LTDA</t>
  </si>
  <si>
    <t>257196919</t>
  </si>
  <si>
    <t>CHACARA PANORAMA LOUNGE</t>
  </si>
  <si>
    <t>38412604</t>
  </si>
  <si>
    <t>CHACARA PANORAMA LOUNGE LTDA - ME</t>
  </si>
  <si>
    <t>25771400</t>
  </si>
  <si>
    <t>BAIRRO PANORAMA II</t>
  </si>
  <si>
    <t>148</t>
  </si>
  <si>
    <t>MANUCHAR LOGISTICA BRASIL LTDA</t>
  </si>
  <si>
    <t>2582060369</t>
  </si>
  <si>
    <t>BR 101 SUL</t>
  </si>
  <si>
    <t>ALTO ARROIO</t>
  </si>
  <si>
    <t>(055) 483255-4653</t>
  </si>
  <si>
    <t>QUIMICA ARAGUAYA IND. COM. IMP. E EXP.</t>
  </si>
  <si>
    <t>88311500</t>
  </si>
  <si>
    <t>258236035</t>
  </si>
  <si>
    <t>CESAR AUGUSTO DACOQUIO</t>
  </si>
  <si>
    <t>SALSEIROS</t>
  </si>
  <si>
    <t>4255</t>
  </si>
  <si>
    <t>(047) 3344-5842</t>
  </si>
  <si>
    <t>IMBITUBA FERTILIZANTES LTDA</t>
  </si>
  <si>
    <t>258268301</t>
  </si>
  <si>
    <t>JOAO DE CARVALHO</t>
  </si>
  <si>
    <t>NOVA BRASILIA</t>
  </si>
  <si>
    <t>1992</t>
  </si>
  <si>
    <t>(048) 3356-0839</t>
  </si>
  <si>
    <t>INTERFERTIL FERTILIZANTES LTDA</t>
  </si>
  <si>
    <t>258420120</t>
  </si>
  <si>
    <t>25 DE DEZEMBRO</t>
  </si>
  <si>
    <t>MORRO GRANDE</t>
  </si>
  <si>
    <t>2411</t>
  </si>
  <si>
    <t>(047) 9720-6777</t>
  </si>
  <si>
    <t>TOLL MASTER SFS</t>
  </si>
  <si>
    <t>258450924</t>
  </si>
  <si>
    <t>RUA DON FERNANDO TREJO Y SANABRIA</t>
  </si>
  <si>
    <t>INFOAR COM. E SERV. EM AR COND. E INF.</t>
  </si>
  <si>
    <t>88371545</t>
  </si>
  <si>
    <t>258508280</t>
  </si>
  <si>
    <t>EDGAR NEGHERBRON</t>
  </si>
  <si>
    <t>MACHADOS</t>
  </si>
  <si>
    <t>229</t>
  </si>
  <si>
    <t>(051) 3025-1440</t>
  </si>
  <si>
    <t>258556250</t>
  </si>
  <si>
    <t>RUA DOM FERNANDO TREJO Y SANABRIA</t>
  </si>
  <si>
    <t>(011) 4950-2881</t>
  </si>
  <si>
    <t>ELEVA QUIMICA - INDAIAL</t>
  </si>
  <si>
    <t>89082765</t>
  </si>
  <si>
    <t>ELEVA QUIMICA LTDA</t>
  </si>
  <si>
    <t>258585870</t>
  </si>
  <si>
    <t>INDAIAL</t>
  </si>
  <si>
    <t>BR 470</t>
  </si>
  <si>
    <t>RIO MORTO</t>
  </si>
  <si>
    <t>6944</t>
  </si>
  <si>
    <t>(047) 3308-4489</t>
  </si>
  <si>
    <t>FERTIBOM INDUSTRIAS - CATANDUVA</t>
  </si>
  <si>
    <t>15804500</t>
  </si>
  <si>
    <t>FERTIBOM INDUSTRIAS LTDA.</t>
  </si>
  <si>
    <t>260065582118</t>
  </si>
  <si>
    <t>COMENDADOR PEDRO MONTELEONE - SP 351</t>
  </si>
  <si>
    <t>VILA AGRICOLA</t>
  </si>
  <si>
    <t>(055) 173524-9141</t>
  </si>
  <si>
    <t>15800970</t>
  </si>
  <si>
    <t>260104550115</t>
  </si>
  <si>
    <t>VICINAL JOSE FERNANDES</t>
  </si>
  <si>
    <t>(055) 113508-1400</t>
  </si>
  <si>
    <t>COXILHA IND. DE FERT. E CORRETIVOS LTDA</t>
  </si>
  <si>
    <t>260313572</t>
  </si>
  <si>
    <t>RUA JOAO DE CARVALHO</t>
  </si>
  <si>
    <t>MAXISOLO - IMBITUBA-SC</t>
  </si>
  <si>
    <t>MAXISOLO - NUTRICAO VEGETAL LTDA</t>
  </si>
  <si>
    <t>260465836</t>
  </si>
  <si>
    <t>(055) 483255-0550</t>
  </si>
  <si>
    <t>LOGDI SUL TRANSPORTES E SERVICOS LTDA</t>
  </si>
  <si>
    <t>88390000</t>
  </si>
  <si>
    <t>260615641</t>
  </si>
  <si>
    <t>BARRA VELHA</t>
  </si>
  <si>
    <t>PARANÁ</t>
  </si>
  <si>
    <t>2520</t>
  </si>
  <si>
    <t>(055) 413593-2400</t>
  </si>
  <si>
    <t>GR LOGISTICA</t>
  </si>
  <si>
    <t>88053400</t>
  </si>
  <si>
    <t>GR SC TRANSPORTES ESPECIAIS LTDA</t>
  </si>
  <si>
    <t>260631868</t>
  </si>
  <si>
    <t>DAS RAIAS</t>
  </si>
  <si>
    <t>JURERE INTERNACIONAL</t>
  </si>
  <si>
    <t>(055) 513707-0525</t>
  </si>
  <si>
    <t>SRM STRONG TRANSPORTES</t>
  </si>
  <si>
    <t>88815505</t>
  </si>
  <si>
    <t>SRM STRONG TRANSPORTES LTDA</t>
  </si>
  <si>
    <t>260999920</t>
  </si>
  <si>
    <t>CRICIUMA</t>
  </si>
  <si>
    <t>TENENTE MARCOS AURELIO FILIPPI</t>
  </si>
  <si>
    <t>(055) 489144-4151</t>
  </si>
  <si>
    <t>EPM FERTILIZANTES LTDA</t>
  </si>
  <si>
    <t>261955730</t>
  </si>
  <si>
    <t>JOAO ANDRE</t>
  </si>
  <si>
    <t>IPEROBA</t>
  </si>
  <si>
    <t>461</t>
  </si>
  <si>
    <t>(055) 473348-2850</t>
  </si>
  <si>
    <t>HOTEL SAO FRANCISCO</t>
  </si>
  <si>
    <t>HOTEL SAO FRANCISCO LTDA</t>
  </si>
  <si>
    <t>262676133</t>
  </si>
  <si>
    <t>4215</t>
  </si>
  <si>
    <t>(055) 479272-1308</t>
  </si>
  <si>
    <t>PROTEINDUS INDUSTRIA E COMERCIO LTDA</t>
  </si>
  <si>
    <t>18760000</t>
  </si>
  <si>
    <t>263001966113</t>
  </si>
  <si>
    <t>CERQUEIRA CESAR</t>
  </si>
  <si>
    <t>JUVENAL COIMBRA</t>
  </si>
  <si>
    <t>797</t>
  </si>
  <si>
    <t>(014) 3714-3307</t>
  </si>
  <si>
    <t>SUL ELDORADO TRANSPORTES LTDA</t>
  </si>
  <si>
    <t>88701431</t>
  </si>
  <si>
    <t>263185303</t>
  </si>
  <si>
    <t>TUBARAO</t>
  </si>
  <si>
    <t>807</t>
  </si>
  <si>
    <t>(055) 483629-0411</t>
  </si>
  <si>
    <t>V.VERSATIL</t>
  </si>
  <si>
    <t>37718102</t>
  </si>
  <si>
    <t>V.VERSATIL LTDA</t>
  </si>
  <si>
    <t>26431020057</t>
  </si>
  <si>
    <t>ANTONIO DE ALMEIDA MARQUES</t>
  </si>
  <si>
    <t>JARDIM ELVIRA DIAS</t>
  </si>
  <si>
    <t>(055) 353721-6207</t>
  </si>
  <si>
    <t>DELL COMPUTADORES DO BRASIL LTDA</t>
  </si>
  <si>
    <t>92990000</t>
  </si>
  <si>
    <t>2670013494</t>
  </si>
  <si>
    <t>ELDORADO DO SUL</t>
  </si>
  <si>
    <t>AV INDUSTRIAL BELGRAF</t>
  </si>
  <si>
    <t>(051) 3274-5500</t>
  </si>
  <si>
    <t>STAPHYT BRASIL AGRO CONSULTORIA LTDA</t>
  </si>
  <si>
    <t>13835000</t>
  </si>
  <si>
    <t>270049809116</t>
  </si>
  <si>
    <t>CONCHAL</t>
  </si>
  <si>
    <t>MUNICIPAL CHL - 362 - ESTRADA DOS PEREIRA</t>
  </si>
  <si>
    <t>TUJUGUABA</t>
  </si>
  <si>
    <t>(055) 3028-4001</t>
  </si>
  <si>
    <t>PETROBRAS - CENPES</t>
  </si>
  <si>
    <t>49170000</t>
  </si>
  <si>
    <t>PETROBRAS - FAFEN SE</t>
  </si>
  <si>
    <t>270585877</t>
  </si>
  <si>
    <t>SE/211 KM 01</t>
  </si>
  <si>
    <t>PEDRA BRANCA</t>
  </si>
  <si>
    <t>49760000</t>
  </si>
  <si>
    <t>270813993</t>
  </si>
  <si>
    <t>ESTRADA SE 206</t>
  </si>
  <si>
    <t>CAMPO DE SANTA BARBARA</t>
  </si>
  <si>
    <t>BIOSAFRA FERTILIZANTES LTDA</t>
  </si>
  <si>
    <t>271059958</t>
  </si>
  <si>
    <t>BR101 KM 73</t>
  </si>
  <si>
    <t>ADUBOS SUDOESTE - ROSARIO DO CATETE</t>
  </si>
  <si>
    <t>271093137</t>
  </si>
  <si>
    <t>BR 101 KM 66,5</t>
  </si>
  <si>
    <t>(079) 3274-1320</t>
  </si>
  <si>
    <t>271094648</t>
  </si>
  <si>
    <t>(079) 3274-2800</t>
  </si>
  <si>
    <t>FERTINOR FERTILIZANTES LTDA</t>
  </si>
  <si>
    <t>271134372</t>
  </si>
  <si>
    <t>ADUBOS LEAO INDUSTRIA LTDA.</t>
  </si>
  <si>
    <t>271556900</t>
  </si>
  <si>
    <t>WALTER FRANCO</t>
  </si>
  <si>
    <t>POVOADO PASTORA</t>
  </si>
  <si>
    <t>79328-2798</t>
  </si>
  <si>
    <t>STRATOS LTDA</t>
  </si>
  <si>
    <t>271612169</t>
  </si>
  <si>
    <t>ETRADA SE 206</t>
  </si>
  <si>
    <t>NEW CROPS - CARMOPOLIS</t>
  </si>
  <si>
    <t>49740000</t>
  </si>
  <si>
    <t>NEW CROPS NUTRICAO FOLIAR DO NORDESTE</t>
  </si>
  <si>
    <t>271673419</t>
  </si>
  <si>
    <t>CARMOPOLIS</t>
  </si>
  <si>
    <t>RUA JOSE ANTONIO DOS SANTOS</t>
  </si>
  <si>
    <t>INCONEX</t>
  </si>
  <si>
    <t>49085450</t>
  </si>
  <si>
    <t>SAC CONEXOES IND COM E SERVICOS LTDA</t>
  </si>
  <si>
    <t>271687894</t>
  </si>
  <si>
    <t>VITORIA</t>
  </si>
  <si>
    <t>JOSE CONRADO DE ARAUJO</t>
  </si>
  <si>
    <t>(055) 793253-2020</t>
  </si>
  <si>
    <t>AGROPECUARIA MARATA LTDA.</t>
  </si>
  <si>
    <t>271692634</t>
  </si>
  <si>
    <t>BR 101, KM 71.</t>
  </si>
  <si>
    <t>(055) 793631-9200</t>
  </si>
  <si>
    <t>PROQUIGEL/UNIGEL - LARANJEIRAS-SE</t>
  </si>
  <si>
    <t>271699299</t>
  </si>
  <si>
    <t>SE 211 KM 01</t>
  </si>
  <si>
    <t>(055) 112504-6039</t>
  </si>
  <si>
    <t>QUIMIVITA FERTILIZANTES LTDA</t>
  </si>
  <si>
    <t>271821426</t>
  </si>
  <si>
    <t>(071) 3508-1067</t>
  </si>
  <si>
    <t>PROCER</t>
  </si>
  <si>
    <t>13492164</t>
  </si>
  <si>
    <t>PROCER INDUSTRIA DE PRODUTOS CERAMICOS I</t>
  </si>
  <si>
    <t>272.032.639.115</t>
  </si>
  <si>
    <t>CORDEIROPOLIS</t>
  </si>
  <si>
    <t>JERSON ADILSON RIVABEN</t>
  </si>
  <si>
    <t>DESMEMBRAMENTO AGOSTINHO TRINDADE SILVA</t>
  </si>
  <si>
    <t>(055) 199943-9291</t>
  </si>
  <si>
    <t>CARISMA LOGISTICA E TRANSPORTES</t>
  </si>
  <si>
    <t>13492440</t>
  </si>
  <si>
    <t>CARISMA LOGISTICA E TRANSPORTES LTDA</t>
  </si>
  <si>
    <t>272021130111</t>
  </si>
  <si>
    <t>MUNICIPAL JOAO PERUCHI</t>
  </si>
  <si>
    <t>BAIRRO DO CASCALHO</t>
  </si>
  <si>
    <t>2223</t>
  </si>
  <si>
    <t>(055) 193546-5240</t>
  </si>
  <si>
    <t>SYMBOLUS TRANSPORTES E LOGISTICA LTDA</t>
  </si>
  <si>
    <t>13492602</t>
  </si>
  <si>
    <t>272032017116</t>
  </si>
  <si>
    <t>MUNICIPAL JAYME ALBERTO BERGSTRON</t>
  </si>
  <si>
    <t>DISTRITO INDUSTRIAL ALCIDES FANTUSSI</t>
  </si>
  <si>
    <t>00S/N</t>
  </si>
  <si>
    <t>(055) 812123-1400</t>
  </si>
  <si>
    <t>VLC SERVIÇOS INDUSTRIAIS LTDA</t>
  </si>
  <si>
    <t>13157292</t>
  </si>
  <si>
    <t>276037440114</t>
  </si>
  <si>
    <t>COSMOPOLIS</t>
  </si>
  <si>
    <t>RUA PEDRO SUZAN</t>
  </si>
  <si>
    <t>ANDORINHAS</t>
  </si>
  <si>
    <t>(019) 3812-9119</t>
  </si>
  <si>
    <t>HENCOM ADMINISTRACAO E COMERCIO LTDA</t>
  </si>
  <si>
    <t>06711260</t>
  </si>
  <si>
    <t>278.753.649.112</t>
  </si>
  <si>
    <t>COTIA</t>
  </si>
  <si>
    <t>COMENDADOR JAROSLAV SIMONEK</t>
  </si>
  <si>
    <t>JARDIM DA GLORIA</t>
  </si>
  <si>
    <t>(055) 114612-8202</t>
  </si>
  <si>
    <t>RUDNIK COM DE PRODUTOS QUÍMICOS LTDA</t>
  </si>
  <si>
    <t>06705485</t>
  </si>
  <si>
    <t>278024860117</t>
  </si>
  <si>
    <t>GONZAGA</t>
  </si>
  <si>
    <t>PARQUE RINCÃO</t>
  </si>
  <si>
    <t>592</t>
  </si>
  <si>
    <t>(011) 4617-8400</t>
  </si>
  <si>
    <t>FOXWALL</t>
  </si>
  <si>
    <t>FOXWALL INDÚSTRIA E COMÉRCIO DE VÁLVULAS</t>
  </si>
  <si>
    <t>278058978113</t>
  </si>
  <si>
    <t>JD DA GLÓRIA</t>
  </si>
  <si>
    <t>(011) 4612-8202</t>
  </si>
  <si>
    <t>ENCON ADM COM AS. TÉC. VALV. LTDA</t>
  </si>
  <si>
    <t>06711270</t>
  </si>
  <si>
    <t>278058987114</t>
  </si>
  <si>
    <t>HA REPRESENTAÇÕES</t>
  </si>
  <si>
    <t>06709046</t>
  </si>
  <si>
    <t>HA ASSESSORIA, IMPORTAÇÃO E REPRES.LTDA</t>
  </si>
  <si>
    <t>278099911116</t>
  </si>
  <si>
    <t>RUA THOMEKITI KIRA</t>
  </si>
  <si>
    <t>GRANJA VIANA</t>
  </si>
  <si>
    <t>(011) 3167-3077</t>
  </si>
  <si>
    <t>CELTA BRASIL</t>
  </si>
  <si>
    <t>06705150</t>
  </si>
  <si>
    <t>CELTA BRASIL COMERCIO SERVICOS E INDUSTR</t>
  </si>
  <si>
    <t>278147688116</t>
  </si>
  <si>
    <t>IRIS MEMBERG</t>
  </si>
  <si>
    <t>BARRO BRANCO</t>
  </si>
  <si>
    <t>200</t>
  </si>
  <si>
    <t>(055) 114615-7788</t>
  </si>
  <si>
    <t>FAZENDA PONTE ALTA</t>
  </si>
  <si>
    <t>35579700</t>
  </si>
  <si>
    <t>RODRIGO DA SILVA TOME</t>
  </si>
  <si>
    <t>27847110024</t>
  </si>
  <si>
    <t>PONTE ALTA PONTE VILA</t>
  </si>
  <si>
    <t>(037) 99902-9236</t>
  </si>
  <si>
    <t>KING FERTILIZANTES - CRAVINHOS</t>
  </si>
  <si>
    <t>14140000</t>
  </si>
  <si>
    <t>KING FERT INDUSTRIA E COMERCIO DE FERTIL</t>
  </si>
  <si>
    <t>279064689116</t>
  </si>
  <si>
    <t>CRAVINHOS</t>
  </si>
  <si>
    <t>PALETRANS</t>
  </si>
  <si>
    <t>162</t>
  </si>
  <si>
    <t>LACSA AGRONEGÓCIOS - CRAVINHOS</t>
  </si>
  <si>
    <t>LACSA AGRONEGÓCIOS LTDA</t>
  </si>
  <si>
    <t>279084174110</t>
  </si>
  <si>
    <t>RUA ANGELA BERBEL PAGANO</t>
  </si>
  <si>
    <t>816</t>
  </si>
  <si>
    <t>(016) 3482-2534</t>
  </si>
  <si>
    <t>JOSMARA GALVÃO ALVES 79635660634</t>
  </si>
  <si>
    <t>38411024</t>
  </si>
  <si>
    <t>27916900</t>
  </si>
  <si>
    <t>PROFESSOR CHAFI AYUB JACOB</t>
  </si>
  <si>
    <t>ALTAMIRA</t>
  </si>
  <si>
    <t>SITREX SISTEMA INTER TRANSP ROD EXP LTDA</t>
  </si>
  <si>
    <t>79310040</t>
  </si>
  <si>
    <t>28.484.105-6</t>
  </si>
  <si>
    <t>NOSSA SENHORA DE FATIMA</t>
  </si>
  <si>
    <t>MARIA LEITE</t>
  </si>
  <si>
    <t>(055) 114347-8840</t>
  </si>
  <si>
    <t>MATEUS COELHO MOREIRA</t>
  </si>
  <si>
    <t>280009730114</t>
  </si>
  <si>
    <t>CRISTAIS PAULISTA VIA FAZENDA JAPAO</t>
  </si>
  <si>
    <t>ATILIO BELOTI</t>
  </si>
  <si>
    <t>280056612114</t>
  </si>
  <si>
    <t>ARGEMIRO LEONARDO, CRISTAIS A RIB. CORRENTE, KM 07</t>
  </si>
  <si>
    <t>JOSE CAMILO MENDONCA</t>
  </si>
  <si>
    <t>280057628117</t>
  </si>
  <si>
    <t>VICINAL MANOEL CORRIJO, KM 13</t>
  </si>
  <si>
    <t>(055) 163705-4041</t>
  </si>
  <si>
    <t>CIA. TRAQUITANA TEATRO E SOLUCOES CRIATI</t>
  </si>
  <si>
    <t>38400138</t>
  </si>
  <si>
    <t>28087260023</t>
  </si>
  <si>
    <t>PROFESSOR MARIO PORTO</t>
  </si>
  <si>
    <t>(055) 349111-2844</t>
  </si>
  <si>
    <t>FAZENDA POR DO SOL</t>
  </si>
  <si>
    <t>RANIERE DE CASTRO ALVARENGA</t>
  </si>
  <si>
    <t>28126330040</t>
  </si>
  <si>
    <t>(035) 99829-3923</t>
  </si>
  <si>
    <t>79042802</t>
  </si>
  <si>
    <t>282032690</t>
  </si>
  <si>
    <t>PIRACANJUBA</t>
  </si>
  <si>
    <t>PROXIMO ITAMARACA</t>
  </si>
  <si>
    <t>INATIVO - FERTIPOL</t>
  </si>
  <si>
    <t>79840230</t>
  </si>
  <si>
    <t>FERTIPOL INDÚSTRIA COMÉRCIO E REPRESENTA</t>
  </si>
  <si>
    <t>282377603</t>
  </si>
  <si>
    <t>CORONEL PONCIANO</t>
  </si>
  <si>
    <t>JARDIM DOS JEQUITIBA</t>
  </si>
  <si>
    <t>52</t>
  </si>
  <si>
    <t>(067) 3416-6999</t>
  </si>
  <si>
    <t>CMOC - CUBATAO</t>
  </si>
  <si>
    <t>11573904</t>
  </si>
  <si>
    <t>CMOC BRASIL MINERACAO, INDUSTRIA E PARTI</t>
  </si>
  <si>
    <t>283.137.367.116</t>
  </si>
  <si>
    <t>CONEGO DOMENICO RANGONI S/N</t>
  </si>
  <si>
    <t>SP-055</t>
  </si>
  <si>
    <t>(055) 133362-7315</t>
  </si>
  <si>
    <t>ITERUM - CUBATÃO</t>
  </si>
  <si>
    <t>11570000</t>
  </si>
  <si>
    <t>ITERUM COMERCIO INTERNACIONAL S.A.</t>
  </si>
  <si>
    <t>283.213.969.114</t>
  </si>
  <si>
    <t>AV ENGENHEIRO PLINIO DE QUEIROZ</t>
  </si>
  <si>
    <t>ULTRAFERTIL S/A</t>
  </si>
  <si>
    <t>283003324111</t>
  </si>
  <si>
    <t>AV ENGENHEIRO PLÍNIO DE QUEIROZ</t>
  </si>
  <si>
    <t>(013) 3362-9799</t>
  </si>
  <si>
    <t>11570101</t>
  </si>
  <si>
    <t>BUNGE - CUBATÃO</t>
  </si>
  <si>
    <t>283009545113</t>
  </si>
  <si>
    <t>(013) 3369-6045</t>
  </si>
  <si>
    <t>283047535115</t>
  </si>
  <si>
    <t>HERINGER - CUBATÃO</t>
  </si>
  <si>
    <t>283057860114</t>
  </si>
  <si>
    <t>SR. RENE FONSECA</t>
  </si>
  <si>
    <t>JARDIM DAS INDUSTRIA</t>
  </si>
  <si>
    <t>BUNGE NPK FERTILIZANTES - CUBATÃO</t>
  </si>
  <si>
    <t>283064174113</t>
  </si>
  <si>
    <t>YARA - CUBATÃO CUB1</t>
  </si>
  <si>
    <t>283068018110</t>
  </si>
  <si>
    <t>VALE CUBATÃO  02</t>
  </si>
  <si>
    <t>VALE CUBATÃO FERTILIZANTES LTDA</t>
  </si>
  <si>
    <t>283090973110</t>
  </si>
  <si>
    <t>VALE CUBATÃO  03</t>
  </si>
  <si>
    <t>283090982110</t>
  </si>
  <si>
    <t>11573902</t>
  </si>
  <si>
    <t>INATIVO - MOSAIC - CUBATAO</t>
  </si>
  <si>
    <t>MOSAIC CUBATAO FABRICACAO FERTILIZANTES</t>
  </si>
  <si>
    <t>283091473119</t>
  </si>
  <si>
    <t>CONEGO D RANGONI</t>
  </si>
  <si>
    <t>(013) 2102-9707</t>
  </si>
  <si>
    <t>TERLOC - TERMINAL LOGISTICO CESARI LTDA</t>
  </si>
  <si>
    <t>283108491118</t>
  </si>
  <si>
    <t>(013) 2102-8011</t>
  </si>
  <si>
    <t>TOLL - CEFERTIL CUBATAO SP</t>
  </si>
  <si>
    <t>CEFERTIL-CESARI FERTILIZANTES LTDA</t>
  </si>
  <si>
    <t>283116866119</t>
  </si>
  <si>
    <t>A PRAZO - 10/28 DIAS</t>
  </si>
  <si>
    <t>ZGEOVANIO</t>
  </si>
  <si>
    <t>JARDIM DAS INDÚSTRIAS</t>
  </si>
  <si>
    <t>VALE - CUBATÃO</t>
  </si>
  <si>
    <t>VALE FOSFATADOS S.A.</t>
  </si>
  <si>
    <t>283125420118</t>
  </si>
  <si>
    <t>SÃO MARCOS</t>
  </si>
  <si>
    <t>YARA NITROGENADOS - CUBATÃO CUB4</t>
  </si>
  <si>
    <t>283129833110</t>
  </si>
  <si>
    <t>CONEGO DOMENICO RANGONI</t>
  </si>
  <si>
    <t>11570901</t>
  </si>
  <si>
    <t>283129842111</t>
  </si>
  <si>
    <t>ENGENHEIRO PLINIO DE QUEIROZ S/N</t>
  </si>
  <si>
    <t>11570091</t>
  </si>
  <si>
    <t>YARA - CUBATÃO CUB2</t>
  </si>
  <si>
    <t>283129851112</t>
  </si>
  <si>
    <t>ACRON BRASIL LTDA</t>
  </si>
  <si>
    <t>ACRON IMPORTACAO E COMERCIO DE FERTILIZA</t>
  </si>
  <si>
    <t>283130371114</t>
  </si>
  <si>
    <t>JD BELO HORIZONTE</t>
  </si>
  <si>
    <t>(011) 3846-0499</t>
  </si>
  <si>
    <t>79130000</t>
  </si>
  <si>
    <t>HERINGER - RIO BRILHANTE</t>
  </si>
  <si>
    <t>283415690</t>
  </si>
  <si>
    <t>BR 163 KM 325</t>
  </si>
  <si>
    <t>(067) 3452-1900</t>
  </si>
  <si>
    <t>79842000</t>
  </si>
  <si>
    <t>283456825</t>
  </si>
  <si>
    <t>BR 163 KM 247</t>
  </si>
  <si>
    <t>(067) 2108-1700</t>
  </si>
  <si>
    <t>79878000</t>
  </si>
  <si>
    <t>FERTIPAR - DOURADOS</t>
  </si>
  <si>
    <t>283483318</t>
  </si>
  <si>
    <t>ENTRE VILA SAO PEDRO E VILA VARGAS</t>
  </si>
  <si>
    <t>ADUBOS FERTIPOL INDUSTRIA E COMERCIO</t>
  </si>
  <si>
    <t>283541741</t>
  </si>
  <si>
    <t>JARDIM DOS JEQUETIBAS</t>
  </si>
  <si>
    <t>(067) 3416-4600</t>
  </si>
  <si>
    <t>TRANSPORTADORA CARDOSO</t>
  </si>
  <si>
    <t>79321008</t>
  </si>
  <si>
    <t>CARDOSO TRANSPORTES</t>
  </si>
  <si>
    <t>283549750</t>
  </si>
  <si>
    <t>AGOSTINHO T. MONACO</t>
  </si>
  <si>
    <t>1816</t>
  </si>
  <si>
    <t>(055) 458102-3963</t>
  </si>
  <si>
    <t>SITREX</t>
  </si>
  <si>
    <t>79304110</t>
  </si>
  <si>
    <t>SITREX SISTEMA INTERNACIONAL DE TRANSPOR</t>
  </si>
  <si>
    <t>283792558</t>
  </si>
  <si>
    <t>GENERAL DUTRA</t>
  </si>
  <si>
    <t>(055) 673231-5046</t>
  </si>
  <si>
    <t>SÍTIO RIBEIRÃO SÃO JOSE</t>
  </si>
  <si>
    <t>JULIANO FERNANDES DETONI</t>
  </si>
  <si>
    <t>28417720057</t>
  </si>
  <si>
    <t>(035) 99836-6095</t>
  </si>
  <si>
    <t>LEMOS HOTEL</t>
  </si>
  <si>
    <t>65289000</t>
  </si>
  <si>
    <t>R R B DE CARVALHO LTDA</t>
  </si>
  <si>
    <t>2842023</t>
  </si>
  <si>
    <t>MARACACUME</t>
  </si>
  <si>
    <t>BR 316 KM 54</t>
  </si>
  <si>
    <t>(055) 983373-1061</t>
  </si>
  <si>
    <t>ORGANOCERES - DOURADOS</t>
  </si>
  <si>
    <t>79868000</t>
  </si>
  <si>
    <t>ORGANOCERES IND DE FERTILIZANTES EIRELI</t>
  </si>
  <si>
    <t>284221554</t>
  </si>
  <si>
    <t>AV MARCELINO PIRES</t>
  </si>
  <si>
    <t>TERRA AMARELA</t>
  </si>
  <si>
    <t>8654</t>
  </si>
  <si>
    <t>(067) 3420-2100</t>
  </si>
  <si>
    <t>79108570</t>
  </si>
  <si>
    <t>CIBRA - CAMPO GRANDE</t>
  </si>
  <si>
    <t>284231509</t>
  </si>
  <si>
    <t>PRINCIPAL 2</t>
  </si>
  <si>
    <t>NUCLEO INDUSTRIAL</t>
  </si>
  <si>
    <t>HINOVE AGROCIENCIA S.A.</t>
  </si>
  <si>
    <t>284280330</t>
  </si>
  <si>
    <t>ROD BR 163</t>
  </si>
  <si>
    <t>MACRORGAN FERTILIZANTES</t>
  </si>
  <si>
    <t>79560000</t>
  </si>
  <si>
    <t>ORGANTEC TECNOLOGIA EM ORGANICOS LTDA</t>
  </si>
  <si>
    <t>284516180</t>
  </si>
  <si>
    <t>CHAPADAO DO SUL</t>
  </si>
  <si>
    <t>OLIVO KOHL</t>
  </si>
  <si>
    <t>POLO EMPRESARIAL</t>
  </si>
  <si>
    <t>443</t>
  </si>
  <si>
    <t>(055) 679674-7760</t>
  </si>
  <si>
    <t>79300002</t>
  </si>
  <si>
    <t>ALFA NATURA DO BRASIL IMPORTACAO EXP E C</t>
  </si>
  <si>
    <t>284728802</t>
  </si>
  <si>
    <t>FREI MARIANO</t>
  </si>
  <si>
    <t>572</t>
  </si>
  <si>
    <t>(055) 679907-1739</t>
  </si>
  <si>
    <t>ECO PALETES LTDA</t>
  </si>
  <si>
    <t>13690000</t>
  </si>
  <si>
    <t>285067463119</t>
  </si>
  <si>
    <t>DESCALVADO</t>
  </si>
  <si>
    <t>ANTONIO BENEDITO PASCHOAL</t>
  </si>
  <si>
    <t>INBRA INDUSTRIAS QUIMICAS LTDA</t>
  </si>
  <si>
    <t>09950907</t>
  </si>
  <si>
    <t>286001509116</t>
  </si>
  <si>
    <t>FAGUNDES DE OLIVEIRA</t>
  </si>
  <si>
    <t>PIRAPORINHA</t>
  </si>
  <si>
    <t>INDUSTRIA QUIMICA WAYBOR LTDA</t>
  </si>
  <si>
    <t>09990090</t>
  </si>
  <si>
    <t>286005504113</t>
  </si>
  <si>
    <t>AV. ROBERTO GORDON</t>
  </si>
  <si>
    <t>VILA MARY</t>
  </si>
  <si>
    <t>(011) 4071-6188</t>
  </si>
  <si>
    <t>QUIMIS APARELHOS CIENTIFICOS LTDA</t>
  </si>
  <si>
    <t>09930290</t>
  </si>
  <si>
    <t>286033386115</t>
  </si>
  <si>
    <t>GEMA</t>
  </si>
  <si>
    <t>JD SÃO JUDAS TADEU</t>
  </si>
  <si>
    <t>278</t>
  </si>
  <si>
    <t>(011) 4055-9900</t>
  </si>
  <si>
    <t>ROTHENBERGER DO BRASIL LTDA</t>
  </si>
  <si>
    <t>09921005</t>
  </si>
  <si>
    <t>286235430115</t>
  </si>
  <si>
    <t>MARINHO DE CARVALHO</t>
  </si>
  <si>
    <t>VILA MARINA</t>
  </si>
  <si>
    <t>1140444</t>
  </si>
  <si>
    <t>09950300</t>
  </si>
  <si>
    <t>538</t>
  </si>
  <si>
    <t>HIDRODEMA MATERIAIS HIDRAULICOS LTDA</t>
  </si>
  <si>
    <t>09980600</t>
  </si>
  <si>
    <t>286256330110</t>
  </si>
  <si>
    <t>ROTARY (STA RITA)</t>
  </si>
  <si>
    <t>SERRARIA</t>
  </si>
  <si>
    <t>565</t>
  </si>
  <si>
    <t>(055) 114053-9800</t>
  </si>
  <si>
    <t>INTELISENSE RADIOCOMUNICACAO</t>
  </si>
  <si>
    <t>INTELISENSE RADIOCOMUNICACAO LTDA</t>
  </si>
  <si>
    <t>286346028110</t>
  </si>
  <si>
    <t>(055) 114422-4081</t>
  </si>
  <si>
    <t>K-ZIN - SOLUCOES INDUSTRAIS EIRELI</t>
  </si>
  <si>
    <t>09980160</t>
  </si>
  <si>
    <t>286545917110</t>
  </si>
  <si>
    <t>RUA ALVARES CABRAL</t>
  </si>
  <si>
    <t>1510</t>
  </si>
  <si>
    <t>CELINA APARECIDA MENDEZ ORTIZ</t>
  </si>
  <si>
    <t>287916510</t>
  </si>
  <si>
    <t>RUA MONTE CASTELO</t>
  </si>
  <si>
    <t>(059) 17200-8009</t>
  </si>
  <si>
    <t>CARLTON EXPRESS</t>
  </si>
  <si>
    <t>NOVO HOTEL TRES CORACOES LTDA</t>
  </si>
  <si>
    <t>28815670009</t>
  </si>
  <si>
    <t>PERO I</t>
  </si>
  <si>
    <t>1009</t>
  </si>
  <si>
    <t>(055) 353721-4773</t>
  </si>
  <si>
    <t>ELIDIO BERCHOL DA SILVA E OUTRO</t>
  </si>
  <si>
    <t>17300000</t>
  </si>
  <si>
    <t>289.078.265.115</t>
  </si>
  <si>
    <t>DOIS CORREGOS</t>
  </si>
  <si>
    <t>VENTANIA</t>
  </si>
  <si>
    <t>(055) 143652-2397</t>
  </si>
  <si>
    <t>HOTEL JAPAO</t>
  </si>
  <si>
    <t>77330000</t>
  </si>
  <si>
    <t>MATSUSE EMPREEDIMENTOS HOTELEIROS LTDA</t>
  </si>
  <si>
    <t>29.471.154-6</t>
  </si>
  <si>
    <t>TO 050 KM 419,6</t>
  </si>
  <si>
    <t>JARDIM BURITIZINHO</t>
  </si>
  <si>
    <t>(055) 633653-1118</t>
  </si>
  <si>
    <t>FAZENDA NOVA ALIANCA</t>
  </si>
  <si>
    <t>JADSON MARQUES DE SOUSA</t>
  </si>
  <si>
    <t>29115640019</t>
  </si>
  <si>
    <t>NOVA ALIANCA</t>
  </si>
  <si>
    <t>SITIO VARGEM BELA - LUCIANO JOSE</t>
  </si>
  <si>
    <t>LUCIANO JOSE PRACIDELI</t>
  </si>
  <si>
    <t>29128730054</t>
  </si>
  <si>
    <t>VARGEM BELA</t>
  </si>
  <si>
    <t>77500000</t>
  </si>
  <si>
    <t>293422125</t>
  </si>
  <si>
    <t>TO 050</t>
  </si>
  <si>
    <t>ANEL VIÁRIO</t>
  </si>
  <si>
    <t>(063) 9994-8552</t>
  </si>
  <si>
    <t>ITAFOS ARRAIAS MIN E FERTILIZANTES S.A.</t>
  </si>
  <si>
    <t>293732116</t>
  </si>
  <si>
    <t>GO 110 CAMP.BELOS A NOV ALEGRE KM5.5</t>
  </si>
  <si>
    <t>(055) 623451-0006</t>
  </si>
  <si>
    <t>77660000</t>
  </si>
  <si>
    <t>294903364</t>
  </si>
  <si>
    <t>MIRANORTE</t>
  </si>
  <si>
    <t>SANTA RITA ROD MARG ESQ ROD BR 153 KM 390 LOT MATA FOLHA A</t>
  </si>
  <si>
    <t>(055) 623414-6500</t>
  </si>
  <si>
    <t>295332352</t>
  </si>
  <si>
    <t>TO-335, KM 35</t>
  </si>
  <si>
    <t>FAZENDA BARREIRINHA</t>
  </si>
  <si>
    <t>SAGRA - IBIA</t>
  </si>
  <si>
    <t>2959828280670</t>
  </si>
  <si>
    <t>AV BARTOLOMEU RIBEIRO DE PAIVA</t>
  </si>
  <si>
    <t>SÃO BENEDITO</t>
  </si>
  <si>
    <t>528</t>
  </si>
  <si>
    <t>BRAVA FERTILIZANTES</t>
  </si>
  <si>
    <t>13359044</t>
  </si>
  <si>
    <t>BRAVA FERTILIZANTES LTDA</t>
  </si>
  <si>
    <t>297.037.095.116</t>
  </si>
  <si>
    <t>ELIAS FAUSTO</t>
  </si>
  <si>
    <t>ARY CAMPANHOLO</t>
  </si>
  <si>
    <t>CENTRO (CARDEAL)</t>
  </si>
  <si>
    <t>(055) 443142-2420</t>
  </si>
  <si>
    <t>CONAUT CONTROLES AUTOMÁTICOS LTDA</t>
  </si>
  <si>
    <t>06835080</t>
  </si>
  <si>
    <t>298012193117</t>
  </si>
  <si>
    <t>EMBU DAS ARTES</t>
  </si>
  <si>
    <t>LOUIS PASTEUR</t>
  </si>
  <si>
    <t>PQ.INDUSTRIAL EMBU</t>
  </si>
  <si>
    <t>382</t>
  </si>
  <si>
    <t>(011) 4785-2700</t>
  </si>
  <si>
    <t>CHICAGO ENGLISH LEARNING STUDIO</t>
  </si>
  <si>
    <t>38411036</t>
  </si>
  <si>
    <t>JEFFREY JAMES DEFRATIES 74824341191</t>
  </si>
  <si>
    <t>29948700</t>
  </si>
  <si>
    <t>(055) 343222-6488</t>
  </si>
  <si>
    <t>ANTÔNIO AUGUSTO TETTAMANZY DE MORAES</t>
  </si>
  <si>
    <t>96020700</t>
  </si>
  <si>
    <t>3000507313</t>
  </si>
  <si>
    <t>ANTÔNIO DOS ANJOS</t>
  </si>
  <si>
    <t>ESTRELA FISHING</t>
  </si>
  <si>
    <t>15650000</t>
  </si>
  <si>
    <t>CLAYTON DO ESPIRITO SANTO 22275820817</t>
  </si>
  <si>
    <t>301023656113</t>
  </si>
  <si>
    <t>ESTRELA D'OESTE</t>
  </si>
  <si>
    <t>LAGOA SANTA</t>
  </si>
  <si>
    <t>DR. GILMAR ALVES FERREIRA</t>
  </si>
  <si>
    <t>67</t>
  </si>
  <si>
    <t>(055) 179603-0222</t>
  </si>
  <si>
    <t>L'ACORDES HOTEL</t>
  </si>
  <si>
    <t>76811738</t>
  </si>
  <si>
    <t>ANJOS E SILVA LTDA</t>
  </si>
  <si>
    <t>3046451</t>
  </si>
  <si>
    <t>BR-364</t>
  </si>
  <si>
    <t>AEROCLUBE</t>
  </si>
  <si>
    <t>8250</t>
  </si>
  <si>
    <t>(055) 6999364-1382</t>
  </si>
  <si>
    <t>ASSIS E FRAGA HOTELARIA LTDA</t>
  </si>
  <si>
    <t>75804364</t>
  </si>
  <si>
    <t>304840201</t>
  </si>
  <si>
    <t>4</t>
  </si>
  <si>
    <t>SETOR DAS MANSOES</t>
  </si>
  <si>
    <t>(055) 649922-0466</t>
  </si>
  <si>
    <t>14406363</t>
  </si>
  <si>
    <t>310.411.247.116</t>
  </si>
  <si>
    <t>ELIAS ABRAO</t>
  </si>
  <si>
    <t>IDEIA FIXA</t>
  </si>
  <si>
    <t>14400090</t>
  </si>
  <si>
    <t>IDEIA FIXA PUBLICIDADE E MARKETING DE EV</t>
  </si>
  <si>
    <t>310.843.981.118</t>
  </si>
  <si>
    <t>RUA VENEZUELA</t>
  </si>
  <si>
    <t>JARDIM CONSOLACAO</t>
  </si>
  <si>
    <t>1020</t>
  </si>
  <si>
    <t>(055) 1698125-0899</t>
  </si>
  <si>
    <t>14405268</t>
  </si>
  <si>
    <t>CASA DAS SEMENTES E INSUMOS AGRICOLA LTD</t>
  </si>
  <si>
    <t>310193009110</t>
  </si>
  <si>
    <t>AV SANTOS DUMONT</t>
  </si>
  <si>
    <t>VILA SANTOS DUMONT</t>
  </si>
  <si>
    <t>(016) 3721-3113</t>
  </si>
  <si>
    <t>14406098</t>
  </si>
  <si>
    <t>310645967117</t>
  </si>
  <si>
    <t>ALEXANDRE BITTAR SABIO DE MELLO</t>
  </si>
  <si>
    <t>3331</t>
  </si>
  <si>
    <t>(016) 3724-6863</t>
  </si>
  <si>
    <t>PAULO ROBERTO ALVES DE FIG. E OUTROS</t>
  </si>
  <si>
    <t>14402347</t>
  </si>
  <si>
    <t>310719942111</t>
  </si>
  <si>
    <t>ROD JOAO TRAFICANTE</t>
  </si>
  <si>
    <t>JARDIM PALESTINA</t>
  </si>
  <si>
    <t>NORDESTE TRANSP - FRANCA SP</t>
  </si>
  <si>
    <t>14405106</t>
  </si>
  <si>
    <t>310790424113</t>
  </si>
  <si>
    <t>GENERAL CARNEIRO</t>
  </si>
  <si>
    <t>ESTAÇÃO</t>
  </si>
  <si>
    <t>(016) 3403-3012</t>
  </si>
  <si>
    <t>TOKO TRANSPORTES</t>
  </si>
  <si>
    <t>95760000</t>
  </si>
  <si>
    <t>DULLIUS &amp; DULLIUS TRANSPORTES LTDA</t>
  </si>
  <si>
    <t>3140006626</t>
  </si>
  <si>
    <t>SAO SEBASTIAO DO CAI</t>
  </si>
  <si>
    <t>RS122</t>
  </si>
  <si>
    <t>18010</t>
  </si>
  <si>
    <t>(055) 519989-8080</t>
  </si>
  <si>
    <t>JBS S/A FERTILIZANTES</t>
  </si>
  <si>
    <t>16430000</t>
  </si>
  <si>
    <t>JBS S/A</t>
  </si>
  <si>
    <t>320020710114</t>
  </si>
  <si>
    <t>GUAICARA</t>
  </si>
  <si>
    <t>V DE ACESSO ADAO AFONSO COSTA</t>
  </si>
  <si>
    <t>(011) 3144-4000</t>
  </si>
  <si>
    <t>COMERCIO DE PNEUS L. B. LTDA</t>
  </si>
  <si>
    <t>95320000</t>
  </si>
  <si>
    <t>32135012</t>
  </si>
  <si>
    <t>BR 470 KM 155</t>
  </si>
  <si>
    <t>SAO PELEGRINO</t>
  </si>
  <si>
    <t>2552</t>
  </si>
  <si>
    <t>(055) 543242-2999</t>
  </si>
  <si>
    <t>14790000</t>
  </si>
  <si>
    <t>COMERCIO E REPRESNT.  BRANCO GUAIRA LTDA</t>
  </si>
  <si>
    <t>322.014.610.115</t>
  </si>
  <si>
    <t>GUAIRA</t>
  </si>
  <si>
    <t>17 A</t>
  </si>
  <si>
    <t>618</t>
  </si>
  <si>
    <t>ESTRELA AGRICOLA</t>
  </si>
  <si>
    <t>ESTRELA AGRICOLA DE GUAIRA LTDA</t>
  </si>
  <si>
    <t>322.096.591.110</t>
  </si>
  <si>
    <t>44</t>
  </si>
  <si>
    <t>(055) 173331-5665</t>
  </si>
  <si>
    <t>BARTER AGRÍCOLA LTDA</t>
  </si>
  <si>
    <t>BARTER AGRICOLA LTDA</t>
  </si>
  <si>
    <t>322.103.427.119</t>
  </si>
  <si>
    <t>VIVENDAS</t>
  </si>
  <si>
    <t>(055) 1199979-7000</t>
  </si>
  <si>
    <t>FESTA &amp; SABOR</t>
  </si>
  <si>
    <t>FESTA &amp; SABOR SALGADOS LTDA</t>
  </si>
  <si>
    <t>322022551116</t>
  </si>
  <si>
    <t>0167</t>
  </si>
  <si>
    <t>(017) 3331-2849</t>
  </si>
  <si>
    <t>3R GERENCIAMENTO DE RESIDUOS</t>
  </si>
  <si>
    <t>38402354</t>
  </si>
  <si>
    <t>3R GERENCIAMENTO DE RESIDUOS LTDA</t>
  </si>
  <si>
    <t>32226450017</t>
  </si>
  <si>
    <t>EDWARDS MANOEL DA SILVA</t>
  </si>
  <si>
    <t>(034) 99791-1367</t>
  </si>
  <si>
    <t>FAZENDA LAGOA</t>
  </si>
  <si>
    <t>37200000</t>
  </si>
  <si>
    <t>POLYANA MENDES MORAIS E OUTROS</t>
  </si>
  <si>
    <t>32300900009</t>
  </si>
  <si>
    <t>(035) 9999864-7648</t>
  </si>
  <si>
    <t>14580000</t>
  </si>
  <si>
    <t>325043425110</t>
  </si>
  <si>
    <t>ANHANGUERA</t>
  </si>
  <si>
    <t>(055) 163322-7481</t>
  </si>
  <si>
    <t>TELLO SA - GUARACI</t>
  </si>
  <si>
    <t>15433899</t>
  </si>
  <si>
    <t>TELLO SA</t>
  </si>
  <si>
    <t>327027844116</t>
  </si>
  <si>
    <t>GUARACI</t>
  </si>
  <si>
    <t>(055) 1799119-0159</t>
  </si>
  <si>
    <t>J BEBIDAS LOCACOES E EVENTOS</t>
  </si>
  <si>
    <t>JOTA BEBIDAS LOCACOES E EVENTOS LTDA</t>
  </si>
  <si>
    <t>32712560078</t>
  </si>
  <si>
    <t>940</t>
  </si>
  <si>
    <t>(055) 348407-4496</t>
  </si>
  <si>
    <t>RAFAEL VERRI NETO</t>
  </si>
  <si>
    <t>38402203</t>
  </si>
  <si>
    <t>31.701.698 RAFAEL VERRI NETO</t>
  </si>
  <si>
    <t>32915970009</t>
  </si>
  <si>
    <t>FRANCISCO DOMINGOS DE PAULA</t>
  </si>
  <si>
    <t>(034) 99781-1346</t>
  </si>
  <si>
    <t>AGROPECUARIA GOIANO COM. DE FERTILIZ. LT</t>
  </si>
  <si>
    <t>3297433030040</t>
  </si>
  <si>
    <t>711A</t>
  </si>
  <si>
    <t>(055) 353539-8200</t>
  </si>
  <si>
    <t>SAO CORNELIO</t>
  </si>
  <si>
    <t>JOSE ORLANDO FERREIRA E OUTRO(S)</t>
  </si>
  <si>
    <t>33081250013</t>
  </si>
  <si>
    <t>SAO CORNELIO OU MONTIJO</t>
  </si>
  <si>
    <t>BAUMINAS AGRO</t>
  </si>
  <si>
    <t>ELETRO MANGANES LTDA.</t>
  </si>
  <si>
    <t>3350703180076</t>
  </si>
  <si>
    <t>MG 164 KM 4</t>
  </si>
  <si>
    <t>AGUA LIMPA</t>
  </si>
  <si>
    <t>(055) 343319-9500</t>
  </si>
  <si>
    <t>FUJIDIESEL COMERCIO E SERVICOS LTDA.-EPP</t>
  </si>
  <si>
    <t>11430000</t>
  </si>
  <si>
    <t>FUJIDIESEL COMERCIO E SERVICOS LTDA</t>
  </si>
  <si>
    <t>335112856110</t>
  </si>
  <si>
    <t>ADHEMAR DE BARROS</t>
  </si>
  <si>
    <t>2589</t>
  </si>
  <si>
    <t>MOVECTA</t>
  </si>
  <si>
    <t>11436010</t>
  </si>
  <si>
    <t>MOVECTA S.A.</t>
  </si>
  <si>
    <t>335125284110</t>
  </si>
  <si>
    <t>VEREADOR LYDIO MARTINS CORREA</t>
  </si>
  <si>
    <t>SITIO CONCEICAOZINHA</t>
  </si>
  <si>
    <t>1642</t>
  </si>
  <si>
    <t>(055) 113046-4600</t>
  </si>
  <si>
    <t>11460000</t>
  </si>
  <si>
    <t>TERMINAL MARIT DO GUARUJA SA TERMAG</t>
  </si>
  <si>
    <t>335194746111</t>
  </si>
  <si>
    <t>TODO DIA 15</t>
  </si>
  <si>
    <t>VICENTE DE CARVALHO</t>
  </si>
  <si>
    <t>(055) 133201-9000</t>
  </si>
  <si>
    <t>FABIO GENESIS FERREIRA NEVES 07724366659</t>
  </si>
  <si>
    <t>38425425</t>
  </si>
  <si>
    <t>33597840035</t>
  </si>
  <si>
    <t>DENNIS NASCER TOMAZ DE FREITAS</t>
  </si>
  <si>
    <t>(055) 349227-4236</t>
  </si>
  <si>
    <t>INDUSTRIA DE FILTROS BARRA LTDA</t>
  </si>
  <si>
    <t>07170350</t>
  </si>
  <si>
    <t>336136439110</t>
  </si>
  <si>
    <t>PAPA JOÃO PAULO I</t>
  </si>
  <si>
    <t>CIDADE PARQUE S.LUIZ</t>
  </si>
  <si>
    <t>6723</t>
  </si>
  <si>
    <t>OCQ</t>
  </si>
  <si>
    <t>07177220</t>
  </si>
  <si>
    <t>OSWALDO CRUZ QUÍMICA IND E COM LTDA</t>
  </si>
  <si>
    <t>336177687111</t>
  </si>
  <si>
    <t>MÔNICA APARECIDA MOREDO</t>
  </si>
  <si>
    <t>BONSUCESSO</t>
  </si>
  <si>
    <t>(011) 2436-3682</t>
  </si>
  <si>
    <t>BARTHOLO TRANSP. RODOVIARIOS LTDA</t>
  </si>
  <si>
    <t>07232152</t>
  </si>
  <si>
    <t>336261084110</t>
  </si>
  <si>
    <t>DA LAGOA</t>
  </si>
  <si>
    <t>CIDADE INDL.SATÉLITE</t>
  </si>
  <si>
    <t>MKG EQUIPAMENTOS LTDA</t>
  </si>
  <si>
    <t>07043050</t>
  </si>
  <si>
    <t>336691716119</t>
  </si>
  <si>
    <t>ITALIANA</t>
  </si>
  <si>
    <t>ITAPEGICA</t>
  </si>
  <si>
    <t>248</t>
  </si>
  <si>
    <t>(011) 3579-8999</t>
  </si>
  <si>
    <t>OSWALDO CRUZ QUIMICA IND E COM LTDA</t>
  </si>
  <si>
    <t>07177120</t>
  </si>
  <si>
    <t>336822100111</t>
  </si>
  <si>
    <t>THALITA</t>
  </si>
  <si>
    <t>JOÃO RANIERI</t>
  </si>
  <si>
    <t>JARDIM FÁTIMA</t>
  </si>
  <si>
    <t>CATARINA EQUIPAMENTOS INDUSTRIAIS LTDA -</t>
  </si>
  <si>
    <t>07176570</t>
  </si>
  <si>
    <t>336968531116</t>
  </si>
  <si>
    <t>GUINDOVAL</t>
  </si>
  <si>
    <t>NOVA BONSUCESSO</t>
  </si>
  <si>
    <t>488</t>
  </si>
  <si>
    <t>FAZENDA SANTA ISABEL</t>
  </si>
  <si>
    <t>OTAVIO MARQUES DE PAIVA FILHO</t>
  </si>
  <si>
    <t>34.932.920.202</t>
  </si>
  <si>
    <t>(035) 3221-2320</t>
  </si>
  <si>
    <t>GUTO DIAS</t>
  </si>
  <si>
    <t>14815000</t>
  </si>
  <si>
    <t>GUTEMBERGUE DIAS DE SOUZA - ME</t>
  </si>
  <si>
    <t>341014560117</t>
  </si>
  <si>
    <t>ANTÔNIO MAQUEDANO</t>
  </si>
  <si>
    <t>JARDIM CRUZADO II</t>
  </si>
  <si>
    <t>321</t>
  </si>
  <si>
    <t>(016) 99782-2287</t>
  </si>
  <si>
    <t>CERALTEC CERAMICA TECNICA LTDA</t>
  </si>
  <si>
    <t>341015715110</t>
  </si>
  <si>
    <t>LUIS VENTURI</t>
  </si>
  <si>
    <t>SÍTIO SÃO JORGE</t>
  </si>
  <si>
    <t>76937000</t>
  </si>
  <si>
    <t>THIAGO PECKSON SOARES SILVA</t>
  </si>
  <si>
    <t>3415023</t>
  </si>
  <si>
    <t>COSTA MARQUES</t>
  </si>
  <si>
    <t>BR 429</t>
  </si>
  <si>
    <t>96495000</t>
  </si>
  <si>
    <t>SEIVAL SUL AGRONEGOCIO LTDA</t>
  </si>
  <si>
    <t>344/0012133</t>
  </si>
  <si>
    <t>A prazo - 10 dias</t>
  </si>
  <si>
    <t>CANDIOTA</t>
  </si>
  <si>
    <t>DO SEIVAL</t>
  </si>
  <si>
    <t>SEIVAL</t>
  </si>
  <si>
    <t>(055) 513254-5717</t>
  </si>
  <si>
    <t>INATIVO - SEIVAL SUL MINERAÇÃO</t>
  </si>
  <si>
    <t>INATIVO - SEIVAL SUL MINERACAO LTDA.</t>
  </si>
  <si>
    <t>3440010327</t>
  </si>
  <si>
    <t>(053) 3245-4467</t>
  </si>
  <si>
    <t>GIANE MARIA DE CARVALHO ARANTES</t>
  </si>
  <si>
    <t>34524220143</t>
  </si>
  <si>
    <t>CHACARA NOSSA SENHORA APARECIDA</t>
  </si>
  <si>
    <t>FAZENDA VISTA ALEGRE GLEBA "1"</t>
  </si>
  <si>
    <t>37250000</t>
  </si>
  <si>
    <t>MIKE BERTOLI</t>
  </si>
  <si>
    <t>34638900275</t>
  </si>
  <si>
    <t>NEPOMUCENO</t>
  </si>
  <si>
    <t>ESTRADA VICINAL TRES PONTAS A NEPOMUCENO</t>
  </si>
  <si>
    <t>S\N</t>
  </si>
  <si>
    <t>(035) 99983-0976</t>
  </si>
  <si>
    <t>CHEHALT SERVICOS</t>
  </si>
  <si>
    <t>38414192</t>
  </si>
  <si>
    <t>MARCOS MACIEL FAHAD</t>
  </si>
  <si>
    <t>34675040047</t>
  </si>
  <si>
    <t>VICENTE DE PAULA</t>
  </si>
  <si>
    <t>JD PATRICIA I</t>
  </si>
  <si>
    <t>(055) 349919-4668</t>
  </si>
  <si>
    <t>LUCAS SANTOS MOTA FERREIRA</t>
  </si>
  <si>
    <t>14540000</t>
  </si>
  <si>
    <t>349.064.399.111</t>
  </si>
  <si>
    <t>IGARAPAVA</t>
  </si>
  <si>
    <t>' DE IGARAPAVA A FAZENDA LIMEIRA '</t>
  </si>
  <si>
    <t>(055) 163729-2874</t>
  </si>
  <si>
    <t>FAZENDA PETROPOLIS</t>
  </si>
  <si>
    <t>ARMANDO ANTONIO LAMBERTI</t>
  </si>
  <si>
    <t>349.082.244.117</t>
  </si>
  <si>
    <t>(055) 1699995-0788</t>
  </si>
  <si>
    <t>FERTIGRAN - IGARAPAVA</t>
  </si>
  <si>
    <t>349008179113</t>
  </si>
  <si>
    <t>ANHANGUERA KM 450</t>
  </si>
  <si>
    <t>LUIZ GUSTAVO MOTA FERREIRA</t>
  </si>
  <si>
    <t>349038820118</t>
  </si>
  <si>
    <t>SITIO BOA ESPERANÇA III GLEBA 01</t>
  </si>
  <si>
    <t>JOSE MARCOS BORGES E OUTRO</t>
  </si>
  <si>
    <t>349043285116</t>
  </si>
  <si>
    <t>BOA ESPERANCA III GLEBA 01</t>
  </si>
  <si>
    <t>(055) 169611-2513</t>
  </si>
  <si>
    <t>ROCHA &amp; SILVA ENGENHARIA</t>
  </si>
  <si>
    <t>38401700</t>
  </si>
  <si>
    <t>ROCHA &amp; SILVA ENGENHARIA LTDA</t>
  </si>
  <si>
    <t>34991290023</t>
  </si>
  <si>
    <t>GUIOMAR LINO MOREIRA</t>
  </si>
  <si>
    <t>(055) 343226-7990</t>
  </si>
  <si>
    <t>FAZENDA DO ATALHO</t>
  </si>
  <si>
    <t>ARISTEU MENDES DA CUNHA</t>
  </si>
  <si>
    <t>35.014.460.062</t>
  </si>
  <si>
    <t>DO ATALHO AREA RURAL DE TRES CORACOES</t>
  </si>
  <si>
    <t>(035) 99730-4493</t>
  </si>
  <si>
    <t>ENALDO MINUCCI CAMARGOS</t>
  </si>
  <si>
    <t>3528280</t>
  </si>
  <si>
    <t>VITAL JOSÉ CARRIJO</t>
  </si>
  <si>
    <t>(034) 98413-0295</t>
  </si>
  <si>
    <t>OLI PIZZA LTDA</t>
  </si>
  <si>
    <t>38411120</t>
  </si>
  <si>
    <t>35304650018</t>
  </si>
  <si>
    <t>FRANCISCO GALASSI</t>
  </si>
  <si>
    <t>985</t>
  </si>
  <si>
    <t>(055) 343225-3030</t>
  </si>
  <si>
    <t>BUNTECH - INDAIATUBA</t>
  </si>
  <si>
    <t>13347035</t>
  </si>
  <si>
    <t>BUNTECH TECNOLOGIA EM INSUMOS LTDA.</t>
  </si>
  <si>
    <t>353238050111</t>
  </si>
  <si>
    <t>RUA ROQUE MEDALDO FRIAS</t>
  </si>
  <si>
    <t>RECREIO CAMPESTRE JOIA</t>
  </si>
  <si>
    <t>1341</t>
  </si>
  <si>
    <t>(055) 112112-6262</t>
  </si>
  <si>
    <t>13347510</t>
  </si>
  <si>
    <t>353262261114</t>
  </si>
  <si>
    <t>ESTRADA MUNICIPAL JOSE RUBIM</t>
  </si>
  <si>
    <t>CALDEIRA</t>
  </si>
  <si>
    <t>(019) 3835-8000</t>
  </si>
  <si>
    <t>LENOVO TECNOLOGIA BRASIL LTDA</t>
  </si>
  <si>
    <t>13337200</t>
  </si>
  <si>
    <t>353299174110</t>
  </si>
  <si>
    <t>EST M JOSE COSTA DE MESQUITA</t>
  </si>
  <si>
    <t>CHACARA ALVORADA</t>
  </si>
  <si>
    <t>(015) 3235-4000</t>
  </si>
  <si>
    <t>AGROPLACE INDUSTRIA E COMERCIO LTDA</t>
  </si>
  <si>
    <t>13347653</t>
  </si>
  <si>
    <t>353559291110</t>
  </si>
  <si>
    <t>JUPITER</t>
  </si>
  <si>
    <t>AMERICAN PARK EMPRESARIAL NR</t>
  </si>
  <si>
    <t>655</t>
  </si>
  <si>
    <t>(055) 193934-5151</t>
  </si>
  <si>
    <t>LETRANS TRANSPORTES RODOVIARIOS DE CARGA</t>
  </si>
  <si>
    <t>35488000</t>
  </si>
  <si>
    <t>35500640070</t>
  </si>
  <si>
    <t>ITAGUARA</t>
  </si>
  <si>
    <t>TENENTE CASSIANO</t>
  </si>
  <si>
    <t>DOS COELHOS</t>
  </si>
  <si>
    <t>435</t>
  </si>
  <si>
    <t>(055) 353184-1000</t>
  </si>
  <si>
    <t>TERRA DOURO APART HOTEL</t>
  </si>
  <si>
    <t>36301270</t>
  </si>
  <si>
    <t>TERRA DO OURO APART HOTEL LTDA</t>
  </si>
  <si>
    <t>35841920065</t>
  </si>
  <si>
    <t>SAO JOAO DEL REI</t>
  </si>
  <si>
    <t>OITO</t>
  </si>
  <si>
    <t>VILA JOAO LOMBARD (FABRICAS)</t>
  </si>
  <si>
    <t>(055) 329983-0975</t>
  </si>
  <si>
    <t>13537390</t>
  </si>
  <si>
    <t>359002146112</t>
  </si>
  <si>
    <t>PARCELADO - 60/70</t>
  </si>
  <si>
    <t>CARLOS BARTHAMANN JR</t>
  </si>
  <si>
    <t>JD NOVA IPEÚNA</t>
  </si>
  <si>
    <t>(019) 3576-1288</t>
  </si>
  <si>
    <t>VIVENCE PAISAGISMO</t>
  </si>
  <si>
    <t>38412370</t>
  </si>
  <si>
    <t>VIVENCE PAISAGISMO LTDA</t>
  </si>
  <si>
    <t>35900800</t>
  </si>
  <si>
    <t>AV PALESTINA</t>
  </si>
  <si>
    <t>JARDIM CANAÃ</t>
  </si>
  <si>
    <t>(055) 349653-0666</t>
  </si>
  <si>
    <t>F&amp;C MANUTENCOES</t>
  </si>
  <si>
    <t>F&amp;C MANUTENCOES INDUSTRIAIS E ESTRUTURAS</t>
  </si>
  <si>
    <t>36189260071</t>
  </si>
  <si>
    <t>(055) 343212-8871</t>
  </si>
  <si>
    <t>INTERCÂMBIO PEÇAS E SERVIÇOS EIRELI</t>
  </si>
  <si>
    <t>13498284</t>
  </si>
  <si>
    <t>362012307114</t>
  </si>
  <si>
    <t>IRACEMÁPOLIS</t>
  </si>
  <si>
    <t>PEDRO OLIVATTO</t>
  </si>
  <si>
    <t>PARK EMPRESARIAL</t>
  </si>
  <si>
    <t>FERTIPAS - ITABERA</t>
  </si>
  <si>
    <t>18443152</t>
  </si>
  <si>
    <t>FERTILIZANTES PAULISTA LTDA</t>
  </si>
  <si>
    <t>365.053.608.117</t>
  </si>
  <si>
    <t>ITABERA</t>
  </si>
  <si>
    <t>PEDRO MARIANO DE OLIVEIRA</t>
  </si>
  <si>
    <t>CHACARA SANTA ELISA</t>
  </si>
  <si>
    <t>(055) 149854-4187</t>
  </si>
  <si>
    <t>ERICK HERTEL ALMEIDA</t>
  </si>
  <si>
    <t>18440000</t>
  </si>
  <si>
    <t>ERICK HERTEL ALMEIDA E OUTRO</t>
  </si>
  <si>
    <t>365012450114</t>
  </si>
  <si>
    <t>BAIRRO PIRITUBA</t>
  </si>
  <si>
    <t>PIRITUBA</t>
  </si>
  <si>
    <t>(055) 183341-1826</t>
  </si>
  <si>
    <t>VINICIUS MACEDO GOMES</t>
  </si>
  <si>
    <t>365012497118</t>
  </si>
  <si>
    <t>CATINGUEIRO</t>
  </si>
  <si>
    <t>RIBEIRAO BONITO</t>
  </si>
  <si>
    <t>(015) 3562-1117</t>
  </si>
  <si>
    <t>COAMASSA LTDA</t>
  </si>
  <si>
    <t>15840000</t>
  </si>
  <si>
    <t>367011178118</t>
  </si>
  <si>
    <t>ITAJOBI</t>
  </si>
  <si>
    <t>LAURO SODRE</t>
  </si>
  <si>
    <t>VILA ESPLANADA</t>
  </si>
  <si>
    <t>736</t>
  </si>
  <si>
    <t>(055) 173546-3608</t>
  </si>
  <si>
    <t>MADEIREIRA SANTO ANTONIO</t>
  </si>
  <si>
    <t>SILVA &amp; MENA COMERCIO DE MADEIRAS LTDA</t>
  </si>
  <si>
    <t>367039861111</t>
  </si>
  <si>
    <t>139</t>
  </si>
  <si>
    <t>(055) 173523-4908</t>
  </si>
  <si>
    <t>FAZENDA SAMAMBAIA</t>
  </si>
  <si>
    <t>DANIEL DE SOUZA COSTA</t>
  </si>
  <si>
    <t>37099730258</t>
  </si>
  <si>
    <t>DO BARREIRINHO</t>
  </si>
  <si>
    <t>MARIMBEIRO</t>
  </si>
  <si>
    <t>ROBERTO LERA DOS SANTOS</t>
  </si>
  <si>
    <t>18200300</t>
  </si>
  <si>
    <t>ROBERTO LERA DOS SANTOS E OUTRA</t>
  </si>
  <si>
    <t>371.221.216.110</t>
  </si>
  <si>
    <t>VELHA DE ITAPETININGA A TATUI</t>
  </si>
  <si>
    <t>(055) 153271-0729</t>
  </si>
  <si>
    <t>GRUPO OURO SAFRA</t>
  </si>
  <si>
    <t>18213615</t>
  </si>
  <si>
    <t>OURO SAFRA - ITAPETININGA</t>
  </si>
  <si>
    <t>OURO SAFRA INDUSTRIA E COMERCIO LTDA</t>
  </si>
  <si>
    <t>371.256.464.110</t>
  </si>
  <si>
    <t>DOUTOR CYRO ALBUQUERQUE</t>
  </si>
  <si>
    <t>BAIRRO TABOAOZINHO</t>
  </si>
  <si>
    <t>4341</t>
  </si>
  <si>
    <t>(055) 153278-8800</t>
  </si>
  <si>
    <t>18202220</t>
  </si>
  <si>
    <t>TERRA NATIVA ITAPE COM E REPR COM LTDA</t>
  </si>
  <si>
    <t>371.283.620.110</t>
  </si>
  <si>
    <t>JOAQUIM FOGACA DE ALMEIDA NETO</t>
  </si>
  <si>
    <t>JARDIM FOGACA</t>
  </si>
  <si>
    <t>1119</t>
  </si>
  <si>
    <t>(055) 153373-5964</t>
  </si>
  <si>
    <t>NUTRIEN AG - ITAPETININGA</t>
  </si>
  <si>
    <t>18200970</t>
  </si>
  <si>
    <t>371030137111</t>
  </si>
  <si>
    <t>RAPOSO TAVARES</t>
  </si>
  <si>
    <t>MARABÁ</t>
  </si>
  <si>
    <t>(015) 3275-7070</t>
  </si>
  <si>
    <t>YARA - SERRA DO SALITRE</t>
  </si>
  <si>
    <t>GALVANI INDUSTRIA, COM. E SERVIÇOS S.A</t>
  </si>
  <si>
    <t>3711003860116</t>
  </si>
  <si>
    <t>RENATO ELIAS DE ALMEIDA TAMBELLI</t>
  </si>
  <si>
    <t>18200001</t>
  </si>
  <si>
    <t>371105100110</t>
  </si>
  <si>
    <t>SALDANHA MARINHO</t>
  </si>
  <si>
    <t>(055) 153271-2263</t>
  </si>
  <si>
    <t>BORE PINTURAS AUTOMOTIVAS</t>
  </si>
  <si>
    <t>18202000</t>
  </si>
  <si>
    <t>FABRICIO CABRAL PRESTES</t>
  </si>
  <si>
    <t>371133006116</t>
  </si>
  <si>
    <t>JOAO OLIMPIO DE OLIVEIRA</t>
  </si>
  <si>
    <t>VILA ASEM</t>
  </si>
  <si>
    <t>(055) 153272-9629</t>
  </si>
  <si>
    <t>TOP FÉRTIL - ITAPETININGA</t>
  </si>
  <si>
    <t>TOP FÉRTIL INDÚSTRIA DE FERTILIZANTES LT</t>
  </si>
  <si>
    <t>371236152117</t>
  </si>
  <si>
    <t>PINHAL</t>
  </si>
  <si>
    <t>18203340</t>
  </si>
  <si>
    <t>371407676119</t>
  </si>
  <si>
    <t>VILA NOVA ITAPETININGA</t>
  </si>
  <si>
    <t>YARA - UBERABA UNID 3</t>
  </si>
  <si>
    <t>3714585320597</t>
  </si>
  <si>
    <t>YARA - UBERABA UNID 4</t>
  </si>
  <si>
    <t>3714585320678</t>
  </si>
  <si>
    <t>MINERPRATA - ITAPEVA</t>
  </si>
  <si>
    <t>18400970</t>
  </si>
  <si>
    <t>MINERACAO ITAPEVA LTDA</t>
  </si>
  <si>
    <t>372013031118</t>
  </si>
  <si>
    <t>MUNICIPAL LUIZ JOSE SGUARIO</t>
  </si>
  <si>
    <t>ROSÁRIO</t>
  </si>
  <si>
    <t>(055) 153521-9550</t>
  </si>
  <si>
    <t>18419899</t>
  </si>
  <si>
    <t>372082822115</t>
  </si>
  <si>
    <t>FRANCISCO ALVES NEGRAO</t>
  </si>
  <si>
    <t>RIBEIRAO FUNDO</t>
  </si>
  <si>
    <t>2835</t>
  </si>
  <si>
    <t>(015) 3278-8800</t>
  </si>
  <si>
    <t>POUSO ALTO AGRICOLA S. A.</t>
  </si>
  <si>
    <t>372136230117</t>
  </si>
  <si>
    <t>FRATELLI III</t>
  </si>
  <si>
    <t>ITANGUA</t>
  </si>
  <si>
    <t>(055) 433543-1343</t>
  </si>
  <si>
    <t>FAZENDA BARREIRO</t>
  </si>
  <si>
    <t>CAMILA PIVA RIBEIRO</t>
  </si>
  <si>
    <t>37290180097</t>
  </si>
  <si>
    <t>(034) 99128-8888</t>
  </si>
  <si>
    <t>ITACEL FARMOQUIMICA LTDA</t>
  </si>
  <si>
    <t>06680035</t>
  </si>
  <si>
    <t>373172579117</t>
  </si>
  <si>
    <t>ITAPEVI</t>
  </si>
  <si>
    <t>RUA DR JOSE ALEXANDRE CROSGNAC</t>
  </si>
  <si>
    <t>VILA SANTA FLORA</t>
  </si>
  <si>
    <t>645</t>
  </si>
  <si>
    <t>(011) 4144-9400</t>
  </si>
  <si>
    <t>REQUINTE</t>
  </si>
  <si>
    <t>13973532</t>
  </si>
  <si>
    <t>REQUINTE VENTILACAO LTDA - EPP</t>
  </si>
  <si>
    <t>374137049118</t>
  </si>
  <si>
    <t>ITAPIRA</t>
  </si>
  <si>
    <t>ANESIO BAZANI</t>
  </si>
  <si>
    <t>PQ PROGRESSO</t>
  </si>
  <si>
    <t>210</t>
  </si>
  <si>
    <t>(019) 3813-1649</t>
  </si>
  <si>
    <t>FOX BOMBAS</t>
  </si>
  <si>
    <t>14900000</t>
  </si>
  <si>
    <t>FOX INDUSTRIA DE BOMBAS LTDA</t>
  </si>
  <si>
    <t>375.161.398.116</t>
  </si>
  <si>
    <t>ITAPOLIS</t>
  </si>
  <si>
    <t>(055) 513589-6867</t>
  </si>
  <si>
    <t>DEL NERO COM. E RECUP. DE EMBALAGENS LTD</t>
  </si>
  <si>
    <t>08586250</t>
  </si>
  <si>
    <t>379159919116</t>
  </si>
  <si>
    <t>ITAQUAQUECETUBA</t>
  </si>
  <si>
    <t>DO CÓRREGO</t>
  </si>
  <si>
    <t>POLIFLUOR IND. E COM. DE PLASTICOS LTDA</t>
  </si>
  <si>
    <t>13252800</t>
  </si>
  <si>
    <t>382071327114</t>
  </si>
  <si>
    <t>ITATIBA</t>
  </si>
  <si>
    <t>DITOS DA MOENDA</t>
  </si>
  <si>
    <t>GRABE BOMBAS EQUIPAMENTOS INDUSTRIAIS</t>
  </si>
  <si>
    <t>13255100</t>
  </si>
  <si>
    <t>GRABE BOMBAS E EQUIPAMENTOS INDUSTRIAIS</t>
  </si>
  <si>
    <t>382087561117</t>
  </si>
  <si>
    <t>SITIO PAI NICO</t>
  </si>
  <si>
    <t>EDUARDO GOULART ALVES</t>
  </si>
  <si>
    <t>38458470004</t>
  </si>
  <si>
    <t>MUNICIPAL EDUARDO GOULART ALVES</t>
  </si>
  <si>
    <t>(035) 99948-8916</t>
  </si>
  <si>
    <t>MIX MAGAZINE</t>
  </si>
  <si>
    <t>13306300</t>
  </si>
  <si>
    <t>TF DISTRIBUIDORA DE FERRAGENS E UTILIDAD</t>
  </si>
  <si>
    <t>387282576110</t>
  </si>
  <si>
    <t>ITU</t>
  </si>
  <si>
    <t>LAROY S. STARRETT</t>
  </si>
  <si>
    <t>VILA HATHENA</t>
  </si>
  <si>
    <t>831</t>
  </si>
  <si>
    <t>(055) 114025-9465</t>
  </si>
  <si>
    <t>A AZEVEDO IND COM DE OLEOS LTDA</t>
  </si>
  <si>
    <t>13299484</t>
  </si>
  <si>
    <t>388010905115</t>
  </si>
  <si>
    <t>ITUPEVA</t>
  </si>
  <si>
    <t>ESTRADA MUNICIPAL BENTO PEREIRA DE TOLEDO</t>
  </si>
  <si>
    <t>DA MINA</t>
  </si>
  <si>
    <t>2043</t>
  </si>
  <si>
    <t>SITIO NOSSA SENHORA DO CARMO</t>
  </si>
  <si>
    <t>LUIZ ANTONIO DELEFRATE LOPES</t>
  </si>
  <si>
    <t>389.087.682.119</t>
  </si>
  <si>
    <t>VICINAL ELIPHIO PERES QUIREZA KM 12,0 A ESQ A 300 MTS</t>
  </si>
  <si>
    <t>(016) 3839-2900</t>
  </si>
  <si>
    <t>GRANORTE</t>
  </si>
  <si>
    <t>GRANORTE FERTILIZANTES LTDA</t>
  </si>
  <si>
    <t>389084726112</t>
  </si>
  <si>
    <t>MARGINAL SALTO BRILHANTE</t>
  </si>
  <si>
    <t>ÁREA INDUSTRIAL</t>
  </si>
  <si>
    <t>(016) 3829-9500</t>
  </si>
  <si>
    <t>IRIA APARECIDA CABRAL</t>
  </si>
  <si>
    <t>38411638</t>
  </si>
  <si>
    <t>IRIA APARECIDA CABRAL 05587104680</t>
  </si>
  <si>
    <t>38917060013</t>
  </si>
  <si>
    <t>AGATA</t>
  </si>
  <si>
    <t>(055) 349670-7457</t>
  </si>
  <si>
    <t>COOPERATIVA AGRARIA DE MACHADO LIMITADA</t>
  </si>
  <si>
    <t>3900787100175</t>
  </si>
  <si>
    <t>R FRANCISCO DE CARVALHO DIAS</t>
  </si>
  <si>
    <t>233</t>
  </si>
  <si>
    <t>COOPAMA - TURVOLANDIA</t>
  </si>
  <si>
    <t>37496000</t>
  </si>
  <si>
    <t>3900787100825</t>
  </si>
  <si>
    <t>TURVOLANDIA</t>
  </si>
  <si>
    <t>PRACA DOM OTAVIO</t>
  </si>
  <si>
    <t>COOPAMA - POÇO FUNDO</t>
  </si>
  <si>
    <t>3900787101244</t>
  </si>
  <si>
    <t>AVENIDA JOSE EVILASIO ASSI</t>
  </si>
  <si>
    <t>NOVA GIMIRIM</t>
  </si>
  <si>
    <t>458</t>
  </si>
  <si>
    <t>COOPAMA - MACHADO INDUSTRIAL</t>
  </si>
  <si>
    <t>COOPAMA - MACHANDO CENTRO</t>
  </si>
  <si>
    <t>3900787101996</t>
  </si>
  <si>
    <t>3900787102151</t>
  </si>
  <si>
    <t>AV FILHAS DE SANTANA</t>
  </si>
  <si>
    <t>3053</t>
  </si>
  <si>
    <t>(035) 3295-0103</t>
  </si>
  <si>
    <t>COOPAMA - POUSO ALEGRE</t>
  </si>
  <si>
    <t>37554182</t>
  </si>
  <si>
    <t>3900787102496</t>
  </si>
  <si>
    <t>RUA ANTONIO LEMES DA SILVA</t>
  </si>
  <si>
    <t>BAIRRO DE FATIMA</t>
  </si>
  <si>
    <t>1186</t>
  </si>
  <si>
    <t>37706055</t>
  </si>
  <si>
    <t>COOPAMA - POCOS DE CALDAS</t>
  </si>
  <si>
    <t>3900787102569</t>
  </si>
  <si>
    <t>AV PRESIDENTE WENCESLAU BRAZ</t>
  </si>
  <si>
    <t>ESTANCIA POCOS DE CALDA</t>
  </si>
  <si>
    <t>3400</t>
  </si>
  <si>
    <t>PANIFICADORA E CONFEITARIA BIBA LTDA</t>
  </si>
  <si>
    <t>3900807230087</t>
  </si>
  <si>
    <t>GETULIO VARGAS</t>
  </si>
  <si>
    <t>FUNEP</t>
  </si>
  <si>
    <t>14884100</t>
  </si>
  <si>
    <t>FUNEP - FUND. APOIO A PESQ. ENSINO E EXT</t>
  </si>
  <si>
    <t>391021737117</t>
  </si>
  <si>
    <t>JABOTICABAL</t>
  </si>
  <si>
    <t>VIA DE ACESSO PROF PAULO DONATO CASTELLANE</t>
  </si>
  <si>
    <t>(011) 3209-1300</t>
  </si>
  <si>
    <t>SANTA CLARA AGROCIENCIA S.A.</t>
  </si>
  <si>
    <t>14876270</t>
  </si>
  <si>
    <t>391111968116</t>
  </si>
  <si>
    <t>ANTONIO GUERREIRO</t>
  </si>
  <si>
    <t>(055) 163637-1036</t>
  </si>
  <si>
    <t>HOLDING LOGISTICA E TRANSPORTE</t>
  </si>
  <si>
    <t>14876229</t>
  </si>
  <si>
    <t>HOLDING LOGISTICA E AGENCIADORA LTDA</t>
  </si>
  <si>
    <t>391178120113</t>
  </si>
  <si>
    <t>ANTONIO RETTONDIM</t>
  </si>
  <si>
    <t>RESIDENCIAL JABOTICABAL</t>
  </si>
  <si>
    <t>(055) 649249-9361</t>
  </si>
  <si>
    <t>CLARIANT BRASIL LTDA.</t>
  </si>
  <si>
    <t>12321500</t>
  </si>
  <si>
    <t>392132505116</t>
  </si>
  <si>
    <t>JACAREI</t>
  </si>
  <si>
    <t>JARDIM EMILIA</t>
  </si>
  <si>
    <t>802</t>
  </si>
  <si>
    <t>(055) 115683-7918</t>
  </si>
  <si>
    <t>PRODUQUÍMICA - JACAREÍ</t>
  </si>
  <si>
    <t>12332000</t>
  </si>
  <si>
    <t>PRODUQUÍMICA INDÚSTRIA E COMÉRCIO S/A</t>
  </si>
  <si>
    <t>392231318112</t>
  </si>
  <si>
    <t>PARATEÍ</t>
  </si>
  <si>
    <t>4691</t>
  </si>
  <si>
    <t>(012) 3956-5005</t>
  </si>
  <si>
    <t>3940395570323</t>
  </si>
  <si>
    <t>RODOVIA BR 262</t>
  </si>
  <si>
    <t>PONTE DA ALDEIA</t>
  </si>
  <si>
    <t>(055) 333339-1600</t>
  </si>
  <si>
    <t>38910000</t>
  </si>
  <si>
    <t>3940395570994</t>
  </si>
  <si>
    <t>IGUATAMA</t>
  </si>
  <si>
    <t>ELOY CARLOS HERINGER</t>
  </si>
  <si>
    <t>ENGENHEIRO ADELMAR</t>
  </si>
  <si>
    <t>(037) 3353-9200</t>
  </si>
  <si>
    <t>36918000</t>
  </si>
  <si>
    <t>HERINGER - SÃO JOÃO DO MANHUAÇU</t>
  </si>
  <si>
    <t>3940395571079</t>
  </si>
  <si>
    <t>SAO JOAO DO MANHUACU</t>
  </si>
  <si>
    <t>BR 116 KM 613</t>
  </si>
  <si>
    <t>PERÍMETRO URBANO</t>
  </si>
  <si>
    <t>(033) 3377-1158</t>
  </si>
  <si>
    <t>38706706</t>
  </si>
  <si>
    <t>HERINGER - PATOS DE MINAS</t>
  </si>
  <si>
    <t>3940395571150</t>
  </si>
  <si>
    <t>RODRIGO CASTILHO DE AVELLAR</t>
  </si>
  <si>
    <t>(034) 3823-0060</t>
  </si>
  <si>
    <t>REGIONAL PLAZA HOTEL &amp; EVENTOS</t>
  </si>
  <si>
    <t>15708000</t>
  </si>
  <si>
    <t>REGIONAL PLAZA HOTEL E EVENTOS LTDA</t>
  </si>
  <si>
    <t>396094166110</t>
  </si>
  <si>
    <t>MARGINAL AUREO FERNANDES DE FARIA, Nº 1281</t>
  </si>
  <si>
    <t>PARQUE INDUSTRIAL II</t>
  </si>
  <si>
    <t>2091</t>
  </si>
  <si>
    <t>(055) 173632-5003</t>
  </si>
  <si>
    <t>396170545117</t>
  </si>
  <si>
    <t>1265</t>
  </si>
  <si>
    <t>39681030</t>
  </si>
  <si>
    <t>POLO INDUSTRIAL DE CAMACARI</t>
  </si>
  <si>
    <t>1428</t>
  </si>
  <si>
    <t>VILLAGE PLAZA</t>
  </si>
  <si>
    <t>36205426</t>
  </si>
  <si>
    <t>VILLAGE PLAZA HOTEL LTDA</t>
  </si>
  <si>
    <t>39701414</t>
  </si>
  <si>
    <t>CAICARAS</t>
  </si>
  <si>
    <t>(055) 323332-7271</t>
  </si>
  <si>
    <t>EIRICH INDUSTRIAL LTDA</t>
  </si>
  <si>
    <t>06612250</t>
  </si>
  <si>
    <t>398009351112</t>
  </si>
  <si>
    <t>JANDIRA</t>
  </si>
  <si>
    <t>ESTRADA VELHA DE ITU</t>
  </si>
  <si>
    <t>(011) 4619-8900</t>
  </si>
  <si>
    <t>AGRARIA INDUSTRIA E COMERCIO LTDA</t>
  </si>
  <si>
    <t>14680000</t>
  </si>
  <si>
    <t>399006843112</t>
  </si>
  <si>
    <t>JARDINOPOLIS</t>
  </si>
  <si>
    <t>DR ARTHUR COSTACURTA</t>
  </si>
  <si>
    <t>(055) 163690-2200</t>
  </si>
  <si>
    <t>AGRARIA IND E COM LTDA EM RECUP JUDICIAL</t>
  </si>
  <si>
    <t>399021470116</t>
  </si>
  <si>
    <t>DOMICIANO LEITE DE ASSIS</t>
  </si>
  <si>
    <t>DIST. IND ADIB RASSI</t>
  </si>
  <si>
    <t>(016) 3690-2200</t>
  </si>
  <si>
    <t>EUROPLANT - JARDINOPOLIS</t>
  </si>
  <si>
    <t>EUROPLANT NOVAAG BIOTECNOLOGIA INDUSTRIA</t>
  </si>
  <si>
    <t>399049710110</t>
  </si>
  <si>
    <t>ADELAIDE ZANGRANDE</t>
  </si>
  <si>
    <t>(055) 1699380-9380</t>
  </si>
  <si>
    <t>AGROBIOTECH</t>
  </si>
  <si>
    <t>AGROBIOTECH AGRONEGOCIO LTDA</t>
  </si>
  <si>
    <t>399053275118</t>
  </si>
  <si>
    <t>DIST.IND.ADIB RASSI</t>
  </si>
  <si>
    <t>(016) 3132-2000</t>
  </si>
  <si>
    <t>A&amp;A AGRONEGOCIOS</t>
  </si>
  <si>
    <t>36390000</t>
  </si>
  <si>
    <t>A &amp; A AGRONEGOCIOS LTDA</t>
  </si>
  <si>
    <t>39933020064</t>
  </si>
  <si>
    <t>ITUTINGA</t>
  </si>
  <si>
    <t>MG 451</t>
  </si>
  <si>
    <t>(055) 359885-9007</t>
  </si>
  <si>
    <t>DOTKON - CLOUD &amp; SOFTWARE SERVICES</t>
  </si>
  <si>
    <t>74810100</t>
  </si>
  <si>
    <t>DOTKON TECNOLOGIA LTDA</t>
  </si>
  <si>
    <t>4.361.611</t>
  </si>
  <si>
    <t>DEPUTADO JAMEL CECILIO</t>
  </si>
  <si>
    <t>3455</t>
  </si>
  <si>
    <t>(055) 628250-8986</t>
  </si>
  <si>
    <t>SIBELCO BRASIL</t>
  </si>
  <si>
    <t>13240000</t>
  </si>
  <si>
    <t>TANSAN INDUSTRIA QUIMICA LTDA</t>
  </si>
  <si>
    <t>400020760116</t>
  </si>
  <si>
    <t>JARINU</t>
  </si>
  <si>
    <t>MUNICIPAL ALCIDES TOFANIN</t>
  </si>
  <si>
    <t>CAMPOS DOS ALEIXOS</t>
  </si>
  <si>
    <t>KM1.1</t>
  </si>
  <si>
    <t>(055) 114196-5493</t>
  </si>
  <si>
    <t>LABFOUR SERVICE</t>
  </si>
  <si>
    <t>LABFOUR SERVICE EQUIPAMENTOS P/ INSTR.</t>
  </si>
  <si>
    <t>400023964110</t>
  </si>
  <si>
    <t>JOSE RAMOS GUIMARAES</t>
  </si>
  <si>
    <t>VILA INDUSTRIAL</t>
  </si>
  <si>
    <t>279</t>
  </si>
  <si>
    <t>(055) 114411-2263</t>
  </si>
  <si>
    <t>LABFOUR SERVICE LTDA - ME</t>
  </si>
  <si>
    <t>12940260</t>
  </si>
  <si>
    <t>JARDIM BROGOTA</t>
  </si>
  <si>
    <t>1865</t>
  </si>
  <si>
    <t>(011) 4411-2263</t>
  </si>
  <si>
    <t>EXTRALAB BRASIL - COM E MANUT. DE EQUIPA</t>
  </si>
  <si>
    <t>400067934111</t>
  </si>
  <si>
    <t>(011) 4061-1565</t>
  </si>
  <si>
    <t>ANTONIO APARECIDO PIVA</t>
  </si>
  <si>
    <t>17201970</t>
  </si>
  <si>
    <t>401.180.716.116</t>
  </si>
  <si>
    <t>AREIA BRANCA</t>
  </si>
  <si>
    <t>(014) 98114-3863</t>
  </si>
  <si>
    <t>BAUER &amp; SANZOVO LTDA.</t>
  </si>
  <si>
    <t>17204212</t>
  </si>
  <si>
    <t>401144116110</t>
  </si>
  <si>
    <t>DEPUTADO ZIEN NASSIF</t>
  </si>
  <si>
    <t>1A ZONA INDUSTRIAL</t>
  </si>
  <si>
    <t>(055) 143416-4755</t>
  </si>
  <si>
    <t>17204210</t>
  </si>
  <si>
    <t>401366615117</t>
  </si>
  <si>
    <t>ROQUE JOAO TUMOLO</t>
  </si>
  <si>
    <t>JOHNNY DOS SANTOS BARRETO</t>
  </si>
  <si>
    <t>40201788</t>
  </si>
  <si>
    <t>LUZIA NEVES FLECK</t>
  </si>
  <si>
    <t>SHOPING PARK</t>
  </si>
  <si>
    <t>(034) 99235-2872</t>
  </si>
  <si>
    <t>CIMELIO BAYER</t>
  </si>
  <si>
    <t>91540000</t>
  </si>
  <si>
    <t>4025738917</t>
  </si>
  <si>
    <t>AV BENTO GONÇALVES</t>
  </si>
  <si>
    <t>AGRONOMIA</t>
  </si>
  <si>
    <t>7712</t>
  </si>
  <si>
    <t>BARON LOGISTICA LTDA</t>
  </si>
  <si>
    <t>12980000</t>
  </si>
  <si>
    <t>403.029.546.112</t>
  </si>
  <si>
    <t>JOANOPOLIS</t>
  </si>
  <si>
    <t>BAIRRO DA SAUDADE</t>
  </si>
  <si>
    <t>SALTO DOS PRETOS</t>
  </si>
  <si>
    <t>(055) 114117-1947</t>
  </si>
  <si>
    <t>CAF FERTILIZANTES LTDA</t>
  </si>
  <si>
    <t>36820000</t>
  </si>
  <si>
    <t>40545900018</t>
  </si>
  <si>
    <t>DIVINÓPOLIS</t>
  </si>
  <si>
    <t>SANTIAGO OU NEBLINA, BR116 ROD SANTOS DUMONT RIO-BAHIA KM631</t>
  </si>
  <si>
    <t>(055) 333563-2689</t>
  </si>
  <si>
    <t>LUCAS BRUNELLI MAMPRIM</t>
  </si>
  <si>
    <t>13213270</t>
  </si>
  <si>
    <t>407.864.272.114</t>
  </si>
  <si>
    <t>COMENDADOR ANTONIO CARBONARI</t>
  </si>
  <si>
    <t>TRAVIU</t>
  </si>
  <si>
    <t>2384</t>
  </si>
  <si>
    <t>(055) 1195577-4841</t>
  </si>
  <si>
    <t>OERLIKON BALZERS REV METALICOS LTDA</t>
  </si>
  <si>
    <t>13213084</t>
  </si>
  <si>
    <t>407228074118</t>
  </si>
  <si>
    <t>BALZERS</t>
  </si>
  <si>
    <t>(011) 2152-0044</t>
  </si>
  <si>
    <t>13213085</t>
  </si>
  <si>
    <t>407374762113</t>
  </si>
  <si>
    <t>JOSE BENASSI</t>
  </si>
  <si>
    <t>675</t>
  </si>
  <si>
    <t>(011) 4525-2664</t>
  </si>
  <si>
    <t>13213070</t>
  </si>
  <si>
    <t>ADUFERTIL FERTILIZANTES LTDA</t>
  </si>
  <si>
    <t>407401398115</t>
  </si>
  <si>
    <t>BETA</t>
  </si>
  <si>
    <t>(011) 3379-5000</t>
  </si>
  <si>
    <t>ADUFERTIL JUNDIAI - MÚTUO</t>
  </si>
  <si>
    <t>ADUFÉRTIL FERTILIZANTES LTDA</t>
  </si>
  <si>
    <t>KEBOS JN TREINAMENTOS EM SEGURANCA DO TR</t>
  </si>
  <si>
    <t>13203000</t>
  </si>
  <si>
    <t>407657090110</t>
  </si>
  <si>
    <t>VÁRZEA PAULISTA</t>
  </si>
  <si>
    <t>VILA DIDI</t>
  </si>
  <si>
    <t>873</t>
  </si>
  <si>
    <t>(011) 98182-4004</t>
  </si>
  <si>
    <t>VITERRA - UNIDADE RIO VERMELHO</t>
  </si>
  <si>
    <t>17890000</t>
  </si>
  <si>
    <t>VITERRA BIOENERGIA S.A.</t>
  </si>
  <si>
    <t>408074470119</t>
  </si>
  <si>
    <t>JUNQUEIROPOLIS</t>
  </si>
  <si>
    <t>JUNQUEIROPOLIS SALGADO FILHO</t>
  </si>
  <si>
    <t>TAQUARUSSU</t>
  </si>
  <si>
    <t>(055) 183841-9900</t>
  </si>
  <si>
    <t>4084302902298</t>
  </si>
  <si>
    <t>ROBSON DIEGO DE MORAES</t>
  </si>
  <si>
    <t>4089548641</t>
  </si>
  <si>
    <t>IMBE</t>
  </si>
  <si>
    <t>IVOTÍ</t>
  </si>
  <si>
    <t>(051) 8221-2097</t>
  </si>
  <si>
    <t>11800000</t>
  </si>
  <si>
    <t>409036891116</t>
  </si>
  <si>
    <t>RODHIA</t>
  </si>
  <si>
    <t>CERRADO'S AGRONEGOCIOS LTDA</t>
  </si>
  <si>
    <t>40922200092</t>
  </si>
  <si>
    <t>OLEGARIO MACIEL</t>
  </si>
  <si>
    <t>BATUQUE</t>
  </si>
  <si>
    <t>619</t>
  </si>
  <si>
    <t>(055) 343810-1193</t>
  </si>
  <si>
    <t>COOPAVEL - CASCAVEL</t>
  </si>
  <si>
    <t>85801000</t>
  </si>
  <si>
    <t>COOPAVEL COOPERATIVA AGROINDUSTRIAL</t>
  </si>
  <si>
    <t>4101192003</t>
  </si>
  <si>
    <t>CASCAVEL</t>
  </si>
  <si>
    <t>BR 277</t>
  </si>
  <si>
    <t>(045) 3218-5000</t>
  </si>
  <si>
    <t>ADUBOS VANGUARD</t>
  </si>
  <si>
    <t>35720000</t>
  </si>
  <si>
    <t>MACRO E MICRO COMERCIO DE ADUBOS LTDA</t>
  </si>
  <si>
    <t>4119647570020</t>
  </si>
  <si>
    <t>ARGEMIRO CARDOSO</t>
  </si>
  <si>
    <t>(031) 3712-1576</t>
  </si>
  <si>
    <t>LIMERPAK IND E COM DE MAQUINAS EIRELI</t>
  </si>
  <si>
    <t>13481149</t>
  </si>
  <si>
    <t>417230044112</t>
  </si>
  <si>
    <t>LIMEIRA</t>
  </si>
  <si>
    <t>VIA PREFEITO JURANDYR PAIXAO DE CAMPOS</t>
  </si>
  <si>
    <t>TATU</t>
  </si>
  <si>
    <t>2400</t>
  </si>
  <si>
    <t>13486199</t>
  </si>
  <si>
    <t>SUZANO PAPEL E CELULOSE S.A.</t>
  </si>
  <si>
    <t>417265770113</t>
  </si>
  <si>
    <t>ESTRADA DO LAGEADO</t>
  </si>
  <si>
    <t>LAGEADO</t>
  </si>
  <si>
    <t>(019) 2108-3729</t>
  </si>
  <si>
    <t>CARLTON SUITES LIMEIRA</t>
  </si>
  <si>
    <t>13484247</t>
  </si>
  <si>
    <t>HOTEL NOVO LIMEIRA LTDA</t>
  </si>
  <si>
    <t>417468050111</t>
  </si>
  <si>
    <t>LA LOI</t>
  </si>
  <si>
    <t>JARDIM RESIDENCIAL FRANCISCO CRUANES</t>
  </si>
  <si>
    <t>601</t>
  </si>
  <si>
    <t>(055) 192113-8989</t>
  </si>
  <si>
    <t>DIMENSIONAL CENTELHA SOLUCOES LTDA</t>
  </si>
  <si>
    <t>13481316</t>
  </si>
  <si>
    <t>417582321112</t>
  </si>
  <si>
    <t>AV ARMANDO RAGONHA</t>
  </si>
  <si>
    <t>VILLAGE LIMEIRA</t>
  </si>
  <si>
    <t>(021) 2195-9200</t>
  </si>
  <si>
    <t>ER2 E-COMMERCE LTDA</t>
  </si>
  <si>
    <t>13483785</t>
  </si>
  <si>
    <t>417660085119</t>
  </si>
  <si>
    <t>ODETTI GUIDA PFISTER</t>
  </si>
  <si>
    <t>RESIDENCIAL COLINAS DO ENGENHO I</t>
  </si>
  <si>
    <t>846</t>
  </si>
  <si>
    <t>FERTIFLORA IND. COM. E REPRES. LTDA</t>
  </si>
  <si>
    <t>85906310</t>
  </si>
  <si>
    <t>4180376360</t>
  </si>
  <si>
    <t>TOLEDO</t>
  </si>
  <si>
    <t>PR 317</t>
  </si>
  <si>
    <t>EST.TOLEDO OURO VERD</t>
  </si>
  <si>
    <t>16400972</t>
  </si>
  <si>
    <t>419060396112</t>
  </si>
  <si>
    <t>LINS</t>
  </si>
  <si>
    <t>RODOVIA FEDERAL BR 153 KM 53</t>
  </si>
  <si>
    <t>JAMPA FITNESS</t>
  </si>
  <si>
    <t>38401016</t>
  </si>
  <si>
    <t>RTN COMERCIO E FITNESS LTDA</t>
  </si>
  <si>
    <t>41965340083</t>
  </si>
  <si>
    <t>JOÃO BERNARDES DE SOUZA</t>
  </si>
  <si>
    <t>(055) 343225-3007</t>
  </si>
  <si>
    <t>COMERCIAL RADIANTE</t>
  </si>
  <si>
    <t>12608570</t>
  </si>
  <si>
    <t>J V DE JESUS</t>
  </si>
  <si>
    <t>420077191115</t>
  </si>
  <si>
    <t>CORONEL MARCIANO</t>
  </si>
  <si>
    <t>566</t>
  </si>
  <si>
    <t>(055) 123301-2228</t>
  </si>
  <si>
    <t>TECNNOWATTS</t>
  </si>
  <si>
    <t>38402194</t>
  </si>
  <si>
    <t>TECNNO-WATTS COM MONT E MANUT ELETRICA L</t>
  </si>
  <si>
    <t>42381980024</t>
  </si>
  <si>
    <t>DO PAIOL</t>
  </si>
  <si>
    <t>1290</t>
  </si>
  <si>
    <t>(055) 349265-6892</t>
  </si>
  <si>
    <t>PORTO FAZENDA HOTEL</t>
  </si>
  <si>
    <t>PORTO FAZENDA HOTEL LTDA</t>
  </si>
  <si>
    <t>42523650088</t>
  </si>
  <si>
    <t>BR 491 ATUAL RODOVIA DOMINGOS RIBEIRO RESENDE</t>
  </si>
  <si>
    <t>KM 158</t>
  </si>
  <si>
    <t>(055) 353291-1601</t>
  </si>
  <si>
    <t>45.285.385 EVAIR FRANCINATO DE AZEVEDO</t>
  </si>
  <si>
    <t>38401426</t>
  </si>
  <si>
    <t>42695870086</t>
  </si>
  <si>
    <t>DOUTOR BEZERRA DE MENEZES</t>
  </si>
  <si>
    <t>(055) 349950-8006</t>
  </si>
  <si>
    <t>IBEMA COMPANHIA BRASILEIRA DE PAPEL</t>
  </si>
  <si>
    <t>85150000</t>
  </si>
  <si>
    <t>43000085-30</t>
  </si>
  <si>
    <t>TURVO</t>
  </si>
  <si>
    <t>FAXINAL DA BOA VISTA</t>
  </si>
  <si>
    <t>(055) 423642-8101</t>
  </si>
  <si>
    <t>17507200</t>
  </si>
  <si>
    <t>438.113.960.115</t>
  </si>
  <si>
    <t>MARILIA</t>
  </si>
  <si>
    <t>MANOEL MULLER</t>
  </si>
  <si>
    <t>JD. SANTA TEREZA</t>
  </si>
  <si>
    <t>(001) 40422-3766</t>
  </si>
  <si>
    <t>17521450</t>
  </si>
  <si>
    <t>438.196.528.111</t>
  </si>
  <si>
    <t>JOQUEI CLUBE</t>
  </si>
  <si>
    <t>1284</t>
  </si>
  <si>
    <t>(055) 143401-1350</t>
  </si>
  <si>
    <t>COMPUTERTEC INFO</t>
  </si>
  <si>
    <t>38440062</t>
  </si>
  <si>
    <t>MARCELO DE CASTRO VILELA</t>
  </si>
  <si>
    <t>4393554990144</t>
  </si>
  <si>
    <t>CORONEL TEODOLINO PEREIRA ARAUJO</t>
  </si>
  <si>
    <t>253</t>
  </si>
  <si>
    <t>(055) 343242-2551</t>
  </si>
  <si>
    <t>TRANS BRASIL TRANSPORTE RODOVIÁRIO LTDA</t>
  </si>
  <si>
    <t>44147880061</t>
  </si>
  <si>
    <t>LAMBARI</t>
  </si>
  <si>
    <t>(035) 99964-0081</t>
  </si>
  <si>
    <t>PRODUQUÍMICA - MAUÁ</t>
  </si>
  <si>
    <t>09380906</t>
  </si>
  <si>
    <t>442176918111</t>
  </si>
  <si>
    <t>MAUA</t>
  </si>
  <si>
    <t>ALBERTO SOARES SAMPAIO</t>
  </si>
  <si>
    <t>CAPUAVA</t>
  </si>
  <si>
    <t>2544</t>
  </si>
  <si>
    <t>ICL AMERICA DO SUL S.A. - MAUÁ</t>
  </si>
  <si>
    <t>ICL AMERICA DO SUL S.A.</t>
  </si>
  <si>
    <t>(055) 112177-2400</t>
  </si>
  <si>
    <t>LEDANI</t>
  </si>
  <si>
    <t>09371450</t>
  </si>
  <si>
    <t>A.R.R. TRANSPORTES LTDA</t>
  </si>
  <si>
    <t>442453559112</t>
  </si>
  <si>
    <t>CAPITAO JOSE ANTONIO LAGAREIRO</t>
  </si>
  <si>
    <t>PARQUE SAO VICENTE</t>
  </si>
  <si>
    <t>754</t>
  </si>
  <si>
    <t>(055) 114555-4152</t>
  </si>
  <si>
    <t>ESTANCIA PEROLA DO VALE KM 28</t>
  </si>
  <si>
    <t>OLIVO GHENO</t>
  </si>
  <si>
    <t>4451431</t>
  </si>
  <si>
    <t>BR 429 KM 28</t>
  </si>
  <si>
    <t>CAMILLA RODRIGUES SOL 07983989652</t>
  </si>
  <si>
    <t>38408290</t>
  </si>
  <si>
    <t>44514540099</t>
  </si>
  <si>
    <t>ANA GODOY DE SOUSA</t>
  </si>
  <si>
    <t>709</t>
  </si>
  <si>
    <t>(055) 349202-1249</t>
  </si>
  <si>
    <t>CELSO APARECIDO ALVES DA SILVA</t>
  </si>
  <si>
    <t>38400352</t>
  </si>
  <si>
    <t>44857050048</t>
  </si>
  <si>
    <t>ARLINDO TEIXEIRA</t>
  </si>
  <si>
    <t>(055) 349777-4678</t>
  </si>
  <si>
    <t>LC SERVICOS</t>
  </si>
  <si>
    <t>38425272</t>
  </si>
  <si>
    <t>ADRIELLY ALMEIDA ARAUJO SANTOS</t>
  </si>
  <si>
    <t>44957240035</t>
  </si>
  <si>
    <t>RUA MARIA ALVES SEVERINO</t>
  </si>
  <si>
    <t>FAZENDA ESTILO II</t>
  </si>
  <si>
    <t>OSMAR PEDRON</t>
  </si>
  <si>
    <t>45.751.140.001</t>
  </si>
  <si>
    <t>VELLAS TRANSPORTES</t>
  </si>
  <si>
    <t>15138582</t>
  </si>
  <si>
    <t>VELLAS TRANSPORTES LTDA</t>
  </si>
  <si>
    <t>451.172.656.113</t>
  </si>
  <si>
    <t>MIRASSOL</t>
  </si>
  <si>
    <t>SAMUEL PEREIRA VALDOSKI</t>
  </si>
  <si>
    <t>RESIDENCIAL PARQUE DAS FLORES</t>
  </si>
  <si>
    <t>(055) 174040-4761</t>
  </si>
  <si>
    <t>49.031.639 LARISSA APARECIDA S. MARTIN</t>
  </si>
  <si>
    <t>38425565</t>
  </si>
  <si>
    <t>49.031.639 LARISSA APARECIDA S. MARTINS</t>
  </si>
  <si>
    <t>45130650093</t>
  </si>
  <si>
    <t>JOSE ABDULMASSIH</t>
  </si>
  <si>
    <t>(055) 349988-9802</t>
  </si>
  <si>
    <t>PAULO CESAR DE ALMEIDA JUNIOR</t>
  </si>
  <si>
    <t>45305260175</t>
  </si>
  <si>
    <t>(016) 99968-2668</t>
  </si>
  <si>
    <t>DIATOM MINERACAO LTDA</t>
  </si>
  <si>
    <t>08772010</t>
  </si>
  <si>
    <t>454048681114</t>
  </si>
  <si>
    <t>MOGI DAS CRUZES</t>
  </si>
  <si>
    <t>DO TABOAO DO PARATEI</t>
  </si>
  <si>
    <t>DO TABOAO</t>
  </si>
  <si>
    <t>2511</t>
  </si>
  <si>
    <t>(055) 113799-5201</t>
  </si>
  <si>
    <t>CITOL</t>
  </si>
  <si>
    <t>13849106</t>
  </si>
  <si>
    <t>CITOL IND. DE TRATAMENTO DE OLEO S.A.</t>
  </si>
  <si>
    <t>455124424114</t>
  </si>
  <si>
    <t>MOGI-GUACU</t>
  </si>
  <si>
    <t>VICTOR ACIERINI</t>
  </si>
  <si>
    <t>PARQUE INDUSTRIAL GETULIO VARGAS II</t>
  </si>
  <si>
    <t>(055) 193806-4535</t>
  </si>
  <si>
    <t>JOAO DE ANDRADE NOGUEIRA NETO</t>
  </si>
  <si>
    <t>13840970</t>
  </si>
  <si>
    <t>455221926118</t>
  </si>
  <si>
    <t>MOGI GUACU</t>
  </si>
  <si>
    <t>ESTRADA MUNICIPAL AGUAI MOGI GUACU</t>
  </si>
  <si>
    <t>MATO SECO</t>
  </si>
  <si>
    <t>ANDERSON SILVA DE SOUZA</t>
  </si>
  <si>
    <t>97500008</t>
  </si>
  <si>
    <t>45537001</t>
  </si>
  <si>
    <t>(015) 98112-7022</t>
  </si>
  <si>
    <t>13849210</t>
  </si>
  <si>
    <t>UPPER DOG COMERCIAL - MOGI-GUACU</t>
  </si>
  <si>
    <t>UPPER DOG COMERCIAL LTDA</t>
  </si>
  <si>
    <t>455403350111</t>
  </si>
  <si>
    <t>A PRAZO - 3 DIAS</t>
  </si>
  <si>
    <t>ENGENHEIRO RONALDO ALGODOAL GUEDES PEREIRA</t>
  </si>
  <si>
    <t>PARQUE INDUSTRIAL MOGI GUACU</t>
  </si>
  <si>
    <t>(083) 8620-6367</t>
  </si>
  <si>
    <t>OTAVIO ALVES BORGES ROCHA</t>
  </si>
  <si>
    <t>45576330013</t>
  </si>
  <si>
    <t>SITIO NOSSA SENHORA APARECIDA</t>
  </si>
  <si>
    <t>13800970</t>
  </si>
  <si>
    <t>RONEI ACHILES GUARNIERI E OUTROS</t>
  </si>
  <si>
    <t>456.112.838.114</t>
  </si>
  <si>
    <t>MOGI MIRIM</t>
  </si>
  <si>
    <t>RURAL SOBRADINHO</t>
  </si>
  <si>
    <t>(055) 193806-4570</t>
  </si>
  <si>
    <t>LUCIMAR APARECIDA SALANI SALVADOR E OUTR</t>
  </si>
  <si>
    <t>456085361117</t>
  </si>
  <si>
    <t>RURAL BRUMADO</t>
  </si>
  <si>
    <t>(055) 199753-7541</t>
  </si>
  <si>
    <t>PORTAL HOTEL MOGI MIRIM LTDA</t>
  </si>
  <si>
    <t>13800748</t>
  </si>
  <si>
    <t>456119780117</t>
  </si>
  <si>
    <t>RUA ANTONIO ROSSI</t>
  </si>
  <si>
    <t>380</t>
  </si>
  <si>
    <t>(019) 3814-2710</t>
  </si>
  <si>
    <t>MOACIR JOAO BOVELONI</t>
  </si>
  <si>
    <t>456144048110</t>
  </si>
  <si>
    <t>13801254</t>
  </si>
  <si>
    <t>SARTI REPRES DE PROD AGRICOLAS LTDA</t>
  </si>
  <si>
    <t>456154293112</t>
  </si>
  <si>
    <t>ANTONIO JANUZZI</t>
  </si>
  <si>
    <t>VILA SANTA ELIZA</t>
  </si>
  <si>
    <t>(055) 193806-1343</t>
  </si>
  <si>
    <t>13800440</t>
  </si>
  <si>
    <t>EQUILIBRIO INSUMOS AGRICOLAS LTDA</t>
  </si>
  <si>
    <t>456194685116</t>
  </si>
  <si>
    <t>1297</t>
  </si>
  <si>
    <t>(046) 9980-4009</t>
  </si>
  <si>
    <t>13800470</t>
  </si>
  <si>
    <t>MOGIANA NEGOCIOS AGROPECUARIOS LTDA</t>
  </si>
  <si>
    <t>456208445115</t>
  </si>
  <si>
    <t>1026</t>
  </si>
  <si>
    <t>(019) 99832-0211</t>
  </si>
  <si>
    <t>ACOSUL ARMACAO DE FERRAGENS LTDA</t>
  </si>
  <si>
    <t>45789950094</t>
  </si>
  <si>
    <t>5899</t>
  </si>
  <si>
    <t>(055) 343255-1100</t>
  </si>
  <si>
    <t>IMAGINNE EVENTOS E SOLUCOES CRIATIVAS</t>
  </si>
  <si>
    <t>38400320</t>
  </si>
  <si>
    <t>27.734.671 PAMELA CLEGIANNE LEE FERREIRA</t>
  </si>
  <si>
    <t>46031480042</t>
  </si>
  <si>
    <t>MONLEVADE</t>
  </si>
  <si>
    <t>860</t>
  </si>
  <si>
    <t>(055) 348412-6072</t>
  </si>
  <si>
    <t>MACOPEMA INDÚSTRIA E COMÉRCIO LTDA</t>
  </si>
  <si>
    <t>15910000</t>
  </si>
  <si>
    <t>461013755111</t>
  </si>
  <si>
    <t>MONTE ALTO</t>
  </si>
  <si>
    <t>AV WILSON FOLADOR</t>
  </si>
  <si>
    <t>1973</t>
  </si>
  <si>
    <t>(016) 3244-0707</t>
  </si>
  <si>
    <t>JPS INDUSTRIA E COMERCIO DE EQUIPAMENTOS</t>
  </si>
  <si>
    <t>461056170118</t>
  </si>
  <si>
    <t>MANOEL FERNANDES DIAS</t>
  </si>
  <si>
    <t>DISTRITO INDUSTRIAL V</t>
  </si>
  <si>
    <t>310</t>
  </si>
  <si>
    <t>(055) 163242-8249</t>
  </si>
  <si>
    <t>FORT-CAL UNI 2 - PAINS</t>
  </si>
  <si>
    <t>FORT-CAL INDUSTRIA, COMERCIO E TRANSPORT</t>
  </si>
  <si>
    <t>4650099880057</t>
  </si>
  <si>
    <t>MG. 439</t>
  </si>
  <si>
    <t>KM5,1</t>
  </si>
  <si>
    <t>FORT-CAL - PAINS</t>
  </si>
  <si>
    <t>FORT-CAL IND COM E TRANSP LTDA</t>
  </si>
  <si>
    <t>4650099880138</t>
  </si>
  <si>
    <t>MG 439, KM 11,7</t>
  </si>
  <si>
    <t>(055) 373323-5031</t>
  </si>
  <si>
    <t>13190000</t>
  </si>
  <si>
    <t>NATURAL VERDE AGRONEGOCIOS LTDA</t>
  </si>
  <si>
    <t>465015371113</t>
  </si>
  <si>
    <t>MONTE MOR</t>
  </si>
  <si>
    <t>R SAO PAULO</t>
  </si>
  <si>
    <t>JD DO ENGENHO</t>
  </si>
  <si>
    <t>123</t>
  </si>
  <si>
    <t>(019) 3879-4299</t>
  </si>
  <si>
    <t>NEXOLEUM</t>
  </si>
  <si>
    <t>13190123</t>
  </si>
  <si>
    <t>NEXOLEUM BIODERIVADOS S.A.</t>
  </si>
  <si>
    <t>465138701115</t>
  </si>
  <si>
    <t>JORNALISTA FRANCISCO AGUIRRE PROENCA</t>
  </si>
  <si>
    <t>BAIRRO ATERRADO</t>
  </si>
  <si>
    <t>(055) 114586-8886</t>
  </si>
  <si>
    <t>GECAL INDUSTRIA E COMERCIO DE PRODUTOS M</t>
  </si>
  <si>
    <t>4654371680060</t>
  </si>
  <si>
    <t>AMARGOSO</t>
  </si>
  <si>
    <t>(055) 373323-5010</t>
  </si>
  <si>
    <t>MANUTENCAO DINIZ - RODRIGO PEREIRA DINIZ</t>
  </si>
  <si>
    <t>38401420</t>
  </si>
  <si>
    <t>RODRIGO PEREIRA DINIZ 11107963664</t>
  </si>
  <si>
    <t>46797730082</t>
  </si>
  <si>
    <t>MERCURIO</t>
  </si>
  <si>
    <t>(055) 348437-1838</t>
  </si>
  <si>
    <t>COOPERATIVA MISTA AGROP DE PARAGUAÇU</t>
  </si>
  <si>
    <t>4720612480000</t>
  </si>
  <si>
    <t>AV ORLANDO ALVES PEREIRA</t>
  </si>
  <si>
    <t>191</t>
  </si>
  <si>
    <t>(035) 3267-4600</t>
  </si>
  <si>
    <t>ALVACIR JOSE DA SILVA DINIZ - AGUADA</t>
  </si>
  <si>
    <t>36280971</t>
  </si>
  <si>
    <t>ALVACIR JOSE DA SILVA DINIZ</t>
  </si>
  <si>
    <t>47222170030</t>
  </si>
  <si>
    <t>AREA AGUADA</t>
  </si>
  <si>
    <t>VALORIZA FERTILIZANTES</t>
  </si>
  <si>
    <t>VALORIZA FERTILIZANTES EIRELI</t>
  </si>
  <si>
    <t>4802101200010</t>
  </si>
  <si>
    <t>RODOVIA COMUNITARIA NEUZA REZENDE</t>
  </si>
  <si>
    <t>(034) 3823-1457</t>
  </si>
  <si>
    <t>TERRENA AGRONEGOCIOS LTDA</t>
  </si>
  <si>
    <t>4804077580018</t>
  </si>
  <si>
    <t>1416</t>
  </si>
  <si>
    <t>(034) 3822-9400</t>
  </si>
  <si>
    <t>VALORIZA AGRONEGOCIOS</t>
  </si>
  <si>
    <t>VALORIZA AGRONEGOCIOS S.A.</t>
  </si>
  <si>
    <t>4805882140972</t>
  </si>
  <si>
    <t>COMUNITARIA NEUZA REZENDE</t>
  </si>
  <si>
    <t>(034) 3818-4000</t>
  </si>
  <si>
    <t>480982828.12-06</t>
  </si>
  <si>
    <t>PINDAIBAS</t>
  </si>
  <si>
    <t>(055) 343818-9999</t>
  </si>
  <si>
    <t>38706215</t>
  </si>
  <si>
    <t>SAGRA - PATOS DE MINAS</t>
  </si>
  <si>
    <t>4809828280056</t>
  </si>
  <si>
    <t>RESIDENCIAL GRAMADO</t>
  </si>
  <si>
    <t>2733</t>
  </si>
  <si>
    <t>38175000</t>
  </si>
  <si>
    <t>4809828281044</t>
  </si>
  <si>
    <t>ENIO GONCALVES</t>
  </si>
  <si>
    <t>(055) 343354-1897</t>
  </si>
  <si>
    <t>4809828281125</t>
  </si>
  <si>
    <t>RUA ALZIRA TORRES</t>
  </si>
  <si>
    <t>LAVA PES</t>
  </si>
  <si>
    <t>(034) 99801-8758</t>
  </si>
  <si>
    <t>NATIVA AGRONEGOCIOS &amp; REPRESENTACOES LTD</t>
  </si>
  <si>
    <t>4810814470780</t>
  </si>
  <si>
    <t>ROD MG 187</t>
  </si>
  <si>
    <t>4819828280463</t>
  </si>
  <si>
    <t>AVENIDA FARIA PEREIRA</t>
  </si>
  <si>
    <t>(034) 38222-2277</t>
  </si>
  <si>
    <t>AMBIPAR - CNPJ 01179445/0008-10</t>
  </si>
  <si>
    <t>13380001</t>
  </si>
  <si>
    <t>AMBIPAR LOGISTICS LTDA</t>
  </si>
  <si>
    <t>482.107.777.117</t>
  </si>
  <si>
    <t>NOVA ODESSA</t>
  </si>
  <si>
    <t>ANHANGUERA KM 120</t>
  </si>
  <si>
    <t>DISTRITO INDUSTRIAL IV</t>
  </si>
  <si>
    <t>(055) 193467-4800</t>
  </si>
  <si>
    <t>METROVAL</t>
  </si>
  <si>
    <t>13460000</t>
  </si>
  <si>
    <t>METROVAL CONTROLE DE FLUIDOS LTDA</t>
  </si>
  <si>
    <t>482010719111</t>
  </si>
  <si>
    <t>CHRISTIANO KILMEYERES</t>
  </si>
  <si>
    <t>PARQUE INDUSTRIAL HA</t>
  </si>
  <si>
    <t>(019) 2127-9400</t>
  </si>
  <si>
    <t>SITIO SAO JUDAS TADEU</t>
  </si>
  <si>
    <t>14960000</t>
  </si>
  <si>
    <t>WILIAM SEMENSATO E OUTROS</t>
  </si>
  <si>
    <t>483114020118</t>
  </si>
  <si>
    <t>SAO JUDAS TADEU</t>
  </si>
  <si>
    <t>(055) 173542-3280</t>
  </si>
  <si>
    <t>14968899</t>
  </si>
  <si>
    <t>FERNANDO PEREIRA FILHO</t>
  </si>
  <si>
    <t>483125500110</t>
  </si>
  <si>
    <t>FAZENDA MARIVANIA</t>
  </si>
  <si>
    <t>DARCI APARECIDA CONSENTINE CORSO</t>
  </si>
  <si>
    <t>48461560043</t>
  </si>
  <si>
    <t>MARIVANIA</t>
  </si>
  <si>
    <t>CHACARA 3</t>
  </si>
  <si>
    <t>MAYARA DA SILVA GOMES</t>
  </si>
  <si>
    <t>48945860037</t>
  </si>
  <si>
    <t>3F TRANSPORTES</t>
  </si>
  <si>
    <t>35600210</t>
  </si>
  <si>
    <t>3F TRANSPORTES LTDA</t>
  </si>
  <si>
    <t>48984420050</t>
  </si>
  <si>
    <t>JOSELITO ALVES RIBEIRO</t>
  </si>
  <si>
    <t>JUA II</t>
  </si>
  <si>
    <t>(055) 379945-3391</t>
  </si>
  <si>
    <t>19913520</t>
  </si>
  <si>
    <t>495152819116</t>
  </si>
  <si>
    <t>OURINHOS</t>
  </si>
  <si>
    <t>FEODOR GURTOVENCO</t>
  </si>
  <si>
    <t>(014) 3325-1885</t>
  </si>
  <si>
    <t>38038016</t>
  </si>
  <si>
    <t>49670580056</t>
  </si>
  <si>
    <t>RUA AYMORES</t>
  </si>
  <si>
    <t>JARDIM SANTA CLARA</t>
  </si>
  <si>
    <t>(016) 99716-9447</t>
  </si>
  <si>
    <t>MONTEIRO AGRICOLA FERTILIZANTES</t>
  </si>
  <si>
    <t>MONTEIRO AGRICOLA FERTILIZANTES LTDA</t>
  </si>
  <si>
    <t>50.623.100.037</t>
  </si>
  <si>
    <t>3741</t>
  </si>
  <si>
    <t>(055) 343211-3177</t>
  </si>
  <si>
    <t>CLEITON CARLOS BARBOSA</t>
  </si>
  <si>
    <t>50571800076</t>
  </si>
  <si>
    <t>R. DR SILVERIO JOSÉ BERNARDES</t>
  </si>
  <si>
    <t>IRMÃO SOARES</t>
  </si>
  <si>
    <t>N414</t>
  </si>
  <si>
    <t>(055) 3496908-1051</t>
  </si>
  <si>
    <t>CASUL</t>
  </si>
  <si>
    <t>17730000</t>
  </si>
  <si>
    <t>COOPERATIVA AGROPECUARIA DE PARAPUA</t>
  </si>
  <si>
    <t>509.000.959.115</t>
  </si>
  <si>
    <t>PARAPUA</t>
  </si>
  <si>
    <t>1230</t>
  </si>
  <si>
    <t>(055) 183582-9090</t>
  </si>
  <si>
    <t>CAMILA BARBOSA AMARAL</t>
  </si>
  <si>
    <t>37701190</t>
  </si>
  <si>
    <t>50980</t>
  </si>
  <si>
    <t>DOUTOR WALDIR PEREIRA</t>
  </si>
  <si>
    <t>PARQUE VIVALDI LEITE RIBEIRO</t>
  </si>
  <si>
    <t>CDM QUÍMICA LTDA</t>
  </si>
  <si>
    <t>14415000</t>
  </si>
  <si>
    <t>511014953115</t>
  </si>
  <si>
    <t>PATROCINIO PAULISTA</t>
  </si>
  <si>
    <t>Rodovia de Acesso Fábio Guidolin KM 1,7</t>
  </si>
  <si>
    <t>(016) 3145-9444</t>
  </si>
  <si>
    <t>AGENCIA FRANQUEADA DOS CORREIOS DE PAULI</t>
  </si>
  <si>
    <t>13140488</t>
  </si>
  <si>
    <t>513.053.501.114</t>
  </si>
  <si>
    <t>PAULINIA</t>
  </si>
  <si>
    <t>VILA BRESSANI</t>
  </si>
  <si>
    <t>(055) 193874-2494</t>
  </si>
  <si>
    <t>13148906</t>
  </si>
  <si>
    <t>513010900114</t>
  </si>
  <si>
    <t>IRENE KARCHER</t>
  </si>
  <si>
    <t>BETEL</t>
  </si>
  <si>
    <t>620</t>
  </si>
  <si>
    <t>(019) 3322-2241</t>
  </si>
  <si>
    <t>INATIVO - GALVANI - PAULÍNIA</t>
  </si>
  <si>
    <t>13140000</t>
  </si>
  <si>
    <t>GALVANI INDUSTRIA,COMERCIO E SERVICOS S.</t>
  </si>
  <si>
    <t>513029586115</t>
  </si>
  <si>
    <t>PROF. BENEDICTO MONTENEGRO</t>
  </si>
  <si>
    <t>(019) 3884-9300</t>
  </si>
  <si>
    <t>CIAL PRODUTOS PARA LABORATORIOS</t>
  </si>
  <si>
    <t>13140673</t>
  </si>
  <si>
    <t>CIAL COM. DE ARTIGOS P. LAB. LTDA EPP</t>
  </si>
  <si>
    <t>513031359118</t>
  </si>
  <si>
    <t>BELGICA</t>
  </si>
  <si>
    <t>113</t>
  </si>
  <si>
    <t>(019) 3833-3800</t>
  </si>
  <si>
    <t>RHODIA POLIAMIDA E ESPECIALIDADES LTDA</t>
  </si>
  <si>
    <t>513041220113</t>
  </si>
  <si>
    <t>ZANA MARIA</t>
  </si>
  <si>
    <t>(011) 99611-9407</t>
  </si>
  <si>
    <t>RCOIL COMERCIO DE OLEOS INDUSTRIAIS EIRE</t>
  </si>
  <si>
    <t>13140327</t>
  </si>
  <si>
    <t>513086809110</t>
  </si>
  <si>
    <t>PRESIDENTE CAFE FILHO</t>
  </si>
  <si>
    <t>SANTA CECÍLIA</t>
  </si>
  <si>
    <t>(019) 95159-9230</t>
  </si>
  <si>
    <t>MATRYX IND. COM. DE INS. TRAT.  DE AGUAS</t>
  </si>
  <si>
    <t>13148160</t>
  </si>
  <si>
    <t>MATRYX IND COM D INS P TRAT D AGUAS LTDA</t>
  </si>
  <si>
    <t>513119520117</t>
  </si>
  <si>
    <t>CONSTANTE PAVAN</t>
  </si>
  <si>
    <t>(055) 513635-1202</t>
  </si>
  <si>
    <t>13148908</t>
  </si>
  <si>
    <t>YARA - PAULINIA</t>
  </si>
  <si>
    <t>513157609112</t>
  </si>
  <si>
    <t>AV PROFESSOR BENEDICTO MONTENEGRO</t>
  </si>
  <si>
    <t>13148189</t>
  </si>
  <si>
    <t>513203248111</t>
  </si>
  <si>
    <t>707</t>
  </si>
  <si>
    <t>(062) 3414-6334</t>
  </si>
  <si>
    <t>NTA</t>
  </si>
  <si>
    <t>13140031</t>
  </si>
  <si>
    <t>NTA - NOVAS TECNICAS DE ASFALTOS LTDA</t>
  </si>
  <si>
    <t>513449957114</t>
  </si>
  <si>
    <t>SOFIA ATAURI FADIN</t>
  </si>
  <si>
    <t>B. SANTA TEREZINA</t>
  </si>
  <si>
    <t>(055) 19874-4555</t>
  </si>
  <si>
    <t>ORION ENGINEERED CARBONS LTDA.</t>
  </si>
  <si>
    <t>13147030</t>
  </si>
  <si>
    <t>513471233113</t>
  </si>
  <si>
    <t>ANTONIO FADIN</t>
  </si>
  <si>
    <t>BONFIM</t>
  </si>
  <si>
    <t>(055) 193844-2727</t>
  </si>
  <si>
    <t>ADM - UBERABA</t>
  </si>
  <si>
    <t>5161884420219</t>
  </si>
  <si>
    <t>22180</t>
  </si>
  <si>
    <t>(034) 3336-5366</t>
  </si>
  <si>
    <t>14470000</t>
  </si>
  <si>
    <t>WILSON MANSANO GARCIA E OUTRO</t>
  </si>
  <si>
    <t>518010182110</t>
  </si>
  <si>
    <t>PEDREGULHO</t>
  </si>
  <si>
    <t>CANDIDO PORTINARI ESTRADA MUNICIPAL A PEDREGULHO</t>
  </si>
  <si>
    <t>(055) 1699175-6285</t>
  </si>
  <si>
    <t>LUX HOTEL DE POCOS LTDA</t>
  </si>
  <si>
    <t>37701036</t>
  </si>
  <si>
    <t>5180769120002</t>
  </si>
  <si>
    <t>JARDIM CASCATINHA</t>
  </si>
  <si>
    <t>(055) 353722-2890</t>
  </si>
  <si>
    <t>INFANTE E PATRICIO LTDA</t>
  </si>
  <si>
    <t>5183002850173</t>
  </si>
  <si>
    <t>497</t>
  </si>
  <si>
    <t>(055) 353722-1937</t>
  </si>
  <si>
    <t>16300013</t>
  </si>
  <si>
    <t>521.020.706.116</t>
  </si>
  <si>
    <t>PENÁPOLIS</t>
  </si>
  <si>
    <t>LUIZ OSORIO</t>
  </si>
  <si>
    <t>(055) 183652-1312</t>
  </si>
  <si>
    <t>37556338</t>
  </si>
  <si>
    <t>HCJM AGRICOLA COMERCIO &amp; REPRESENTACAO</t>
  </si>
  <si>
    <t>5252315990087</t>
  </si>
  <si>
    <t>FERNAO DIAS - BR 381</t>
  </si>
  <si>
    <t>IPIRANGA - SETOR INDUSTRIAL</t>
  </si>
  <si>
    <t>(055) 353421-4580</t>
  </si>
  <si>
    <t>37555100</t>
  </si>
  <si>
    <t>ADUBOS REAL S/A</t>
  </si>
  <si>
    <t>5252866520583</t>
  </si>
  <si>
    <t>ANTONIO SCODELER</t>
  </si>
  <si>
    <t>FAISQUEIRA</t>
  </si>
  <si>
    <t>(035) 3449-2022</t>
  </si>
  <si>
    <t>RAQUEL LEME MACHADO</t>
  </si>
  <si>
    <t>18185000</t>
  </si>
  <si>
    <t>527069130116</t>
  </si>
  <si>
    <t>PILAR DO SUL</t>
  </si>
  <si>
    <t>CORONEL MORAES CUNHA</t>
  </si>
  <si>
    <t>TREVO INSUMOS AGRICOLAS</t>
  </si>
  <si>
    <t>15835000</t>
  </si>
  <si>
    <t>TREVO INSUMOS AGRICOLAS LTDA</t>
  </si>
  <si>
    <t>529025646113</t>
  </si>
  <si>
    <t>MIRASOLÂNDIA</t>
  </si>
  <si>
    <t>ESTRADA QUE LIGA BALSAMO À MIRASSOLÂNDIA</t>
  </si>
  <si>
    <t>(055) 179717-0402</t>
  </si>
  <si>
    <t>38408342</t>
  </si>
  <si>
    <t>53050480068</t>
  </si>
  <si>
    <t>CLEONE CAIRO GOMES</t>
  </si>
  <si>
    <t>1065</t>
  </si>
  <si>
    <t>(055) 349815-4771</t>
  </si>
  <si>
    <t>SÉRGIO LUIZ BERTOLUCCI</t>
  </si>
  <si>
    <t>5309194</t>
  </si>
  <si>
    <t>DALLAS</t>
  </si>
  <si>
    <t>COPLACANA</t>
  </si>
  <si>
    <t>13425000</t>
  </si>
  <si>
    <t>COOPERATIVA DOS PLANTADORES CANA EST. SP</t>
  </si>
  <si>
    <t>535003960115</t>
  </si>
  <si>
    <t>COM. LUCIANO GUIDOTTI</t>
  </si>
  <si>
    <t>JD CAXAMBU</t>
  </si>
  <si>
    <t>1937</t>
  </si>
  <si>
    <t>(019) 3401-2200</t>
  </si>
  <si>
    <t>OTTANI INDUSTRIA E COMERCIO LTDA</t>
  </si>
  <si>
    <t>13420280</t>
  </si>
  <si>
    <t>535102755110</t>
  </si>
  <si>
    <t>ROD MARGARIDA DA GRACA MARTINS</t>
  </si>
  <si>
    <t>AGUA SECA</t>
  </si>
  <si>
    <t>KM 13</t>
  </si>
  <si>
    <t>(055) 193438-7470</t>
  </si>
  <si>
    <t>TECTEXTIL EMBALAGENS INDUSTRIAIS LTDA</t>
  </si>
  <si>
    <t>13422150</t>
  </si>
  <si>
    <t>535130509110</t>
  </si>
  <si>
    <t>CAPITAO JOSE PINTO SIQUEIRA</t>
  </si>
  <si>
    <t>DISTRITO INDUSTRIAL UNILESTE</t>
  </si>
  <si>
    <t>(019) 3372-8300</t>
  </si>
  <si>
    <t>AROMA BIOENERGIA</t>
  </si>
  <si>
    <t>13413060</t>
  </si>
  <si>
    <t>AROMA BIOENERGIA LTDA</t>
  </si>
  <si>
    <t>535259005118</t>
  </si>
  <si>
    <t>WALDYR MARTINS FERREIRA</t>
  </si>
  <si>
    <t>DISTRITO UNINORTE</t>
  </si>
  <si>
    <t>(011) 3353-3093</t>
  </si>
  <si>
    <t>BIOAGRI AMBIENTAL LTDA</t>
  </si>
  <si>
    <t>13420833</t>
  </si>
  <si>
    <t>535325912111</t>
  </si>
  <si>
    <t>AUJOVIL JOVA MARTINI</t>
  </si>
  <si>
    <t>(019) 3417-4700</t>
  </si>
  <si>
    <t>SPADA MAQUINAS</t>
  </si>
  <si>
    <t>13416756</t>
  </si>
  <si>
    <t>SPADA MAQUINAS FERRAMENTAS &amp; CIA LTDA</t>
  </si>
  <si>
    <t>535406940118</t>
  </si>
  <si>
    <t>NOVA AMERICA</t>
  </si>
  <si>
    <t>1917</t>
  </si>
  <si>
    <t>(055) 193434-9572</t>
  </si>
  <si>
    <t>SOLIDSTEEL</t>
  </si>
  <si>
    <t>13413034</t>
  </si>
  <si>
    <t>SOLIDSTEEL INDÚSTRIA E COMÉRCIO DE EQUIP</t>
  </si>
  <si>
    <t>535615450112</t>
  </si>
  <si>
    <t>PARQUE SÃO JORGE</t>
  </si>
  <si>
    <t>(019) 3052-2991</t>
  </si>
  <si>
    <t>SAMARTINO TRANSPORTES</t>
  </si>
  <si>
    <t>13423030</t>
  </si>
  <si>
    <t>A. C. COSTA TRANSPORTES LTDA</t>
  </si>
  <si>
    <t>53564394118</t>
  </si>
  <si>
    <t>JAMILE JAPUR</t>
  </si>
  <si>
    <t>JARDIM NOVA IGUACU</t>
  </si>
  <si>
    <t>(055) 163983-1272</t>
  </si>
  <si>
    <t>VALAGRO BRAZIL MANUF IND COM FERTILIZANT</t>
  </si>
  <si>
    <t>13634760</t>
  </si>
  <si>
    <t>536080700115</t>
  </si>
  <si>
    <t>PIRASSUNUNGA</t>
  </si>
  <si>
    <t>MUN. FERNANDO LUIZ LANDGRAF</t>
  </si>
  <si>
    <t>CANTAREIRA</t>
  </si>
  <si>
    <t>15820031</t>
  </si>
  <si>
    <t>539.004.605.112</t>
  </si>
  <si>
    <t>PIRANGI</t>
  </si>
  <si>
    <t>882</t>
  </si>
  <si>
    <t>(055) 173386-1824</t>
  </si>
  <si>
    <t>GT COMERCIO REP. COM. E SERV. AGRICOLA</t>
  </si>
  <si>
    <t>14760000</t>
  </si>
  <si>
    <t>GT COM. REP. COM. E SERV. AGRICOLA LTDA</t>
  </si>
  <si>
    <t>543023210112</t>
  </si>
  <si>
    <t>HUM</t>
  </si>
  <si>
    <t>DISTRITO IBITIÚVA</t>
  </si>
  <si>
    <t>307</t>
  </si>
  <si>
    <t>(055) 163957-1428</t>
  </si>
  <si>
    <t>LABOR QUIMI IND COM E IMP PROD LAB</t>
  </si>
  <si>
    <t>08558410</t>
  </si>
  <si>
    <t>546108226111</t>
  </si>
  <si>
    <t>POA</t>
  </si>
  <si>
    <t>VILA VARELA</t>
  </si>
  <si>
    <t>247</t>
  </si>
  <si>
    <t>(011) 4634-6900</t>
  </si>
  <si>
    <t>FÁBIO VERIANO SMENTKOVISK</t>
  </si>
  <si>
    <t>13086701</t>
  </si>
  <si>
    <t>557576076</t>
  </si>
  <si>
    <t>CARLOS FRANÇA</t>
  </si>
  <si>
    <t>BOSQUE DAS PALMEIRAS</t>
  </si>
  <si>
    <t>174</t>
  </si>
  <si>
    <t>SP LABOR</t>
  </si>
  <si>
    <t>19050180</t>
  </si>
  <si>
    <t>SP LABOR COMÉRCIO DE PRODUTOS P LAB LTDA</t>
  </si>
  <si>
    <t>562236856112</t>
  </si>
  <si>
    <t>PRESIDENTE PRUDENTE</t>
  </si>
  <si>
    <t>WALT DISNEY</t>
  </si>
  <si>
    <t>(018) 2104-9090</t>
  </si>
  <si>
    <t>PENTAX EQUIPAMENTOS PARA LABORATORIO</t>
  </si>
  <si>
    <t>19030000</t>
  </si>
  <si>
    <t>PENTAX COMERCIO DE PROD P LABORAT LTDA</t>
  </si>
  <si>
    <t>562258966110</t>
  </si>
  <si>
    <t>QUINTINO BOCAIUVA</t>
  </si>
  <si>
    <t>VILA MARCONDES</t>
  </si>
  <si>
    <t>960</t>
  </si>
  <si>
    <t>(055) 183222-8247</t>
  </si>
  <si>
    <t>ELO SCIENTIFIC INDÚSTRIA E COMÉRCIO LTDA</t>
  </si>
  <si>
    <t>19050370</t>
  </si>
  <si>
    <t>562577175110</t>
  </si>
  <si>
    <t>GUILHERME DE CARVALHO WHITAKER</t>
  </si>
  <si>
    <t>JARDIM BONGIOVANI</t>
  </si>
  <si>
    <t>11900000</t>
  </si>
  <si>
    <t>574084480110</t>
  </si>
  <si>
    <t>BR 116 FAZENDA PEROUPAVA</t>
  </si>
  <si>
    <t>(016) 3222-7481</t>
  </si>
  <si>
    <t>FABRICIO JOSE LOMBARDI E OUTRO</t>
  </si>
  <si>
    <t>14445000</t>
  </si>
  <si>
    <t>579009583115</t>
  </si>
  <si>
    <t>RIBEIRAO CORRENTE</t>
  </si>
  <si>
    <t>ESTRADA VICINAL ARGEMIRO LEONARDO KM, ENTRADA A ESQUERDA</t>
  </si>
  <si>
    <t>CAETETU</t>
  </si>
  <si>
    <t>FAZENDA BELA ÉPOCA</t>
  </si>
  <si>
    <t>LUIZ DA CUNHA SOBRINHO</t>
  </si>
  <si>
    <t>579054152110</t>
  </si>
  <si>
    <t>RODOVIA BENEDITO PEREIRA DA SILVA KM 16</t>
  </si>
  <si>
    <t>(055) 1699237-4637</t>
  </si>
  <si>
    <t>TECHNICAL FILTER DO BRASIL IND COM FILTR</t>
  </si>
  <si>
    <t>09445400</t>
  </si>
  <si>
    <t>581047043115</t>
  </si>
  <si>
    <t>RIBEIRÃO PIRES</t>
  </si>
  <si>
    <t>VEREADOR AROLDO ALVES NEVES</t>
  </si>
  <si>
    <t>SOMMA</t>
  </si>
  <si>
    <t>GRUPO FEITAL AÇO INOXIDAVEÇ</t>
  </si>
  <si>
    <t>09410020</t>
  </si>
  <si>
    <t>INOX - TECH COM DE ACOS INOXIDAVEIS LTDA</t>
  </si>
  <si>
    <t>581149680116</t>
  </si>
  <si>
    <t>RIBEIRAO PIRES</t>
  </si>
  <si>
    <t>RUA PEDRO RIPOLI</t>
  </si>
  <si>
    <t>VILA OASIS</t>
  </si>
  <si>
    <t>2380</t>
  </si>
  <si>
    <t>(011) 4827-1300</t>
  </si>
  <si>
    <t>AGRO HEMAR LTDA</t>
  </si>
  <si>
    <t>14110000</t>
  </si>
  <si>
    <t>582037812113</t>
  </si>
  <si>
    <t>RIBEIRAO PRETO</t>
  </si>
  <si>
    <t>RODOVIA SP 328</t>
  </si>
  <si>
    <t>BOM PAULISTA</t>
  </si>
  <si>
    <t>(016) 3972-0181</t>
  </si>
  <si>
    <t>LIDERCON COM REPRES COND ELETRO ELET</t>
  </si>
  <si>
    <t>14085070</t>
  </si>
  <si>
    <t>582127324119</t>
  </si>
  <si>
    <t>976</t>
  </si>
  <si>
    <t>COCATREL - SANTANA DA VARGEM</t>
  </si>
  <si>
    <t>COOP DOS CAF DA ZONA DE TRES PONTAS LTDA</t>
  </si>
  <si>
    <t>5830784891488</t>
  </si>
  <si>
    <t>RUA NELSON PEREIRA VILELA</t>
  </si>
  <si>
    <t>SAO LUIZ</t>
  </si>
  <si>
    <t>TRANSVAL TRANSPORTADORA VALMIR LTDA</t>
  </si>
  <si>
    <t>17740000</t>
  </si>
  <si>
    <t>586004617116</t>
  </si>
  <si>
    <t>RINOPOLIS</t>
  </si>
  <si>
    <t>LUIZ WOLFF</t>
  </si>
  <si>
    <t>07</t>
  </si>
  <si>
    <t>(055) 183583-1018</t>
  </si>
  <si>
    <t>LEONARDO MARTINEZ</t>
  </si>
  <si>
    <t>13500460</t>
  </si>
  <si>
    <t>587121653112</t>
  </si>
  <si>
    <t>ZPEDRO.O</t>
  </si>
  <si>
    <t>RIO CLARO</t>
  </si>
  <si>
    <t>1004</t>
  </si>
  <si>
    <t>RIKEN QUIMICA INDUSTRIA E COMERCIO LTDA</t>
  </si>
  <si>
    <t>13392610</t>
  </si>
  <si>
    <t>588011188110</t>
  </si>
  <si>
    <t>RIO DAS PEDRAS</t>
  </si>
  <si>
    <t>PREFEITO NICOLAU MARINO</t>
  </si>
  <si>
    <t>DISTRITO INDUSTRIAL EDSON SEVERINO</t>
  </si>
  <si>
    <t>1880</t>
  </si>
  <si>
    <t>(055) 193493-4845</t>
  </si>
  <si>
    <t>RODONAVES TRANSPORTES E ENCOMENDAS LTDA</t>
  </si>
  <si>
    <t>86072100</t>
  </si>
  <si>
    <t>6013031914</t>
  </si>
  <si>
    <t>LONDRINA</t>
  </si>
  <si>
    <t>DAS INDUSTRIAS</t>
  </si>
  <si>
    <t>CIDADELA</t>
  </si>
  <si>
    <t>(055) 162101-9860</t>
  </si>
  <si>
    <t>JDF CENTRÍFUGAS</t>
  </si>
  <si>
    <t>13457052</t>
  </si>
  <si>
    <t>JDF TECNOLOGIA EM CENTRIFUGAS LTDA</t>
  </si>
  <si>
    <t>606033607115</t>
  </si>
  <si>
    <t>SANTA BARBARA D'OESTE</t>
  </si>
  <si>
    <t>PARQUE INDUSTRIAL DE CILIO</t>
  </si>
  <si>
    <t>3452</t>
  </si>
  <si>
    <t>(055) 192108-5000</t>
  </si>
  <si>
    <t>M4 FERTILIZANTES</t>
  </si>
  <si>
    <t>13456134</t>
  </si>
  <si>
    <t>MARIO GERSON DANILOW JUNIOR &amp; CIA LTDA</t>
  </si>
  <si>
    <t>606422116118</t>
  </si>
  <si>
    <t>JOAO COVOLAN FILHO</t>
  </si>
  <si>
    <t>163</t>
  </si>
  <si>
    <t>(055) 419209-5909</t>
  </si>
  <si>
    <t>LORENA DE MORAIS FIDELIS</t>
  </si>
  <si>
    <t>6083686</t>
  </si>
  <si>
    <t>SATURNINO PEDRO DOS SANTOS</t>
  </si>
  <si>
    <t>JARDIM FINOTTI</t>
  </si>
  <si>
    <t>(034) 99312-2082</t>
  </si>
  <si>
    <t>AGROSOLIX INDUSTRIAL E COMERCIAL LTDA</t>
  </si>
  <si>
    <t>18900492</t>
  </si>
  <si>
    <t>612136352116</t>
  </si>
  <si>
    <t>SANTA CRUZ DO RIO PARDO</t>
  </si>
  <si>
    <t>ENGENHEIRO JOAO BAPTISTA CABRAL RENNO</t>
  </si>
  <si>
    <t>SERRINHA</t>
  </si>
  <si>
    <t>(055) 419187-4931</t>
  </si>
  <si>
    <t>CERRAGRI COM. DE DEFENSIVOS AGRICOLA LTD</t>
  </si>
  <si>
    <t>6211100240063</t>
  </si>
  <si>
    <t>(055) 343671-6276</t>
  </si>
  <si>
    <t>SAGRA - SÃO GOTARDO</t>
  </si>
  <si>
    <t>6219828280213</t>
  </si>
  <si>
    <t>RODOVIA MG 235 - KM 89,693</t>
  </si>
  <si>
    <t>EMDOC - GLOBAL SERVICES</t>
  </si>
  <si>
    <t>01309000</t>
  </si>
  <si>
    <t>EMDOC - GLOBAL SERV ASS EM MIGRAÇÃO LTDA</t>
  </si>
  <si>
    <t>62268931</t>
  </si>
  <si>
    <t>LUIS COELHO</t>
  </si>
  <si>
    <t>CONSOLACAO</t>
  </si>
  <si>
    <t>308</t>
  </si>
  <si>
    <t>(055) 113405-7800</t>
  </si>
  <si>
    <t>USINA ALTO ALEGRE</t>
  </si>
  <si>
    <t>86690000</t>
  </si>
  <si>
    <t>USINA ALTO ALEGRE S/A - ACUCAR E ALCOOL</t>
  </si>
  <si>
    <t>6230071703</t>
  </si>
  <si>
    <t>COLORADO</t>
  </si>
  <si>
    <t>FAZENDA JUNQUEIRA</t>
  </si>
  <si>
    <t>DIST. ALTO ALEGRE</t>
  </si>
  <si>
    <t>09280570</t>
  </si>
  <si>
    <t>626002975111</t>
  </si>
  <si>
    <t>SANTO ANDRE</t>
  </si>
  <si>
    <t>ANTÔNIO CARDOSO</t>
  </si>
  <si>
    <t>319</t>
  </si>
  <si>
    <t>RZR BOMBAS POSITIVAS LTDA</t>
  </si>
  <si>
    <t>09190460</t>
  </si>
  <si>
    <t>626212400118</t>
  </si>
  <si>
    <t>SANTA MÔNICA</t>
  </si>
  <si>
    <t>VILA GILDA</t>
  </si>
  <si>
    <t>(011) 4426-7632</t>
  </si>
  <si>
    <t>CAZA MOOCA ACESSORIOS P/ CONSTRUCAO</t>
  </si>
  <si>
    <t>09172570</t>
  </si>
  <si>
    <t>L. A. LAURE JUNIOR - ME</t>
  </si>
  <si>
    <t>626783425113</t>
  </si>
  <si>
    <t>ZANA PAULA</t>
  </si>
  <si>
    <t>DO AMARO</t>
  </si>
  <si>
    <t>188</t>
  </si>
  <si>
    <t>DENIS CAMPOS DE ALMEIDA</t>
  </si>
  <si>
    <t>13830000</t>
  </si>
  <si>
    <t>630011600113</t>
  </si>
  <si>
    <t>SANTO ANTONIO DE POSSE</t>
  </si>
  <si>
    <t>SITIO PAINEIRAS</t>
  </si>
  <si>
    <t>RURAL PIRAPITINGUI</t>
  </si>
  <si>
    <t>11013250</t>
  </si>
  <si>
    <t>633.889.908.113</t>
  </si>
  <si>
    <t>AVENIDA EDUARDO PEREIRA GUINLE</t>
  </si>
  <si>
    <t>DOCAS</t>
  </si>
  <si>
    <t>(055) 113905-6000</t>
  </si>
  <si>
    <t>11096000</t>
  </si>
  <si>
    <t>ULTRAFERTIL SA</t>
  </si>
  <si>
    <t>633174875112</t>
  </si>
  <si>
    <t>VALE DO QUILOMBO</t>
  </si>
  <si>
    <t>(055) 115112-2564</t>
  </si>
  <si>
    <t>11015305</t>
  </si>
  <si>
    <t>BUNGE ALIMENTOS S/A</t>
  </si>
  <si>
    <t>633658827119</t>
  </si>
  <si>
    <t>GUILHERME ARALHE</t>
  </si>
  <si>
    <t>MACUCO</t>
  </si>
  <si>
    <t>20</t>
  </si>
  <si>
    <t>(055) 133278-7919</t>
  </si>
  <si>
    <t>FCA COMERCIO EXTERIOR E LOGISTICA LTDA.</t>
  </si>
  <si>
    <t>11010340</t>
  </si>
  <si>
    <t>633672235110</t>
  </si>
  <si>
    <t>ALEXANDRE GUSMAO</t>
  </si>
  <si>
    <t>VALONGO</t>
  </si>
  <si>
    <t>(055) 133797-7850</t>
  </si>
  <si>
    <t>RODOQUICK - MEIRELLES E SERRA</t>
  </si>
  <si>
    <t>11013153</t>
  </si>
  <si>
    <t>MEIRELLES E SERRA TRANSPORTES LTDA</t>
  </si>
  <si>
    <t>633865335113</t>
  </si>
  <si>
    <t>AMADOR BUENO</t>
  </si>
  <si>
    <t>(055) 133219-1946</t>
  </si>
  <si>
    <t>MEETA RAVINDRA COMERCIO DE FONOGRAMAS LT</t>
  </si>
  <si>
    <t>09725040</t>
  </si>
  <si>
    <t>635488399114</t>
  </si>
  <si>
    <t>SAO BERNARDO DO CAMPO</t>
  </si>
  <si>
    <t>JOAO GROSS</t>
  </si>
  <si>
    <t>VILA GONCALVES</t>
  </si>
  <si>
    <t>(055) 143234-4307</t>
  </si>
  <si>
    <t>GENERAL MOTORS DO BRASIL LTDA</t>
  </si>
  <si>
    <t>09550900</t>
  </si>
  <si>
    <t>636003724112</t>
  </si>
  <si>
    <t>SAO CAETANO DO SUL</t>
  </si>
  <si>
    <t>SANTA PAULA</t>
  </si>
  <si>
    <t>1805</t>
  </si>
  <si>
    <t>(011) 4234-7700</t>
  </si>
  <si>
    <t>INDUSTRIA AGRO-QUIMICA BRAIDO LTDA</t>
  </si>
  <si>
    <t>09530901</t>
  </si>
  <si>
    <t>636014131117</t>
  </si>
  <si>
    <t>SAO JORGE</t>
  </si>
  <si>
    <t>(055) 114227-9500</t>
  </si>
  <si>
    <t>M.H.G. DO AMARAL REPRESENTACOES COMERCIA</t>
  </si>
  <si>
    <t>09580020</t>
  </si>
  <si>
    <t>M.H.G. DO AMARAL REPRESENTACOES</t>
  </si>
  <si>
    <t>636513280116</t>
  </si>
  <si>
    <t>MANOEL AUGUSTO FERREIRINHA</t>
  </si>
  <si>
    <t>NOVA GERTY</t>
  </si>
  <si>
    <t>695</t>
  </si>
  <si>
    <t>(055) 112376-9026</t>
  </si>
  <si>
    <t>DAF PECAS COMERCIAIS</t>
  </si>
  <si>
    <t>13874690</t>
  </si>
  <si>
    <t>DANIELA A B CHIOSANE LTDA</t>
  </si>
  <si>
    <t>639109950116</t>
  </si>
  <si>
    <t>SAO JOAO DA BOA VISTA</t>
  </si>
  <si>
    <t>TREZE DE MAIO</t>
  </si>
  <si>
    <t>JARDIM SAO JORGE RAPOSO TAVARES</t>
  </si>
  <si>
    <t>(055) 193666-5757</t>
  </si>
  <si>
    <t>GUILHERME CARETTA DE OLIVEIRA</t>
  </si>
  <si>
    <t>14440000</t>
  </si>
  <si>
    <t>644006278115</t>
  </si>
  <si>
    <t>SAO JOSE DA BELA VISTA</t>
  </si>
  <si>
    <t>FRANCA A SAO JOSE DA BELA VISTA,ENTRADA A DIREITA.</t>
  </si>
  <si>
    <t>13720000</t>
  </si>
  <si>
    <t>646088059118</t>
  </si>
  <si>
    <t>SAO JOSE DO RIO PARDO</t>
  </si>
  <si>
    <t>AV TENENTE ISMAEL DE SOUZA DIAS</t>
  </si>
  <si>
    <t>LOTEAMENTO BUENOS AIRES</t>
  </si>
  <si>
    <t>COPER CLEAN HIGIENIZAÇÃO LTDA</t>
  </si>
  <si>
    <t>Coper clean higienização Ltda</t>
  </si>
  <si>
    <t>65.953.844.0001</t>
  </si>
  <si>
    <t>PIXINGUINHA</t>
  </si>
  <si>
    <t>14175334</t>
  </si>
  <si>
    <t>664.065.562.116</t>
  </si>
  <si>
    <t>ADEMIR SPONCHIADO</t>
  </si>
  <si>
    <t>DISTRITO INDUSTRIAL E EMPRESARIAL 3</t>
  </si>
  <si>
    <t>(055) 163942-5241</t>
  </si>
  <si>
    <t>SERTRAZA</t>
  </si>
  <si>
    <t>14176150</t>
  </si>
  <si>
    <t>664048310110</t>
  </si>
  <si>
    <t>ALBINO DE RUSSI</t>
  </si>
  <si>
    <t>181</t>
  </si>
  <si>
    <t>(016) 2105-8180</t>
  </si>
  <si>
    <t>VEDACERT</t>
  </si>
  <si>
    <t>14160640</t>
  </si>
  <si>
    <t>DEZZA IND E COM DE EQUIP INDUST LTDA</t>
  </si>
  <si>
    <t>664070422118</t>
  </si>
  <si>
    <t>RUA FREDERICO OZANAN</t>
  </si>
  <si>
    <t>603</t>
  </si>
  <si>
    <t>(055) 163041-6415</t>
  </si>
  <si>
    <t>14173020</t>
  </si>
  <si>
    <t>FASS INDUSTRIA E COMERCIO DE PRODUTOS AG</t>
  </si>
  <si>
    <t>664103784115</t>
  </si>
  <si>
    <t>ALBANO BACEGA</t>
  </si>
  <si>
    <t>328</t>
  </si>
  <si>
    <t>(016) 3946-9300</t>
  </si>
  <si>
    <t>SERQUIMICA INDUSTRIA - SERTAOZINHO</t>
  </si>
  <si>
    <t>14175340</t>
  </si>
  <si>
    <t>SERQUIMICA IND.,COM.,IMP. E EXP. DE PROD</t>
  </si>
  <si>
    <t>664126942114</t>
  </si>
  <si>
    <t>ARCANGELO MAGRO</t>
  </si>
  <si>
    <t>(016) 2105-8222</t>
  </si>
  <si>
    <t>TERRENA - SERTAOZINHO</t>
  </si>
  <si>
    <t>14175348</t>
  </si>
  <si>
    <t>664194939113</t>
  </si>
  <si>
    <t>ERNESTO SOLDERA</t>
  </si>
  <si>
    <t>DISTRITO INDUSTRIAL E EMPRESARIAL 2</t>
  </si>
  <si>
    <t>(055) 343822-9433</t>
  </si>
  <si>
    <t>DDCERT EQUIPAMENTOS INDUSTRIAIS LTDA</t>
  </si>
  <si>
    <t>14160700</t>
  </si>
  <si>
    <t>664331476117</t>
  </si>
  <si>
    <t>DOUTOR ANTONIO FURLAN JUNIOR</t>
  </si>
  <si>
    <t>1909</t>
  </si>
  <si>
    <t>(055) 167406-1004</t>
  </si>
  <si>
    <t>13960000</t>
  </si>
  <si>
    <t>T5 AGRONEGOCIOS LTDA</t>
  </si>
  <si>
    <t>668.130.401.110</t>
  </si>
  <si>
    <t>POMPEU CONTI</t>
  </si>
  <si>
    <t>CUBAS</t>
  </si>
  <si>
    <t>2528</t>
  </si>
  <si>
    <t>(055) 193895-1624</t>
  </si>
  <si>
    <t>MARCIO ALBERTO DE OLIVEIRA E OUTRA</t>
  </si>
  <si>
    <t>668122037110</t>
  </si>
  <si>
    <t>CAPITAO BARDUINO</t>
  </si>
  <si>
    <t>CAMANDUCAIA</t>
  </si>
  <si>
    <t>LIVRARIA PEDAGOGICA PAULISTA LTDA</t>
  </si>
  <si>
    <t>18035010</t>
  </si>
  <si>
    <t>669050777116</t>
  </si>
  <si>
    <t>RUA PADRE LUIZ</t>
  </si>
  <si>
    <t>(015) 4009-2000</t>
  </si>
  <si>
    <t>CERRADO COMERCIO E SERVICOS POSTAIS LTDA</t>
  </si>
  <si>
    <t>18043003</t>
  </si>
  <si>
    <t>669357108114</t>
  </si>
  <si>
    <t>GEN ARNEIRO</t>
  </si>
  <si>
    <t>1101</t>
  </si>
  <si>
    <t>NC FERRAMENTAS E EQUI DE SEGURAN</t>
  </si>
  <si>
    <t>18080410</t>
  </si>
  <si>
    <t>669939091111</t>
  </si>
  <si>
    <t>JOSE JOAQUIM DE LACERDA</t>
  </si>
  <si>
    <t>JARDIM SOROCABANO</t>
  </si>
  <si>
    <t>1317</t>
  </si>
  <si>
    <t>(055) 153233-1107</t>
  </si>
  <si>
    <t>LOGQUIM TRANSPORTES E LOGISTICA LTDA</t>
  </si>
  <si>
    <t>13177440</t>
  </si>
  <si>
    <t>671.262.174.118</t>
  </si>
  <si>
    <t>DANIEL D. COLE</t>
  </si>
  <si>
    <t>CHACARAS REUNIDAS ANHANGUERA (NOVA VENEZA)</t>
  </si>
  <si>
    <t>(055) 199797-5995</t>
  </si>
  <si>
    <t>E. MONATO TRANSPORTES</t>
  </si>
  <si>
    <t>13179142</t>
  </si>
  <si>
    <t>671208295110</t>
  </si>
  <si>
    <t>DAS GARCAS</t>
  </si>
  <si>
    <t>JARDIM SAO GERONIMO (NOVA VENEZA)</t>
  </si>
  <si>
    <t>(055) 193476-5629</t>
  </si>
  <si>
    <t>PRISMA COMERCIAL EXPORTADORA DE OLEOQUIM</t>
  </si>
  <si>
    <t>13170017</t>
  </si>
  <si>
    <t>671365647110</t>
  </si>
  <si>
    <t>MARIANO JATAHY MARCONDES FERRAZ</t>
  </si>
  <si>
    <t>LOTEAMENTO TEREZA BUCHIANERI BIANCALANA</t>
  </si>
  <si>
    <t>(055) 473086-3465</t>
  </si>
  <si>
    <t>OXY FERTILIZANTES</t>
  </si>
  <si>
    <t>08666160</t>
  </si>
  <si>
    <t>OXY INDUSTRIA E COMERCIO DE PRODUTOS QUI</t>
  </si>
  <si>
    <t>672.711.265.110</t>
  </si>
  <si>
    <t>SUZANO</t>
  </si>
  <si>
    <t>ANTONIO RONZELLA</t>
  </si>
  <si>
    <t>CHACARAS NOVA SUZANO</t>
  </si>
  <si>
    <t>98</t>
  </si>
  <si>
    <t>08686000</t>
  </si>
  <si>
    <t>672062601115</t>
  </si>
  <si>
    <t>JORGE BEY MALUF</t>
  </si>
  <si>
    <t>DIST IND ALTO TIETE</t>
  </si>
  <si>
    <t>2985</t>
  </si>
  <si>
    <t>(055) 114745-3000</t>
  </si>
  <si>
    <t>08655000</t>
  </si>
  <si>
    <t>672212533110</t>
  </si>
  <si>
    <t>RODOVIA INDIO TIBIRICA</t>
  </si>
  <si>
    <t>VILA SOL NASCENTE</t>
  </si>
  <si>
    <t>GLOBAL AMINES COMERCIO</t>
  </si>
  <si>
    <t>672245742113</t>
  </si>
  <si>
    <t>JORGE BEI MALUF</t>
  </si>
  <si>
    <t>VILA THEODORO</t>
  </si>
  <si>
    <t>2163</t>
  </si>
  <si>
    <t>OXY METAIS E DISTRIBUICAO</t>
  </si>
  <si>
    <t>08655805</t>
  </si>
  <si>
    <t>672431253118</t>
  </si>
  <si>
    <t>RUA ERNESTO JOAQUIM DE SOUZA</t>
  </si>
  <si>
    <t>CHACARA PRIMAVERA</t>
  </si>
  <si>
    <t>511/01</t>
  </si>
  <si>
    <t>(055) 113149-7099</t>
  </si>
  <si>
    <t>LINDOVAL ALVES FLORES</t>
  </si>
  <si>
    <t>38410232</t>
  </si>
  <si>
    <t>6726584</t>
  </si>
  <si>
    <t>LIOPINO LOURENÇO DE ARAUJO</t>
  </si>
  <si>
    <t>(034) 9163-6013</t>
  </si>
  <si>
    <t>MULTITECNICA NUTRIENTES MINERAIS</t>
  </si>
  <si>
    <t>35701970</t>
  </si>
  <si>
    <t>MULTITECNICA INDUSTRIAL LTDA</t>
  </si>
  <si>
    <t>6728402620079</t>
  </si>
  <si>
    <t>MG 238</t>
  </si>
  <si>
    <t>(031) 3779-4309</t>
  </si>
  <si>
    <t>MULTITECNICA TRANSPORTES</t>
  </si>
  <si>
    <t>MULTITECNICA LOGISTICA LTDA</t>
  </si>
  <si>
    <t>6729578090049</t>
  </si>
  <si>
    <t>GUSTAVO PEREIRA MONTES</t>
  </si>
  <si>
    <t>38411196</t>
  </si>
  <si>
    <t>6838497</t>
  </si>
  <si>
    <t>ANTONIO SCANAPIECCO</t>
  </si>
  <si>
    <t>(034) 98809-9810</t>
  </si>
  <si>
    <t>APERAM BIOENERGIA - VEREDINHA</t>
  </si>
  <si>
    <t>39663000</t>
  </si>
  <si>
    <t>APERAM BIOENERGIA LTDA</t>
  </si>
  <si>
    <t>6870948002246</t>
  </si>
  <si>
    <t>VEREDINHA</t>
  </si>
  <si>
    <t>PARANA CURRAL VELHO E OUTRAS</t>
  </si>
  <si>
    <t>ALIGRA IND. E COM. DE ARGILA LTDA</t>
  </si>
  <si>
    <t>12053000</t>
  </si>
  <si>
    <t>688000600111</t>
  </si>
  <si>
    <t>TAUBATE</t>
  </si>
  <si>
    <t>VOL.BENEDITO SERGIO</t>
  </si>
  <si>
    <t>1905</t>
  </si>
  <si>
    <t>44245000</t>
  </si>
  <si>
    <t>FERTIMAXI COM SERV FERTILIZANTES EIRELLI</t>
  </si>
  <si>
    <t>69222228</t>
  </si>
  <si>
    <t>SALVADOR/FEIRA DE SANTANA</t>
  </si>
  <si>
    <t>(071) 3358-2961</t>
  </si>
  <si>
    <t>6930395570635</t>
  </si>
  <si>
    <t>BR 381 KM 755</t>
  </si>
  <si>
    <t>(035) 3239-5900</t>
  </si>
  <si>
    <t>COCATREL - TRES PONTAS</t>
  </si>
  <si>
    <t>6940784890525</t>
  </si>
  <si>
    <t>COCATREL - COQUEIRAL</t>
  </si>
  <si>
    <t>6940784893184</t>
  </si>
  <si>
    <t>RUA PREFEITO GERALDO ALVES VILELA</t>
  </si>
  <si>
    <t>PREFEITO JULIO MENEZES</t>
  </si>
  <si>
    <t>17607090</t>
  </si>
  <si>
    <t>697.028.364.115</t>
  </si>
  <si>
    <t>TUPA</t>
  </si>
  <si>
    <t>VILA ESPANHA</t>
  </si>
  <si>
    <t>(055) 143404-4551</t>
  </si>
  <si>
    <t>POSTO PRODOESTE - UBERABA</t>
  </si>
  <si>
    <t>38040120</t>
  </si>
  <si>
    <t>PRODOESTE VEICULOS E SERVICOS LTDA.</t>
  </si>
  <si>
    <t>7010392250838</t>
  </si>
  <si>
    <t>RUA ARLINDO DE MELO</t>
  </si>
  <si>
    <t>REC DOS BANDEIRANTES</t>
  </si>
  <si>
    <t>1675</t>
  </si>
  <si>
    <t>(055) 34336-4137</t>
  </si>
  <si>
    <t>HERINGER - UBERABA</t>
  </si>
  <si>
    <t>7010395570892</t>
  </si>
  <si>
    <t>(034) 3311-9050</t>
  </si>
  <si>
    <t>USINA DE ACUCAR SANTA TEREZINHA</t>
  </si>
  <si>
    <t>87065006</t>
  </si>
  <si>
    <t>USINA DE ACUCAR SANTA TEREZINHA LTDA</t>
  </si>
  <si>
    <t>7011149060</t>
  </si>
  <si>
    <t>MARINGA</t>
  </si>
  <si>
    <t>PIONEIRO VICTORIO MARCON</t>
  </si>
  <si>
    <t>693</t>
  </si>
  <si>
    <t>(044) 218-1900</t>
  </si>
  <si>
    <t>MOSAIC - UBERABA (UBA I)</t>
  </si>
  <si>
    <t>7011213734860</t>
  </si>
  <si>
    <t>DIST INDUSTRIAL III</t>
  </si>
  <si>
    <t>1535</t>
  </si>
  <si>
    <t>(034) 3336-6333</t>
  </si>
  <si>
    <t>7011213734941</t>
  </si>
  <si>
    <t>BUNGE - UBERABA</t>
  </si>
  <si>
    <t>7011224671210</t>
  </si>
  <si>
    <t>PLANT BEM - MARINGÁ</t>
  </si>
  <si>
    <t>87065005</t>
  </si>
  <si>
    <t>PLANT BEM FERTILIZANTES S. A.</t>
  </si>
  <si>
    <t>7011304642</t>
  </si>
  <si>
    <t>RIBEIRÃO GLEBA PINGU</t>
  </si>
  <si>
    <t>4065</t>
  </si>
  <si>
    <t>(044) 2103-8060</t>
  </si>
  <si>
    <t>TA CONFECÇÕES</t>
  </si>
  <si>
    <t>38015000</t>
  </si>
  <si>
    <t>STREET IND. E COM. DE CONFECÇÕES LTDA</t>
  </si>
  <si>
    <t>7013403270085</t>
  </si>
  <si>
    <t>AV LEOPOLDINO DE OLIVEIRA</t>
  </si>
  <si>
    <t>2084</t>
  </si>
  <si>
    <t>(034) 3338-3050</t>
  </si>
  <si>
    <t>TRANSPORTADORA LEVFORT LTDA</t>
  </si>
  <si>
    <t>38073350</t>
  </si>
  <si>
    <t>7013475930081</t>
  </si>
  <si>
    <t>JOAQUIM TOMAZ DA SILVA</t>
  </si>
  <si>
    <t>AGROZAP UBERABA</t>
  </si>
  <si>
    <t>FACIROLLI COMERCIO E REPRESENTAÇÕES LTDA</t>
  </si>
  <si>
    <t>7013768590071</t>
  </si>
  <si>
    <t>(034) 3336-2544</t>
  </si>
  <si>
    <t>FACIROLLI COMERCIO E REPRESENTACOES S/A</t>
  </si>
  <si>
    <t>38041100</t>
  </si>
  <si>
    <t>7013768591060</t>
  </si>
  <si>
    <t>R CORONEL RANULFO BORGES NASCIMENTO</t>
  </si>
  <si>
    <t>AGROZAP UBERLANDIA</t>
  </si>
  <si>
    <t>38400746</t>
  </si>
  <si>
    <t>7013768591221</t>
  </si>
  <si>
    <t>MINERVINA CÂNDIDA OLIVEIRA</t>
  </si>
  <si>
    <t>2140</t>
  </si>
  <si>
    <t>(034) 3229-2929</t>
  </si>
  <si>
    <t>FACIROLLI COMERCIO E REPRESENTACOES LTDA</t>
  </si>
  <si>
    <t>AGROZAP CAPINOPOLIS</t>
  </si>
  <si>
    <t>7013768591302</t>
  </si>
  <si>
    <t>AV NOVENTA E NOVE</t>
  </si>
  <si>
    <t>AGROZAP CARMO DO PARANAIBA</t>
  </si>
  <si>
    <t>701376859148</t>
  </si>
  <si>
    <t>38706491</t>
  </si>
  <si>
    <t>7013768591558</t>
  </si>
  <si>
    <t>2066</t>
  </si>
  <si>
    <t>NILSON RODRIGUES MESSIAS</t>
  </si>
  <si>
    <t>701641</t>
  </si>
  <si>
    <t>FERTIGRAN - UBERABA</t>
  </si>
  <si>
    <t>7016625750027</t>
  </si>
  <si>
    <t>22840</t>
  </si>
  <si>
    <t>(034) 3318-6500</t>
  </si>
  <si>
    <t>ALFA MARE INSTRUMENTOS CIENTÍFICOS E MÉD</t>
  </si>
  <si>
    <t>7017350110015</t>
  </si>
  <si>
    <t>BERNARDO GUIMARAES</t>
  </si>
  <si>
    <t>RODONAVES - UBERABA</t>
  </si>
  <si>
    <t>RODONAVES TRANSP E ENCOMENDAS LTDA</t>
  </si>
  <si>
    <t>7018262260059</t>
  </si>
  <si>
    <t>CORONEL RANULFO BORGES NASCIMENTO</t>
  </si>
  <si>
    <t>LOJAS AMERICANA S.A</t>
  </si>
  <si>
    <t>38400186</t>
  </si>
  <si>
    <t>7020002180252</t>
  </si>
  <si>
    <t>PRAÇA TUBAL VILELA</t>
  </si>
  <si>
    <t>DISMAX DISTRIBUIDORA LTDA FILIAL</t>
  </si>
  <si>
    <t>7020183530129</t>
  </si>
  <si>
    <t>38402350</t>
  </si>
  <si>
    <t>7020247030776</t>
  </si>
  <si>
    <t>WILL CARGILL</t>
  </si>
  <si>
    <t>(034) 3218-5200</t>
  </si>
  <si>
    <t>CARGILL - UBERLANDIA 2</t>
  </si>
  <si>
    <t>7020247033589</t>
  </si>
  <si>
    <t>3218-5194</t>
  </si>
  <si>
    <t>ELETROMAC - VASCONCELOS 525</t>
  </si>
  <si>
    <t>ELETROMAC LTDA</t>
  </si>
  <si>
    <t>7020270950002</t>
  </si>
  <si>
    <t>(055) 343292-4400</t>
  </si>
  <si>
    <t>ELETROMAC - VASCONCELOS 512</t>
  </si>
  <si>
    <t>38400448</t>
  </si>
  <si>
    <t>7020270950266</t>
  </si>
  <si>
    <t>7020348040068</t>
  </si>
  <si>
    <t>PATRIMAC</t>
  </si>
  <si>
    <t>PATRIMAC - PATR MAT P/ CONST LTDA</t>
  </si>
  <si>
    <t>7020374480096</t>
  </si>
  <si>
    <t>1189</t>
  </si>
  <si>
    <t>(055) 343214-8284</t>
  </si>
  <si>
    <t>SUPPORTE ARMAZENAGEM VENDAS E LOGISTICA</t>
  </si>
  <si>
    <t>7020533260060</t>
  </si>
  <si>
    <t>CONJUNTO ALVORADA/MORUMBI</t>
  </si>
  <si>
    <t>(034) 3228-9500</t>
  </si>
  <si>
    <t>GUARDIAN</t>
  </si>
  <si>
    <t>GUARDIAN SECURITY LTDA</t>
  </si>
  <si>
    <t>7020725130068</t>
  </si>
  <si>
    <t>(034) 2102-8844</t>
  </si>
  <si>
    <t>ALCIONE SILVA AVILINO LEMOS - FOTOLANDIA</t>
  </si>
  <si>
    <t>ALCIONE SILVA AVILINO LEMOS</t>
  </si>
  <si>
    <t>7020731450060</t>
  </si>
  <si>
    <t>(034) 3237-5351</t>
  </si>
  <si>
    <t>COMERCIAL ELETRICA TRIANGULO LTDA</t>
  </si>
  <si>
    <t>7021047430011</t>
  </si>
  <si>
    <t>(034) 3223-3424</t>
  </si>
  <si>
    <t>ELETRICA TRIANGULO</t>
  </si>
  <si>
    <t>38408232</t>
  </si>
  <si>
    <t>7021047430275</t>
  </si>
  <si>
    <t>SEBASTIANA ARANTES FONSECA</t>
  </si>
  <si>
    <t>1757</t>
  </si>
  <si>
    <t>(055) 343223-3424</t>
  </si>
  <si>
    <t>TRIANGULIN AUTO ELETRICO LTDA</t>
  </si>
  <si>
    <t>38400750</t>
  </si>
  <si>
    <t>TRIANGULIN</t>
  </si>
  <si>
    <t>7021104170044</t>
  </si>
  <si>
    <t>PARÁ</t>
  </si>
  <si>
    <t>(034) 3232-9131</t>
  </si>
  <si>
    <t>BRASIL BORRACHAS LTDA</t>
  </si>
  <si>
    <t>38402280</t>
  </si>
  <si>
    <t>7021169630198</t>
  </si>
  <si>
    <t>CONFEDERAÇÃO DO EQUADOR</t>
  </si>
  <si>
    <t>335</t>
  </si>
  <si>
    <t>(034) 3233-7001</t>
  </si>
  <si>
    <t>3 TRANSPORTES ESPECIAIS EIRELI - ME</t>
  </si>
  <si>
    <t>38401062</t>
  </si>
  <si>
    <t>7021262760063</t>
  </si>
  <si>
    <t>AV ERNESTO VICENTINI</t>
  </si>
  <si>
    <t>89</t>
  </si>
  <si>
    <t>(034) 3234-1784</t>
  </si>
  <si>
    <t>KRA COMERCIO DE EMBALAGENS LTDA</t>
  </si>
  <si>
    <t>38400338</t>
  </si>
  <si>
    <t>7021516040075</t>
  </si>
  <si>
    <t>712</t>
  </si>
  <si>
    <t>(055) 343222-2204</t>
  </si>
  <si>
    <t>LC - UBERLÂNDIA</t>
  </si>
  <si>
    <t>LC LOGÍSTICA E TRANSPORTES LTDA</t>
  </si>
  <si>
    <t>7021631430026</t>
  </si>
  <si>
    <t>(034) 3291-3200</t>
  </si>
  <si>
    <t>REP-TEC</t>
  </si>
  <si>
    <t>REPTEC EQUIP DE SEGUR E UNIFORMES LTDA</t>
  </si>
  <si>
    <t>7021631460057</t>
  </si>
  <si>
    <t>2225</t>
  </si>
  <si>
    <t>(055) 343291-4000</t>
  </si>
  <si>
    <t>SETE RODAS</t>
  </si>
  <si>
    <t>38402324</t>
  </si>
  <si>
    <t>SETE RODAS PERF IND E COMERCIO LTDA</t>
  </si>
  <si>
    <t>7021671500033</t>
  </si>
  <si>
    <t>775</t>
  </si>
  <si>
    <t>(034) 3213-8777</t>
  </si>
  <si>
    <t>FITTI PERFUMARIA E COSMETICOS LTDA</t>
  </si>
  <si>
    <t>7021699420018</t>
  </si>
  <si>
    <t>(034) 3210-1131</t>
  </si>
  <si>
    <t>LIDER INOX LTDA</t>
  </si>
  <si>
    <t>7022115400012</t>
  </si>
  <si>
    <t>CEL JOSÉ TEÓFILO CARNEIRO</t>
  </si>
  <si>
    <t>(034) 3214-9695</t>
  </si>
  <si>
    <t>38400658</t>
  </si>
  <si>
    <t>ARS LOG LTDA</t>
  </si>
  <si>
    <t>7022425560000</t>
  </si>
  <si>
    <t>ITHIBIAN PAISAGISMO LTDA ME</t>
  </si>
  <si>
    <t>38412026</t>
  </si>
  <si>
    <t>7022486010085</t>
  </si>
  <si>
    <t>SILVIO RUGANI</t>
  </si>
  <si>
    <t>A ALTO ASTRAL CORTINAS E DECORACOES LTDA</t>
  </si>
  <si>
    <t>NAO UTILIZAR - CADASTRO EM DUPLICIDADE</t>
  </si>
  <si>
    <t>AGRIMAQUI</t>
  </si>
  <si>
    <t>7022509800010</t>
  </si>
  <si>
    <t>1951</t>
  </si>
  <si>
    <t>(034) 3211-2288</t>
  </si>
  <si>
    <t>PRADO RECICLAGEM LTDA - EPP</t>
  </si>
  <si>
    <t>38405236</t>
  </si>
  <si>
    <t>7022523680077</t>
  </si>
  <si>
    <t>JOÃO LEÃO</t>
  </si>
  <si>
    <t>6363</t>
  </si>
  <si>
    <t>UBERJATO LTDA</t>
  </si>
  <si>
    <t>38402345</t>
  </si>
  <si>
    <t>7022607760012</t>
  </si>
  <si>
    <t>RUA JOSE VIEIRA DE CARVALHO</t>
  </si>
  <si>
    <t>221</t>
  </si>
  <si>
    <t>RECICLA ACO COM. E IND. DE ACO LTDA</t>
  </si>
  <si>
    <t>38401377</t>
  </si>
  <si>
    <t>7022688460049</t>
  </si>
  <si>
    <t>(055) 112355-5001</t>
  </si>
  <si>
    <t>MECAOFFICE MOBIL. EIRELI-ME</t>
  </si>
  <si>
    <t>MECA OFFICE MOBIL. EIRELI-ME</t>
  </si>
  <si>
    <t>7022916720058</t>
  </si>
  <si>
    <t>1055</t>
  </si>
  <si>
    <t>(034) 3238-5585</t>
  </si>
  <si>
    <t>38400700</t>
  </si>
  <si>
    <t>7022992100634</t>
  </si>
  <si>
    <t>1406</t>
  </si>
  <si>
    <t>TRIUNFO</t>
  </si>
  <si>
    <t>38400468</t>
  </si>
  <si>
    <t>TRIUNFO PAPELARIA E INFORMÁTICA LTDA</t>
  </si>
  <si>
    <t>7023103790040</t>
  </si>
  <si>
    <t>1305</t>
  </si>
  <si>
    <t>(034) 3210-9394</t>
  </si>
  <si>
    <t>J.P. MADEIRAS E FERRAFENS LTDA</t>
  </si>
  <si>
    <t>7023150020078</t>
  </si>
  <si>
    <t>(034) 3216-1535</t>
  </si>
  <si>
    <t>LAVANDERIA E TINTURARIA CRISTAL</t>
  </si>
  <si>
    <t>38414084</t>
  </si>
  <si>
    <t>LAVANDERIA E TINTURARIA CRISTAL LTDA</t>
  </si>
  <si>
    <t>7023405350051</t>
  </si>
  <si>
    <t>RADIALISTA ODORICO CINTRA</t>
  </si>
  <si>
    <t>LE CROCANT</t>
  </si>
  <si>
    <t>PANIFICADORA SANTA JULIANA LTDA</t>
  </si>
  <si>
    <t>7023870040069</t>
  </si>
  <si>
    <t>3088</t>
  </si>
  <si>
    <t>(034) 3212-0945</t>
  </si>
  <si>
    <t>LAUDO LABORATORIO</t>
  </si>
  <si>
    <t>LAUDO LABORATORIO AVICOLA</t>
  </si>
  <si>
    <t>7023871770001</t>
  </si>
  <si>
    <t>(055) 343222-5700</t>
  </si>
  <si>
    <t>PARANAIBA FERT IND E COM LTDA</t>
  </si>
  <si>
    <t>7024287940033</t>
  </si>
  <si>
    <t>1129</t>
  </si>
  <si>
    <t>(055) 343233-9600</t>
  </si>
  <si>
    <t>38408350</t>
  </si>
  <si>
    <t>UBERTAMBORES LTDA - EPP</t>
  </si>
  <si>
    <t>7024491210048</t>
  </si>
  <si>
    <t>AMANCIO JORGE MONTEIRO</t>
  </si>
  <si>
    <t>840</t>
  </si>
  <si>
    <t>(034) 3216-2418</t>
  </si>
  <si>
    <t>MAQLAR PECAS E SERVICOS LTDA - ME</t>
  </si>
  <si>
    <t>7024494810020</t>
  </si>
  <si>
    <t>843</t>
  </si>
  <si>
    <t>(034) 3214-0511</t>
  </si>
  <si>
    <t>SOUZA RODAS</t>
  </si>
  <si>
    <t>SOUZA RODAS LTDA</t>
  </si>
  <si>
    <t>7024825730044</t>
  </si>
  <si>
    <t>1045</t>
  </si>
  <si>
    <t>(034) 3236-4530</t>
  </si>
  <si>
    <t>ENGEON</t>
  </si>
  <si>
    <t>38400732</t>
  </si>
  <si>
    <t>ENGEON MOVIMENTACAO DE CARGAS LTDA</t>
  </si>
  <si>
    <t>7024933670081</t>
  </si>
  <si>
    <t>AV PROFESSOR JOSE INACIO DE SOUZA</t>
  </si>
  <si>
    <t>1.275</t>
  </si>
  <si>
    <t>(055) 343211-7013</t>
  </si>
  <si>
    <t>BOM JESUS EXTRAÇÃO MINERAL LTDA</t>
  </si>
  <si>
    <t>38405048</t>
  </si>
  <si>
    <t>7025277580086</t>
  </si>
  <si>
    <t>ESPANHA</t>
  </si>
  <si>
    <t>277</t>
  </si>
  <si>
    <t>(034) 3213-7373</t>
  </si>
  <si>
    <t>COMERCIAL RN LTDA</t>
  </si>
  <si>
    <t>38400076</t>
  </si>
  <si>
    <t>7025609660050</t>
  </si>
  <si>
    <t>PROF. MINERVINA CÂNDIDA OLIVEIRA</t>
  </si>
  <si>
    <t>2270</t>
  </si>
  <si>
    <t>(034) 3236-2448</t>
  </si>
  <si>
    <t>MC VIDEO SOM LTDA</t>
  </si>
  <si>
    <t>7025613380067</t>
  </si>
  <si>
    <t>LIDICE</t>
  </si>
  <si>
    <t>1104</t>
  </si>
  <si>
    <t>LIMA E PERGHER IND.E COMÉRCIO S/A</t>
  </si>
  <si>
    <t>7025614230220</t>
  </si>
  <si>
    <t>(034) 3292-6100</t>
  </si>
  <si>
    <t>START QUIMICA - 22.685.341/0014-03</t>
  </si>
  <si>
    <t>LIMA &amp; PERGHER IND E COMERCIO S/A</t>
  </si>
  <si>
    <t>7025614230557</t>
  </si>
  <si>
    <t>1639</t>
  </si>
  <si>
    <t>DOMINGUES INDUSTRIA E COMÉRCIO - ME</t>
  </si>
  <si>
    <t>7025842610036</t>
  </si>
  <si>
    <t>D.JOSEFINA DE OLIVEIRA SILVA</t>
  </si>
  <si>
    <t>(034) 3215-2143</t>
  </si>
  <si>
    <t>RENOVOLTECH ELETRO MECANICA LTDA</t>
  </si>
  <si>
    <t>7025842940044</t>
  </si>
  <si>
    <t>(055) 343253-6000</t>
  </si>
  <si>
    <t>RENOVOLTECH ELETRO</t>
  </si>
  <si>
    <t>38400410</t>
  </si>
  <si>
    <t>RENOVOLTECH ELETRO MECANICA LTDA - ME</t>
  </si>
  <si>
    <t>7025842940125</t>
  </si>
  <si>
    <t>696</t>
  </si>
  <si>
    <t>COSTA MORAES</t>
  </si>
  <si>
    <t>COSTA MORAES COMERCIO LTDA</t>
  </si>
  <si>
    <t>7025851310074</t>
  </si>
  <si>
    <t>1281</t>
  </si>
  <si>
    <t>(034) 3236-3267</t>
  </si>
  <si>
    <t>MACROTEC</t>
  </si>
  <si>
    <t>38405064</t>
  </si>
  <si>
    <t>MACROTEC LTDA</t>
  </si>
  <si>
    <t>7025931720198</t>
  </si>
  <si>
    <t>GRÉCIA</t>
  </si>
  <si>
    <t>979</t>
  </si>
  <si>
    <t>(034) 3221-5800</t>
  </si>
  <si>
    <t>COMERCIAL QUINTINO MAQ E FER LTDA</t>
  </si>
  <si>
    <t>7026288830020</t>
  </si>
  <si>
    <t>3590</t>
  </si>
  <si>
    <t>3292-2800</t>
  </si>
  <si>
    <t>7026288830284</t>
  </si>
  <si>
    <t>410</t>
  </si>
  <si>
    <t>SPEED SERVICE REFRIGERACAO LTDA</t>
  </si>
  <si>
    <t>7026514900063</t>
  </si>
  <si>
    <t>1989</t>
  </si>
  <si>
    <t>(034) 3236-1456</t>
  </si>
  <si>
    <t>GRUPO PROTEC</t>
  </si>
  <si>
    <t>PROTEC - UBERLÂNDIA</t>
  </si>
  <si>
    <t>PROTEC PRODUTOS AGRICOLAS LTDA</t>
  </si>
  <si>
    <t>7026730070022</t>
  </si>
  <si>
    <t>(034) 3292-4201</t>
  </si>
  <si>
    <t>38600561</t>
  </si>
  <si>
    <t>PROTEC - PARACATU</t>
  </si>
  <si>
    <t>7026730070448</t>
  </si>
  <si>
    <t>WANIR MONTEIRO SILVA</t>
  </si>
  <si>
    <t>SANTO EDUARDO</t>
  </si>
  <si>
    <t>79</t>
  </si>
  <si>
    <t>PROTEC - PATOS DE MINAS</t>
  </si>
  <si>
    <t>7026730071436</t>
  </si>
  <si>
    <t>3335</t>
  </si>
  <si>
    <t>BETERLANDIA AUTO ELETRICA LTDA</t>
  </si>
  <si>
    <t>7026907900026</t>
  </si>
  <si>
    <t>MARMORARIA AMERICA LTDA</t>
  </si>
  <si>
    <t>38401576</t>
  </si>
  <si>
    <t>7027037890090</t>
  </si>
  <si>
    <t>JARDIM AMERICA II</t>
  </si>
  <si>
    <t>(055) 343231-6556</t>
  </si>
  <si>
    <t>FERREIRA PAIANO TRANSPORTES LTDA</t>
  </si>
  <si>
    <t>7027219510030</t>
  </si>
  <si>
    <t>REIDENCIAL GRAMADO</t>
  </si>
  <si>
    <t>4950</t>
  </si>
  <si>
    <t>TRATORAUTO COMERCIO DE MAQUINAS AGRICOLA</t>
  </si>
  <si>
    <t>38405326</t>
  </si>
  <si>
    <t>7027330940080</t>
  </si>
  <si>
    <t>AV PROFESSORA MINERVINA CANDIDA OLIVEIRA</t>
  </si>
  <si>
    <t>MECÂNICA INDUSTRIAL NACIONAL LTDA</t>
  </si>
  <si>
    <t>38402196</t>
  </si>
  <si>
    <t>7027533780001</t>
  </si>
  <si>
    <t>QUILOMBO DOS PALMARES</t>
  </si>
  <si>
    <t>(034) 3212-3336</t>
  </si>
  <si>
    <t>RIBEIRO BARROSO CONSTR. ELETRICAS LTDA</t>
  </si>
  <si>
    <t>7027794490090</t>
  </si>
  <si>
    <t>8001</t>
  </si>
  <si>
    <t>UNI BORRACHAS</t>
  </si>
  <si>
    <t>UNIÃO COMERCIAL DE BORRACHAS LTDA</t>
  </si>
  <si>
    <t>7027820040077</t>
  </si>
  <si>
    <t>3731</t>
  </si>
  <si>
    <t>(034) 3232-9335</t>
  </si>
  <si>
    <t>GOIÁS MÁQUINAS E EQUIPAMENTOS - ME</t>
  </si>
  <si>
    <t>38400325</t>
  </si>
  <si>
    <t>7027828790024</t>
  </si>
  <si>
    <t>1975</t>
  </si>
  <si>
    <t>(034) 3236-7642</t>
  </si>
  <si>
    <t>ASOCEGU</t>
  </si>
  <si>
    <t>ASSOCIACAO DOS DEFICIENTES VISUAIS DE UB</t>
  </si>
  <si>
    <t>702798042.00-99</t>
  </si>
  <si>
    <t>STA MONICA</t>
  </si>
  <si>
    <t>TGC COMERCIO DE MALHAS E CONFECCOES LTDA</t>
  </si>
  <si>
    <t>38401002</t>
  </si>
  <si>
    <t>7027984680060</t>
  </si>
  <si>
    <t>FRANCISCO VIEIRA DE PAIVA</t>
  </si>
  <si>
    <t>(055) 349661-4257</t>
  </si>
  <si>
    <t>COPAGAZ DISTRIB DE GAS S A</t>
  </si>
  <si>
    <t>38402338</t>
  </si>
  <si>
    <t>COPA ENERGIA DISTRIBUIDORA DE GAS S A</t>
  </si>
  <si>
    <t>7028188980839</t>
  </si>
  <si>
    <t>(034) 2102-0100</t>
  </si>
  <si>
    <t>CENTER SON</t>
  </si>
  <si>
    <t>NEW TECNICA LTDA</t>
  </si>
  <si>
    <t>7028230460095</t>
  </si>
  <si>
    <t>AV VASCONCELOS COSTA</t>
  </si>
  <si>
    <t>674</t>
  </si>
  <si>
    <t>TANQUINOX</t>
  </si>
  <si>
    <t>38402190</t>
  </si>
  <si>
    <t>TANQUINOX TANQUE E EQUIP. EM AÇO LTDA</t>
  </si>
  <si>
    <t>7028564760089</t>
  </si>
  <si>
    <t>GUMERCINDO SILVA</t>
  </si>
  <si>
    <t>653</t>
  </si>
  <si>
    <t>(034) 3213-9612</t>
  </si>
  <si>
    <t>LOJAS PRADO</t>
  </si>
  <si>
    <t>38400100</t>
  </si>
  <si>
    <t>FERNANDO DE OLIVEIRA PRADO ME</t>
  </si>
  <si>
    <t>7028709410032</t>
  </si>
  <si>
    <t>129</t>
  </si>
  <si>
    <t>(034) 3214-1158</t>
  </si>
  <si>
    <t>TECNOLOGICA ENERGIA</t>
  </si>
  <si>
    <t>TECNOLOGICA AUTOMAÇÃO CRITICAL POWER</t>
  </si>
  <si>
    <t>7028855130030</t>
  </si>
  <si>
    <t>(034) 3212-5900</t>
  </si>
  <si>
    <t>CENTRAL MAQUINAS ENGENHARIA EIRELI EPP</t>
  </si>
  <si>
    <t>38402341</t>
  </si>
  <si>
    <t>7028873570039</t>
  </si>
  <si>
    <t>VALDI BORGES DE CASTILHO</t>
  </si>
  <si>
    <t>GRAFICA E EDITORA SCANNER LTDA EPP</t>
  </si>
  <si>
    <t>38401240</t>
  </si>
  <si>
    <t>7028892080068</t>
  </si>
  <si>
    <t>ALEXANDRINO ALVES VIEIRA</t>
  </si>
  <si>
    <t>MAQTEQ</t>
  </si>
  <si>
    <t>MAQTEC PEÇAS E SERVIÇOS LTDA</t>
  </si>
  <si>
    <t>7029548810000</t>
  </si>
  <si>
    <t>1038</t>
  </si>
  <si>
    <t>(034) 3303-6500</t>
  </si>
  <si>
    <t>JET COMPANY LTDA</t>
  </si>
  <si>
    <t>7029803840038</t>
  </si>
  <si>
    <t>(034) 3212-4966</t>
  </si>
  <si>
    <t>UFU</t>
  </si>
  <si>
    <t>UNIVERSIDADE FEDERAL DE UBERLANDIA</t>
  </si>
  <si>
    <t>7029838840093</t>
  </si>
  <si>
    <t>2121</t>
  </si>
  <si>
    <t>(034) 3239-4411</t>
  </si>
  <si>
    <t>ASSISTEC SOLUCOES ELETROMECANICAS LTDA</t>
  </si>
  <si>
    <t>7029873840061</t>
  </si>
  <si>
    <t>CORONEL JOSE TEOFILO CARNEIRO</t>
  </si>
  <si>
    <t>(034) 3231-4145</t>
  </si>
  <si>
    <t>PLATAFORMA INFORMÁTICA</t>
  </si>
  <si>
    <t>38400126</t>
  </si>
  <si>
    <t>NOBREGA &amp; ALMEIDA INFORMATICA LTDA</t>
  </si>
  <si>
    <t>7029963930060</t>
  </si>
  <si>
    <t>939</t>
  </si>
  <si>
    <t>RONNY CLAYTON SMARSI</t>
  </si>
  <si>
    <t>15760000</t>
  </si>
  <si>
    <t>705.028.061.116</t>
  </si>
  <si>
    <t>URANIA</t>
  </si>
  <si>
    <t>CORREGO COMPRIDO</t>
  </si>
  <si>
    <t>(055) 179606-6855</t>
  </si>
  <si>
    <t>COOPERATIVA AGROIND DE VARGINHA LTDA</t>
  </si>
  <si>
    <t>37018070</t>
  </si>
  <si>
    <t>7070474860028</t>
  </si>
  <si>
    <t>RUA JOAO ALVES DE MIRANDA</t>
  </si>
  <si>
    <t>VILA PAIVA</t>
  </si>
  <si>
    <t>37060705</t>
  </si>
  <si>
    <t>FERTIPAR SUDESTE ADUBOS E CORRETIVOS AGR</t>
  </si>
  <si>
    <t>7077473000080</t>
  </si>
  <si>
    <t>HANS KIESER</t>
  </si>
  <si>
    <t>REZENDE</t>
  </si>
  <si>
    <t>(035) 3219-4300</t>
  </si>
  <si>
    <t>37820000</t>
  </si>
  <si>
    <t>7077473000161</t>
  </si>
  <si>
    <t>MG 449</t>
  </si>
  <si>
    <t>37068002</t>
  </si>
  <si>
    <t>APROVAR AGROPECUARIA COM. E REP. LTDA</t>
  </si>
  <si>
    <t>7078669510031</t>
  </si>
  <si>
    <t>PRINCESA DO SUL</t>
  </si>
  <si>
    <t>JARDIM RIBEIRO</t>
  </si>
  <si>
    <t>2320</t>
  </si>
  <si>
    <t>(055) 353214-1837</t>
  </si>
  <si>
    <t>DUARTE BALANÇAS</t>
  </si>
  <si>
    <t>37030320</t>
  </si>
  <si>
    <t>DUARTE BALANÇAS LTDA</t>
  </si>
  <si>
    <t>7078909690055</t>
  </si>
  <si>
    <t>ALMIRANTE BARROSO</t>
  </si>
  <si>
    <t>SÃO GERALDO</t>
  </si>
  <si>
    <t>(035) 3212-3281</t>
  </si>
  <si>
    <t>CBO ASSESSORIA E ANALISE</t>
  </si>
  <si>
    <t>13279071</t>
  </si>
  <si>
    <t>C. B. O. ANALISES LABORATORIAIS LTDA.</t>
  </si>
  <si>
    <t>708.127.308.110</t>
  </si>
  <si>
    <t>VALINHOS</t>
  </si>
  <si>
    <t>ARQUITETO CLAYTON ALVES CORREA</t>
  </si>
  <si>
    <t>VALE VERDE</t>
  </si>
  <si>
    <t>327</t>
  </si>
  <si>
    <t>(055) 193790-1501</t>
  </si>
  <si>
    <t>OMNIA DO BRASIL REPRESENT. COMERC. LTDA</t>
  </si>
  <si>
    <t>13610855</t>
  </si>
  <si>
    <t>OMNIA DO BRASIL REPR COMERCIAIS LTDA</t>
  </si>
  <si>
    <t>708217120110</t>
  </si>
  <si>
    <t>LEME</t>
  </si>
  <si>
    <t>GIACOMO PETRUZ</t>
  </si>
  <si>
    <t>SERELEPE</t>
  </si>
  <si>
    <t>(055) 198114-1044</t>
  </si>
  <si>
    <t>NOBRE MOTORES E BOMBAS COM E SERV LTDA</t>
  </si>
  <si>
    <t>13276030</t>
  </si>
  <si>
    <t>708235909119</t>
  </si>
  <si>
    <t>INDEPENDENCIA</t>
  </si>
  <si>
    <t>VILA OLIVO</t>
  </si>
  <si>
    <t>1665</t>
  </si>
  <si>
    <t>(055) 199299-7118</t>
  </si>
  <si>
    <t>13880000</t>
  </si>
  <si>
    <t>FERTIPLANTA IND. E COM. DE FERTILIZANTES</t>
  </si>
  <si>
    <t>711019130119</t>
  </si>
  <si>
    <t>SITIO SAO CAMILO</t>
  </si>
  <si>
    <t>(019) 3641-1814</t>
  </si>
  <si>
    <t>PAULIFERTIL IND E COM DE FERTILIZANTES</t>
  </si>
  <si>
    <t>13226400</t>
  </si>
  <si>
    <t>712068599110</t>
  </si>
  <si>
    <t>RODOVIA ADAIL EDUARDO GUT</t>
  </si>
  <si>
    <t>SITIO DO MURSA</t>
  </si>
  <si>
    <t>NITRO QUIMICA</t>
  </si>
  <si>
    <t>COMPANHIA NITRO QUIMICA BRASILEIRA</t>
  </si>
  <si>
    <t>712211684118</t>
  </si>
  <si>
    <t>(055) 112246-3375</t>
  </si>
  <si>
    <t>STEPAN QUIMICA LTDA</t>
  </si>
  <si>
    <t>33201003</t>
  </si>
  <si>
    <t>7123869220081</t>
  </si>
  <si>
    <t>AV DAS NACOES</t>
  </si>
  <si>
    <t>2448</t>
  </si>
  <si>
    <t>VIRBAG EMBALAGENS  LTDA</t>
  </si>
  <si>
    <t>14740000</t>
  </si>
  <si>
    <t>715010528114</t>
  </si>
  <si>
    <t>VERONA</t>
  </si>
  <si>
    <t>15920000</t>
  </si>
  <si>
    <t>ANTENOR VERONA &amp; CIA LTDA - EPP</t>
  </si>
  <si>
    <t>716002779116</t>
  </si>
  <si>
    <t>VISTA ALEGRE DO ALTO</t>
  </si>
  <si>
    <t>SP 323 KM29</t>
  </si>
  <si>
    <t>(016) 3287-9999</t>
  </si>
  <si>
    <t>A. A. VERONA E CIA LTDA</t>
  </si>
  <si>
    <t>716060360118</t>
  </si>
  <si>
    <t>MUNIC. VISTA ALEGRE A MONTE ALTO</t>
  </si>
  <si>
    <t>15503005</t>
  </si>
  <si>
    <t>SOBERANA EQUIPAMENTOS AGROPECUARIOS LTDA</t>
  </si>
  <si>
    <t>718.019.641.118</t>
  </si>
  <si>
    <t>VOTUPORANGA</t>
  </si>
  <si>
    <t>NASSER MARAO</t>
  </si>
  <si>
    <t>PARQUE INDUSTRIAL IV</t>
  </si>
  <si>
    <t>1717</t>
  </si>
  <si>
    <t>(055) 173426-8900</t>
  </si>
  <si>
    <t>ETHIK TECHNOLOGY</t>
  </si>
  <si>
    <t>06730000</t>
  </si>
  <si>
    <t>NOVA ETICA PRODUTOS E EQUIP CIENT LTDA</t>
  </si>
  <si>
    <t>720009019112</t>
  </si>
  <si>
    <t>VARGEM GRANDE PAULISTA</t>
  </si>
  <si>
    <t>FRANCISCA MANOEL DE OLIVEIRA</t>
  </si>
  <si>
    <t>PORTAO VERMELHO</t>
  </si>
  <si>
    <t>(011) 7960-2525</t>
  </si>
  <si>
    <t>ARAPORA BIOENERGIA S/A EM RECUPERACAO JU</t>
  </si>
  <si>
    <t>38465000</t>
  </si>
  <si>
    <t>7250623020090</t>
  </si>
  <si>
    <t>ARAPORA</t>
  </si>
  <si>
    <t>BR 153 KM 65</t>
  </si>
  <si>
    <t>THALES MALUF WUTKE DE BARROS</t>
  </si>
  <si>
    <t>7324060</t>
  </si>
  <si>
    <t>2952</t>
  </si>
  <si>
    <t>(034) 9219-4436</t>
  </si>
  <si>
    <t>QUIMICA ARAGUAYA INDUSTRIA, COMERCIO, IM</t>
  </si>
  <si>
    <t>18147000</t>
  </si>
  <si>
    <t>QUIMICA ARAGUAYA IND,COM,IMP E EXP LTDA</t>
  </si>
  <si>
    <t>734034410110</t>
  </si>
  <si>
    <t>ARACARIGUAMA</t>
  </si>
  <si>
    <t>GREGORIO SPINA</t>
  </si>
  <si>
    <t>DA RONDA</t>
  </si>
  <si>
    <t>(055) 193302-2400</t>
  </si>
  <si>
    <t>FORTALEZA COMERCIO DE RESINAS LTDA</t>
  </si>
  <si>
    <t>18325000</t>
  </si>
  <si>
    <t>737009709111</t>
  </si>
  <si>
    <t>BARRA DO CHAPEU</t>
  </si>
  <si>
    <t>FAZENDA MORRO AGUDO</t>
  </si>
  <si>
    <t>18990001</t>
  </si>
  <si>
    <t>FERTIPAR FERT DO PARANA LIMITADA</t>
  </si>
  <si>
    <t>742051221116</t>
  </si>
  <si>
    <t>AMS COMEX BRASIL LTDA</t>
  </si>
  <si>
    <t>13188141</t>
  </si>
  <si>
    <t>748.421.331.111</t>
  </si>
  <si>
    <t>HORTOLANDIA</t>
  </si>
  <si>
    <t>RUA AFONSO PENA</t>
  </si>
  <si>
    <t>JARDIM AMANDA II</t>
  </si>
  <si>
    <t>(055) 199873-2414</t>
  </si>
  <si>
    <t>D R DO AMARAL</t>
  </si>
  <si>
    <t>13183761</t>
  </si>
  <si>
    <t>D R DO AMARAL RESIDUOS INDUSTRIAIS ME</t>
  </si>
  <si>
    <t>748311810110</t>
  </si>
  <si>
    <t>DOS MELROS</t>
  </si>
  <si>
    <t>CHAC RECREIO ALVORAD</t>
  </si>
  <si>
    <t>20597</t>
  </si>
  <si>
    <t>(019) 3819-7613</t>
  </si>
  <si>
    <t>FERTIMAN - SÃO JOÃO MANHUAÇU</t>
  </si>
  <si>
    <t>FERTIMAN IND. COM. PROD. QUIMICOS LTDA</t>
  </si>
  <si>
    <t>7607599620125</t>
  </si>
  <si>
    <t>613</t>
  </si>
  <si>
    <t>(034) 9971-6319</t>
  </si>
  <si>
    <t>JOAQUIM DE FARIA E OUTROS</t>
  </si>
  <si>
    <t>12935000</t>
  </si>
  <si>
    <t>766057559113</t>
  </si>
  <si>
    <t>VARGEM</t>
  </si>
  <si>
    <t>IRMAOS FARIA</t>
  </si>
  <si>
    <t>RIO ACIMA</t>
  </si>
  <si>
    <t>(055) 114033-3709</t>
  </si>
  <si>
    <t>CARGOFLEX NIVELADORES LTDA</t>
  </si>
  <si>
    <t>25251600</t>
  </si>
  <si>
    <t>77.708.03-0</t>
  </si>
  <si>
    <t>EUSTAQUIO DE AZEVEDO</t>
  </si>
  <si>
    <t>CHACARA RIO/PETROPOL</t>
  </si>
  <si>
    <t>(055) 212676-2560</t>
  </si>
  <si>
    <t>SISTEMA DE TESTE LTDA - SISTET</t>
  </si>
  <si>
    <t>22451100</t>
  </si>
  <si>
    <t>77034870</t>
  </si>
  <si>
    <t>JOAO BORGES</t>
  </si>
  <si>
    <t>48905480</t>
  </si>
  <si>
    <t>78160499</t>
  </si>
  <si>
    <t>LOMANTO JÚNIOR</t>
  </si>
  <si>
    <t>JOÃO XXIII</t>
  </si>
  <si>
    <t>(074) 3611-7431</t>
  </si>
  <si>
    <t>FAZENDA MARINGA</t>
  </si>
  <si>
    <t>14813000</t>
  </si>
  <si>
    <t>CITROSUCO S/A AGROINDUSTRIA</t>
  </si>
  <si>
    <t>787053775116</t>
  </si>
  <si>
    <t>GAVIAO PEIXOTO</t>
  </si>
  <si>
    <t>RODOVIA JOSE CRUTALE</t>
  </si>
  <si>
    <t>13086903</t>
  </si>
  <si>
    <t>CARGILL - CAMPINAS</t>
  </si>
  <si>
    <t>795134743119</t>
  </si>
  <si>
    <t>GIUSEPPINA V DI NAPOLI</t>
  </si>
  <si>
    <t>CIATEC II PA TEC</t>
  </si>
  <si>
    <t>(019) 3787-9605</t>
  </si>
  <si>
    <t>07175100</t>
  </si>
  <si>
    <t>796802049114</t>
  </si>
  <si>
    <t>RUA JUAN ALONSO SANCHEZ</t>
  </si>
  <si>
    <t>JARDIM CAMPESTRE</t>
  </si>
  <si>
    <t>(011) 4651-1973</t>
  </si>
  <si>
    <t>ALLEATI BIOENERGIA LTDA - COPA</t>
  </si>
  <si>
    <t>14026020</t>
  </si>
  <si>
    <t>ALLEATI BIOENERGIA LTDA</t>
  </si>
  <si>
    <t>797220390112</t>
  </si>
  <si>
    <t>AV CORONEL FERNANDO FERREIRA LEITE</t>
  </si>
  <si>
    <t>1520</t>
  </si>
  <si>
    <t>SOLISTICA</t>
  </si>
  <si>
    <t>18087101</t>
  </si>
  <si>
    <t>FL BRASIL HOLDING, LOGISTICA E TRANSPORT</t>
  </si>
  <si>
    <t>798062488117</t>
  </si>
  <si>
    <t>IPORANGA</t>
  </si>
  <si>
    <t>2150</t>
  </si>
  <si>
    <t>(055) 112739-1650</t>
  </si>
  <si>
    <t>RTR ENG AGRO EIRELI</t>
  </si>
  <si>
    <t>18087120</t>
  </si>
  <si>
    <t>798222564116</t>
  </si>
  <si>
    <t>EST. AMADEU ROCHA RODRIGUES</t>
  </si>
  <si>
    <t>(015) 3329-3017</t>
  </si>
  <si>
    <t>21941915</t>
  </si>
  <si>
    <t>81913951</t>
  </si>
  <si>
    <t>HORÁRIO MACEDO</t>
  </si>
  <si>
    <t>CIDADE UNIVERSITÁRIA</t>
  </si>
  <si>
    <t>950</t>
  </si>
  <si>
    <t>VLI - PORTO DE TUBARÃO VITORIA- ES</t>
  </si>
  <si>
    <t>29090900</t>
  </si>
  <si>
    <t>VLI MULTIMODAL S.A.</t>
  </si>
  <si>
    <t>82783918</t>
  </si>
  <si>
    <t>VITÓRIA</t>
  </si>
  <si>
    <t>AV DANTE MICHELINI</t>
  </si>
  <si>
    <t>(055) 313279-5562</t>
  </si>
  <si>
    <t>SOCIEDADE ACUCAREIRA DO ESPIRITO SANTO L</t>
  </si>
  <si>
    <t>29109145</t>
  </si>
  <si>
    <t>83152814</t>
  </si>
  <si>
    <t>RUA ALBERTO QUEIROZ</t>
  </si>
  <si>
    <t>BRISAMAR</t>
  </si>
  <si>
    <t>(055) 318350-0290</t>
  </si>
  <si>
    <t>GALDINO COMERCIAL DE ACUCAR LTDA</t>
  </si>
  <si>
    <t>837965200140</t>
  </si>
  <si>
    <t>AGUETONI - AGUA COMPRIDA-65744138000574</t>
  </si>
  <si>
    <t>38110000</t>
  </si>
  <si>
    <t>8647987210100</t>
  </si>
  <si>
    <t>AGUA COMPRIDA</t>
  </si>
  <si>
    <t>EST AGUA COMPRIDA VOLTA GRANDE SETOR OESTE SAIDA SENTIDO MOR</t>
  </si>
  <si>
    <t>HOTEL BRAGE</t>
  </si>
  <si>
    <t>95520000</t>
  </si>
  <si>
    <t>ELIO JOSE BRAGE</t>
  </si>
  <si>
    <t>870114476</t>
  </si>
  <si>
    <t>OSORIO</t>
  </si>
  <si>
    <t>RS 030</t>
  </si>
  <si>
    <t>ENTRONCAMENTO</t>
  </si>
  <si>
    <t>(055) 513663-2125</t>
  </si>
  <si>
    <t>ANDRE LUIZ CARDOSO</t>
  </si>
  <si>
    <t>ANDRÉ LUIZ CARDOSO</t>
  </si>
  <si>
    <t>8955561</t>
  </si>
  <si>
    <t>(034) 99133-8356</t>
  </si>
  <si>
    <t>MULTITRANS TRANSP E ARMAZÉNS GERAIS LTDA</t>
  </si>
  <si>
    <t>83221636</t>
  </si>
  <si>
    <t>9010565950</t>
  </si>
  <si>
    <t>TUFI MARON</t>
  </si>
  <si>
    <t>SERRARIA DO ROCHA</t>
  </si>
  <si>
    <t>(041) 3420-7700</t>
  </si>
  <si>
    <t>J.P. MOCELIM INDUSTRIA DE CALCARIO LTDA</t>
  </si>
  <si>
    <t>83414520</t>
  </si>
  <si>
    <t>9010718454</t>
  </si>
  <si>
    <t>(041) 3656-3222</t>
  </si>
  <si>
    <t>FUNDAÇÃO ABC PARA ASSIST. E DIVULGAÇÃO</t>
  </si>
  <si>
    <t>84165700</t>
  </si>
  <si>
    <t>9012385371</t>
  </si>
  <si>
    <t>RODOVIA PR 151 KM 288</t>
  </si>
  <si>
    <t>(042) 3233-8600</t>
  </si>
  <si>
    <t>AUTO MECANICA E ELETRICA BONILHA</t>
  </si>
  <si>
    <t>80220001</t>
  </si>
  <si>
    <t>AUTO MECANICA E ELETRICA BONILHA LTDA</t>
  </si>
  <si>
    <t>9013882298</t>
  </si>
  <si>
    <t>MAL FLORIANO PEIXOTO</t>
  </si>
  <si>
    <t>PAROLIN</t>
  </si>
  <si>
    <t>4237</t>
  </si>
  <si>
    <t>(055) 041332-1777</t>
  </si>
  <si>
    <t>86975000</t>
  </si>
  <si>
    <t>SUPERBAC IND E COM DE FERTILIZANTES S.A</t>
  </si>
  <si>
    <t>9016343002</t>
  </si>
  <si>
    <t>A prazo - 45 dias</t>
  </si>
  <si>
    <t>ESTRADA SAO PEDRO</t>
  </si>
  <si>
    <t>GLEBA RIBEIRÃO VITOR</t>
  </si>
  <si>
    <t>(044) 3233-7774</t>
  </si>
  <si>
    <t>CALTEC BRASIL</t>
  </si>
  <si>
    <t>83566520</t>
  </si>
  <si>
    <t>CALTEC QUIMICA INDUSTRIAL S.A</t>
  </si>
  <si>
    <t>9020925954</t>
  </si>
  <si>
    <t>ITAPERUCU</t>
  </si>
  <si>
    <t>AGRIMENSOR GILDO PINHEIRO DA LUZ</t>
  </si>
  <si>
    <t>569</t>
  </si>
  <si>
    <t>(041) 3603-8000</t>
  </si>
  <si>
    <t>83203630</t>
  </si>
  <si>
    <t>9021663198</t>
  </si>
  <si>
    <t>CORONEL SANTA RITA</t>
  </si>
  <si>
    <t>BOCKMANN</t>
  </si>
  <si>
    <t>1419</t>
  </si>
  <si>
    <t>(041) 3422-7038</t>
  </si>
  <si>
    <t>TECSUL EQUIPAMENTOS E SERVIÇOS</t>
  </si>
  <si>
    <t>81730370</t>
  </si>
  <si>
    <t>TECSUL EQUIPAMENTOS E SERVIÇOS LTDA</t>
  </si>
  <si>
    <t>9022342174</t>
  </si>
  <si>
    <t>AV NOSSA SENHORA DA PAZ</t>
  </si>
  <si>
    <t>BOQUEIRÃO</t>
  </si>
  <si>
    <t>224</t>
  </si>
  <si>
    <t>(041) 3076-4545</t>
  </si>
  <si>
    <t>83221610</t>
  </si>
  <si>
    <t>PLANT BEM LOGISTICA E INDUSTRIAL LTDA</t>
  </si>
  <si>
    <t>9022603580</t>
  </si>
  <si>
    <t>JOSÉ CADILHE</t>
  </si>
  <si>
    <t>(041) 3423-1727</t>
  </si>
  <si>
    <t>AUTO CENTER GEMEOS LTDA -ME</t>
  </si>
  <si>
    <t>83203590</t>
  </si>
  <si>
    <t>9023024761</t>
  </si>
  <si>
    <t>BOCKMAN</t>
  </si>
  <si>
    <t>(041) 3422-2231</t>
  </si>
  <si>
    <t>KEMIRA CHEMICALS BRASIL LTDA.</t>
  </si>
  <si>
    <t>84269000</t>
  </si>
  <si>
    <t>9023157214</t>
  </si>
  <si>
    <t>RODOVIA DO PAPEL</t>
  </si>
  <si>
    <t>(042) 3271-7400</t>
  </si>
  <si>
    <t>FERTILIZE AGRICOLA LTDA</t>
  </si>
  <si>
    <t>9023589270</t>
  </si>
  <si>
    <t>ROD PR 423</t>
  </si>
  <si>
    <t>CIAR II</t>
  </si>
  <si>
    <t>1401</t>
  </si>
  <si>
    <t>COOPAVEL</t>
  </si>
  <si>
    <t>85823500</t>
  </si>
  <si>
    <t>9023963490</t>
  </si>
  <si>
    <t>BR 277 KM 576</t>
  </si>
  <si>
    <t>TERMINAL FERROVIÁRIO</t>
  </si>
  <si>
    <t>ADM - PARANAGUÁ</t>
  </si>
  <si>
    <t>83212250</t>
  </si>
  <si>
    <t>9026390475</t>
  </si>
  <si>
    <t>EMBOCUI</t>
  </si>
  <si>
    <t>1501</t>
  </si>
  <si>
    <t>(041) 3721-9400</t>
  </si>
  <si>
    <t>DELTA FERTILIZANTES LTDA - PARANAGUA</t>
  </si>
  <si>
    <t>DELTA FERTILIZANTES LTDA</t>
  </si>
  <si>
    <t>9026534906</t>
  </si>
  <si>
    <t>2605</t>
  </si>
  <si>
    <t>(041) 3420-3450</t>
  </si>
  <si>
    <t>AV SENADOR ATTILIO FONTANA</t>
  </si>
  <si>
    <t>2197</t>
  </si>
  <si>
    <t>(041) 2152-3450</t>
  </si>
  <si>
    <t>GRANULADOS DO PARANA IND. E COM. LTDA</t>
  </si>
  <si>
    <t>9026627319</t>
  </si>
  <si>
    <t>83512000</t>
  </si>
  <si>
    <t>9027884684</t>
  </si>
  <si>
    <t>7080</t>
  </si>
  <si>
    <t>(041) 3874-5000</t>
  </si>
  <si>
    <t>TECNOMYL - BRASIL</t>
  </si>
  <si>
    <t>85851040</t>
  </si>
  <si>
    <t>TECNOMYL BRASIL DIST. PROD. AGRICOLAS LT</t>
  </si>
  <si>
    <t>9028209492</t>
  </si>
  <si>
    <t>1307</t>
  </si>
  <si>
    <t>ANDALI - PARANAGUÁ</t>
  </si>
  <si>
    <t>83221030</t>
  </si>
  <si>
    <t>ANDALI OPERAÇÕES INDUSTRIAIS S.A.</t>
  </si>
  <si>
    <t>9028222243</t>
  </si>
  <si>
    <t>ANTÔNIO PEREIRA</t>
  </si>
  <si>
    <t>(041) 3721-1150</t>
  </si>
  <si>
    <t>PAVIN - COLOMBO</t>
  </si>
  <si>
    <t>PAVIN FERTIL INDUSTRIA E TRANSPORTE LTDA</t>
  </si>
  <si>
    <t>9029571209</t>
  </si>
  <si>
    <t>ORLANDO CECCON</t>
  </si>
  <si>
    <t>RIBEIRÃO DAS ONÇAS</t>
  </si>
  <si>
    <t>662</t>
  </si>
  <si>
    <t>(041) 3656-2064</t>
  </si>
  <si>
    <t>CHRONION EQUIPAMENTOS PARA LABORATORIO</t>
  </si>
  <si>
    <t>83430000</t>
  </si>
  <si>
    <t>BUSNARDO E FILHOS LTDA</t>
  </si>
  <si>
    <t>9029916621</t>
  </si>
  <si>
    <t>CAMPINA GRANDE DO S</t>
  </si>
  <si>
    <t>MARCOS NICOLAU STRAPASSONI</t>
  </si>
  <si>
    <t>BONANCA SITIOS</t>
  </si>
  <si>
    <t>1749</t>
  </si>
  <si>
    <t>(041) 3679-1377</t>
  </si>
  <si>
    <t>PLANT BEM FERTILIZANTES S.A.</t>
  </si>
  <si>
    <t>9030587577</t>
  </si>
  <si>
    <t>87140000</t>
  </si>
  <si>
    <t>FORTGREEN COMERCIAL AGRÍCOLA S.A.</t>
  </si>
  <si>
    <t>9030793207</t>
  </si>
  <si>
    <t>ZONA INDUSTRIAL II</t>
  </si>
  <si>
    <t>(044) 3127-2700</t>
  </si>
  <si>
    <t>BTU - BRASPRESS - MGF</t>
  </si>
  <si>
    <t>BRASPRESS TRANSPORTES URGENTES LTDA</t>
  </si>
  <si>
    <t>9031933797</t>
  </si>
  <si>
    <t>7466</t>
  </si>
  <si>
    <t>(055) 112188-9000</t>
  </si>
  <si>
    <t>OMYA DO BRASIL IMPORTACAO</t>
  </si>
  <si>
    <t>84043450</t>
  </si>
  <si>
    <t>OMYA DO BRASIL IMPORTACAO, EXPORTACAO</t>
  </si>
  <si>
    <t>9032415862</t>
  </si>
  <si>
    <t>BR 376</t>
  </si>
  <si>
    <t>83203540</t>
  </si>
  <si>
    <t>INATIVO - CIBRA - PARANAGUÁ</t>
  </si>
  <si>
    <t>AGRO INDUSTRIAL SÃO LUIZ LTDA</t>
  </si>
  <si>
    <t>9032531854</t>
  </si>
  <si>
    <t>NESTOR VICTOR</t>
  </si>
  <si>
    <t>(041) 3422-8646</t>
  </si>
  <si>
    <t>AGROMULT COM DE PRODUTOS AGROPEC LTDA</t>
  </si>
  <si>
    <t>84500000</t>
  </si>
  <si>
    <t>9032670200</t>
  </si>
  <si>
    <t>IRATI</t>
  </si>
  <si>
    <t>VILA SÃO JOÃO</t>
  </si>
  <si>
    <t>(042) 3422-3138</t>
  </si>
  <si>
    <t>INDUSTRIA DE FERTILIZ.  ATLANTICO LTDA</t>
  </si>
  <si>
    <t>83209658</t>
  </si>
  <si>
    <t>9032842345</t>
  </si>
  <si>
    <t>JOSE DA COSTA LEITE</t>
  </si>
  <si>
    <t>VILA PRIMAVERA</t>
  </si>
  <si>
    <t>VITORIA COM.METAIS E RECICLAGEM EM GERAL</t>
  </si>
  <si>
    <t>83218180</t>
  </si>
  <si>
    <t>9033080287</t>
  </si>
  <si>
    <t>ESTRADA DAS PRAIAS</t>
  </si>
  <si>
    <t>JARDIM ESPERANÇA</t>
  </si>
  <si>
    <t>83250000</t>
  </si>
  <si>
    <t>9033970045</t>
  </si>
  <si>
    <t>BR 277 KM 10,53</t>
  </si>
  <si>
    <t>ALEXANDRA</t>
  </si>
  <si>
    <t>(041) 2152-2200</t>
  </si>
  <si>
    <t>E L S FORNAROLLI - COM.DE PROD. P PESQUI</t>
  </si>
  <si>
    <t>86075030</t>
  </si>
  <si>
    <t>9035943657</t>
  </si>
  <si>
    <t>JOSE DOMINGOS DE OLIVEIRA</t>
  </si>
  <si>
    <t>PORTAL DE BIANCA</t>
  </si>
  <si>
    <t>636</t>
  </si>
  <si>
    <t>(043) 33486-6261</t>
  </si>
  <si>
    <t>YARA - PARANAGUÁ</t>
  </si>
  <si>
    <t>9038442993</t>
  </si>
  <si>
    <t>VILA DO POVO</t>
  </si>
  <si>
    <t>GRANFOS - TOLEDO</t>
  </si>
  <si>
    <t>85906000</t>
  </si>
  <si>
    <t>FERTI SOLO INSUMOS AGRICOLAS LTDA</t>
  </si>
  <si>
    <t>9038487237</t>
  </si>
  <si>
    <t>LINHA DOIS IRMAOS</t>
  </si>
  <si>
    <t>DISTRITO VILA NOVA</t>
  </si>
  <si>
    <t>(045) 2031-0472</t>
  </si>
  <si>
    <t>ERS TRANSPORTES LTDA</t>
  </si>
  <si>
    <t>83203070</t>
  </si>
  <si>
    <t>9040012017</t>
  </si>
  <si>
    <t>RUA PROFESSOR CLETO</t>
  </si>
  <si>
    <t>1650</t>
  </si>
  <si>
    <t>(041) 3381-0300</t>
  </si>
  <si>
    <t>HARBOR HOTEIS</t>
  </si>
  <si>
    <t>85812191</t>
  </si>
  <si>
    <t>LMPJ ADMNISTRADORA DE HOTEIS LTDA</t>
  </si>
  <si>
    <t>9041941070</t>
  </si>
  <si>
    <t>(045) 3218-1818</t>
  </si>
  <si>
    <t>EXECUTIVA OUT SOURCING</t>
  </si>
  <si>
    <t>83324020</t>
  </si>
  <si>
    <t>WENDPAP E BARROS SERV.E PROC.LTDA</t>
  </si>
  <si>
    <t>9042768127</t>
  </si>
  <si>
    <t>PINHAIS</t>
  </si>
  <si>
    <t>RUA CIANORTE</t>
  </si>
  <si>
    <t>(041) 3097-7809</t>
  </si>
  <si>
    <t>T-MINAS MINERAIS INDUSTRIAIS LTDA</t>
  </si>
  <si>
    <t>83420000</t>
  </si>
  <si>
    <t>9047719701</t>
  </si>
  <si>
    <t>QUATRO BARRAS</t>
  </si>
  <si>
    <t>RUA VEREADOR ARNALDO PERINI</t>
  </si>
  <si>
    <t>FLORESTAL</t>
  </si>
  <si>
    <t>(041) 3672-1717</t>
  </si>
  <si>
    <t>MEREGEFERT AGRICULTURA REGENERATIVA LTDA</t>
  </si>
  <si>
    <t>87220000</t>
  </si>
  <si>
    <t>9048707227</t>
  </si>
  <si>
    <t>SAO TOME</t>
  </si>
  <si>
    <t>PR 498, KM 63,70</t>
  </si>
  <si>
    <t>63700</t>
  </si>
  <si>
    <t>83514070</t>
  </si>
  <si>
    <t>FERTILIZE AGRÍCOLA LTDA</t>
  </si>
  <si>
    <t>9050137772</t>
  </si>
  <si>
    <t>ANTÔNIO STOCHERO</t>
  </si>
  <si>
    <t>2699</t>
  </si>
  <si>
    <t>(041) 3031-3455</t>
  </si>
  <si>
    <t>86170000</t>
  </si>
  <si>
    <t>CHS AGRONEGÓCIO IND E COM LTDA</t>
  </si>
  <si>
    <t>9050566894</t>
  </si>
  <si>
    <t>SERTANOPOLIS</t>
  </si>
  <si>
    <t>PR 323</t>
  </si>
  <si>
    <t>(041) 3422-6615</t>
  </si>
  <si>
    <t>WB DUARTE RESIDUOS</t>
  </si>
  <si>
    <t>80060000</t>
  </si>
  <si>
    <t>WD COMERCIO E TRANSP DE RESID OL EIRELI</t>
  </si>
  <si>
    <t>9051969607</t>
  </si>
  <si>
    <t>XV DE NOVEMBRO</t>
  </si>
  <si>
    <t>964</t>
  </si>
  <si>
    <t>(055) 414042-1877</t>
  </si>
  <si>
    <t>80030030</t>
  </si>
  <si>
    <t>BRFERTIL S.A</t>
  </si>
  <si>
    <t>90538622-06</t>
  </si>
  <si>
    <t>HEITOR STOCKLER DE FRANCA</t>
  </si>
  <si>
    <t>CENTRO CÍVICO</t>
  </si>
  <si>
    <t>396</t>
  </si>
  <si>
    <t>(055) 413311-2530</t>
  </si>
  <si>
    <t>NOVA AGRO - BALSA NOVA</t>
  </si>
  <si>
    <t>83650000</t>
  </si>
  <si>
    <t>FERNANDA CONTER LUCHIARI</t>
  </si>
  <si>
    <t>9054375937</t>
  </si>
  <si>
    <t>BALSA NOVA</t>
  </si>
  <si>
    <t>DAMASIO SOARES DA SILVA</t>
  </si>
  <si>
    <t>1866</t>
  </si>
  <si>
    <t>(041) 3636-1039</t>
  </si>
  <si>
    <t>SUPERBAC FERTILIZANTES II - MANDAGUARI</t>
  </si>
  <si>
    <t>9057368508</t>
  </si>
  <si>
    <t>ROD. PR 444 KM 32,5</t>
  </si>
  <si>
    <t>ARAUCÁRIA  NITROGENADOS S/A - FAFEN - PR</t>
  </si>
  <si>
    <t>83707746</t>
  </si>
  <si>
    <t>9058411571</t>
  </si>
  <si>
    <t>DR ELI VOLPATO</t>
  </si>
  <si>
    <t>TINDIQUERA</t>
  </si>
  <si>
    <t>83203780</t>
  </si>
  <si>
    <t>9058888114</t>
  </si>
  <si>
    <t>CONSELHEIRO CORREIA</t>
  </si>
  <si>
    <t>ROCHA TERMINAIS PORTUARIOS E LOGISTICA S</t>
  </si>
  <si>
    <t>83209100</t>
  </si>
  <si>
    <t>9060863609</t>
  </si>
  <si>
    <t>AYRTON SENNA DA SILVA</t>
  </si>
  <si>
    <t>VILA PARANAGUA</t>
  </si>
  <si>
    <t>(041) 3420-2300</t>
  </si>
  <si>
    <t>LISTERMAQ MANUTENÇÃO E REFORMA DE MAQ.</t>
  </si>
  <si>
    <t>83221680</t>
  </si>
  <si>
    <t>DANIEL POLEZA SANTOS NETO - ME</t>
  </si>
  <si>
    <t>9062074601</t>
  </si>
  <si>
    <t>XAVIER DA SILVA</t>
  </si>
  <si>
    <t>(041) 3424-4713</t>
  </si>
  <si>
    <t>ALPHA QUIMICA LTDA</t>
  </si>
  <si>
    <t>81450580</t>
  </si>
  <si>
    <t>9062547860</t>
  </si>
  <si>
    <t>DOUTOR MARIO JORGE</t>
  </si>
  <si>
    <t>CIDADE INDUSTRIAL</t>
  </si>
  <si>
    <t>600</t>
  </si>
  <si>
    <t>(055) 413018-8446</t>
  </si>
  <si>
    <t>83730000</t>
  </si>
  <si>
    <t>NPKS  FERTILIZANTES</t>
  </si>
  <si>
    <t>NPKS IND E COM DE FERTILIZANTES LTDA</t>
  </si>
  <si>
    <t>9063243180</t>
  </si>
  <si>
    <t>CONTENDA</t>
  </si>
  <si>
    <t>JOSÉ STABACH</t>
  </si>
  <si>
    <t>(041) 9228-1341</t>
  </si>
  <si>
    <t>INATIVO - BUNGE NPK FERTILIZANTES</t>
  </si>
  <si>
    <t>9063321327</t>
  </si>
  <si>
    <t>MICROHELP INFORMÁTICA</t>
  </si>
  <si>
    <t>83203610</t>
  </si>
  <si>
    <t>FONTES LIMA INFORMÁTICA LTDA - ME</t>
  </si>
  <si>
    <t>9063718391</t>
  </si>
  <si>
    <t>JOSÉ GOMES</t>
  </si>
  <si>
    <t>CENTRO HISTÓRICO</t>
  </si>
  <si>
    <t>(041) 3422-4854</t>
  </si>
  <si>
    <t>9064810224</t>
  </si>
  <si>
    <t>RUA OLINDO JUSTUS</t>
  </si>
  <si>
    <t>2899</t>
  </si>
  <si>
    <t>(041) 2152-9147</t>
  </si>
  <si>
    <t>86185700</t>
  </si>
  <si>
    <t>YARA - CAMBÉ</t>
  </si>
  <si>
    <t>9064849430</t>
  </si>
  <si>
    <t>CAMBE</t>
  </si>
  <si>
    <t>MELLO PEIXOTO</t>
  </si>
  <si>
    <t>JD. UNIÃO</t>
  </si>
  <si>
    <t>1870</t>
  </si>
  <si>
    <t>85804200</t>
  </si>
  <si>
    <t>YARA - CASCAVEL</t>
  </si>
  <si>
    <t>9064850102</t>
  </si>
  <si>
    <t>14 DE NOVEMBRO</t>
  </si>
  <si>
    <t>PRIME AGRO PRODUTOS AGRICOLAS LTDA</t>
  </si>
  <si>
    <t>85906290</t>
  </si>
  <si>
    <t>9065181557</t>
  </si>
  <si>
    <t>PERIMETRAL NORTE</t>
  </si>
  <si>
    <t>JD. PORTO ALEGRE</t>
  </si>
  <si>
    <t>(045) 3056-5254</t>
  </si>
  <si>
    <t>OCP FERTILIZANTES - PARANAGUA</t>
  </si>
  <si>
    <t>83203340</t>
  </si>
  <si>
    <t>9065187164</t>
  </si>
  <si>
    <t>CORONEL JOSE LOBO</t>
  </si>
  <si>
    <t>1187</t>
  </si>
  <si>
    <t>(041) 4106-1184</t>
  </si>
  <si>
    <t>TERRA FORTE FERTILIZANTES - RONCADOR</t>
  </si>
  <si>
    <t>87320000</t>
  </si>
  <si>
    <t>C. K. PHILIPP E CIA LTDA</t>
  </si>
  <si>
    <t>9065241045</t>
  </si>
  <si>
    <t>RONCADOR</t>
  </si>
  <si>
    <t>EST MOSQUITEIRO</t>
  </si>
  <si>
    <t>9067837549</t>
  </si>
  <si>
    <t>PARQUE SAO JOAO</t>
  </si>
  <si>
    <t>FABRICA DE COLA POLESELLO LTDA</t>
  </si>
  <si>
    <t>85520000</t>
  </si>
  <si>
    <t>9068519036</t>
  </si>
  <si>
    <t>VITORINO</t>
  </si>
  <si>
    <t>ROD PRC 158</t>
  </si>
  <si>
    <t>(049) 3344-1694</t>
  </si>
  <si>
    <t>MESTRE DA OBRA</t>
  </si>
  <si>
    <t>84043000</t>
  </si>
  <si>
    <t>B-MAQ FERRAMENTAS LTDA</t>
  </si>
  <si>
    <t>9068859996</t>
  </si>
  <si>
    <t>VISCONDE DE MAUÁ</t>
  </si>
  <si>
    <t>COLONIA DONA LUIZA</t>
  </si>
  <si>
    <t>4394</t>
  </si>
  <si>
    <t>(055) 423229-4375</t>
  </si>
  <si>
    <t>MULTITRANS - MARINGA</t>
  </si>
  <si>
    <t>87065167</t>
  </si>
  <si>
    <t>MULTITRANS - TRANSP ARMAZENS GERAIS LTDA</t>
  </si>
  <si>
    <t>9069600872</t>
  </si>
  <si>
    <t>PIONEIRO LUIGI CRIVELLIN</t>
  </si>
  <si>
    <t>(055) 413420-7712</t>
  </si>
  <si>
    <t>CALTIM FERTILIZANTES</t>
  </si>
  <si>
    <t>83543400</t>
  </si>
  <si>
    <t>CALTIM FERTILIZANTES LTDA</t>
  </si>
  <si>
    <t>9070932390</t>
  </si>
  <si>
    <t>PR 092, KM 26</t>
  </si>
  <si>
    <t>(055) 413652-5120</t>
  </si>
  <si>
    <t>CALPLAN IND. E COM. DE CALCARIO LTDA-ME</t>
  </si>
  <si>
    <t>83507000</t>
  </si>
  <si>
    <t>9070943910</t>
  </si>
  <si>
    <t>MATO DENTRO</t>
  </si>
  <si>
    <t>7255</t>
  </si>
  <si>
    <t>POLLI FERTILIZANTES IND E TRANSPORTE LTD</t>
  </si>
  <si>
    <t>83414445</t>
  </si>
  <si>
    <t>9071694485</t>
  </si>
  <si>
    <t>PEDRO EURIDES POLLI</t>
  </si>
  <si>
    <t>BOICININGA</t>
  </si>
  <si>
    <t>(041) 3656-3244</t>
  </si>
  <si>
    <t>BR FERTIL SA</t>
  </si>
  <si>
    <t>9074939896</t>
  </si>
  <si>
    <t>JOSE CADILHE</t>
  </si>
  <si>
    <t>(041) 3311-2530</t>
  </si>
  <si>
    <t>FARFLY BRASIL</t>
  </si>
  <si>
    <t>83432210</t>
  </si>
  <si>
    <t>FARFLY BRASIL INDUSTRIA, COMERCIO, IMPOR</t>
  </si>
  <si>
    <t>9075202340</t>
  </si>
  <si>
    <t>JOSE TAVERNA</t>
  </si>
  <si>
    <t>CACAIGUERA</t>
  </si>
  <si>
    <t>853</t>
  </si>
  <si>
    <t>(041) 99912-2037</t>
  </si>
  <si>
    <t>83209715</t>
  </si>
  <si>
    <t>9075631976</t>
  </si>
  <si>
    <t>BR-277 - (RODOVIA DO CAFE), PROXIMO AO KM 2</t>
  </si>
  <si>
    <t>BRASFERTIL FERTILIZANTES LTDA</t>
  </si>
  <si>
    <t>86815899</t>
  </si>
  <si>
    <t>9075957065</t>
  </si>
  <si>
    <t>APUCARANA</t>
  </si>
  <si>
    <t>DO BEJUIN</t>
  </si>
  <si>
    <t>AREA RURAL DE APUCARANA</t>
  </si>
  <si>
    <t>464</t>
  </si>
  <si>
    <t>(043) 3436-2094</t>
  </si>
  <si>
    <t>83206392</t>
  </si>
  <si>
    <t>INPEK FERTILIZANTES S.A.</t>
  </si>
  <si>
    <t>9076308206</t>
  </si>
  <si>
    <t>PAULO CANHOLA</t>
  </si>
  <si>
    <t>CORREIA VELHO</t>
  </si>
  <si>
    <t>80020000</t>
  </si>
  <si>
    <t>DREYMOOR COMERCIO DE FERTILIZANTES LTDA</t>
  </si>
  <si>
    <t>90772803-05</t>
  </si>
  <si>
    <t>BBR AGRO NUTRICAO</t>
  </si>
  <si>
    <t>86802811</t>
  </si>
  <si>
    <t>BBR AGRO SUPLEMENTOS LTDA</t>
  </si>
  <si>
    <t>9078853139</t>
  </si>
  <si>
    <t>ALFREDO GALVAO ALVES</t>
  </si>
  <si>
    <t>PARQUE INDUSTRIAL GALAN</t>
  </si>
  <si>
    <t>(055) 433423-0696</t>
  </si>
  <si>
    <t>83602330</t>
  </si>
  <si>
    <t>9082686956</t>
  </si>
  <si>
    <t>CAMPO LARGO</t>
  </si>
  <si>
    <t>AV DIRCO RIBAS</t>
  </si>
  <si>
    <t>JARDIM ESMERALDA</t>
  </si>
  <si>
    <t>9083309439</t>
  </si>
  <si>
    <t>RUA ANTONIO GASPARIN</t>
  </si>
  <si>
    <t>(041) 3139-2300</t>
  </si>
  <si>
    <t>AMBIPAR CNPJ 01179445/0013-87</t>
  </si>
  <si>
    <t>83203190</t>
  </si>
  <si>
    <t>9083416197</t>
  </si>
  <si>
    <t>BENJAMIN CONSTANT</t>
  </si>
  <si>
    <t>CENTRO HISTORICO</t>
  </si>
  <si>
    <t>739</t>
  </si>
  <si>
    <t>ESSENTIAL SERVICOS</t>
  </si>
  <si>
    <t>ESSENTIAL SERVICOS LTDA</t>
  </si>
  <si>
    <t>9085237680</t>
  </si>
  <si>
    <t>CARA-CARA</t>
  </si>
  <si>
    <t>KM50..</t>
  </si>
  <si>
    <t>(055) 429971-9812</t>
  </si>
  <si>
    <t>83370000</t>
  </si>
  <si>
    <t>INTERBULK S/A</t>
  </si>
  <si>
    <t>9086091582</t>
  </si>
  <si>
    <t>A PRAZO - 77 DIAS</t>
  </si>
  <si>
    <t>ANTONINA</t>
  </si>
  <si>
    <t>JOSE RODRIGUES PEREIRA</t>
  </si>
  <si>
    <t>ITAPEMA MATAR PRAINHA PITA C</t>
  </si>
  <si>
    <t>(055) 111055-1424</t>
  </si>
  <si>
    <t>83704530</t>
  </si>
  <si>
    <t>9086493117</t>
  </si>
  <si>
    <t>PEDRO DE ALCANTARA MEIRA</t>
  </si>
  <si>
    <t>FAZENDA VELHA</t>
  </si>
  <si>
    <t>9087659400</t>
  </si>
  <si>
    <t>RUA PAULO CANHOLA</t>
  </si>
  <si>
    <t>839</t>
  </si>
  <si>
    <t>FITLOG TRANSPORTES</t>
  </si>
  <si>
    <t>81170230</t>
  </si>
  <si>
    <t>FITLOG TRANSPORTES E LOGISTICA LTDA</t>
  </si>
  <si>
    <t>9089616171</t>
  </si>
  <si>
    <t>CYRO CORREIA PEREIRA</t>
  </si>
  <si>
    <t>(055) 112212-5862</t>
  </si>
  <si>
    <t>LAVA JATO DO PISQUILA LTDA</t>
  </si>
  <si>
    <t>86990000</t>
  </si>
  <si>
    <t>9090769518</t>
  </si>
  <si>
    <t>MARIALVA</t>
  </si>
  <si>
    <t>MAURICIO COLUCI</t>
  </si>
  <si>
    <t>PQ. RES. E IND. SAN</t>
  </si>
  <si>
    <t>4773</t>
  </si>
  <si>
    <t>83206286</t>
  </si>
  <si>
    <t>GEN FERTILIZANTES - PARANAGUÁ</t>
  </si>
  <si>
    <t>9091043863</t>
  </si>
  <si>
    <t>1666</t>
  </si>
  <si>
    <t>(064) 98459-5692</t>
  </si>
  <si>
    <t>AMINOLEATHER INDUSTRIA E COMERCIO LTDA.</t>
  </si>
  <si>
    <t>86600091</t>
  </si>
  <si>
    <t>AMINOLEATHER INDUSTRIA E COMERCIO LTDA</t>
  </si>
  <si>
    <t>9091325680</t>
  </si>
  <si>
    <t>ROLANDIA</t>
  </si>
  <si>
    <t>DOS EXPEDICIONARIOS</t>
  </si>
  <si>
    <t>469</t>
  </si>
  <si>
    <t>(055) 433311-3500</t>
  </si>
  <si>
    <t>MIM FERTILIZANTES</t>
  </si>
  <si>
    <t>87314899</t>
  </si>
  <si>
    <t>MIM FERTILIZANTES LTDA</t>
  </si>
  <si>
    <t>9091361210</t>
  </si>
  <si>
    <t>CAMPO MOURAO</t>
  </si>
  <si>
    <t>BR 158 - ANEL VIARIO</t>
  </si>
  <si>
    <t>AREA URBANIZADA IV</t>
  </si>
  <si>
    <t>8421</t>
  </si>
  <si>
    <t>(055) 4499916-9668</t>
  </si>
  <si>
    <t>PLENITUDE TRANSPORTES E LOGISTICA</t>
  </si>
  <si>
    <t>83212090</t>
  </si>
  <si>
    <t>PLENITUDE TRANSPORTES E LOGISTICA LTDA</t>
  </si>
  <si>
    <t>9092512069</t>
  </si>
  <si>
    <t>AV AYRTON SENNA DA SILVA</t>
  </si>
  <si>
    <t>6220</t>
  </si>
  <si>
    <t>(055) 643441-3965</t>
  </si>
  <si>
    <t>TDM INSPECAO PREDITIVA, ENG. MANUTENCAO</t>
  </si>
  <si>
    <t>83514000</t>
  </si>
  <si>
    <t>TDM INSPECAO PREDITIVA, ENG. MANUT. LTDA</t>
  </si>
  <si>
    <t>9094061960</t>
  </si>
  <si>
    <t>12630</t>
  </si>
  <si>
    <t>(055) 419521-8932</t>
  </si>
  <si>
    <t>82600000</t>
  </si>
  <si>
    <t>9098781878</t>
  </si>
  <si>
    <t>MONTEIRO TOURINHO</t>
  </si>
  <si>
    <t>835</t>
  </si>
  <si>
    <t>SULMARE - PARANAGUA</t>
  </si>
  <si>
    <t>SULMARE SERVICOS MARITIMOS LTDA</t>
  </si>
  <si>
    <t>9103030584</t>
  </si>
  <si>
    <t>4711</t>
  </si>
  <si>
    <t>(041) 3999-9999</t>
  </si>
  <si>
    <t>MWM MOTORES DIESEL - OURO VERDE DO OESTE</t>
  </si>
  <si>
    <t>85933000</t>
  </si>
  <si>
    <t>9105577858</t>
  </si>
  <si>
    <t>OURO VERDE DO OESTE</t>
  </si>
  <si>
    <t>LINHA ALVES</t>
  </si>
  <si>
    <t>(055) 113882-3291</t>
  </si>
  <si>
    <t>ULTRA FLEX</t>
  </si>
  <si>
    <t>86400000</t>
  </si>
  <si>
    <t>ULTRA FLEX COMERCIO E SERVICOS LTDA.</t>
  </si>
  <si>
    <t>9106980362</t>
  </si>
  <si>
    <t>JACAREZINHO</t>
  </si>
  <si>
    <t>COSTA JUNIOR</t>
  </si>
  <si>
    <t>(055) 433525-0754</t>
  </si>
  <si>
    <t>83600970</t>
  </si>
  <si>
    <t>DREYMOOR BRASIL</t>
  </si>
  <si>
    <t>9107700983</t>
  </si>
  <si>
    <t>BR 277 KM 125</t>
  </si>
  <si>
    <t>DOM RODRIGO</t>
  </si>
  <si>
    <t>(041) 3209-6613</t>
  </si>
  <si>
    <t>VALENCIA BIOLOGICOS COMERCIO LTDA.</t>
  </si>
  <si>
    <t>86200000</t>
  </si>
  <si>
    <t>9109151260</t>
  </si>
  <si>
    <t>IBIPORA</t>
  </si>
  <si>
    <t>ROD PR 090, KM 374</t>
  </si>
  <si>
    <t>PARQUE INDUSTRIAL NENE FAVORETTO</t>
  </si>
  <si>
    <t>(055) 433329-5090</t>
  </si>
  <si>
    <t>CASA DO AGRONOMO</t>
  </si>
  <si>
    <t>87025859</t>
  </si>
  <si>
    <t>CASA AGRONOMO BANDEI. MAT PESQ AGRI LTDA</t>
  </si>
  <si>
    <t>9109647710</t>
  </si>
  <si>
    <t>ANTONIO BERNARDES,PIONEIRO</t>
  </si>
  <si>
    <t>JARDIM DIAS II</t>
  </si>
  <si>
    <t>(055) 449850-0300</t>
  </si>
  <si>
    <t>90470282</t>
  </si>
  <si>
    <t>922412295</t>
  </si>
  <si>
    <t>AUXILIADORA</t>
  </si>
  <si>
    <t>1672</t>
  </si>
  <si>
    <t>HOTEL MUTUCAO</t>
  </si>
  <si>
    <t>77402970</t>
  </si>
  <si>
    <t>MUTUCAO PLAZA HOTEL LTDA</t>
  </si>
  <si>
    <t>924685</t>
  </si>
  <si>
    <t>GURUPI</t>
  </si>
  <si>
    <t>SUB URBANO</t>
  </si>
  <si>
    <t>(055) 063851-2471</t>
  </si>
  <si>
    <t>FERRONATO'S HOTEL</t>
  </si>
  <si>
    <t>73760000</t>
  </si>
  <si>
    <t>FERRONATO S HOTEL LTDA.</t>
  </si>
  <si>
    <t>927058701414</t>
  </si>
  <si>
    <t>SAO JOAO D'ALIANCA</t>
  </si>
  <si>
    <t>TEOTONIO F. GRACAS</t>
  </si>
  <si>
    <t>(055) 623438-1112</t>
  </si>
  <si>
    <t>DAN INN HOTEL RIBEIRAO PRETO LTDA</t>
  </si>
  <si>
    <t>14050040</t>
  </si>
  <si>
    <t>9276201</t>
  </si>
  <si>
    <t>CEL.LUIZ DA CUNHA</t>
  </si>
  <si>
    <t>VILA TIBERIO</t>
  </si>
  <si>
    <t>404</t>
  </si>
  <si>
    <t>(055) 163605-1500</t>
  </si>
  <si>
    <t>OSMAR HONORIO DE OLIVEIRA JUNIOR</t>
  </si>
  <si>
    <t>9330016</t>
  </si>
  <si>
    <t>IGUAÇU</t>
  </si>
  <si>
    <t>586</t>
  </si>
  <si>
    <t>(034) 3223-2859</t>
  </si>
  <si>
    <t>38402041</t>
  </si>
  <si>
    <t>9342552</t>
  </si>
  <si>
    <t>CEARÁ</t>
  </si>
  <si>
    <t>255</t>
  </si>
  <si>
    <t>(034) 99108-4947</t>
  </si>
  <si>
    <t>RAFAEL MARSARO</t>
  </si>
  <si>
    <t>9559615525</t>
  </si>
  <si>
    <t>1256</t>
  </si>
  <si>
    <t>(013) 97405-0371</t>
  </si>
  <si>
    <t>OPER SMART HOTEL</t>
  </si>
  <si>
    <t>97050023</t>
  </si>
  <si>
    <t>HOTEIS CONTUR LTDA</t>
  </si>
  <si>
    <t>98702210</t>
  </si>
  <si>
    <t>(055) 3028-7070</t>
  </si>
  <si>
    <t>OK INN RENASCENCA</t>
  </si>
  <si>
    <t>88790000</t>
  </si>
  <si>
    <t>HOTEL LAGUNA PRAIA LTDA</t>
  </si>
  <si>
    <t>995349</t>
  </si>
  <si>
    <t>LAGUNA</t>
  </si>
  <si>
    <t>MARIO EMILIO REMOR</t>
  </si>
  <si>
    <t>MAR GROSSO</t>
  </si>
  <si>
    <t>(055) 483644-3570</t>
  </si>
  <si>
    <t>UNIQUE TRADING - PAQUISTÃO</t>
  </si>
  <si>
    <t>UNIQUE TRADING</t>
  </si>
  <si>
    <t>9999999</t>
  </si>
  <si>
    <t>LAHORE</t>
  </si>
  <si>
    <t>42-TIPU BLOCK</t>
  </si>
  <si>
    <t>NEW GARDEN TOWN</t>
  </si>
  <si>
    <t>TERDEMOL S.R.L - BOLIVIA</t>
  </si>
  <si>
    <t>TERDEMOL S.R.L</t>
  </si>
  <si>
    <t>999999999</t>
  </si>
  <si>
    <t>ZONA PARQUE INDUSTRIAL SANTIVAÑEZ</t>
  </si>
  <si>
    <t>IPOG</t>
  </si>
  <si>
    <t>IPOG INST. DE PÓS GRADUAÇÃO E GRAD.LTDA</t>
  </si>
  <si>
    <t>isento</t>
  </si>
  <si>
    <t>38406028</t>
  </si>
  <si>
    <t>REGINALDO JOSE DE FREITAS 51007320672</t>
  </si>
  <si>
    <t>ISENTO</t>
  </si>
  <si>
    <t>R JOAQUIM ELIAS RODRIGUES</t>
  </si>
  <si>
    <t>SANTANDER</t>
  </si>
  <si>
    <t>06455000</t>
  </si>
  <si>
    <t>SANTANDER BRASIL ARRENDAMENTOS MERCANTIL</t>
  </si>
  <si>
    <t>ALPHVILLE INDUSTRIAL</t>
  </si>
  <si>
    <t>HDI SEGUROS S/A</t>
  </si>
  <si>
    <t>82</t>
  </si>
  <si>
    <t>ONOFRE PEDRO BOTAN</t>
  </si>
  <si>
    <t>(066) 3419-1480</t>
  </si>
  <si>
    <t>FUNDAÇÃO DE ESTUDOS AGRÁRIOS LUIZ DE QUE</t>
  </si>
  <si>
    <t>13416000</t>
  </si>
  <si>
    <t>CENTENÁRIO</t>
  </si>
  <si>
    <t>SAO DIMAS</t>
  </si>
  <si>
    <t>1080</t>
  </si>
  <si>
    <t>SUL AMERICA COMPANHIA NACIONAL DE SEGURO</t>
  </si>
  <si>
    <t>20211903</t>
  </si>
  <si>
    <t>RUA BEATRIZ LARRAGOITI LUCAS</t>
  </si>
  <si>
    <t>(021) 2255-2186</t>
  </si>
  <si>
    <t>SUPPLOG PORTO SECO</t>
  </si>
  <si>
    <t>38402359</t>
  </si>
  <si>
    <t>SUPPLOG PORTO SECO DO CERRADO LTDA</t>
  </si>
  <si>
    <t>GIUSEPPE URANI</t>
  </si>
  <si>
    <t>POLO MOVELEIRO (LOTEAMENTO)</t>
  </si>
  <si>
    <t>(055) 343228-9500</t>
  </si>
  <si>
    <t>CLIENTES DIVERSOS</t>
  </si>
  <si>
    <t>CCB - FINIMP</t>
  </si>
  <si>
    <t>4400</t>
  </si>
  <si>
    <t>(034) 3303-5005</t>
  </si>
  <si>
    <t>SEEDS</t>
  </si>
  <si>
    <t>SERVIÇO ESPECIAL EM DIAGNOSE DE SEMENTES</t>
  </si>
  <si>
    <t>PASSO FUNDO</t>
  </si>
  <si>
    <t>JOÃO DE CÉSARIO</t>
  </si>
  <si>
    <t>RODRIGUES</t>
  </si>
  <si>
    <t>FUNDAÇÃO DE APOIO UNIVERSITÁRIO</t>
  </si>
  <si>
    <t>CLÁUDIO ROBERTO FAGUNDES MARTINS</t>
  </si>
  <si>
    <t>38410659</t>
  </si>
  <si>
    <t>PANTANAL</t>
  </si>
  <si>
    <t>OMB ADVOCACIA</t>
  </si>
  <si>
    <t>30140080</t>
  </si>
  <si>
    <t>OLIVEIRA MARQUES BENFICA ADVOCACIA</t>
  </si>
  <si>
    <t>306</t>
  </si>
  <si>
    <t>(055) 313311-0600</t>
  </si>
  <si>
    <t>PRIME SERVIÇOS DE CADASTRO E COBRANÇA LT</t>
  </si>
  <si>
    <t>81810370</t>
  </si>
  <si>
    <t>ANÍBAL REQUIÃO</t>
  </si>
  <si>
    <t>UNIVERSIDADE FEDERAL DE MINAS GERAIS</t>
  </si>
  <si>
    <t>31270901</t>
  </si>
  <si>
    <t>PRESIDENTE ANTÔNIO CARLOS</t>
  </si>
  <si>
    <t>6627</t>
  </si>
  <si>
    <t>(011) 3409-4101</t>
  </si>
  <si>
    <t>SERPA COMÉRCIO EXTERIOR UBERLÂNDIA LTDA</t>
  </si>
  <si>
    <t>38411848</t>
  </si>
  <si>
    <t>DOS VINHEDOS</t>
  </si>
  <si>
    <t>ZONA SUL</t>
  </si>
  <si>
    <t>(034) 3236-9977</t>
  </si>
  <si>
    <t>CCB - TARIFAS</t>
  </si>
  <si>
    <t>ADMINIST. GERAL DE ESTACIONAMENTOS S.A.</t>
  </si>
  <si>
    <t>32655505</t>
  </si>
  <si>
    <t>ROD BR-381 FERNÃO DIAS</t>
  </si>
  <si>
    <t>(051) 3336-3737</t>
  </si>
  <si>
    <t>CLONE CÓPIAS E SERVIÇOS LTDA</t>
  </si>
  <si>
    <t>CLONE COMUNICAÇÃO VISUAL LTDA - ME</t>
  </si>
  <si>
    <t>957</t>
  </si>
  <si>
    <t>CARTÓRIO DO 2 OFÍCIO DE NOTAS DE UDIA</t>
  </si>
  <si>
    <t>38400104</t>
  </si>
  <si>
    <t>CARTÓRIO 2 OFÍCIO DE NOTAS DE UBERLANDIA</t>
  </si>
  <si>
    <t>CEL.ANTÔNIO ALVES PEREIRA</t>
  </si>
  <si>
    <t>850</t>
  </si>
  <si>
    <t>AXA CORPORATE SOLUTIONS SEGUROS S/A</t>
  </si>
  <si>
    <t>2001000</t>
  </si>
  <si>
    <t>DA ASSEMBLEIA</t>
  </si>
  <si>
    <t>(021) 3503-6000</t>
  </si>
  <si>
    <t>PRIORE - ASSEIO</t>
  </si>
  <si>
    <t>30882610</t>
  </si>
  <si>
    <t>PRIORE SANEAMENTO AMBIENTAL LTDA - ME</t>
  </si>
  <si>
    <t>RUA JORNALISTA MARIO EUGENIO</t>
  </si>
  <si>
    <t>SERRANO</t>
  </si>
  <si>
    <t>(031) 3475-4339</t>
  </si>
  <si>
    <t>CONSTRUMAQ</t>
  </si>
  <si>
    <t>38400312</t>
  </si>
  <si>
    <t>CONSTRUMAQ LOCAÇÃO DE MÁQ E CAÇAMBA LTDA</t>
  </si>
  <si>
    <t>LEONCIO CHAVES</t>
  </si>
  <si>
    <t>CHAVES</t>
  </si>
  <si>
    <t>223</t>
  </si>
  <si>
    <t>FUNJUS</t>
  </si>
  <si>
    <t>80530912</t>
  </si>
  <si>
    <t>FUNDO DA JUSTIÇA PODER JUD.DO EST.PARANÁ</t>
  </si>
  <si>
    <t>PÇ NOSSA SENHORA DA SALETE</t>
  </si>
  <si>
    <t>(041) 3200-2238</t>
  </si>
  <si>
    <t>COPY 1000</t>
  </si>
  <si>
    <t>38400216</t>
  </si>
  <si>
    <t>COPY 1000 LTDA - EPP</t>
  </si>
  <si>
    <t>PÇ CÍCERO MACEDO</t>
  </si>
  <si>
    <t>LOS LAPACHOS C/ RIO PARANA</t>
  </si>
  <si>
    <t>6157-8063</t>
  </si>
  <si>
    <t>CARTÓRIO WILMA MARQUEZ BORGES</t>
  </si>
  <si>
    <t>CARTÓRIO DE REG.TIT.E DOC E PESSOA JURÍD</t>
  </si>
  <si>
    <t>(034) 3214-2250</t>
  </si>
  <si>
    <t>CARTÓRIO DO JOÃO BORGES FONSECA</t>
  </si>
  <si>
    <t>CARTÓRIO 2º REGISTRO DE IMÓVEIS E HIPOTE</t>
  </si>
  <si>
    <t>332</t>
  </si>
  <si>
    <t>WP ARQUITETAGRO CONSULTORIAS LTDA</t>
  </si>
  <si>
    <t>13418340</t>
  </si>
  <si>
    <t>DR JOÃO SAMPAIO</t>
  </si>
  <si>
    <t>2713</t>
  </si>
  <si>
    <t>SANTANDER - FINIMP</t>
  </si>
  <si>
    <t>SERPA LOGISTICA EIRELI</t>
  </si>
  <si>
    <t>30140096</t>
  </si>
  <si>
    <t>GONÇALVES DIAS</t>
  </si>
  <si>
    <t>BOA VIAGEM</t>
  </si>
  <si>
    <t>1130</t>
  </si>
  <si>
    <t>OCP DO BRASIL LTDA</t>
  </si>
  <si>
    <t>FUNDAÇÃO PARA O DESENVOLVIMENTO TECNOLÓG</t>
  </si>
  <si>
    <t>FUND. P/ DESENV. TECNOLOGICO ENGENHARIA</t>
  </si>
  <si>
    <t>CARTORIO 3 OFICIO DE NOTAS</t>
  </si>
  <si>
    <t>CARTORIO EDUARDO MAURICIO RODR. DA CUNHA</t>
  </si>
  <si>
    <t>(034) 3236-8574</t>
  </si>
  <si>
    <t>RENOVE AGROPESQUISA LTDA</t>
  </si>
  <si>
    <t>BENTO DE MELO</t>
  </si>
  <si>
    <t>JD PLANALTO</t>
  </si>
  <si>
    <t>JULIAGRO CROP VIEW CONSULTORIA LTDA</t>
  </si>
  <si>
    <t>38400384</t>
  </si>
  <si>
    <t>RAFAEL RINALDI</t>
  </si>
  <si>
    <t>FULVIO FRANCO DRUMMOND MARTINS DA COSTA</t>
  </si>
  <si>
    <t>38701118</t>
  </si>
  <si>
    <t>AVENIDA PADRE ALMIR NEVES DE MEDEIROS</t>
  </si>
  <si>
    <t>SOBRADINHO</t>
  </si>
  <si>
    <t>CADEMARTORI E CADEMARTORI LTDA</t>
  </si>
  <si>
    <t>97501538</t>
  </si>
  <si>
    <t>RUA 13 DE MAIO</t>
  </si>
  <si>
    <t>GENTE SEGURADORA SA</t>
  </si>
  <si>
    <t>THIAGO TONIETO</t>
  </si>
  <si>
    <t>36800000</t>
  </si>
  <si>
    <t>CARANGOLA</t>
  </si>
  <si>
    <t>(032) 99830-0763</t>
  </si>
  <si>
    <t>AGRO CARREGAL PESQUISA E PROTEÇÃO</t>
  </si>
  <si>
    <t>75907454</t>
  </si>
  <si>
    <t>RUA CL 3</t>
  </si>
  <si>
    <t>PARQUE DOS BURITIS</t>
  </si>
  <si>
    <t>(064) 99294-7460</t>
  </si>
  <si>
    <t>PROTEPLAN PESQUISA E ASSESSORIA</t>
  </si>
  <si>
    <t>78065075</t>
  </si>
  <si>
    <t>CUIABA</t>
  </si>
  <si>
    <t>TIRADENTES</t>
  </si>
  <si>
    <t>PICO DO AMOR</t>
  </si>
  <si>
    <t>(065) 2127-5042</t>
  </si>
  <si>
    <t>ASSISTEC AGRICOLA</t>
  </si>
  <si>
    <t>75803050</t>
  </si>
  <si>
    <t>VILA FÁTIMA</t>
  </si>
  <si>
    <t>2566</t>
  </si>
  <si>
    <t>(064) 3631-6707</t>
  </si>
  <si>
    <t>ATHOS STEFANI SERAFINI GONÇALVES</t>
  </si>
  <si>
    <t>FAZENDA CABO VERDE</t>
  </si>
  <si>
    <t>(035) 3297-4046</t>
  </si>
  <si>
    <t>MSC MEDITERRANEAN</t>
  </si>
  <si>
    <t>11060917</t>
  </si>
  <si>
    <t>MSC MEDITERRANEAN SHIP DO BRASIL LTDA</t>
  </si>
  <si>
    <t>AVENIDA ANA COSTA</t>
  </si>
  <si>
    <t>(055) 133211-9500</t>
  </si>
  <si>
    <t>EDSON LUIZ IGNACIO E OUTROS</t>
  </si>
  <si>
    <t>38185000</t>
  </si>
  <si>
    <t>TAPIRA</t>
  </si>
  <si>
    <t>CANASTRA</t>
  </si>
  <si>
    <t>(034) 3664-5959</t>
  </si>
  <si>
    <t>TERRA MADRE PESQUISA AGRONOMICA &amp; DESENV</t>
  </si>
  <si>
    <t>JOAQUIM TEOFILO</t>
  </si>
  <si>
    <t>(035) 99982-8127</t>
  </si>
  <si>
    <t>MARIA DO ROSARIO NEIVA ROSA &amp; CIA LTDA</t>
  </si>
  <si>
    <t>75703040</t>
  </si>
  <si>
    <t>RUA LEOPOLDO DE BULHOES</t>
  </si>
  <si>
    <t>(064) 3411-4520</t>
  </si>
  <si>
    <t>LOTCHEM TECHNOLOGY (ZHENJIANG) CO., LTD</t>
  </si>
  <si>
    <t>JIANGSU</t>
  </si>
  <si>
    <t>BEIWAN,HUQIAO</t>
  </si>
  <si>
    <t>DANYANG DEVELOPMENT ZONE</t>
  </si>
  <si>
    <t>CAMILA OBALI MOLINAROLI 08539701650</t>
  </si>
  <si>
    <t>R ARTHUR BERNARDES</t>
  </si>
  <si>
    <t>(034) 9679-1308</t>
  </si>
  <si>
    <t>HOTEL CAROLINA LTDA</t>
  </si>
  <si>
    <t>38050430</t>
  </si>
  <si>
    <t>1373</t>
  </si>
  <si>
    <t>(034) 3311-2002</t>
  </si>
  <si>
    <t>PESO CERTO BALANÇAS E ASSIST. TÉC. LTDA</t>
  </si>
  <si>
    <t>38410222</t>
  </si>
  <si>
    <t>ABELARDO PENNA</t>
  </si>
  <si>
    <t>TIANJIN BINHAI JUNTAI INTERN CO LTDA</t>
  </si>
  <si>
    <t>ROOM B2050</t>
  </si>
  <si>
    <t>FREE TRADE ZONE</t>
  </si>
  <si>
    <t>OLIVER TRANSPORTES LTDA</t>
  </si>
  <si>
    <t>38405268</t>
  </si>
  <si>
    <t>RUA TITO</t>
  </si>
  <si>
    <t>1598</t>
  </si>
  <si>
    <t>DNIT</t>
  </si>
  <si>
    <t>70040902</t>
  </si>
  <si>
    <t>DNIT-DEP NAC DE INFRAEST DE TRANSPORTES</t>
  </si>
  <si>
    <t>03 LOTE A</t>
  </si>
  <si>
    <t>SAN</t>
  </si>
  <si>
    <t>(055) 061315-4282</t>
  </si>
  <si>
    <t>KPMG ASSESSORES LTDA</t>
  </si>
  <si>
    <t>04711904</t>
  </si>
  <si>
    <t>ARQUITETO OLAVO REDIG DE CAMPOS</t>
  </si>
  <si>
    <t>VILA SAO FRANCISCO</t>
  </si>
  <si>
    <t>RAMONA CORDERO Y LEÓN</t>
  </si>
  <si>
    <t>PARQUE INDUSTRIAL CHAULLAYACU</t>
  </si>
  <si>
    <t>(059) 37415-1760</t>
  </si>
  <si>
    <t>PROMINERALES SAS</t>
  </si>
  <si>
    <t>VIA AEROPUERTO PUERTO BERRIO</t>
  </si>
  <si>
    <t>ROBSON SILVA SANTOS</t>
  </si>
  <si>
    <t>38414578</t>
  </si>
  <si>
    <t>RUA COIMBRA</t>
  </si>
  <si>
    <t>ANDA ASSOCIACAO NACIONAL PARA DIFUSAO DE</t>
  </si>
  <si>
    <t>01047901</t>
  </si>
  <si>
    <t>PC DOM JOSE GASPAR</t>
  </si>
  <si>
    <t>30</t>
  </si>
  <si>
    <t>ROBERTO FARIA</t>
  </si>
  <si>
    <t>38038102</t>
  </si>
  <si>
    <t>AVENIDA AUGUSTO SEVERINO CARNEIRO</t>
  </si>
  <si>
    <t>SAO ELIE  E HOTELARIA LTDA</t>
  </si>
  <si>
    <t>03009000</t>
  </si>
  <si>
    <t>JOAO TEODORO</t>
  </si>
  <si>
    <t>BRÁS</t>
  </si>
  <si>
    <t>(055) 113033-9602</t>
  </si>
  <si>
    <t>SUSTENTA</t>
  </si>
  <si>
    <t>38405302</t>
  </si>
  <si>
    <t>SUSTENTA - EMPRESA JUN DE SOLUC ENG</t>
  </si>
  <si>
    <t>QUATRO ENGENHARIA E CONSTRUCOES LTDA</t>
  </si>
  <si>
    <t>(055) 343211-3000</t>
  </si>
  <si>
    <t>AUTOBAN</t>
  </si>
  <si>
    <t>PAULO VITOR DE AQUINO MATIAS 12125589605</t>
  </si>
  <si>
    <t>757</t>
  </si>
  <si>
    <t>(055) 349207-9002</t>
  </si>
  <si>
    <t>UNIDAS LOCADORA S.A.</t>
  </si>
  <si>
    <t>78555406</t>
  </si>
  <si>
    <t>AVENIDA BRUNO MARTINI</t>
  </si>
  <si>
    <t>RESIDENCIAL FLORENCA</t>
  </si>
  <si>
    <t>(055) 313319-1500</t>
  </si>
  <si>
    <t>49037580</t>
  </si>
  <si>
    <t>SEN JULIO LEITE</t>
  </si>
  <si>
    <t>2799</t>
  </si>
  <si>
    <t>ELISANGELA STELITA VIEIRA</t>
  </si>
  <si>
    <t>37701025</t>
  </si>
  <si>
    <t>ALBUQUERQUE MARANHAO</t>
  </si>
  <si>
    <t>(055) 359825-3204</t>
  </si>
  <si>
    <t>BRASIL TERMINAL PORTUARIO S.A.</t>
  </si>
  <si>
    <t>11095650</t>
  </si>
  <si>
    <t>ENGENHEIRO AUGUSTO BARATA</t>
  </si>
  <si>
    <t>ALEMOA</t>
  </si>
  <si>
    <t>(055) 133295-5000</t>
  </si>
  <si>
    <t>ALAMO ARMAZENS GERAIS</t>
  </si>
  <si>
    <t>11085430</t>
  </si>
  <si>
    <t>ALAMO ARMAZENS E SERVICOS</t>
  </si>
  <si>
    <t>ABILIO DOS SANTOS</t>
  </si>
  <si>
    <t>CHICO DE PAULA</t>
  </si>
  <si>
    <t>262</t>
  </si>
  <si>
    <t>B&amp;B HOTELS BRASIL HOTELARIA E INVESTIMEN</t>
  </si>
  <si>
    <t>B&amp;B HOTELS BRASIL HOTELARIA</t>
  </si>
  <si>
    <t>TUBAL VILELA</t>
  </si>
  <si>
    <t>(055) 343256-1205</t>
  </si>
  <si>
    <t>HEMOLAB</t>
  </si>
  <si>
    <t>DIEGO DOMINGOS DOYA -LABORATORIO</t>
  </si>
  <si>
    <t>SAO JOSE DO TOCANTINS</t>
  </si>
  <si>
    <t>(055) 623354-1089</t>
  </si>
  <si>
    <t>BOREALIS LOGISTICS</t>
  </si>
  <si>
    <t>11030011</t>
  </si>
  <si>
    <t>BLX GO BRASIL LTDA</t>
  </si>
  <si>
    <t>VEREADOR HENRIQUE SOLER</t>
  </si>
  <si>
    <t>PONTA DA PRAIA</t>
  </si>
  <si>
    <t>(055) 133500-7612</t>
  </si>
  <si>
    <t>R F DE MELO &amp; CIA LTDA</t>
  </si>
  <si>
    <t>76821001</t>
  </si>
  <si>
    <t>2979</t>
  </si>
  <si>
    <t>(055) 692181-2500</t>
  </si>
  <si>
    <t>HOTEL CRISTALIA</t>
  </si>
  <si>
    <t>32684102</t>
  </si>
  <si>
    <t>HOTEL CRISTALIA LTDA</t>
  </si>
  <si>
    <t>CRISTALIA</t>
  </si>
  <si>
    <t>(055) 313532-2704</t>
  </si>
  <si>
    <t>SOLAR DA BEIRA</t>
  </si>
  <si>
    <t>ITAMIRIM HOTEIS E TURISMO LTDA</t>
  </si>
  <si>
    <t>AGROBELTS</t>
  </si>
  <si>
    <t>38408040</t>
  </si>
  <si>
    <t>AGROBELTS CONSULTORIA AGRICOLA LTDA</t>
  </si>
  <si>
    <t>OSVALDO RODRIGUES DA CUNHA</t>
  </si>
  <si>
    <t>(055) 349937-2846</t>
  </si>
  <si>
    <t>P. FRANCA ARQUITETURA E CONSULTORIA</t>
  </si>
  <si>
    <t>GRAND VILLE UBERLANDIA</t>
  </si>
  <si>
    <t>(055) 349673-9130</t>
  </si>
  <si>
    <t>SILVA &amp; CHEFFER LTDA</t>
  </si>
  <si>
    <t>13660037</t>
  </si>
  <si>
    <t>PORTO FERREIRA</t>
  </si>
  <si>
    <t>CEL. JOAO PROCOPIO</t>
  </si>
  <si>
    <t>(055) 193581-5820</t>
  </si>
  <si>
    <t>GAIVOTAS PRAIA HOTEL</t>
  </si>
  <si>
    <t>GAIVOTAS PRAIA HOTEL LTDA</t>
  </si>
  <si>
    <t>(055) 473449-2024</t>
  </si>
  <si>
    <t>38406387</t>
  </si>
  <si>
    <t>JOSÉ ALVES DOS SANTOS</t>
  </si>
  <si>
    <t>W &amp; SOALHEIRO ADMINISTRACAO HOT. LTDA</t>
  </si>
  <si>
    <t>79002401</t>
  </si>
  <si>
    <t>JOSE ANTONIO TEMPORAO</t>
  </si>
  <si>
    <t>1117</t>
  </si>
  <si>
    <t>(055) 673303-9300</t>
  </si>
  <si>
    <t>15800080</t>
  </si>
  <si>
    <t>APS LAVANDERIA</t>
  </si>
  <si>
    <t>38405140</t>
  </si>
  <si>
    <t>APS LAVANDERIA LTDA</t>
  </si>
  <si>
    <t>1441</t>
  </si>
  <si>
    <t>(055) 349313-8000</t>
  </si>
  <si>
    <t>65065470</t>
  </si>
  <si>
    <t>SAO LUIZ REI DE FRANCA</t>
  </si>
  <si>
    <t>TURU</t>
  </si>
  <si>
    <t>83005280</t>
  </si>
  <si>
    <t>SÃO JOSÉ DOS PINHAIS</t>
  </si>
  <si>
    <t>AVENIDA ROCHA POMBO</t>
  </si>
  <si>
    <t>SÃO CRISTÓVÃO</t>
  </si>
  <si>
    <t>SAFETYWARE TECNOLOGIA DA INFORMACAO</t>
  </si>
  <si>
    <t>14026583</t>
  </si>
  <si>
    <t>SAFETYWARE TEC. INFORMAÇÃO LTDA.</t>
  </si>
  <si>
    <t>MARCOS MARKARIAN</t>
  </si>
  <si>
    <t>JARDIM NOVA ALIANÇA</t>
  </si>
  <si>
    <t>1025</t>
  </si>
  <si>
    <t>(055) 1699278-9349</t>
  </si>
  <si>
    <t>HINOVA PAYMENTS</t>
  </si>
  <si>
    <t>31340000</t>
  </si>
  <si>
    <t>HINOVA PAY INSTITUICAO DE PAGAMENTO S.A.</t>
  </si>
  <si>
    <t>SENA MADUREIRA</t>
  </si>
  <si>
    <t>(055) 313419-3100</t>
  </si>
  <si>
    <t>ORGANIZACAO HOTELEIRA ITAPETININGA LTDA</t>
  </si>
  <si>
    <t>AVALON CREATIVE STUDIO</t>
  </si>
  <si>
    <t>38410540</t>
  </si>
  <si>
    <t>AVALON CREATIVE STUDIO LTDA</t>
  </si>
  <si>
    <t>DOS GRAVATAS (LOTEAMENTO)</t>
  </si>
  <si>
    <t>145</t>
  </si>
  <si>
    <t>(055) 349944-0394</t>
  </si>
  <si>
    <t>HP HOTEL LTDA</t>
  </si>
  <si>
    <t>79150000</t>
  </si>
  <si>
    <t>MARACAJU</t>
  </si>
  <si>
    <t>PRES. JUCELINO KUBISTCHECK</t>
  </si>
  <si>
    <t>CONJ. SAN RAPHAEL</t>
  </si>
  <si>
    <t>(055) 683454-2812</t>
  </si>
  <si>
    <t>HOTEL LONDON</t>
  </si>
  <si>
    <t>75020080</t>
  </si>
  <si>
    <t>HOTEL LONDON LTDA</t>
  </si>
  <si>
    <t>CORONEL BATISTA</t>
  </si>
  <si>
    <t>SETOR CENTRAL</t>
  </si>
  <si>
    <t>415</t>
  </si>
  <si>
    <t>(055) 623771-9100</t>
  </si>
  <si>
    <t>REI DOS PARABRISAS</t>
  </si>
  <si>
    <t>37026080</t>
  </si>
  <si>
    <t>REI DOS PARABRISAS SERVICOS LTDA</t>
  </si>
  <si>
    <t>JARDIM ANDERE</t>
  </si>
  <si>
    <t>580</t>
  </si>
  <si>
    <t>(055) 353221-4030</t>
  </si>
  <si>
    <t>CAMBRAIA HOTEL LTDA</t>
  </si>
  <si>
    <t>CAPITÃO JOSÉ APOLINÁRIO</t>
  </si>
  <si>
    <t>491</t>
  </si>
  <si>
    <t>(055) 373351-5560</t>
  </si>
  <si>
    <t>TRI HOTEL BALNEARIO CAMBORIU</t>
  </si>
  <si>
    <t>88339005</t>
  </si>
  <si>
    <t>TRI HOTEL CAXIAS LTDA</t>
  </si>
  <si>
    <t>(055) 543771-6480</t>
  </si>
  <si>
    <t>DEICMAR</t>
  </si>
  <si>
    <t>11060000</t>
  </si>
  <si>
    <t>BANDEIRANTES DEICMAR LOG INTEG LTDA</t>
  </si>
  <si>
    <t>ANA COSTA</t>
  </si>
  <si>
    <t>(055) 133131-4500</t>
  </si>
  <si>
    <t>KOMAKI</t>
  </si>
  <si>
    <t>96200300</t>
  </si>
  <si>
    <t>PAULO ROBERTO LISBOA MACHADO &amp; CIA LTDA</t>
  </si>
  <si>
    <t>DOUTOR NASCIMENTO</t>
  </si>
  <si>
    <t>(055) 539976-6538</t>
  </si>
  <si>
    <t>PORTAL DO IGUACU HOTEL</t>
  </si>
  <si>
    <t>81560615</t>
  </si>
  <si>
    <t>PORTAL DO IGUACU HOTEL LTDA</t>
  </si>
  <si>
    <t>VELCY BOLIVAR GRANDO</t>
  </si>
  <si>
    <t>JARDIM INDUBERABA</t>
  </si>
  <si>
    <t>(055) 413035-5303</t>
  </si>
  <si>
    <t>90200310</t>
  </si>
  <si>
    <t>SEVERO DULLIUS</t>
  </si>
  <si>
    <t>1485</t>
  </si>
  <si>
    <t>LORYS HOTEL</t>
  </si>
  <si>
    <t>LORYS HOTEL LTDA</t>
  </si>
  <si>
    <t>ESTAO DA LUZ</t>
  </si>
  <si>
    <t>1033</t>
  </si>
  <si>
    <t>(055) 663419-1177</t>
  </si>
  <si>
    <t>OURO HOTEL OURINHOS LTDA</t>
  </si>
  <si>
    <t>19900080</t>
  </si>
  <si>
    <t>ANTONIO CARLOS MORI</t>
  </si>
  <si>
    <t>21</t>
  </si>
  <si>
    <t>(055) 143324-4835</t>
  </si>
  <si>
    <t>HOTEL BARROCOS LTDA</t>
  </si>
  <si>
    <t>(055) 623086-2313</t>
  </si>
  <si>
    <t>HOTEL TRIANGULO MINEIRO</t>
  </si>
  <si>
    <t>77022002</t>
  </si>
  <si>
    <t>HOTEL TRIANGULO MINEIRO LTDA</t>
  </si>
  <si>
    <t>PALMAS</t>
  </si>
  <si>
    <t>602 SUL (ACSU SE 60) AVENIDA JOAQUIM TEOTONIO SEGURADO</t>
  </si>
  <si>
    <t>PLANO DIRETOR SUL</t>
  </si>
  <si>
    <t>(055) 633214-4099</t>
  </si>
  <si>
    <t>HOTEL CASTRO</t>
  </si>
  <si>
    <t>77015018</t>
  </si>
  <si>
    <t>HOTEL CASTRO LTDA</t>
  </si>
  <si>
    <t>ACSO 1 RUA SO 5, CONJ 04</t>
  </si>
  <si>
    <t>(055) 633026-1010</t>
  </si>
  <si>
    <t>ANTONIA EDNA PEREIRA REINALDO DE PAULA</t>
  </si>
  <si>
    <t>(055) 643608-1016</t>
  </si>
  <si>
    <t>HOTEL NELI</t>
  </si>
  <si>
    <t>CANDIDO BRANDAO HOTEIS LTDA</t>
  </si>
  <si>
    <t>RUA DAS LARANJEIRAS</t>
  </si>
  <si>
    <t>1135</t>
  </si>
  <si>
    <t>(055) 669217-1474</t>
  </si>
  <si>
    <t>HOTEL DUAS IRMAS LTDA</t>
  </si>
  <si>
    <t>87355000</t>
  </si>
  <si>
    <t>JURANDA</t>
  </si>
  <si>
    <t>BR 369, KM 423</t>
  </si>
  <si>
    <t>(055) 449988-3558</t>
  </si>
  <si>
    <t>DALLA'S HOTEL</t>
  </si>
  <si>
    <t>85400000</t>
  </si>
  <si>
    <t>ALCIDES CANTARELLI E CIA LTDA</t>
  </si>
  <si>
    <t>GUARANIACU</t>
  </si>
  <si>
    <t>ABILON DE SOUZA NAVES</t>
  </si>
  <si>
    <t>844</t>
  </si>
  <si>
    <t>(055) 45232-1288</t>
  </si>
  <si>
    <t>HOTEL VALLE SUL</t>
  </si>
  <si>
    <t>HOTEL VALLE SUL LTDA</t>
  </si>
  <si>
    <t>CASTELO BRANCO</t>
  </si>
  <si>
    <t>VILA TUPI</t>
  </si>
  <si>
    <t>1930</t>
  </si>
  <si>
    <t>(055) 133822-3806</t>
  </si>
  <si>
    <t>BISS CASA GRANDE RESTAURANTE E HOTEL LTD</t>
  </si>
  <si>
    <t>35557000</t>
  </si>
  <si>
    <t>BISS CASA GRANDE RES. E HOTEL LTDA</t>
  </si>
  <si>
    <t>CARMO DO CAJURU</t>
  </si>
  <si>
    <t>SAO JOSE DOS SALGADOS</t>
  </si>
  <si>
    <t>(055) 379936-4391</t>
  </si>
  <si>
    <t>34.366.670 ALMIR PEREIRA DA SILVA</t>
  </si>
  <si>
    <t>RUA RUA DOS BALSAMOS</t>
  </si>
  <si>
    <t>(055) 343833-1242</t>
  </si>
  <si>
    <t>MANANCIAL HOTEL E EVENTOS</t>
  </si>
  <si>
    <t>36908899</t>
  </si>
  <si>
    <t>MANANCIAL HOTEL E EVENTOS LTDA</t>
  </si>
  <si>
    <t>BARRA DE SAO LUIZ E BOA VISTA</t>
  </si>
  <si>
    <t>(055) 333331-4800</t>
  </si>
  <si>
    <t>NATION PARK ESTACIONAMENTOS</t>
  </si>
  <si>
    <t>83010620</t>
  </si>
  <si>
    <t>NATION PARK ESTACIONAMENTOS LTDA</t>
  </si>
  <si>
    <t>AGUAS BELAS</t>
  </si>
  <si>
    <t>2853</t>
  </si>
  <si>
    <t>(055) 413382-7788</t>
  </si>
  <si>
    <t>UNIDAS LOCACOES E SERVICOS S/A</t>
  </si>
  <si>
    <t>81170220</t>
  </si>
  <si>
    <t>JOAO CHEDE</t>
  </si>
  <si>
    <t>(055) 413093-7000</t>
  </si>
  <si>
    <t>80220290</t>
  </si>
  <si>
    <t>JOAO PAROLIN</t>
  </si>
  <si>
    <t>PRADO VELHO</t>
  </si>
  <si>
    <t>BLACK FOX PERSONALIZADOS</t>
  </si>
  <si>
    <t>38400053</t>
  </si>
  <si>
    <t>BLACK FOX BRINDES LTDA</t>
  </si>
  <si>
    <t>1034</t>
  </si>
  <si>
    <t>(055) 349959-5399</t>
  </si>
  <si>
    <t>CONTROLE VIP</t>
  </si>
  <si>
    <t>38407752</t>
  </si>
  <si>
    <t>CONTROLE VIP ROTULOS E ETIQUETAS LTDA</t>
  </si>
  <si>
    <t>SAN DIEGO</t>
  </si>
  <si>
    <t>(055) 343214-5605</t>
  </si>
  <si>
    <t>HITALA GABRIELA FELIX DE FREITAS 0914305</t>
  </si>
  <si>
    <t>38413219</t>
  </si>
  <si>
    <t>HITALA GABRIELA FELIX DE FREITAS</t>
  </si>
  <si>
    <t>DO JARDINEIRO</t>
  </si>
  <si>
    <t>928</t>
  </si>
  <si>
    <t>(055) 349171-4807</t>
  </si>
  <si>
    <t>RAFAEL AQUINO ZINGRA</t>
  </si>
  <si>
    <t>38413213</t>
  </si>
  <si>
    <t>R ANTONIO VICENTE FERREIRA</t>
  </si>
  <si>
    <t>887</t>
  </si>
  <si>
    <t>(055) 343222-4241</t>
  </si>
  <si>
    <t>RAQUEL CRUZ ARTISTA EM BALOES</t>
  </si>
  <si>
    <t>38408267</t>
  </si>
  <si>
    <t>RAQUEL MOURA DA CRUZ LIMA</t>
  </si>
  <si>
    <t>3700</t>
  </si>
  <si>
    <t>(055) 349273-9779</t>
  </si>
  <si>
    <t>SEBASTIANA DE JESUS VIEIRA DA</t>
  </si>
  <si>
    <t>38412479</t>
  </si>
  <si>
    <t>SEBASTIANA DE JESUS VIEIRA DA SILVA</t>
  </si>
  <si>
    <t>LEILA SIQUIEROLI FINOTTI</t>
  </si>
  <si>
    <t>573</t>
  </si>
  <si>
    <t>(055) 349301-1316</t>
  </si>
  <si>
    <t>VITAL AUGUSTO SILVA GONZAGA</t>
  </si>
  <si>
    <t>38408196</t>
  </si>
  <si>
    <t>CECÍLIO JORGE</t>
  </si>
  <si>
    <t>(055) 343234-2197</t>
  </si>
  <si>
    <t>ATELIE DE BALOES</t>
  </si>
  <si>
    <t>38400336</t>
  </si>
  <si>
    <t>SILVIA BATISTA DUARTE</t>
  </si>
  <si>
    <t>(055) 348822-4429</t>
  </si>
  <si>
    <t>CHECKMOTOR</t>
  </si>
  <si>
    <t>06501135</t>
  </si>
  <si>
    <t>CHECKMOTOR VISTORIA DE VEICULOS LTDA</t>
  </si>
  <si>
    <t>SANTANA DE PARNAIBA</t>
  </si>
  <si>
    <t>DOMINGOS JORGE VELHO</t>
  </si>
  <si>
    <t>(055) 114154-5851</t>
  </si>
  <si>
    <t>FABRICIO JORGE ISIDORO</t>
  </si>
  <si>
    <t>38415197</t>
  </si>
  <si>
    <t>JUSTINO PEREIRA DE OLIVEIRA</t>
  </si>
  <si>
    <t>(055) 3499281-4533</t>
  </si>
  <si>
    <t>GAMA HOTELARIA E EMPREENDIMENTOS LTDA</t>
  </si>
  <si>
    <t>37556330</t>
  </si>
  <si>
    <t>RODOVIA JK - BR 459</t>
  </si>
  <si>
    <t>(055) 353425-4235</t>
  </si>
  <si>
    <t>HOTEL AIEZZA</t>
  </si>
  <si>
    <t>AIEZZA EMPREENDIMENTOS &amp; SERVICOS LTDA</t>
  </si>
  <si>
    <t>LOURENCO GONCALVES</t>
  </si>
  <si>
    <t>VILA DOS CABANOS</t>
  </si>
  <si>
    <t>(055) 913754-1262</t>
  </si>
  <si>
    <t>IBIS SANTOS</t>
  </si>
  <si>
    <t>11045500</t>
  </si>
  <si>
    <t>HOTELARIA ACCOR BRASIL S/A</t>
  </si>
  <si>
    <t>(055) 113818-6456</t>
  </si>
  <si>
    <t>92010242</t>
  </si>
  <si>
    <t>4861</t>
  </si>
  <si>
    <t>(055) 513025-7700</t>
  </si>
  <si>
    <t>DIDI HOTEL</t>
  </si>
  <si>
    <t>68700214</t>
  </si>
  <si>
    <t>HOTEIS DONA DINA LTDA</t>
  </si>
  <si>
    <t>CAPANEMA</t>
  </si>
  <si>
    <t>(055) 913462-1754</t>
  </si>
  <si>
    <t>NOBILE INN JUNDIAI</t>
  </si>
  <si>
    <t>13214420</t>
  </si>
  <si>
    <t>NOBILE GESTAO DE EMPREENDIMENTOS LTDA</t>
  </si>
  <si>
    <t>ALFREDO CECCHI</t>
  </si>
  <si>
    <t>CIDADE SANTOS DUMONT</t>
  </si>
  <si>
    <t>207</t>
  </si>
  <si>
    <t>(055) 112448-3900</t>
  </si>
  <si>
    <t>TRAVEL INN</t>
  </si>
  <si>
    <t>13208130</t>
  </si>
  <si>
    <t>RESULTS ASSESSORIA E ADMINISTRACAO LTDA</t>
  </si>
  <si>
    <t>VITAL BRASIL</t>
  </si>
  <si>
    <t>ANHANGABAU</t>
  </si>
  <si>
    <t>(055) 153363-4000</t>
  </si>
  <si>
    <t>HOTEL SANTA HELENA</t>
  </si>
  <si>
    <t>98010750</t>
  </si>
  <si>
    <t>ANTHIMOS JEAN DIAMANTOPOULOS</t>
  </si>
  <si>
    <t>PINHEIRO MACHADO</t>
  </si>
  <si>
    <t>893</t>
  </si>
  <si>
    <t>(055) 3322-8399</t>
  </si>
  <si>
    <t>RIAN CARLOS SILVA CAMARGO</t>
  </si>
  <si>
    <t>38412637</t>
  </si>
  <si>
    <t>MAIRY DA ROCHA</t>
  </si>
  <si>
    <t>(055) 349767-0979</t>
  </si>
  <si>
    <t>MUNICIPIO DE LUIS EDUARDO MAGALHAES</t>
  </si>
  <si>
    <t>DUPLICIDADE-NAO UTILIZAR</t>
  </si>
  <si>
    <t>JOSE RAMOS DE ANCHIETA</t>
  </si>
  <si>
    <t>(055) 773628-9000</t>
  </si>
  <si>
    <t>NATHUS HOTEL</t>
  </si>
  <si>
    <t>NATHUS HOTEL LTDA</t>
  </si>
  <si>
    <t>715</t>
  </si>
  <si>
    <t>(055) 673562-1862</t>
  </si>
  <si>
    <t>DAN INN HOTEL ARARAQUARA LTDA</t>
  </si>
  <si>
    <t>14807066</t>
  </si>
  <si>
    <t>MIGUEL CORTEZ</t>
  </si>
  <si>
    <t>VILA SUCONASA</t>
  </si>
  <si>
    <t>(055) 163301-2700</t>
  </si>
  <si>
    <t>DESIGN PROMO</t>
  </si>
  <si>
    <t>13467540</t>
  </si>
  <si>
    <t>SIMONE PAIOSSIN MARIN BRINDES</t>
  </si>
  <si>
    <t>PARQUE NOVO MUNDO</t>
  </si>
  <si>
    <t>1828</t>
  </si>
  <si>
    <t>(055) 193461-2605</t>
  </si>
  <si>
    <t>UNIVERSO TREINAMENTOS E CONSULTORIA</t>
  </si>
  <si>
    <t>11431090</t>
  </si>
  <si>
    <t>UNIVERSO TREINAMENTOS CONSULTORIA LTDA</t>
  </si>
  <si>
    <t>RUA DOUTOR CARLOS NERHING</t>
  </si>
  <si>
    <t>JARDIM HELENA MARIA</t>
  </si>
  <si>
    <t>997</t>
  </si>
  <si>
    <t>(055) 139799-7364</t>
  </si>
  <si>
    <t>HOTEL VERDE VALE</t>
  </si>
  <si>
    <t>89560130</t>
  </si>
  <si>
    <t>VERDE VALE SERVICOS LTDA</t>
  </si>
  <si>
    <t>VIDEIRA</t>
  </si>
  <si>
    <t>108</t>
  </si>
  <si>
    <t>(055) 493566-1622</t>
  </si>
  <si>
    <t>MORADA DEL ESTE</t>
  </si>
  <si>
    <t>92425055</t>
  </si>
  <si>
    <t>RESORT MORADA DEL LESTE LTDA</t>
  </si>
  <si>
    <t>FARROUPILHA</t>
  </si>
  <si>
    <t>8353</t>
  </si>
  <si>
    <t>(055) 513032-4145</t>
  </si>
  <si>
    <t>51.883.877 LAISE VERRI BISPO</t>
  </si>
  <si>
    <t>38400128</t>
  </si>
  <si>
    <t>1466</t>
  </si>
  <si>
    <t>(055) 349125-2702</t>
  </si>
  <si>
    <t>46.456.403 LAIS FERREIRA LIMA GOMES</t>
  </si>
  <si>
    <t>38412866</t>
  </si>
  <si>
    <t>BLADILEI ALVES CARDOSO</t>
  </si>
  <si>
    <t>1115</t>
  </si>
  <si>
    <t>(055) 349964-3272</t>
  </si>
  <si>
    <t>51.860.972 JACQUELINE CRISTINA PERES DE</t>
  </si>
  <si>
    <t>38017270</t>
  </si>
  <si>
    <t>JACQUELINE CRISTINA PERES DE OLIVEIRA</t>
  </si>
  <si>
    <t>DOUTOR JOSE PEREIRA REBOUCAS</t>
  </si>
  <si>
    <t>(055) 349665-2955</t>
  </si>
  <si>
    <t>DESPACHANTE UNIAO</t>
  </si>
  <si>
    <t>DESPACHANTE UNIAO LTDA</t>
  </si>
  <si>
    <t>1334</t>
  </si>
  <si>
    <t>(055) 343213-8080</t>
  </si>
  <si>
    <t>49400000</t>
  </si>
  <si>
    <t>LAGARTO</t>
  </si>
  <si>
    <t>ANTONIO MARTINS DE MENEZES</t>
  </si>
  <si>
    <t>434</t>
  </si>
  <si>
    <t>(055) 353441-1162</t>
  </si>
  <si>
    <t>SYROS</t>
  </si>
  <si>
    <t>72491010</t>
  </si>
  <si>
    <t>NORTE &amp; SUL HOTELARIA LTDA</t>
  </si>
  <si>
    <t>HOTELEIRO LOTE 04, 3 AO 8 ANDAR</t>
  </si>
  <si>
    <t>(055) 613385-9500</t>
  </si>
  <si>
    <t>BORELA SERVICOS</t>
  </si>
  <si>
    <t>38413048</t>
  </si>
  <si>
    <t>BORELA PRESTACAO DE SERVICOS LTDA</t>
  </si>
  <si>
    <t>DAS AROEIRAS</t>
  </si>
  <si>
    <t>(055) 348885-9495</t>
  </si>
  <si>
    <t>POUSADA INTEGRACAO DE BURITIZAL</t>
  </si>
  <si>
    <t>14570000</t>
  </si>
  <si>
    <t>HOSPEDARIA INTEGRACAO BURITIZAL LTDA</t>
  </si>
  <si>
    <t>BURITIZAL</t>
  </si>
  <si>
    <t>DOM ALBERTO GONCALVES</t>
  </si>
  <si>
    <t>729</t>
  </si>
  <si>
    <t>(055) 163751-1660</t>
  </si>
  <si>
    <t>HOTEL CIDADE</t>
  </si>
  <si>
    <t>38183212</t>
  </si>
  <si>
    <t>HOTEL CIDADE DE ARAXA LTDA</t>
  </si>
  <si>
    <t>(055) 343661-4091</t>
  </si>
  <si>
    <t>FLAVIOS HOTEL</t>
  </si>
  <si>
    <t>NEUZA MESSIAS E CASTRO ALVES LTDA</t>
  </si>
  <si>
    <t>ST CENTRAL</t>
  </si>
  <si>
    <t>NEWMOTORS COMERCIO DE PECAS LTDA</t>
  </si>
  <si>
    <t>38414126</t>
  </si>
  <si>
    <t>GABRIELA JUNQUEIRA FREITAS</t>
  </si>
  <si>
    <t>(055) 343231-3044</t>
  </si>
  <si>
    <t>WF SERVICOS FLORESTAIS LTDA</t>
  </si>
  <si>
    <t>CARNEIRO (LOTEAMENTO)</t>
  </si>
  <si>
    <t>TONINHO AUTOMOVEIS</t>
  </si>
  <si>
    <t>ANTONIO FERREIRA FELIX</t>
  </si>
  <si>
    <t>1338</t>
  </si>
  <si>
    <t>(055) 343831-2330</t>
  </si>
  <si>
    <t>ENEL DISTRIBUICAO SAO PAULO</t>
  </si>
  <si>
    <t>ELETROPAULO METROPOLITANA</t>
  </si>
  <si>
    <t>(055) 212195-1000</t>
  </si>
  <si>
    <t>HECATE CONSULTORIA</t>
  </si>
  <si>
    <t>01033010</t>
  </si>
  <si>
    <t>HECATE ESTRATEGIA EM NEGOCIOS LTDA</t>
  </si>
  <si>
    <t>WASHINGTON LUIS</t>
  </si>
  <si>
    <t>(055) 119488-3012</t>
  </si>
  <si>
    <t>IMPROCARD COMERCIO DE CRACHAS LTDA</t>
  </si>
  <si>
    <t>2363</t>
  </si>
  <si>
    <t>(055) 349999-0300</t>
  </si>
  <si>
    <t>SILCA ENGENHARIA</t>
  </si>
  <si>
    <t>38412080</t>
  </si>
  <si>
    <t>GIANCARLO SILVA CASTRO</t>
  </si>
  <si>
    <t>SAO FRANCISCO XAVIER</t>
  </si>
  <si>
    <t>(055) 343234-8144</t>
  </si>
  <si>
    <t>TREZIFIRE</t>
  </si>
  <si>
    <t>90110150</t>
  </si>
  <si>
    <t>TREZIFIRE PREVENCAO CONTRA INCENDIO LTDA</t>
  </si>
  <si>
    <t>BORGES DE MEDEIROS</t>
  </si>
  <si>
    <t>PRAIA DE BELAS</t>
  </si>
  <si>
    <t>2500</t>
  </si>
  <si>
    <t>(055) 519966-0021</t>
  </si>
  <si>
    <t>SANASA CAMPINAS</t>
  </si>
  <si>
    <t>13041670</t>
  </si>
  <si>
    <t>SOCIEDADE DE ABASTECIMENTO DE AGUA E SAN</t>
  </si>
  <si>
    <t>DA SAUDADE</t>
  </si>
  <si>
    <t>PONTE PRETA</t>
  </si>
  <si>
    <t>(055) 193735-5000</t>
  </si>
  <si>
    <t>EDIFICIO HOTEL BLUMENAU SORRISO</t>
  </si>
  <si>
    <t>78890001</t>
  </si>
  <si>
    <t>TRANSAMERICA COMERCIAL E SERVICOS - SCP</t>
  </si>
  <si>
    <t>2235</t>
  </si>
  <si>
    <t>(055) 113547-1182</t>
  </si>
  <si>
    <t>BUNGE ARGENTINA S.A - DESATIVADO</t>
  </si>
  <si>
    <t>25 DE MAYO 501/515</t>
  </si>
  <si>
    <t>1002</t>
  </si>
  <si>
    <t>(054) 115169-3267</t>
  </si>
  <si>
    <t>14400490</t>
  </si>
  <si>
    <t>VOLUNTARIOS DA FRANCA</t>
  </si>
  <si>
    <t>1465</t>
  </si>
  <si>
    <t>81200528</t>
  </si>
  <si>
    <t>FERTIPAR FERTILIZANTES DO MARANHAO LTDA.</t>
  </si>
  <si>
    <t>DEPUTADO HEITOR ALENCAR FURTADO</t>
  </si>
  <si>
    <t>CAMPO COMPRIDO</t>
  </si>
  <si>
    <t>3100</t>
  </si>
  <si>
    <t>78557697</t>
  </si>
  <si>
    <t>DOS JATOBAS</t>
  </si>
  <si>
    <t>JARDIM JACARANDAS</t>
  </si>
  <si>
    <t>445</t>
  </si>
  <si>
    <t>(055) 669914-1516</t>
  </si>
  <si>
    <t>38402005</t>
  </si>
  <si>
    <t>OPCAO AGRONEGOCIOS LTDA</t>
  </si>
  <si>
    <t>1395</t>
  </si>
  <si>
    <t>(055) 343224-6192</t>
  </si>
  <si>
    <t>13770102</t>
  </si>
  <si>
    <t>HENRIQUE AGOSTINETO</t>
  </si>
  <si>
    <t>VARZEA PALACIO</t>
  </si>
  <si>
    <t>(055) 199983-3099</t>
  </si>
  <si>
    <t>30150904</t>
  </si>
  <si>
    <t>ULTRAFERTIL SA (MATRIZ)</t>
  </si>
  <si>
    <t>SAPUCAI 383</t>
  </si>
  <si>
    <t>FLORESTA</t>
  </si>
  <si>
    <t>CICLOS SERVICOS AGRONOMICOS RAFAEL TADEU</t>
  </si>
  <si>
    <t>13990000</t>
  </si>
  <si>
    <t>CICLOS SERVICOS AGRONOMICOS LTDA</t>
  </si>
  <si>
    <t>ESPIRITO SANTO DO PINHAL</t>
  </si>
  <si>
    <t>SENADOR SARAIVA</t>
  </si>
  <si>
    <t>305</t>
  </si>
  <si>
    <t>(055) 3599765-0617</t>
  </si>
  <si>
    <t>04576050</t>
  </si>
  <si>
    <t>JAMES WATT</t>
  </si>
  <si>
    <t>JARDIM EDITH</t>
  </si>
  <si>
    <t>(055) 114160-5422</t>
  </si>
  <si>
    <t>TIBA SMX LOGISTICS</t>
  </si>
  <si>
    <t>88301668</t>
  </si>
  <si>
    <t>TIBA SMX LOG TRANSP INTERNACIONAIS S. A.</t>
  </si>
  <si>
    <t>FRITZ SCHNEIDER</t>
  </si>
  <si>
    <t>FAZENDA</t>
  </si>
  <si>
    <t>7</t>
  </si>
  <si>
    <t>(055) 473083-5500</t>
  </si>
  <si>
    <t>38405142</t>
  </si>
  <si>
    <t>RODON PACHECO</t>
  </si>
  <si>
    <t>4900</t>
  </si>
  <si>
    <t>(055) 312323-7160</t>
  </si>
  <si>
    <t>R &amp; R REPRESENTAÇÃO E SERVIÇOS</t>
  </si>
  <si>
    <t>38401076</t>
  </si>
  <si>
    <t>GILMAX PEREIRA</t>
  </si>
  <si>
    <t>M 4571246</t>
  </si>
  <si>
    <t>DO MONJOLO</t>
  </si>
  <si>
    <t>872</t>
  </si>
  <si>
    <t>SAULO LEMOS JUSTINO</t>
  </si>
  <si>
    <t>38470000</t>
  </si>
  <si>
    <t>M1542676</t>
  </si>
  <si>
    <t>GRUPIARA</t>
  </si>
  <si>
    <t>FAZENDA TRONCOS</t>
  </si>
  <si>
    <t>(034) 9102-7910</t>
  </si>
  <si>
    <t>LOURENÇO ARAUJO MUNDIM</t>
  </si>
  <si>
    <t>M1689817</t>
  </si>
  <si>
    <t>FAZENDA AGUA FRIA</t>
  </si>
  <si>
    <t>RODRIGO FERNANDES CIPRIANO</t>
  </si>
  <si>
    <t>M8896802</t>
  </si>
  <si>
    <t>RUA JOSE GABRIEL MEDEF</t>
  </si>
  <si>
    <t>RAMIRO MACHADO REZENDE</t>
  </si>
  <si>
    <t>Ramiro Machado Rezende</t>
  </si>
  <si>
    <t>MG12560371</t>
  </si>
  <si>
    <t>RODOVIA BR-381 FERNAO DIAS</t>
  </si>
  <si>
    <t>Km741</t>
  </si>
  <si>
    <t>VINÍCIUS DIAS ROSA</t>
  </si>
  <si>
    <t>38405202</t>
  </si>
  <si>
    <t>MG13632517</t>
  </si>
  <si>
    <t>(034) 3235-6627</t>
  </si>
  <si>
    <t>KAIO GUILHERME FERRAZ PIRES</t>
  </si>
  <si>
    <t>MG19353542</t>
  </si>
  <si>
    <t>Hildebrando Oliva</t>
  </si>
  <si>
    <t>(034) 9119-5741</t>
  </si>
  <si>
    <t>EXALOG ASSESSORIA E LOGISTICA LTDA</t>
  </si>
  <si>
    <t>11015504</t>
  </si>
  <si>
    <t>AV SENADOR FEIJO</t>
  </si>
  <si>
    <t>Invoiced amount</t>
  </si>
  <si>
    <t>Tipo Operação</t>
  </si>
  <si>
    <t>Descrição (Tipo de Operação)</t>
  </si>
  <si>
    <t>Valor Líquido</t>
  </si>
  <si>
    <t>Nro Nota</t>
  </si>
  <si>
    <t>Empresa</t>
  </si>
  <si>
    <t>Nome Parceiro (Parceiro)</t>
  </si>
  <si>
    <t>Vlr do Desdobramento</t>
  </si>
  <si>
    <t>Dt. Negociação</t>
  </si>
  <si>
    <t>Dt. Entrada e Saída</t>
  </si>
  <si>
    <t>Dt. Vencimento</t>
  </si>
  <si>
    <t>Data Baixa</t>
  </si>
  <si>
    <t>Histórico</t>
  </si>
  <si>
    <t>Natureza</t>
  </si>
  <si>
    <t>Descrição (Natureza)</t>
  </si>
  <si>
    <t>Centro Resultado</t>
  </si>
  <si>
    <t>Descrição (Centro de Resultado)</t>
  </si>
  <si>
    <t>Chave CT-e</t>
  </si>
  <si>
    <t>Receita/Despesa</t>
  </si>
  <si>
    <t>Vlr Multa</t>
  </si>
  <si>
    <t>Vlr Juros</t>
  </si>
  <si>
    <t>Vlr Desconto</t>
  </si>
  <si>
    <t>Histório Juros e Multas</t>
  </si>
  <si>
    <t>Nro Único</t>
  </si>
  <si>
    <t>Nome (Usuário 2)</t>
  </si>
  <si>
    <t>Nome (Usuário Baixa)</t>
  </si>
  <si>
    <t>Conta Bancária</t>
  </si>
  <si>
    <t>Tipo de Título</t>
  </si>
  <si>
    <t>Descrição (Tipo de Título)</t>
  </si>
  <si>
    <t>Número Invoice</t>
  </si>
  <si>
    <t>Valor da Invoice U$</t>
  </si>
  <si>
    <t>ADITIVOS - DESPESA</t>
  </si>
  <si>
    <t>Receita</t>
  </si>
  <si>
    <t>Boleto</t>
  </si>
  <si>
    <t>REVENDA - NFE</t>
  </si>
  <si>
    <t>NA278-25</t>
  </si>
  <si>
    <t>724-25</t>
  </si>
  <si>
    <t>NA280-25</t>
  </si>
  <si>
    <t>731-26</t>
  </si>
  <si>
    <t>NA279-25</t>
  </si>
  <si>
    <t>733-26</t>
  </si>
  <si>
    <t>NA277-25</t>
  </si>
  <si>
    <t>NA283-26</t>
  </si>
  <si>
    <t>730-25</t>
  </si>
  <si>
    <t>732-26</t>
  </si>
  <si>
    <t>NA281-26</t>
  </si>
  <si>
    <t>NA282-26</t>
  </si>
  <si>
    <t>765-26</t>
  </si>
  <si>
    <t>NA292-26</t>
  </si>
  <si>
    <t>741-26</t>
  </si>
  <si>
    <t>772-26</t>
  </si>
  <si>
    <t>NA288-26</t>
  </si>
  <si>
    <t>743-26</t>
  </si>
  <si>
    <t>760-26</t>
  </si>
  <si>
    <t>762-26</t>
  </si>
  <si>
    <t>NA291-26</t>
  </si>
  <si>
    <t>763-26</t>
  </si>
  <si>
    <t>755-26</t>
  </si>
  <si>
    <t>742-26</t>
  </si>
  <si>
    <t>758-26</t>
  </si>
  <si>
    <t>NA289-26</t>
  </si>
  <si>
    <t>757-26</t>
  </si>
  <si>
    <t>767-26</t>
  </si>
  <si>
    <t>764-26</t>
  </si>
  <si>
    <t>751-26</t>
  </si>
  <si>
    <t>770-26</t>
  </si>
  <si>
    <t>744-26</t>
  </si>
  <si>
    <t>NA290-26</t>
  </si>
  <si>
    <t>766-26</t>
  </si>
  <si>
    <t>746-26</t>
  </si>
  <si>
    <t>734-26</t>
  </si>
  <si>
    <t>737-26</t>
  </si>
  <si>
    <t>NA287-26</t>
  </si>
  <si>
    <t>761-26</t>
  </si>
  <si>
    <t>750-26</t>
  </si>
  <si>
    <t>735-26</t>
  </si>
  <si>
    <t>738-26</t>
  </si>
  <si>
    <t>752-26</t>
  </si>
  <si>
    <t>740-26</t>
  </si>
  <si>
    <t>759-60</t>
  </si>
  <si>
    <t>753-26</t>
  </si>
  <si>
    <t>747-26</t>
  </si>
  <si>
    <t>749-26</t>
  </si>
  <si>
    <t>736-26</t>
  </si>
  <si>
    <t>756-26</t>
  </si>
  <si>
    <t>754-26</t>
  </si>
  <si>
    <t>FERTILIZANTES - DESPESA</t>
  </si>
  <si>
    <t>Par. 2/2</t>
  </si>
  <si>
    <t>COMERCIAL – FERTILIZANTES</t>
  </si>
  <si>
    <t>Par. 1/2</t>
  </si>
  <si>
    <t>TED/TRANSF</t>
  </si>
  <si>
    <t>MEIO AMBIENTE</t>
  </si>
  <si>
    <t>JOB WORK - DESPESA</t>
  </si>
  <si>
    <t>Invoiced percentage</t>
  </si>
  <si>
    <t>Remaining amount to be invoiced</t>
  </si>
  <si>
    <t>Comentarios</t>
  </si>
  <si>
    <t>We are finalizing a letter of comfort with the client, signed by the Nitron group.</t>
  </si>
  <si>
    <t>Coverage via Coface insurance company in the amount of 500k.</t>
  </si>
  <si>
    <t>We have requested the audited financial statements for 2025 to assess the possibility of granting a credit limit with Coface.</t>
  </si>
  <si>
    <t>New sales to the client have been blocked. We are awaiting payment of the overdue amount following the payment commitment made during a meeting with the AFT CEO.</t>
  </si>
  <si>
    <t>We are currently evaluating the client’s proposal to provide a tractor as collateral.</t>
  </si>
  <si>
    <t>We have been monitoring the client in alignment with the commercial team. The client’s exposure must not exceed USD 200k. In addition, changes were made to the formulation of the product purchased by the client in order to improve the contribution margin.</t>
  </si>
  <si>
    <t>Awaiting the letter of consent so that the guarantee currently held for another company within the group may also extend coverage to this entity. Until the letter is received, new sales remain blocked.</t>
  </si>
  <si>
    <t>The amount refers to the reimbursement for an accident that occurred in 2025; the carrier is awaiting payment from their insurance company.</t>
  </si>
  <si>
    <t xml:space="preserve">Coface is analyzing the credit request; a response is expected within 3 to 6 days. ( Previously, sales were handled by Solinag, but they changed the final entity; we are awaiting analysis from the insurance company). </t>
  </si>
  <si>
    <t>The client has been purchasing on a cash basis, and the remaining balance will be settled with the next purchase.</t>
  </si>
  <si>
    <t>Scrap sale, with the possibility of a write-off.</t>
  </si>
  <si>
    <t>An increase in customer coverage was requested; Coface will return in 2 days.</t>
  </si>
  <si>
    <t>In addition to the insurance policy worth 500k, we have a CREDIT OPENING AGREEMENT WITH GUARANTEE worth 1,800k.</t>
  </si>
  <si>
    <t>Comments</t>
  </si>
  <si>
    <t>96.449.533/0001-24</t>
  </si>
  <si>
    <t>Litigation</t>
  </si>
  <si>
    <t/>
  </si>
  <si>
    <t>Guarantee or credit</t>
  </si>
  <si>
    <t>Credit without Insurance</t>
  </si>
  <si>
    <t>Approved in credit committee</t>
  </si>
  <si>
    <t>Sales to employees</t>
  </si>
  <si>
    <t>INVOICING 2026</t>
  </si>
  <si>
    <t>02.119.258/0002-18</t>
  </si>
  <si>
    <t>Limite concedido pela coface.</t>
  </si>
  <si>
    <t>E</t>
  </si>
  <si>
    <t>LIMITE APROVADO PARA O CLIENTE SALITRE FERTILIZANTES LTDA PARTE DO GRUPO EUROCHEM.</t>
  </si>
  <si>
    <t>GRUPO CAMPEVO FERTILIZANTES</t>
  </si>
  <si>
    <t>Campevo é um cliente intra-grupo, não há risco de crédito. 
limite de BRL 20.000.000 para o grupo</t>
  </si>
  <si>
    <t>Valor aprovado de 40.000 usd</t>
  </si>
  <si>
    <t>Open Open Exposure w/t Credit Insurance</t>
  </si>
  <si>
    <t>Open Exposure w/o Credit Insurance</t>
  </si>
  <si>
    <t>80.605.298/0001-00</t>
  </si>
  <si>
    <t>STRATOS - ROSARIO DO CATETE</t>
  </si>
  <si>
    <t>84.046.101/0542-85</t>
  </si>
  <si>
    <t>Full Credit</t>
  </si>
  <si>
    <t>Credit w/o Coface or Farmtech</t>
  </si>
  <si>
    <t>Coface Credit Insurance</t>
  </si>
  <si>
    <t>Credit 
Farm Tech</t>
  </si>
  <si>
    <t>GRUPO TAKI AGRO (TRES CORAÇÕES)</t>
  </si>
  <si>
    <t>FAZENDA FERRADURA (ADAO LUIZ PORTELA)</t>
  </si>
  <si>
    <t>COMERCIO E REPRESENTACOES OURO BRANCO GUAIRA LTDA (Ouro Branco)</t>
  </si>
  <si>
    <t>SISTEMA COMERCIO E REPRESENTACOES LTDA (Sistema Agricola)</t>
  </si>
  <si>
    <t>POLLI FERTILIZANTES INDUSTRIA E TRANSPORTES S.A</t>
  </si>
  <si>
    <t>JB PEROLA AGRICOLA LTDA (JP Perolá)</t>
  </si>
  <si>
    <t>ESTRELA AGRICOLA DE GUAIRA LTDA (Estrela Agrícola)</t>
  </si>
  <si>
    <t>MAFER MARILIA COMERCIO E REPRESENTACOES LTDA (Mafer)</t>
  </si>
  <si>
    <t>FERT SOLO COMERCIO DE PRODUTOS AGRICOLAS LTDA (Fert Solo)</t>
  </si>
  <si>
    <t>G.M-GOMES MARIN COM E REPR DE PROD AGRICOLAS LTDA (G.M Gomes e Marinho)</t>
  </si>
  <si>
    <t>SOBERANA EQUIPAMENTOS AGROPECUARIOS LTDA (Grupo Soberana)</t>
  </si>
  <si>
    <t>ROMA COMERCIO E REPRESENTACOES AGRICOLA LTDA (Roma Agricola)</t>
  </si>
  <si>
    <t>FAZENDA ARCOS SÃO JOÃO (ROMUALDO SILVONI)</t>
  </si>
  <si>
    <t>FAZENDA SANTA ELIZA (HISTOSHI CLAUDIO TAKIGONE)</t>
  </si>
  <si>
    <t>FAZENDA CAMPO ALEGRE (OLIVEIROS MARTINS DE ANDRADE)</t>
  </si>
  <si>
    <t>AVELINO TEIXEIRA DA SILVA</t>
  </si>
  <si>
    <t>CELONIR FERREIRA DE CASTILHOS</t>
  </si>
  <si>
    <t>CLOVIS ORLOVICS PEREIRA DA SILVA</t>
  </si>
  <si>
    <t>DAMHA AGRONEGOCIOS LTDA</t>
  </si>
  <si>
    <t>DEVAIR RAGOZONI BARRACHI</t>
  </si>
  <si>
    <t>DILSON DE PAIVA VIEIRA</t>
  </si>
  <si>
    <t>ERCY ABADIA MOREIRA ALVES</t>
  </si>
  <si>
    <t>GERALDO JULIAO FILHO</t>
  </si>
  <si>
    <t>GILVAN ORLOVICKS</t>
  </si>
  <si>
    <t>JOAO ORLOVICS PEREIRA DA SILVA</t>
  </si>
  <si>
    <t>JOSE ARMANDO MILANI</t>
  </si>
  <si>
    <t>JOSE RIBEIRO DE CASTRO</t>
  </si>
  <si>
    <t>LEONARDO BONOMI COLMANETTI</t>
  </si>
  <si>
    <t>LEONARDO MARIA JOSE PENA</t>
  </si>
  <si>
    <t>LUAN HENRIQUE LIMA SILVEIRA (FAZENDA SANTOS REIS II)</t>
  </si>
  <si>
    <t>LUIZ ANTONIO SANCHES</t>
  </si>
  <si>
    <t>MARIO SERGIO SILVERIO</t>
  </si>
  <si>
    <t>PARANAGRAN INDUSTRIA E COMERCIO DE FERTILIZANTES LTDA</t>
  </si>
  <si>
    <t>TERRA NATIVA ITAPE COMERCIO E REPRESENTACAO COMERCIAL LTDA ME</t>
  </si>
  <si>
    <t>WALMIR RAGOZONI BARRACHI</t>
  </si>
  <si>
    <t>AGROATA AGROPECUARIA ARACATUBA LTDA (Agro Ata)</t>
  </si>
  <si>
    <t>AGROPECUARIA N M LTDA (Agro Pec)</t>
  </si>
  <si>
    <t>AGROTEKNE-COMERCIO E REPRESENTACOES LTDA (Agro Tekne)</t>
  </si>
  <si>
    <t>DUOFERT INSUMOS AGRICOLAS LTDA (Duo Fert)</t>
  </si>
  <si>
    <t>08.068.476/0001-76</t>
  </si>
  <si>
    <t>GRUPO AGRO INDUSTRIAL SAO LUIZ LTDA</t>
  </si>
  <si>
    <t>49.108.535/0001-70</t>
  </si>
  <si>
    <t>48.676.461/0001-05</t>
  </si>
  <si>
    <t>058.245.426-35</t>
  </si>
  <si>
    <t>HOTÉIS E TAXAS</t>
  </si>
  <si>
    <t>Desconto de 0,5% devido antecipação.</t>
  </si>
  <si>
    <t>768-26</t>
  </si>
  <si>
    <t>775-26</t>
  </si>
  <si>
    <t>769-26</t>
  </si>
  <si>
    <t>783-26</t>
  </si>
  <si>
    <t>782-26</t>
  </si>
  <si>
    <t>784-26</t>
  </si>
  <si>
    <t>771-26</t>
  </si>
  <si>
    <t>MOWEN FLORA RESINA LTDA</t>
  </si>
  <si>
    <t>20030021</t>
  </si>
  <si>
    <t>79598038</t>
  </si>
  <si>
    <t>PANICE</t>
  </si>
  <si>
    <t>INFORMA MARKETS LTDA.</t>
  </si>
  <si>
    <t>05425902</t>
  </si>
  <si>
    <t>DRA RUTH CARDOSO</t>
  </si>
  <si>
    <t>7221</t>
  </si>
  <si>
    <t>(055) 113017-6100</t>
  </si>
  <si>
    <t>13030100</t>
  </si>
  <si>
    <t>BENEDICTO DE CAMPOS</t>
  </si>
  <si>
    <t>(031) 2323-7160</t>
  </si>
  <si>
    <t>ATHENAS CONSULTORIA AGRICOLA E LABORATOR</t>
  </si>
  <si>
    <t>14890400</t>
  </si>
  <si>
    <t>CARLOS BERCHIERI</t>
  </si>
  <si>
    <t>CIDADE JARDIM (ZAGALO)</t>
  </si>
  <si>
    <t>2271</t>
  </si>
  <si>
    <t>(055) 163202-1872</t>
  </si>
  <si>
    <t>49.972.632 RAFAEL SOUSA PEREIRA</t>
  </si>
  <si>
    <t>AV DOS FERREIRAS</t>
  </si>
  <si>
    <t>(055) 349923-9932</t>
  </si>
  <si>
    <t>FUNDAÇÃO DE DESENV. DA UNICAMP</t>
  </si>
  <si>
    <t>13083851</t>
  </si>
  <si>
    <t>000258083</t>
  </si>
  <si>
    <t>ERICO VERISSIMO</t>
  </si>
  <si>
    <t>BARRÃO</t>
  </si>
  <si>
    <t>(055) 193521-2775</t>
  </si>
  <si>
    <t>KEEP CELL ACESSORIOS PARA CELULARES</t>
  </si>
  <si>
    <t>KEEP CELL ACESSORIOS PARA CELULAR LTDA</t>
  </si>
  <si>
    <t>0013035830088</t>
  </si>
  <si>
    <t>CORONEL ANTÔNIO ALVES PEREIRA</t>
  </si>
  <si>
    <t>(034) 3229-7555</t>
  </si>
  <si>
    <t>NUTRI RAIZEN</t>
  </si>
  <si>
    <t>35313000</t>
  </si>
  <si>
    <t>NUTRI RAIZEN LTDA</t>
  </si>
  <si>
    <t>0042233030052</t>
  </si>
  <si>
    <t>CARATINGA</t>
  </si>
  <si>
    <t>UDI SERVICE SERVICOS DE USINAGEM LTDA</t>
  </si>
  <si>
    <t>0048643360090</t>
  </si>
  <si>
    <t>1343</t>
  </si>
  <si>
    <t>TOPPIA PRESENTES CORPORATIVOS</t>
  </si>
  <si>
    <t>38410733</t>
  </si>
  <si>
    <t>TOPPIA LTDA</t>
  </si>
  <si>
    <t>38046394</t>
  </si>
  <si>
    <t>CIA TRANSPORTES LTDA</t>
  </si>
  <si>
    <t>0052937120016</t>
  </si>
  <si>
    <t>TIBURCIO TEIXEIRA DOS SANTOS</t>
  </si>
  <si>
    <t>PARQUE DAS LARANJEIRAS</t>
  </si>
  <si>
    <t>JOAO DE BARRO MATS P/ CONSTRUC</t>
  </si>
  <si>
    <t>38440000</t>
  </si>
  <si>
    <t>ARAGUARI CONSTRUCOES LTDA</t>
  </si>
  <si>
    <t>0354656390288</t>
  </si>
  <si>
    <t>987</t>
  </si>
  <si>
    <t>FECUNDA FERTILIZANTES</t>
  </si>
  <si>
    <t>14315334</t>
  </si>
  <si>
    <t>FECUNDA FERTILIZANTES EIRELLI - EPP</t>
  </si>
  <si>
    <t>08.089.980.114</t>
  </si>
  <si>
    <t>VEREADOR ROBERTO PIMENTA MARQUES</t>
  </si>
  <si>
    <t>(055) 163761-5066</t>
  </si>
  <si>
    <t>AUTO POSTO GALICIA</t>
  </si>
  <si>
    <t>GALICIA COM DE DERIVADOS PETROLEO LTDA</t>
  </si>
  <si>
    <t>101541139</t>
  </si>
  <si>
    <t>TEOTONIO FERN GRACAS</t>
  </si>
  <si>
    <t>1232</t>
  </si>
  <si>
    <t>MILHAO INGREDIENTS</t>
  </si>
  <si>
    <t>74482150</t>
  </si>
  <si>
    <t>MILHAO INDUSTRIA E COMERCIO DE INGREDIEN</t>
  </si>
  <si>
    <t>104089920</t>
  </si>
  <si>
    <t>GO070</t>
  </si>
  <si>
    <t>PRQ MARACANA</t>
  </si>
  <si>
    <t>(055) 623514-8576</t>
  </si>
  <si>
    <t>JACARE ATACADO</t>
  </si>
  <si>
    <t>65090272</t>
  </si>
  <si>
    <t>JACARE ATACADO E DISTRIBUIDORA LTDA</t>
  </si>
  <si>
    <t>125811799</t>
  </si>
  <si>
    <t>CINCO</t>
  </si>
  <si>
    <t>9</t>
  </si>
  <si>
    <t>(055) 983248-9999</t>
  </si>
  <si>
    <t>1521N</t>
  </si>
  <si>
    <t>DEDETIZADORA ESTRELA</t>
  </si>
  <si>
    <t>78557724</t>
  </si>
  <si>
    <t>DEDETIZADORA ESTRELA COMERCIAL LTDA</t>
  </si>
  <si>
    <t>138176850</t>
  </si>
  <si>
    <t>RUA PERIMETRAL DAS SAMAMBAIAS</t>
  </si>
  <si>
    <t>(055) 663531-5525</t>
  </si>
  <si>
    <t>UDILOG</t>
  </si>
  <si>
    <t>02162030</t>
  </si>
  <si>
    <t>UDILOG TRANSPORTE RODOVIARIO LTDA</t>
  </si>
  <si>
    <t>149.700.345.117</t>
  </si>
  <si>
    <t>R JOAQUIM GERALDO</t>
  </si>
  <si>
    <t>(055) 116955-8666</t>
  </si>
  <si>
    <t>M4 OTIMIZACOES DE CARGAS</t>
  </si>
  <si>
    <t>13309802</t>
  </si>
  <si>
    <t>RODRIGUES &amp; MOTTA TRANSPORTADORA LTDA</t>
  </si>
  <si>
    <t>582249216111</t>
  </si>
  <si>
    <t>MAESTRO CYRO ROCHA</t>
  </si>
  <si>
    <t>PARQUE SAO CAMILO</t>
  </si>
  <si>
    <t>(055) 143239-3000</t>
  </si>
  <si>
    <t>BASELAR MATERIAIS PARA CONSTRUCAO</t>
  </si>
  <si>
    <t>BASELAR MATERIAIS PARA CONSTRUCAO LTDA</t>
  </si>
  <si>
    <t>7022167520078</t>
  </si>
  <si>
    <t>1309</t>
  </si>
  <si>
    <t>(055) 343238-9904</t>
  </si>
  <si>
    <t>17717VIRBAG EMBALAGENS</t>
  </si>
  <si>
    <t>PATRICK.COSTA</t>
  </si>
  <si>
    <t>J R F DE ANDRADE NETO IND E COMERCIO DE</t>
  </si>
  <si>
    <t>86618000</t>
  </si>
  <si>
    <t>9029600667</t>
  </si>
  <si>
    <t>PRADO FERREIRA</t>
  </si>
  <si>
    <t>ROD JOAO LUNARDELLI</t>
  </si>
  <si>
    <t>PQ INDUSTRIAL II</t>
  </si>
  <si>
    <t>PR170</t>
  </si>
  <si>
    <t>JULIA RABINOVICI SOC IND DE ADVOCACIA</t>
  </si>
  <si>
    <t>38411159</t>
  </si>
  <si>
    <t>(055) 343214-4017</t>
  </si>
  <si>
    <t>ROYAL CARGO DO BRASIL</t>
  </si>
  <si>
    <t>88301425</t>
  </si>
  <si>
    <t>ROYAL AGENCIAMENTOS DE CARGAS LTDA.</t>
  </si>
  <si>
    <t>MANOEL VIEIRA GARCAO</t>
  </si>
  <si>
    <t>CENTRO ITAJAI</t>
  </si>
  <si>
    <t>(055) 473344-4243</t>
  </si>
  <si>
    <t>LIMITE APROVADO PELA SEGURADORA 250.000 USD Ptax utilizada 5,50</t>
  </si>
  <si>
    <t>Limite concedido por Bruno Merlino</t>
  </si>
  <si>
    <t>LIMITE CONCEDIDO PELA SEGURADORA  100.000,00 USD</t>
  </si>
  <si>
    <t>LIMITE DE CRÉDITO TOTALEMENTE ACEITO PELA SEGURADORA COFACE
TAXA DE CÂMBIO:R$5,50 -&gt; 200.000 USD</t>
  </si>
  <si>
    <t>Limite aprovado de 100.000,00</t>
  </si>
  <si>
    <t>LIMITE CONCEDIDO INTERNAMENTE.</t>
  </si>
  <si>
    <t>LIBERAÇÃO DE CLIENTE AURORA MINERAÇÃO LTDA.</t>
  </si>
  <si>
    <t>LIMITE DE CRÉDITO TOTALMENTE ACEITO PELA SEGURADORA COFACE
TAXA DE CÂMBIO UTILIZADA: R$5,50 -&gt; 250.000 USD</t>
  </si>
  <si>
    <t>Receivables as on 31th May 26</t>
  </si>
  <si>
    <t>90.810.706/0028-21</t>
  </si>
  <si>
    <t>09.384.948/0004-05</t>
  </si>
  <si>
    <t>22.685.341/0006-95</t>
  </si>
  <si>
    <t>26.840.997/0001-81</t>
  </si>
  <si>
    <t>ENGIE BRASIL ENERGIA COMERCIALIZADORA LT</t>
  </si>
  <si>
    <t>03.306.578/0015-64</t>
  </si>
  <si>
    <t>ULTRAFERTIL - TIPLAM VLI - SANTOS</t>
  </si>
  <si>
    <t>27.360.944/0001-26</t>
  </si>
  <si>
    <t>06.880.996/0001-53</t>
  </si>
  <si>
    <t>13.341.380/0001-70</t>
  </si>
  <si>
    <t>61.156.501/0208-58</t>
  </si>
  <si>
    <t>22.266.175/0015-83</t>
  </si>
  <si>
    <t>07.938.461/0002-30</t>
  </si>
  <si>
    <t>23.122.434/0010-50</t>
  </si>
  <si>
    <t>04.869.169/0002-14</t>
  </si>
  <si>
    <t>Limite liberado no valor de 70.000,00 liberado por Bruno Merlino.</t>
  </si>
  <si>
    <t>Limite aprovado para compra paga 50% a vista.</t>
  </si>
  <si>
    <t>LIMITE DE CRÉDITO TOTALMENTE APROVADO PELA SEGURADORA COFACE
TAXA DE CÂMBIO PARA CONVERSÃO R$5,50 -&gt; 300.000 USD</t>
  </si>
  <si>
    <t>Limite Aprovado por Bruno Merlino no valor de 75.000,00</t>
  </si>
  <si>
    <t>Limite aprovado por Puneet e Deepak, cliente relevante na BU internacional aguardando assinatura de confort latter do nitron group</t>
  </si>
  <si>
    <t>NUTRI RAIZEN - CARATINGA</t>
  </si>
  <si>
    <t>LIMITE DE CRÉDITO PARCIALMENTE APROVADO PELA SEGURADORA COFACE</t>
  </si>
  <si>
    <t>LIMITE DE CRÉDITO PARCIALMENTE ACEITO PELA SEGURADORA COFACE
TAXA DE CÂMBIO UTILIZADA: R$5,50 PARA 60.000 USD</t>
  </si>
  <si>
    <t>LIMITE TOTALMENTE APROVADO PELA SEGURADORA COFACE</t>
  </si>
  <si>
    <t>REFERENTE NOTA DE CREDITO.</t>
  </si>
  <si>
    <t>FERTIPAR - PARANAGUÁ</t>
  </si>
  <si>
    <t>778-26</t>
  </si>
  <si>
    <t>779-26</t>
  </si>
  <si>
    <t>781-26</t>
  </si>
  <si>
    <t>780-26</t>
  </si>
  <si>
    <t>791-26</t>
  </si>
  <si>
    <t>NA299-26</t>
  </si>
  <si>
    <t>774-26</t>
  </si>
  <si>
    <t>797-26</t>
  </si>
  <si>
    <t>795-26</t>
  </si>
  <si>
    <t>792-26</t>
  </si>
  <si>
    <t>793-26</t>
  </si>
  <si>
    <t>807-26</t>
  </si>
  <si>
    <t>804-26</t>
  </si>
  <si>
    <t>805-26</t>
  </si>
  <si>
    <t>803-26</t>
  </si>
  <si>
    <t>776-26</t>
  </si>
  <si>
    <t>788-26</t>
  </si>
  <si>
    <t>NA293-26</t>
  </si>
  <si>
    <t>Guarantee or credit + Credit approved based on credit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</si>
</sst>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R$&quot;\ * #,##0.00_-;\-&quot;R$&quot;\ * #,##0.00_-;_-&quot;R$&quot;\ * &quot;-&quot;??_-;_-@_-"/>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0;[Red]#,##0"/>
    <numFmt numFmtId="171" formatCode="0.0%"/>
  </numFmts>
  <fonts count="49"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sz val="9"/>
      <color indexed="81"/>
      <name val="Segoe UI"/>
      <family val="2"/>
    </font>
    <font>
      <b/>
      <sz val="9"/>
      <color indexed="81"/>
      <name val="Segoe UI"/>
      <family val="2"/>
    </font>
    <font>
      <b/>
      <sz val="11"/>
      <color theme="0"/>
      <name val="Calibri"/>
      <family val="2"/>
      <scheme val="minor"/>
    </font>
    <font>
      <b/>
      <sz val="10"/>
      <name val="Arial"/>
      <family val="2"/>
    </font>
    <font>
      <b/>
      <sz val="9"/>
      <color theme="1"/>
      <name val="Arial"/>
      <family val="2"/>
    </font>
    <font>
      <b/>
      <sz val="11"/>
      <color theme="1"/>
      <name val="Arial"/>
      <family val="2"/>
    </font>
    <font>
      <b/>
      <sz val="11"/>
      <color rgb="FFFFFFFF"/>
      <name val="Aptos Display"/>
      <family val="2"/>
    </font>
  </fonts>
  <fills count="15">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1"/>
        <bgColor theme="9"/>
      </patternFill>
    </fill>
    <fill>
      <patternFill patternType="solid">
        <fgColor rgb="FF00B050"/>
        <bgColor theme="9"/>
      </patternFill>
    </fill>
    <fill>
      <patternFill patternType="solid">
        <fgColor theme="9" tint="-0.249977111117893"/>
        <bgColor theme="9"/>
      </patternFill>
    </fill>
  </fills>
  <borders count="1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1">
    <xf numFmtId="0" fontId="0" fillId="0" borderId="0"/>
    <xf numFmtId="43" fontId="17" fillId="0" borderId="0" applyFont="0" applyFill="0" applyBorder="0" applyAlignment="0" applyProtection="0"/>
    <xf numFmtId="9" fontId="17"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43" fontId="17" fillId="0" borderId="0" applyFont="0" applyFill="0" applyBorder="0" applyAlignment="0" applyProtection="0"/>
    <xf numFmtId="0" fontId="17" fillId="0" borderId="0"/>
    <xf numFmtId="0" fontId="15" fillId="0" borderId="0"/>
    <xf numFmtId="0" fontId="14" fillId="0" borderId="0"/>
    <xf numFmtId="0" fontId="14" fillId="0" borderId="0"/>
    <xf numFmtId="9" fontId="14" fillId="0" borderId="0" applyFont="0" applyFill="0" applyBorder="0" applyAlignment="0" applyProtection="0"/>
    <xf numFmtId="0" fontId="13" fillId="0" borderId="0"/>
    <xf numFmtId="43" fontId="13" fillId="0" borderId="0" applyFont="0" applyFill="0" applyBorder="0" applyAlignment="0" applyProtection="0"/>
    <xf numFmtId="0" fontId="12" fillId="0" borderId="0"/>
    <xf numFmtId="43" fontId="17" fillId="0" borderId="0" applyFont="0" applyFill="0" applyBorder="0" applyAlignment="0" applyProtection="0"/>
    <xf numFmtId="0" fontId="12" fillId="0" borderId="0"/>
    <xf numFmtId="43" fontId="12" fillId="0" borderId="0" applyFont="0" applyFill="0" applyBorder="0" applyAlignment="0" applyProtection="0"/>
    <xf numFmtId="0" fontId="11" fillId="0" borderId="0"/>
    <xf numFmtId="43" fontId="11" fillId="0" borderId="0" applyFont="0" applyFill="0" applyBorder="0" applyAlignment="0" applyProtection="0"/>
    <xf numFmtId="0" fontId="41" fillId="0" borderId="0"/>
    <xf numFmtId="0" fontId="10" fillId="0" borderId="0"/>
    <xf numFmtId="43" fontId="10" fillId="0" borderId="0" applyFont="0" applyFill="0" applyBorder="0" applyAlignment="0" applyProtection="0"/>
    <xf numFmtId="0" fontId="25" fillId="0" borderId="0"/>
    <xf numFmtId="0" fontId="9" fillId="0" borderId="0"/>
    <xf numFmtId="43" fontId="9" fillId="0" borderId="0" applyFont="0" applyFill="0" applyBorder="0" applyAlignment="0" applyProtection="0"/>
    <xf numFmtId="0" fontId="7" fillId="0" borderId="0"/>
    <xf numFmtId="43" fontId="7" fillId="0" borderId="0" applyFont="0" applyFill="0" applyBorder="0" applyAlignment="0" applyProtection="0"/>
    <xf numFmtId="0" fontId="6" fillId="0" borderId="0"/>
    <xf numFmtId="43" fontId="6" fillId="0" borderId="0" applyFont="0" applyFill="0" applyBorder="0" applyAlignment="0" applyProtection="0"/>
    <xf numFmtId="0" fontId="5" fillId="0" borderId="0"/>
    <xf numFmtId="43" fontId="5" fillId="0" borderId="0" applyFont="0" applyFill="0" applyBorder="0" applyAlignment="0" applyProtection="0"/>
    <xf numFmtId="43" fontId="17"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43" fontId="17"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17"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25"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4" fontId="17" fillId="0" borderId="0" applyFont="0" applyFill="0" applyBorder="0" applyAlignment="0" applyProtection="0"/>
  </cellStyleXfs>
  <cellXfs count="334">
    <xf numFmtId="0" fontId="0" fillId="0" borderId="0" xfId="0"/>
    <xf numFmtId="4" fontId="18" fillId="0" borderId="0" xfId="0" applyNumberFormat="1" applyFont="1"/>
    <xf numFmtId="0" fontId="17" fillId="2" borderId="0" xfId="0" applyFont="1" applyFill="1"/>
    <xf numFmtId="14" fontId="0" fillId="0" borderId="0" xfId="0" applyNumberFormat="1"/>
    <xf numFmtId="0" fontId="0" fillId="2" borderId="0" xfId="0" applyFill="1"/>
    <xf numFmtId="165" fontId="17" fillId="0" borderId="0" xfId="1" applyNumberFormat="1" applyFont="1" applyFill="1" applyBorder="1"/>
    <xf numFmtId="0" fontId="20" fillId="0" borderId="0" xfId="0" applyFont="1" applyAlignment="1">
      <alignment horizontal="center"/>
    </xf>
    <xf numFmtId="166" fontId="0" fillId="0" borderId="0" xfId="0" applyNumberFormat="1"/>
    <xf numFmtId="165" fontId="21" fillId="3" borderId="1" xfId="1" applyNumberFormat="1" applyFont="1" applyFill="1" applyBorder="1" applyAlignment="1">
      <alignment horizontal="center" vertical="center"/>
    </xf>
    <xf numFmtId="165" fontId="22" fillId="0" borderId="0" xfId="1" applyNumberFormat="1" applyFont="1"/>
    <xf numFmtId="165" fontId="22" fillId="0" borderId="0" xfId="1" applyNumberFormat="1" applyFont="1" applyFill="1" applyBorder="1"/>
    <xf numFmtId="165" fontId="22" fillId="0" borderId="0" xfId="1" applyNumberFormat="1" applyFont="1" applyAlignment="1">
      <alignment horizontal="center"/>
    </xf>
    <xf numFmtId="0" fontId="19" fillId="3" borderId="0" xfId="0" applyFont="1" applyFill="1" applyAlignment="1">
      <alignment horizontal="center"/>
    </xf>
    <xf numFmtId="166" fontId="19" fillId="3" borderId="0" xfId="0" applyNumberFormat="1" applyFont="1" applyFill="1" applyAlignment="1">
      <alignment horizontal="center"/>
    </xf>
    <xf numFmtId="165" fontId="22" fillId="0" borderId="0" xfId="1" applyNumberFormat="1" applyFont="1" applyFill="1" applyBorder="1" applyAlignment="1">
      <alignment horizontal="center" vertical="center"/>
    </xf>
    <xf numFmtId="166" fontId="19" fillId="3" borderId="0" xfId="0" applyNumberFormat="1" applyFont="1" applyFill="1" applyAlignment="1">
      <alignment horizontal="center" vertical="center"/>
    </xf>
    <xf numFmtId="0" fontId="0" fillId="0" borderId="0" xfId="0" applyAlignment="1">
      <alignment horizontal="center" vertical="center"/>
    </xf>
    <xf numFmtId="0" fontId="18" fillId="0" borderId="3" xfId="0" applyFont="1" applyBorder="1"/>
    <xf numFmtId="165" fontId="18" fillId="0" borderId="4" xfId="0" applyNumberFormat="1" applyFont="1" applyBorder="1"/>
    <xf numFmtId="165" fontId="0" fillId="0" borderId="4" xfId="1" applyNumberFormat="1" applyFont="1" applyBorder="1"/>
    <xf numFmtId="165" fontId="17" fillId="0" borderId="4" xfId="1" applyNumberFormat="1" applyFont="1" applyFill="1" applyBorder="1"/>
    <xf numFmtId="166" fontId="17" fillId="0" borderId="4" xfId="1" applyNumberFormat="1" applyFont="1" applyFill="1" applyBorder="1"/>
    <xf numFmtId="165" fontId="0" fillId="0" borderId="5" xfId="1" applyNumberFormat="1" applyFont="1" applyBorder="1"/>
    <xf numFmtId="4" fontId="0" fillId="0" borderId="0" xfId="0" applyNumberFormat="1"/>
    <xf numFmtId="0" fontId="0" fillId="0" borderId="0" xfId="0" applyAlignment="1">
      <alignment wrapText="1"/>
    </xf>
    <xf numFmtId="168" fontId="22" fillId="0" borderId="0" xfId="1" applyNumberFormat="1" applyFont="1"/>
    <xf numFmtId="168" fontId="18" fillId="0" borderId="4" xfId="0" applyNumberFormat="1" applyFont="1" applyBorder="1"/>
    <xf numFmtId="168" fontId="0" fillId="0" borderId="0" xfId="0" applyNumberFormat="1"/>
    <xf numFmtId="22" fontId="0" fillId="0" borderId="0" xfId="0" applyNumberFormat="1" applyAlignment="1">
      <alignment horizontal="center"/>
    </xf>
    <xf numFmtId="4" fontId="17" fillId="2" borderId="0" xfId="0" applyNumberFormat="1" applyFont="1" applyFill="1"/>
    <xf numFmtId="43" fontId="0" fillId="0" borderId="0" xfId="1" applyFont="1"/>
    <xf numFmtId="0" fontId="19" fillId="3" borderId="1" xfId="0" applyFont="1" applyFill="1" applyBorder="1"/>
    <xf numFmtId="169" fontId="0" fillId="0" borderId="0" xfId="0" applyNumberFormat="1"/>
    <xf numFmtId="43" fontId="0" fillId="0" borderId="0" xfId="0" applyNumberFormat="1"/>
    <xf numFmtId="165" fontId="0" fillId="0" borderId="0" xfId="0" applyNumberFormat="1"/>
    <xf numFmtId="168" fontId="23" fillId="3" borderId="0" xfId="0" applyNumberFormat="1" applyFont="1" applyFill="1" applyAlignment="1">
      <alignment wrapText="1"/>
    </xf>
    <xf numFmtId="167" fontId="23" fillId="3" borderId="0" xfId="0" applyNumberFormat="1" applyFont="1" applyFill="1" applyAlignment="1">
      <alignment vertical="center" wrapText="1"/>
    </xf>
    <xf numFmtId="0" fontId="0" fillId="0" borderId="3" xfId="0" applyBorder="1"/>
    <xf numFmtId="0" fontId="19" fillId="6" borderId="0" xfId="0" applyFont="1" applyFill="1" applyAlignment="1">
      <alignment horizontal="center"/>
    </xf>
    <xf numFmtId="0" fontId="19" fillId="6" borderId="2" xfId="0" applyFont="1" applyFill="1" applyBorder="1" applyAlignment="1">
      <alignment horizontal="center"/>
    </xf>
    <xf numFmtId="0" fontId="19" fillId="6" borderId="1" xfId="0" applyFont="1" applyFill="1" applyBorder="1"/>
    <xf numFmtId="0" fontId="19" fillId="3" borderId="0" xfId="0" applyFont="1" applyFill="1"/>
    <xf numFmtId="0" fontId="28" fillId="7" borderId="0" xfId="7" applyFont="1" applyFill="1" applyAlignment="1">
      <alignment horizontal="center" vertical="center" wrapText="1"/>
    </xf>
    <xf numFmtId="165" fontId="27" fillId="0" borderId="4" xfId="6" applyNumberFormat="1" applyFont="1" applyBorder="1" applyAlignment="1">
      <alignment horizontal="center" vertical="center"/>
    </xf>
    <xf numFmtId="0" fontId="18" fillId="0" borderId="4" xfId="0" applyFont="1" applyBorder="1"/>
    <xf numFmtId="165" fontId="21" fillId="3" borderId="0" xfId="1" applyNumberFormat="1" applyFont="1" applyFill="1" applyBorder="1" applyAlignment="1">
      <alignment vertical="center"/>
    </xf>
    <xf numFmtId="14" fontId="22" fillId="0" borderId="0" xfId="1" applyNumberFormat="1" applyFont="1" applyAlignment="1">
      <alignment horizontal="center"/>
    </xf>
    <xf numFmtId="0" fontId="26" fillId="0" borderId="0" xfId="0" applyFont="1" applyAlignment="1">
      <alignment horizontal="center"/>
    </xf>
    <xf numFmtId="165" fontId="22" fillId="0" borderId="0" xfId="1" applyNumberFormat="1" applyFont="1" applyAlignment="1">
      <alignment horizontal="center" vertical="center"/>
    </xf>
    <xf numFmtId="0" fontId="0" fillId="0" borderId="0" xfId="0" applyAlignment="1">
      <alignment vertical="center"/>
    </xf>
    <xf numFmtId="165" fontId="22" fillId="0" borderId="0" xfId="1" applyNumberFormat="1" applyFont="1" applyAlignment="1">
      <alignment vertical="center"/>
    </xf>
    <xf numFmtId="165" fontId="21" fillId="3" borderId="1" xfId="1" applyNumberFormat="1" applyFont="1" applyFill="1" applyBorder="1" applyAlignment="1">
      <alignment vertical="center"/>
    </xf>
    <xf numFmtId="165" fontId="21" fillId="3" borderId="0" xfId="1" applyNumberFormat="1" applyFont="1" applyFill="1" applyBorder="1" applyAlignment="1">
      <alignment horizontal="center" vertical="center"/>
    </xf>
    <xf numFmtId="165" fontId="18" fillId="0" borderId="4" xfId="1" applyNumberFormat="1" applyFont="1" applyBorder="1"/>
    <xf numFmtId="165" fontId="18" fillId="0" borderId="4" xfId="1" applyNumberFormat="1" applyFont="1" applyBorder="1" applyAlignment="1">
      <alignment horizontal="center" vertical="center"/>
    </xf>
    <xf numFmtId="0" fontId="23" fillId="3" borderId="0" xfId="0" applyFont="1" applyFill="1" applyAlignment="1">
      <alignment horizontal="center" wrapText="1"/>
    </xf>
    <xf numFmtId="167" fontId="23" fillId="3" borderId="0" xfId="0" applyNumberFormat="1" applyFont="1" applyFill="1" applyAlignment="1">
      <alignment horizontal="center"/>
    </xf>
    <xf numFmtId="0" fontId="19" fillId="3" borderId="0" xfId="0" applyFont="1" applyFill="1" applyAlignment="1">
      <alignment horizontal="center" wrapText="1"/>
    </xf>
    <xf numFmtId="43" fontId="22" fillId="0" borderId="0" xfId="1" applyFont="1"/>
    <xf numFmtId="0" fontId="19" fillId="3" borderId="0" xfId="0" applyFont="1" applyFill="1" applyAlignment="1">
      <alignment wrapText="1"/>
    </xf>
    <xf numFmtId="43" fontId="23" fillId="3" borderId="0" xfId="1" applyFont="1" applyFill="1" applyAlignment="1">
      <alignment vertical="center" wrapText="1"/>
    </xf>
    <xf numFmtId="0" fontId="19" fillId="3" borderId="0" xfId="0" applyFont="1" applyFill="1" applyAlignment="1">
      <alignment vertical="center" wrapText="1"/>
    </xf>
    <xf numFmtId="0" fontId="33" fillId="0" borderId="0" xfId="0" applyFont="1"/>
    <xf numFmtId="0" fontId="33" fillId="0" borderId="3" xfId="0" applyFont="1" applyBorder="1"/>
    <xf numFmtId="165" fontId="33" fillId="0" borderId="4" xfId="0" applyNumberFormat="1" applyFont="1" applyBorder="1"/>
    <xf numFmtId="165" fontId="33" fillId="0" borderId="4" xfId="1" applyNumberFormat="1" applyFont="1" applyBorder="1"/>
    <xf numFmtId="165" fontId="33" fillId="0" borderId="5" xfId="1" applyNumberFormat="1" applyFont="1" applyBorder="1"/>
    <xf numFmtId="165" fontId="33" fillId="0" borderId="0" xfId="1" applyNumberFormat="1" applyFont="1" applyFill="1" applyBorder="1"/>
    <xf numFmtId="165" fontId="33" fillId="0" borderId="4" xfId="1" applyNumberFormat="1" applyFont="1" applyFill="1" applyBorder="1"/>
    <xf numFmtId="166" fontId="33" fillId="0" borderId="4" xfId="1" applyNumberFormat="1" applyFont="1" applyFill="1" applyBorder="1"/>
    <xf numFmtId="0" fontId="33" fillId="0" borderId="4" xfId="0" applyFont="1" applyBorder="1"/>
    <xf numFmtId="165" fontId="0" fillId="0" borderId="0" xfId="1" applyNumberFormat="1" applyFont="1"/>
    <xf numFmtId="10" fontId="0" fillId="0" borderId="0" xfId="0" applyNumberFormat="1"/>
    <xf numFmtId="0" fontId="35" fillId="10" borderId="0" xfId="7" applyFont="1" applyFill="1" applyAlignment="1">
      <alignment horizontal="left" vertical="center" wrapText="1"/>
    </xf>
    <xf numFmtId="0" fontId="30" fillId="0" borderId="4" xfId="7" applyFont="1" applyBorder="1" applyAlignment="1">
      <alignment horizontal="left" vertical="center"/>
    </xf>
    <xf numFmtId="165" fontId="27" fillId="0" borderId="4" xfId="6" applyNumberFormat="1" applyFont="1" applyBorder="1" applyAlignment="1">
      <alignment horizontal="left" vertical="center"/>
    </xf>
    <xf numFmtId="43" fontId="0" fillId="0" borderId="6" xfId="6" applyFont="1" applyBorder="1" applyAlignment="1">
      <alignment vertical="center"/>
    </xf>
    <xf numFmtId="165" fontId="0" fillId="0" borderId="6" xfId="6" applyNumberFormat="1" applyFont="1" applyBorder="1" applyAlignment="1">
      <alignment vertical="center"/>
    </xf>
    <xf numFmtId="165" fontId="27" fillId="10" borderId="4" xfId="6" applyNumberFormat="1" applyFont="1" applyFill="1" applyBorder="1" applyAlignment="1">
      <alignment horizontal="left" vertical="center"/>
    </xf>
    <xf numFmtId="0" fontId="30" fillId="10" borderId="4" xfId="7" applyFont="1" applyFill="1" applyBorder="1" applyAlignment="1">
      <alignment horizontal="left" vertical="center"/>
    </xf>
    <xf numFmtId="165" fontId="30" fillId="10" borderId="4" xfId="6" applyNumberFormat="1" applyFont="1" applyFill="1" applyBorder="1" applyAlignment="1">
      <alignment horizontal="left" vertical="center"/>
    </xf>
    <xf numFmtId="165" fontId="31" fillId="10" borderId="4" xfId="6" applyNumberFormat="1" applyFont="1" applyFill="1" applyBorder="1" applyAlignment="1">
      <alignment horizontal="left" vertical="center"/>
    </xf>
    <xf numFmtId="0" fontId="31" fillId="8" borderId="4" xfId="7" applyFont="1" applyFill="1" applyBorder="1" applyAlignment="1">
      <alignment horizontal="left" vertical="center"/>
    </xf>
    <xf numFmtId="165" fontId="31" fillId="8" borderId="4" xfId="6" applyNumberFormat="1" applyFont="1" applyFill="1" applyBorder="1" applyAlignment="1">
      <alignment horizontal="left" vertical="center"/>
    </xf>
    <xf numFmtId="165" fontId="31" fillId="8" borderId="4" xfId="6" applyNumberFormat="1" applyFont="1" applyFill="1" applyBorder="1" applyAlignment="1">
      <alignment vertical="center"/>
    </xf>
    <xf numFmtId="0" fontId="30" fillId="10" borderId="0" xfId="7" applyFont="1" applyFill="1" applyAlignment="1">
      <alignment horizontal="left" vertical="center"/>
    </xf>
    <xf numFmtId="165" fontId="30" fillId="10" borderId="0" xfId="6" applyNumberFormat="1" applyFont="1" applyFill="1" applyBorder="1" applyAlignment="1">
      <alignment vertical="center"/>
    </xf>
    <xf numFmtId="165" fontId="31" fillId="10" borderId="0" xfId="6" applyNumberFormat="1" applyFont="1" applyFill="1" applyBorder="1" applyAlignment="1">
      <alignment vertical="center"/>
    </xf>
    <xf numFmtId="165" fontId="31" fillId="10" borderId="0" xfId="6" applyNumberFormat="1" applyFont="1" applyFill="1" applyBorder="1" applyAlignment="1">
      <alignment horizontal="left" vertical="center"/>
    </xf>
    <xf numFmtId="165" fontId="30" fillId="10" borderId="0" xfId="6" applyNumberFormat="1" applyFont="1" applyFill="1" applyBorder="1" applyAlignment="1">
      <alignment horizontal="left" vertical="center"/>
    </xf>
    <xf numFmtId="0" fontId="28" fillId="7" borderId="0" xfId="7" applyFont="1" applyFill="1" applyAlignment="1">
      <alignment horizontal="left" vertical="center"/>
    </xf>
    <xf numFmtId="0" fontId="28" fillId="7" borderId="0" xfId="7" applyFont="1" applyFill="1" applyAlignment="1">
      <alignment vertical="center"/>
    </xf>
    <xf numFmtId="165" fontId="28" fillId="7" borderId="0" xfId="6" applyNumberFormat="1" applyFont="1" applyFill="1" applyAlignment="1">
      <alignment vertical="center"/>
    </xf>
    <xf numFmtId="165" fontId="28" fillId="7" borderId="0" xfId="6" applyNumberFormat="1" applyFont="1" applyFill="1" applyAlignment="1">
      <alignment horizontal="center" vertical="center"/>
    </xf>
    <xf numFmtId="165" fontId="22" fillId="0" borderId="0" xfId="1" applyNumberFormat="1" applyFont="1" applyFill="1"/>
    <xf numFmtId="14" fontId="36" fillId="0" borderId="0" xfId="1" applyNumberFormat="1" applyFont="1" applyAlignment="1">
      <alignment horizontal="center"/>
    </xf>
    <xf numFmtId="0" fontId="25" fillId="0" borderId="3" xfId="0" applyFont="1" applyBorder="1"/>
    <xf numFmtId="0" fontId="25" fillId="0" borderId="0" xfId="0" applyFont="1"/>
    <xf numFmtId="166" fontId="19" fillId="3" borderId="0" xfId="0" applyNumberFormat="1" applyFont="1" applyFill="1" applyAlignment="1">
      <alignment vertical="center" wrapText="1"/>
    </xf>
    <xf numFmtId="0" fontId="37" fillId="0" borderId="0" xfId="0" applyFont="1"/>
    <xf numFmtId="0" fontId="37" fillId="0" borderId="3" xfId="0" applyFont="1" applyBorder="1"/>
    <xf numFmtId="0" fontId="37" fillId="0" borderId="4" xfId="0" applyFont="1" applyBorder="1" applyAlignment="1">
      <alignment horizontal="center" vertical="center"/>
    </xf>
    <xf numFmtId="165" fontId="37" fillId="0" borderId="4" xfId="0" applyNumberFormat="1" applyFont="1" applyBorder="1"/>
    <xf numFmtId="165" fontId="37" fillId="0" borderId="4" xfId="1" applyNumberFormat="1" applyFont="1" applyBorder="1"/>
    <xf numFmtId="165" fontId="37" fillId="0" borderId="5" xfId="1" applyNumberFormat="1" applyFont="1" applyBorder="1"/>
    <xf numFmtId="165" fontId="37" fillId="0" borderId="0" xfId="1" applyNumberFormat="1" applyFont="1" applyFill="1" applyBorder="1"/>
    <xf numFmtId="165" fontId="37" fillId="0" borderId="4" xfId="1" applyNumberFormat="1" applyFont="1" applyFill="1" applyBorder="1"/>
    <xf numFmtId="166" fontId="37" fillId="0" borderId="4" xfId="1" applyNumberFormat="1" applyFont="1" applyFill="1" applyBorder="1"/>
    <xf numFmtId="0" fontId="25" fillId="0" borderId="7" xfId="0" applyFont="1" applyBorder="1"/>
    <xf numFmtId="165" fontId="25" fillId="0" borderId="4" xfId="0" applyNumberFormat="1" applyFont="1" applyBorder="1"/>
    <xf numFmtId="165" fontId="25" fillId="0" borderId="4" xfId="1" applyNumberFormat="1" applyFont="1" applyBorder="1"/>
    <xf numFmtId="165" fontId="25" fillId="0" borderId="0" xfId="1" applyNumberFormat="1" applyFont="1" applyFill="1" applyBorder="1"/>
    <xf numFmtId="165" fontId="25" fillId="0" borderId="4" xfId="1" applyNumberFormat="1" applyFont="1" applyFill="1" applyBorder="1"/>
    <xf numFmtId="166" fontId="25" fillId="0" borderId="4" xfId="1" applyNumberFormat="1" applyFont="1" applyFill="1" applyBorder="1"/>
    <xf numFmtId="0" fontId="25" fillId="0" borderId="4" xfId="0" applyFont="1" applyBorder="1" applyAlignment="1">
      <alignment horizontal="center" vertical="center"/>
    </xf>
    <xf numFmtId="165" fontId="25" fillId="0" borderId="5" xfId="1" applyNumberFormat="1" applyFont="1" applyBorder="1"/>
    <xf numFmtId="165" fontId="25" fillId="0" borderId="0" xfId="0" applyNumberFormat="1" applyFont="1"/>
    <xf numFmtId="165" fontId="36" fillId="0" borderId="0" xfId="1" applyNumberFormat="1" applyFont="1"/>
    <xf numFmtId="165" fontId="36" fillId="0" borderId="0" xfId="1" applyNumberFormat="1" applyFont="1" applyAlignment="1">
      <alignment horizontal="center"/>
    </xf>
    <xf numFmtId="165" fontId="36" fillId="0" borderId="0" xfId="1" applyNumberFormat="1" applyFont="1" applyFill="1" applyBorder="1"/>
    <xf numFmtId="0" fontId="38" fillId="0" borderId="0" xfId="0" applyFont="1"/>
    <xf numFmtId="0" fontId="12" fillId="0" borderId="0" xfId="14" applyAlignment="1">
      <alignment vertical="center"/>
    </xf>
    <xf numFmtId="0" fontId="28" fillId="10" borderId="0" xfId="7" applyFont="1" applyFill="1" applyAlignment="1">
      <alignment horizontal="center" vertical="center" wrapText="1"/>
    </xf>
    <xf numFmtId="0" fontId="12" fillId="10" borderId="0" xfId="14" applyFill="1" applyAlignment="1">
      <alignment vertical="center"/>
    </xf>
    <xf numFmtId="165" fontId="28" fillId="7" borderId="0" xfId="15" applyNumberFormat="1" applyFont="1" applyFill="1" applyAlignment="1">
      <alignment horizontal="center" vertical="center" wrapText="1"/>
    </xf>
    <xf numFmtId="0" fontId="30" fillId="0" borderId="4" xfId="16" applyFont="1" applyBorder="1" applyAlignment="1">
      <alignment horizontal="left" vertical="center" wrapText="1"/>
    </xf>
    <xf numFmtId="0" fontId="30" fillId="10" borderId="4" xfId="16" applyFont="1" applyFill="1" applyBorder="1" applyAlignment="1">
      <alignment horizontal="left" vertical="center" wrapText="1"/>
    </xf>
    <xf numFmtId="0" fontId="31" fillId="11" borderId="4" xfId="7" applyFont="1" applyFill="1" applyBorder="1" applyAlignment="1">
      <alignment horizontal="left" vertical="center"/>
    </xf>
    <xf numFmtId="165" fontId="31" fillId="11" borderId="4" xfId="6" applyNumberFormat="1" applyFont="1" applyFill="1" applyBorder="1" applyAlignment="1">
      <alignment horizontal="left" vertical="center"/>
    </xf>
    <xf numFmtId="164" fontId="12" fillId="0" borderId="0" xfId="14" applyNumberFormat="1" applyAlignment="1">
      <alignment vertical="center"/>
    </xf>
    <xf numFmtId="43" fontId="12" fillId="0" borderId="0" xfId="17" applyAlignment="1">
      <alignment vertical="center"/>
    </xf>
    <xf numFmtId="165" fontId="39" fillId="10" borderId="0" xfId="7" applyNumberFormat="1" applyFont="1" applyFill="1" applyAlignment="1">
      <alignment horizontal="center" vertical="center" wrapText="1"/>
    </xf>
    <xf numFmtId="9" fontId="0" fillId="0" borderId="0" xfId="0" applyNumberFormat="1"/>
    <xf numFmtId="0" fontId="25" fillId="0" borderId="0" xfId="0" applyFont="1" applyAlignment="1">
      <alignment wrapText="1"/>
    </xf>
    <xf numFmtId="0" fontId="26" fillId="0" borderId="0" xfId="0" applyFont="1" applyAlignment="1">
      <alignment horizontal="left"/>
    </xf>
    <xf numFmtId="43" fontId="26" fillId="0" borderId="0" xfId="0" applyNumberFormat="1" applyFont="1" applyAlignment="1">
      <alignment horizontal="left"/>
    </xf>
    <xf numFmtId="0" fontId="26" fillId="4" borderId="0" xfId="0" applyFont="1" applyFill="1" applyAlignment="1">
      <alignment horizontal="left"/>
    </xf>
    <xf numFmtId="0" fontId="26" fillId="5" borderId="0" xfId="0" applyFont="1" applyFill="1" applyAlignment="1">
      <alignment horizontal="right"/>
    </xf>
    <xf numFmtId="0" fontId="26" fillId="5" borderId="0" xfId="0" applyFont="1" applyFill="1" applyAlignment="1">
      <alignment horizontal="center"/>
    </xf>
    <xf numFmtId="0" fontId="26" fillId="5" borderId="0" xfId="0" applyFont="1" applyFill="1" applyAlignment="1">
      <alignment horizontal="left"/>
    </xf>
    <xf numFmtId="14" fontId="17" fillId="2" borderId="0" xfId="0" applyNumberFormat="1" applyFont="1" applyFill="1"/>
    <xf numFmtId="43" fontId="17" fillId="2" borderId="0" xfId="1" applyFont="1" applyFill="1"/>
    <xf numFmtId="0" fontId="30" fillId="10" borderId="8" xfId="7" applyFont="1" applyFill="1" applyBorder="1" applyAlignment="1">
      <alignment horizontal="left" vertical="center"/>
    </xf>
    <xf numFmtId="43" fontId="12" fillId="0" borderId="0" xfId="1" applyFont="1" applyAlignment="1">
      <alignment vertical="center"/>
    </xf>
    <xf numFmtId="43" fontId="12" fillId="0" borderId="0" xfId="14" applyNumberFormat="1" applyAlignment="1">
      <alignment vertical="center"/>
    </xf>
    <xf numFmtId="49" fontId="30" fillId="10" borderId="4" xfId="6" applyNumberFormat="1" applyFont="1" applyFill="1" applyBorder="1" applyAlignment="1">
      <alignment horizontal="left" vertical="center"/>
    </xf>
    <xf numFmtId="165" fontId="12" fillId="0" borderId="0" xfId="14" applyNumberFormat="1" applyAlignment="1">
      <alignment vertical="center"/>
    </xf>
    <xf numFmtId="49" fontId="30" fillId="0" borderId="4" xfId="16" applyNumberFormat="1" applyFont="1" applyBorder="1" applyAlignment="1">
      <alignment horizontal="left" vertical="center" wrapText="1"/>
    </xf>
    <xf numFmtId="49" fontId="30" fillId="10" borderId="4" xfId="16" applyNumberFormat="1" applyFont="1" applyFill="1" applyBorder="1" applyAlignment="1">
      <alignment horizontal="left" vertical="center" wrapText="1"/>
    </xf>
    <xf numFmtId="49" fontId="27" fillId="0" borderId="4" xfId="6" applyNumberFormat="1" applyFont="1" applyBorder="1" applyAlignment="1">
      <alignment horizontal="left" vertical="center"/>
    </xf>
    <xf numFmtId="49" fontId="31" fillId="10" borderId="4" xfId="6" applyNumberFormat="1" applyFont="1" applyFill="1" applyBorder="1" applyAlignment="1">
      <alignment horizontal="left" vertical="center"/>
    </xf>
    <xf numFmtId="49" fontId="31" fillId="10" borderId="0" xfId="6" applyNumberFormat="1" applyFont="1" applyFill="1" applyBorder="1" applyAlignment="1">
      <alignment horizontal="left" vertical="center"/>
    </xf>
    <xf numFmtId="43" fontId="18" fillId="0" borderId="4" xfId="1" applyFont="1" applyBorder="1" applyAlignment="1">
      <alignment horizontal="center"/>
    </xf>
    <xf numFmtId="166" fontId="19" fillId="3" borderId="0" xfId="0" applyNumberFormat="1" applyFont="1" applyFill="1" applyAlignment="1">
      <alignment vertical="center"/>
    </xf>
    <xf numFmtId="0" fontId="0" fillId="0" borderId="0" xfId="0" pivotButton="1"/>
    <xf numFmtId="0" fontId="28" fillId="7" borderId="0" xfId="7" applyFont="1" applyFill="1" applyAlignment="1">
      <alignment horizontal="left" vertical="center" wrapText="1"/>
    </xf>
    <xf numFmtId="9" fontId="36" fillId="0" borderId="0" xfId="2" applyFont="1"/>
    <xf numFmtId="9" fontId="38" fillId="0" borderId="0" xfId="2" applyFont="1"/>
    <xf numFmtId="9" fontId="32" fillId="0" borderId="0" xfId="2" applyFont="1"/>
    <xf numFmtId="165" fontId="25" fillId="0" borderId="4" xfId="1" applyNumberFormat="1" applyFont="1" applyBorder="1" applyAlignment="1">
      <alignment vertical="center"/>
    </xf>
    <xf numFmtId="9" fontId="22" fillId="0" borderId="0" xfId="2" applyFont="1"/>
    <xf numFmtId="0" fontId="40" fillId="0" borderId="0" xfId="0" applyFont="1"/>
    <xf numFmtId="0" fontId="40" fillId="0" borderId="3" xfId="0" applyFont="1" applyBorder="1"/>
    <xf numFmtId="165" fontId="40" fillId="0" borderId="4" xfId="0" applyNumberFormat="1" applyFont="1" applyBorder="1"/>
    <xf numFmtId="165" fontId="40" fillId="0" borderId="4" xfId="1" applyNumberFormat="1" applyFont="1" applyBorder="1"/>
    <xf numFmtId="165" fontId="40" fillId="0" borderId="0" xfId="1" applyNumberFormat="1" applyFont="1" applyFill="1" applyBorder="1"/>
    <xf numFmtId="165" fontId="40" fillId="0" borderId="4" xfId="1" applyNumberFormat="1" applyFont="1" applyFill="1" applyBorder="1"/>
    <xf numFmtId="166" fontId="40" fillId="0" borderId="4" xfId="1" applyNumberFormat="1" applyFont="1" applyFill="1" applyBorder="1"/>
    <xf numFmtId="165" fontId="40" fillId="0" borderId="5" xfId="1" applyNumberFormat="1" applyFont="1" applyBorder="1"/>
    <xf numFmtId="43" fontId="25" fillId="0" borderId="4" xfId="1" applyFont="1" applyBorder="1" applyAlignment="1">
      <alignment horizontal="center" vertical="center"/>
    </xf>
    <xf numFmtId="0" fontId="26" fillId="3" borderId="0" xfId="0" applyFont="1" applyFill="1"/>
    <xf numFmtId="43" fontId="40" fillId="0" borderId="4" xfId="1" applyFont="1" applyBorder="1" applyAlignment="1">
      <alignment horizontal="center" vertical="center"/>
    </xf>
    <xf numFmtId="0" fontId="40" fillId="0" borderId="4" xfId="0" applyFont="1" applyBorder="1" applyAlignment="1">
      <alignment horizontal="center" vertical="center"/>
    </xf>
    <xf numFmtId="165" fontId="40" fillId="0" borderId="4" xfId="1" applyNumberFormat="1" applyFont="1" applyBorder="1" applyAlignment="1">
      <alignment vertical="center"/>
    </xf>
    <xf numFmtId="168" fontId="40" fillId="0" borderId="0" xfId="0" applyNumberFormat="1" applyFont="1" applyAlignment="1">
      <alignment horizontal="center"/>
    </xf>
    <xf numFmtId="165" fontId="40" fillId="0" borderId="4" xfId="0" applyNumberFormat="1" applyFont="1" applyBorder="1" applyAlignment="1">
      <alignment vertical="center"/>
    </xf>
    <xf numFmtId="165" fontId="27" fillId="0" borderId="4" xfId="1" applyNumberFormat="1" applyFont="1" applyBorder="1" applyAlignment="1">
      <alignment horizontal="left" vertical="center"/>
    </xf>
    <xf numFmtId="165" fontId="12" fillId="10" borderId="0" xfId="14" applyNumberFormat="1" applyFill="1" applyAlignment="1">
      <alignment vertical="center"/>
    </xf>
    <xf numFmtId="0" fontId="25" fillId="10" borderId="0" xfId="0" applyFont="1" applyFill="1"/>
    <xf numFmtId="0" fontId="37" fillId="10" borderId="0" xfId="0" applyFont="1" applyFill="1"/>
    <xf numFmtId="0" fontId="0" fillId="10" borderId="0" xfId="0" applyFill="1"/>
    <xf numFmtId="43" fontId="0" fillId="10" borderId="0" xfId="1" applyFont="1" applyFill="1"/>
    <xf numFmtId="165" fontId="25" fillId="10" borderId="0" xfId="1" applyNumberFormat="1" applyFont="1" applyFill="1" applyBorder="1"/>
    <xf numFmtId="165" fontId="12" fillId="0" borderId="0" xfId="1" applyNumberFormat="1" applyFont="1" applyAlignment="1">
      <alignment vertical="center"/>
    </xf>
    <xf numFmtId="165" fontId="30" fillId="10" borderId="4" xfId="1" applyNumberFormat="1" applyFont="1" applyFill="1" applyBorder="1" applyAlignment="1">
      <alignment horizontal="left" vertical="center"/>
    </xf>
    <xf numFmtId="14" fontId="0" fillId="0" borderId="0" xfId="0" applyNumberFormat="1" applyAlignment="1">
      <alignment horizontal="center"/>
    </xf>
    <xf numFmtId="0" fontId="19" fillId="3" borderId="2" xfId="0" applyFont="1" applyFill="1" applyBorder="1" applyAlignment="1">
      <alignment horizontal="center"/>
    </xf>
    <xf numFmtId="165" fontId="36" fillId="4" borderId="0" xfId="1" applyNumberFormat="1" applyFont="1" applyFill="1" applyBorder="1" applyAlignment="1">
      <alignment vertical="center"/>
    </xf>
    <xf numFmtId="0" fontId="26" fillId="4" borderId="0" xfId="0" applyFont="1" applyFill="1" applyAlignment="1">
      <alignment horizontal="center"/>
    </xf>
    <xf numFmtId="0" fontId="26" fillId="4" borderId="2" xfId="0" applyFont="1" applyFill="1" applyBorder="1" applyAlignment="1">
      <alignment horizontal="center"/>
    </xf>
    <xf numFmtId="43" fontId="24" fillId="0" borderId="0" xfId="1" applyFont="1"/>
    <xf numFmtId="43" fontId="32" fillId="9" borderId="0" xfId="1" applyFont="1" applyFill="1"/>
    <xf numFmtId="43" fontId="0" fillId="0" borderId="0" xfId="1" applyFont="1" applyAlignment="1"/>
    <xf numFmtId="43" fontId="26" fillId="0" borderId="0" xfId="1" applyFont="1" applyAlignment="1">
      <alignment horizontal="left"/>
    </xf>
    <xf numFmtId="43" fontId="26" fillId="4" borderId="0" xfId="1" applyFont="1" applyFill="1" applyAlignment="1">
      <alignment horizontal="left"/>
    </xf>
    <xf numFmtId="43" fontId="26" fillId="5" borderId="0" xfId="1" applyFont="1" applyFill="1" applyAlignment="1">
      <alignment horizontal="left"/>
    </xf>
    <xf numFmtId="43" fontId="0" fillId="10" borderId="0" xfId="1" applyFont="1" applyFill="1" applyBorder="1"/>
    <xf numFmtId="4" fontId="34" fillId="0" borderId="0" xfId="0" applyNumberFormat="1" applyFont="1"/>
    <xf numFmtId="43" fontId="34" fillId="0" borderId="0" xfId="1" applyFont="1"/>
    <xf numFmtId="14" fontId="34" fillId="4" borderId="9" xfId="1" applyNumberFormat="1" applyFont="1" applyFill="1" applyBorder="1" applyAlignment="1">
      <alignment horizontal="center"/>
    </xf>
    <xf numFmtId="14" fontId="0" fillId="0" borderId="0" xfId="1" applyNumberFormat="1" applyFont="1" applyFill="1" applyAlignment="1"/>
    <xf numFmtId="165" fontId="28" fillId="7" borderId="0" xfId="1" applyNumberFormat="1" applyFont="1" applyFill="1" applyAlignment="1">
      <alignment vertical="center"/>
    </xf>
    <xf numFmtId="165" fontId="31" fillId="8" borderId="4" xfId="1" applyNumberFormat="1" applyFont="1" applyFill="1" applyBorder="1" applyAlignment="1">
      <alignment horizontal="left" vertical="center"/>
    </xf>
    <xf numFmtId="165" fontId="31" fillId="11" borderId="4" xfId="1" applyNumberFormat="1" applyFont="1" applyFill="1" applyBorder="1" applyAlignment="1">
      <alignment horizontal="left" vertical="center"/>
    </xf>
    <xf numFmtId="43" fontId="23" fillId="3" borderId="0" xfId="1" applyFont="1" applyFill="1" applyAlignment="1">
      <alignment horizontal="center" vertical="center" wrapText="1"/>
    </xf>
    <xf numFmtId="43" fontId="23" fillId="3" borderId="0" xfId="1" applyFont="1" applyFill="1" applyAlignment="1">
      <alignment horizontal="center" vertical="center"/>
    </xf>
    <xf numFmtId="0" fontId="20" fillId="0" borderId="0" xfId="0" applyFont="1" applyAlignment="1">
      <alignment horizontal="center" vertical="center"/>
    </xf>
    <xf numFmtId="165" fontId="21" fillId="3" borderId="0" xfId="1" applyNumberFormat="1" applyFont="1" applyFill="1" applyBorder="1" applyAlignment="1">
      <alignment vertical="center" wrapText="1"/>
    </xf>
    <xf numFmtId="165" fontId="19" fillId="3" borderId="6" xfId="1" applyNumberFormat="1" applyFont="1" applyFill="1" applyBorder="1" applyAlignment="1">
      <alignment vertical="center" wrapText="1"/>
    </xf>
    <xf numFmtId="165" fontId="19" fillId="3" borderId="1" xfId="1" applyNumberFormat="1" applyFont="1" applyFill="1" applyBorder="1" applyAlignment="1">
      <alignment horizontal="center" vertical="center"/>
    </xf>
    <xf numFmtId="165" fontId="19" fillId="3" borderId="0" xfId="1" applyNumberFormat="1" applyFont="1" applyFill="1" applyBorder="1" applyAlignment="1">
      <alignment horizontal="center" vertical="center"/>
    </xf>
    <xf numFmtId="165" fontId="27" fillId="10" borderId="4" xfId="1" applyNumberFormat="1" applyFont="1" applyFill="1" applyBorder="1" applyAlignment="1">
      <alignment horizontal="left" vertical="center"/>
    </xf>
    <xf numFmtId="165" fontId="27" fillId="10" borderId="4" xfId="6" applyNumberFormat="1" applyFont="1" applyFill="1" applyBorder="1" applyAlignment="1">
      <alignment horizontal="center" vertical="center"/>
    </xf>
    <xf numFmtId="0" fontId="8" fillId="10" borderId="0" xfId="14" applyFont="1" applyFill="1" applyAlignment="1">
      <alignment vertical="center"/>
    </xf>
    <xf numFmtId="43" fontId="12" fillId="10" borderId="0" xfId="1" applyFont="1" applyFill="1" applyAlignment="1">
      <alignment vertical="center"/>
    </xf>
    <xf numFmtId="170" fontId="19" fillId="3" borderId="6" xfId="0" applyNumberFormat="1" applyFont="1" applyFill="1" applyBorder="1" applyAlignment="1">
      <alignment horizontal="center" vertical="center" wrapText="1"/>
    </xf>
    <xf numFmtId="166" fontId="37" fillId="10" borderId="0" xfId="0" applyNumberFormat="1" applyFont="1" applyFill="1"/>
    <xf numFmtId="0" fontId="37" fillId="10" borderId="0" xfId="0" applyFont="1" applyFill="1" applyAlignment="1">
      <alignment horizontal="center" vertical="center"/>
    </xf>
    <xf numFmtId="170" fontId="37" fillId="10" borderId="0" xfId="0" applyNumberFormat="1" applyFont="1" applyFill="1"/>
    <xf numFmtId="170" fontId="46" fillId="0" borderId="0" xfId="1" applyNumberFormat="1" applyFont="1"/>
    <xf numFmtId="170" fontId="47" fillId="3" borderId="0" xfId="0" applyNumberFormat="1" applyFont="1" applyFill="1" applyAlignment="1">
      <alignment vertical="center" wrapText="1"/>
    </xf>
    <xf numFmtId="10" fontId="22" fillId="0" borderId="0" xfId="2" applyNumberFormat="1" applyFont="1"/>
    <xf numFmtId="22" fontId="0" fillId="0" borderId="0" xfId="0" applyNumberFormat="1"/>
    <xf numFmtId="165" fontId="30" fillId="10" borderId="4" xfId="6" quotePrefix="1" applyNumberFormat="1" applyFont="1" applyFill="1" applyBorder="1" applyAlignment="1">
      <alignment horizontal="left" vertical="center"/>
    </xf>
    <xf numFmtId="165" fontId="3" fillId="0" borderId="0" xfId="1" applyNumberFormat="1" applyFont="1" applyAlignment="1">
      <alignment vertical="center"/>
    </xf>
    <xf numFmtId="0" fontId="28" fillId="10" borderId="0" xfId="7" applyFont="1" applyFill="1" applyAlignment="1">
      <alignment horizontal="left" vertical="center" wrapText="1"/>
    </xf>
    <xf numFmtId="0" fontId="12" fillId="10" borderId="0" xfId="14" applyFill="1" applyAlignment="1">
      <alignment horizontal="left" vertical="center"/>
    </xf>
    <xf numFmtId="49" fontId="30" fillId="10" borderId="4" xfId="6" applyNumberFormat="1" applyFont="1" applyFill="1" applyBorder="1" applyAlignment="1">
      <alignment horizontal="left" vertical="center" wrapText="1"/>
    </xf>
    <xf numFmtId="0" fontId="37" fillId="10" borderId="0" xfId="0" applyFont="1" applyFill="1" applyAlignment="1">
      <alignment horizontal="center"/>
    </xf>
    <xf numFmtId="165" fontId="37" fillId="10" borderId="0" xfId="1" applyNumberFormat="1" applyFont="1" applyFill="1"/>
    <xf numFmtId="165" fontId="19" fillId="3" borderId="0" xfId="1" applyNumberFormat="1" applyFont="1" applyFill="1" applyAlignment="1">
      <alignment vertical="center" wrapText="1"/>
    </xf>
    <xf numFmtId="165" fontId="19" fillId="3" borderId="6" xfId="1" applyNumberFormat="1" applyFont="1" applyFill="1" applyBorder="1" applyAlignment="1">
      <alignment horizontal="center" vertical="center" wrapText="1"/>
    </xf>
    <xf numFmtId="165" fontId="19" fillId="3" borderId="0" xfId="1" applyNumberFormat="1" applyFont="1" applyFill="1" applyAlignment="1">
      <alignment vertical="center"/>
    </xf>
    <xf numFmtId="165" fontId="19" fillId="3" borderId="6" xfId="1" applyNumberFormat="1" applyFont="1" applyFill="1" applyBorder="1" applyAlignment="1">
      <alignment horizontal="center" vertical="center"/>
    </xf>
    <xf numFmtId="0" fontId="25" fillId="10" borderId="3" xfId="0" applyFont="1" applyFill="1" applyBorder="1"/>
    <xf numFmtId="0" fontId="25" fillId="10" borderId="4" xfId="0" applyFont="1" applyFill="1" applyBorder="1"/>
    <xf numFmtId="165" fontId="25" fillId="10" borderId="4" xfId="1" applyNumberFormat="1" applyFont="1" applyFill="1" applyBorder="1"/>
    <xf numFmtId="0" fontId="0" fillId="0" borderId="0" xfId="0" applyAlignment="1">
      <alignment horizontal="left" vertical="center"/>
    </xf>
    <xf numFmtId="165" fontId="37" fillId="10" borderId="4" xfId="1" applyNumberFormat="1" applyFont="1" applyFill="1" applyBorder="1"/>
    <xf numFmtId="0" fontId="48" fillId="3" borderId="0" xfId="0" applyFont="1" applyFill="1" applyAlignment="1">
      <alignment horizontal="center" vertical="center" wrapText="1"/>
    </xf>
    <xf numFmtId="0" fontId="48" fillId="10" borderId="0" xfId="0" applyFont="1" applyFill="1" applyAlignment="1">
      <alignment horizontal="center" vertical="center" wrapText="1"/>
    </xf>
    <xf numFmtId="165" fontId="37" fillId="10" borderId="4" xfId="1" applyNumberFormat="1" applyFont="1" applyFill="1" applyBorder="1" applyAlignment="1">
      <alignment horizontal="center" vertical="center"/>
    </xf>
    <xf numFmtId="165" fontId="25" fillId="10" borderId="5" xfId="1" applyNumberFormat="1" applyFont="1" applyFill="1" applyBorder="1"/>
    <xf numFmtId="165" fontId="25" fillId="10" borderId="0" xfId="1" applyNumberFormat="1" applyFont="1" applyFill="1"/>
    <xf numFmtId="165" fontId="2" fillId="0" borderId="0" xfId="1" applyNumberFormat="1" applyFont="1" applyAlignment="1">
      <alignment vertical="center"/>
    </xf>
    <xf numFmtId="165" fontId="0" fillId="10" borderId="0" xfId="1" applyNumberFormat="1" applyFont="1" applyFill="1"/>
    <xf numFmtId="44" fontId="0" fillId="0" borderId="0" xfId="60" applyFont="1"/>
    <xf numFmtId="0" fontId="44" fillId="12" borderId="10" xfId="0" applyFont="1" applyFill="1" applyBorder="1"/>
    <xf numFmtId="0" fontId="44" fillId="12" borderId="11" xfId="0" applyFont="1" applyFill="1" applyBorder="1"/>
    <xf numFmtId="43" fontId="44" fillId="12" borderId="11" xfId="1" applyFont="1" applyFill="1" applyBorder="1"/>
    <xf numFmtId="0" fontId="44" fillId="12" borderId="12" xfId="0" applyFont="1" applyFill="1" applyBorder="1"/>
    <xf numFmtId="43" fontId="44" fillId="13" borderId="11" xfId="1" applyFont="1" applyFill="1" applyBorder="1"/>
    <xf numFmtId="43" fontId="44" fillId="14" borderId="11" xfId="1" applyFont="1" applyFill="1" applyBorder="1"/>
    <xf numFmtId="0" fontId="0" fillId="0" borderId="10" xfId="0" applyBorder="1"/>
    <xf numFmtId="0" fontId="0" fillId="0" borderId="11" xfId="0" applyBorder="1"/>
    <xf numFmtId="43" fontId="1" fillId="0" borderId="11" xfId="1" applyFont="1" applyFill="1" applyBorder="1"/>
    <xf numFmtId="165" fontId="0" fillId="0" borderId="12" xfId="0" applyNumberFormat="1" applyBorder="1"/>
    <xf numFmtId="164" fontId="0" fillId="0" borderId="11" xfId="0" applyNumberFormat="1" applyBorder="1"/>
    <xf numFmtId="165" fontId="0" fillId="0" borderId="11" xfId="0" applyNumberFormat="1" applyBorder="1"/>
    <xf numFmtId="9" fontId="1" fillId="0" borderId="11" xfId="2" applyFont="1" applyBorder="1"/>
    <xf numFmtId="164" fontId="0" fillId="0" borderId="0" xfId="0" applyNumberFormat="1"/>
    <xf numFmtId="165" fontId="1" fillId="0" borderId="11" xfId="2" applyNumberFormat="1" applyFont="1" applyFill="1" applyBorder="1"/>
    <xf numFmtId="0" fontId="26" fillId="0" borderId="0" xfId="0" applyFont="1" applyAlignment="1">
      <alignment horizontal="left" vertical="center"/>
    </xf>
    <xf numFmtId="43" fontId="32" fillId="0" borderId="0" xfId="1" applyFont="1" applyAlignment="1">
      <alignment horizontal="left" vertical="center"/>
    </xf>
    <xf numFmtId="9" fontId="0" fillId="0" borderId="4" xfId="2" applyFont="1" applyBorder="1" applyAlignment="1">
      <alignment horizontal="center" vertical="center"/>
    </xf>
    <xf numFmtId="0" fontId="32" fillId="4" borderId="13" xfId="0" applyFont="1" applyFill="1" applyBorder="1" applyAlignment="1">
      <alignment horizontal="left" vertical="center"/>
    </xf>
    <xf numFmtId="0" fontId="25" fillId="0" borderId="0" xfId="0" applyFont="1" applyAlignment="1">
      <alignment horizontal="left" vertical="center"/>
    </xf>
    <xf numFmtId="0" fontId="0" fillId="0" borderId="0" xfId="0" applyAlignment="1">
      <alignment horizontal="left" vertical="center" wrapText="1"/>
    </xf>
    <xf numFmtId="0" fontId="45" fillId="0" borderId="7" xfId="0" applyFont="1" applyBorder="1" applyAlignment="1">
      <alignment horizontal="left" vertical="center"/>
    </xf>
    <xf numFmtId="0" fontId="32" fillId="0" borderId="7" xfId="0" applyFont="1" applyBorder="1" applyAlignment="1">
      <alignment horizontal="left" vertical="center"/>
    </xf>
    <xf numFmtId="0" fontId="32" fillId="0" borderId="7" xfId="0" applyFont="1" applyBorder="1" applyAlignment="1">
      <alignment horizontal="left" vertical="center" wrapText="1"/>
    </xf>
    <xf numFmtId="0" fontId="25" fillId="0" borderId="7" xfId="0" applyFont="1" applyBorder="1" applyAlignment="1">
      <alignment horizontal="left" vertical="center"/>
    </xf>
    <xf numFmtId="0" fontId="0" fillId="0" borderId="7" xfId="0" applyBorder="1" applyAlignment="1">
      <alignment horizontal="left" vertical="center"/>
    </xf>
    <xf numFmtId="0" fontId="0" fillId="0" borderId="7" xfId="0" applyBorder="1" applyAlignment="1">
      <alignment horizontal="left" vertical="center" wrapText="1"/>
    </xf>
    <xf numFmtId="43" fontId="0" fillId="0" borderId="0" xfId="1" applyFont="1" applyAlignment="1">
      <alignment horizontal="left" vertical="center"/>
    </xf>
    <xf numFmtId="0" fontId="0" fillId="0" borderId="4" xfId="0" applyBorder="1" applyAlignment="1">
      <alignment horizontal="left" vertical="center"/>
    </xf>
    <xf numFmtId="0" fontId="25" fillId="10" borderId="4" xfId="0" applyFont="1" applyFill="1" applyBorder="1" applyAlignment="1">
      <alignment horizontal="left" vertical="center"/>
    </xf>
    <xf numFmtId="165" fontId="0" fillId="0" borderId="4" xfId="1" applyNumberFormat="1" applyFont="1" applyBorder="1" applyAlignment="1">
      <alignment horizontal="left" vertical="center"/>
    </xf>
    <xf numFmtId="165" fontId="0" fillId="0" borderId="4" xfId="0" applyNumberFormat="1" applyBorder="1" applyAlignment="1">
      <alignment horizontal="left" vertical="center"/>
    </xf>
    <xf numFmtId="0" fontId="0" fillId="0" borderId="4" xfId="0" applyBorder="1" applyAlignment="1">
      <alignment horizontal="left" vertical="center" wrapText="1"/>
    </xf>
    <xf numFmtId="0" fontId="0" fillId="10" borderId="0" xfId="0" applyFill="1" applyAlignment="1">
      <alignment horizontal="left" vertical="center"/>
    </xf>
    <xf numFmtId="14" fontId="32" fillId="0" borderId="0" xfId="0" applyNumberFormat="1" applyFont="1" applyAlignment="1">
      <alignment horizontal="center" vertical="center"/>
    </xf>
    <xf numFmtId="165" fontId="32" fillId="0" borderId="0" xfId="1" applyNumberFormat="1" applyFont="1" applyAlignment="1">
      <alignment vertical="center"/>
    </xf>
    <xf numFmtId="43" fontId="0" fillId="0" borderId="0" xfId="1" applyFont="1" applyAlignment="1">
      <alignment vertical="center"/>
    </xf>
    <xf numFmtId="171" fontId="0" fillId="0" borderId="0" xfId="2" applyNumberFormat="1" applyFont="1" applyAlignment="1">
      <alignment vertical="center"/>
    </xf>
    <xf numFmtId="0" fontId="0" fillId="10" borderId="0" xfId="0" applyFill="1" applyAlignment="1">
      <alignment vertical="center"/>
    </xf>
    <xf numFmtId="165" fontId="0" fillId="0" borderId="0" xfId="1" applyNumberFormat="1" applyFont="1" applyAlignment="1">
      <alignment vertical="center"/>
    </xf>
    <xf numFmtId="165" fontId="0" fillId="0" borderId="0" xfId="0" applyNumberFormat="1" applyAlignment="1">
      <alignment vertical="center"/>
    </xf>
    <xf numFmtId="0" fontId="0" fillId="0" borderId="4" xfId="0" applyBorder="1" applyAlignment="1">
      <alignment vertical="center"/>
    </xf>
    <xf numFmtId="0" fontId="25" fillId="10" borderId="4" xfId="0" applyFont="1" applyFill="1" applyBorder="1" applyAlignment="1">
      <alignment vertical="center"/>
    </xf>
    <xf numFmtId="165" fontId="0" fillId="0" borderId="4" xfId="1" applyNumberFormat="1" applyFont="1" applyBorder="1" applyAlignment="1">
      <alignment vertical="center"/>
    </xf>
    <xf numFmtId="165" fontId="0" fillId="0" borderId="4" xfId="0" applyNumberFormat="1" applyBorder="1" applyAlignment="1">
      <alignment vertical="center"/>
    </xf>
    <xf numFmtId="0" fontId="0" fillId="0" borderId="4" xfId="0" applyBorder="1" applyAlignment="1">
      <alignment vertical="center" wrapText="1"/>
    </xf>
    <xf numFmtId="0" fontId="37" fillId="10" borderId="4" xfId="0" applyFont="1" applyFill="1" applyBorder="1" applyAlignment="1">
      <alignment vertical="center"/>
    </xf>
    <xf numFmtId="0" fontId="25" fillId="10" borderId="6" xfId="0" applyFont="1" applyFill="1" applyBorder="1" applyAlignment="1">
      <alignment vertical="center"/>
    </xf>
    <xf numFmtId="0" fontId="48" fillId="3" borderId="14" xfId="0" applyFont="1" applyFill="1" applyBorder="1" applyAlignment="1">
      <alignment horizontal="center" vertical="center" wrapText="1"/>
    </xf>
    <xf numFmtId="0" fontId="48" fillId="3" borderId="15" xfId="0" applyFont="1" applyFill="1" applyBorder="1" applyAlignment="1">
      <alignment horizontal="center" vertical="center" wrapText="1"/>
    </xf>
    <xf numFmtId="0" fontId="48" fillId="3" borderId="16" xfId="0" applyFont="1" applyFill="1" applyBorder="1" applyAlignment="1">
      <alignment horizontal="center" vertical="center" wrapText="1"/>
    </xf>
    <xf numFmtId="165" fontId="32" fillId="0" borderId="0" xfId="1" applyNumberFormat="1" applyFont="1" applyBorder="1" applyAlignment="1">
      <alignment vertical="center"/>
    </xf>
    <xf numFmtId="43" fontId="0" fillId="0" borderId="0" xfId="1" applyFont="1" applyAlignment="1">
      <alignment horizontal="center" vertical="center"/>
    </xf>
    <xf numFmtId="0" fontId="23" fillId="3" borderId="6" xfId="0" applyFont="1" applyFill="1" applyBorder="1" applyAlignment="1">
      <alignment horizontal="center" vertical="center" wrapText="1"/>
    </xf>
    <xf numFmtId="168" fontId="25" fillId="0" borderId="4" xfId="1" applyNumberFormat="1" applyFont="1" applyBorder="1"/>
    <xf numFmtId="165" fontId="25" fillId="10" borderId="4" xfId="0" applyNumberFormat="1" applyFont="1" applyFill="1" applyBorder="1"/>
    <xf numFmtId="0" fontId="0" fillId="0" borderId="0" xfId="0" applyAlignment="1">
      <alignment horizontal="center"/>
    </xf>
    <xf numFmtId="43" fontId="25" fillId="0" borderId="4" xfId="1" applyFont="1" applyBorder="1" applyAlignment="1">
      <alignment horizontal="center"/>
    </xf>
    <xf numFmtId="0" fontId="25" fillId="0" borderId="4" xfId="0" applyFont="1" applyBorder="1"/>
    <xf numFmtId="0" fontId="25" fillId="10" borderId="7" xfId="0" applyFont="1" applyFill="1" applyBorder="1" applyAlignment="1">
      <alignment horizontal="left" vertical="center"/>
    </xf>
    <xf numFmtId="0" fontId="0" fillId="10" borderId="7" xfId="0" applyFill="1" applyBorder="1" applyAlignment="1">
      <alignment horizontal="left" vertical="center"/>
    </xf>
    <xf numFmtId="0" fontId="0" fillId="10" borderId="7" xfId="0" applyFill="1" applyBorder="1" applyAlignment="1">
      <alignment horizontal="left" vertical="center" wrapText="1"/>
    </xf>
    <xf numFmtId="0" fontId="0" fillId="10" borderId="6" xfId="0" applyFill="1" applyBorder="1" applyAlignment="1">
      <alignment vertical="center"/>
    </xf>
    <xf numFmtId="165" fontId="0" fillId="10" borderId="6" xfId="1" applyNumberFormat="1" applyFont="1" applyFill="1" applyBorder="1" applyAlignment="1">
      <alignment vertical="center"/>
    </xf>
    <xf numFmtId="165" fontId="0" fillId="10" borderId="6" xfId="0" applyNumberFormat="1" applyFill="1" applyBorder="1" applyAlignment="1">
      <alignment horizontal="center" vertical="center"/>
    </xf>
    <xf numFmtId="0" fontId="0" fillId="10" borderId="6" xfId="0" applyFill="1" applyBorder="1" applyAlignment="1">
      <alignment vertical="center" wrapText="1"/>
    </xf>
    <xf numFmtId="165" fontId="0" fillId="10" borderId="4" xfId="1" applyNumberFormat="1" applyFont="1" applyFill="1" applyBorder="1" applyAlignment="1">
      <alignment vertical="center"/>
    </xf>
    <xf numFmtId="9" fontId="0" fillId="10" borderId="4" xfId="2" applyFont="1" applyFill="1" applyBorder="1" applyAlignment="1">
      <alignment horizontal="center" vertical="center"/>
    </xf>
    <xf numFmtId="0" fontId="0" fillId="10" borderId="4" xfId="0" applyFill="1" applyBorder="1" applyAlignment="1">
      <alignment vertical="center"/>
    </xf>
    <xf numFmtId="165" fontId="0" fillId="10" borderId="4" xfId="0" applyNumberFormat="1" applyFill="1" applyBorder="1" applyAlignment="1">
      <alignment horizontal="center" vertical="center"/>
    </xf>
    <xf numFmtId="0" fontId="0" fillId="10" borderId="4" xfId="0" applyFill="1" applyBorder="1" applyAlignment="1">
      <alignment vertical="center" wrapText="1"/>
    </xf>
    <xf numFmtId="165" fontId="25" fillId="10" borderId="4" xfId="1" applyNumberFormat="1" applyFont="1" applyFill="1" applyBorder="1" applyAlignment="1">
      <alignment vertical="center"/>
    </xf>
    <xf numFmtId="165" fontId="25" fillId="10" borderId="4" xfId="0" applyNumberFormat="1" applyFont="1" applyFill="1" applyBorder="1" applyAlignment="1">
      <alignment horizontal="center" vertical="center"/>
    </xf>
    <xf numFmtId="0" fontId="25" fillId="10" borderId="0" xfId="0" applyFont="1" applyFill="1" applyAlignment="1">
      <alignment vertical="center"/>
    </xf>
    <xf numFmtId="9" fontId="25" fillId="10" borderId="4" xfId="2" applyFont="1" applyFill="1" applyBorder="1" applyAlignment="1">
      <alignment horizontal="center" vertical="center"/>
    </xf>
    <xf numFmtId="0" fontId="0" fillId="10" borderId="4" xfId="0" applyFill="1" applyBorder="1" applyAlignment="1">
      <alignment horizontal="left" vertical="center"/>
    </xf>
    <xf numFmtId="165" fontId="0" fillId="10" borderId="4" xfId="1" applyNumberFormat="1" applyFont="1" applyFill="1" applyBorder="1" applyAlignment="1">
      <alignment horizontal="left" vertical="center"/>
    </xf>
    <xf numFmtId="0" fontId="0" fillId="10" borderId="4" xfId="0" applyFill="1" applyBorder="1" applyAlignment="1">
      <alignment horizontal="left" vertical="center" wrapText="1"/>
    </xf>
    <xf numFmtId="0" fontId="32" fillId="0" borderId="0" xfId="0" applyFont="1" applyAlignment="1">
      <alignment horizontal="center" vertical="center"/>
    </xf>
    <xf numFmtId="0" fontId="28" fillId="7" borderId="0" xfId="7" applyFont="1" applyFill="1" applyAlignment="1">
      <alignment horizontal="left" vertical="center" wrapText="1"/>
    </xf>
    <xf numFmtId="0" fontId="28" fillId="7" borderId="0" xfId="7" applyFont="1" applyFill="1" applyAlignment="1">
      <alignment horizontal="center" vertical="center" wrapText="1"/>
    </xf>
    <xf numFmtId="0" fontId="28" fillId="7" borderId="6" xfId="7" applyFont="1" applyFill="1" applyBorder="1" applyAlignment="1">
      <alignment horizontal="center" vertical="center" wrapText="1"/>
    </xf>
    <xf numFmtId="0" fontId="31" fillId="8" borderId="8" xfId="7" applyFont="1" applyFill="1" applyBorder="1" applyAlignment="1">
      <alignment horizontal="left" vertical="center"/>
    </xf>
    <xf numFmtId="0" fontId="31" fillId="8" borderId="0" xfId="7" applyFont="1" applyFill="1" applyAlignment="1">
      <alignment horizontal="left" vertical="center"/>
    </xf>
    <xf numFmtId="0" fontId="31" fillId="8" borderId="6" xfId="7" applyFont="1" applyFill="1" applyBorder="1" applyAlignment="1">
      <alignment horizontal="left" vertical="center"/>
    </xf>
    <xf numFmtId="0" fontId="19" fillId="6" borderId="1" xfId="0" applyFont="1" applyFill="1" applyBorder="1" applyAlignment="1">
      <alignment horizontal="center"/>
    </xf>
    <xf numFmtId="167" fontId="23" fillId="3" borderId="0" xfId="0" applyNumberFormat="1" applyFont="1" applyFill="1" applyAlignment="1">
      <alignment horizontal="center" vertical="center" wrapText="1"/>
    </xf>
  </cellXfs>
  <cellStyles count="61">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Moeda" xfId="60" builtinId="4"/>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1">
    <dxf>
      <numFmt numFmtId="164"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pedro.h\Downloads\Orc_vendas_Cortes_Puneet.xls"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uno Nogueira Mendes" refreshedDate="46099.601254513887" createdVersion="4" refreshedVersion="4" minRefreshableVersion="3" recordCount="1569" xr:uid="{489BB2AC-A7A4-45D2-AE32-8E833AAE289B}">
  <cacheSource type="worksheet">
    <worksheetSource ref="A1:Z1570" sheet="ORC_VEN" r:id="rId2"/>
  </cacheSource>
  <cacheFields count="26">
    <cacheField name="CODEMP" numFmtId="0">
      <sharedItems containsSemiMixedTypes="0" containsString="0" containsNumber="1" containsInteger="1" minValue="11" maxValue="13"/>
    </cacheField>
    <cacheField name="ANOMES" numFmtId="0">
      <sharedItems count="12">
        <s v="202601"/>
        <s v="202602"/>
        <s v="202603"/>
        <s v="202604"/>
        <s v="202605"/>
        <s v="202606"/>
        <s v="202607"/>
        <s v="202608"/>
        <s v="202609"/>
        <s v="202610"/>
        <s v="202611"/>
        <s v="202612"/>
      </sharedItems>
    </cacheField>
    <cacheField name="CODPARC" numFmtId="0">
      <sharedItems containsSemiMixedTypes="0" containsString="0" containsNumber="1" containsInteger="1" minValue="2" maxValue="16951"/>
    </cacheField>
    <cacheField name="NOMEPARC" numFmtId="0">
      <sharedItems/>
    </cacheField>
    <cacheField name="CODPROD" numFmtId="0">
      <sharedItems containsSemiMixedTypes="0" containsString="0" containsNumber="1" containsInteger="1" minValue="1" maxValue="14190"/>
    </cacheField>
    <cacheField name="UF" numFmtId="0">
      <sharedItems/>
    </cacheField>
    <cacheField name="DESCRPROD" numFmtId="0">
      <sharedItems/>
    </cacheField>
    <cacheField name="QTD_ORCADO" numFmtId="0">
      <sharedItems containsSemiMixedTypes="0" containsString="0" containsNumber="1" containsInteger="1" minValue="2" maxValue="360000"/>
    </cacheField>
    <cacheField name="QTD (KG)" numFmtId="0">
      <sharedItems containsSemiMixedTypes="0" containsString="0" containsNumber="1" minValue="45.997932799283525" maxValue="360000"/>
    </cacheField>
    <cacheField name="Gross Revenue" numFmtId="0">
      <sharedItems containsSemiMixedTypes="0" containsString="0" containsNumber="1" minValue="456.40824829370405" maxValue="3268835.074242353"/>
    </cacheField>
    <cacheField name="Impostos" numFmtId="0">
      <sharedItems containsSemiMixedTypes="0" containsString="0" containsNumber="1" minValue="-390960" maxValue="0"/>
    </cacheField>
    <cacheField name="Net Revenue" numFmtId="0">
      <sharedItems containsSemiMixedTypes="0" containsString="0" containsNumber="1" minValue="415.33317878783606" maxValue="2877875.074242353"/>
    </cacheField>
    <cacheField name="COGS" numFmtId="0">
      <sharedItems containsSemiMixedTypes="0" containsString="0" containsNumber="1" minValue="-1736427.2977777775" maxValue="-337.02456679130501"/>
    </cacheField>
    <cacheField name="Outbound Freight" numFmtId="0">
      <sharedItems containsSemiMixedTypes="0" containsString="0" containsNumber="1" minValue="-293059.26" maxValue="0"/>
    </cacheField>
    <cacheField name="Other Variable Expenses" numFmtId="0">
      <sharedItems containsSemiMixedTypes="0" containsString="0" containsNumber="1" minValue="-556320.35383231915" maxValue="0"/>
    </cacheField>
    <cacheField name="MC" numFmtId="0">
      <sharedItems containsSemiMixedTypes="0" containsString="0" containsNumber="1" minValue="-10951.083977858692" maxValue="922151.36808920815"/>
    </cacheField>
    <cacheField name="MC %" numFmtId="0">
      <sharedItems containsSemiMixedTypes="0" containsString="0" containsNumber="1" minValue="-15.509991576939299" maxValue="0.84291080352478032"/>
    </cacheField>
    <cacheField name="Gross Price" numFmtId="0">
      <sharedItems containsSemiMixedTypes="0" containsString="0" containsNumber="1" minValue="0.68055555555555591" maxValue="608.32266127052469"/>
    </cacheField>
    <cacheField name="Gross Price (KG)" numFmtId="0">
      <sharedItems containsSemiMixedTypes="0" containsString="0" containsNumber="1" minValue="0.27758620689655172" maxValue="65.074567198964175"/>
    </cacheField>
    <cacheField name="CODGRUPOPROD" numFmtId="0">
      <sharedItems containsSemiMixedTypes="0" containsString="0" containsNumber="1" containsInteger="1" minValue="100100" maxValue="102600"/>
    </cacheField>
    <cacheField name="DESCRGRUPOPROD" numFmtId="0">
      <sharedItems/>
    </cacheField>
    <cacheField name="NOMECID" numFmtId="0">
      <sharedItems/>
    </cacheField>
    <cacheField name="BU" numFmtId="0">
      <sharedItems/>
    </cacheField>
    <cacheField name="MERCADO" numFmtId="0">
      <sharedItems/>
    </cacheField>
    <cacheField name="Ano/mês" numFmtId="0">
      <sharedItems/>
    </cacheField>
    <cacheField name="AN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9">
  <r>
    <n v="11"/>
    <x v="0"/>
    <n v="9419"/>
    <s v="PROMINERALES SAS - COLOMBIA"/>
    <n v="14141"/>
    <s v="EX"/>
    <s v="DUSTPROTEC SC IBC - ADITIVO ANTI-PO P/ FERTILIZANTES GRANULADOS"/>
    <n v="2400"/>
    <n v="2400"/>
    <n v="19080"/>
    <n v="0"/>
    <n v="19080"/>
    <n v="-2406.1290000000004"/>
    <n v="-4558.3718399999998"/>
    <n v="-657.15681337643719"/>
    <n v="11458.342346623562"/>
    <n v="0.60054205170983033"/>
    <n v="7.95"/>
    <n v="7.95"/>
    <n v="100100"/>
    <s v="START ANTIDUSTING"/>
    <s v="PUERTO BERRIO"/>
    <s v="Additives"/>
    <s v="International"/>
    <s v="01/2026"/>
    <s v="2026"/>
  </r>
  <r>
    <n v="11"/>
    <x v="0"/>
    <n v="5053"/>
    <s v="ADUBOS ARAGUAIA - CONFRESA"/>
    <n v="14133"/>
    <s v="MT"/>
    <s v="START ANTIDUSTING SC AD IBC ADITIVO ANTI PO P/ FERTILIZANTES"/>
    <n v="7000"/>
    <n v="7000"/>
    <n v="19460"/>
    <n v="-1362.2"/>
    <n v="18097.8"/>
    <n v="-8818.6337931034468"/>
    <n v="-6291.4930277381"/>
    <n v="-6.6524191516120963"/>
    <n v="2981.0207600068402"/>
    <n v="0.16471730044573596"/>
    <n v="2.78"/>
    <n v="2.78"/>
    <n v="100100"/>
    <s v="START ANTIDUSTING"/>
    <s v="CONFRESA"/>
    <s v="Additives"/>
    <s v="Domestic"/>
    <s v="01/2026"/>
    <s v="2026"/>
  </r>
  <r>
    <n v="11"/>
    <x v="0"/>
    <n v="3232"/>
    <s v="FERTILIZ. TOCANTINS - ARAGUARI"/>
    <n v="7384"/>
    <s v="MG"/>
    <s v="START ANTIDUSTING EURO KG ADITIVO ANTI PO P/ FERTILIZANTES"/>
    <n v="60000"/>
    <n v="60000"/>
    <n v="112200"/>
    <n v="-20196"/>
    <n v="92004"/>
    <n v="-40878.278787878793"/>
    <n v="-3447.7559999999999"/>
    <n v="-3.6455445382145437"/>
    <n v="47674.319667582989"/>
    <n v="0.5181765974042758"/>
    <n v="1.87"/>
    <n v="1.87"/>
    <n v="100100"/>
    <s v="START ANTIDUSTING"/>
    <s v="ARAGUARI"/>
    <s v="Additives"/>
    <s v="Domestic"/>
    <s v="01/2026"/>
    <s v="2026"/>
  </r>
  <r>
    <n v="11"/>
    <x v="0"/>
    <n v="205"/>
    <s v="FERTIPAR - RONDONOPOLIS"/>
    <n v="1043"/>
    <s v="MT"/>
    <s v="START ANTIDUSTING SC AD ADITIVO ANTI PO P/ FERTILIZANTES"/>
    <n v="90000"/>
    <n v="90000"/>
    <n v="162900"/>
    <n v="-11403.000000000002"/>
    <n v="151497"/>
    <n v="-34825.265562913897"/>
    <n v="-35942.856299999999"/>
    <n v="-38.004801810886619"/>
    <n v="80690.873335275202"/>
    <n v="0.53262357231677993"/>
    <n v="1.81"/>
    <n v="1.81"/>
    <n v="100100"/>
    <s v="START ANTIDUSTING"/>
    <s v="RONDONOPOLIS"/>
    <s v="Additives"/>
    <s v="Domestic"/>
    <s v="01/2026"/>
    <s v="2026"/>
  </r>
  <r>
    <n v="11"/>
    <x v="0"/>
    <n v="2975"/>
    <s v="COONAGRO COOPERATIVA - PARANAGUA"/>
    <n v="4"/>
    <s v="PR"/>
    <s v="START ANTIDUSTING G37 ADITIVO ANTI PO P/ FERTILIZANTES"/>
    <n v="60000"/>
    <n v="60000"/>
    <n v="239400"/>
    <n v="-28728"/>
    <n v="210672"/>
    <n v="-57708.771428571417"/>
    <n v="-28099.2114"/>
    <n v="-29.711187986448532"/>
    <n v="124834.30598344211"/>
    <n v="0.59255290680983763"/>
    <n v="3.99"/>
    <n v="3.99"/>
    <n v="100100"/>
    <s v="START ANTIDUSTING"/>
    <s v="PARANAGUA"/>
    <s v="Additives"/>
    <s v="Domestic"/>
    <s v="01/2026"/>
    <s v="2026"/>
  </r>
  <r>
    <n v="11"/>
    <x v="0"/>
    <n v="341"/>
    <s v="ADUBOS PARANAIBA - UBERLANDIA"/>
    <n v="1043"/>
    <s v="MG"/>
    <s v="START ANTIDUSTING SC AD ADITIVO ANTI PO P/ FERTILIZANTES"/>
    <n v="3000"/>
    <n v="3000"/>
    <n v="6000"/>
    <n v="-1080"/>
    <n v="4920"/>
    <n v="-1160.8421854304634"/>
    <n v="0"/>
    <n v="0"/>
    <n v="3759.1578145695366"/>
    <n v="0.76405646637592206"/>
    <n v="2"/>
    <n v="2"/>
    <n v="100100"/>
    <s v="START ANTIDUSTING"/>
    <s v="UBERLANDIA"/>
    <s v="Additives"/>
    <s v="Domestic"/>
    <s v="01/2026"/>
    <s v="2026"/>
  </r>
  <r>
    <n v="11"/>
    <x v="0"/>
    <n v="3251"/>
    <s v="FERTIMAN - BOM JESUS"/>
    <n v="1107"/>
    <s v="GO"/>
    <s v="START ANTIDUSTING EM ADITIVO ANTI PO P/ FERTILIZANTES"/>
    <n v="15000"/>
    <n v="15000"/>
    <n v="34500"/>
    <n v="-2415.0000000000005"/>
    <n v="32085"/>
    <n v="-10249.120000000001"/>
    <n v="-3564.3074999999999"/>
    <n v="-3.7687822859686517"/>
    <n v="18267.803717714029"/>
    <n v="0.56935651294106371"/>
    <n v="2.2999999999999998"/>
    <n v="2.2999999999999998"/>
    <n v="100100"/>
    <s v="START ANTIDUSTING"/>
    <s v="BOM JESUS DE GOIAS"/>
    <s v="Additives"/>
    <s v="Domestic"/>
    <s v="01/2026"/>
    <s v="2026"/>
  </r>
  <r>
    <n v="11"/>
    <x v="0"/>
    <n v="5209"/>
    <s v="NUTRISOYA - CATAL?O"/>
    <n v="1043"/>
    <s v="GO"/>
    <s v="START ANTIDUSTING SC AD ADITIVO ANTI PO P/ FERTILIZANTES"/>
    <n v="15000"/>
    <n v="15000"/>
    <n v="28500"/>
    <n v="-1995.0000000000002"/>
    <n v="26505"/>
    <n v="-5804.2109271523168"/>
    <n v="-2614.5482999999999"/>
    <n v="-2.7645379414793623"/>
    <n v="18083.476234906208"/>
    <n v="0.68226660007191875"/>
    <n v="1.9"/>
    <n v="1.9"/>
    <n v="100100"/>
    <s v="START ANTIDUSTING"/>
    <s v="CATALAO"/>
    <s v="Additives"/>
    <s v="Domestic"/>
    <s v="01/2026"/>
    <s v="2026"/>
  </r>
  <r>
    <n v="11"/>
    <x v="0"/>
    <n v="3297"/>
    <s v="MACROSOURCE PERU S.R.L."/>
    <n v="14141"/>
    <s v="EX"/>
    <s v="DUSTPROTEC SC IBC - ADITIVO ANTI-PO P/ FERTILIZANTES GRANULADOS"/>
    <n v="2400"/>
    <n v="2400"/>
    <n v="17044.8"/>
    <n v="0"/>
    <n v="17044.8"/>
    <n v="-2406.1290000000004"/>
    <n v="-4340.362752"/>
    <n v="-656.92629769028088"/>
    <n v="9641.3819503097166"/>
    <n v="0.56564946202417843"/>
    <n v="7.1019999999999994"/>
    <n v="7.1019999999999994"/>
    <n v="100100"/>
    <s v="START ANTIDUSTING"/>
    <s v="LIMA"/>
    <s v="Additives"/>
    <s v="International"/>
    <s v="01/2026"/>
    <s v="2026"/>
  </r>
  <r>
    <n v="11"/>
    <x v="0"/>
    <n v="466"/>
    <s v="ADUBOS ARAGUAIA - SORRISO"/>
    <n v="1"/>
    <s v="MT"/>
    <s v="START ANTIDUSTING KG ADITIVO ANTI PO P/ FERTILIZANTES"/>
    <n v="6000"/>
    <n v="6000"/>
    <n v="14580"/>
    <n v="-1020.6000000000001"/>
    <n v="13559.4"/>
    <n v="-3872.1888888888866"/>
    <n v="-5910.9902189987997"/>
    <n v="-6.2500879146641068"/>
    <n v="3769.9708041976496"/>
    <n v="0.278033748115525"/>
    <n v="2.4300000000000002"/>
    <n v="2.4300000000000002"/>
    <n v="100100"/>
    <s v="START ANTIDUSTING"/>
    <s v="SORRISO"/>
    <s v="Additives"/>
    <s v="Domestic"/>
    <s v="01/2026"/>
    <s v="2026"/>
  </r>
  <r>
    <n v="11"/>
    <x v="0"/>
    <n v="1613"/>
    <s v="HERINGER - CANDEIAS"/>
    <n v="7384"/>
    <s v="BA"/>
    <s v="START ANTIDUSTING EURO KG ADITIVO ANTI PO P/ FERTILIZANTES"/>
    <n v="24000"/>
    <n v="24000"/>
    <n v="89760"/>
    <n v="-6283.2000000000007"/>
    <n v="83476.800000000003"/>
    <n v="-16351.311515151516"/>
    <n v="-17238.78"/>
    <n v="-18.227722691072717"/>
    <n v="49868.480762157422"/>
    <n v="0.59739329684603892"/>
    <n v="3.74"/>
    <n v="3.74"/>
    <n v="100100"/>
    <s v="START ANTIDUSTING"/>
    <s v="CANDEIAS"/>
    <s v="Additives"/>
    <s v="Domestic"/>
    <s v="01/2026"/>
    <s v="2026"/>
  </r>
  <r>
    <n v="11"/>
    <x v="0"/>
    <n v="2559"/>
    <s v="MOSAIC - RIO GRANDE"/>
    <n v="1043"/>
    <s v="RS"/>
    <s v="START ANTIDUSTING SC AD ADITIVO ANTI PO P/ FERTILIZANTES"/>
    <n v="30000"/>
    <n v="30000"/>
    <n v="75300"/>
    <n v="-9036"/>
    <n v="66264"/>
    <n v="-11608.421854304634"/>
    <n v="-24421.605"/>
    <n v="-25.822607145686352"/>
    <n v="30208.150538549686"/>
    <n v="0.4558757475937113"/>
    <n v="2.5099999999999998"/>
    <n v="2.5099999999999998"/>
    <n v="100100"/>
    <s v="START ANTIDUSTING"/>
    <s v="RIO GRANDE"/>
    <s v="Additives"/>
    <s v="Domestic"/>
    <s v="01/2026"/>
    <s v="2026"/>
  </r>
  <r>
    <n v="11"/>
    <x v="0"/>
    <n v="214"/>
    <s v="UNIFERTIL - CANOAS UN1"/>
    <n v="3"/>
    <s v="RS"/>
    <s v="START ANTIDUSTING MH ADITIVO ANTI PO P/ FERTILIZANTES"/>
    <n v="32000"/>
    <n v="32000"/>
    <n v="82880"/>
    <n v="-9945.6"/>
    <n v="72934.399999999994"/>
    <n v="-24078.215"/>
    <n v="-25804.538239999998"/>
    <n v="-27.28487556601463"/>
    <n v="23024.361884433984"/>
    <n v="0.31568590246075906"/>
    <n v="2.59"/>
    <n v="2.59"/>
    <n v="100100"/>
    <s v="START ANTIDUSTING"/>
    <s v="CANOAS"/>
    <s v="Additives"/>
    <s v="Domestic"/>
    <s v="01/2026"/>
    <s v="2026"/>
  </r>
  <r>
    <n v="11"/>
    <x v="0"/>
    <n v="14632"/>
    <s v="BIGFERTIL - CANDEIAS"/>
    <n v="1043"/>
    <s v="BA"/>
    <s v="START ANTIDUSTING SC AD ADITIVO ANTI PO P/ FERTILIZANTES"/>
    <n v="30000"/>
    <n v="30000"/>
    <n v="96900"/>
    <n v="-6783.0000000000009"/>
    <n v="90117"/>
    <n v="-11608.421854304634"/>
    <n v="-21548.474999999999"/>
    <n v="-22.784653363840896"/>
    <n v="56937.318492331528"/>
    <n v="0.63181551197145414"/>
    <n v="3.23"/>
    <n v="3.23"/>
    <n v="100100"/>
    <s v="START ANTIDUSTING"/>
    <s v="CANDEIAS"/>
    <s v="Additives"/>
    <s v="Domestic"/>
    <s v="01/2026"/>
    <s v="2026"/>
  </r>
  <r>
    <n v="11"/>
    <x v="0"/>
    <n v="2287"/>
    <s v="BUNGE PARAGUAY S.A"/>
    <n v="4067"/>
    <s v="EX"/>
    <s v="DUSTPROTEC BLACK PLUS ADITIVO ANTI PO P/ FERTILIZANTES"/>
    <n v="60000"/>
    <n v="60000"/>
    <n v="318000"/>
    <n v="0"/>
    <n v="318000"/>
    <n v="-88753.873333333322"/>
    <n v="-71443.999999999796"/>
    <n v="-16383.966049617176"/>
    <n v="141418.1606170497"/>
    <n v="0.44471119690896133"/>
    <n v="5.3"/>
    <n v="5.3"/>
    <n v="100100"/>
    <s v="START ANTIDUSTING"/>
    <s v="SAN JUAN DEL PARANA"/>
    <s v="Additives"/>
    <s v="International"/>
    <s v="01/2026"/>
    <s v="2026"/>
  </r>
  <r>
    <n v="11"/>
    <x v="0"/>
    <n v="3273"/>
    <s v="FERTIMAXI - CONCEICAO DO JACUIPE"/>
    <n v="2"/>
    <s v="BA"/>
    <s v="START ANTIDUSTING SC ADITIVO ANTI PO P/ FERTILIZANTES"/>
    <n v="60000"/>
    <n v="60000"/>
    <n v="157800"/>
    <n v="-11046.000000000002"/>
    <n v="146754"/>
    <n v="-29748.579999999994"/>
    <n v="-37350.69"/>
    <n v="-39.493399163990894"/>
    <n v="79615.236600836026"/>
    <n v="0.54250811971623281"/>
    <n v="2.63"/>
    <n v="2.63"/>
    <n v="100100"/>
    <s v="START ANTIDUSTING"/>
    <s v="CONCEICAO DO JACUIPE"/>
    <s v="Additives"/>
    <s v="Domestic"/>
    <s v="01/2026"/>
    <s v="2026"/>
  </r>
  <r>
    <n v="11"/>
    <x v="0"/>
    <n v="33"/>
    <s v="HERINGER - PARANAGUA"/>
    <n v="7384"/>
    <s v="PR"/>
    <s v="START ANTIDUSTING EURO KG ADITIVO ANTI PO P/ FERTILIZANTES"/>
    <n v="15000"/>
    <n v="15000"/>
    <n v="45000"/>
    <n v="-5400"/>
    <n v="39600"/>
    <n v="-10219.569696969698"/>
    <n v="-10935.990696618001"/>
    <n v="-11.563359226703055"/>
    <n v="18432.876247185595"/>
    <n v="0.46547667290872713"/>
    <n v="3"/>
    <n v="3"/>
    <n v="100100"/>
    <s v="START ANTIDUSTING"/>
    <s v="PARANAGUA"/>
    <s v="Additives"/>
    <s v="Domestic"/>
    <s v="01/2026"/>
    <s v="2026"/>
  </r>
  <r>
    <n v="11"/>
    <x v="0"/>
    <n v="2809"/>
    <s v="CISBRA QUIMICA - FORMOSA"/>
    <n v="1043"/>
    <s v="GO"/>
    <s v="START ANTIDUSTING SC AD ADITIVO ANTI PO P/ FERTILIZANTES"/>
    <n v="30000"/>
    <n v="30000"/>
    <n v="55500"/>
    <n v="-3885.0000000000005"/>
    <n v="51615"/>
    <n v="-11608.421854304634"/>
    <n v="-7786.1822999999995"/>
    <n v="-8.2328547488011772"/>
    <n v="32212.16299094657"/>
    <n v="0.62408530448409516"/>
    <n v="1.85"/>
    <n v="1.85"/>
    <n v="100100"/>
    <s v="START ANTIDUSTING"/>
    <s v="FORMOSA"/>
    <s v="Additives"/>
    <s v="Domestic"/>
    <s v="01/2026"/>
    <s v="2026"/>
  </r>
  <r>
    <n v="11"/>
    <x v="0"/>
    <n v="7022"/>
    <s v="MOSAIC - ROSARIO DO CATETE"/>
    <n v="1043"/>
    <s v="SE"/>
    <s v="START ANTIDUSTING SC AD ADITIVO ANTI PO P/ FERTILIZANTES"/>
    <n v="120000"/>
    <n v="120000"/>
    <n v="289200"/>
    <n v="-20244.000000000004"/>
    <n v="268956"/>
    <n v="-46433.687417218534"/>
    <n v="-100846.0043136"/>
    <n v="-106.63126979583382"/>
    <n v="121569.67699938564"/>
    <n v="0.45200581879335522"/>
    <n v="2.41"/>
    <n v="2.41"/>
    <n v="100100"/>
    <s v="START ANTIDUSTING"/>
    <s v="ROSARIO DO CATETE"/>
    <s v="Additives"/>
    <s v="Domestic"/>
    <s v="01/2026"/>
    <s v="2026"/>
  </r>
  <r>
    <n v="11"/>
    <x v="0"/>
    <n v="1023"/>
    <s v="ADUBOS ARAGUAIA - RONDONOPOLIS"/>
    <n v="14133"/>
    <s v="MT"/>
    <s v="START ANTIDUSTING SC AD IBC ADITIVO ANTI PO P/ FERTILIZANTES"/>
    <n v="10000"/>
    <n v="10000"/>
    <n v="28600"/>
    <n v="-2002.0000000000002"/>
    <n v="26598"/>
    <n v="-12598.048275862066"/>
    <n v="-6370.6096328029998"/>
    <n v="-6.7360744646552524"/>
    <n v="7622.6060168702797"/>
    <n v="0.28658568376833898"/>
    <n v="2.86"/>
    <n v="2.86"/>
    <n v="100100"/>
    <s v="START ANTIDUSTING"/>
    <s v="RONDONOPOLIS"/>
    <s v="Additives"/>
    <s v="Domestic"/>
    <s v="01/2026"/>
    <s v="2026"/>
  </r>
  <r>
    <n v="11"/>
    <x v="0"/>
    <n v="1936"/>
    <s v="CIBRA - PARANAGUA II"/>
    <n v="4"/>
    <s v="PR"/>
    <s v="START ANTIDUSTING G37 ADITIVO ANTI PO P/ FERTILIZANTES"/>
    <n v="45000"/>
    <n v="45000"/>
    <n v="179550"/>
    <n v="-21546"/>
    <n v="158004"/>
    <n v="-43281.578571428567"/>
    <n v="0"/>
    <n v="0"/>
    <n v="114722.42142857143"/>
    <n v="0.72607289327214142"/>
    <n v="3.99"/>
    <n v="3.99"/>
    <n v="100100"/>
    <s v="START ANTIDUSTING"/>
    <s v="PARANAGUA"/>
    <s v="Additives"/>
    <s v="Domestic"/>
    <s v="01/2026"/>
    <s v="2026"/>
  </r>
  <r>
    <n v="11"/>
    <x v="0"/>
    <n v="7103"/>
    <s v="MOSAIC - RIO VERDE"/>
    <n v="1043"/>
    <s v="GO"/>
    <s v="START ANTIDUSTING SC AD ADITIVO ANTI PO P/ FERTILIZANTES"/>
    <n v="30000"/>
    <n v="30000"/>
    <n v="57000"/>
    <n v="-3990.0000000000005"/>
    <n v="53010"/>
    <n v="-11608.421854304634"/>
    <n v="-5688.7973999999995"/>
    <n v="-6.0151484880539972"/>
    <n v="35706.765597207319"/>
    <n v="0.67358546684035692"/>
    <n v="1.9"/>
    <n v="1.9"/>
    <n v="100100"/>
    <s v="START ANTIDUSTING"/>
    <s v="RIO VERDE"/>
    <s v="Additives"/>
    <s v="Domestic"/>
    <s v="01/2026"/>
    <s v="2026"/>
  </r>
  <r>
    <n v="11"/>
    <x v="0"/>
    <n v="6124"/>
    <s v="MOSAIC - UBERABA II"/>
    <n v="1043"/>
    <s v="MG"/>
    <s v="START ANTIDUSTING SC AD ADITIVO ANTI PO P/ FERTILIZANTES"/>
    <n v="30000"/>
    <n v="30000"/>
    <n v="50700"/>
    <n v="0"/>
    <n v="50700"/>
    <n v="-11608.421854304634"/>
    <n v="-2442.1605"/>
    <n v="-2.5822607145686352"/>
    <n v="36646.835384980805"/>
    <n v="0.72281726597595275"/>
    <n v="1.69"/>
    <n v="1.69"/>
    <n v="100100"/>
    <s v="START ANTIDUSTING"/>
    <s v="UBERABA"/>
    <s v="Additives"/>
    <s v="Domestic"/>
    <s v="01/2026"/>
    <s v="2026"/>
  </r>
  <r>
    <n v="11"/>
    <x v="0"/>
    <n v="3142"/>
    <s v="INTERFERTIL - SAO FRANCISCO DO SUL"/>
    <n v="1"/>
    <s v="SC"/>
    <s v="START ANTIDUSTING KG ADITIVO ANTI PO P/ FERTILIZANTES"/>
    <n v="30000"/>
    <n v="30000"/>
    <n v="83100"/>
    <n v="-9972"/>
    <n v="73128"/>
    <n v="-19360.944444444434"/>
    <n v="-16807.8105"/>
    <n v="-17.772029623795902"/>
    <n v="36941.473025931766"/>
    <n v="0.50516181251957892"/>
    <n v="2.77"/>
    <n v="2.77"/>
    <n v="100100"/>
    <s v="START ANTIDUSTING"/>
    <s v="SAO FRANCISCO DO SUL"/>
    <s v="Additives"/>
    <s v="Domestic"/>
    <s v="01/2026"/>
    <s v="2026"/>
  </r>
  <r>
    <n v="11"/>
    <x v="0"/>
    <n v="87"/>
    <s v="ADUBOS ARAGUAIA - CATALAO"/>
    <n v="14133"/>
    <s v="GO"/>
    <s v="START ANTIDUSTING SC AD IBC ADITIVO ANTI PO P/ FERTILIZANTES"/>
    <n v="6000"/>
    <n v="6000"/>
    <n v="16500"/>
    <n v="-1155"/>
    <n v="15345"/>
    <n v="-7558.8289655172393"/>
    <n v="-1045.8193200000001"/>
    <n v="-1.105815176591745"/>
    <n v="6739.2458993061682"/>
    <n v="0.4391818767876291"/>
    <n v="2.75"/>
    <n v="2.75"/>
    <n v="100100"/>
    <s v="START ANTIDUSTING"/>
    <s v="CATALAO"/>
    <s v="Additives"/>
    <s v="Domestic"/>
    <s v="01/2026"/>
    <s v="2026"/>
  </r>
  <r>
    <n v="11"/>
    <x v="0"/>
    <n v="11133"/>
    <s v="ADUBOS ARAGUAIA - PARANAGUA"/>
    <n v="1"/>
    <s v="PR"/>
    <s v="START ANTIDUSTING KG ADITIVO ANTI PO P/ FERTILIZANTES"/>
    <n v="15000"/>
    <n v="15000"/>
    <n v="38400"/>
    <n v="-4608"/>
    <n v="33792"/>
    <n v="-9680.4722222222172"/>
    <n v="-10935.990696618001"/>
    <n v="-11.563359226703055"/>
    <n v="13163.973721933078"/>
    <n v="0.38955888144925066"/>
    <n v="2.56"/>
    <n v="2.56"/>
    <n v="100100"/>
    <s v="START ANTIDUSTING"/>
    <s v="PARANAGUA"/>
    <s v="Additives"/>
    <s v="Domestic"/>
    <s v="01/2026"/>
    <s v="2026"/>
  </r>
  <r>
    <n v="11"/>
    <x v="0"/>
    <n v="6370"/>
    <s v="YTL S.A. - PARAGUAI"/>
    <n v="4067"/>
    <s v="EX"/>
    <s v="DUSTPROTEC BLACK PLUS ADITIVO ANTI PO P/ FERTILIZANTES"/>
    <n v="30000"/>
    <n v="30000"/>
    <n v="154200"/>
    <n v="0"/>
    <n v="154200"/>
    <n v="-44376.936666666661"/>
    <n v="-30471.7248"/>
    <n v="-8186.4315553660044"/>
    <n v="71164.906977967345"/>
    <n v="0.46151042138759629"/>
    <n v="5.14"/>
    <n v="5.14"/>
    <n v="100100"/>
    <s v="START ANTIDUSTING"/>
    <s v="ITAPUA"/>
    <s v="Additives"/>
    <s v="International"/>
    <s v="01/2026"/>
    <s v="2026"/>
  </r>
  <r>
    <n v="11"/>
    <x v="0"/>
    <n v="2011"/>
    <s v="FERTGROW S.A"/>
    <n v="6654"/>
    <s v="MA"/>
    <s v="START ANTIDUSTING SC FG ADITIVO ANTI PO P/ FERTILIZANTES"/>
    <n v="30000"/>
    <n v="30000"/>
    <n v="81000"/>
    <n v="-5670.0000000000009"/>
    <n v="75330"/>
    <n v="-11441.170000000004"/>
    <n v="-26461.527299999998"/>
    <n v="-27.979554330796621"/>
    <n v="37399.323145669201"/>
    <n v="0.49647316003808845"/>
    <n v="2.7"/>
    <n v="2.7"/>
    <n v="100100"/>
    <s v="START ANTIDUSTING"/>
    <s v="SAO LUIS"/>
    <s v="Additives"/>
    <s v="Domestic"/>
    <s v="01/2026"/>
    <s v="2026"/>
  </r>
  <r>
    <n v="11"/>
    <x v="0"/>
    <n v="87"/>
    <s v="ADUBOS ARAGUAIA - CATALAO"/>
    <n v="1"/>
    <s v="GO"/>
    <s v="START ANTIDUSTING KG ADITIVO ANTI PO P/ FERTILIZANTES"/>
    <n v="30000"/>
    <n v="30000"/>
    <n v="64500"/>
    <n v="-4515"/>
    <n v="59985"/>
    <n v="-19360.944444444434"/>
    <n v="-2442.1605"/>
    <n v="-2.5822607145686352"/>
    <n v="38179.312794840997"/>
    <n v="0.63648100016405762"/>
    <n v="2.15"/>
    <n v="2.15"/>
    <n v="100100"/>
    <s v="START ANTIDUSTING"/>
    <s v="CATALAO"/>
    <s v="Additives"/>
    <s v="Domestic"/>
    <s v="01/2026"/>
    <s v="2026"/>
  </r>
  <r>
    <n v="11"/>
    <x v="0"/>
    <n v="452"/>
    <s v="FERTIPAR - S?O LUIS DO MARANH?O"/>
    <n v="2"/>
    <s v="MA"/>
    <s v="START ANTIDUSTING SC ADITIVO ANTI PO P/ FERTILIZANTES"/>
    <n v="30000"/>
    <n v="30000"/>
    <n v="71100"/>
    <n v="-4977.0000000000009"/>
    <n v="66123"/>
    <n v="-14874.289999999997"/>
    <n v="-26461.527299999998"/>
    <n v="-27.979554330796621"/>
    <n v="24759.203145669213"/>
    <n v="0.37444161858459557"/>
    <n v="2.37"/>
    <n v="2.37"/>
    <n v="100100"/>
    <s v="START ANTIDUSTING"/>
    <s v="SAO LUIS"/>
    <s v="Additives"/>
    <s v="Domestic"/>
    <s v="01/2026"/>
    <s v="2026"/>
  </r>
  <r>
    <n v="11"/>
    <x v="0"/>
    <n v="6477"/>
    <s v="MOSAIC - PARANAGUA II"/>
    <n v="1043"/>
    <s v="PR"/>
    <s v="START ANTIDUSTING SC AD ADITIVO ANTI PO P/ FERTILIZANTES"/>
    <n v="15000"/>
    <n v="15000"/>
    <n v="32850"/>
    <n v="-3942"/>
    <n v="28908"/>
    <n v="-5804.2109271523168"/>
    <n v="-10935.990696618001"/>
    <n v="-11.563359226703055"/>
    <n v="12156.235017002982"/>
    <n v="0.42051456403082133"/>
    <n v="2.19"/>
    <n v="2.19"/>
    <n v="100100"/>
    <s v="START ANTIDUSTING"/>
    <s v="PARANAGUA"/>
    <s v="Additives"/>
    <s v="Domestic"/>
    <s v="01/2026"/>
    <s v="2026"/>
  </r>
  <r>
    <n v="11"/>
    <x v="0"/>
    <n v="5731"/>
    <s v="FERTILIZANTES ALIANCA - APARECIDA DE GOI"/>
    <n v="14133"/>
    <s v="GO"/>
    <s v="START ANTIDUSTING SC AD IBC ADITIVO ANTI PO P/ FERTILIZANTES"/>
    <n v="6000"/>
    <n v="6000"/>
    <n v="16200"/>
    <n v="-1134"/>
    <n v="15066"/>
    <n v="-7558.8289655172393"/>
    <n v="-2558.8542470399998"/>
    <n v="-2.7056488696948855"/>
    <n v="4945.6111385730655"/>
    <n v="0.32826305181023929"/>
    <n v="2.7"/>
    <n v="2.7"/>
    <n v="100100"/>
    <s v="START ANTIDUSTING"/>
    <s v="APARECIDA DE GOIANIA"/>
    <s v="Additives"/>
    <s v="Domestic"/>
    <s v="01/2026"/>
    <s v="2026"/>
  </r>
  <r>
    <n v="11"/>
    <x v="0"/>
    <n v="1998"/>
    <s v="FERTIMAIS FERTILIZANTES"/>
    <n v="14130"/>
    <s v="GO"/>
    <s v="START ANTIDUSTING BLACK IBC ADITIVO ANTI PO P/ FERTILIZANTES"/>
    <n v="2000"/>
    <n v="2000"/>
    <n v="7000"/>
    <n v="-490.00000000000006"/>
    <n v="6510"/>
    <n v="-2485.17"/>
    <n v="-348.60643999999996"/>
    <n v="-0.36860505886391498"/>
    <n v="3675.8549549411359"/>
    <n v="0.56464745851630349"/>
    <n v="3.5"/>
    <n v="3.5"/>
    <n v="100100"/>
    <s v="START ANTIDUSTING"/>
    <s v="CATALAO"/>
    <s v="Additives"/>
    <s v="Domestic"/>
    <s v="01/2026"/>
    <s v="2026"/>
  </r>
  <r>
    <n v="11"/>
    <x v="0"/>
    <n v="97"/>
    <s v="FECOAGRO - SAO FRANCISCO DO SUL"/>
    <n v="148"/>
    <s v="SC"/>
    <s v="START ANTIDUSTING BLACK ADITIVO ANTI PO P/ FERTILIZANTES"/>
    <n v="32000"/>
    <n v="32000"/>
    <n v="112000"/>
    <n v="-13440"/>
    <n v="98560"/>
    <n v="-21369.143157894734"/>
    <n v="-17928.331200000001"/>
    <n v="-18.956831598715628"/>
    <n v="59243.568810506549"/>
    <n v="0.60109140432737973"/>
    <n v="3.5"/>
    <n v="3.5"/>
    <n v="100100"/>
    <s v="START ANTIDUSTING"/>
    <s v="SAO FRANCISCO DO SUL"/>
    <s v="Additives"/>
    <s v="Domestic"/>
    <s v="01/2026"/>
    <s v="2026"/>
  </r>
  <r>
    <n v="11"/>
    <x v="0"/>
    <n v="43"/>
    <s v="CIBRA - CAMACARI"/>
    <n v="148"/>
    <s v="BA"/>
    <s v="START ANTIDUSTING BLACK ADITIVO ANTI PO P/ FERTILIZANTES"/>
    <n v="120000"/>
    <n v="120000"/>
    <n v="284400"/>
    <n v="-19908.000000000004"/>
    <n v="264492"/>
    <n v="-80134.286842105255"/>
    <n v="-83049.650611200006"/>
    <n v="-87.813986890686678"/>
    <n v="101220.24855980404"/>
    <n v="0.38269682470473221"/>
    <n v="2.37"/>
    <n v="2.37"/>
    <n v="100100"/>
    <s v="START ANTIDUSTING"/>
    <s v="CAMACARI"/>
    <s v="Additives"/>
    <s v="Domestic"/>
    <s v="01/2026"/>
    <s v="2026"/>
  </r>
  <r>
    <n v="11"/>
    <x v="0"/>
    <n v="7102"/>
    <s v="MOSAIC RONDONOPOLIS"/>
    <n v="1043"/>
    <s v="MT"/>
    <s v="START ANTIDUSTING SC AD ADITIVO ANTI PO P/ FERTILIZANTES"/>
    <n v="60000"/>
    <n v="60000"/>
    <n v="122400"/>
    <n v="-8568"/>
    <n v="113832"/>
    <n v="-23216.843708609267"/>
    <n v="-23961.904200000001"/>
    <n v="-25.336534540591082"/>
    <n v="66627.915556850145"/>
    <n v="0.58531797347714298"/>
    <n v="2.04"/>
    <n v="2.04"/>
    <n v="100100"/>
    <s v="START ANTIDUSTING"/>
    <s v="RONDONOPOLIS"/>
    <s v="Additives"/>
    <s v="Domestic"/>
    <s v="01/2026"/>
    <s v="2026"/>
  </r>
  <r>
    <n v="11"/>
    <x v="0"/>
    <n v="10492"/>
    <s v="UNIFERTIL RIO GRANDE UN1"/>
    <n v="3"/>
    <s v="RS"/>
    <s v="START ANTIDUSTING MH ADITIVO ANTI PO P/ FERTILIZANTES"/>
    <n v="32000"/>
    <n v="32000"/>
    <n v="82880"/>
    <n v="-9945.6"/>
    <n v="72934.399999999994"/>
    <n v="-24078.215"/>
    <n v="-26049.712"/>
    <n v="-27.544114288732107"/>
    <n v="22778.928885711266"/>
    <n v="0.31232078258971441"/>
    <n v="2.59"/>
    <n v="2.59"/>
    <n v="100100"/>
    <s v="START ANTIDUSTING"/>
    <s v="RIO GRANDE"/>
    <s v="Additives"/>
    <s v="Domestic"/>
    <s v="01/2026"/>
    <s v="2026"/>
  </r>
  <r>
    <n v="11"/>
    <x v="0"/>
    <n v="1462"/>
    <s v="AURORA MINERAC?O LTDA"/>
    <n v="1042"/>
    <s v="SP"/>
    <s v="START ANTIDUSTING KG AD ADITIVO ANTI PO P/ FERTILIZANTES"/>
    <n v="45000"/>
    <n v="45000"/>
    <n v="75150"/>
    <n v="-9018"/>
    <n v="66132"/>
    <n v="-22491.879999999997"/>
    <n v="0"/>
    <n v="0"/>
    <n v="43640.12"/>
    <n v="0.65989415109175598"/>
    <n v="1.67"/>
    <n v="1.67"/>
    <n v="100100"/>
    <s v="START ANTIDUSTING"/>
    <s v="IPEUNA"/>
    <s v="Additives"/>
    <s v="Domestic"/>
    <s v="01/2026"/>
    <s v="2026"/>
  </r>
  <r>
    <n v="11"/>
    <x v="0"/>
    <n v="252"/>
    <s v="FERTIPAR - PARANAGUA"/>
    <n v="10343"/>
    <s v="PR"/>
    <s v="MEGAMICRO BLACK ADITIVO P/ SUSPENS?O DE MICRONUTRIENTES"/>
    <n v="30000"/>
    <n v="30000"/>
    <n v="112800"/>
    <n v="-13536"/>
    <n v="99264"/>
    <n v="-49699.30999999999"/>
    <n v="-14049.6057"/>
    <n v="-14.855593993224266"/>
    <n v="35500.228706006783"/>
    <n v="0.35763447680938493"/>
    <n v="3.76"/>
    <n v="3.76"/>
    <n v="100200"/>
    <s v="ADITIVO MEGAMICRO"/>
    <s v="PARANAGUA"/>
    <s v="Additives"/>
    <s v="Domestic"/>
    <s v="01/2026"/>
    <s v="2026"/>
  </r>
  <r>
    <n v="11"/>
    <x v="0"/>
    <n v="214"/>
    <s v="UNIFERTIL - CANOAS UN1"/>
    <n v="113"/>
    <s v="RS"/>
    <s v="MEGAMICRO ADITIVO P/ SUSPENS?O DE MICRONUTRIENTES"/>
    <n v="30000"/>
    <n v="30000"/>
    <n v="92700"/>
    <n v="-11124"/>
    <n v="81576"/>
    <n v="-26830.99672131148"/>
    <n v="-24191.754599999997"/>
    <n v="-25.579570843138711"/>
    <n v="30527.669107845384"/>
    <n v="0.37422365778961192"/>
    <n v="3.09"/>
    <n v="3.09"/>
    <n v="100200"/>
    <s v="ADITIVO MEGAMICRO"/>
    <s v="CANOAS"/>
    <s v="Additives"/>
    <s v="Domestic"/>
    <s v="01/2026"/>
    <s v="2026"/>
  </r>
  <r>
    <n v="11"/>
    <x v="0"/>
    <n v="2588"/>
    <s v="FERTILIZ. TOCANTINS - SINOP"/>
    <n v="6564"/>
    <s v="MT"/>
    <s v="MEGAMICRO PLUS ADITIVO P/ SUSPENS?O DE MICRONUTRIENTES"/>
    <n v="32000"/>
    <n v="32000"/>
    <n v="100160"/>
    <n v="-7011.2000000000007"/>
    <n v="93148.800000000003"/>
    <n v="-29131.070000000003"/>
    <n v="-23352.800640000001"/>
    <n v="-24.692488338839844"/>
    <n v="40640.236871661153"/>
    <n v="0.43629372435996117"/>
    <n v="3.13"/>
    <n v="3.13"/>
    <n v="100200"/>
    <s v="ADITIVO MEGAMICRO"/>
    <s v="SINOP"/>
    <s v="Additives"/>
    <s v="Domestic"/>
    <s v="01/2026"/>
    <s v="2026"/>
  </r>
  <r>
    <n v="11"/>
    <x v="0"/>
    <n v="14632"/>
    <s v="BIGFERTIL - CANDEIAS"/>
    <n v="113"/>
    <s v="BA"/>
    <s v="MEGAMICRO ADITIVO P/ SUSPENS?O DE MICRONUTRIENTES"/>
    <n v="30000"/>
    <n v="30000"/>
    <n v="109500"/>
    <n v="-7665.0000000000009"/>
    <n v="101835"/>
    <n v="-26830.99672131148"/>
    <n v="-21548.474999999999"/>
    <n v="-22.784653363840896"/>
    <n v="53432.743625324685"/>
    <n v="0.52469920582633367"/>
    <n v="3.65"/>
    <n v="3.65"/>
    <n v="100200"/>
    <s v="ADITIVO MEGAMICRO"/>
    <s v="CANDEIAS"/>
    <s v="Additives"/>
    <s v="Domestic"/>
    <s v="01/2026"/>
    <s v="2026"/>
  </r>
  <r>
    <n v="11"/>
    <x v="0"/>
    <n v="456"/>
    <s v="FERTIPAR - CANDEIAS"/>
    <n v="113"/>
    <s v="BA"/>
    <s v="MEGAMICRO ADITIVO P/ SUSPENS?O DE MICRONUTRIENTES"/>
    <n v="30000"/>
    <n v="30000"/>
    <n v="100200"/>
    <n v="-7014.0000000000009"/>
    <n v="93186"/>
    <n v="-26830.99672131148"/>
    <n v="-21548.474999999999"/>
    <n v="-22.784653363840896"/>
    <n v="44783.743625324685"/>
    <n v="0.48058446145692146"/>
    <n v="3.34"/>
    <n v="3.34"/>
    <n v="100200"/>
    <s v="ADITIVO MEGAMICRO"/>
    <s v="CANDEIAS"/>
    <s v="Additives"/>
    <s v="Domestic"/>
    <s v="01/2026"/>
    <s v="2026"/>
  </r>
  <r>
    <n v="11"/>
    <x v="0"/>
    <n v="10492"/>
    <s v="UNIFERTIL RIO GRANDE UN1"/>
    <n v="113"/>
    <s v="RS"/>
    <s v="MEGAMICRO ADITIVO P/ SUSPENS?O DE MICRONUTRIENTES"/>
    <n v="32000"/>
    <n v="32000"/>
    <n v="98880"/>
    <n v="-11865.6"/>
    <n v="87014.399999999994"/>
    <n v="-28619.72983606558"/>
    <n v="-26049.712"/>
    <n v="-27.544114288732107"/>
    <n v="32317.414049645678"/>
    <n v="0.37140305569705334"/>
    <n v="3.09"/>
    <n v="3.09"/>
    <n v="100200"/>
    <s v="ADITIVO MEGAMICRO"/>
    <s v="RIO GRANDE"/>
    <s v="Additives"/>
    <s v="Domestic"/>
    <s v="01/2026"/>
    <s v="2026"/>
  </r>
  <r>
    <n v="13"/>
    <x v="0"/>
    <n v="2656"/>
    <s v="ISUSA - URUGUAI"/>
    <n v="8201"/>
    <s v="EX"/>
    <s v="NITROPROTEC GREEN - ADITIVO INIBIDOR DE UREASE P/ FERTILIZANTE NITROGENADO"/>
    <n v="8800"/>
    <n v="8800"/>
    <n v="420241.5434990339"/>
    <n v="0"/>
    <n v="420241.5434990339"/>
    <n v="-179199.36249999999"/>
    <n v="0"/>
    <n v="-2391.9021131082859"/>
    <n v="238650.27888592563"/>
    <n v="0.56788835510850499"/>
    <n v="47.75472085216294"/>
    <n v="47.75472085216294"/>
    <n v="100300"/>
    <s v="UREMAX"/>
    <s v="CIUDAD DEL PLATA"/>
    <s v="Additives"/>
    <s v="International"/>
    <s v="01/2026"/>
    <s v="2026"/>
  </r>
  <r>
    <n v="13"/>
    <x v="0"/>
    <n v="2352"/>
    <s v="BR FERTIL - PARANAGUA"/>
    <n v="8225"/>
    <s v="PR"/>
    <s v="UREMAX COAT AZUL ADITIVO INIBIDOR DE UREASE P/ FERTILIZANTES"/>
    <n v="12000"/>
    <n v="12000"/>
    <n v="288330.39005079516"/>
    <n v="-34560"/>
    <n v="253770.39005079516"/>
    <n v="-83745.019607843147"/>
    <n v="-9901.2479999999723"/>
    <n v="-10.469256109744302"/>
    <n v="160113.65318684233"/>
    <n v="0.63093906722054405"/>
    <n v="24.02753250423293"/>
    <n v="24.02753250423293"/>
    <n v="100300"/>
    <s v="UREMAX"/>
    <s v="PARANAGUA"/>
    <s v="Additives"/>
    <s v="Domestic"/>
    <s v="01/2026"/>
    <s v="2026"/>
  </r>
  <r>
    <n v="13"/>
    <x v="0"/>
    <n v="97"/>
    <s v="FECOAGRO - SAO FRANCISCO DO SUL"/>
    <n v="8223"/>
    <s v="SC"/>
    <s v="UREMAX PLUS AZUL ADITIVO P/ INIBIR A NITRIFICACAO E VOLATIZACAO P/ FERTILIZANTES"/>
    <n v="12000"/>
    <n v="12000"/>
    <n v="456523.11758042563"/>
    <n v="-54720"/>
    <n v="401803.11758042563"/>
    <n v="-146498.01999999999"/>
    <n v="-9901.2479999999723"/>
    <n v="-10.469256109744302"/>
    <n v="245393.38032431595"/>
    <n v="0.61073040398995304"/>
    <n v="38.043593131702139"/>
    <n v="38.043593131702139"/>
    <n v="100300"/>
    <s v="UREMAX"/>
    <s v="SAO FRANCISCO DO SUL"/>
    <s v="Additives"/>
    <s v="Domestic"/>
    <s v="01/2026"/>
    <s v="2026"/>
  </r>
  <r>
    <n v="13"/>
    <x v="0"/>
    <n v="11212"/>
    <s v="INPEK FERTILIZANTES - PARANAGUA"/>
    <n v="8224"/>
    <s v="PR"/>
    <s v="UREMAX COAT VERDE ADITIVO INIBIDOR DE UREASE P/ FERTILIZANTES"/>
    <n v="4000"/>
    <n v="4000"/>
    <n v="97311.506642143358"/>
    <n v="-11664"/>
    <n v="85647.506642143358"/>
    <n v="-29241.454285714284"/>
    <n v="-9901.2479999999723"/>
    <n v="-10.469256109744302"/>
    <n v="46494.33510031936"/>
    <n v="0.54285684339398566"/>
    <n v="24.327876660535839"/>
    <n v="24.327876660535839"/>
    <n v="100300"/>
    <s v="UREMAX"/>
    <s v="PARANAGUA"/>
    <s v="Additives"/>
    <s v="Domestic"/>
    <s v="01/2026"/>
    <s v="2026"/>
  </r>
  <r>
    <n v="13"/>
    <x v="0"/>
    <n v="87"/>
    <s v="ADUBOS ARAGUAIA - CATALAO"/>
    <n v="8214"/>
    <s v="GO"/>
    <s v="UREMAX NBPT AZUL ADITIVO INIBIDOR DE UREASE P/ FERTILIZANTES"/>
    <n v="6000"/>
    <n v="6000"/>
    <n v="192220.26003386342"/>
    <n v="-13440.000000000002"/>
    <n v="178780.26003386342"/>
    <n v="-59163.944999999992"/>
    <n v="-2121.6959999999981"/>
    <n v="-2.2434120235166404"/>
    <n v="117492.37562183992"/>
    <n v="0.65718875003082144"/>
    <n v="32.036710005643904"/>
    <n v="32.036710005643904"/>
    <n v="100300"/>
    <s v="UREMAX"/>
    <s v="CATALAO"/>
    <s v="Additives"/>
    <s v="Domestic"/>
    <s v="01/2026"/>
    <s v="2026"/>
  </r>
  <r>
    <n v="13"/>
    <x v="0"/>
    <n v="11133"/>
    <s v="ADUBOS ARAGUAIA - PARANAGUA"/>
    <n v="8214"/>
    <s v="PR"/>
    <s v="UREMAX NBPT AZUL ADITIVO INIBIDOR DE UREASE P/ FERTILIZANTES"/>
    <n v="6000"/>
    <n v="6000"/>
    <n v="228261.55879021282"/>
    <n v="-27360"/>
    <n v="200901.55879021282"/>
    <n v="-59163.944999999992"/>
    <n v="-9901.2479999999723"/>
    <n v="-10.469256109744302"/>
    <n v="131825.89653410314"/>
    <n v="0.65617159631777444"/>
    <n v="38.043593131702139"/>
    <n v="38.043593131702139"/>
    <n v="100300"/>
    <s v="UREMAX"/>
    <s v="PARANAGUA"/>
    <s v="Additives"/>
    <s v="Domestic"/>
    <s v="01/2026"/>
    <s v="2026"/>
  </r>
  <r>
    <n v="13"/>
    <x v="0"/>
    <n v="1023"/>
    <s v="ADUBOS ARAGUAIA - RONDONOPOLIS"/>
    <n v="8214"/>
    <s v="MT"/>
    <s v="UREMAX NBPT AZUL ADITIVO INIBIDOR DE UREASE P/ FERTILIZANTES"/>
    <n v="5000"/>
    <n v="5000"/>
    <n v="193471.69401845889"/>
    <n v="-13527.500000000002"/>
    <n v="179944.19401845889"/>
    <n v="-49303.287499999999"/>
    <n v="-7602.7439999999997"/>
    <n v="-8.0388930842679684"/>
    <n v="123030.1236253746"/>
    <n v="0.68371266045268475"/>
    <n v="38.694338803691778"/>
    <n v="38.694338803691778"/>
    <n v="100300"/>
    <s v="UREMAX"/>
    <s v="RONDONOPOLIS"/>
    <s v="Additives"/>
    <s v="Domestic"/>
    <s v="01/2026"/>
    <s v="2026"/>
  </r>
  <r>
    <n v="13"/>
    <x v="0"/>
    <n v="10434"/>
    <s v="CIBRA - SINOP"/>
    <n v="8218"/>
    <s v="MT"/>
    <s v="UREMAX NBPT LARANJA ADITIVO INIBIDOR DE UREASE P/ FERTILIZANTES"/>
    <n v="24000"/>
    <n v="24000"/>
    <n v="619910.33860920952"/>
    <n v="-43344.000000000007"/>
    <n v="576566.33860920952"/>
    <n v="-280969.2971428571"/>
    <n v="-19700.094700000001"/>
    <n v="-20.83023643085366"/>
    <n v="275876.11652992154"/>
    <n v="0.4784811357447411"/>
    <n v="25.829597442050396"/>
    <n v="25.829597442050396"/>
    <n v="100300"/>
    <s v="UREMAX"/>
    <s v="SINOP"/>
    <s v="Additives"/>
    <s v="Domestic"/>
    <s v="01/2026"/>
    <s v="2026"/>
  </r>
  <r>
    <n v="13"/>
    <x v="0"/>
    <n v="10891"/>
    <s v="HINOVE - RIO BRILHANTE"/>
    <n v="8214"/>
    <s v="MS"/>
    <s v="UREMAX NBPT AZUL ADITIVO INIBIDOR DE UREASE P/ FERTILIZANTES"/>
    <n v="4000"/>
    <n v="4000"/>
    <n v="124542.71014694068"/>
    <n v="-8708"/>
    <n v="115834.71014694068"/>
    <n v="-39442.629999999997"/>
    <n v="-7691.1480000000047"/>
    <n v="-8.1323685852478338"/>
    <n v="68692.799778355431"/>
    <n v="0.59302431621071128"/>
    <n v="31.135677536735169"/>
    <n v="31.135677536735169"/>
    <n v="100300"/>
    <s v="UREMAX"/>
    <s v="RIO BRILHANTE"/>
    <s v="Additives"/>
    <s v="Domestic"/>
    <s v="01/2026"/>
    <s v="2026"/>
  </r>
  <r>
    <n v="13"/>
    <x v="0"/>
    <n v="1874"/>
    <s v="FERTILIZ. TOCANTINS - BARCARENA"/>
    <n v="8217"/>
    <s v="PA"/>
    <s v="UREMAX NBPT AMARELO ADITIVO INIBIDOR DE UREASE P/ FERTILIZANTES"/>
    <n v="12000"/>
    <n v="12000"/>
    <n v="456523.11758042563"/>
    <n v="-31920.000000000004"/>
    <n v="424603.11758042563"/>
    <n v="-193813.53399999999"/>
    <n v="-19714.091999999993"/>
    <n v="-20.845036718508794"/>
    <n v="211054.64654370715"/>
    <n v="0.49706334646431444"/>
    <n v="38.043593131702139"/>
    <n v="38.043593131702139"/>
    <n v="100300"/>
    <s v="UREMAX"/>
    <s v="BARCARENA "/>
    <s v="Additives"/>
    <s v="Domestic"/>
    <s v="01/2026"/>
    <s v="2026"/>
  </r>
  <r>
    <n v="13"/>
    <x v="0"/>
    <n v="15407"/>
    <s v="ALFA NATURA DO BRASIL"/>
    <n v="8225"/>
    <s v="MS"/>
    <s v="UREMAX COAT AZUL ADITIVO INIBIDOR DE UREASE P/ FERTILIZANTES"/>
    <n v="3300"/>
    <n v="3300"/>
    <n v="75326.314400770236"/>
    <n v="-5266.8"/>
    <n v="70059.514400770233"/>
    <n v="-23029.880392156869"/>
    <n v="0"/>
    <n v="0"/>
    <n v="47029.634008613364"/>
    <n v="0.67128118730004105"/>
    <n v="22.826155879021282"/>
    <n v="22.826155879021282"/>
    <n v="100300"/>
    <s v="UREMAX"/>
    <s v="CORUMBA"/>
    <s v="Additives"/>
    <s v="Domestic"/>
    <s v="01/2026"/>
    <s v="2026"/>
  </r>
  <r>
    <n v="13"/>
    <x v="0"/>
    <n v="3142"/>
    <s v="INTERFERTIL - SAO FRANCISCO DO SUL"/>
    <n v="8214"/>
    <s v="SC"/>
    <s v="UREMAX NBPT AZUL ADITIVO INIBIDOR DE UREASE P/ FERTILIZANTES"/>
    <n v="2000"/>
    <n v="2000"/>
    <n v="65635.209624062947"/>
    <n v="-7867.2"/>
    <n v="57768.00962406295"/>
    <n v="-19721.314999999999"/>
    <n v="-9901.2479999999723"/>
    <n v="-10.469256109744302"/>
    <n v="28134.977367953234"/>
    <n v="0.48703387135972503"/>
    <n v="32.817604812031476"/>
    <n v="32.817604812031476"/>
    <n v="100300"/>
    <s v="UREMAX"/>
    <s v="SAO FRANCISCO DO SUL"/>
    <s v="Additives"/>
    <s v="Domestic"/>
    <s v="01/2026"/>
    <s v="2026"/>
  </r>
  <r>
    <n v="13"/>
    <x v="0"/>
    <n v="1936"/>
    <s v="CIBRA - PARANAGUA II"/>
    <n v="8218"/>
    <s v="PR"/>
    <s v="UREMAX NBPT LARANJA ADITIVO INIBIDOR DE UREASE P/ FERTILIZANTES"/>
    <n v="12000"/>
    <n v="12000"/>
    <n v="360172.71223845158"/>
    <n v="-43171.199999999997"/>
    <n v="317001.51223845157"/>
    <n v="-140484.64857142855"/>
    <n v="0"/>
    <n v="0"/>
    <n v="176516.86366702302"/>
    <n v="0.55683287571904494"/>
    <n v="30.014392686537633"/>
    <n v="30.014392686537633"/>
    <n v="100300"/>
    <s v="UREMAX"/>
    <s v="PARANAGUA"/>
    <s v="Additives"/>
    <s v="Domestic"/>
    <s v="01/2026"/>
    <s v="2026"/>
  </r>
  <r>
    <n v="13"/>
    <x v="0"/>
    <n v="2588"/>
    <s v="FERTILIZ. TOCANTINS - SINOP"/>
    <n v="8217"/>
    <s v="MT"/>
    <s v="UREMAX NBPT AMARELO ADITIVO INIBIDOR DE UREASE P/ FERTILIZANTES"/>
    <n v="24000"/>
    <n v="24000"/>
    <n v="887577.05070636433"/>
    <n v="-62059.200000000004"/>
    <n v="825517.85070636438"/>
    <n v="-387627.06799999997"/>
    <n v="-19700.094700000001"/>
    <n v="-20.83023643085366"/>
    <n v="418169.85776993353"/>
    <n v="0.50655459165676597"/>
    <n v="36.982377112765178"/>
    <n v="36.982377112765178"/>
    <n v="100300"/>
    <s v="UREMAX"/>
    <s v="SINOP"/>
    <s v="Additives"/>
    <s v="Domestic"/>
    <s v="01/2026"/>
    <s v="2026"/>
  </r>
  <r>
    <n v="13"/>
    <x v="0"/>
    <n v="12792"/>
    <s v="HOYAGROS - BOLIVIA"/>
    <n v="13491"/>
    <s v="EX"/>
    <s v="UREMAX COAT BLUE ADITIVO INIBIDOR DE UREASE P/ FERTILIZANTES"/>
    <n v="2200"/>
    <n v="2200"/>
    <n v="56032.20579987119"/>
    <n v="0"/>
    <n v="56032.20579987119"/>
    <n v="-18723.997142857141"/>
    <n v="0"/>
    <n v="-597.97552827707148"/>
    <n v="36710.233128736982"/>
    <n v="0.6551630906670709"/>
    <n v="25.469184454486903"/>
    <n v="25.469184454486903"/>
    <n v="100300"/>
    <s v="UREMAX"/>
    <s v="EL ALTO, MURILLO"/>
    <s v="Additives"/>
    <s v="International"/>
    <s v="01/2026"/>
    <s v="2026"/>
  </r>
  <r>
    <n v="13"/>
    <x v="0"/>
    <n v="15435"/>
    <s v="FERTI GROUP - URUGUAY"/>
    <n v="8208"/>
    <s v="EX"/>
    <s v="NITROPROTEC DUO BLUE - ADITIVO P/ INIBIR A NITRIFICACAO E VOLATIZACAO PARA FERTILIZANTES"/>
    <n v="2200"/>
    <n v="2200"/>
    <n v="143164.04783772118"/>
    <n v="0"/>
    <n v="143164.04783772118"/>
    <n v="-29151.334938271601"/>
    <n v="0"/>
    <n v="-597.97552827707148"/>
    <n v="113414.73737117251"/>
    <n v="0.79220124803770564"/>
    <n v="65.074567198964175"/>
    <n v="65.074567198964175"/>
    <n v="100300"/>
    <s v="UREMAX"/>
    <s v="BARRA DE CARRASCO"/>
    <s v="Additives"/>
    <s v="International"/>
    <s v="01/2026"/>
    <s v="2026"/>
  </r>
  <r>
    <n v="13"/>
    <x v="0"/>
    <n v="4222"/>
    <s v="MIP - COLOMBIA"/>
    <n v="13025"/>
    <s v="EX"/>
    <s v="UREMAX COAT GREEN ADITIVO INIBIDOR DE UREASE P/ FERTILIZANTES"/>
    <n v="2200"/>
    <n v="2200"/>
    <n v="50217.542933846817"/>
    <n v="0"/>
    <n v="50217.542933846817"/>
    <n v="-14997.76"/>
    <n v="0"/>
    <n v="-597.97552827707148"/>
    <n v="34621.807405569743"/>
    <n v="0.68943650730140582"/>
    <n v="22.826155879021279"/>
    <n v="22.826155879021279"/>
    <n v="100300"/>
    <s v="UREMAX"/>
    <s v="SANTA ROSA DE CABAL"/>
    <s v="Additives"/>
    <s v="International"/>
    <s v="01/2026"/>
    <s v="2026"/>
  </r>
  <r>
    <n v="13"/>
    <x v="0"/>
    <n v="729"/>
    <s v="FERTILIZ. TOCANTINS - S?O LUIS"/>
    <n v="8217"/>
    <s v="MA"/>
    <s v="UREMAX NBPT AMARELO ADITIVO INIBIDOR DE UREASE P/ FERTILIZANTES"/>
    <n v="24000"/>
    <n v="24000"/>
    <n v="951009.73651753925"/>
    <n v="-66494.400000000009"/>
    <n v="884515.33651753922"/>
    <n v="-387627.06799999997"/>
    <n v="-28539.757999999998"/>
    <n v="-30.1770075663315"/>
    <n v="468318.33350997296"/>
    <n v="0.52946321468410917"/>
    <n v="39.625405688230799"/>
    <n v="39.625405688230799"/>
    <n v="100300"/>
    <s v="UREMAX"/>
    <s v="SAO LUIS"/>
    <s v="Additives"/>
    <s v="Domestic"/>
    <s v="01/2026"/>
    <s v="2026"/>
  </r>
  <r>
    <n v="13"/>
    <x v="0"/>
    <n v="10492"/>
    <s v="UNIFERTIL RIO GRANDE UN1"/>
    <n v="8216"/>
    <s v="RS"/>
    <s v="UREMAX NBPT ROXO ADITIVO INIBIDOR DE UREASE P/ FERTILIZANTES"/>
    <n v="12000"/>
    <n v="12000"/>
    <n v="373267.71745325852"/>
    <n v="-44740.799999999996"/>
    <n v="328526.91745325853"/>
    <n v="-128833.045"/>
    <n v="-14498.255999999972"/>
    <n v="-15.329982160697027"/>
    <n v="185180.28647109788"/>
    <n v="0.56366853561533381"/>
    <n v="31.105643121104876"/>
    <n v="31.105643121104876"/>
    <n v="100300"/>
    <s v="UREMAX"/>
    <s v="RIO GRANDE"/>
    <s v="Additives"/>
    <s v="Domestic"/>
    <s v="01/2026"/>
    <s v="2026"/>
  </r>
  <r>
    <n v="13"/>
    <x v="0"/>
    <n v="15167"/>
    <s v="CAMPOSOL - BOLIVIA"/>
    <n v="13491"/>
    <s v="EX"/>
    <s v="UREMAX COAT BLUE ADITIVO INIBIDOR DE UREASE P/ FERTILIZANTES"/>
    <n v="3300"/>
    <n v="3300"/>
    <n v="80876.674409248037"/>
    <n v="0"/>
    <n v="80876.674409248037"/>
    <n v="-28085.995714285709"/>
    <n v="0"/>
    <n v="-896.96329241560716"/>
    <n v="51893.715402546717"/>
    <n v="0.64164007461479899"/>
    <n v="24.508083154317585"/>
    <n v="24.508083154317585"/>
    <n v="100300"/>
    <s v="UREMAX"/>
    <s v="COCHABAMBA"/>
    <s v="Additives"/>
    <s v="International"/>
    <s v="01/2026"/>
    <s v="2026"/>
  </r>
  <r>
    <n v="13"/>
    <x v="0"/>
    <n v="943"/>
    <s v="FORTGREEN - PAICANDU"/>
    <n v="8214"/>
    <s v="PR"/>
    <s v="UREMAX NBPT AZUL ADITIVO INIBIDOR DE UREASE P/ FERTILIZANTES"/>
    <n v="4000"/>
    <n v="4000"/>
    <n v="144205.24091290461"/>
    <n v="-17284.8"/>
    <n v="126920.44091290461"/>
    <n v="-39442.629999999997"/>
    <n v="0"/>
    <n v="0"/>
    <n v="87477.810912904621"/>
    <n v="0.68923343067279186"/>
    <n v="36.05131022822615"/>
    <n v="36.05131022822615"/>
    <n v="100300"/>
    <s v="UREMAX"/>
    <s v="PAICANDU"/>
    <s v="Additives"/>
    <s v="Domestic"/>
    <s v="01/2026"/>
    <s v="2026"/>
  </r>
  <r>
    <n v="13"/>
    <x v="0"/>
    <n v="210"/>
    <s v="SUPERFERTIL FERTILIZANTES - PATROCINIO"/>
    <n v="8214"/>
    <s v="MG"/>
    <s v="UREMAX NBPT AZUL ADITIVO INIBIDOR DE UREASE P/ FERTILIZANTES"/>
    <n v="1000"/>
    <n v="1000"/>
    <n v="36041.298756349395"/>
    <n v="-6480"/>
    <n v="29561.298756349395"/>
    <n v="-9860.6574999999993"/>
    <n v="0"/>
    <n v="0"/>
    <n v="19700.641256349394"/>
    <n v="0.66643354944335609"/>
    <n v="36.041298756349399"/>
    <n v="36.041298756349399"/>
    <n v="100300"/>
    <s v="UREMAX"/>
    <s v="PATROCINIO"/>
    <s v="Additives"/>
    <s v="Domestic"/>
    <s v="01/2026"/>
    <s v="2026"/>
  </r>
  <r>
    <n v="13"/>
    <x v="0"/>
    <n v="12337"/>
    <s v="FITOSAN A.S - EQUADOR"/>
    <n v="13947"/>
    <s v="EX"/>
    <s v="UREMAX COAT SC ADITIVO INIBIDOR DE UREASE P/ FERTILIZANTES"/>
    <n v="11000"/>
    <n v="11000"/>
    <n v="268157.27421911625"/>
    <n v="0"/>
    <n v="268157.27421911625"/>
    <n v="-71029.47"/>
    <n v="0"/>
    <n v="-2989.8776413853575"/>
    <n v="194137.92657773089"/>
    <n v="0.72397039067117464"/>
    <n v="24.37793401991966"/>
    <n v="24.37793401991966"/>
    <n v="100300"/>
    <s v="UREMAX"/>
    <s v="DURAN"/>
    <s v="Additives"/>
    <s v="International"/>
    <s v="01/2026"/>
    <s v="2026"/>
  </r>
  <r>
    <n v="13"/>
    <x v="0"/>
    <n v="5053"/>
    <s v="ADUBOS ARAGUAIA - CONFRESA"/>
    <n v="8214"/>
    <s v="MT"/>
    <s v="UREMAX NBPT AZUL ADITIVO INIBIDOR DE UREASE P/ FERTILIZANTES"/>
    <n v="5000"/>
    <n v="5000"/>
    <n v="199178.23298821421"/>
    <n v="-13926.500000000002"/>
    <n v="185251.73298821421"/>
    <n v="-49303.287499999999"/>
    <n v="-11315.712000000007"/>
    <n v="-11.9648641254221"/>
    <n v="124620.76862408879"/>
    <n v="0.67271040661205161"/>
    <n v="39.835646597642842"/>
    <n v="39.835646597642842"/>
    <n v="100300"/>
    <s v="UREMAX"/>
    <s v="CONFRESA"/>
    <s v="Additives"/>
    <s v="Domestic"/>
    <s v="01/2026"/>
    <s v="2026"/>
  </r>
  <r>
    <n v="13"/>
    <x v="0"/>
    <n v="2011"/>
    <s v="FERTGROW S.A"/>
    <n v="8224"/>
    <s v="MA"/>
    <s v="UREMAX COAT VERDE ADITIVO INIBIDOR DE UREASE P/ FERTILIZANTES"/>
    <n v="24000"/>
    <n v="24000"/>
    <n v="492804.69166181737"/>
    <n v="-34456.800000000003"/>
    <n v="458347.89166181738"/>
    <n v="-175448.72571428571"/>
    <n v="-28539.757999999998"/>
    <n v="-30.1770075663315"/>
    <n v="254329.23093996538"/>
    <n v="0.55488251515208664"/>
    <n v="20.533528819242392"/>
    <n v="20.533528819242392"/>
    <n v="100300"/>
    <s v="UREMAX"/>
    <s v="SAO LUIS"/>
    <s v="Additives"/>
    <s v="Domestic"/>
    <s v="01/2026"/>
    <s v="2026"/>
  </r>
  <r>
    <n v="13"/>
    <x v="0"/>
    <n v="5731"/>
    <s v="FERTILIZANTES ALIANCA - APARECIDA DE GOI"/>
    <n v="8214"/>
    <s v="GO"/>
    <s v="UREMAX NBPT AZUL ADITIVO INIBIDOR DE UREASE P/ FERTILIZANTES"/>
    <n v="1000"/>
    <n v="1000"/>
    <n v="32036.710005643905"/>
    <n v="-2240"/>
    <n v="29796.710005643905"/>
    <n v="-9860.6574999999993"/>
    <n v="-3500.7983999999979"/>
    <n v="-3.7016298388024573"/>
    <n v="16431.552475805107"/>
    <n v="0.55145526041944715"/>
    <n v="32.036710005643904"/>
    <n v="32.036710005643904"/>
    <n v="100300"/>
    <s v="UREMAX"/>
    <s v="APARECIDA DE GOIANIA"/>
    <s v="Additives"/>
    <s v="Domestic"/>
    <s v="01/2026"/>
    <s v="2026"/>
  </r>
  <r>
    <n v="13"/>
    <x v="0"/>
    <n v="14011"/>
    <s v="PACIFICOZONE EQUADOR"/>
    <n v="8208"/>
    <s v="EX"/>
    <s v="NITROPROTEC DUO BLUE - ADITIVO P/ INIBIR A NITRIFICACAO E VOLATIZACAO PARA FERTILIZANTES"/>
    <n v="2000"/>
    <n v="2000"/>
    <n v="118936.285895953"/>
    <n v="0"/>
    <n v="118936.285895953"/>
    <n v="-26501.213580246909"/>
    <n v="0"/>
    <n v="-543.61411661551949"/>
    <n v="91891.458199090572"/>
    <n v="0.77261079330725368"/>
    <n v="59.468142947976496"/>
    <n v="59.468142947976496"/>
    <n v="100300"/>
    <s v="UREMAX"/>
    <s v="GUAYAQUIL"/>
    <s v="Additives"/>
    <s v="International"/>
    <s v="01/2026"/>
    <s v="2026"/>
  </r>
  <r>
    <n v="13"/>
    <x v="0"/>
    <n v="2622"/>
    <s v="ADUFERTIL JUNDIAI"/>
    <n v="8215"/>
    <s v="SP"/>
    <s v="UREMAX NBPT VERDE ADITIVO INIBIDOR DE UREASE P/ FERTILIZANTES"/>
    <n v="12000"/>
    <n v="12000"/>
    <n v="416036.72531079315"/>
    <n v="-49867.199999999997"/>
    <n v="366169.52531079313"/>
    <n v="-155722.74000000002"/>
    <n v="-5481.0480000000016"/>
    <n v="-5.7954810607513281"/>
    <n v="204959.94182973236"/>
    <n v="0.55974057823563783"/>
    <n v="34.66972710923276"/>
    <n v="34.66972710923276"/>
    <n v="100300"/>
    <s v="UREMAX"/>
    <s v="JUNDIAI"/>
    <s v="Additives"/>
    <s v="Domestic"/>
    <s v="01/2026"/>
    <s v="2026"/>
  </r>
  <r>
    <n v="13"/>
    <x v="0"/>
    <n v="12322"/>
    <s v="COFCO INTERNATIONAL BRASIL S.A."/>
    <n v="8201"/>
    <s v="SP"/>
    <s v="NITROPROTEC GREEN - ADITIVO INIBIDOR DE UREASE P/ FERTILIZANTE NITROGENADO"/>
    <n v="22000"/>
    <n v="22000"/>
    <n v="817136.33458145487"/>
    <n v="-97944"/>
    <n v="719192.33458145487"/>
    <n v="-447998.40625"/>
    <n v="-6330.1531084271992"/>
    <n v="-6.6932970577061113"/>
    <n v="264857.08192596998"/>
    <n v="0.36827016806305041"/>
    <n v="37.1425606627934"/>
    <n v="37.1425606627934"/>
    <n v="100300"/>
    <s v="UREMAX"/>
    <s v="CATANDUVA"/>
    <s v="Additives"/>
    <s v="Domestic"/>
    <s v="01/2026"/>
    <s v="2026"/>
  </r>
  <r>
    <n v="13"/>
    <x v="0"/>
    <n v="2975"/>
    <s v="COONAGRO COOPERATIVA - PARANAGUA"/>
    <n v="8218"/>
    <s v="PR"/>
    <s v="UREMAX NBPT LARANJA ADITIVO INIBIDOR DE UREASE P/ FERTILIZANTES"/>
    <n v="6000"/>
    <n v="6000"/>
    <n v="180086.35611922579"/>
    <n v="-21585.599999999999"/>
    <n v="158500.75611922579"/>
    <n v="-70242.324285714276"/>
    <n v="-9901.2479999999723"/>
    <n v="-10.469256109744302"/>
    <n v="78346.714577401784"/>
    <n v="0.49429868030704305"/>
    <n v="30.014392686537633"/>
    <n v="30.014392686537633"/>
    <n v="100300"/>
    <s v="UREMAX"/>
    <s v="PARANAGUA"/>
    <s v="Additives"/>
    <s v="Domestic"/>
    <s v="01/2026"/>
    <s v="2026"/>
  </r>
  <r>
    <n v="13"/>
    <x v="0"/>
    <n v="3232"/>
    <s v="FERTILIZ. TOCANTINS - ARAGUARI"/>
    <n v="8217"/>
    <s v="MG"/>
    <s v="UREMAX NBPT AMARELO ADITIVO INIBIDOR DE UREASE P/ FERTILIZANTES"/>
    <n v="48000"/>
    <n v="48000"/>
    <n v="2018312.7303555659"/>
    <n v="-362880"/>
    <n v="1655432.7303555659"/>
    <n v="-775254.13599999994"/>
    <n v="-3543.527"/>
    <n v="-3.7468096642760589"/>
    <n v="876631.32054590166"/>
    <n v="0.52954813836356396"/>
    <n v="42.048181882407626"/>
    <n v="42.048181882407626"/>
    <n v="100300"/>
    <s v="UREMAX"/>
    <s v="ARAGUARI"/>
    <s v="Additives"/>
    <s v="Domestic"/>
    <s v="01/2026"/>
    <s v="2026"/>
  </r>
  <r>
    <n v="13"/>
    <x v="0"/>
    <n v="16571"/>
    <s v="FERTIPLUS-AGRO  BOLIVIA"/>
    <n v="13491"/>
    <s v="EX"/>
    <s v="UREMAX COAT BLUE ADITIVO INIBIDOR DE UREASE P/ FERTILIZANTES"/>
    <n v="2200"/>
    <n v="2200"/>
    <n v="56032.20579987119"/>
    <n v="0"/>
    <n v="56032.20579987119"/>
    <n v="-18723.997142857141"/>
    <n v="0"/>
    <n v="-597.97552827707148"/>
    <n v="36710.233128736982"/>
    <n v="0.6551630906670709"/>
    <n v="25.469184454486903"/>
    <n v="25.469184454486903"/>
    <n v="100300"/>
    <s v="UREMAX"/>
    <s v="COCHABAMBA (MIZQUE)"/>
    <s v="Additives"/>
    <s v="International"/>
    <s v="01/2026"/>
    <s v="2026"/>
  </r>
  <r>
    <n v="13"/>
    <x v="0"/>
    <n v="833"/>
    <s v="TERRENA - PATOS DE MINAS"/>
    <n v="8215"/>
    <s v="MG"/>
    <s v="UREMAX NBPT VERDE ADITIVO INIBIDOR DE UREASE P/ FERTILIZANTES"/>
    <n v="12000"/>
    <n v="12000"/>
    <n v="324371.68880714453"/>
    <n v="0"/>
    <n v="324371.68880714453"/>
    <n v="-155722.74000000002"/>
    <n v="-3639.2979999999998"/>
    <n v="-3.848074790337574"/>
    <n v="165005.80273235418"/>
    <n v="0.50869360189587487"/>
    <n v="27.030974067262044"/>
    <n v="27.030974067262044"/>
    <n v="100300"/>
    <s v="UREMAX"/>
    <s v="PATOS DE MINAS"/>
    <s v="Additives"/>
    <s v="Domestic"/>
    <s v="01/2026"/>
    <s v="2026"/>
  </r>
  <r>
    <n v="13"/>
    <x v="0"/>
    <n v="2410"/>
    <s v="PEDRO MACCIO Y CIA S.A. - URUGUAI"/>
    <n v="8208"/>
    <s v="EX"/>
    <s v="NITROPROTEC DUO BLUE - ADITIVO P/ INIBIR A NITRIFICACAO E VOLATIZACAO PARA FERTILIZANTES"/>
    <n v="12000"/>
    <n v="12000"/>
    <n v="684784.67637063842"/>
    <n v="0"/>
    <n v="684784.67637063842"/>
    <n v="-159007.28148148148"/>
    <n v="0"/>
    <n v="-3261.6846996931172"/>
    <n v="522515.7101894638"/>
    <n v="0.76303651092019054"/>
    <n v="57.065389697553201"/>
    <n v="57.065389697553201"/>
    <n v="100300"/>
    <s v="UREMAX"/>
    <s v="MONTEVIDEO"/>
    <s v="Additives"/>
    <s v="International"/>
    <s v="01/2026"/>
    <s v="2026"/>
  </r>
  <r>
    <n v="13"/>
    <x v="0"/>
    <n v="2410"/>
    <s v="PEDRO MACCIO Y CIA S.A. - URUGUAI"/>
    <n v="8201"/>
    <s v="EX"/>
    <s v="NITROPROTEC GREEN - ADITIVO INIBIDOR DE UREASE P/ FERTILIZANTE NITROGENADO"/>
    <n v="4400"/>
    <n v="4400"/>
    <n v="246682.66704345806"/>
    <n v="0"/>
    <n v="246682.66704345806"/>
    <n v="-89599.681249999994"/>
    <n v="0"/>
    <n v="-1195.951056554143"/>
    <n v="155887.03473690391"/>
    <n v="0.63193347390492294"/>
    <n v="56.064242509876834"/>
    <n v="56.064242509876834"/>
    <n v="100300"/>
    <s v="UREMAX"/>
    <s v="MONTEVIDEO"/>
    <s v="Additives"/>
    <s v="International"/>
    <s v="01/2026"/>
    <s v="2026"/>
  </r>
  <r>
    <n v="13"/>
    <x v="0"/>
    <n v="86"/>
    <s v="ADUBOS ARAGUAIA - ANAPOLIS"/>
    <n v="8214"/>
    <s v="GO"/>
    <s v="UREMAX NBPT AZUL ADITIVO INIBIDOR DE UREASE P/ FERTILIZANTES"/>
    <n v="12000"/>
    <n v="12000"/>
    <n v="384440.52006772684"/>
    <n v="-26880.000000000004"/>
    <n v="357560.52006772684"/>
    <n v="-118327.88999999998"/>
    <n v="-4066.5840000000026"/>
    <n v="-4.2998730450735669"/>
    <n v="235161.74619468179"/>
    <n v="0.65768375700465742"/>
    <n v="32.036710005643904"/>
    <n v="32.036710005643904"/>
    <n v="100300"/>
    <s v="UREMAX"/>
    <s v="ANAPOLIS"/>
    <s v="Additives"/>
    <s v="Domestic"/>
    <s v="01/2026"/>
    <s v="2026"/>
  </r>
  <r>
    <n v="13"/>
    <x v="0"/>
    <n v="466"/>
    <s v="ADUBOS ARAGUAIA - SORRISO"/>
    <n v="8214"/>
    <s v="MT"/>
    <s v="UREMAX NBPT AZUL ADITIVO INIBIDOR DE UREASE P/ FERTILIZANTES"/>
    <n v="6000"/>
    <n v="6000"/>
    <n v="227841.07697138874"/>
    <n v="-15930.600000000002"/>
    <n v="211910.47697138874"/>
    <n v="-59163.944999999992"/>
    <n v="-15993.757"/>
    <n v="-16.911276052273021"/>
    <n v="136735.86369533645"/>
    <n v="0.64525296554260481"/>
    <n v="37.973512828564793"/>
    <n v="37.973512828564793"/>
    <n v="100300"/>
    <s v="UREMAX"/>
    <s v="SORRISO"/>
    <s v="Additives"/>
    <s v="Domestic"/>
    <s v="01/2026"/>
    <s v="2026"/>
  </r>
  <r>
    <n v="13"/>
    <x v="0"/>
    <n v="8413"/>
    <s v="AMAGGI - SINOP"/>
    <n v="8214"/>
    <s v="MT"/>
    <s v="UREMAX NBPT AZUL ADITIVO INIBIDOR DE UREASE P/ FERTILIZANTES"/>
    <n v="24000"/>
    <n v="24000"/>
    <n v="747496.5362066864"/>
    <n v="-52264.800000000003"/>
    <n v="695231.73620668636"/>
    <n v="-236655.77999999997"/>
    <n v="-19700.094700000001"/>
    <n v="-20.83023643085366"/>
    <n v="438855.03127025551"/>
    <n v="0.63123561312768917"/>
    <n v="31.145689008611935"/>
    <n v="31.145689008611935"/>
    <n v="100300"/>
    <s v="UREMAX"/>
    <s v="SINOP"/>
    <s v="Additives"/>
    <s v="Domestic"/>
    <s v="01/2026"/>
    <s v="2026"/>
  </r>
  <r>
    <n v="13"/>
    <x v="0"/>
    <n v="13390"/>
    <s v="HERINGER - VIANA"/>
    <n v="8217"/>
    <s v="ES"/>
    <s v="UREMAX NBPT AMARELO ADITIVO INIBIDOR DE UREASE P/ FERTILIZANTES"/>
    <n v="12000"/>
    <n v="12000"/>
    <n v="409309.01620960794"/>
    <n v="-28618.800000000003"/>
    <n v="380690.21620960796"/>
    <n v="-193813.53399999999"/>
    <n v="-10254.863999999958"/>
    <n v="-10.843158113663726"/>
    <n v="176610.97505149437"/>
    <n v="0.46392307322721527"/>
    <n v="34.109084684133997"/>
    <n v="34.109084684133997"/>
    <n v="100300"/>
    <s v="UREMAX"/>
    <s v="VIANA"/>
    <s v="Additives"/>
    <s v="Domestic"/>
    <s v="01/2026"/>
    <s v="2026"/>
  </r>
  <r>
    <n v="13"/>
    <x v="0"/>
    <n v="7648"/>
    <s v="LOUIS DREYFUS - PARANAGUA"/>
    <n v="8215"/>
    <s v="PR"/>
    <s v="UREMAX NBPT VERDE ADITIVO INIBIDOR DE UREASE P/ FERTILIZANTES"/>
    <n v="4000"/>
    <n v="4000"/>
    <n v="135355.09977384549"/>
    <n v="-16224"/>
    <n v="119131.09977384549"/>
    <n v="-51907.580000000009"/>
    <n v="-9901.2479999999723"/>
    <n v="-10.469256109744302"/>
    <n v="57311.802517735756"/>
    <n v="0.48108178826968417"/>
    <n v="33.838774943461374"/>
    <n v="33.838774943461374"/>
    <n v="100300"/>
    <s v="UREMAX"/>
    <s v="PARANAGUA"/>
    <s v="Additives"/>
    <s v="Domestic"/>
    <s v="01/2026"/>
    <s v="2026"/>
  </r>
  <r>
    <n v="13"/>
    <x v="0"/>
    <n v="6124"/>
    <s v="MOSAIC - UBERABA II"/>
    <n v="8215"/>
    <s v="MG"/>
    <s v="UREMAX NBPT VERDE ADITIVO INIBIDOR DE UREASE P/ FERTILIZANTES"/>
    <n v="24000"/>
    <n v="24000"/>
    <n v="870517.50262835901"/>
    <n v="0"/>
    <n v="870517.50262835901"/>
    <n v="-311445.48000000004"/>
    <n v="-4003.2278000000001"/>
    <n v="-4.2328822693713315"/>
    <n v="555064.56194608961"/>
    <n v="0.6376259641766876"/>
    <n v="36.271562609514959"/>
    <n v="36.271562609514959"/>
    <n v="100300"/>
    <s v="UREMAX"/>
    <s v="UBERABA"/>
    <s v="Additives"/>
    <s v="Domestic"/>
    <s v="01/2026"/>
    <s v="2026"/>
  </r>
  <r>
    <n v="13"/>
    <x v="0"/>
    <n v="215"/>
    <s v="UNIFERTIL - CANOAS UN2"/>
    <n v="8216"/>
    <s v="RS"/>
    <s v="UREMAX NBPT ROXO ADITIVO INIBIDOR DE UREASE P/ FERTILIZANTES"/>
    <n v="12000"/>
    <n v="12000"/>
    <n v="373267.71745325852"/>
    <n v="-44740.799999999996"/>
    <n v="328526.91745325853"/>
    <n v="-128833.045"/>
    <n v="-14321.447999999978"/>
    <n v="-15.143031158737314"/>
    <n v="185357.28142209983"/>
    <n v="0.56420728888515415"/>
    <n v="31.105643121104876"/>
    <n v="31.105643121104876"/>
    <n v="100300"/>
    <s v="UREMAX"/>
    <s v="CANOAS"/>
    <s v="Additives"/>
    <s v="Domestic"/>
    <s v="01/2026"/>
    <s v="2026"/>
  </r>
  <r>
    <n v="11"/>
    <x v="0"/>
    <n v="5300"/>
    <s v="FOSNOR - LUIS EDUARDO MAGALHAES"/>
    <n v="4246"/>
    <s v="BA"/>
    <s v="MAX OIL GRGL ADITIVO ANTI-PO P/ FERTILIZANTES"/>
    <n v="120000"/>
    <n v="120000"/>
    <n v="702000"/>
    <n v="-49140.000000000007"/>
    <n v="652860"/>
    <n v="-317375.09999999998"/>
    <n v="-61935.332659199994"/>
    <n v="-65.488397003223952"/>
    <n v="273484.07894379681"/>
    <n v="0.41890156992892319"/>
    <n v="5.85"/>
    <n v="5.85"/>
    <n v="100700"/>
    <s v="MAX OIL"/>
    <s v="LUIS EDUARDO MAGALHAES"/>
    <s v="Additives"/>
    <s v="Domestic"/>
    <s v="01/2026"/>
    <s v="2026"/>
  </r>
  <r>
    <n v="11"/>
    <x v="0"/>
    <n v="11724"/>
    <s v="HINOVE - REGISTRO/SP"/>
    <n v="14142"/>
    <s v="SP"/>
    <s v="MAX OIL MT IBC ADITIVO ANTI-PO P/ FERTILIZANTES"/>
    <n v="68400"/>
    <n v="68400"/>
    <n v="413820"/>
    <n v="-49658.400000000001"/>
    <n v="364161.6"/>
    <n v="-215594.65999999997"/>
    <n v="-26878.526752895996"/>
    <n v="-28.420475926740032"/>
    <n v="121659.99277117726"/>
    <n v="0.33408243145674138"/>
    <n v="6.05"/>
    <n v="6.05"/>
    <n v="100700"/>
    <s v="MAX OIL"/>
    <s v="REGISTRO"/>
    <s v="Additives"/>
    <s v="Domestic"/>
    <s v="01/2026"/>
    <s v="2026"/>
  </r>
  <r>
    <n v="11"/>
    <x v="0"/>
    <n v="12741"/>
    <s v="HINOVE AGROCIENCIA - GUARA"/>
    <n v="3351"/>
    <s v="SP"/>
    <s v="MAX OIL MT ADITIVO ANTI-PO P/ FERTILIZANTES"/>
    <n v="30000"/>
    <n v="30000"/>
    <n v="175500"/>
    <n v="-21060"/>
    <n v="154440"/>
    <n v="-97570.05"/>
    <n v="0"/>
    <n v="0"/>
    <n v="56869.95"/>
    <n v="0.36823329448329445"/>
    <n v="5.85"/>
    <n v="5.85"/>
    <n v="100700"/>
    <s v="MAX OIL"/>
    <s v="GUARA"/>
    <s v="Additives"/>
    <s v="Domestic"/>
    <s v="01/2026"/>
    <s v="2026"/>
  </r>
  <r>
    <n v="11"/>
    <x v="0"/>
    <n v="12629"/>
    <s v="EUROCHEM SERRA DO SALITRE"/>
    <n v="3359"/>
    <s v="MG"/>
    <s v="MAX OIL GRV ADITIVO ANTI-PO P/ FERTILIZANTES"/>
    <n v="60000"/>
    <n v="60000"/>
    <n v="327000"/>
    <n v="-58860"/>
    <n v="268140"/>
    <n v="-151465.12476190476"/>
    <n v="-8445.7271808000005"/>
    <n v="-8.9302359549850863"/>
    <n v="108220.21782134025"/>
    <n v="0.40359594921063718"/>
    <n v="5.45"/>
    <n v="5.45"/>
    <n v="100700"/>
    <s v="MAX OIL"/>
    <s v="SERRA DO SALITRE"/>
    <s v="Additives"/>
    <s v="Domestic"/>
    <s v="01/2026"/>
    <s v="2026"/>
  </r>
  <r>
    <n v="11"/>
    <x v="0"/>
    <n v="1789"/>
    <s v="MOSAIC - ARAXA (CMA)"/>
    <n v="3359"/>
    <s v="MG"/>
    <s v="MAX OIL GRV ADITIVO ANTI-PO P/ FERTILIZANTES"/>
    <n v="150000"/>
    <n v="150000"/>
    <n v="582000"/>
    <n v="0"/>
    <n v="582000"/>
    <n v="-378662.81190476188"/>
    <n v="-15835.738463999998"/>
    <n v="-16.744192415597031"/>
    <n v="187484.70543882254"/>
    <n v="0.32213866913887035"/>
    <n v="3.88"/>
    <n v="3.88"/>
    <n v="100700"/>
    <s v="MAX OIL"/>
    <s v="ARAXA"/>
    <s v="Additives"/>
    <s v="Domestic"/>
    <s v="01/2026"/>
    <s v="2026"/>
  </r>
  <r>
    <n v="11"/>
    <x v="0"/>
    <n v="1792"/>
    <s v="MOSAIC - CATAL?O (CMC3)"/>
    <n v="3359"/>
    <s v="GO"/>
    <s v="MAX OIL GRV ADITIVO ANTI-PO P/ FERTILIZANTES"/>
    <n v="210000"/>
    <n v="210000"/>
    <n v="819000"/>
    <n v="-57330.000000000007"/>
    <n v="761670"/>
    <n v="-530127.93666666665"/>
    <n v="-17095.123499999998"/>
    <n v="-18.075825001980444"/>
    <n v="214428.86400833138"/>
    <n v="0.28152462878717999"/>
    <n v="3.9"/>
    <n v="3.9"/>
    <n v="100700"/>
    <s v="MAX OIL"/>
    <s v="CATALAO"/>
    <s v="Additives"/>
    <s v="Domestic"/>
    <s v="01/2026"/>
    <s v="2026"/>
  </r>
  <r>
    <n v="11"/>
    <x v="0"/>
    <n v="1788"/>
    <s v="MOSAIC - UBERABA (CIU2)"/>
    <n v="3359"/>
    <s v="MG"/>
    <s v="MAX OIL GRV ADITIVO ANTI-PO P/ FERTILIZANTES"/>
    <n v="30000"/>
    <n v="30000"/>
    <n v="116400"/>
    <n v="0"/>
    <n v="116400"/>
    <n v="-75732.562380952382"/>
    <n v="-2442.1605"/>
    <n v="-2.5822607145686352"/>
    <n v="38222.694858333052"/>
    <n v="0.32837366716780975"/>
    <n v="3.88"/>
    <n v="3.88"/>
    <n v="100700"/>
    <s v="MAX OIL"/>
    <s v="UBERABA"/>
    <s v="Additives"/>
    <s v="Domestic"/>
    <s v="01/2026"/>
    <s v="2026"/>
  </r>
  <r>
    <n v="11"/>
    <x v="0"/>
    <n v="6370"/>
    <s v="YTL S.A. - PARAGUAI"/>
    <n v="7010"/>
    <s v="EX"/>
    <s v="MAX OIL GRI ADITIVO ANTI-PO P/ FERTILIZANTES"/>
    <n v="28000"/>
    <n v="28000"/>
    <n v="189840"/>
    <n v="0"/>
    <n v="189840"/>
    <n v="-77009.63"/>
    <n v="-28440.27648"/>
    <n v="-7640.6694516749376"/>
    <n v="76749.424068325054"/>
    <n v="0.40428478754912062"/>
    <n v="6.78"/>
    <n v="6.78"/>
    <n v="100700"/>
    <s v="MAX OIL"/>
    <s v="ITAPUA"/>
    <s v="Additives"/>
    <s v="International"/>
    <s v="01/2026"/>
    <s v="2026"/>
  </r>
  <r>
    <n v="11"/>
    <x v="0"/>
    <n v="2133"/>
    <s v="FERTIPAR - CANITAR"/>
    <n v="3353"/>
    <s v="SP"/>
    <s v="MAX OIL MTF ADITIVO ANTI-PO P/ FERTILIZANTES"/>
    <n v="30000"/>
    <n v="30000"/>
    <n v="179700"/>
    <n v="-21564"/>
    <n v="158136"/>
    <n v="-99074.17"/>
    <n v="-11663.147059199999"/>
    <n v="-12.332230604503211"/>
    <n v="47386.350710195504"/>
    <n v="0.29965568061792069"/>
    <n v="5.99"/>
    <n v="5.99"/>
    <n v="100700"/>
    <s v="MAX OIL"/>
    <s v="CANITAR"/>
    <s v="Additives"/>
    <s v="Domestic"/>
    <s v="01/2026"/>
    <s v="2026"/>
  </r>
  <r>
    <n v="11"/>
    <x v="0"/>
    <n v="2225"/>
    <s v="ITAFOS"/>
    <n v="3351"/>
    <s v="TO"/>
    <s v="MAX OIL MT ADITIVO ANTI-PO P/ FERTILIZANTES"/>
    <n v="30000"/>
    <n v="30000"/>
    <n v="162000"/>
    <n v="-11340.000000000002"/>
    <n v="150660"/>
    <n v="-97570.05"/>
    <n v="-13774.578854399999"/>
    <n v="-14.564789593249483"/>
    <n v="39300.806356006753"/>
    <n v="0.26085760225678184"/>
    <n v="5.4"/>
    <n v="5.4"/>
    <n v="100700"/>
    <s v="MAX OIL"/>
    <s v="ARRAIAS"/>
    <s v="Additives"/>
    <s v="Domestic"/>
    <s v="01/2026"/>
    <s v="2026"/>
  </r>
  <r>
    <n v="11"/>
    <x v="0"/>
    <n v="1787"/>
    <s v="MOSAIC - UBERABA (CIU1)"/>
    <n v="3359"/>
    <s v="MG"/>
    <s v="MAX OIL GRV ADITIVO ANTI-PO P/ FERTILIZANTES"/>
    <n v="180000"/>
    <n v="180000"/>
    <n v="698400"/>
    <n v="0"/>
    <n v="698400"/>
    <n v="-454395.37428571429"/>
    <n v="-14652.963"/>
    <n v="-15.493564287411813"/>
    <n v="229336.16914999831"/>
    <n v="0.32837366716780975"/>
    <n v="3.88"/>
    <n v="3.88"/>
    <n v="100700"/>
    <s v="MAX OIL"/>
    <s v="UBERABA"/>
    <s v="Additives"/>
    <s v="Domestic"/>
    <s v="01/2026"/>
    <s v="2026"/>
  </r>
  <r>
    <n v="13"/>
    <x v="0"/>
    <n v="2"/>
    <s v="CARGILL - UBERLANDIA"/>
    <n v="3700"/>
    <s v="MG"/>
    <s v="CICOAT 41175"/>
    <n v="72000"/>
    <n v="72000"/>
    <n v="79200"/>
    <n v="-20263.32"/>
    <n v="58936.68"/>
    <n v="-15707.73"/>
    <n v="0"/>
    <n v="0"/>
    <n v="43228.95"/>
    <n v="0.73348125479752158"/>
    <n v="1.1000000000000001"/>
    <n v="1.1000000000000001"/>
    <n v="100900"/>
    <s v="PA TERCEIROS"/>
    <s v="UBERLANDIA"/>
    <s v="Fertilizers"/>
    <s v="Domestic"/>
    <s v="01/2026"/>
    <s v="2026"/>
  </r>
  <r>
    <n v="11"/>
    <x v="0"/>
    <n v="9419"/>
    <s v="PROMINERALES SAS - COLOMBIA"/>
    <n v="14144"/>
    <s v="EX"/>
    <s v="RESIDEX YELLOW IBC ADITIVO ANTI PO P/ FERTILIZANTES"/>
    <n v="5000"/>
    <n v="5000"/>
    <n v="32330"/>
    <n v="0"/>
    <n v="32330"/>
    <n v="-7344.6642857142851"/>
    <n v="-9290.16"/>
    <n v="-1368.8584031647781"/>
    <n v="14326.317311120934"/>
    <n v="0.44312766195858133"/>
    <n v="6.4660000000000002"/>
    <n v="6.4660000000000002"/>
    <n v="101300"/>
    <s v="RESIDEX"/>
    <s v="PUERTO BERRIO"/>
    <s v="Additives"/>
    <s v="International"/>
    <s v="01/2026"/>
    <s v="2026"/>
  </r>
  <r>
    <n v="11"/>
    <x v="0"/>
    <n v="3297"/>
    <s v="MACROSOURCE PERU S.R.L."/>
    <n v="14144"/>
    <s v="EX"/>
    <s v="RESIDEX YELLOW IBC ADITIVO ANTI PO P/ FERTILIZANTES"/>
    <n v="2000"/>
    <n v="2000"/>
    <n v="12402"/>
    <n v="0"/>
    <n v="12402"/>
    <n v="-2937.8657142857137"/>
    <n v="-9057.2866560000002"/>
    <n v="-553.19099557674076"/>
    <n v="-146.34336586245468"/>
    <n v="-1.1799981120984895E-2"/>
    <n v="6.2009999999999996"/>
    <n v="6.2009999999999996"/>
    <n v="101300"/>
    <s v="RESIDEX"/>
    <s v="LIMA"/>
    <s v="Additives"/>
    <s v="International"/>
    <s v="01/2026"/>
    <s v="2026"/>
  </r>
  <r>
    <n v="11"/>
    <x v="0"/>
    <n v="15908"/>
    <s v="CAMPEVO - S?O JOSE DO RIO PRETO"/>
    <n v="13004"/>
    <s v="SP"/>
    <s v="BIOSINERGIC K - BB - 20L PRODUTO A BASE DE EXTRATO DE ALGAS E ACIDOS HUMICOS"/>
    <n v="22"/>
    <n v="505.97726079211878"/>
    <n v="13383.098547951542"/>
    <n v="-1141.5337796261124"/>
    <n v="12241.56476832543"/>
    <n v="-3634.8461457773301"/>
    <n v="-136.78523577881009"/>
    <n v="-3214.3468518308136"/>
    <n v="5255.5865349384758"/>
    <n v="0.42932309997959578"/>
    <n v="608.32266127052469"/>
    <n v="26.45"/>
    <n v="101602"/>
    <s v="FERTILIZANTE LIQUIDOS"/>
    <s v="SAO JOSE DO RIO PRETO"/>
    <s v="Fertilizers"/>
    <s v="Domestic"/>
    <s v="01/2026"/>
    <s v="2026"/>
  </r>
  <r>
    <n v="11"/>
    <x v="0"/>
    <n v="15858"/>
    <s v="SAGRA - SANTA JULIANA"/>
    <n v="8301"/>
    <s v="MG"/>
    <s v="BIOSINERGIC - BB - 20L PRODUTO A BASE DE EXTRATO DE ALGAS E ACIDOS HUMICOS"/>
    <n v="5"/>
    <n v="114.99483199820881"/>
    <n v="3041.6133063526231"/>
    <n v="-267.45749301896166"/>
    <n v="2774.1558133336616"/>
    <n v="-865.01287619853872"/>
    <n v="0"/>
    <n v="-729.17834255272351"/>
    <n v="1179.9645945823993"/>
    <n v="0.42534186036380323"/>
    <n v="608.32266127052458"/>
    <n v="26.45"/>
    <n v="101602"/>
    <s v="FERTILIZANTE LIQUIDOS"/>
    <s v="SANTA JULIANA"/>
    <s v="Fertilizers"/>
    <s v="Domestic"/>
    <s v="01/2026"/>
    <s v="2026"/>
  </r>
  <r>
    <n v="11"/>
    <x v="0"/>
    <n v="8187"/>
    <s v="AGROREP. REPRESENTACOES AGRICOLAS"/>
    <n v="8369"/>
    <s v="MT"/>
    <s v="SULFORCE IBC - 700 L - SOLUC?O ALTAMENTE CONCENTRADA EM ENXOFRE (60%) "/>
    <n v="16800"/>
    <n v="15345.900522339032"/>
    <n v="168566.77970314134"/>
    <n v="-15170.392337500569"/>
    <n v="153396.38736564078"/>
    <n v="-81772.141060294627"/>
    <n v="-13820.159809918538"/>
    <n v="-43657.330497038609"/>
    <n v="14146.75599838901"/>
    <n v="9.2223527824474294E-2"/>
    <n v="10.033736887091747"/>
    <n v="10.98448275862069"/>
    <n v="101602"/>
    <s v="FERTILIZANTE LIQUIDOS"/>
    <s v="SORRISO"/>
    <s v="Fertilizers"/>
    <s v="Domestic"/>
    <s v="01/2026"/>
    <s v="2026"/>
  </r>
  <r>
    <n v="11"/>
    <x v="0"/>
    <n v="16645"/>
    <s v="OPCAO AGRONEGOCIOS"/>
    <n v="8368"/>
    <s v="MG"/>
    <s v="SULFORCE - BB - 18 L SOLUC?O ALTAMENTE CONCENTRADA EM ENXOFRE (60%)"/>
    <n v="56"/>
    <n v="920.75403134034184"/>
    <n v="11092.546066530182"/>
    <n v="-998.28848927061517"/>
    <n v="10094.257577259566"/>
    <n v="-4352.7829447401245"/>
    <n v="-222.25097308215152"/>
    <n v="-2846.0959201423052"/>
    <n v="2673.1277392949855"/>
    <n v="0.26481667609879816"/>
    <n v="198.08117975946752"/>
    <n v="12.047241379310346"/>
    <n v="101602"/>
    <s v="FERTILIZANTE LIQUIDOS"/>
    <s v="UBERLANDIA"/>
    <s v="Fertilizers"/>
    <s v="Domestic"/>
    <s v="01/2026"/>
    <s v="2026"/>
  </r>
  <r>
    <n v="11"/>
    <x v="0"/>
    <n v="11326"/>
    <s v="VEGA AGRO"/>
    <n v="8368"/>
    <s v="MG"/>
    <s v="SULFORCE - BB - 18 L SOLUC?O ALTAMENTE CONCENTRADA EM ENXOFRE (60%)"/>
    <n v="28"/>
    <n v="460.37701567017092"/>
    <n v="5418.4787237428527"/>
    <n v="-487.64322517366446"/>
    <n v="4930.8354985691885"/>
    <n v="-2176.3914723700623"/>
    <n v="0"/>
    <n v="-1391.743349792341"/>
    <n v="1362.7006764067853"/>
    <n v="0.27636303762358505"/>
    <n v="193.51709727653045"/>
    <n v="11.769655172413792"/>
    <n v="101602"/>
    <s v="FERTILIZANTE LIQUIDOS"/>
    <s v="PATOS DE MINAS"/>
    <s v="Fertilizers"/>
    <s v="Domestic"/>
    <s v="01/2026"/>
    <s v="2026"/>
  </r>
  <r>
    <n v="11"/>
    <x v="0"/>
    <n v="11326"/>
    <s v="VEGA AGRO"/>
    <n v="8301"/>
    <s v="MG"/>
    <s v="BIOSINERGIC - BB - 20L PRODUTO A BASE DE EXTRATO DE ALGAS E ACIDOS HUMICOS"/>
    <n v="2"/>
    <n v="45.997932799283525"/>
    <n v="1216.6453225410494"/>
    <n v="-106.98299720758466"/>
    <n v="1109.6623253334647"/>
    <n v="-346.00515047941548"/>
    <n v="0"/>
    <n v="-291.67133702108947"/>
    <n v="471.98583783295965"/>
    <n v="0.42534186036380317"/>
    <n v="608.32266127052469"/>
    <n v="26.450000000000003"/>
    <n v="101602"/>
    <s v="FERTILIZANTE LIQUIDOS"/>
    <s v="PATOS DE MINAS"/>
    <s v="Fertilizers"/>
    <s v="Domestic"/>
    <s v="01/2026"/>
    <s v="2026"/>
  </r>
  <r>
    <n v="11"/>
    <x v="0"/>
    <n v="14259"/>
    <s v="FAZENDA SANTOS REIS II"/>
    <n v="8368"/>
    <s v="MG"/>
    <s v="SULFORCE - BB - 18 L SOLUC?O ALTAMENTE CONCENTRADA EM ENXOFRE (60%)"/>
    <n v="100"/>
    <n v="1644.2036273934677"/>
    <n v="19808.117975946752"/>
    <n v="-1782.6580165546698"/>
    <n v="18025.459959392083"/>
    <n v="-7772.8266870359366"/>
    <n v="-396.8767376466991"/>
    <n v="-5079.9671614084491"/>
    <n v="4775.7893733009987"/>
    <n v="0.26494687980556053"/>
    <n v="198.08117975946752"/>
    <n v="12.047241379310345"/>
    <n v="101602"/>
    <s v="FERTILIZANTE LIQUIDOS"/>
    <s v="SAO SEBASTIAO DO PARAISO"/>
    <s v="Fertilizers"/>
    <s v="Domestic"/>
    <s v="01/2026"/>
    <s v="2026"/>
  </r>
  <r>
    <n v="11"/>
    <x v="0"/>
    <n v="15858"/>
    <s v="SAGRA - SANTA JULIANA"/>
    <n v="8368"/>
    <s v="MG"/>
    <s v="SULFORCE - BB - 18 L SOLUC?O ALTAMENTE CONCENTRADA EM ENXOFRE (60%)"/>
    <n v="28"/>
    <n v="460.37701567017092"/>
    <n v="5418.4787237428527"/>
    <n v="-487.64322517366446"/>
    <n v="4930.8354985691885"/>
    <n v="-2176.3914723700623"/>
    <n v="0"/>
    <n v="-1391.743349792341"/>
    <n v="1362.7006764067853"/>
    <n v="0.27636303762358505"/>
    <n v="193.51709727653045"/>
    <n v="11.769655172413792"/>
    <n v="101602"/>
    <s v="FERTILIZANTE LIQUIDOS"/>
    <s v="SANTA JULIANA"/>
    <s v="Fertilizers"/>
    <s v="Domestic"/>
    <s v="01/2026"/>
    <s v="2026"/>
  </r>
  <r>
    <n v="11"/>
    <x v="0"/>
    <n v="15905"/>
    <s v="CAMPEVO - ITAPETININGA"/>
    <n v="8368"/>
    <s v="SP"/>
    <s v="SULFORCE - BB - 18 L SOLUC?O ALTAMENTE CONCENTRADA EM ENXOFRE (60%)"/>
    <n v="170"/>
    <n v="2795.1461665688953"/>
    <n v="33673.800559109484"/>
    <n v="-3030.5186281429387"/>
    <n v="30643.281930966546"/>
    <n v="-13213.805367961093"/>
    <n v="-755.63618576813087"/>
    <n v="-8635.508734352301"/>
    <n v="8038.331642885023"/>
    <n v="0.26231954073959335"/>
    <n v="198.08117975946755"/>
    <n v="12.047241379310346"/>
    <n v="101602"/>
    <s v="FERTILIZANTE LIQUIDOS"/>
    <s v="ITAPETININGA"/>
    <s v="Fertilizers"/>
    <s v="Domestic"/>
    <s v="01/2026"/>
    <s v="2026"/>
  </r>
  <r>
    <n v="11"/>
    <x v="0"/>
    <n v="15904"/>
    <s v="CAMPEVO - JALES"/>
    <n v="8368"/>
    <s v="SP"/>
    <s v="SULFORCE - BB - 18 L SOLUC?O ALTAMENTE CONCENTRADA EM ENXOFRE (60%)"/>
    <n v="170"/>
    <n v="2795.1461665688953"/>
    <n v="33673.800559109484"/>
    <n v="-3030.5186281429387"/>
    <n v="30643.281930966546"/>
    <n v="-13213.805367961093"/>
    <n v="-755.63618576813087"/>
    <n v="-8632.1669851922707"/>
    <n v="8041.6733920450533"/>
    <n v="0.26242859397898061"/>
    <n v="198.08117975946755"/>
    <n v="12.047241379310346"/>
    <n v="101602"/>
    <s v="FERTILIZANTE LIQUIDOS"/>
    <s v="JALES"/>
    <s v="Fertilizers"/>
    <s v="Domestic"/>
    <s v="01/2026"/>
    <s v="2026"/>
  </r>
  <r>
    <n v="11"/>
    <x v="0"/>
    <n v="15906"/>
    <s v="CAMPEVO - JAU"/>
    <n v="13004"/>
    <s v="SP"/>
    <s v="BIOSINERGIC K - BB - 20L PRODUTO A BASE DE EXTRATO DE ALGAS E ACIDOS HUMICOS"/>
    <n v="22"/>
    <n v="505.97726079211878"/>
    <n v="13383.098547951542"/>
    <n v="-1141.5337796261124"/>
    <n v="12241.56476832543"/>
    <n v="-3634.8461457773301"/>
    <n v="-136.78523577881009"/>
    <n v="-3215.5620333435518"/>
    <n v="5254.3713534257377"/>
    <n v="0.42922383313456935"/>
    <n v="608.32266127052469"/>
    <n v="26.45"/>
    <n v="101602"/>
    <s v="FERTILIZANTE LIQUIDOS"/>
    <s v="JAU"/>
    <s v="Fertilizers"/>
    <s v="Domestic"/>
    <s v="01/2026"/>
    <s v="2026"/>
  </r>
  <r>
    <n v="11"/>
    <x v="0"/>
    <n v="13773"/>
    <s v="FERTLIZE AGRO"/>
    <n v="8368"/>
    <s v="MG"/>
    <s v="SULFORCE - BB - 18 L SOLUC?O ALTAMENTE CONCENTRADA EM ENXOFRE (60%)"/>
    <n v="17"/>
    <n v="279.51461665688953"/>
    <n v="3289.7906537010185"/>
    <n v="-296.06910099829634"/>
    <n v="2993.721552702722"/>
    <n v="-1321.3805367961093"/>
    <n v="0"/>
    <n v="-844.98703380249276"/>
    <n v="827.35398210411995"/>
    <n v="0.27636303762358511"/>
    <n v="193.51709727653051"/>
    <n v="11.769655172413794"/>
    <n v="101602"/>
    <s v="FERTILIZANTE LIQUIDOS"/>
    <s v="CRUZEIRO DA FORTALEZA"/>
    <s v="Fertilizers"/>
    <s v="Domestic"/>
    <s v="01/2026"/>
    <s v="2026"/>
  </r>
  <r>
    <n v="11"/>
    <x v="0"/>
    <n v="8187"/>
    <s v="AGROREP. REPRESENTACOES AGRICOLAS"/>
    <n v="8301"/>
    <s v="MT"/>
    <s v="BIOSINERGIC - BB - 20L PRODUTO A BASE DE EXTRATO DE ALGAS E ACIDOS HUMICOS"/>
    <n v="60"/>
    <n v="1379.9379839785058"/>
    <n v="36499.359676231477"/>
    <n v="-3243.8527632963578"/>
    <n v="33255.506912935118"/>
    <n v="-10380.154514382466"/>
    <n v="-1242.7399381742473"/>
    <n v="-8765.7813066849576"/>
    <n v="12866.831153693447"/>
    <n v="0.38690828521662807"/>
    <n v="608.32266127052458"/>
    <n v="26.45"/>
    <n v="101602"/>
    <s v="FERTILIZANTE LIQUIDOS"/>
    <s v="SORRISO"/>
    <s v="Fertilizers"/>
    <s v="Domestic"/>
    <s v="01/2026"/>
    <s v="2026"/>
  </r>
  <r>
    <n v="11"/>
    <x v="0"/>
    <n v="15905"/>
    <s v="CAMPEVO - ITAPETININGA"/>
    <n v="13004"/>
    <s v="SP"/>
    <s v="BIOSINERGIC K - BB - 20L PRODUTO A BASE DE EXTRATO DE ALGAS E ACIDOS HUMICOS"/>
    <n v="23"/>
    <n v="528.97622719176059"/>
    <n v="13991.421209222068"/>
    <n v="-1193.4216787000264"/>
    <n v="12797.999530522042"/>
    <n v="-3800.0664251308453"/>
    <n v="-143.00274649602875"/>
    <n v="-3363.583539901389"/>
    <n v="5491.3468189937776"/>
    <n v="0.42907852949184949"/>
    <n v="608.32266127052469"/>
    <n v="26.45"/>
    <n v="101602"/>
    <s v="FERTILIZANTE LIQUIDOS"/>
    <s v="ITAPETININGA"/>
    <s v="Fertilizers"/>
    <s v="Domestic"/>
    <s v="01/2026"/>
    <s v="2026"/>
  </r>
  <r>
    <n v="11"/>
    <x v="0"/>
    <n v="15906"/>
    <s v="CAMPEVO - JAU"/>
    <n v="8368"/>
    <s v="SP"/>
    <s v="SULFORCE - BB - 18 L SOLUC?O ALTAMENTE CONCENTRADA EM ENXOFRE (60%)"/>
    <n v="170"/>
    <n v="2795.1461665688953"/>
    <n v="33673.800559109484"/>
    <n v="-3030.5186281429387"/>
    <n v="30643.281930966546"/>
    <n v="-13213.805367961093"/>
    <n v="-755.63618576813087"/>
    <n v="-8633.3821667050106"/>
    <n v="8040.4582105323134"/>
    <n v="0.26238893825556703"/>
    <n v="198.08117975946755"/>
    <n v="12.047241379310346"/>
    <n v="101602"/>
    <s v="FERTILIZANTE LIQUIDOS"/>
    <s v="JAU"/>
    <s v="Fertilizers"/>
    <s v="Domestic"/>
    <s v="01/2026"/>
    <s v="2026"/>
  </r>
  <r>
    <n v="11"/>
    <x v="0"/>
    <n v="15908"/>
    <s v="CAMPEVO - S?O JOSE DO RIO PRETO"/>
    <n v="8368"/>
    <s v="SP"/>
    <s v="SULFORCE - BB - 18 L SOLUC?O ALTAMENTE CONCENTRADA EM ENXOFRE (60%)"/>
    <n v="170"/>
    <n v="2795.1461665688953"/>
    <n v="33673.800559109484"/>
    <n v="-3030.5186281429387"/>
    <n v="30643.281930966546"/>
    <n v="-13213.805367961093"/>
    <n v="-755.63618576813087"/>
    <n v="-8632.1669851922707"/>
    <n v="8041.6733920450533"/>
    <n v="0.26242859397898061"/>
    <n v="198.08117975946755"/>
    <n v="12.047241379310346"/>
    <n v="101602"/>
    <s v="FERTILIZANTE LIQUIDOS"/>
    <s v="SAO JOSE DO RIO PRETO"/>
    <s v="Fertilizers"/>
    <s v="Domestic"/>
    <s v="01/2026"/>
    <s v="2026"/>
  </r>
  <r>
    <n v="11"/>
    <x v="0"/>
    <n v="15917"/>
    <s v="MINAS FARM"/>
    <n v="8301"/>
    <s v="MG"/>
    <s v="BIOSINERGIC - BB - 20L PRODUTO A BASE DE EXTRATO DE ALGAS E ACIDOS HUMICOS"/>
    <n v="5"/>
    <n v="114.99483199820881"/>
    <n v="3041.6133063526231"/>
    <n v="-270.32106360802982"/>
    <n v="2771.2922427445933"/>
    <n v="-865.01287619853872"/>
    <n v="-27.757373240946958"/>
    <n v="-733.16552736542508"/>
    <n v="1145.3564659396825"/>
    <n v="0.41329328183929115"/>
    <n v="608.32266127052458"/>
    <n v="26.45"/>
    <n v="101602"/>
    <s v="FERTILIZANTE LIQUIDOS"/>
    <s v="UBERLANDIA"/>
    <s v="Fertilizers"/>
    <s v="Domestic"/>
    <s v="01/2026"/>
    <s v="2026"/>
  </r>
  <r>
    <n v="11"/>
    <x v="0"/>
    <n v="13773"/>
    <s v="FERTLIZE AGRO"/>
    <n v="8301"/>
    <s v="MG"/>
    <s v="BIOSINERGIC - BB - 20L PRODUTO A BASE DE EXTRATO DE ALGAS E ACIDOS HUMICOS"/>
    <n v="2"/>
    <n v="45.997932799283525"/>
    <n v="1216.6453225410494"/>
    <n v="-106.98299720758466"/>
    <n v="1109.6623253334647"/>
    <n v="-346.00515047941548"/>
    <n v="0"/>
    <n v="-291.67133702108947"/>
    <n v="471.98583783295965"/>
    <n v="0.42534186036380317"/>
    <n v="608.32266127052469"/>
    <n v="26.450000000000003"/>
    <n v="101602"/>
    <s v="FERTILIZANTE LIQUIDOS"/>
    <s v="CRUZEIRO DA FORTALEZA"/>
    <s v="Fertilizers"/>
    <s v="Domestic"/>
    <s v="01/2026"/>
    <s v="2026"/>
  </r>
  <r>
    <n v="11"/>
    <x v="0"/>
    <n v="16645"/>
    <s v="OPCAO AGRONEGOCIOS"/>
    <n v="8301"/>
    <s v="MG"/>
    <s v="BIOSINERGIC - BB - 20L PRODUTO A BASE DE EXTRATO DE ALGAS E ACIDOS HUMICOS"/>
    <n v="3"/>
    <n v="68.996899198925291"/>
    <n v="1824.967983811574"/>
    <n v="-162.19263816481788"/>
    <n v="1662.775345646756"/>
    <n v="-519.0077257191233"/>
    <n v="-16.654423944568176"/>
    <n v="-441.5365263443357"/>
    <n v="685.57666963872884"/>
    <n v="0.41230865698941771"/>
    <n v="608.32266127052469"/>
    <n v="26.45"/>
    <n v="101602"/>
    <s v="FERTILIZANTE LIQUIDOS"/>
    <s v="UBERLANDIA"/>
    <s v="Fertilizers"/>
    <s v="Domestic"/>
    <s v="01/2026"/>
    <s v="2026"/>
  </r>
  <r>
    <n v="11"/>
    <x v="0"/>
    <n v="15904"/>
    <s v="CAMPEVO - JALES"/>
    <n v="13004"/>
    <s v="SP"/>
    <s v="BIOSINERGIC K - BB - 20L PRODUTO A BASE DE EXTRATO DE ALGAS E ACIDOS HUMICOS"/>
    <n v="25"/>
    <n v="574.97415999104408"/>
    <n v="15208.066531763116"/>
    <n v="-1297.1974768478549"/>
    <n v="13910.86905491526"/>
    <n v="-4130.5069838378749"/>
    <n v="-155.43776793046604"/>
    <n v="-3652.0316685624475"/>
    <n v="5972.892634584472"/>
    <n v="0.42936876272830798"/>
    <n v="608.32266127052458"/>
    <n v="26.45"/>
    <n v="101602"/>
    <s v="FERTILIZANTE LIQUIDOS"/>
    <s v="JALES"/>
    <s v="Fertilizers"/>
    <s v="Domestic"/>
    <s v="01/2026"/>
    <s v="2026"/>
  </r>
  <r>
    <n v="11"/>
    <x v="0"/>
    <n v="9355"/>
    <s v="NITROFERT SAS - COLOMBIA"/>
    <n v="14147"/>
    <s v="EX"/>
    <s v="R-COAT IBC ADITIVO ANTIEMBLOCANTE P/ FERTILIZANTES"/>
    <n v="43200"/>
    <n v="43200"/>
    <n v="713229.30214034801"/>
    <n v="0"/>
    <n v="713229.30214034801"/>
    <n v="-230700.28500000003"/>
    <n v="-49587.158016000001"/>
    <n v="-11794.496759510048"/>
    <n v="421147.3623648379"/>
    <n v="0.59047961307956087"/>
    <n v="16.509937549545093"/>
    <n v="16.509937549545093"/>
    <n v="101900"/>
    <s v="HIGROSCOPICIDADE"/>
    <s v="BARRANQUILLA"/>
    <s v="Additives"/>
    <s v="International"/>
    <s v="01/2026"/>
    <s v="2026"/>
  </r>
  <r>
    <n v="11"/>
    <x v="0"/>
    <n v="6477"/>
    <s v="MOSAIC - PARANAGUA II"/>
    <n v="4676"/>
    <s v="PR"/>
    <s v="R-COAT ADITIVO ANTIEMBLOCANTE P/ FERTILIZANTES"/>
    <n v="60000"/>
    <n v="60000"/>
    <n v="689453.02220322529"/>
    <n v="-80640"/>
    <n v="608813.02220322529"/>
    <n v="-352635.26"/>
    <n v="-28099.2114"/>
    <n v="-29.711187986448532"/>
    <n v="228048.83961523883"/>
    <n v="0.37457943785426262"/>
    <n v="11.490883703387087"/>
    <n v="11.490883703387087"/>
    <n v="101900"/>
    <s v="HIGROSCOPICIDADE"/>
    <s v="PARANAGUA"/>
    <s v="Additives"/>
    <s v="Domestic"/>
    <s v="01/2026"/>
    <s v="2026"/>
  </r>
  <r>
    <n v="11"/>
    <x v="0"/>
    <n v="12337"/>
    <s v="FITOSAN A.S - EQUADOR"/>
    <n v="14147"/>
    <s v="EX"/>
    <s v="R-COAT IBC ADITIVO ANTIEMBLOCANTE P/ FERTILIZANTES"/>
    <n v="4800"/>
    <n v="4800"/>
    <n v="93076.15799743541"/>
    <n v="0"/>
    <n v="93076.15799743541"/>
    <n v="-25633.365000000005"/>
    <n v="0"/>
    <n v="-1304.6738798772469"/>
    <n v="66138.119117558163"/>
    <n v="0.71058067436969741"/>
    <n v="19.390866249465709"/>
    <n v="19.390866249465709"/>
    <n v="101900"/>
    <s v="HIGROSCOPICIDADE"/>
    <s v="DURAN"/>
    <s v="Additives"/>
    <s v="International"/>
    <s v="01/2026"/>
    <s v="2026"/>
  </r>
  <r>
    <n v="11"/>
    <x v="0"/>
    <n v="903"/>
    <s v="YARA - PONTA GROSSA"/>
    <n v="4627"/>
    <s v="PR"/>
    <s v="COAT BIO GR ADITIVO ANTI-PO P/ FERTILIZANTES"/>
    <n v="60000"/>
    <n v="60000"/>
    <n v="514706.07522600587"/>
    <n v="-61560"/>
    <n v="453146.07522600587"/>
    <n v="-317904.49555555551"/>
    <n v="-23627.927231999998"/>
    <n v="-24.98339820739875"/>
    <n v="111588.66904024295"/>
    <n v="0.24625319547253782"/>
    <n v="8.578434587100098"/>
    <n v="8.578434587100098"/>
    <n v="102200"/>
    <s v="COAT BIO"/>
    <s v="PONTA GROSSA"/>
    <s v="Additives"/>
    <s v="Domestic"/>
    <s v="01/2026"/>
    <s v="2026"/>
  </r>
  <r>
    <n v="11"/>
    <x v="0"/>
    <n v="1159"/>
    <s v="YARA - RIO GRANDE"/>
    <n v="4627"/>
    <s v="RS"/>
    <s v="COAT BIO GR ADITIVO ANTI-PO P/ FERTILIZANTES"/>
    <n v="210000"/>
    <n v="210000"/>
    <n v="1906820.4599747059"/>
    <n v="-228060"/>
    <n v="1678760.4599747059"/>
    <n v="-1112665.7344444445"/>
    <n v="-170951.23499999999"/>
    <n v="-180.75825001980445"/>
    <n v="394962.73228024162"/>
    <n v="0.23527045203708966"/>
    <n v="9.0800974284509799"/>
    <n v="9.0800974284509799"/>
    <n v="102200"/>
    <s v="COAT BIO"/>
    <s v="RIO GRANDE"/>
    <s v="Additives"/>
    <s v="Domestic"/>
    <s v="01/2026"/>
    <s v="2026"/>
  </r>
  <r>
    <n v="11"/>
    <x v="0"/>
    <n v="8855"/>
    <s v="TERMAG - GUARUJA"/>
    <n v="7398"/>
    <s v="SP"/>
    <s v="SUPERSELEN ADITIVO ANTI PO P/ FERTILIZANTES"/>
    <n v="30000"/>
    <n v="30000"/>
    <n v="73800"/>
    <n v="-8856"/>
    <n v="64944"/>
    <n v="-19353.518978102191"/>
    <n v="-13045.632163199998"/>
    <n v="-13.794025180468031"/>
    <n v="32531.054833517344"/>
    <n v="0.50090931931382954"/>
    <n v="2.46"/>
    <n v="2.46"/>
    <n v="102600"/>
    <s v="SUPERSELEN"/>
    <s v="GUARUJA"/>
    <s v="Additives"/>
    <s v="Domestic"/>
    <s v="01/2026"/>
    <s v="2026"/>
  </r>
  <r>
    <n v="11"/>
    <x v="0"/>
    <n v="7648"/>
    <s v="LOUIS DREYFUS - PARANAGUA"/>
    <n v="14154"/>
    <s v="PR"/>
    <s v="SUPERSELEN IBC ADITIVO ANTI PO P/ FERTILIZANTES"/>
    <n v="13200"/>
    <n v="13200"/>
    <n v="47916"/>
    <n v="-5749.92"/>
    <n v="42166.080000000002"/>
    <n v="-15114.8"/>
    <n v="-9623.6718130238405"/>
    <n v="-10.175756119498688"/>
    <n v="17417.432430856665"/>
    <n v="0.41306738570093932"/>
    <n v="3.63"/>
    <n v="3.63"/>
    <n v="102600"/>
    <s v="SUPERSELEN"/>
    <s v="PARANAGUA"/>
    <s v="Additives"/>
    <s v="Domestic"/>
    <s v="01/2026"/>
    <s v="2026"/>
  </r>
  <r>
    <n v="11"/>
    <x v="0"/>
    <n v="8413"/>
    <s v="AMAGGI - SINOP"/>
    <n v="7398"/>
    <s v="MT"/>
    <s v="SUPERSELEN ADITIVO ANTI PO P/ FERTILIZANTES"/>
    <n v="32000"/>
    <n v="32000"/>
    <n v="66240"/>
    <n v="-4636.8"/>
    <n v="61603.199999999997"/>
    <n v="-20643.753576642335"/>
    <n v="-23352.800640000001"/>
    <n v="-24.692488338839844"/>
    <n v="17581.953295018819"/>
    <n v="0.28540649341298535"/>
    <n v="2.0699999999999998"/>
    <n v="2.0699999999999998"/>
    <n v="102600"/>
    <s v="SUPERSELEN"/>
    <s v="SINOP"/>
    <s v="Additives"/>
    <s v="Domestic"/>
    <s v="01/2026"/>
    <s v="2026"/>
  </r>
  <r>
    <n v="11"/>
    <x v="0"/>
    <n v="1953"/>
    <s v="AMAGGI - COMODORO"/>
    <n v="7398"/>
    <s v="MT"/>
    <s v="SUPERSELEN ADITIVO ANTI PO P/ FERTILIZANTES"/>
    <n v="60000"/>
    <n v="60000"/>
    <n v="125400"/>
    <n v="-8778"/>
    <n v="116622"/>
    <n v="-38707.037956204382"/>
    <n v="-41876.730604799995"/>
    <n v="-44.279086610134378"/>
    <n v="35993.952352385488"/>
    <n v="0.30863775576122421"/>
    <n v="2.09"/>
    <n v="2.09"/>
    <n v="102600"/>
    <s v="SUPERSELEN"/>
    <s v="COMODORO"/>
    <s v="Additives"/>
    <s v="Domestic"/>
    <s v="01/2026"/>
    <s v="2026"/>
  </r>
  <r>
    <n v="11"/>
    <x v="0"/>
    <n v="3142"/>
    <s v="INTERFERTIL - SAO FRANCISCO DO SUL"/>
    <n v="7398"/>
    <s v="SC"/>
    <s v="SUPERSELEN ADITIVO ANTI PO P/ FERTILIZANTES"/>
    <n v="15000"/>
    <n v="15000"/>
    <n v="41400"/>
    <n v="-4968"/>
    <n v="36432"/>
    <n v="-9676.7594890510954"/>
    <n v="-12045.7338550185"/>
    <n v="-12.736765381294012"/>
    <n v="14696.769890549111"/>
    <n v="0.40340277477352632"/>
    <n v="2.76"/>
    <n v="2.76"/>
    <n v="102600"/>
    <s v="SUPERSELEN"/>
    <s v="SAO FRANCISCO DO SUL"/>
    <s v="Additives"/>
    <s v="Domestic"/>
    <s v="01/2026"/>
    <s v="2026"/>
  </r>
  <r>
    <n v="11"/>
    <x v="1"/>
    <n v="11637"/>
    <s v="AGROPECUARIA MARATA LTDA - MARUIM"/>
    <n v="14130"/>
    <s v="SE"/>
    <s v="START ANTIDUSTING BLACK IBC ADITIVO ANTI PO P/ FERTILIZANTES"/>
    <n v="4000"/>
    <n v="4000"/>
    <n v="11880"/>
    <n v="-831.6"/>
    <n v="11048.4"/>
    <n v="-5052.7700000000004"/>
    <n v="0"/>
    <n v="0"/>
    <n v="5995.6299999999992"/>
    <n v="0.54266952680931169"/>
    <n v="2.97"/>
    <n v="2.97"/>
    <n v="100100"/>
    <s v="START ANTIDUSTING"/>
    <s v="MARUIM"/>
    <s v="Additives"/>
    <s v="Domestic"/>
    <s v="02/2026"/>
    <s v="2026"/>
  </r>
  <r>
    <n v="11"/>
    <x v="1"/>
    <n v="3273"/>
    <s v="FERTIMAXI - CONCEICAO DO JACUIPE"/>
    <n v="2"/>
    <s v="BA"/>
    <s v="START ANTIDUSTING SC ADITIVO ANTI PO P/ FERTILIZANTES"/>
    <n v="30000"/>
    <n v="30000"/>
    <n v="78900"/>
    <n v="-5523.0000000000009"/>
    <n v="73377"/>
    <n v="-16676.255000000001"/>
    <n v="-18675.345000000001"/>
    <n v="-10.498768757869874"/>
    <n v="38014.901231242126"/>
    <n v="0.51807652576750374"/>
    <n v="2.63"/>
    <n v="2.63"/>
    <n v="100100"/>
    <s v="START ANTIDUSTING"/>
    <s v="CONCEICAO DO JACUIPE"/>
    <s v="Additives"/>
    <s v="Domestic"/>
    <s v="02/2026"/>
    <s v="2026"/>
  </r>
  <r>
    <n v="11"/>
    <x v="1"/>
    <n v="452"/>
    <s v="FERTIPAR - S?O LUIS DO MARANH?O"/>
    <n v="2"/>
    <s v="MA"/>
    <s v="START ANTIDUSTING SC ADITIVO ANTI PO P/ FERTILIZANTES"/>
    <n v="30000"/>
    <n v="30000"/>
    <n v="71100"/>
    <n v="-4977.0000000000009"/>
    <n v="66123"/>
    <n v="-16676.255000000001"/>
    <n v="-26461.527299999998"/>
    <n v="-14.87594773230485"/>
    <n v="22970.341752267694"/>
    <n v="0.3473880760441555"/>
    <n v="2.37"/>
    <n v="2.37"/>
    <n v="100100"/>
    <s v="START ANTIDUSTING"/>
    <s v="SAO LUIS"/>
    <s v="Additives"/>
    <s v="Domestic"/>
    <s v="02/2026"/>
    <s v="2026"/>
  </r>
  <r>
    <n v="11"/>
    <x v="1"/>
    <n v="5882"/>
    <s v="ABOPAR - PARAGUAY"/>
    <n v="14146"/>
    <s v="EX"/>
    <s v="DUSTPROTEC BLACK PLUS IBC ADITIVO ANTI PO P/ FERTILIZANTES"/>
    <n v="26400"/>
    <n v="26400"/>
    <n v="135696"/>
    <n v="0"/>
    <n v="135696"/>
    <n v="-53735.933999999994"/>
    <n v="-23805.056000000008"/>
    <n v="-5494.2142732738166"/>
    <n v="52660.795726726181"/>
    <n v="0.38807920444763427"/>
    <n v="5.14"/>
    <n v="5.14"/>
    <n v="100100"/>
    <s v="START ANTIDUSTING"/>
    <s v="ASSUNCION"/>
    <s v="Additives"/>
    <s v="International"/>
    <s v="02/2026"/>
    <s v="2026"/>
  </r>
  <r>
    <n v="11"/>
    <x v="1"/>
    <n v="2011"/>
    <s v="FERTGROW S.A"/>
    <n v="6654"/>
    <s v="MA"/>
    <s v="START ANTIDUSTING SC FG ADITIVO ANTI PO P/ FERTILIZANTES"/>
    <n v="30000"/>
    <n v="30000"/>
    <n v="81000"/>
    <n v="-5670.0000000000009"/>
    <n v="75330"/>
    <n v="-11344.630000000003"/>
    <n v="-26461.527299999998"/>
    <n v="-14.87594773230485"/>
    <n v="37508.96675226769"/>
    <n v="0.49792867054649792"/>
    <n v="2.7"/>
    <n v="2.7"/>
    <n v="100100"/>
    <s v="START ANTIDUSTING"/>
    <s v="SAO LUIS"/>
    <s v="Additives"/>
    <s v="Domestic"/>
    <s v="02/2026"/>
    <s v="2026"/>
  </r>
  <r>
    <n v="11"/>
    <x v="1"/>
    <n v="2975"/>
    <s v="COONAGRO COOPERATIVA - PARANAGUA"/>
    <n v="4"/>
    <s v="PR"/>
    <s v="START ANTIDUSTING G37 ADITIVO ANTI PO P/ FERTILIZANTES"/>
    <n v="40000"/>
    <n v="40000"/>
    <n v="159600"/>
    <n v="-19152"/>
    <n v="140448"/>
    <n v="-39710.762666666662"/>
    <n v="-18732.807599999996"/>
    <n v="-10.531072661740239"/>
    <n v="81993.898660671592"/>
    <n v="0.58380253660195658"/>
    <n v="3.99"/>
    <n v="3.99"/>
    <n v="100100"/>
    <s v="START ANTIDUSTING"/>
    <s v="PARANAGUA"/>
    <s v="Additives"/>
    <s v="Domestic"/>
    <s v="02/2026"/>
    <s v="2026"/>
  </r>
  <r>
    <n v="11"/>
    <x v="1"/>
    <n v="11133"/>
    <s v="ADUBOS ARAGUAIA - PARANAGUA"/>
    <n v="1"/>
    <s v="PR"/>
    <s v="START ANTIDUSTING KG ADITIVO ANTI PO P/ FERTILIZANTES"/>
    <n v="15000"/>
    <n v="15000"/>
    <n v="38400"/>
    <n v="-4608"/>
    <n v="33792"/>
    <n v="-9250.3633333333328"/>
    <n v="-10935.990696618001"/>
    <n v="-6.1479152038159759"/>
    <n v="13599.498054844849"/>
    <n v="0.40244726724801283"/>
    <n v="2.56"/>
    <n v="2.56"/>
    <n v="100100"/>
    <s v="START ANTIDUSTING"/>
    <s v="PARANAGUA"/>
    <s v="Additives"/>
    <s v="Domestic"/>
    <s v="02/2026"/>
    <s v="2026"/>
  </r>
  <r>
    <n v="11"/>
    <x v="1"/>
    <n v="1462"/>
    <s v="AURORA MINERAC?O LTDA"/>
    <n v="1042"/>
    <s v="SP"/>
    <s v="START ANTIDUSTING KG AD ADITIVO ANTI PO P/ FERTILIZANTES"/>
    <n v="45000"/>
    <n v="45000"/>
    <n v="75150"/>
    <n v="-9018"/>
    <n v="66132"/>
    <n v="-22882.00909090909"/>
    <n v="0"/>
    <n v="0"/>
    <n v="43249.990909090906"/>
    <n v="0.65399490275647043"/>
    <n v="1.67"/>
    <n v="1.67"/>
    <n v="100100"/>
    <s v="START ANTIDUSTING"/>
    <s v="IPEUNA"/>
    <s v="Additives"/>
    <s v="Domestic"/>
    <s v="02/2026"/>
    <s v="2026"/>
  </r>
  <r>
    <n v="11"/>
    <x v="1"/>
    <n v="6370"/>
    <s v="YTL S.A. - PARAGUAI"/>
    <n v="4067"/>
    <s v="EX"/>
    <s v="DUSTPROTEC BLACK PLUS ADITIVO ANTI PO P/ FERTILIZANTES"/>
    <n v="30000"/>
    <n v="30000"/>
    <n v="154200"/>
    <n v="0"/>
    <n v="154200"/>
    <n v="-46013.93"/>
    <n v="-30471.7248"/>
    <n v="-6245.3482361339529"/>
    <n v="71468.996963866055"/>
    <n v="0.46348247058278896"/>
    <n v="5.14"/>
    <n v="5.14"/>
    <n v="100100"/>
    <s v="START ANTIDUSTING"/>
    <s v="ITAPUA"/>
    <s v="Additives"/>
    <s v="International"/>
    <s v="02/2026"/>
    <s v="2026"/>
  </r>
  <r>
    <n v="11"/>
    <x v="1"/>
    <n v="5731"/>
    <s v="FERTILIZANTES ALIANCA - APARECIDA DE GOI"/>
    <n v="14133"/>
    <s v="GO"/>
    <s v="START ANTIDUSTING SC AD IBC ADITIVO ANTI PO P/ FERTILIZANTES"/>
    <n v="6000"/>
    <n v="6000"/>
    <n v="16200"/>
    <n v="-1134"/>
    <n v="15066"/>
    <n v="-6969.9813270142186"/>
    <n v="-2558.8542470399998"/>
    <n v="-1.4385179510614763"/>
    <n v="5535.7259079947198"/>
    <n v="0.36743169441090667"/>
    <n v="2.7"/>
    <n v="2.7"/>
    <n v="100100"/>
    <s v="START ANTIDUSTING"/>
    <s v="APARECIDA DE GOIANIA"/>
    <s v="Additives"/>
    <s v="Domestic"/>
    <s v="02/2026"/>
    <s v="2026"/>
  </r>
  <r>
    <n v="11"/>
    <x v="1"/>
    <n v="9294"/>
    <s v="SOLINAG CIA.LTDA - EQUADOR"/>
    <n v="14141"/>
    <s v="EX"/>
    <s v="DUSTPROTEC SC IBC - ADITIVO ANTI-PO P/ FERTILIZANTES GRANULADOS"/>
    <n v="1200"/>
    <n v="1200"/>
    <n v="9456"/>
    <n v="0"/>
    <n v="9456"/>
    <n v="-1236.3067272727274"/>
    <n v="0"/>
    <n v="-249.12871459694992"/>
    <n v="7970.5645581303224"/>
    <n v="0.84291080352478032"/>
    <n v="7.88"/>
    <n v="7.88"/>
    <n v="100100"/>
    <s v="START ANTIDUSTING"/>
    <s v="CUENCA"/>
    <s v="Additives"/>
    <s v="International"/>
    <s v="02/2026"/>
    <s v="2026"/>
  </r>
  <r>
    <n v="11"/>
    <x v="1"/>
    <n v="86"/>
    <s v="ADUBOS ARAGUAIA - ANAPOLIS"/>
    <n v="14133"/>
    <s v="GO"/>
    <s v="START ANTIDUSTING SC AD IBC ADITIVO ANTI PO P/ FERTILIZANTES"/>
    <n v="6000"/>
    <n v="6000"/>
    <n v="16500"/>
    <n v="-1155"/>
    <n v="15345"/>
    <n v="-6969.9813270142186"/>
    <n v="-2325.3747759372"/>
    <n v="-1.3072621709504233"/>
    <n v="6048.3366348776308"/>
    <n v="0.39415683511747351"/>
    <n v="2.75"/>
    <n v="2.75"/>
    <n v="100100"/>
    <s v="START ANTIDUSTING"/>
    <s v="ANAPOLIS"/>
    <s v="Additives"/>
    <s v="Domestic"/>
    <s v="02/2026"/>
    <s v="2026"/>
  </r>
  <r>
    <n v="11"/>
    <x v="1"/>
    <n v="87"/>
    <s v="ADUBOS ARAGUAIA - CATALAO"/>
    <n v="14133"/>
    <s v="GO"/>
    <s v="START ANTIDUSTING SC AD IBC ADITIVO ANTI PO P/ FERTILIZANTES"/>
    <n v="6000"/>
    <n v="6000"/>
    <n v="16500"/>
    <n v="-1155"/>
    <n v="15345"/>
    <n v="-6969.9813270142186"/>
    <n v="-1045.8193200000001"/>
    <n v="-0.58793105044071292"/>
    <n v="7328.6114219353403"/>
    <n v="0.47758953547965721"/>
    <n v="2.75"/>
    <n v="2.75"/>
    <n v="100100"/>
    <s v="START ANTIDUSTING"/>
    <s v="CATALAO"/>
    <s v="Additives"/>
    <s v="Domestic"/>
    <s v="02/2026"/>
    <s v="2026"/>
  </r>
  <r>
    <n v="11"/>
    <x v="1"/>
    <n v="43"/>
    <s v="CIBRA - CAMACARI"/>
    <n v="148"/>
    <s v="BA"/>
    <s v="START ANTIDUSTING BLACK ADITIVO ANTI PO P/ FERTILIZANTES"/>
    <n v="150000"/>
    <n v="150000"/>
    <n v="355500"/>
    <n v="-24885.000000000004"/>
    <n v="330615"/>
    <n v="-102559.89560439561"/>
    <n v="-103812.063264"/>
    <n v="-58.360305873122769"/>
    <n v="124184.68082573128"/>
    <n v="0.37561720074930444"/>
    <n v="2.37"/>
    <n v="2.37"/>
    <n v="100100"/>
    <s v="START ANTIDUSTING"/>
    <s v="CAMACARI"/>
    <s v="Additives"/>
    <s v="Domestic"/>
    <s v="02/2026"/>
    <s v="2026"/>
  </r>
  <r>
    <n v="11"/>
    <x v="1"/>
    <n v="1613"/>
    <s v="HERINGER - CANDEIAS"/>
    <n v="7384"/>
    <s v="BA"/>
    <s v="START ANTIDUSTING EURO KG ADITIVO ANTI PO P/ FERTILIZANTES"/>
    <n v="24000"/>
    <n v="24000"/>
    <n v="89760"/>
    <n v="-6283.2000000000007"/>
    <n v="83476.800000000003"/>
    <n v="-16575.950769230771"/>
    <n v="-17238.78"/>
    <n v="-9.6911711611106508"/>
    <n v="49652.378059608127"/>
    <n v="0.59480452125151095"/>
    <n v="3.74"/>
    <n v="3.74"/>
    <n v="100100"/>
    <s v="START ANTIDUSTING"/>
    <s v="CANDEIAS"/>
    <s v="Additives"/>
    <s v="Domestic"/>
    <s v="02/2026"/>
    <s v="2026"/>
  </r>
  <r>
    <n v="11"/>
    <x v="1"/>
    <n v="6477"/>
    <s v="MOSAIC - PARANAGUA II"/>
    <n v="1043"/>
    <s v="PR"/>
    <s v="START ANTIDUSTING SC AD ADITIVO ANTI PO P/ FERTILIZANTES"/>
    <n v="15000"/>
    <n v="15000"/>
    <n v="32850"/>
    <n v="-3942"/>
    <n v="28908"/>
    <n v="-5853.0458677685947"/>
    <n v="-10935.990696618001"/>
    <n v="-6.1479152038159759"/>
    <n v="12112.815520409587"/>
    <n v="0.41901257507989442"/>
    <n v="2.19"/>
    <n v="2.19"/>
    <n v="100100"/>
    <s v="START ANTIDUSTING"/>
    <s v="PARANAGUA"/>
    <s v="Additives"/>
    <s v="Domestic"/>
    <s v="02/2026"/>
    <s v="2026"/>
  </r>
  <r>
    <n v="11"/>
    <x v="1"/>
    <n v="7024"/>
    <s v="MOSAIC - SORRISO"/>
    <n v="1043"/>
    <s v="MT"/>
    <s v="START ANTIDUSTING SC AD ADITIVO ANTI PO P/ FERTILIZANTES"/>
    <n v="30000"/>
    <n v="30000"/>
    <n v="68400"/>
    <n v="-4788.0000000000009"/>
    <n v="63612"/>
    <n v="-11706.091735537189"/>
    <n v="-21002.580299999998"/>
    <n v="-11.807076864619811"/>
    <n v="30891.520887598188"/>
    <n v="0.48562411003581379"/>
    <n v="2.2799999999999998"/>
    <n v="2.2799999999999998"/>
    <n v="100100"/>
    <s v="START ANTIDUSTING"/>
    <s v="SORRISO"/>
    <s v="Additives"/>
    <s v="Domestic"/>
    <s v="02/2026"/>
    <s v="2026"/>
  </r>
  <r>
    <n v="11"/>
    <x v="1"/>
    <n v="7102"/>
    <s v="MOSAIC RONDONOPOLIS"/>
    <n v="1043"/>
    <s v="MT"/>
    <s v="START ANTIDUSTING SC AD ADITIVO ANTI PO P/ FERTILIZANTES"/>
    <n v="30000"/>
    <n v="30000"/>
    <n v="61200"/>
    <n v="-4284"/>
    <n v="56916"/>
    <n v="-11706.091735537189"/>
    <n v="-11980.9521"/>
    <n v="-6.735363956971903"/>
    <n v="33222.220800505835"/>
    <n v="0.58370617753366072"/>
    <n v="2.04"/>
    <n v="2.04"/>
    <n v="100100"/>
    <s v="START ANTIDUSTING"/>
    <s v="RONDONOPOLIS"/>
    <s v="Additives"/>
    <s v="Domestic"/>
    <s v="02/2026"/>
    <s v="2026"/>
  </r>
  <r>
    <n v="11"/>
    <x v="1"/>
    <n v="12323"/>
    <s v="TERA FERTILIZANTES - PATOS DE MINAS"/>
    <n v="14133"/>
    <s v="MG"/>
    <s v="START ANTIDUSTING SC AD IBC ADITIVO ANTI PO P/ FERTILIZANTES"/>
    <n v="5000"/>
    <n v="5000"/>
    <n v="15000"/>
    <n v="-2700"/>
    <n v="12300"/>
    <n v="-5808.3177725118494"/>
    <n v="-1101.7987343999998"/>
    <n v="-0.61940114788665401"/>
    <n v="5389.2640919402647"/>
    <n v="0.43815155219026541"/>
    <n v="3"/>
    <n v="3"/>
    <n v="100100"/>
    <s v="START ANTIDUSTING"/>
    <s v="PATOS DE MINAS"/>
    <s v="Additives"/>
    <s v="Domestic"/>
    <s v="02/2026"/>
    <s v="2026"/>
  </r>
  <r>
    <n v="11"/>
    <x v="1"/>
    <n v="97"/>
    <s v="FECOAGRO - SAO FRANCISCO DO SUL"/>
    <n v="148"/>
    <s v="SC"/>
    <s v="START ANTIDUSTING BLACK ADITIVO ANTI PO P/ FERTILIZANTES"/>
    <n v="32000"/>
    <n v="32000"/>
    <n v="112000"/>
    <n v="-13440"/>
    <n v="98560"/>
    <n v="-21879.444395604398"/>
    <n v="-17928.331200000001"/>
    <n v="-10.078818007555078"/>
    <n v="58742.145586388047"/>
    <n v="0.59600391219955406"/>
    <n v="3.5"/>
    <n v="3.5"/>
    <n v="100100"/>
    <s v="START ANTIDUSTING"/>
    <s v="SAO FRANCISCO DO SUL"/>
    <s v="Additives"/>
    <s v="Domestic"/>
    <s v="02/2026"/>
    <s v="2026"/>
  </r>
  <r>
    <n v="11"/>
    <x v="1"/>
    <n v="86"/>
    <s v="ADUBOS ARAGUAIA - ANAPOLIS"/>
    <n v="1"/>
    <s v="GO"/>
    <s v="START ANTIDUSTING KG ADITIVO ANTI PO P/ FERTILIZANTES"/>
    <n v="30000"/>
    <n v="30000"/>
    <n v="63600"/>
    <n v="-4452"/>
    <n v="59148"/>
    <n v="-18500.726666666666"/>
    <n v="-7470.1379999999999"/>
    <n v="-4.1995075031479487"/>
    <n v="33172.935825830187"/>
    <n v="0.56084628095337441"/>
    <n v="2.12"/>
    <n v="2.12"/>
    <n v="100100"/>
    <s v="START ANTIDUSTING"/>
    <s v="ANAPOLIS"/>
    <s v="Additives"/>
    <s v="Domestic"/>
    <s v="02/2026"/>
    <s v="2026"/>
  </r>
  <r>
    <n v="11"/>
    <x v="1"/>
    <n v="205"/>
    <s v="FERTIPAR - RONDONOPOLIS"/>
    <n v="1043"/>
    <s v="MT"/>
    <s v="START ANTIDUSTING SC AD ADITIVO ANTI PO P/ FERTILIZANTES"/>
    <n v="30000"/>
    <n v="30000"/>
    <n v="54300"/>
    <n v="-3801.0000000000005"/>
    <n v="50499"/>
    <n v="-11706.091735537189"/>
    <n v="-11980.9521"/>
    <n v="-6.735363956971903"/>
    <n v="26805.220800505835"/>
    <n v="0.53080696252412596"/>
    <n v="1.81"/>
    <n v="1.81"/>
    <n v="100100"/>
    <s v="START ANTIDUSTING"/>
    <s v="RONDONOPOLIS"/>
    <s v="Additives"/>
    <s v="Domestic"/>
    <s v="02/2026"/>
    <s v="2026"/>
  </r>
  <r>
    <n v="11"/>
    <x v="1"/>
    <n v="9295"/>
    <s v="TECNOMYL S.A. - PARAGUAY"/>
    <n v="14146"/>
    <s v="EX"/>
    <s v="DUSTPROTEC BLACK PLUS IBC ADITIVO ANTI PO P/ FERTILIZANTES"/>
    <n v="26400"/>
    <n v="26400"/>
    <n v="135722.4"/>
    <n v="0"/>
    <n v="135722.4"/>
    <n v="-53735.933999999994"/>
    <n v="-23805.056000000008"/>
    <n v="-5494.2142732738166"/>
    <n v="52687.195726726175"/>
    <n v="0.3881982320289516"/>
    <n v="5.141"/>
    <n v="5.141"/>
    <n v="100100"/>
    <s v="START ANTIDUSTING"/>
    <s v="ASSUNCION"/>
    <s v="Additives"/>
    <s v="International"/>
    <s v="02/2026"/>
    <s v="2026"/>
  </r>
  <r>
    <n v="11"/>
    <x v="1"/>
    <n v="7022"/>
    <s v="MOSAIC - ROSARIO DO CATETE"/>
    <n v="1043"/>
    <s v="SE"/>
    <s v="START ANTIDUSTING SC AD ADITIVO ANTI PO P/ FERTILIZANTES"/>
    <n v="150000"/>
    <n v="150000"/>
    <n v="361500"/>
    <n v="-25305.000000000004"/>
    <n v="336195"/>
    <n v="-58530.458677685951"/>
    <n v="-126057.50539200001"/>
    <n v="-70.866085703077644"/>
    <n v="151536.16984461097"/>
    <n v="0.45073891594048382"/>
    <n v="2.41"/>
    <n v="2.41"/>
    <n v="100100"/>
    <s v="START ANTIDUSTING"/>
    <s v="ROSARIO DO CATETE"/>
    <s v="Additives"/>
    <s v="Domestic"/>
    <s v="02/2026"/>
    <s v="2026"/>
  </r>
  <r>
    <n v="11"/>
    <x v="1"/>
    <n v="1152"/>
    <s v="ADUBOS BOA SAFRA - ITUMBIARA"/>
    <n v="1043"/>
    <s v="GO"/>
    <s v="START ANTIDUSTING SC AD ADITIVO ANTI PO P/ FERTILIZANTES"/>
    <n v="15000"/>
    <n v="15000"/>
    <n v="30000"/>
    <n v="-2100"/>
    <n v="27900"/>
    <n v="-5853.0458677685947"/>
    <n v="-2873.13"/>
    <n v="-1.6151951935184421"/>
    <n v="19172.208937037885"/>
    <n v="0.68717594756408196"/>
    <n v="2"/>
    <n v="2"/>
    <n v="100100"/>
    <s v="START ANTIDUSTING"/>
    <s v="ITUMBIARA"/>
    <s v="Additives"/>
    <s v="Domestic"/>
    <s v="02/2026"/>
    <s v="2026"/>
  </r>
  <r>
    <n v="11"/>
    <x v="1"/>
    <n v="7443"/>
    <s v="MOSAIC - CATAL?O"/>
    <n v="1043"/>
    <s v="GO"/>
    <s v="START ANTIDUSTING SC AD ADITIVO ANTI PO P/ FERTILIZANTES"/>
    <n v="30000"/>
    <n v="30000"/>
    <n v="72000"/>
    <n v="-5040.0000000000009"/>
    <n v="66960"/>
    <n v="-11706.091735537189"/>
    <n v="-2442.1605"/>
    <n v="-1.3729159144906757"/>
    <n v="52810.374848548316"/>
    <n v="0.78868540693769884"/>
    <n v="2.4"/>
    <n v="2.4"/>
    <n v="100100"/>
    <s v="START ANTIDUSTING"/>
    <s v="CATALAO"/>
    <s v="Additives"/>
    <s v="Domestic"/>
    <s v="02/2026"/>
    <s v="2026"/>
  </r>
  <r>
    <n v="11"/>
    <x v="1"/>
    <n v="7479"/>
    <s v="MOSAIC - CUBAT?O"/>
    <n v="1043"/>
    <s v="SP"/>
    <s v="START ANTIDUSTING SC AD ADITIVO ANTI PO P/ FERTILIZANTES"/>
    <n v="30000"/>
    <n v="30000"/>
    <n v="64800"/>
    <n v="-7776"/>
    <n v="57024"/>
    <n v="-11706.091735537189"/>
    <n v="0"/>
    <n v="0"/>
    <n v="45317.908264462807"/>
    <n v="0.79471640474997907"/>
    <n v="2.16"/>
    <n v="2.16"/>
    <n v="100100"/>
    <s v="START ANTIDUSTING"/>
    <s v="CUBATAO"/>
    <s v="Additives"/>
    <s v="Domestic"/>
    <s v="02/2026"/>
    <s v="2026"/>
  </r>
  <r>
    <n v="11"/>
    <x v="1"/>
    <n v="2992"/>
    <s v="SUPERBAC FERTILIZANTES I"/>
    <n v="1043"/>
    <s v="PR"/>
    <s v="START ANTIDUSTING SC AD ADITIVO ANTI PO P/ FERTILIZANTES"/>
    <n v="30000"/>
    <n v="30000"/>
    <n v="110400"/>
    <n v="-13248"/>
    <n v="97152"/>
    <n v="-11706.091735537189"/>
    <n v="-11260.9695744"/>
    <n v="-6.3306094506438253"/>
    <n v="74178.608080612161"/>
    <n v="0.76353145669273059"/>
    <n v="3.68"/>
    <n v="3.68"/>
    <n v="100100"/>
    <s v="START ANTIDUSTING"/>
    <s v="MANDAGUARI"/>
    <s v="Additives"/>
    <s v="Domestic"/>
    <s v="02/2026"/>
    <s v="2026"/>
  </r>
  <r>
    <n v="11"/>
    <x v="1"/>
    <n v="2680"/>
    <s v="FERMAGRI S.A - EQUADOR"/>
    <n v="14141"/>
    <s v="EX"/>
    <s v="DUSTPROTEC SC IBC - ADITIVO ANTI-PO P/ FERTILIZANTES GRANULADOS"/>
    <n v="12000"/>
    <n v="12000"/>
    <n v="69960"/>
    <n v="0"/>
    <n v="69960"/>
    <n v="-12363.067272727272"/>
    <n v="0"/>
    <n v="-2491.2871459694993"/>
    <n v="55105.645581303223"/>
    <n v="0.78767360750862236"/>
    <n v="5.83"/>
    <n v="5.83"/>
    <n v="100100"/>
    <s v="START ANTIDUSTING"/>
    <s v="GUAYAQUIL"/>
    <s v="Additives"/>
    <s v="International"/>
    <s v="02/2026"/>
    <s v="2026"/>
  </r>
  <r>
    <n v="11"/>
    <x v="1"/>
    <n v="3232"/>
    <s v="FERTILIZ. TOCANTINS - ARAGUARI"/>
    <n v="7384"/>
    <s v="MG"/>
    <s v="START ANTIDUSTING EURO KG ADITIVO ANTI PO P/ FERTILIZANTES"/>
    <n v="60000"/>
    <n v="60000"/>
    <n v="112200"/>
    <n v="-20196"/>
    <n v="92004"/>
    <n v="-41439.876923076925"/>
    <n v="-3447.7559999999999"/>
    <n v="-1.9382342322221302"/>
    <n v="47114.428842690853"/>
    <n v="0.51209109215567639"/>
    <n v="1.87"/>
    <n v="1.87"/>
    <n v="100100"/>
    <s v="START ANTIDUSTING"/>
    <s v="ARAGUARI"/>
    <s v="Additives"/>
    <s v="Domestic"/>
    <s v="02/2026"/>
    <s v="2026"/>
  </r>
  <r>
    <n v="11"/>
    <x v="1"/>
    <n v="833"/>
    <s v="TERRENA - PATOS DE MINAS"/>
    <n v="14133"/>
    <s v="MG"/>
    <s v="START ANTIDUSTING SC AD IBC ADITIVO ANTI PO P/ FERTILIZANTES"/>
    <n v="6000"/>
    <n v="6000"/>
    <n v="15600"/>
    <n v="0"/>
    <n v="15600"/>
    <n v="-6969.9813270142186"/>
    <n v="-1322.1584812799999"/>
    <n v="-0.74328137746398493"/>
    <n v="7307.1169103283173"/>
    <n v="0.46840493014925111"/>
    <n v="2.6"/>
    <n v="2.6"/>
    <n v="100100"/>
    <s v="START ANTIDUSTING"/>
    <s v="PATOS DE MINAS"/>
    <s v="Additives"/>
    <s v="Domestic"/>
    <s v="02/2026"/>
    <s v="2026"/>
  </r>
  <r>
    <n v="11"/>
    <x v="1"/>
    <n v="2003"/>
    <s v="HERINGER - RIO GRANDE"/>
    <n v="7384"/>
    <s v="RS"/>
    <s v="START ANTIDUSTING EURO KG ADITIVO ANTI PO P/ FERTILIZANTES"/>
    <n v="20000"/>
    <n v="20000"/>
    <n v="70000"/>
    <n v="-8400"/>
    <n v="61600"/>
    <n v="-13813.292307692311"/>
    <n v="-16281.07"/>
    <n v="-9.1527727632711695"/>
    <n v="31496.484919544419"/>
    <n v="0.51130657336922758"/>
    <n v="3.5"/>
    <n v="3.5"/>
    <n v="100100"/>
    <s v="START ANTIDUSTING"/>
    <s v="RIO GRANDE"/>
    <s v="Additives"/>
    <s v="Domestic"/>
    <s v="02/2026"/>
    <s v="2026"/>
  </r>
  <r>
    <n v="11"/>
    <x v="1"/>
    <n v="31"/>
    <s v="SUL GOIANA - GOIATUBA"/>
    <n v="1042"/>
    <s v="GO"/>
    <s v="START ANTIDUSTING KG AD ADITIVO ANTI PO P/ FERTILIZANTES"/>
    <n v="32000"/>
    <n v="32000"/>
    <n v="64000"/>
    <n v="-4480"/>
    <n v="59520"/>
    <n v="-16271.650909090911"/>
    <n v="-3738.8998399999996"/>
    <n v="-2.1019073451653325"/>
    <n v="39507.347343563924"/>
    <n v="0.66376591639052296"/>
    <n v="2"/>
    <n v="2"/>
    <n v="100100"/>
    <s v="START ANTIDUSTING"/>
    <s v="GOIATUBA"/>
    <s v="Additives"/>
    <s v="Domestic"/>
    <s v="02/2026"/>
    <s v="2026"/>
  </r>
  <r>
    <n v="11"/>
    <x v="1"/>
    <n v="341"/>
    <s v="ADUBOS PARANAIBA - UBERLANDIA"/>
    <n v="1043"/>
    <s v="MG"/>
    <s v="START ANTIDUSTING SC AD ADITIVO ANTI PO P/ FERTILIZANTES"/>
    <n v="3000"/>
    <n v="3000"/>
    <n v="6000"/>
    <n v="-1080"/>
    <n v="4920"/>
    <n v="-1170.6091735537191"/>
    <n v="0"/>
    <n v="0"/>
    <n v="3749.3908264462807"/>
    <n v="0.76207130618826846"/>
    <n v="2"/>
    <n v="2"/>
    <n v="100100"/>
    <s v="START ANTIDUSTING"/>
    <s v="UBERLANDIA"/>
    <s v="Additives"/>
    <s v="Domestic"/>
    <s v="02/2026"/>
    <s v="2026"/>
  </r>
  <r>
    <n v="11"/>
    <x v="1"/>
    <n v="1936"/>
    <s v="CIBRA - PARANAGUA II"/>
    <n v="4"/>
    <s v="PR"/>
    <s v="START ANTIDUSTING G37 ADITIVO ANTI PO P/ FERTILIZANTES"/>
    <n v="35000"/>
    <n v="35000"/>
    <n v="139650"/>
    <n v="-16758"/>
    <n v="122892"/>
    <n v="-34746.917333333331"/>
    <n v="0"/>
    <n v="0"/>
    <n v="88145.082666666669"/>
    <n v="0.71725647451963248"/>
    <n v="3.99"/>
    <n v="3.99"/>
    <n v="100100"/>
    <s v="START ANTIDUSTING"/>
    <s v="PARANAGUA"/>
    <s v="Additives"/>
    <s v="Domestic"/>
    <s v="02/2026"/>
    <s v="2026"/>
  </r>
  <r>
    <n v="11"/>
    <x v="1"/>
    <n v="7648"/>
    <s v="LOUIS DREYFUS - PARANAGUA"/>
    <n v="14133"/>
    <s v="PR"/>
    <s v="START ANTIDUSTING SC AD IBC ADITIVO ANTI PO P/ FERTILIZANTES"/>
    <n v="13200"/>
    <n v="13200"/>
    <n v="37092"/>
    <n v="-4451.04"/>
    <n v="32640.959999999999"/>
    <n v="-15333.958919431281"/>
    <n v="-9623.6718130238405"/>
    <n v="-5.410165379358058"/>
    <n v="7677.9191021655215"/>
    <n v="0.23522344631302272"/>
    <n v="2.81"/>
    <n v="2.81"/>
    <n v="100100"/>
    <s v="START ANTIDUSTING"/>
    <s v="PARANAGUA"/>
    <s v="Additives"/>
    <s v="Domestic"/>
    <s v="02/2026"/>
    <s v="2026"/>
  </r>
  <r>
    <n v="11"/>
    <x v="1"/>
    <n v="214"/>
    <s v="UNIFERTIL - CANOAS UN1"/>
    <n v="3"/>
    <s v="RS"/>
    <s v="START ANTIDUSTING MH ADITIVO ANTI PO P/ FERTILIZANTES"/>
    <n v="32000"/>
    <n v="32000"/>
    <n v="82880"/>
    <n v="-9945.6"/>
    <n v="72934.399999999994"/>
    <n v="-24737.379999999997"/>
    <n v="-25804.538239999998"/>
    <n v="-14.506606431386967"/>
    <n v="22377.975153568612"/>
    <n v="0.30682332553045771"/>
    <n v="2.59"/>
    <n v="2.59"/>
    <n v="100100"/>
    <s v="START ANTIDUSTING"/>
    <s v="CANOAS"/>
    <s v="Additives"/>
    <s v="Domestic"/>
    <s v="02/2026"/>
    <s v="2026"/>
  </r>
  <r>
    <n v="11"/>
    <x v="1"/>
    <n v="214"/>
    <s v="UNIFERTIL - CANOAS UN1"/>
    <n v="113"/>
    <s v="RS"/>
    <s v="MEGAMICRO ADITIVO P/ SUSPENS?O DE MICRONUTRIENTES"/>
    <n v="30000"/>
    <n v="30000"/>
    <n v="92700"/>
    <n v="-11124"/>
    <n v="81576"/>
    <n v="-27165.85"/>
    <n v="-24191.754599999997"/>
    <n v="-13.59994352942528"/>
    <n v="30204.79545647058"/>
    <n v="0.37026570874363268"/>
    <n v="3.09"/>
    <n v="3.09"/>
    <n v="100200"/>
    <s v="ADITIVO MEGAMICRO"/>
    <s v="CANOAS"/>
    <s v="Additives"/>
    <s v="Domestic"/>
    <s v="02/2026"/>
    <s v="2026"/>
  </r>
  <r>
    <n v="11"/>
    <x v="1"/>
    <n v="456"/>
    <s v="FERTIPAR - CANDEIAS"/>
    <n v="113"/>
    <s v="BA"/>
    <s v="MEGAMICRO ADITIVO P/ SUSPENS?O DE MICRONUTRIENTES"/>
    <n v="30000"/>
    <n v="30000"/>
    <n v="100200"/>
    <n v="-7014.0000000000009"/>
    <n v="93186"/>
    <n v="-27165.85"/>
    <n v="-21548.474999999999"/>
    <n v="-12.113963951388314"/>
    <n v="44459.56103604861"/>
    <n v="0.47710558491671079"/>
    <n v="3.34"/>
    <n v="3.34"/>
    <n v="100200"/>
    <s v="ADITIVO MEGAMICRO"/>
    <s v="CANDEIAS"/>
    <s v="Additives"/>
    <s v="Domestic"/>
    <s v="02/2026"/>
    <s v="2026"/>
  </r>
  <r>
    <n v="13"/>
    <x v="1"/>
    <n v="5209"/>
    <s v="NUTRISOYA - CATAL?O"/>
    <n v="8217"/>
    <s v="GO"/>
    <s v="UREMAX NBPT AMARELO ADITIVO INIBIDOR DE UREASE P/ FERTILIZANTES"/>
    <n v="3000"/>
    <n v="3000"/>
    <n v="90103.246890873474"/>
    <n v="-6300.0000000000009"/>
    <n v="83803.246890873474"/>
    <n v="-47754.005151515179"/>
    <n v="-2121.6959999999981"/>
    <n v="-1.1927595275213099"/>
    <n v="33926.352979830779"/>
    <n v="0.40483339534575363"/>
    <n v="30.034415630291157"/>
    <n v="30.034415630291157"/>
    <n v="100300"/>
    <s v="UREMAX"/>
    <s v="CATALAO"/>
    <s v="Additives"/>
    <s v="Domestic"/>
    <s v="02/2026"/>
    <s v="2026"/>
  </r>
  <r>
    <n v="13"/>
    <x v="1"/>
    <n v="2622"/>
    <s v="ADUFERTIL JUNDIAI"/>
    <n v="8215"/>
    <s v="SP"/>
    <s v="UREMAX NBPT VERDE ADITIVO INIBIDOR DE UREASE P/ FERTILIZANTES"/>
    <n v="12000"/>
    <n v="12000"/>
    <n v="416036.72531079315"/>
    <n v="-49867.199999999997"/>
    <n v="366169.52531079313"/>
    <n v="-166424.11200000002"/>
    <n v="-5481.0480000000016"/>
    <n v="-3.0812954460967212"/>
    <n v="194261.28401534702"/>
    <n v="0.5305228059338476"/>
    <n v="34.66972710923276"/>
    <n v="34.66972710923276"/>
    <n v="100300"/>
    <s v="UREMAX"/>
    <s v="JUNDIAI"/>
    <s v="Additives"/>
    <s v="Domestic"/>
    <s v="02/2026"/>
    <s v="2026"/>
  </r>
  <r>
    <n v="13"/>
    <x v="1"/>
    <n v="86"/>
    <s v="ADUBOS ARAGUAIA - ANAPOLIS"/>
    <n v="8214"/>
    <s v="GO"/>
    <s v="UREMAX NBPT AZUL ADITIVO INIBIDOR DE UREASE P/ FERTILIZANTES"/>
    <n v="6000"/>
    <n v="6000"/>
    <n v="192220.26003386342"/>
    <n v="-13440.000000000002"/>
    <n v="178780.26003386342"/>
    <n v="-58499.059384615379"/>
    <n v="-4066.5840000000026"/>
    <n v="-2.2861224277491807"/>
    <n v="116212.3305268203"/>
    <n v="0.65002887066395409"/>
    <n v="32.036710005643904"/>
    <n v="32.036710005643904"/>
    <n v="100300"/>
    <s v="UREMAX"/>
    <s v="ANAPOLIS"/>
    <s v="Additives"/>
    <s v="Domestic"/>
    <s v="02/2026"/>
    <s v="2026"/>
  </r>
  <r>
    <n v="13"/>
    <x v="1"/>
    <n v="7103"/>
    <s v="MOSAIC - RIO VERDE"/>
    <n v="8215"/>
    <s v="GO"/>
    <s v="UREMAX NBPT VERDE ADITIVO INIBIDOR DE UREASE P/ FERTILIZANTES"/>
    <n v="12000"/>
    <n v="12000"/>
    <n v="480550.65008465858"/>
    <n v="-33600"/>
    <n v="446950.65008465858"/>
    <n v="-166424.11200000002"/>
    <n v="-3801.3720000000039"/>
    <n v="-2.1370274868090178"/>
    <n v="276723.02905717172"/>
    <n v="0.61913553320653314"/>
    <n v="40.045887507054879"/>
    <n v="40.045887507054879"/>
    <n v="100300"/>
    <s v="UREMAX"/>
    <s v="RIO VERDE"/>
    <s v="Additives"/>
    <s v="Domestic"/>
    <s v="02/2026"/>
    <s v="2026"/>
  </r>
  <r>
    <n v="13"/>
    <x v="1"/>
    <n v="12323"/>
    <s v="TERA FERTILIZANTES - PATOS DE MINAS"/>
    <n v="8225"/>
    <s v="MG"/>
    <s v="UREMAX COAT AZUL ADITIVO INIBIDOR DE UREASE P/ FERTILIZANTES"/>
    <n v="3000"/>
    <n v="3000"/>
    <n v="69079.155949669672"/>
    <n v="-12420"/>
    <n v="56659.155949669672"/>
    <n v="-20717.797499999997"/>
    <n v="-3639.2979999999998"/>
    <n v="-2.0459139117900267"/>
    <n v="32300.014535757884"/>
    <n v="0.57007581553897457"/>
    <n v="23.026385316556556"/>
    <n v="23.026385316556556"/>
    <n v="100300"/>
    <s v="UREMAX"/>
    <s v="PATOS DE MINAS"/>
    <s v="Additives"/>
    <s v="Domestic"/>
    <s v="02/2026"/>
    <s v="2026"/>
  </r>
  <r>
    <n v="13"/>
    <x v="1"/>
    <n v="9294"/>
    <s v="SOLINAG CIA.LTDA - EQUADOR"/>
    <n v="8207"/>
    <s v="EX"/>
    <s v="NITROPROTEC DUO YELLOW - ADITIVO P/ INIBIR A NITRIFICACAO E VOLATIZACAO PARA FERTILIZANTES"/>
    <n v="1000"/>
    <n v="1000"/>
    <n v="58366.881041532492"/>
    <n v="0"/>
    <n v="58366.881041532492"/>
    <n v="-13867.31"/>
    <n v="-8553.5535359999994"/>
    <n v="-212.41583628323889"/>
    <n v="35733.601669249256"/>
    <n v="0.61222393644474626"/>
    <n v="58.366881041532494"/>
    <n v="58.366881041532494"/>
    <n v="100300"/>
    <s v="UREMAX"/>
    <s v="CUENCA"/>
    <s v="Additives"/>
    <s v="International"/>
    <s v="02/2026"/>
    <s v="2026"/>
  </r>
  <r>
    <n v="13"/>
    <x v="1"/>
    <n v="87"/>
    <s v="ADUBOS ARAGUAIA - CATALAO"/>
    <n v="8214"/>
    <s v="GO"/>
    <s v="UREMAX NBPT AZUL ADITIVO INIBIDOR DE UREASE P/ FERTILIZANTES"/>
    <n v="6000"/>
    <n v="6000"/>
    <n v="192220.26003386342"/>
    <n v="-13440.000000000002"/>
    <n v="178780.26003386342"/>
    <n v="-58499.059384615379"/>
    <n v="-2121.6959999999981"/>
    <n v="-1.1927595275213099"/>
    <n v="118158.31188972053"/>
    <n v="0.6609136370387857"/>
    <n v="32.036710005643904"/>
    <n v="32.036710005643904"/>
    <n v="100300"/>
    <s v="UREMAX"/>
    <s v="CATALAO"/>
    <s v="Additives"/>
    <s v="Domestic"/>
    <s v="02/2026"/>
    <s v="2026"/>
  </r>
  <r>
    <n v="13"/>
    <x v="1"/>
    <n v="8413"/>
    <s v="AMAGGI - SINOP"/>
    <n v="8214"/>
    <s v="MT"/>
    <s v="UREMAX NBPT AZUL ADITIVO INIBIDOR DE UREASE P/ FERTILIZANTES"/>
    <n v="12000"/>
    <n v="12000"/>
    <n v="373748.2681033432"/>
    <n v="-26132.400000000001"/>
    <n v="347615.86810334318"/>
    <n v="-116998.11876923076"/>
    <n v="-12906.984000000033"/>
    <n v="-7.2559537924213275"/>
    <n v="217703.50938031997"/>
    <n v="0.62627609771714621"/>
    <n v="31.145689008611935"/>
    <n v="31.145689008611935"/>
    <n v="100300"/>
    <s v="UREMAX"/>
    <s v="SINOP"/>
    <s v="Additives"/>
    <s v="Domestic"/>
    <s v="02/2026"/>
    <s v="2026"/>
  </r>
  <r>
    <n v="13"/>
    <x v="1"/>
    <n v="1874"/>
    <s v="FERTILIZ. TOCANTINS - BARCARENA"/>
    <n v="8217"/>
    <s v="PA"/>
    <s v="UREMAX NBPT AMARELO ADITIVO INIBIDOR DE UREASE P/ FERTILIZANTES"/>
    <n v="12000"/>
    <n v="12000"/>
    <n v="456523.11758042563"/>
    <n v="-31920.000000000004"/>
    <n v="424603.11758042563"/>
    <n v="-191016.02060606072"/>
    <n v="-19714.091999999993"/>
    <n v="-11.082723943218843"/>
    <n v="213861.92225042169"/>
    <n v="0.50367487518485621"/>
    <n v="38.043593131702139"/>
    <n v="38.043593131702139"/>
    <n v="100300"/>
    <s v="UREMAX"/>
    <s v="BARCARENA "/>
    <s v="Additives"/>
    <s v="Domestic"/>
    <s v="02/2026"/>
    <s v="2026"/>
  </r>
  <r>
    <n v="13"/>
    <x v="1"/>
    <n v="10891"/>
    <s v="HINOVE - RIO BRILHANTE"/>
    <n v="8214"/>
    <s v="MS"/>
    <s v="UREMAX NBPT AZUL ADITIVO INIBIDOR DE UREASE P/ FERTILIZANTES"/>
    <n v="4000"/>
    <n v="4000"/>
    <n v="124542.71014694068"/>
    <n v="-8708"/>
    <n v="115834.71014694068"/>
    <n v="-38999.372923076924"/>
    <n v="-7691.1480000000047"/>
    <n v="-4.3237532872647551"/>
    <n v="69139.865470576493"/>
    <n v="0.59688383026875091"/>
    <n v="31.135677536735169"/>
    <n v="31.135677536735169"/>
    <n v="100300"/>
    <s v="UREMAX"/>
    <s v="RIO BRILHANTE"/>
    <s v="Additives"/>
    <s v="Domestic"/>
    <s v="02/2026"/>
    <s v="2026"/>
  </r>
  <r>
    <n v="13"/>
    <x v="1"/>
    <n v="6124"/>
    <s v="MOSAIC - UBERABA II"/>
    <n v="8215"/>
    <s v="MG"/>
    <s v="UREMAX NBPT VERDE ADITIVO INIBIDOR DE UREASE P/ FERTILIZANTES"/>
    <n v="24000"/>
    <n v="24000"/>
    <n v="870517.50262835901"/>
    <n v="0"/>
    <n v="870517.50262835901"/>
    <n v="-332848.22400000005"/>
    <n v="-4003.2278000000001"/>
    <n v="-2.250505302969029"/>
    <n v="533663.80032305606"/>
    <n v="0.61304201088635391"/>
    <n v="36.271562609514959"/>
    <n v="36.271562609514959"/>
    <n v="100300"/>
    <s v="UREMAX"/>
    <s v="UBERABA"/>
    <s v="Additives"/>
    <s v="Domestic"/>
    <s v="02/2026"/>
    <s v="2026"/>
  </r>
  <r>
    <n v="13"/>
    <x v="1"/>
    <n v="11637"/>
    <s v="AGROPECUARIA MARATA LTDA - MARUIM"/>
    <n v="8224"/>
    <s v="SE"/>
    <s v="UREMAX COAT VERDE ADITIVO INIBIDOR DE UREASE P/ FERTILIZANTES"/>
    <n v="8000"/>
    <n v="8000"/>
    <n v="185012.00028259354"/>
    <n v="-12936.000000000002"/>
    <n v="172076.00028259354"/>
    <n v="-57830.662325581383"/>
    <n v="0"/>
    <n v="0"/>
    <n v="114245.33795701215"/>
    <n v="0.66392371841158326"/>
    <n v="23.126500035324192"/>
    <n v="23.126500035324192"/>
    <n v="100300"/>
    <s v="UREMAX"/>
    <s v="MARUIM"/>
    <s v="Additives"/>
    <s v="Domestic"/>
    <s v="02/2026"/>
    <s v="2026"/>
  </r>
  <r>
    <n v="13"/>
    <x v="1"/>
    <n v="7662"/>
    <s v="BENTONIT UNIAO - BOA VISTA"/>
    <n v="7"/>
    <s v="PB"/>
    <s v="UREMAX NBPT ADITIVO INIBIDOR DE UREASE P/ FERTILIZANTES"/>
    <n v="2000"/>
    <n v="2000"/>
    <n v="78109.503582510544"/>
    <n v="-12173.070500000002"/>
    <n v="65936.433082510543"/>
    <n v="-18955.46"/>
    <n v="0"/>
    <n v="0"/>
    <n v="46980.973082510543"/>
    <n v="0.71251917773168283"/>
    <n v="39.054751791255271"/>
    <n v="39.054751791255271"/>
    <n v="100300"/>
    <s v="UREMAX"/>
    <s v="BOA VISTA "/>
    <s v="Additives"/>
    <s v="Domestic"/>
    <s v="02/2026"/>
    <s v="2026"/>
  </r>
  <r>
    <n v="13"/>
    <x v="1"/>
    <n v="9355"/>
    <s v="NITROFERT SAS - COLOMBIA"/>
    <n v="8206"/>
    <s v="EX"/>
    <s v="NITROPROTEC DUO PURPLE - ADITIVO P/ INIBIR A NITRIFICACAO E VOLATIZACAO PARA FERTILIZANTES"/>
    <n v="8000"/>
    <n v="8000"/>
    <n v="420241.5434990339"/>
    <n v="0"/>
    <n v="420241.5434990339"/>
    <n v="-111862.46999999999"/>
    <n v="0"/>
    <n v="-1660.8580973129995"/>
    <n v="306718.21540172095"/>
    <n v="0.72986171916253229"/>
    <n v="52.53019293737924"/>
    <n v="52.53019293737924"/>
    <n v="100300"/>
    <s v="UREMAX"/>
    <s v="BARRANQUILLA"/>
    <s v="Additives"/>
    <s v="International"/>
    <s v="02/2026"/>
    <s v="2026"/>
  </r>
  <r>
    <n v="13"/>
    <x v="1"/>
    <n v="6382"/>
    <s v="FERTYMEND - EQUADOR"/>
    <n v="8201"/>
    <s v="EX"/>
    <s v="NITROPROTEC GREEN - ADITIVO INIBIDOR DE UREASE P/ FERTILIZANTE NITROGENADO"/>
    <n v="1100"/>
    <n v="1100"/>
    <n v="58366.881041532492"/>
    <n v="0"/>
    <n v="58366.881041532492"/>
    <n v="-22355.52"/>
    <n v="-9409.0740480000004"/>
    <n v="-233.65751275910316"/>
    <n v="26368.62948077339"/>
    <n v="0.45177383149889572"/>
    <n v="53.060800946847721"/>
    <n v="53.060800946847721"/>
    <n v="100300"/>
    <s v="UREMAX"/>
    <s v="QUITO"/>
    <s v="Additives"/>
    <s v="International"/>
    <s v="02/2026"/>
    <s v="2026"/>
  </r>
  <r>
    <n v="13"/>
    <x v="1"/>
    <n v="2680"/>
    <s v="FERMAGRI S.A - EQUADOR"/>
    <n v="8202"/>
    <s v="EX"/>
    <s v="NITROPROTEC PURPLE - ADITIVO INIBIDOR DE UREASE P/ FERTILIZANTE NITROGENADO"/>
    <n v="8800"/>
    <n v="8800"/>
    <n v="420241.5434990339"/>
    <n v="0"/>
    <n v="420241.5434990339"/>
    <n v="-190631.198"/>
    <n v="0"/>
    <n v="-1826.9439070442991"/>
    <n v="227783.40159198959"/>
    <n v="0.54202970914157911"/>
    <n v="47.75472085216294"/>
    <n v="47.75472085216294"/>
    <n v="100300"/>
    <s v="UREMAX"/>
    <s v="GUAYAQUIL"/>
    <s v="Additives"/>
    <s v="International"/>
    <s v="02/2026"/>
    <s v="2026"/>
  </r>
  <r>
    <n v="13"/>
    <x v="1"/>
    <n v="912"/>
    <s v="FERTILIZE - ALMIRANTE TAMANDARE-PR"/>
    <n v="8215"/>
    <s v="PR"/>
    <s v="UREMAX NBPT VERDE ADITIVO INIBIDOR DE UREASE P/ FERTILIZANTES"/>
    <n v="4000"/>
    <n v="4000"/>
    <n v="122380.23222155971"/>
    <n v="-14668.8"/>
    <n v="107711.43222155971"/>
    <n v="-55474.704000000005"/>
    <n v="-8663.5920000000024"/>
    <n v="-4.8704347373786883"/>
    <n v="43568.265786822318"/>
    <n v="0.40449063658538575"/>
    <n v="30.595058055389927"/>
    <n v="30.595058055389927"/>
    <n v="100300"/>
    <s v="UREMAX"/>
    <s v="ALMIRANTE TAMANDARE "/>
    <s v="Additives"/>
    <s v="Domestic"/>
    <s v="02/2026"/>
    <s v="2026"/>
  </r>
  <r>
    <n v="13"/>
    <x v="1"/>
    <n v="13390"/>
    <s v="HERINGER - VIANA"/>
    <n v="8217"/>
    <s v="ES"/>
    <s v="UREMAX NBPT AMARELO ADITIVO INIBIDOR DE UREASE P/ FERTILIZANTES"/>
    <n v="12000"/>
    <n v="12000"/>
    <n v="409309.01620960794"/>
    <n v="-28618.800000000003"/>
    <n v="380690.21620960796"/>
    <n v="-191016.02060606072"/>
    <n v="-10254.863999999958"/>
    <n v="-5.7650043830196456"/>
    <n v="179413.56659916425"/>
    <n v="0.47128494234897589"/>
    <n v="34.109084684133997"/>
    <n v="34.109084684133997"/>
    <n v="100300"/>
    <s v="UREMAX"/>
    <s v="VIANA"/>
    <s v="Additives"/>
    <s v="Domestic"/>
    <s v="02/2026"/>
    <s v="2026"/>
  </r>
  <r>
    <n v="13"/>
    <x v="1"/>
    <n v="14632"/>
    <s v="BIGFERTIL - CANDEIAS"/>
    <n v="8224"/>
    <s v="BA"/>
    <s v="UREMAX COAT VERDE ADITIVO INIBIDOR DE UREASE P/ FERTILIZANTES"/>
    <n v="5000"/>
    <n v="5000"/>
    <n v="120888.52291192191"/>
    <n v="-8452.5"/>
    <n v="112436.02291192191"/>
    <n v="-36144.163953488365"/>
    <n v="-13083.792000000029"/>
    <n v="-7.3553504197147674"/>
    <n v="63200.711608013815"/>
    <n v="0.56210376328877121"/>
    <n v="24.177704582384383"/>
    <n v="24.177704582384383"/>
    <n v="100300"/>
    <s v="UREMAX"/>
    <s v="CANDEIAS"/>
    <s v="Additives"/>
    <s v="Domestic"/>
    <s v="02/2026"/>
    <s v="2026"/>
  </r>
  <r>
    <n v="13"/>
    <x v="1"/>
    <n v="2011"/>
    <s v="FERTGROW S.A"/>
    <n v="8224"/>
    <s v="MA"/>
    <s v="UREMAX COAT VERDE ADITIVO INIBIDOR DE UREASE P/ FERTILIZANTES"/>
    <n v="30000"/>
    <n v="30000"/>
    <n v="616005.86457727174"/>
    <n v="-43071.000000000007"/>
    <n v="572934.86457727174"/>
    <n v="-216864.98372093021"/>
    <n v="-28539.757999999998"/>
    <n v="-16.044272255616523"/>
    <n v="327514.07858408598"/>
    <n v="0.57164277971761335"/>
    <n v="20.533528819242392"/>
    <n v="20.533528819242392"/>
    <n v="100300"/>
    <s v="UREMAX"/>
    <s v="SAO LUIS"/>
    <s v="Additives"/>
    <s v="Domestic"/>
    <s v="02/2026"/>
    <s v="2026"/>
  </r>
  <r>
    <n v="13"/>
    <x v="1"/>
    <n v="11133"/>
    <s v="ADUBOS ARAGUAIA - PARANAGUA"/>
    <n v="8214"/>
    <s v="PR"/>
    <s v="UREMAX NBPT AZUL ADITIVO INIBIDOR DE UREASE P/ FERTILIZANTES"/>
    <n v="2000"/>
    <n v="2000"/>
    <n v="76087.186263404277"/>
    <n v="-9120"/>
    <n v="66967.186263404277"/>
    <n v="-19499.686461538462"/>
    <n v="-9901.2479999999723"/>
    <n v="-5.5662111284327693"/>
    <n v="37560.685590737412"/>
    <n v="0.56088194362831234"/>
    <n v="38.043593131702139"/>
    <n v="38.043593131702139"/>
    <n v="100300"/>
    <s v="UREMAX"/>
    <s v="PARANAGUA"/>
    <s v="Additives"/>
    <s v="Domestic"/>
    <s v="02/2026"/>
    <s v="2026"/>
  </r>
  <r>
    <n v="13"/>
    <x v="1"/>
    <n v="2588"/>
    <s v="FERTILIZ. TOCANTINS - SINOP"/>
    <n v="8217"/>
    <s v="MT"/>
    <s v="UREMAX NBPT AMARELO ADITIVO INIBIDOR DE UREASE P/ FERTILIZANTES"/>
    <n v="24000"/>
    <n v="24000"/>
    <n v="887577.05070636433"/>
    <n v="-62059.200000000004"/>
    <n v="825517.85070636438"/>
    <n v="-382032.04121212143"/>
    <n v="-19700.094700000001"/>
    <n v="-11.074855043558118"/>
    <n v="423774.63993919938"/>
    <n v="0.51334400531326063"/>
    <n v="36.982377112765178"/>
    <n v="36.982377112765178"/>
    <n v="100300"/>
    <s v="UREMAX"/>
    <s v="SINOP"/>
    <s v="Additives"/>
    <s v="Domestic"/>
    <s v="02/2026"/>
    <s v="2026"/>
  </r>
  <r>
    <n v="13"/>
    <x v="1"/>
    <n v="729"/>
    <s v="FERTILIZ. TOCANTINS - S?O LUIS"/>
    <n v="8217"/>
    <s v="MA"/>
    <s v="UREMAX NBPT AMARELO ADITIVO INIBIDOR DE UREASE P/ FERTILIZANTES"/>
    <n v="24000"/>
    <n v="24000"/>
    <n v="951009.73651753925"/>
    <n v="-66494.400000000009"/>
    <n v="884515.33651753922"/>
    <n v="-382032.04121212143"/>
    <n v="-28539.757999999998"/>
    <n v="-16.044272255616523"/>
    <n v="473927.4930331622"/>
    <n v="0.53580472092104259"/>
    <n v="39.625405688230799"/>
    <n v="39.625405688230799"/>
    <n v="100300"/>
    <s v="UREMAX"/>
    <s v="SAO LUIS"/>
    <s v="Additives"/>
    <s v="Domestic"/>
    <s v="02/2026"/>
    <s v="2026"/>
  </r>
  <r>
    <n v="13"/>
    <x v="1"/>
    <n v="5325"/>
    <s v="FERTILIZE - ARAUCARIA-PR"/>
    <n v="8215"/>
    <s v="PR"/>
    <s v="UREMAX NBPT VERDE ADITIVO INIBIDOR DE UREASE P/ FERTILIZANTES"/>
    <n v="1000"/>
    <n v="1000"/>
    <n v="30595.058055389927"/>
    <n v="-3667.2"/>
    <n v="26927.858055389926"/>
    <n v="-13868.676000000001"/>
    <n v="-8663.5920000000024"/>
    <n v="-4.8704347373786883"/>
    <n v="4390.7196206525441"/>
    <n v="0.16305491553100676"/>
    <n v="30.595058055389927"/>
    <n v="30.595058055389927"/>
    <n v="100300"/>
    <s v="UREMAX"/>
    <s v="ARAUCARIA"/>
    <s v="Additives"/>
    <s v="Domestic"/>
    <s v="02/2026"/>
    <s v="2026"/>
  </r>
  <r>
    <n v="13"/>
    <x v="1"/>
    <n v="833"/>
    <s v="TERRENA - PATOS DE MINAS"/>
    <n v="8215"/>
    <s v="MG"/>
    <s v="UREMAX NBPT VERDE ADITIVO INIBIDOR DE UREASE P/ FERTILIZANTES"/>
    <n v="6000"/>
    <n v="6000"/>
    <n v="162185.84440357226"/>
    <n v="0"/>
    <n v="162185.84440357226"/>
    <n v="-83212.056000000011"/>
    <n v="-3639.2979999999998"/>
    <n v="-2.0459139117900267"/>
    <n v="75332.444489660469"/>
    <n v="0.46448224113941977"/>
    <n v="27.030974067262044"/>
    <n v="27.030974067262044"/>
    <n v="100300"/>
    <s v="UREMAX"/>
    <s v="PATOS DE MINAS"/>
    <s v="Additives"/>
    <s v="Domestic"/>
    <s v="02/2026"/>
    <s v="2026"/>
  </r>
  <r>
    <n v="13"/>
    <x v="1"/>
    <n v="10434"/>
    <s v="CIBRA - SINOP"/>
    <n v="8218"/>
    <s v="MT"/>
    <s v="UREMAX NBPT LARANJA ADITIVO INIBIDOR DE UREASE P/ FERTILIZANTES"/>
    <n v="24000"/>
    <n v="24000"/>
    <n v="619910.33860920952"/>
    <n v="-43344.000000000007"/>
    <n v="576566.33860920952"/>
    <n v="-274224.48"/>
    <n v="-19700.094700000001"/>
    <n v="-11.074855043558118"/>
    <n v="282630.68905416597"/>
    <n v="0.4901963054865921"/>
    <n v="25.829597442050396"/>
    <n v="25.829597442050396"/>
    <n v="100300"/>
    <s v="UREMAX"/>
    <s v="SINOP"/>
    <s v="Additives"/>
    <s v="Domestic"/>
    <s v="02/2026"/>
    <s v="2026"/>
  </r>
  <r>
    <n v="13"/>
    <x v="1"/>
    <n v="12287"/>
    <s v="GEN FERTILIZANTES - BARCARENA"/>
    <n v="8214"/>
    <s v="PA"/>
    <s v="UREMAX NBPT AZUL ADITIVO INIBIDOR DE UREASE P/ FERTILIZANTES"/>
    <n v="20000"/>
    <n v="20000"/>
    <n v="556637.83634806285"/>
    <n v="-38920.000000000007"/>
    <n v="517717.83634806285"/>
    <n v="-194996.86461538461"/>
    <n v="-31768.437837500001"/>
    <n v="-17.859347854332874"/>
    <n v="290934.6745473239"/>
    <n v="0.56195605814849281"/>
    <n v="27.831891817403143"/>
    <n v="27.831891817403143"/>
    <n v="100300"/>
    <s v="UREMAX"/>
    <s v="BARCARENA "/>
    <s v="Additives"/>
    <s v="Domestic"/>
    <s v="02/2026"/>
    <s v="2026"/>
  </r>
  <r>
    <n v="13"/>
    <x v="1"/>
    <n v="7443"/>
    <s v="MOSAIC - CATAL?O"/>
    <n v="8215"/>
    <s v="GO"/>
    <s v="UREMAX NBPT VERDE ADITIVO INIBIDOR DE UREASE P/ FERTILIZANTES"/>
    <n v="6000"/>
    <n v="6000"/>
    <n v="222254.67566415458"/>
    <n v="-15540.000000000002"/>
    <n v="206714.67566415458"/>
    <n v="-83212.056000000011"/>
    <n v="-2121.6959999999981"/>
    <n v="-1.1927595275213099"/>
    <n v="121379.73090462705"/>
    <n v="0.5871848745844751"/>
    <n v="37.042445944025765"/>
    <n v="37.042445944025765"/>
    <n v="100300"/>
    <s v="UREMAX"/>
    <s v="CATALAO"/>
    <s v="Additives"/>
    <s v="Domestic"/>
    <s v="02/2026"/>
    <s v="2026"/>
  </r>
  <r>
    <n v="13"/>
    <x v="1"/>
    <n v="2247"/>
    <s v="ADUBOS LEAO - LARANJEIRAS"/>
    <n v="8225"/>
    <s v="SE"/>
    <s v="UREMAX COAT AZUL ADITIVO INIBIDOR DE UREASE P/ FERTILIZANTES"/>
    <n v="1000"/>
    <n v="1000"/>
    <n v="30605.069527266693"/>
    <n v="-2139.9"/>
    <n v="28465.169527266691"/>
    <n v="-6905.932499999999"/>
    <n v="-12188.49139872"/>
    <n v="-6.8520368808419443"/>
    <n v="9363.8935916658502"/>
    <n v="0.32895969871868169"/>
    <n v="30.605069527266693"/>
    <n v="30.605069527266693"/>
    <n v="100300"/>
    <s v="UREMAX"/>
    <s v="LARANJEIRAS"/>
    <s v="Additives"/>
    <s v="Domestic"/>
    <s v="02/2026"/>
    <s v="2026"/>
  </r>
  <r>
    <n v="13"/>
    <x v="1"/>
    <n v="7648"/>
    <s v="LOUIS DREYFUS - PARANAGUA"/>
    <n v="8215"/>
    <s v="PR"/>
    <s v="UREMAX NBPT VERDE ADITIVO INIBIDOR DE UREASE P/ FERTILIZANTES"/>
    <n v="4000"/>
    <n v="4000"/>
    <n v="135355.09977384549"/>
    <n v="-16224"/>
    <n v="119131.09977384549"/>
    <n v="-55474.704000000005"/>
    <n v="-9901.2479999999723"/>
    <n v="-5.5662111284327693"/>
    <n v="53749.581562717081"/>
    <n v="0.45118010045028961"/>
    <n v="33.838774943461374"/>
    <n v="33.838774943461374"/>
    <n v="100300"/>
    <s v="UREMAX"/>
    <s v="PARANAGUA"/>
    <s v="Additives"/>
    <s v="Domestic"/>
    <s v="02/2026"/>
    <s v="2026"/>
  </r>
  <r>
    <n v="13"/>
    <x v="1"/>
    <n v="11580"/>
    <s v="AGRO MIL AGROS SAS - COLOMBIA"/>
    <n v="9680"/>
    <s v="EX"/>
    <s v="NITROPROTEC ORANGE - ADITIVO INIBIDOR DE UREASE P/ FERTILIZANTE NITROGENADO"/>
    <n v="2200"/>
    <n v="2200"/>
    <n v="91580.940139883809"/>
    <n v="0"/>
    <n v="91580.940139883809"/>
    <n v="-39115.207999999999"/>
    <n v="0"/>
    <n v="-456.73597676107477"/>
    <n v="52008.996163122734"/>
    <n v="0.56790196828818795"/>
    <n v="41.627700063583546"/>
    <n v="41.627700063583546"/>
    <n v="100300"/>
    <s v="UREMAX"/>
    <s v="SAN PEDRO DE LOS MILAGROS"/>
    <s v="Additives"/>
    <s v="International"/>
    <s v="02/2026"/>
    <s v="2026"/>
  </r>
  <r>
    <n v="13"/>
    <x v="1"/>
    <n v="31"/>
    <s v="SUL GOIANA - GOIATUBA"/>
    <n v="8214"/>
    <s v="GO"/>
    <s v="UREMAX NBPT AZUL ADITIVO INIBIDOR DE UREASE P/ FERTILIZANTES"/>
    <n v="8000"/>
    <n v="8000"/>
    <n v="208238.61503668537"/>
    <n v="-14560.000000000002"/>
    <n v="193678.61503668537"/>
    <n v="-77998.745846153848"/>
    <n v="-2386.9079999999967"/>
    <n v="-1.341854468461473"/>
    <n v="113291.61933606306"/>
    <n v="0.5849464553151833"/>
    <n v="26.02982687958567"/>
    <n v="26.02982687958567"/>
    <n v="100300"/>
    <s v="UREMAX"/>
    <s v="GOIATUBA"/>
    <s v="Additives"/>
    <s v="Domestic"/>
    <s v="02/2026"/>
    <s v="2026"/>
  </r>
  <r>
    <n v="13"/>
    <x v="1"/>
    <n v="2648"/>
    <s v="SQM - CHILE"/>
    <n v="13025"/>
    <s v="EX"/>
    <s v="UREMAX COAT GREEN ADITIVO INIBIDOR DE UREASE P/ FERTILIZANTES"/>
    <n v="2200"/>
    <n v="2200"/>
    <n v="58278.780089016967"/>
    <n v="0"/>
    <n v="58278.780089016967"/>
    <n v="-14837.32"/>
    <n v="0"/>
    <n v="-456.73597676107477"/>
    <n v="42984.724112255892"/>
    <n v="0.7375707598305864"/>
    <n v="26.490354585916805"/>
    <n v="26.490354585916805"/>
    <n v="100300"/>
    <s v="UREMAX"/>
    <s v="SANTIAGO"/>
    <s v="Additives"/>
    <s v="International"/>
    <s v="02/2026"/>
    <s v="2026"/>
  </r>
  <r>
    <n v="13"/>
    <x v="1"/>
    <n v="3232"/>
    <s v="FERTILIZ. TOCANTINS - ARAGUARI"/>
    <n v="8217"/>
    <s v="MG"/>
    <s v="UREMAX NBPT AMARELO ADITIVO INIBIDOR DE UREASE P/ FERTILIZANTES"/>
    <n v="24000"/>
    <n v="24000"/>
    <n v="1009156.365177783"/>
    <n v="-181440"/>
    <n v="827716.36517778295"/>
    <n v="-382032.04121212143"/>
    <n v="-3543.527"/>
    <n v="-1.9920740720060786"/>
    <n v="442138.80489158951"/>
    <n v="0.53416704500777112"/>
    <n v="42.048181882407626"/>
    <n v="42.048181882407626"/>
    <n v="100300"/>
    <s v="UREMAX"/>
    <s v="ARAGUARI"/>
    <s v="Additives"/>
    <s v="Domestic"/>
    <s v="02/2026"/>
    <s v="2026"/>
  </r>
  <r>
    <n v="13"/>
    <x v="1"/>
    <n v="10598"/>
    <s v="GEN FERTILIZANTES - BOM JESUS 2"/>
    <n v="8214"/>
    <s v="GO"/>
    <s v="UREMAX NBPT AZUL ADITIVO INIBIDOR DE UREASE P/ FERTILIZANTES"/>
    <n v="6000"/>
    <n v="6000"/>
    <n v="156178.96127751403"/>
    <n v="-10920.000000000002"/>
    <n v="145258.96127751403"/>
    <n v="-58499.059384615379"/>
    <n v="0"/>
    <n v="0"/>
    <n v="86759.901892898648"/>
    <n v="0.59727744939016725"/>
    <n v="26.02982687958567"/>
    <n v="26.02982687958567"/>
    <n v="100300"/>
    <s v="UREMAX"/>
    <s v="BOM JESUS"/>
    <s v="Additives"/>
    <s v="Domestic"/>
    <s v="02/2026"/>
    <s v="2026"/>
  </r>
  <r>
    <n v="13"/>
    <x v="1"/>
    <n v="5731"/>
    <s v="FERTILIZANTES ALIANCA - APARECIDA DE GOI"/>
    <n v="8214"/>
    <s v="GO"/>
    <s v="UREMAX NBPT AZUL ADITIVO INIBIDOR DE UREASE P/ FERTILIZANTES"/>
    <n v="1000"/>
    <n v="1000"/>
    <n v="32036.710005643905"/>
    <n v="-2240"/>
    <n v="29796.710005643905"/>
    <n v="-9749.843230769231"/>
    <n v="-3500.7983999999979"/>
    <n v="-1.9680532204101617"/>
    <n v="16544.100321654263"/>
    <n v="0.55523245078133066"/>
    <n v="32.036710005643904"/>
    <n v="32.036710005643904"/>
    <n v="100300"/>
    <s v="UREMAX"/>
    <s v="APARECIDA DE GOIANIA"/>
    <s v="Additives"/>
    <s v="Domestic"/>
    <s v="02/2026"/>
    <s v="2026"/>
  </r>
  <r>
    <n v="13"/>
    <x v="1"/>
    <n v="2494"/>
    <s v="ASOCIACION DE COOPERATIVAS ARGENTINAS CL"/>
    <n v="8204"/>
    <s v="EX"/>
    <s v="NITROPROTEC BLUE - ADITIVO INIBIDOR DE UREASE P/ FERTILIZANTE NITROGENADO"/>
    <n v="15400"/>
    <n v="15400"/>
    <n v="571995.43420701835"/>
    <n v="0"/>
    <n v="571995.43420701835"/>
    <n v="-306838.14399999997"/>
    <n v="0"/>
    <n v="-3197.1518373275239"/>
    <n v="261960.13836969086"/>
    <n v="0.45797592551216315"/>
    <n v="37.1425606627934"/>
    <n v="37.1425606627934"/>
    <n v="100300"/>
    <s v="UREMAX"/>
    <s v="BUENOS AIRES"/>
    <s v="Additives"/>
    <s v="International"/>
    <s v="02/2026"/>
    <s v="2026"/>
  </r>
  <r>
    <n v="13"/>
    <x v="1"/>
    <n v="97"/>
    <s v="FECOAGRO - SAO FRANCISCO DO SUL"/>
    <n v="8223"/>
    <s v="SC"/>
    <s v="UREMAX PLUS AZUL ADITIVO P/ INIBIR A NITRIFICACAO E VOLATIZACAO P/ FERTILIZANTES"/>
    <n v="12000"/>
    <n v="12000"/>
    <n v="456523.11758042563"/>
    <n v="-54720"/>
    <n v="401803.11758042563"/>
    <n v="-145756.38999999996"/>
    <n v="-9901.2479999999723"/>
    <n v="-5.5662111284327693"/>
    <n v="246139.91336929728"/>
    <n v="0.61258836131362138"/>
    <n v="38.043593131702139"/>
    <n v="38.043593131702139"/>
    <n v="100300"/>
    <s v="UREMAX"/>
    <s v="SAO FRANCISCO DO SUL"/>
    <s v="Additives"/>
    <s v="Domestic"/>
    <s v="02/2026"/>
    <s v="2026"/>
  </r>
  <r>
    <n v="13"/>
    <x v="1"/>
    <n v="1936"/>
    <s v="CIBRA - PARANAGUA II"/>
    <n v="8218"/>
    <s v="PR"/>
    <s v="UREMAX NBPT LARANJA ADITIVO INIBIDOR DE UREASE P/ FERTILIZANTES"/>
    <n v="12000"/>
    <n v="12000"/>
    <n v="360172.71223845158"/>
    <n v="-43171.199999999997"/>
    <n v="317001.51223845157"/>
    <n v="-137112.24"/>
    <n v="0"/>
    <n v="0"/>
    <n v="179889.27223845158"/>
    <n v="0.56747133781222203"/>
    <n v="30.014392686537633"/>
    <n v="30.014392686537633"/>
    <n v="100300"/>
    <s v="UREMAX"/>
    <s v="PARANAGUA"/>
    <s v="Additives"/>
    <s v="Domestic"/>
    <s v="02/2026"/>
    <s v="2026"/>
  </r>
  <r>
    <n v="13"/>
    <x v="1"/>
    <n v="12073"/>
    <s v="FERTILIZE - GUARAMIRIM-SC"/>
    <n v="8215"/>
    <s v="SC"/>
    <s v="UREMAX NBPT VERDE ADITIVO INIBIDOR DE UREASE P/ FERTILIZANTES"/>
    <n v="1000"/>
    <n v="1000"/>
    <n v="28152.258917459581"/>
    <n v="-3374.4"/>
    <n v="24777.85891745958"/>
    <n v="-13868.676000000001"/>
    <n v="-9547.6319999999869"/>
    <n v="-5.3674178738458922"/>
    <n v="1356.1834995857459"/>
    <n v="5.4733683975822414E-2"/>
    <n v="28.15225891745958"/>
    <n v="28.15225891745958"/>
    <n v="100300"/>
    <s v="UREMAX"/>
    <s v="GUARAMIRIM"/>
    <s v="Additives"/>
    <s v="Domestic"/>
    <s v="02/2026"/>
    <s v="2026"/>
  </r>
  <r>
    <n v="11"/>
    <x v="1"/>
    <n v="5300"/>
    <s v="FOSNOR - LUIS EDUARDO MAGALHAES"/>
    <n v="4246"/>
    <s v="BA"/>
    <s v="MAX OIL GRGL ADITIVO ANTI-PO P/ FERTILIZANTES"/>
    <n v="90000"/>
    <n v="90000"/>
    <n v="526500"/>
    <n v="-36855"/>
    <n v="489645"/>
    <n v="-238031.33000000002"/>
    <n v="-46451.499494399999"/>
    <n v="-26.11376398390578"/>
    <n v="205136.05674161608"/>
    <n v="0.418948537698978"/>
    <n v="5.85"/>
    <n v="5.85"/>
    <n v="100700"/>
    <s v="MAX OIL"/>
    <s v="LUIS EDUARDO MAGALHAES"/>
    <s v="Additives"/>
    <s v="Domestic"/>
    <s v="02/2026"/>
    <s v="2026"/>
  </r>
  <r>
    <n v="11"/>
    <x v="1"/>
    <n v="506"/>
    <s v="FERTINOR - MARUIM"/>
    <n v="14142"/>
    <s v="SE"/>
    <s v="MAX OIL MT IBC ADITIVO ANTI-PO P/ FERTILIZANTES"/>
    <n v="15000"/>
    <n v="15000"/>
    <n v="94800"/>
    <n v="-6636.0000000000009"/>
    <n v="88164"/>
    <n v="-47595.968446601946"/>
    <n v="-24356.873923200001"/>
    <n v="-13.692769101950596"/>
    <n v="16197.464861096103"/>
    <n v="0.18371971395463119"/>
    <n v="6.32"/>
    <n v="6.32"/>
    <n v="100700"/>
    <s v="MAX OIL"/>
    <s v="MARUIM"/>
    <s v="Additives"/>
    <s v="Domestic"/>
    <s v="02/2026"/>
    <s v="2026"/>
  </r>
  <r>
    <n v="11"/>
    <x v="1"/>
    <n v="456"/>
    <s v="FERTIPAR - CANDEIAS"/>
    <n v="3353"/>
    <s v="BA"/>
    <s v="MAX OIL MTF ADITIVO ANTI-PO P/ FERTILIZANTES"/>
    <n v="30000"/>
    <n v="30000"/>
    <n v="185400"/>
    <n v="-12978.000000000002"/>
    <n v="172422"/>
    <n v="-99074.17"/>
    <n v="-21548.474999999999"/>
    <n v="-12.113963951388314"/>
    <n v="51787.241036048617"/>
    <n v="0.30035170126810162"/>
    <n v="6.18"/>
    <n v="6.18"/>
    <n v="100700"/>
    <s v="MAX OIL"/>
    <s v="CANDEIAS"/>
    <s v="Additives"/>
    <s v="Domestic"/>
    <s v="02/2026"/>
    <s v="2026"/>
  </r>
  <r>
    <n v="11"/>
    <x v="1"/>
    <n v="1787"/>
    <s v="MOSAIC - UBERABA (CIU1)"/>
    <n v="3359"/>
    <s v="MG"/>
    <s v="MAX OIL GRV ADITIVO ANTI-PO P/ FERTILIZANTES"/>
    <n v="240000"/>
    <n v="240000"/>
    <n v="931200"/>
    <n v="0"/>
    <n v="931200"/>
    <n v="-598632.30000000005"/>
    <n v="-19537.284"/>
    <n v="-10.983327315925406"/>
    <n v="313019.43267268402"/>
    <n v="0.33614629797324314"/>
    <n v="3.88"/>
    <n v="3.88"/>
    <n v="100700"/>
    <s v="MAX OIL"/>
    <s v="UBERABA"/>
    <s v="Additives"/>
    <s v="Domestic"/>
    <s v="02/2026"/>
    <s v="2026"/>
  </r>
  <r>
    <n v="11"/>
    <x v="1"/>
    <n v="1788"/>
    <s v="MOSAIC - UBERABA (CIU2)"/>
    <n v="3359"/>
    <s v="MG"/>
    <s v="MAX OIL GRV ADITIVO ANTI-PO P/ FERTILIZANTES"/>
    <n v="30000"/>
    <n v="30000"/>
    <n v="116400"/>
    <n v="0"/>
    <n v="116400"/>
    <n v="-74829.037500000006"/>
    <n v="-2442.1605"/>
    <n v="-1.3729159144906757"/>
    <n v="39127.429084085503"/>
    <n v="0.33614629797324314"/>
    <n v="3.88"/>
    <n v="3.88"/>
    <n v="100700"/>
    <s v="MAX OIL"/>
    <s v="UBERABA"/>
    <s v="Additives"/>
    <s v="Domestic"/>
    <s v="02/2026"/>
    <s v="2026"/>
  </r>
  <r>
    <n v="11"/>
    <x v="1"/>
    <n v="507"/>
    <s v="FERTIAL FERTILIZANTES USIFERTIL - MACEIO"/>
    <n v="14142"/>
    <s v="AL"/>
    <s v="MAX OIL MT IBC ADITIVO ANTI-PO P/ FERTILIZANTES"/>
    <n v="12000"/>
    <n v="12000"/>
    <n v="72960"/>
    <n v="-5107.2000000000007"/>
    <n v="67852.800000000003"/>
    <n v="-38076.774757281557"/>
    <n v="-21003.719143679999"/>
    <n v="-11.807717091424063"/>
    <n v="8760.4983819470235"/>
    <n v="0.12911034448021338"/>
    <n v="6.08"/>
    <n v="6.08"/>
    <n v="100700"/>
    <s v="MAX OIL"/>
    <s v="MACEIO"/>
    <s v="Additives"/>
    <s v="Domestic"/>
    <s v="02/2026"/>
    <s v="2026"/>
  </r>
  <r>
    <n v="11"/>
    <x v="1"/>
    <n v="8995"/>
    <s v="FERTIPOL - DOURADOS"/>
    <n v="3351"/>
    <s v="MS"/>
    <s v="MAX OIL MT ADITIVO ANTI-PO P/ FERTILIZANTES"/>
    <n v="30000"/>
    <n v="30000"/>
    <n v="160200"/>
    <n v="-11214.000000000002"/>
    <n v="148986"/>
    <n v="-97570.05"/>
    <n v="-11914.507987199999"/>
    <n v="-6.6980108919758328"/>
    <n v="39494.744001908024"/>
    <n v="0.26509030379973975"/>
    <n v="5.34"/>
    <n v="5.34"/>
    <n v="100700"/>
    <s v="MAX OIL"/>
    <s v="DOURADOS"/>
    <s v="Additives"/>
    <s v="Domestic"/>
    <s v="02/2026"/>
    <s v="2026"/>
  </r>
  <r>
    <n v="11"/>
    <x v="1"/>
    <n v="11724"/>
    <s v="HINOVE - REGISTRO/SP"/>
    <n v="14142"/>
    <s v="SP"/>
    <s v="MAX OIL MT IBC ADITIVO ANTI-PO P/ FERTILIZANTES"/>
    <n v="22800"/>
    <n v="22800"/>
    <n v="137940"/>
    <n v="-16552.8"/>
    <n v="121387.2"/>
    <n v="-72345.872038834961"/>
    <n v="-8959.5089176319998"/>
    <n v="-5.0367911441684932"/>
    <n v="40076.782252388861"/>
    <n v="0.3301565754246647"/>
    <n v="6.05"/>
    <n v="6.05"/>
    <n v="100700"/>
    <s v="MAX OIL"/>
    <s v="REGISTRO"/>
    <s v="Additives"/>
    <s v="Domestic"/>
    <s v="02/2026"/>
    <s v="2026"/>
  </r>
  <r>
    <n v="11"/>
    <x v="1"/>
    <n v="1789"/>
    <s v="MOSAIC - ARAXA (CMA)"/>
    <n v="3359"/>
    <s v="MG"/>
    <s v="MAX OIL GRV ADITIVO ANTI-PO P/ FERTILIZANTES"/>
    <n v="150000"/>
    <n v="150000"/>
    <n v="582000"/>
    <n v="0"/>
    <n v="582000"/>
    <n v="-374145.1875"/>
    <n v="-15835.738463999998"/>
    <n v="-8.9024195399678803"/>
    <n v="192010.17161646005"/>
    <n v="0.32991438422072172"/>
    <n v="3.88"/>
    <n v="3.88"/>
    <n v="100700"/>
    <s v="MAX OIL"/>
    <s v="ARAXA"/>
    <s v="Additives"/>
    <s v="Domestic"/>
    <s v="02/2026"/>
    <s v="2026"/>
  </r>
  <r>
    <n v="11"/>
    <x v="1"/>
    <n v="2225"/>
    <s v="ITAFOS"/>
    <n v="3351"/>
    <s v="TO"/>
    <s v="MAX OIL MT ADITIVO ANTI-PO P/ FERTILIZANTES"/>
    <n v="30000"/>
    <n v="30000"/>
    <n v="162000"/>
    <n v="-11340.000000000002"/>
    <n v="150660"/>
    <n v="-97570.05"/>
    <n v="-13774.578854399999"/>
    <n v="-7.7436919173053926"/>
    <n v="39307.627453682697"/>
    <n v="0.26090287703227594"/>
    <n v="5.4"/>
    <n v="5.4"/>
    <n v="100700"/>
    <s v="MAX OIL"/>
    <s v="ARRAIAS"/>
    <s v="Additives"/>
    <s v="Domestic"/>
    <s v="02/2026"/>
    <s v="2026"/>
  </r>
  <r>
    <n v="11"/>
    <x v="1"/>
    <n v="505"/>
    <s v="FERTINE - RECIFE"/>
    <n v="14142"/>
    <s v="PE"/>
    <s v="MAX OIL MT IBC ADITIVO ANTI-PO P/ FERTILIZANTES"/>
    <n v="12000"/>
    <n v="12000"/>
    <n v="84600"/>
    <n v="-5922.0000000000009"/>
    <n v="78678"/>
    <n v="-38076.774757281557"/>
    <n v="-18671.089731839998"/>
    <n v="-10.49637656236213"/>
    <n v="21919.639134316083"/>
    <n v="0.27859934332743691"/>
    <n v="7.05"/>
    <n v="7.05"/>
    <n v="100700"/>
    <s v="MAX OIL"/>
    <s v="RECIFE"/>
    <s v="Additives"/>
    <s v="Domestic"/>
    <s v="02/2026"/>
    <s v="2026"/>
  </r>
  <r>
    <n v="11"/>
    <x v="1"/>
    <n v="1792"/>
    <s v="MOSAIC - CATAL?O (CMC3)"/>
    <n v="3359"/>
    <s v="GO"/>
    <s v="MAX OIL GRV ADITIVO ANTI-PO P/ FERTILIZANTES"/>
    <n v="120000"/>
    <n v="120000"/>
    <n v="468000"/>
    <n v="-32760.000000000004"/>
    <n v="435240"/>
    <n v="-299316.15000000002"/>
    <n v="-9768.6419999999998"/>
    <n v="-5.4916636579627029"/>
    <n v="126149.71633634203"/>
    <n v="0.28983943648640298"/>
    <n v="3.9"/>
    <n v="3.9"/>
    <n v="100700"/>
    <s v="MAX OIL"/>
    <s v="CATALAO"/>
    <s v="Additives"/>
    <s v="Domestic"/>
    <s v="02/2026"/>
    <s v="2026"/>
  </r>
  <r>
    <n v="11"/>
    <x v="1"/>
    <n v="12629"/>
    <s v="EUROCHEM SERRA DO SALITRE"/>
    <n v="3359"/>
    <s v="MG"/>
    <s v="MAX OIL GRV ADITIVO ANTI-PO P/ FERTILIZANTES"/>
    <n v="60000"/>
    <n v="60000"/>
    <n v="327000"/>
    <n v="-58860"/>
    <n v="268140"/>
    <n v="-149658.07500000001"/>
    <n v="-8445.7271808000005"/>
    <n v="-4.7479570879828694"/>
    <n v="110031.44986211201"/>
    <n v="0.41035074909417474"/>
    <n v="5.45"/>
    <n v="5.45"/>
    <n v="100700"/>
    <s v="MAX OIL"/>
    <s v="SERRA DO SALITRE"/>
    <s v="Additives"/>
    <s v="Domestic"/>
    <s v="02/2026"/>
    <s v="2026"/>
  </r>
  <r>
    <n v="13"/>
    <x v="1"/>
    <n v="2"/>
    <s v="CARGILL - UBERLANDIA"/>
    <n v="3700"/>
    <s v="MG"/>
    <s v="CICOAT 41175"/>
    <n v="84000"/>
    <n v="84000"/>
    <n v="92400"/>
    <n v="-23640.539999999997"/>
    <n v="68759.460000000006"/>
    <n v="-17474.79"/>
    <n v="0"/>
    <n v="0"/>
    <n v="51284.670000000006"/>
    <n v="0.74585620654961515"/>
    <n v="1.1000000000000001"/>
    <n v="1.1000000000000001"/>
    <n v="100900"/>
    <s v="PA TERCEIROS"/>
    <s v="UBERLANDIA"/>
    <s v="Fertilizers"/>
    <s v="Domestic"/>
    <s v="02/2026"/>
    <s v="2026"/>
  </r>
  <r>
    <n v="11"/>
    <x v="1"/>
    <n v="9294"/>
    <s v="SOLINAG CIA.LTDA - EQUADOR"/>
    <n v="14150"/>
    <s v="EX"/>
    <s v="PHYTOHUMUS BIO IBC PRODUTO A BASE DE EXTRATO DE ALGAS E ACIDOS HUMICOS"/>
    <n v="1000"/>
    <n v="1000"/>
    <n v="31114.707561308238"/>
    <n v="0"/>
    <n v="31114.707561308238"/>
    <n v="-13512.14"/>
    <n v="-8553.5535359999994"/>
    <n v="-212.41583628323889"/>
    <n v="8836.5981890250005"/>
    <n v="0.28400068268722817"/>
    <n v="31.114707561308236"/>
    <n v="31.114707561308236"/>
    <n v="101000"/>
    <s v="PHYTOHUMUS"/>
    <s v="CUENCA"/>
    <s v="Additives"/>
    <s v="International"/>
    <s v="02/2026"/>
    <s v="2026"/>
  </r>
  <r>
    <n v="11"/>
    <x v="1"/>
    <n v="9294"/>
    <s v="SOLINAG CIA.LTDA - EQUADOR"/>
    <n v="4542"/>
    <s v="EX"/>
    <s v="RESIDEX GREEN ADITIVO ANTI PO P/ FERTILIZANTES"/>
    <n v="1000"/>
    <n v="1000"/>
    <n v="8640"/>
    <n v="0"/>
    <n v="8640"/>
    <n v="-2718.6099999999997"/>
    <n v="-8553.5535359999994"/>
    <n v="-212.41583628323889"/>
    <n v="-2844.5793722832382"/>
    <n v="-0.32923372364389331"/>
    <n v="8.64"/>
    <n v="8.64"/>
    <n v="101300"/>
    <s v="RESIDEX"/>
    <s v="CUENCA"/>
    <s v="Additives"/>
    <s v="International"/>
    <s v="02/2026"/>
    <s v="2026"/>
  </r>
  <r>
    <n v="11"/>
    <x v="1"/>
    <n v="215"/>
    <s v="UNIFERTIL - CANOAS UN2"/>
    <n v="14134"/>
    <s v="RS"/>
    <s v="RESIDEX 100 IBC ADITIVO ANTI PO P/ FERTILIZANTES"/>
    <n v="12000"/>
    <n v="12000"/>
    <n v="49920"/>
    <n v="-5990.4"/>
    <n v="43929.599999999999"/>
    <n v="-15622.71"/>
    <n v="-14321.447999999978"/>
    <n v="-8.051126810768837"/>
    <n v="13977.390873189252"/>
    <n v="0.31817705768295756"/>
    <n v="4.16"/>
    <n v="4.16"/>
    <n v="101300"/>
    <s v="RESIDEX"/>
    <s v="CANOAS"/>
    <s v="Additives"/>
    <s v="Domestic"/>
    <s v="02/2026"/>
    <s v="2026"/>
  </r>
  <r>
    <n v="11"/>
    <x v="1"/>
    <n v="9294"/>
    <s v="SOLINAG CIA.LTDA - EQUADOR"/>
    <n v="14143"/>
    <s v="EX"/>
    <s v="RESIDEX BLUE IBC ADITIVO ANTI PO P/ FERTILIZANTES"/>
    <n v="1000"/>
    <n v="1000"/>
    <n v="8640"/>
    <n v="0"/>
    <n v="8640"/>
    <n v="-1619.89"/>
    <n v="-8553.5535359999994"/>
    <n v="-212.41583628323889"/>
    <n v="-1745.8593722832386"/>
    <n v="-0.20206705697722668"/>
    <n v="8.64"/>
    <n v="8.64"/>
    <n v="101300"/>
    <s v="RESIDEX"/>
    <s v="CUENCA"/>
    <s v="Additives"/>
    <s v="International"/>
    <s v="02/2026"/>
    <s v="2026"/>
  </r>
  <r>
    <n v="11"/>
    <x v="1"/>
    <n v="16645"/>
    <s v="OPCAO AGRONEGOCIOS"/>
    <n v="8301"/>
    <s v="MG"/>
    <s v="BIOSINERGIC - BB - 20L PRODUTO A BASE DE EXTRATO DE ALGAS E ACIDOS HUMICOS"/>
    <n v="2"/>
    <n v="45.997932799283525"/>
    <n v="1216.6453225410494"/>
    <n v="-118.63363868996464"/>
    <n v="1098.0116838510849"/>
    <n v="-338.71934312263772"/>
    <n v="-11.102949296378783"/>
    <n v="-269.94956332135683"/>
    <n v="478.23982811071147"/>
    <n v="0.43555076429912704"/>
    <n v="608.32266127052469"/>
    <n v="26.450000000000003"/>
    <n v="101602"/>
    <s v="FERTILIZANTE LIQUIDOS"/>
    <s v="UBERLANDIA"/>
    <s v="Fertilizers"/>
    <s v="Domestic"/>
    <s v="02/2026"/>
    <s v="2026"/>
  </r>
  <r>
    <n v="11"/>
    <x v="1"/>
    <n v="13773"/>
    <s v="FERTLIZE AGRO"/>
    <n v="8368"/>
    <s v="MG"/>
    <s v="SULFORCE - BB - 18 L SOLUC?O ALTAMENTE CONCENTRADA EM ENXOFRE (60%)"/>
    <n v="36"/>
    <n v="591.91330586164838"/>
    <n v="6924.3651383987662"/>
    <n v="-623.16748307473972"/>
    <n v="6301.1976553240265"/>
    <n v="-2873.9478542918146"/>
    <n v="0"/>
    <n v="-1646.150377999691"/>
    <n v="1781.0994230325209"/>
    <n v="0.28266045924263766"/>
    <n v="192.34347606663241"/>
    <n v="11.698275862068966"/>
    <n v="101602"/>
    <s v="FERTILIZANTE LIQUIDOS"/>
    <s v="CRUZEIRO DA FORTALEZA"/>
    <s v="Fertilizers"/>
    <s v="Domestic"/>
    <s v="02/2026"/>
    <s v="2026"/>
  </r>
  <r>
    <n v="11"/>
    <x v="1"/>
    <n v="11326"/>
    <s v="VEGA AGRO"/>
    <n v="8301"/>
    <s v="MG"/>
    <s v="BIOSINERGIC - BB - 20L PRODUTO A BASE DE EXTRATO DE ALGAS E ACIDOS HUMICOS"/>
    <n v="3"/>
    <n v="68.996899198925291"/>
    <n v="1824.967983811574"/>
    <n v="-176.23231568150609"/>
    <n v="1648.7356681300678"/>
    <n v="-508.07901468395659"/>
    <n v="0"/>
    <n v="-401.72362848404691"/>
    <n v="738.93302496206434"/>
    <n v="0.44818162137544681"/>
    <n v="608.32266127052469"/>
    <n v="26.45"/>
    <n v="101602"/>
    <s v="FERTILIZANTE LIQUIDOS"/>
    <s v="PATOS DE MINAS"/>
    <s v="Fertilizers"/>
    <s v="Domestic"/>
    <s v="02/2026"/>
    <s v="2026"/>
  </r>
  <r>
    <n v="11"/>
    <x v="1"/>
    <n v="15906"/>
    <s v="CAMPEVO - JAU"/>
    <n v="8369"/>
    <s v="SP"/>
    <s v="SULFORCE IBC - 700 L - SOLUC?O ALTAMENTE CONCENTRADA EM ENXOFRE (60%) "/>
    <n v="3500"/>
    <n v="3197.0626088206318"/>
    <n v="34940.587008262453"/>
    <n v="-3144.5247655047806"/>
    <n v="31796.062242757675"/>
    <n v="-17074.682582790541"/>
    <n v="-864.28975496354849"/>
    <n v="-8378.7055450792104"/>
    <n v="5478.3843599243737"/>
    <n v="0.17229757314279409"/>
    <n v="9.9830248595035584"/>
    <n v="10.92896551724138"/>
    <n v="101602"/>
    <s v="FERTILIZANTE LIQUIDOS"/>
    <s v="JAU"/>
    <s v="Fertilizers"/>
    <s v="Domestic"/>
    <s v="02/2026"/>
    <s v="2026"/>
  </r>
  <r>
    <n v="11"/>
    <x v="1"/>
    <n v="15917"/>
    <s v="MINAS FARM"/>
    <n v="8301"/>
    <s v="MG"/>
    <s v="BIOSINERGIC - BB - 20L PRODUTO A BASE DE EXTRATO DE ALGAS E ACIDOS HUMICOS"/>
    <n v="4"/>
    <n v="91.99586559856705"/>
    <n v="2433.2906450820988"/>
    <n v="-237.26727737992928"/>
    <n v="2196.0233677021697"/>
    <n v="-677.43868624527545"/>
    <n v="-22.205898592757567"/>
    <n v="-537.72297964405482"/>
    <n v="958.65580322008179"/>
    <n v="0.43654171322556579"/>
    <n v="608.32266127052469"/>
    <n v="26.450000000000003"/>
    <n v="101602"/>
    <s v="FERTILIZANTE LIQUIDOS"/>
    <s v="UBERLANDIA"/>
    <s v="Fertilizers"/>
    <s v="Domestic"/>
    <s v="02/2026"/>
    <s v="2026"/>
  </r>
  <r>
    <n v="11"/>
    <x v="1"/>
    <n v="15908"/>
    <s v="CAMPEVO - S?O JOSE DO RIO PRETO"/>
    <n v="8368"/>
    <s v="SP"/>
    <s v="SULFORCE - BB - 18 L SOLUC?O ALTAMENTE CONCENTRADA EM ENXOFRE (60%)"/>
    <n v="500"/>
    <n v="8221.0181369673392"/>
    <n v="98453.779274784727"/>
    <n v="-8860.4792791229465"/>
    <n v="89593.299995661786"/>
    <n v="-39915.94242071965"/>
    <n v="-2222.4593699062671"/>
    <n v="-23344.125133378966"/>
    <n v="24110.773071656902"/>
    <n v="0.26911357292146149"/>
    <n v="196.90755854956944"/>
    <n v="11.975862068965519"/>
    <n v="101602"/>
    <s v="FERTILIZANTE LIQUIDOS"/>
    <s v="SAO JOSE DO RIO PRETO"/>
    <s v="Fertilizers"/>
    <s v="Domestic"/>
    <s v="02/2026"/>
    <s v="2026"/>
  </r>
  <r>
    <n v="11"/>
    <x v="1"/>
    <n v="15908"/>
    <s v="CAMPEVO - S?O JOSE DO RIO PRETO"/>
    <n v="13004"/>
    <s v="SP"/>
    <s v="BIOSINERGIC K - BB - 20L PRODUTO A BASE DE EXTRATO DE ALGAS E ACIDOS HUMICOS"/>
    <n v="63"/>
    <n v="1448.9348831774312"/>
    <n v="38324.327660043054"/>
    <n v="-3570.9870673914984"/>
    <n v="34753.340592651555"/>
    <n v="-10286.883842143669"/>
    <n v="-391.70317518477435"/>
    <n v="-8443.4737331950491"/>
    <n v="15631.279842128064"/>
    <n v="0.44977776454195689"/>
    <n v="608.32266127052469"/>
    <n v="26.45"/>
    <n v="101602"/>
    <s v="FERTILIZANTE LIQUIDOS"/>
    <s v="SAO JOSE DO RIO PRETO"/>
    <s v="Fertilizers"/>
    <s v="Domestic"/>
    <s v="02/2026"/>
    <s v="2026"/>
  </r>
  <r>
    <n v="11"/>
    <x v="1"/>
    <n v="14166"/>
    <s v="TAKI AGRO - TRES CORAC?ES"/>
    <n v="8416"/>
    <s v="MG"/>
    <s v="BIOSINERGIC N - BB - 5L PRODUTO A BASE DE EXTRATO DE ALGAS E ACIDOS HUMICOS"/>
    <n v="50"/>
    <n v="287.48707999552204"/>
    <n v="7604.0332658815578"/>
    <n v="-7.1589264726702808"/>
    <n v="7596.8743394088879"/>
    <n v="-2464.5065149317938"/>
    <n v="-69.393433102367396"/>
    <n v="-1705.1391188791463"/>
    <n v="3357.8352724955807"/>
    <n v="0.44200221334144824"/>
    <n v="152.08066531763114"/>
    <n v="26.45"/>
    <n v="101602"/>
    <s v="FERTILIZANTE LIQUIDOS"/>
    <s v="TRES CORACOES"/>
    <s v="Fertilizers"/>
    <s v="Domestic"/>
    <s v="02/2026"/>
    <s v="2026"/>
  </r>
  <r>
    <n v="11"/>
    <x v="1"/>
    <n v="7060"/>
    <s v="AGROVIVA"/>
    <n v="8368"/>
    <s v="MG"/>
    <s v="SULFORCE - BB - 18 L SOLUC?O ALTAMENTE CONCENTRADA EM ENXOFRE (60%)"/>
    <n v="100"/>
    <n v="1644.2036273934677"/>
    <n v="19690.755854956944"/>
    <n v="-1772.0958558245893"/>
    <n v="17918.659999132353"/>
    <n v="-7983.1884841439287"/>
    <n v="-396.8767376466991"/>
    <n v="-4672.7445670120651"/>
    <n v="4865.8502103296614"/>
    <n v="0.27155212558111336"/>
    <n v="196.90755854956944"/>
    <n v="11.975862068965517"/>
    <n v="101602"/>
    <s v="FERTILIZANTE LIQUIDOS"/>
    <s v="TRES PONTAS"/>
    <s v="Fertilizers"/>
    <s v="Domestic"/>
    <s v="02/2026"/>
    <s v="2026"/>
  </r>
  <r>
    <n v="11"/>
    <x v="1"/>
    <n v="12653"/>
    <s v="APROVAR AGROPECUARIA COMERCIO"/>
    <n v="8301"/>
    <s v="MG"/>
    <s v="BIOSINERGIC - BB - 20L PRODUTO A BASE DE EXTRATO DE ALGAS E ACIDOS HUMICOS"/>
    <n v="50"/>
    <n v="1149.9483199820882"/>
    <n v="30416.133063526231"/>
    <n v="-2965.8409672491161"/>
    <n v="27450.292096277117"/>
    <n v="-8467.9835780659432"/>
    <n v="-277.57373240946959"/>
    <n v="-6698.3195562114615"/>
    <n v="12006.415229590244"/>
    <n v="0.43738752168755929"/>
    <n v="608.32266127052458"/>
    <n v="26.45"/>
    <n v="101602"/>
    <s v="FERTILIZANTE LIQUIDOS"/>
    <s v="VARGINHA"/>
    <s v="Fertilizers"/>
    <s v="Domestic"/>
    <s v="02/2026"/>
    <s v="2026"/>
  </r>
  <r>
    <n v="11"/>
    <x v="1"/>
    <n v="16645"/>
    <s v="OPCAO AGRONEGOCIOS"/>
    <n v="8368"/>
    <s v="MG"/>
    <s v="SULFORCE - BB - 18 L SOLUC?O ALTAMENTE CONCENTRADA EM ENXOFRE (60%)"/>
    <n v="28"/>
    <n v="460.37701567017092"/>
    <n v="5513.4116393879431"/>
    <n v="-496.186839630885"/>
    <n v="5017.2247997570585"/>
    <n v="-2235.2927755603"/>
    <n v="-111.12548654107576"/>
    <n v="-1309.3084630405974"/>
    <n v="1361.4980746150854"/>
    <n v="0.27136477414386756"/>
    <n v="196.90755854956939"/>
    <n v="11.975862068965517"/>
    <n v="101602"/>
    <s v="FERTILIZANTE LIQUIDOS"/>
    <s v="UBERLANDIA"/>
    <s v="Fertilizers"/>
    <s v="Domestic"/>
    <s v="02/2026"/>
    <s v="2026"/>
  </r>
  <r>
    <n v="11"/>
    <x v="1"/>
    <n v="15904"/>
    <s v="CAMPEVO - JALES"/>
    <n v="8368"/>
    <s v="SP"/>
    <s v="SULFORCE - BB - 18 L SOLUC?O ALTAMENTE CONCENTRADA EM ENXOFRE (60%)"/>
    <n v="500"/>
    <n v="8221.0181369673392"/>
    <n v="98453.779274784727"/>
    <n v="-8860.4792791229465"/>
    <n v="89593.299995661786"/>
    <n v="-39915.94242071965"/>
    <n v="-2222.4593699062671"/>
    <n v="-23344.125133378966"/>
    <n v="24110.773071656902"/>
    <n v="0.26911357292146149"/>
    <n v="196.90755854956944"/>
    <n v="11.975862068965519"/>
    <n v="101602"/>
    <s v="FERTILIZANTE LIQUIDOS"/>
    <s v="JALES"/>
    <s v="Fertilizers"/>
    <s v="Domestic"/>
    <s v="02/2026"/>
    <s v="2026"/>
  </r>
  <r>
    <n v="11"/>
    <x v="1"/>
    <n v="15906"/>
    <s v="CAMPEVO - JAU"/>
    <n v="8368"/>
    <s v="SP"/>
    <s v="SULFORCE - BB - 18 L SOLUC?O ALTAMENTE CONCENTRADA EM ENXOFRE (60%)"/>
    <n v="500"/>
    <n v="8221.0181369673392"/>
    <n v="98453.779274784727"/>
    <n v="-8860.4792791229465"/>
    <n v="89593.299995661786"/>
    <n v="-39915.94242071965"/>
    <n v="-2222.4593699062671"/>
    <n v="-23344.771211456373"/>
    <n v="24110.126993579495"/>
    <n v="0.26910636168940016"/>
    <n v="196.90755854956944"/>
    <n v="11.975862068965519"/>
    <n v="101602"/>
    <s v="FERTILIZANTE LIQUIDOS"/>
    <s v="JAU"/>
    <s v="Fertilizers"/>
    <s v="Domestic"/>
    <s v="02/2026"/>
    <s v="2026"/>
  </r>
  <r>
    <n v="11"/>
    <x v="1"/>
    <n v="15906"/>
    <s v="CAMPEVO - JAU"/>
    <n v="13004"/>
    <s v="SP"/>
    <s v="BIOSINERGIC K - BB - 20L PRODUTO A BASE DE EXTRATO DE ALGAS E ACIDOS HUMICOS"/>
    <n v="63"/>
    <n v="1448.9348831774312"/>
    <n v="38324.327660043054"/>
    <n v="-3570.9870673914984"/>
    <n v="34753.340592651555"/>
    <n v="-10286.883842143669"/>
    <n v="-391.70317518477435"/>
    <n v="-8444.119811272456"/>
    <n v="15630.633764050657"/>
    <n v="0.44975917415420169"/>
    <n v="608.32266127052469"/>
    <n v="26.45"/>
    <n v="101602"/>
    <s v="FERTILIZANTE LIQUIDOS"/>
    <s v="JAU"/>
    <s v="Fertilizers"/>
    <s v="Domestic"/>
    <s v="02/2026"/>
    <s v="2026"/>
  </r>
  <r>
    <n v="11"/>
    <x v="1"/>
    <n v="15917"/>
    <s v="MINAS FARM"/>
    <n v="8368"/>
    <s v="MG"/>
    <s v="SULFORCE - BB - 18 L SOLUC?O ALTAMENTE CONCENTRADA EM ENXOFRE (60%)"/>
    <n v="111"/>
    <n v="1825.0660264067492"/>
    <n v="21350.125843396196"/>
    <n v="-1921.4330728137807"/>
    <n v="19428.692770582416"/>
    <n v="-8861.3392173997618"/>
    <n v="0"/>
    <n v="-5075.6303321657142"/>
    <n v="5491.7232210169404"/>
    <n v="0.28266045924263766"/>
    <n v="192.34347606663241"/>
    <n v="11.698275862068966"/>
    <n v="101602"/>
    <s v="FERTILIZANTE LIQUIDOS"/>
    <s v="UBERLANDIA"/>
    <s v="Fertilizers"/>
    <s v="Domestic"/>
    <s v="02/2026"/>
    <s v="2026"/>
  </r>
  <r>
    <n v="11"/>
    <x v="1"/>
    <n v="15858"/>
    <s v="SAGRA - SANTA JULIANA"/>
    <n v="8368"/>
    <s v="MG"/>
    <s v="SULFORCE - BB - 18 L SOLUC?O ALTAMENTE CONCENTRADA EM ENXOFRE (60%)"/>
    <n v="56"/>
    <n v="920.75403134034184"/>
    <n v="10771.234659731414"/>
    <n v="-969.37164033848399"/>
    <n v="9801.8630193929293"/>
    <n v="-4470.5855511206"/>
    <n v="0"/>
    <n v="-2560.6783657772971"/>
    <n v="2770.5991024950322"/>
    <n v="0.28266045924263766"/>
    <n v="192.34347606663238"/>
    <n v="11.698275862068966"/>
    <n v="101602"/>
    <s v="FERTILIZANTE LIQUIDOS"/>
    <s v="SANTA JULIANA"/>
    <s v="Fertilizers"/>
    <s v="Domestic"/>
    <s v="02/2026"/>
    <s v="2026"/>
  </r>
  <r>
    <n v="11"/>
    <x v="1"/>
    <n v="13773"/>
    <s v="FERTLIZE AGRO"/>
    <n v="8301"/>
    <s v="MG"/>
    <s v="BIOSINERGIC - BB - 20L PRODUTO A BASE DE EXTRATO DE ALGAS E ACIDOS HUMICOS"/>
    <n v="2"/>
    <n v="45.997932799283525"/>
    <n v="1216.6453225410494"/>
    <n v="-117.48821045433741"/>
    <n v="1099.157112086712"/>
    <n v="-338.71934312263772"/>
    <n v="0"/>
    <n v="-267.81575232269802"/>
    <n v="492.62201664137626"/>
    <n v="0.44818162137544676"/>
    <n v="608.32266127052469"/>
    <n v="26.450000000000003"/>
    <n v="101602"/>
    <s v="FERTILIZANTE LIQUIDOS"/>
    <s v="CRUZEIRO DA FORTALEZA"/>
    <s v="Fertilizers"/>
    <s v="Domestic"/>
    <s v="02/2026"/>
    <s v="2026"/>
  </r>
  <r>
    <n v="11"/>
    <x v="1"/>
    <n v="15905"/>
    <s v="CAMPEVO - ITAPETININGA"/>
    <n v="13004"/>
    <s v="SP"/>
    <s v="BIOSINERGIC K - BB - 20L PRODUTO A BASE DE EXTRATO DE ALGAS E ACIDOS HUMICOS"/>
    <n v="23"/>
    <n v="528.97622719176059"/>
    <n v="13991.421209222068"/>
    <n v="-1303.6936912699121"/>
    <n v="12687.727517952157"/>
    <n v="-3755.5290217349902"/>
    <n v="-143.00274649602875"/>
    <n v="-3085.8872094539593"/>
    <n v="5703.3085402671777"/>
    <n v="0.44951379450712792"/>
    <n v="608.32266127052469"/>
    <n v="26.45"/>
    <n v="101602"/>
    <s v="FERTILIZANTE LIQUIDOS"/>
    <s v="ITAPETININGA"/>
    <s v="Fertilizers"/>
    <s v="Domestic"/>
    <s v="02/2026"/>
    <s v="2026"/>
  </r>
  <r>
    <n v="11"/>
    <x v="1"/>
    <n v="15904"/>
    <s v="CAMPEVO - JALES"/>
    <n v="13004"/>
    <s v="SP"/>
    <s v="BIOSINERGIC K - BB - 20L PRODUTO A BASE DE EXTRATO DE ALGAS E ACIDOS HUMICOS"/>
    <n v="71"/>
    <n v="1632.9266143745651"/>
    <n v="43190.908950207246"/>
    <n v="-4024.445742615816"/>
    <n v="39166.463207591427"/>
    <n v="-11593.154806225402"/>
    <n v="-441.44326092252351"/>
    <n v="-9515.3463808858396"/>
    <n v="17616.518759557664"/>
    <n v="0.44978579419300613"/>
    <n v="608.32266127052458"/>
    <n v="26.45"/>
    <n v="101602"/>
    <s v="FERTILIZANTE LIQUIDOS"/>
    <s v="JALES"/>
    <s v="Fertilizers"/>
    <s v="Domestic"/>
    <s v="02/2026"/>
    <s v="2026"/>
  </r>
  <r>
    <n v="11"/>
    <x v="1"/>
    <n v="11326"/>
    <s v="VEGA AGRO"/>
    <n v="8368"/>
    <s v="MG"/>
    <s v="SULFORCE - BB - 18 L SOLUC?O ALTAMENTE CONCENTRADA EM ENXOFRE (60%)"/>
    <n v="28"/>
    <n v="460.37701567017092"/>
    <n v="5385.6173298657068"/>
    <n v="-484.68582016924199"/>
    <n v="4900.9315096964647"/>
    <n v="-2235.2927755603"/>
    <n v="0"/>
    <n v="-1280.3391828886486"/>
    <n v="1385.2995512475161"/>
    <n v="0.28266045924263766"/>
    <n v="192.34347606663238"/>
    <n v="11.698275862068966"/>
    <n v="101602"/>
    <s v="FERTILIZANTE LIQUIDOS"/>
    <s v="PATOS DE MINAS"/>
    <s v="Fertilizers"/>
    <s v="Domestic"/>
    <s v="02/2026"/>
    <s v="2026"/>
  </r>
  <r>
    <n v="11"/>
    <x v="1"/>
    <n v="16107"/>
    <s v="CONNTACTA AGRONEGOCIOS"/>
    <n v="8368"/>
    <s v="MG"/>
    <s v="SULFORCE - BB - 18 L SOLUC?O ALTAMENTE CONCENTRADA EM ENXOFRE (60%)"/>
    <n v="735"/>
    <n v="12084.896661341987"/>
    <n v="144727.05553393351"/>
    <n v="-13024.904540310732"/>
    <n v="131702.15099362278"/>
    <n v="-58676.435358457878"/>
    <n v="-2917.0440217032383"/>
    <n v="-34315.609822023296"/>
    <n v="35793.061791438362"/>
    <n v="0.27177279582298935"/>
    <n v="196.90755854956942"/>
    <n v="11.975862068965517"/>
    <n v="101602"/>
    <s v="FERTILIZANTE LIQUIDOS"/>
    <s v="ALFENAS "/>
    <s v="Fertilizers"/>
    <s v="Domestic"/>
    <s v="02/2026"/>
    <s v="2026"/>
  </r>
  <r>
    <n v="11"/>
    <x v="1"/>
    <n v="14166"/>
    <s v="TAKI AGRO - TRES CORAC?ES"/>
    <n v="8368"/>
    <s v="MG"/>
    <s v="SULFORCE - BB - 18 L SOLUC?O ALTAMENTE CONCENTRADA EM ENXOFRE (60%)"/>
    <n v="735"/>
    <n v="12084.896661341987"/>
    <n v="144727.05553393351"/>
    <n v="-13024.904540310732"/>
    <n v="131702.15099362278"/>
    <n v="-58676.435358457878"/>
    <n v="-2917.0440217032383"/>
    <n v="-34316.638162963172"/>
    <n v="35792.033450498486"/>
    <n v="0.27176498774292296"/>
    <n v="196.90755854956942"/>
    <n v="11.975862068965517"/>
    <n v="101602"/>
    <s v="FERTILIZANTE LIQUIDOS"/>
    <s v="TRES CORACOES"/>
    <s v="Fertilizers"/>
    <s v="Domestic"/>
    <s v="02/2026"/>
    <s v="2026"/>
  </r>
  <r>
    <n v="11"/>
    <x v="1"/>
    <n v="15905"/>
    <s v="CAMPEVO - ITAPETININGA"/>
    <n v="8368"/>
    <s v="SP"/>
    <s v="SULFORCE - BB - 18 L SOLUC?O ALTAMENTE CONCENTRADA EM ENXOFRE (60%)"/>
    <n v="170"/>
    <n v="2795.1461665688953"/>
    <n v="33474.284953426803"/>
    <n v="-3012.5629549018022"/>
    <n v="30461.721998525001"/>
    <n v="-13571.420423044681"/>
    <n v="-755.63618576813087"/>
    <n v="-7940.4138375975599"/>
    <n v="8194.2515521146288"/>
    <n v="0.26900158672945035"/>
    <n v="196.90755854956942"/>
    <n v="11.975862068965517"/>
    <n v="101602"/>
    <s v="FERTILIZANTE LIQUIDOS"/>
    <s v="ITAPETININGA"/>
    <s v="Fertilizers"/>
    <s v="Domestic"/>
    <s v="02/2026"/>
    <s v="2026"/>
  </r>
  <r>
    <n v="11"/>
    <x v="1"/>
    <n v="14298"/>
    <s v="SAGRA - BAMBUI"/>
    <n v="8368"/>
    <s v="MG"/>
    <s v="SULFORCE - BB - 18 L SOLUC?O ALTAMENTE CONCENTRADA EM ENXOFRE (60%)"/>
    <n v="200"/>
    <n v="3288.4072547869355"/>
    <n v="39381.511709913888"/>
    <n v="-3544.1917116491786"/>
    <n v="35837.319998264706"/>
    <n v="-15966.376968287857"/>
    <n v="-793.7534752933982"/>
    <n v="-9339.1866423790198"/>
    <n v="9738.0029123044333"/>
    <n v="0.27172798950300864"/>
    <n v="196.90755854956944"/>
    <n v="11.975862068965517"/>
    <n v="101602"/>
    <s v="FERTILIZANTE LIQUIDOS"/>
    <s v="BAMBUI "/>
    <s v="Fertilizers"/>
    <s v="Domestic"/>
    <s v="02/2026"/>
    <s v="2026"/>
  </r>
  <r>
    <n v="11"/>
    <x v="1"/>
    <n v="15858"/>
    <s v="SAGRA - SANTA JULIANA"/>
    <n v="8301"/>
    <s v="MG"/>
    <s v="BIOSINERGIC - BB - 20L PRODUTO A BASE DE EXTRATO DE ALGAS E ACIDOS HUMICOS"/>
    <n v="5"/>
    <n v="114.99483199820881"/>
    <n v="3041.6133063526231"/>
    <n v="-293.7205261358435"/>
    <n v="2747.8927802167796"/>
    <n v="-846.79835780659425"/>
    <n v="0"/>
    <n v="-669.53938080674493"/>
    <n v="1231.5550416034405"/>
    <n v="0.44818162137544676"/>
    <n v="608.32266127052458"/>
    <n v="26.45"/>
    <n v="101602"/>
    <s v="FERTILIZANTE LIQUIDOS"/>
    <s v="SANTA JULIANA"/>
    <s v="Fertilizers"/>
    <s v="Domestic"/>
    <s v="02/2026"/>
    <s v="2026"/>
  </r>
  <r>
    <n v="11"/>
    <x v="1"/>
    <n v="6477"/>
    <s v="MOSAIC - PARANAGUA II"/>
    <n v="4676"/>
    <s v="PR"/>
    <s v="R-COAT ADITIVO ANTIEMBLOCANTE P/ FERTILIZANTES"/>
    <n v="30000"/>
    <n v="30000"/>
    <n v="344726.51110161265"/>
    <n v="-40320"/>
    <n v="304406.51110161265"/>
    <n v="-176317.63"/>
    <n v="-14049.6057"/>
    <n v="-7.8983044963051814"/>
    <n v="114031.37709711633"/>
    <n v="0.37460229311275145"/>
    <n v="11.490883703387087"/>
    <n v="11.490883703387087"/>
    <n v="101900"/>
    <s v="HIGROSCOPICIDADE"/>
    <s v="PARANAGUA"/>
    <s v="Additives"/>
    <s v="Domestic"/>
    <s v="02/2026"/>
    <s v="2026"/>
  </r>
  <r>
    <n v="11"/>
    <x v="1"/>
    <n v="903"/>
    <s v="YARA - PONTA GROSSA"/>
    <n v="4627"/>
    <s v="PR"/>
    <s v="COAT BIO GR ADITIVO ANTI-PO P/ FERTILIZANTES"/>
    <n v="60000"/>
    <n v="60000"/>
    <n v="514706.07522600587"/>
    <n v="-61560"/>
    <n v="453146.07522600587"/>
    <n v="-324713.22200000007"/>
    <n v="-23627.927231999998"/>
    <n v="-13.28297518661874"/>
    <n v="104791.64301881917"/>
    <n v="0.2312535598295859"/>
    <n v="8.578434587100098"/>
    <n v="8.578434587100098"/>
    <n v="102200"/>
    <s v="COAT BIO"/>
    <s v="PONTA GROSSA"/>
    <s v="Additives"/>
    <s v="Domestic"/>
    <s v="02/2026"/>
    <s v="2026"/>
  </r>
  <r>
    <n v="11"/>
    <x v="1"/>
    <n v="1159"/>
    <s v="YARA - RIO GRANDE"/>
    <n v="4627"/>
    <s v="RS"/>
    <s v="COAT BIO GR ADITIVO ANTI-PO P/ FERTILIZANTES"/>
    <n v="240000"/>
    <n v="240000"/>
    <n v="2179223.3828282352"/>
    <n v="-260640"/>
    <n v="1918583.3828282352"/>
    <n v="-1298852.8880000003"/>
    <n v="-195372.84"/>
    <n v="-109.83327315925405"/>
    <n v="424247.82155507564"/>
    <n v="0.22112555823853772"/>
    <n v="9.0800974284509799"/>
    <n v="9.0800974284509799"/>
    <n v="102200"/>
    <s v="COAT BIO"/>
    <s v="RIO GRANDE"/>
    <s v="Additives"/>
    <s v="Domestic"/>
    <s v="02/2026"/>
    <s v="2026"/>
  </r>
  <r>
    <n v="11"/>
    <x v="1"/>
    <n v="3273"/>
    <s v="FERTIMAXI - CONCEICAO DO JACUIPE"/>
    <n v="12293"/>
    <s v="BA"/>
    <s v="COATMAX BMZ 366 - MICRONUTRIENTE LIQUIDO"/>
    <n v="14400"/>
    <n v="14400"/>
    <n v="101299.88471865047"/>
    <n v="-3945.6"/>
    <n v="97354.284718650466"/>
    <n v="-59718.78"/>
    <n v="-14834.349443160001"/>
    <n v="-8.3394659899012602"/>
    <n v="22792.815809500564"/>
    <n v="0.23412236939925946"/>
    <n v="7.034714216572949"/>
    <n v="7.034714216572949"/>
    <n v="102300"/>
    <s v="COAT MAX"/>
    <s v="CONCEICAO DO JACUIPE"/>
    <s v="Additives"/>
    <s v="Domestic"/>
    <s v="02/2026"/>
    <s v="2026"/>
  </r>
  <r>
    <n v="11"/>
    <x v="1"/>
    <n v="2247"/>
    <s v="ADUBOS LEAO - LARANJEIRAS"/>
    <n v="12813"/>
    <s v="SE"/>
    <s v="COATMAX BMZ 3313 - MICRONUTRIENTE LIQUIDO"/>
    <n v="2400"/>
    <n v="2400"/>
    <n v="28713.957590566377"/>
    <n v="-1118.4000000000001"/>
    <n v="27595.557590566375"/>
    <n v="-14995.85"/>
    <n v="-3698.021972736"/>
    <n v="-2.0789269249524991"/>
    <n v="8899.6066909054225"/>
    <n v="0.32250142660454084"/>
    <n v="11.964148996069325"/>
    <n v="11.964148996069325"/>
    <n v="102300"/>
    <s v="COAT MAX"/>
    <s v="LARANJEIRAS"/>
    <s v="Additives"/>
    <s v="Domestic"/>
    <s v="02/2026"/>
    <s v="2026"/>
  </r>
  <r>
    <n v="11"/>
    <x v="1"/>
    <n v="8855"/>
    <s v="TERMAG - GUARUJA"/>
    <n v="7398"/>
    <s v="SP"/>
    <s v="SUPERSELEN ADITIVO ANTI PO P/ FERTILIZANTES"/>
    <n v="30000"/>
    <n v="30000"/>
    <n v="73800"/>
    <n v="-8856"/>
    <n v="64944"/>
    <n v="-19395.390789473684"/>
    <n v="-13045.632163199998"/>
    <n v="-7.3338980019735382"/>
    <n v="32495.643149324347"/>
    <n v="0.50036405440570875"/>
    <n v="2.46"/>
    <n v="2.46"/>
    <n v="102600"/>
    <s v="SUPERSELEN"/>
    <s v="GUARUJA"/>
    <s v="Additives"/>
    <s v="Domestic"/>
    <s v="02/2026"/>
    <s v="2026"/>
  </r>
  <r>
    <n v="11"/>
    <x v="1"/>
    <n v="1953"/>
    <s v="AMAGGI - COMODORO"/>
    <n v="7398"/>
    <s v="MT"/>
    <s v="SUPERSELEN ADITIVO ANTI PO P/ FERTILIZANTES"/>
    <n v="60000"/>
    <n v="60000"/>
    <n v="125400"/>
    <n v="-8778"/>
    <n v="116622"/>
    <n v="-38790.781578947368"/>
    <n v="-41876.730604799995"/>
    <n v="-23.541953894581727"/>
    <n v="35930.945862358058"/>
    <n v="0.30809749328907116"/>
    <n v="2.09"/>
    <n v="2.09"/>
    <n v="102600"/>
    <s v="SUPERSELEN"/>
    <s v="COMODORO"/>
    <s v="Additives"/>
    <s v="Domestic"/>
    <s v="02/2026"/>
    <s v="2026"/>
  </r>
  <r>
    <n v="11"/>
    <x v="1"/>
    <n v="3142"/>
    <s v="INTERFERTIL - SAO FRANCISCO DO SUL"/>
    <n v="7398"/>
    <s v="SC"/>
    <s v="SUPERSELEN ADITIVO ANTI PO P/ FERTILIZANTES"/>
    <n v="15000"/>
    <n v="15000"/>
    <n v="41400"/>
    <n v="-4968"/>
    <n v="36432"/>
    <n v="-9697.695394736842"/>
    <n v="-12045.7338550185"/>
    <n v="-6.7717824898380004"/>
    <n v="14681.798967754821"/>
    <n v="0.40299184694100848"/>
    <n v="2.76"/>
    <n v="2.76"/>
    <n v="102600"/>
    <s v="SUPERSELEN"/>
    <s v="SAO FRANCISCO DO SUL"/>
    <s v="Additives"/>
    <s v="Domestic"/>
    <s v="02/2026"/>
    <s v="2026"/>
  </r>
  <r>
    <n v="11"/>
    <x v="1"/>
    <n v="8414"/>
    <s v="AMAGGI - PORTO VELHO"/>
    <n v="7398"/>
    <s v="RO"/>
    <s v="SUPERSELEN ADITIVO ANTI PO P/ FERTILIZANTES"/>
    <n v="15000"/>
    <n v="15000"/>
    <n v="35400"/>
    <n v="-2478.0000000000005"/>
    <n v="32922"/>
    <n v="-9697.695394736842"/>
    <n v="-24495.122433600001"/>
    <n v="-13.770488637616983"/>
    <n v="-1284.5883169744604"/>
    <n v="-3.901914576801107E-2"/>
    <n v="2.36"/>
    <n v="2.36"/>
    <n v="102600"/>
    <s v="SUPERSELEN"/>
    <s v="PORTO VELHO"/>
    <s v="Additives"/>
    <s v="Domestic"/>
    <s v="02/2026"/>
    <s v="2026"/>
  </r>
  <r>
    <n v="11"/>
    <x v="1"/>
    <n v="8413"/>
    <s v="AMAGGI - SINOP"/>
    <n v="7398"/>
    <s v="MT"/>
    <s v="SUPERSELEN ADITIVO ANTI PO P/ FERTILIZANTES"/>
    <n v="32000"/>
    <n v="32000"/>
    <n v="66240"/>
    <n v="-4636.8"/>
    <n v="61603.199999999997"/>
    <n v="-20688.41684210526"/>
    <n v="-23352.800640000001"/>
    <n v="-13.128306532917897"/>
    <n v="17548.854211361817"/>
    <n v="0.28486919853776782"/>
    <n v="2.0699999999999998"/>
    <n v="2.0699999999999998"/>
    <n v="102600"/>
    <s v="SUPERSELEN"/>
    <s v="SINOP"/>
    <s v="Additives"/>
    <s v="Domestic"/>
    <s v="02/2026"/>
    <s v="2026"/>
  </r>
  <r>
    <n v="11"/>
    <x v="1"/>
    <n v="7648"/>
    <s v="LOUIS DREYFUS - PARANAGUA"/>
    <n v="14154"/>
    <s v="PR"/>
    <s v="SUPERSELEN IBC ADITIVO ANTI PO P/ FERTILIZANTES"/>
    <n v="13200"/>
    <n v="13200"/>
    <n v="47916"/>
    <n v="-5749.92"/>
    <n v="42166.080000000002"/>
    <n v="-15098.23"/>
    <n v="-9623.6718130238405"/>
    <n v="-5.410165379358058"/>
    <n v="17438.768021596803"/>
    <n v="0.41357337512988646"/>
    <n v="3.63"/>
    <n v="3.63"/>
    <n v="102600"/>
    <s v="SUPERSELEN"/>
    <s v="PARANAGUA"/>
    <s v="Additives"/>
    <s v="Domestic"/>
    <s v="02/2026"/>
    <s v="2026"/>
  </r>
  <r>
    <n v="11"/>
    <x v="2"/>
    <n v="2287"/>
    <s v="BUNGE PARAGUAY S.A"/>
    <n v="4067"/>
    <s v="EX"/>
    <s v="DUSTPROTEC BLACK PLUS ADITIVO ANTI PO P/ FERTILIZANTES"/>
    <n v="30000"/>
    <n v="30000"/>
    <n v="159000"/>
    <n v="0"/>
    <n v="159000"/>
    <n v="-46281.179999999993"/>
    <n v="-35721.999999999898"/>
    <n v="-10620.113940145971"/>
    <n v="66376.706059854143"/>
    <n v="0.41746356012486885"/>
    <n v="5.3"/>
    <n v="5.3"/>
    <n v="100100"/>
    <s v="START ANTIDUSTING"/>
    <s v="SAN JUAN DEL PARANA"/>
    <s v="Additives"/>
    <s v="International"/>
    <s v="03/2026"/>
    <s v="2026"/>
  </r>
  <r>
    <n v="11"/>
    <x v="2"/>
    <n v="3297"/>
    <s v="MACROSOURCE PERU S.R.L."/>
    <n v="14141"/>
    <s v="EX"/>
    <s v="DUSTPROTEC SC IBC - ADITIVO ANTI-PO P/ FERTILIZANTES GRANULADOS"/>
    <n v="2400"/>
    <n v="2400"/>
    <n v="17044.8"/>
    <n v="0"/>
    <n v="17044.8"/>
    <n v="-2509.5100000000002"/>
    <n v="-4340.362752"/>
    <n v="-850.39033968641161"/>
    <n v="9344.5369083135884"/>
    <n v="0.54823388413554797"/>
    <n v="7.1019999999999994"/>
    <n v="7.1019999999999994"/>
    <n v="100100"/>
    <s v="START ANTIDUSTING"/>
    <s v="LIMA"/>
    <s v="Additives"/>
    <s v="International"/>
    <s v="03/2026"/>
    <s v="2026"/>
  </r>
  <r>
    <n v="11"/>
    <x v="2"/>
    <n v="833"/>
    <s v="TERRENA - PATOS DE MINAS"/>
    <n v="14133"/>
    <s v="MG"/>
    <s v="START ANTIDUSTING SC AD IBC ADITIVO ANTI PO P/ FERTILIZANTES"/>
    <n v="6000"/>
    <n v="6000"/>
    <n v="15600"/>
    <n v="0"/>
    <n v="15600"/>
    <n v="-7709.6449999999995"/>
    <n v="-1322.1584812799999"/>
    <n v="-0.69668194238800396"/>
    <n v="6567.4998367776125"/>
    <n v="0.4209935792806162"/>
    <n v="2.6"/>
    <n v="2.6"/>
    <n v="100100"/>
    <s v="START ANTIDUSTING"/>
    <s v="PATOS DE MINAS"/>
    <s v="Additives"/>
    <s v="Domestic"/>
    <s v="03/2026"/>
    <s v="2026"/>
  </r>
  <r>
    <n v="11"/>
    <x v="2"/>
    <n v="1936"/>
    <s v="CIBRA - PARANAGUA II"/>
    <n v="4"/>
    <s v="PR"/>
    <s v="START ANTIDUSTING G37 ADITIVO ANTI PO P/ FERTILIZANTES"/>
    <n v="25000"/>
    <n v="25000"/>
    <n v="99750"/>
    <n v="-11970"/>
    <n v="87780"/>
    <n v="-24819.222222222226"/>
    <n v="0"/>
    <n v="0"/>
    <n v="62960.777777777774"/>
    <n v="0.71725652515126193"/>
    <n v="3.99"/>
    <n v="3.99"/>
    <n v="100100"/>
    <s v="START ANTIDUSTING"/>
    <s v="PARANAGUA"/>
    <s v="Additives"/>
    <s v="Domestic"/>
    <s v="03/2026"/>
    <s v="2026"/>
  </r>
  <r>
    <n v="11"/>
    <x v="2"/>
    <n v="6124"/>
    <s v="MOSAIC - UBERABA II"/>
    <n v="1043"/>
    <s v="MG"/>
    <s v="START ANTIDUSTING SC AD ADITIVO ANTI PO P/ FERTILIZANTES"/>
    <n v="30000"/>
    <n v="30000"/>
    <n v="50700"/>
    <n v="0"/>
    <n v="50700"/>
    <n v="-12093.150000000007"/>
    <n v="-2442.1605"/>
    <n v="-1.2868420426544487"/>
    <n v="36163.40265795734"/>
    <n v="0.71328210370724532"/>
    <n v="1.69"/>
    <n v="1.69"/>
    <n v="100100"/>
    <s v="START ANTIDUSTING"/>
    <s v="UBERABA"/>
    <s v="Additives"/>
    <s v="Domestic"/>
    <s v="03/2026"/>
    <s v="2026"/>
  </r>
  <r>
    <n v="11"/>
    <x v="2"/>
    <n v="205"/>
    <s v="FERTIPAR - RONDONOPOLIS"/>
    <n v="1043"/>
    <s v="MT"/>
    <s v="START ANTIDUSTING SC AD ADITIVO ANTI PO P/ FERTILIZANTES"/>
    <n v="15000"/>
    <n v="15000"/>
    <n v="27150"/>
    <n v="-1900.5000000000002"/>
    <n v="25249.5"/>
    <n v="-6046.5750000000035"/>
    <n v="-9555.9144492044998"/>
    <n v="-5.0352761291673822"/>
    <n v="9641.9752746663289"/>
    <n v="0.38186796865943201"/>
    <n v="1.81"/>
    <n v="1.81"/>
    <n v="100100"/>
    <s v="START ANTIDUSTING"/>
    <s v="RONDONOPOLIS"/>
    <s v="Additives"/>
    <s v="Domestic"/>
    <s v="03/2026"/>
    <s v="2026"/>
  </r>
  <r>
    <n v="11"/>
    <x v="2"/>
    <n v="14632"/>
    <s v="BIGFERTIL - CANDEIAS"/>
    <n v="1043"/>
    <s v="BA"/>
    <s v="START ANTIDUSTING SC AD ADITIVO ANTI PO P/ FERTILIZANTES"/>
    <n v="30000"/>
    <n v="30000"/>
    <n v="96900"/>
    <n v="-6783.0000000000009"/>
    <n v="90117"/>
    <n v="-12093.150000000007"/>
    <n v="-21548.474999999999"/>
    <n v="-11.354488611656901"/>
    <n v="56464.020511388335"/>
    <n v="0.62656347316697558"/>
    <n v="3.23"/>
    <n v="3.23"/>
    <n v="100100"/>
    <s v="START ANTIDUSTING"/>
    <s v="CANDEIAS"/>
    <s v="Additives"/>
    <s v="Domestic"/>
    <s v="03/2026"/>
    <s v="2026"/>
  </r>
  <r>
    <n v="11"/>
    <x v="2"/>
    <n v="1613"/>
    <s v="HERINGER - CANDEIAS"/>
    <n v="7384"/>
    <s v="BA"/>
    <s v="START ANTIDUSTING EURO KG ADITIVO ANTI PO P/ FERTILIZANTES"/>
    <n v="24000"/>
    <n v="24000"/>
    <n v="89760"/>
    <n v="-6283.2000000000007"/>
    <n v="83476.800000000003"/>
    <n v="-16481.452121212122"/>
    <n v="-17238.78"/>
    <n v="-9.0835908893255191"/>
    <n v="49747.484287898558"/>
    <n v="0.59594383454922273"/>
    <n v="3.74"/>
    <n v="3.74"/>
    <n v="100100"/>
    <s v="START ANTIDUSTING"/>
    <s v="CANDEIAS"/>
    <s v="Additives"/>
    <s v="Domestic"/>
    <s v="03/2026"/>
    <s v="2026"/>
  </r>
  <r>
    <n v="11"/>
    <x v="2"/>
    <n v="3273"/>
    <s v="FERTIMAXI - CONCEICAO DO JACUIPE"/>
    <n v="2"/>
    <s v="BA"/>
    <s v="START ANTIDUSTING SC ADITIVO ANTI PO P/ FERTILIZANTES"/>
    <n v="30000"/>
    <n v="30000"/>
    <n v="78900"/>
    <n v="-5523.0000000000009"/>
    <n v="73377"/>
    <n v="-11421.650000000001"/>
    <n v="-18675.345000000001"/>
    <n v="-9.8405567967693148"/>
    <n v="43270.164443203226"/>
    <n v="0.5896965594560043"/>
    <n v="2.63"/>
    <n v="2.63"/>
    <n v="100100"/>
    <s v="START ANTIDUSTING"/>
    <s v="CONCEICAO DO JACUIPE"/>
    <s v="Additives"/>
    <s v="Domestic"/>
    <s v="03/2026"/>
    <s v="2026"/>
  </r>
  <r>
    <n v="11"/>
    <x v="2"/>
    <n v="2975"/>
    <s v="COONAGRO COOPERATIVA - PARANAGUA"/>
    <n v="4"/>
    <s v="PR"/>
    <s v="START ANTIDUSTING G37 ADITIVO ANTI PO P/ FERTILIZANTES"/>
    <n v="20000"/>
    <n v="20000"/>
    <n v="79800"/>
    <n v="-9576"/>
    <n v="70224"/>
    <n v="-19855.37777777778"/>
    <n v="-9366.4037999999982"/>
    <n v="-4.9354177165335322"/>
    <n v="40997.283004505683"/>
    <n v="0.58380728817079175"/>
    <n v="3.99"/>
    <n v="3.99"/>
    <n v="100100"/>
    <s v="START ANTIDUSTING"/>
    <s v="PARANAGUA"/>
    <s v="Additives"/>
    <s v="Domestic"/>
    <s v="03/2026"/>
    <s v="2026"/>
  </r>
  <r>
    <n v="11"/>
    <x v="2"/>
    <n v="97"/>
    <s v="FECOAGRO - SAO FRANCISCO DO SUL"/>
    <n v="148"/>
    <s v="SC"/>
    <s v="START ANTIDUSTING BLACK ADITIVO ANTI PO P/ FERTILIZANTES"/>
    <n v="32000"/>
    <n v="32000"/>
    <n v="112000"/>
    <n v="-13440"/>
    <n v="98560"/>
    <n v="-21961.900659340659"/>
    <n v="-17928.331200000001"/>
    <n v="-9.4469345248985412"/>
    <n v="58660.321206134431"/>
    <n v="0.59517371353626658"/>
    <n v="3.5"/>
    <n v="3.5"/>
    <n v="100100"/>
    <s v="START ANTIDUSTING"/>
    <s v="SAO FRANCISCO DO SUL"/>
    <s v="Additives"/>
    <s v="Domestic"/>
    <s v="03/2026"/>
    <s v="2026"/>
  </r>
  <r>
    <n v="11"/>
    <x v="2"/>
    <n v="33"/>
    <s v="HERINGER - PARANAGUA"/>
    <n v="7384"/>
    <s v="PR"/>
    <s v="START ANTIDUSTING EURO KG ADITIVO ANTI PO P/ FERTILIZANTES"/>
    <n v="15000"/>
    <n v="15000"/>
    <n v="45000"/>
    <n v="-5400"/>
    <n v="39600"/>
    <n v="-10300.907575757577"/>
    <n v="-10935.990696618001"/>
    <n v="-5.7624765475020814"/>
    <n v="18357.339251076923"/>
    <n v="0.46356917300699302"/>
    <n v="3"/>
    <n v="3"/>
    <n v="100100"/>
    <s v="START ANTIDUSTING"/>
    <s v="PARANAGUA"/>
    <s v="Additives"/>
    <s v="Domestic"/>
    <s v="03/2026"/>
    <s v="2026"/>
  </r>
  <r>
    <n v="11"/>
    <x v="2"/>
    <n v="2559"/>
    <s v="MOSAIC - RIO GRANDE"/>
    <n v="1043"/>
    <s v="RS"/>
    <s v="START ANTIDUSTING SC AD ADITIVO ANTI PO P/ FERTILIZANTES"/>
    <n v="30000"/>
    <n v="30000"/>
    <n v="75300"/>
    <n v="-9036"/>
    <n v="66264"/>
    <n v="-12093.150000000007"/>
    <n v="-24421.605"/>
    <n v="-12.868420426544487"/>
    <n v="29736.376579573447"/>
    <n v="0.44875613575355316"/>
    <n v="2.5099999999999998"/>
    <n v="2.5099999999999998"/>
    <n v="100100"/>
    <s v="START ANTIDUSTING"/>
    <s v="RIO GRANDE"/>
    <s v="Additives"/>
    <s v="Domestic"/>
    <s v="03/2026"/>
    <s v="2026"/>
  </r>
  <r>
    <n v="11"/>
    <x v="2"/>
    <n v="7024"/>
    <s v="MOSAIC - SORRISO"/>
    <n v="1043"/>
    <s v="MT"/>
    <s v="START ANTIDUSTING SC AD ADITIVO ANTI PO P/ FERTILIZANTES"/>
    <n v="30000"/>
    <n v="30000"/>
    <n v="68400"/>
    <n v="-4788.0000000000009"/>
    <n v="63612"/>
    <n v="-12093.150000000007"/>
    <n v="-21002.580299999998"/>
    <n v="-11.066841566828257"/>
    <n v="30505.202858433164"/>
    <n v="0.47955107304334343"/>
    <n v="2.2799999999999998"/>
    <n v="2.2799999999999998"/>
    <n v="100100"/>
    <s v="START ANTIDUSTING"/>
    <s v="SORRISO"/>
    <s v="Additives"/>
    <s v="Domestic"/>
    <s v="03/2026"/>
    <s v="2026"/>
  </r>
  <r>
    <n v="11"/>
    <x v="2"/>
    <n v="10492"/>
    <s v="UNIFERTIL RIO GRANDE UN1"/>
    <n v="3"/>
    <s v="RS"/>
    <s v="START ANTIDUSTING MH ADITIVO ANTI PO P/ FERTILIZANTES"/>
    <n v="32000"/>
    <n v="32000"/>
    <n v="82880"/>
    <n v="-9945.6"/>
    <n v="72934.399999999994"/>
    <n v="-24984.364999999998"/>
    <n v="-26049.712"/>
    <n v="-13.726315121647453"/>
    <n v="21886.59668487835"/>
    <n v="0.3000860593201336"/>
    <n v="2.59"/>
    <n v="2.59"/>
    <n v="100100"/>
    <s v="START ANTIDUSTING"/>
    <s v="RIO GRANDE"/>
    <s v="Additives"/>
    <s v="Domestic"/>
    <s v="03/2026"/>
    <s v="2026"/>
  </r>
  <r>
    <n v="11"/>
    <x v="2"/>
    <n v="2651"/>
    <s v="AGROBROKERS - COLOMBIA"/>
    <n v="14146"/>
    <s v="EX"/>
    <s v="DUSTPROTEC BLACK PLUS IBC ADITIVO ANTI PO P/ FERTILIZANTES"/>
    <n v="2400"/>
    <n v="2400"/>
    <n v="23913.599999999999"/>
    <n v="0"/>
    <n v="23913.599999999999"/>
    <n v="-4974.7539999999999"/>
    <n v="-4558.3718399999998"/>
    <n v="-850.50521471617287"/>
    <n v="13529.968945283825"/>
    <n v="0.56578553397580567"/>
    <n v="9.9639999999999986"/>
    <n v="9.9639999999999986"/>
    <n v="100100"/>
    <s v="START ANTIDUSTING"/>
    <s v="SANTA MARTA"/>
    <s v="Additives"/>
    <s v="International"/>
    <s v="03/2026"/>
    <s v="2026"/>
  </r>
  <r>
    <n v="11"/>
    <x v="2"/>
    <n v="4577"/>
    <s v="MICROSOLO INDUSTRIAL"/>
    <n v="1"/>
    <s v="MG"/>
    <s v="START ANTIDUSTING KG ADITIVO ANTI PO P/ FERTILIZANTES"/>
    <n v="30000"/>
    <n v="30000"/>
    <n v="69600"/>
    <n v="-6438"/>
    <n v="63162"/>
    <n v="-22332.07"/>
    <n v="-10004.1649344"/>
    <n v="-5.2714717313769119"/>
    <n v="30820.493593868625"/>
    <n v="0.48795943120655816"/>
    <n v="2.3199999999999998"/>
    <n v="2.3199999999999998"/>
    <n v="100100"/>
    <s v="START ANTIDUSTING"/>
    <s v="SETE LAGOAS"/>
    <s v="Additives"/>
    <s v="Domestic"/>
    <s v="03/2026"/>
    <s v="2026"/>
  </r>
  <r>
    <n v="11"/>
    <x v="2"/>
    <n v="3232"/>
    <s v="FERTILIZ. TOCANTINS - ARAGUARI"/>
    <n v="7384"/>
    <s v="MG"/>
    <s v="START ANTIDUSTING EURO KG ADITIVO ANTI PO P/ FERTILIZANTES"/>
    <n v="60000"/>
    <n v="60000"/>
    <n v="112200"/>
    <n v="-20196"/>
    <n v="92004"/>
    <n v="-41203.63030303031"/>
    <n v="-3447.7559999999999"/>
    <n v="-1.816718177865104"/>
    <n v="47350.796978791826"/>
    <n v="0.51466019932602747"/>
    <n v="1.87"/>
    <n v="1.87"/>
    <n v="100100"/>
    <s v="START ANTIDUSTING"/>
    <s v="ARAGUARI"/>
    <s v="Additives"/>
    <s v="Domestic"/>
    <s v="03/2026"/>
    <s v="2026"/>
  </r>
  <r>
    <n v="11"/>
    <x v="2"/>
    <n v="2949"/>
    <s v="MOSAIC - CANDEIAS"/>
    <n v="1043"/>
    <s v="BA"/>
    <s v="START ANTIDUSTING SC AD ADITIVO ANTI PO P/ FERTILIZANTES"/>
    <n v="30000"/>
    <n v="30000"/>
    <n v="69900"/>
    <n v="-4893.0000000000009"/>
    <n v="65007"/>
    <n v="-12093.150000000007"/>
    <n v="-21548.474999999999"/>
    <n v="-11.354488611656901"/>
    <n v="31354.020511388335"/>
    <n v="0.48231760443318927"/>
    <n v="2.33"/>
    <n v="2.33"/>
    <n v="100100"/>
    <s v="START ANTIDUSTING"/>
    <s v="CANDEIAS"/>
    <s v="Additives"/>
    <s v="Domestic"/>
    <s v="03/2026"/>
    <s v="2026"/>
  </r>
  <r>
    <n v="11"/>
    <x v="2"/>
    <n v="214"/>
    <s v="UNIFERTIL - CANOAS UN1"/>
    <n v="3"/>
    <s v="RS"/>
    <s v="START ANTIDUSTING MH ADITIVO ANTI PO P/ FERTILIZANTES"/>
    <n v="32000"/>
    <n v="32000"/>
    <n v="82880"/>
    <n v="-9945.6"/>
    <n v="72934.399999999994"/>
    <n v="-24984.364999999998"/>
    <n v="-25804.538239999998"/>
    <n v="-13.597126273443711"/>
    <n v="22131.899633726556"/>
    <n v="0.30344939608369381"/>
    <n v="2.59"/>
    <n v="2.59"/>
    <n v="100100"/>
    <s v="START ANTIDUSTING"/>
    <s v="CANOAS"/>
    <s v="Additives"/>
    <s v="Domestic"/>
    <s v="03/2026"/>
    <s v="2026"/>
  </r>
  <r>
    <n v="11"/>
    <x v="2"/>
    <n v="1462"/>
    <s v="AURORA MINERAC?O LTDA"/>
    <n v="1042"/>
    <s v="SP"/>
    <s v="START ANTIDUSTING KG AD ADITIVO ANTI PO P/ FERTILIZANTES"/>
    <n v="45000"/>
    <n v="45000"/>
    <n v="75150"/>
    <n v="-9018"/>
    <n v="66132"/>
    <n v="-23566.380000000005"/>
    <n v="0"/>
    <n v="0"/>
    <n v="42565.619999999995"/>
    <n v="0.64364634367628371"/>
    <n v="1.67"/>
    <n v="1.67"/>
    <n v="100100"/>
    <s v="START ANTIDUSTING"/>
    <s v="IPEUNA"/>
    <s v="Additives"/>
    <s v="Domestic"/>
    <s v="03/2026"/>
    <s v="2026"/>
  </r>
  <r>
    <n v="11"/>
    <x v="2"/>
    <n v="86"/>
    <s v="ADUBOS ARAGUAIA - ANAPOLIS"/>
    <n v="14133"/>
    <s v="GO"/>
    <s v="START ANTIDUSTING SC AD IBC ADITIVO ANTI PO P/ FERTILIZANTES"/>
    <n v="12000"/>
    <n v="12000"/>
    <n v="33000"/>
    <n v="-2310"/>
    <n v="30690"/>
    <n v="-15419.289999999999"/>
    <n v="-4650.7495518743999"/>
    <n v="-2.4506088167457936"/>
    <n v="10617.509839308856"/>
    <n v="0.34595991656268671"/>
    <n v="2.75"/>
    <n v="2.75"/>
    <n v="100100"/>
    <s v="START ANTIDUSTING"/>
    <s v="ANAPOLIS"/>
    <s v="Additives"/>
    <s v="Domestic"/>
    <s v="03/2026"/>
    <s v="2026"/>
  </r>
  <r>
    <n v="11"/>
    <x v="2"/>
    <n v="43"/>
    <s v="CIBRA - CAMACARI"/>
    <n v="148"/>
    <s v="BA"/>
    <s v="START ANTIDUSTING BLACK ADITIVO ANTI PO P/ FERTILIZANTES"/>
    <n v="150000"/>
    <n v="150000"/>
    <n v="355500"/>
    <n v="-24885.000000000004"/>
    <n v="330615"/>
    <n v="-102946.40934065933"/>
    <n v="-103812.063264"/>
    <n v="-54.701452890921217"/>
    <n v="123801.82594244975"/>
    <n v="0.37445919254253363"/>
    <n v="2.37"/>
    <n v="2.37"/>
    <n v="100100"/>
    <s v="START ANTIDUSTING"/>
    <s v="CAMACARI"/>
    <s v="Additives"/>
    <s v="Domestic"/>
    <s v="03/2026"/>
    <s v="2026"/>
  </r>
  <r>
    <n v="11"/>
    <x v="2"/>
    <n v="7022"/>
    <s v="MOSAIC - ROSARIO DO CATETE"/>
    <n v="1043"/>
    <s v="SE"/>
    <s v="START ANTIDUSTING SC AD ADITIVO ANTI PO P/ FERTILIZANTES"/>
    <n v="120000"/>
    <n v="120000"/>
    <n v="289200"/>
    <n v="-20244.000000000004"/>
    <n v="268956"/>
    <n v="-48372.600000000028"/>
    <n v="-100846.0043136"/>
    <n v="-53.138554236894905"/>
    <n v="119684.25713216307"/>
    <n v="0.44499567636402632"/>
    <n v="2.41"/>
    <n v="2.41"/>
    <n v="100100"/>
    <s v="START ANTIDUSTING"/>
    <s v="ROSARIO DO CATETE"/>
    <s v="Additives"/>
    <s v="Domestic"/>
    <s v="03/2026"/>
    <s v="2026"/>
  </r>
  <r>
    <n v="11"/>
    <x v="2"/>
    <n v="5657"/>
    <s v="FERTIPLANTA - VARGEM GRANDE DO SUL"/>
    <n v="14133"/>
    <s v="SP"/>
    <s v="START ANTIDUSTING SC AD IBC ADITIVO ANTI PO P/ FERTILIZANTES"/>
    <n v="6000"/>
    <n v="6000"/>
    <n v="20760"/>
    <n v="-2491.1999999999998"/>
    <n v="18268.8"/>
    <n v="-7709.6449999999995"/>
    <n v="-3086.7121958399998"/>
    <n v="-1.6264741924951878"/>
    <n v="7470.8163299675034"/>
    <n v="0.40893853619107462"/>
    <n v="3.46"/>
    <n v="3.46"/>
    <n v="100100"/>
    <s v="START ANTIDUSTING"/>
    <s v="VARGEM GRANDE DO SUL"/>
    <s v="Additives"/>
    <s v="Domestic"/>
    <s v="03/2026"/>
    <s v="2026"/>
  </r>
  <r>
    <n v="11"/>
    <x v="2"/>
    <n v="341"/>
    <s v="ADUBOS PARANAIBA - UBERLANDIA"/>
    <n v="1043"/>
    <s v="MG"/>
    <s v="START ANTIDUSTING SC AD ADITIVO ANTI PO P/ FERTILIZANTES"/>
    <n v="3000"/>
    <n v="3000"/>
    <n v="6000"/>
    <n v="-1080"/>
    <n v="4920"/>
    <n v="-1209.3150000000005"/>
    <n v="0"/>
    <n v="0"/>
    <n v="3710.6849999999995"/>
    <n v="0.75420426829268283"/>
    <n v="2"/>
    <n v="2"/>
    <n v="100100"/>
    <s v="START ANTIDUSTING"/>
    <s v="UBERLANDIA"/>
    <s v="Additives"/>
    <s v="Domestic"/>
    <s v="03/2026"/>
    <s v="2026"/>
  </r>
  <r>
    <n v="11"/>
    <x v="2"/>
    <n v="10434"/>
    <s v="CIBRA - SINOP"/>
    <n v="6564"/>
    <s v="MT"/>
    <s v="MEGAMICRO PLUS ADITIVO P/ SUSPENS?O DE MICRONUTRIENTES"/>
    <n v="30000"/>
    <n v="30000"/>
    <n v="92400"/>
    <n v="-6468.0000000000009"/>
    <n v="85932"/>
    <n v="-29600.55333333333"/>
    <n v="-21893.250599999999"/>
    <n v="-11.536160429443411"/>
    <n v="34426.659906237226"/>
    <n v="0.40062677356790516"/>
    <n v="3.08"/>
    <n v="3.08"/>
    <n v="100200"/>
    <s v="ADITIVO MEGAMICRO"/>
    <s v="SINOP"/>
    <s v="Additives"/>
    <s v="Domestic"/>
    <s v="03/2026"/>
    <s v="2026"/>
  </r>
  <r>
    <n v="11"/>
    <x v="2"/>
    <n v="214"/>
    <s v="UNIFERTIL - CANOAS UN1"/>
    <n v="113"/>
    <s v="RS"/>
    <s v="MEGAMICRO ADITIVO P/ SUSPENS?O DE MICRONUTRIENTES"/>
    <n v="30000"/>
    <n v="30000"/>
    <n v="92700"/>
    <n v="-11124"/>
    <n v="81576"/>
    <n v="-27047.714754098357"/>
    <n v="-24191.754599999997"/>
    <n v="-12.747305881353478"/>
    <n v="30323.783340020294"/>
    <n v="0.37172432259512961"/>
    <n v="3.09"/>
    <n v="3.09"/>
    <n v="100200"/>
    <s v="ADITIVO MEGAMICRO"/>
    <s v="CANOAS"/>
    <s v="Additives"/>
    <s v="Domestic"/>
    <s v="03/2026"/>
    <s v="2026"/>
  </r>
  <r>
    <n v="11"/>
    <x v="2"/>
    <n v="205"/>
    <s v="FERTIPAR - RONDONOPOLIS"/>
    <n v="6564"/>
    <s v="MT"/>
    <s v="MEGAMICRO PLUS ADITIVO P/ SUSPENS?O DE MICRONUTRIENTES"/>
    <n v="15000"/>
    <n v="15000"/>
    <n v="37800"/>
    <n v="-2646.0000000000005"/>
    <n v="35154"/>
    <n v="-14800.276666666665"/>
    <n v="-9555.9144492044998"/>
    <n v="-5.0352761291673822"/>
    <n v="10792.773607999668"/>
    <n v="0.30701409819649739"/>
    <n v="2.52"/>
    <n v="2.52"/>
    <n v="100200"/>
    <s v="ADITIVO MEGAMICRO"/>
    <s v="RONDONOPOLIS"/>
    <s v="Additives"/>
    <s v="Domestic"/>
    <s v="03/2026"/>
    <s v="2026"/>
  </r>
  <r>
    <n v="11"/>
    <x v="2"/>
    <n v="10492"/>
    <s v="UNIFERTIL RIO GRANDE UN1"/>
    <n v="113"/>
    <s v="RS"/>
    <s v="MEGAMICRO ADITIVO P/ SUSPENS?O DE MICRONUTRIENTES"/>
    <n v="32000"/>
    <n v="32000"/>
    <n v="98880"/>
    <n v="-11865.6"/>
    <n v="87014.399999999994"/>
    <n v="-28850.895737704919"/>
    <n v="-26049.712"/>
    <n v="-13.726315121647453"/>
    <n v="32100.065947173425"/>
    <n v="0.36890521508133628"/>
    <n v="3.09"/>
    <n v="3.09"/>
    <n v="100200"/>
    <s v="ADITIVO MEGAMICRO"/>
    <s v="RIO GRANDE"/>
    <s v="Additives"/>
    <s v="Domestic"/>
    <s v="03/2026"/>
    <s v="2026"/>
  </r>
  <r>
    <n v="11"/>
    <x v="2"/>
    <n v="14632"/>
    <s v="BIGFERTIL - CANDEIAS"/>
    <n v="113"/>
    <s v="BA"/>
    <s v="MEGAMICRO ADITIVO P/ SUSPENS?O DE MICRONUTRIENTES"/>
    <n v="30000"/>
    <n v="30000"/>
    <n v="109500"/>
    <n v="-7665.0000000000009"/>
    <n v="101835"/>
    <n v="-27047.714754098357"/>
    <n v="-21548.474999999999"/>
    <n v="-11.354488611656901"/>
    <n v="53227.455757289987"/>
    <n v="0.52268331867520978"/>
    <n v="3.65"/>
    <n v="3.65"/>
    <n v="100200"/>
    <s v="ADITIVO MEGAMICRO"/>
    <s v="CANDEIAS"/>
    <s v="Additives"/>
    <s v="Domestic"/>
    <s v="03/2026"/>
    <s v="2026"/>
  </r>
  <r>
    <n v="11"/>
    <x v="2"/>
    <n v="456"/>
    <s v="FERTIPAR - CANDEIAS"/>
    <n v="113"/>
    <s v="BA"/>
    <s v="MEGAMICRO ADITIVO P/ SUSPENS?O DE MICRONUTRIENTES"/>
    <n v="30000"/>
    <n v="30000"/>
    <n v="100200"/>
    <n v="-7014.0000000000009"/>
    <n v="93186"/>
    <n v="-27047.714754098357"/>
    <n v="-21548.474999999999"/>
    <n v="-11.354488611656901"/>
    <n v="44578.455757289987"/>
    <n v="0.47838147100734002"/>
    <n v="3.34"/>
    <n v="3.34"/>
    <n v="100200"/>
    <s v="ADITIVO MEGAMICRO"/>
    <s v="CANDEIAS"/>
    <s v="Additives"/>
    <s v="Domestic"/>
    <s v="03/2026"/>
    <s v="2026"/>
  </r>
  <r>
    <n v="13"/>
    <x v="2"/>
    <n v="2651"/>
    <s v="AGROBROKERS - COLOMBIA"/>
    <n v="8201"/>
    <s v="EX"/>
    <s v="NITROPROTEC GREEN - ADITIVO INIBIDOR DE UREASE P/ FERTILIZANTE NITROGENADO"/>
    <n v="3300"/>
    <n v="3300"/>
    <n v="182269.85813554795"/>
    <n v="0"/>
    <n v="182269.85813554795"/>
    <n v="-67105.05"/>
    <n v="0"/>
    <n v="-1166.1420131291029"/>
    <n v="113998.66612241884"/>
    <n v="0.6254389359190804"/>
    <n v="55.233290344105441"/>
    <n v="55.233290344105441"/>
    <n v="100300"/>
    <s v="UREMAX"/>
    <s v="SANTA MARTA"/>
    <s v="Additives"/>
    <s v="International"/>
    <s v="03/2026"/>
    <s v="2026"/>
  </r>
  <r>
    <n v="13"/>
    <x v="2"/>
    <n v="2011"/>
    <s v="FERTGROW S.A"/>
    <n v="8224"/>
    <s v="MA"/>
    <s v="UREMAX COAT VERDE ADITIVO INIBIDOR DE UREASE P/ FERTILIZANTES"/>
    <n v="30000"/>
    <n v="30000"/>
    <n v="616005.86457727174"/>
    <n v="-43071.000000000007"/>
    <n v="572934.86457727174"/>
    <n v="-218494"/>
    <n v="-28539.757999999998"/>
    <n v="-15.038389361216696"/>
    <n v="325886.06818791054"/>
    <n v="0.56880125182879016"/>
    <n v="20.533528819242392"/>
    <n v="20.533528819242392"/>
    <n v="100300"/>
    <s v="UREMAX"/>
    <s v="SAO LUIS"/>
    <s v="Additives"/>
    <s v="Domestic"/>
    <s v="03/2026"/>
    <s v="2026"/>
  </r>
  <r>
    <n v="13"/>
    <x v="2"/>
    <n v="2346"/>
    <s v="TEPEYAC - MEXICO"/>
    <n v="8214"/>
    <s v="EX"/>
    <s v="UREMAX NBPT AZUL ADITIVO INIBIDOR DE UREASE P/ FERTILIZANTES"/>
    <n v="11000"/>
    <n v="11000"/>
    <n v="525301.92937379237"/>
    <n v="0"/>
    <n v="525301.92937379237"/>
    <n v="-200674.57928571428"/>
    <n v="-13252.310015999999"/>
    <n v="-3894.1230531485553"/>
    <n v="307480.9170189295"/>
    <n v="0.58534130530507411"/>
    <n v="47.75472085216294"/>
    <n v="47.75472085216294"/>
    <n v="100300"/>
    <s v="UREMAX"/>
    <s v="OBREGON - MEXICO"/>
    <s v="Additives"/>
    <s v="International"/>
    <s v="03/2026"/>
    <s v="2026"/>
  </r>
  <r>
    <n v="13"/>
    <x v="2"/>
    <n v="1936"/>
    <s v="CIBRA - PARANAGUA II"/>
    <n v="8218"/>
    <s v="PR"/>
    <s v="UREMAX NBPT LARANJA ADITIVO INIBIDOR DE UREASE P/ FERTILIZANTES"/>
    <n v="12000"/>
    <n v="12000"/>
    <n v="360172.71223845158"/>
    <n v="-43171.199999999997"/>
    <n v="317001.51223845157"/>
    <n v="-150913.68"/>
    <n v="0"/>
    <n v="0"/>
    <n v="166087.83223845158"/>
    <n v="0.52393387989114293"/>
    <n v="30.014392686537633"/>
    <n v="30.014392686537633"/>
    <n v="100300"/>
    <s v="UREMAX"/>
    <s v="PARANAGUA"/>
    <s v="Additives"/>
    <s v="Domestic"/>
    <s v="03/2026"/>
    <s v="2026"/>
  </r>
  <r>
    <n v="13"/>
    <x v="2"/>
    <n v="215"/>
    <s v="UNIFERTIL - CANOAS UN2"/>
    <n v="8216"/>
    <s v="RS"/>
    <s v="UREMAX NBPT ROXO ADITIVO INIBIDOR DE UREASE P/ FERTILIZANTES"/>
    <n v="12000"/>
    <n v="12000"/>
    <n v="373267.71745325852"/>
    <n v="-44740.799999999996"/>
    <n v="328526.91745325853"/>
    <n v="-127450.22500000001"/>
    <n v="-14321.447999999978"/>
    <n v="-7.5463678157473444"/>
    <n v="186747.6980854428"/>
    <n v="0.56843956511421168"/>
    <n v="31.105643121104876"/>
    <n v="31.105643121104876"/>
    <n v="100300"/>
    <s v="UREMAX"/>
    <s v="CANOAS"/>
    <s v="Additives"/>
    <s v="Domestic"/>
    <s v="03/2026"/>
    <s v="2026"/>
  </r>
  <r>
    <n v="13"/>
    <x v="2"/>
    <n v="11133"/>
    <s v="ADUBOS ARAGUAIA - PARANAGUA"/>
    <n v="8214"/>
    <s v="PR"/>
    <s v="UREMAX NBPT AZUL ADITIVO INIBIDOR DE UREASE P/ FERTILIZANTES"/>
    <n v="2000"/>
    <n v="2000"/>
    <n v="76087.186263404277"/>
    <n v="-9120"/>
    <n v="66967.186263404277"/>
    <n v="-36486.287142857145"/>
    <n v="-9901.2479999999723"/>
    <n v="-5.2172419466895148"/>
    <n v="20574.433878600474"/>
    <n v="0.30723157155915681"/>
    <n v="38.043593131702139"/>
    <n v="38.043593131702139"/>
    <n v="100300"/>
    <s v="UREMAX"/>
    <s v="PARANAGUA"/>
    <s v="Additives"/>
    <s v="Domestic"/>
    <s v="03/2026"/>
    <s v="2026"/>
  </r>
  <r>
    <n v="13"/>
    <x v="2"/>
    <n v="10492"/>
    <s v="UNIFERTIL RIO GRANDE UN1"/>
    <n v="8216"/>
    <s v="RS"/>
    <s v="UREMAX NBPT ROXO ADITIVO INIBIDOR DE UREASE P/ FERTILIZANTES"/>
    <n v="12000"/>
    <n v="12000"/>
    <n v="373267.71745325852"/>
    <n v="-44740.799999999996"/>
    <n v="328526.91745325853"/>
    <n v="-127450.22500000001"/>
    <n v="-14498.255999999972"/>
    <n v="-7.6395328505096538"/>
    <n v="186570.79692040806"/>
    <n v="0.56790109731861649"/>
    <n v="31.105643121104876"/>
    <n v="31.105643121104876"/>
    <n v="100300"/>
    <s v="UREMAX"/>
    <s v="RIO GRANDE"/>
    <s v="Additives"/>
    <s v="Domestic"/>
    <s v="03/2026"/>
    <s v="2026"/>
  </r>
  <r>
    <n v="13"/>
    <x v="2"/>
    <n v="13390"/>
    <s v="HERINGER - VIANA"/>
    <n v="8217"/>
    <s v="ES"/>
    <s v="UREMAX NBPT AMARELO ADITIVO INIBIDOR DE UREASE P/ FERTILIZANTES"/>
    <n v="12000"/>
    <n v="12000"/>
    <n v="409309.01620960794"/>
    <n v="-28618.800000000003"/>
    <n v="380690.21620960796"/>
    <n v="-191686.77999999997"/>
    <n v="-10254.863999999958"/>
    <n v="-5.4035720162141336"/>
    <n v="178743.16863759182"/>
    <n v="0.46952393580605145"/>
    <n v="34.109084684133997"/>
    <n v="34.109084684133997"/>
    <n v="100300"/>
    <s v="UREMAX"/>
    <s v="VIANA"/>
    <s v="Additives"/>
    <s v="Domestic"/>
    <s v="03/2026"/>
    <s v="2026"/>
  </r>
  <r>
    <n v="13"/>
    <x v="2"/>
    <n v="6124"/>
    <s v="MOSAIC - UBERABA II"/>
    <n v="8215"/>
    <s v="MG"/>
    <s v="UREMAX NBPT VERDE ADITIVO INIBIDOR DE UREASE P/ FERTILIZANTES"/>
    <n v="24000"/>
    <n v="24000"/>
    <n v="870517.50262835901"/>
    <n v="0"/>
    <n v="870517.50262835901"/>
    <n v="-399467.81999999989"/>
    <n v="-4003.2278000000001"/>
    <n v="-2.1094116620767043"/>
    <n v="467044.34541669703"/>
    <n v="0.53651344631962838"/>
    <n v="36.271562609514959"/>
    <n v="36.271562609514959"/>
    <n v="100300"/>
    <s v="UREMAX"/>
    <s v="UBERABA"/>
    <s v="Additives"/>
    <s v="Domestic"/>
    <s v="03/2026"/>
    <s v="2026"/>
  </r>
  <r>
    <n v="13"/>
    <x v="2"/>
    <n v="5657"/>
    <s v="FERTIPLANTA - VARGEM GRANDE DO SUL"/>
    <n v="8214"/>
    <s v="SP"/>
    <s v="UREMAX NBPT AZUL ADITIVO INIBIDOR DE UREASE P/ FERTILIZANTES"/>
    <n v="1000"/>
    <n v="1000"/>
    <n v="36792.159147106671"/>
    <n v="-4410"/>
    <n v="32382.159147106671"/>
    <n v="-18243.143571428573"/>
    <n v="-5039.0280000000012"/>
    <n v="-2.6552034907259219"/>
    <n v="9097.3323721873712"/>
    <n v="0.28093655925967537"/>
    <n v="36.792159147106673"/>
    <n v="36.792159147106673"/>
    <n v="100300"/>
    <s v="UREMAX"/>
    <s v="VARGEM GRANDE DO SUL"/>
    <s v="Additives"/>
    <s v="Domestic"/>
    <s v="03/2026"/>
    <s v="2026"/>
  </r>
  <r>
    <n v="13"/>
    <x v="2"/>
    <n v="97"/>
    <s v="FECOAGRO - SAO FRANCISCO DO SUL"/>
    <n v="8223"/>
    <s v="SC"/>
    <s v="UREMAX PLUS AZUL ADITIVO P/ INIBIR A NITRIFICACAO E VOLATIZACAO P/ FERTILIZANTES"/>
    <n v="12000"/>
    <n v="12000"/>
    <n v="456523.11758042563"/>
    <n v="-54720"/>
    <n v="401803.11758042563"/>
    <n v="-145994.56"/>
    <n v="-9901.2479999999723"/>
    <n v="-5.2172419466895148"/>
    <n v="245902.09233847898"/>
    <n v="0.61199647682987124"/>
    <n v="38.043593131702139"/>
    <n v="38.043593131702139"/>
    <n v="100300"/>
    <s v="UREMAX"/>
    <s v="SAO FRANCISCO DO SUL"/>
    <s v="Additives"/>
    <s v="Domestic"/>
    <s v="03/2026"/>
    <s v="2026"/>
  </r>
  <r>
    <n v="13"/>
    <x v="2"/>
    <n v="2003"/>
    <s v="HERINGER - RIO GRANDE"/>
    <n v="8217"/>
    <s v="RS"/>
    <s v="UREMAX NBPT AMARELO ADITIVO INIBIDOR DE UREASE P/ FERTILIZANTES"/>
    <n v="6000"/>
    <n v="6000"/>
    <n v="221894.26267659108"/>
    <n v="-26596.799999999999"/>
    <n v="195297.46267659109"/>
    <n v="-95843.389999999985"/>
    <n v="-14498.255999999972"/>
    <n v="-7.6395328505096538"/>
    <n v="84948.177143740628"/>
    <n v="0.43496815565091701"/>
    <n v="36.982377112765178"/>
    <n v="36.982377112765178"/>
    <n v="100300"/>
    <s v="UREMAX"/>
    <s v="RIO GRANDE"/>
    <s v="Additives"/>
    <s v="Domestic"/>
    <s v="03/2026"/>
    <s v="2026"/>
  </r>
  <r>
    <n v="11"/>
    <x v="2"/>
    <n v="1792"/>
    <s v="MOSAIC - CATAL?O (CMC3)"/>
    <n v="3359"/>
    <s v="GO"/>
    <s v="MAX OIL GRV ADITIVO ANTI-PO P/ FERTILIZANTES"/>
    <n v="120000"/>
    <n v="120000"/>
    <n v="468000"/>
    <n v="-32760.000000000004"/>
    <n v="435240"/>
    <n v="-294871.5"/>
    <n v="-9768.6419999999998"/>
    <n v="-5.1473681706177947"/>
    <n v="130594.7106318294"/>
    <n v="0.30005217956031016"/>
    <n v="3.9"/>
    <n v="3.9"/>
    <n v="100700"/>
    <s v="MAX OIL"/>
    <s v="CATALAO"/>
    <s v="Additives"/>
    <s v="Domestic"/>
    <s v="03/2026"/>
    <s v="2026"/>
  </r>
  <r>
    <n v="11"/>
    <x v="2"/>
    <n v="1789"/>
    <s v="MOSAIC - ARAXA (CMA)"/>
    <n v="3359"/>
    <s v="MG"/>
    <s v="MAX OIL GRV ADITIVO ANTI-PO P/ FERTILIZANTES"/>
    <n v="150000"/>
    <n v="150000"/>
    <n v="582000"/>
    <n v="0"/>
    <n v="582000"/>
    <n v="-368589.375"/>
    <n v="-15835.738463999998"/>
    <n v="-8.3442894240388306"/>
    <n v="197566.54224657596"/>
    <n v="0.33946141279480407"/>
    <n v="3.88"/>
    <n v="3.88"/>
    <n v="100700"/>
    <s v="MAX OIL"/>
    <s v="ARAXA"/>
    <s v="Additives"/>
    <s v="Domestic"/>
    <s v="03/2026"/>
    <s v="2026"/>
  </r>
  <r>
    <n v="11"/>
    <x v="2"/>
    <n v="1788"/>
    <s v="MOSAIC - UBERABA (CIU2)"/>
    <n v="3359"/>
    <s v="MG"/>
    <s v="MAX OIL GRV ADITIVO ANTI-PO P/ FERTILIZANTES"/>
    <n v="60000"/>
    <n v="60000"/>
    <n v="232800"/>
    <n v="0"/>
    <n v="232800"/>
    <n v="-147435.75"/>
    <n v="-4884.3209999999999"/>
    <n v="-2.5736840853088974"/>
    <n v="80477.355315914698"/>
    <n v="0.34569310702712497"/>
    <n v="3.88"/>
    <n v="3.88"/>
    <n v="100700"/>
    <s v="MAX OIL"/>
    <s v="UBERABA"/>
    <s v="Additives"/>
    <s v="Domestic"/>
    <s v="03/2026"/>
    <s v="2026"/>
  </r>
  <r>
    <n v="11"/>
    <x v="2"/>
    <n v="13330"/>
    <s v="ORGANITEC - PARAGUAY"/>
    <n v="14142"/>
    <s v="EX"/>
    <s v="MAX OIL MT IBC ADITIVO ANTI-PO P/ FERTILIZANTES"/>
    <n v="28000"/>
    <n v="28000"/>
    <n v="178080"/>
    <n v="0"/>
    <n v="178080"/>
    <n v="-86986.22"/>
    <n v="-25247.786666666678"/>
    <n v="-9907.8420516578299"/>
    <n v="55938.151281675484"/>
    <n v="0.31411810018910313"/>
    <n v="6.36"/>
    <n v="6.36"/>
    <n v="100700"/>
    <s v="MAX OIL"/>
    <s v="VILLETA"/>
    <s v="Additives"/>
    <s v="International"/>
    <s v="03/2026"/>
    <s v="2026"/>
  </r>
  <r>
    <n v="11"/>
    <x v="2"/>
    <n v="5519"/>
    <s v="GRANUPAR - RIO BRANCO DO SUL"/>
    <n v="3351"/>
    <s v="PR"/>
    <s v="MAX OIL MT ADITIVO ANTI-PO P/ FERTILIZANTES"/>
    <n v="15000"/>
    <n v="15000"/>
    <n v="92250"/>
    <n v="-11070"/>
    <n v="81180"/>
    <n v="-47367.569999999992"/>
    <n v="-12630.886632"/>
    <n v="-6.6555641834595436"/>
    <n v="21174.887803816546"/>
    <n v="0.26083872633427624"/>
    <n v="6.15"/>
    <n v="6.15"/>
    <n v="100700"/>
    <s v="MAX OIL"/>
    <s v="RIO BRANCO DO SUL"/>
    <s v="Additives"/>
    <s v="Domestic"/>
    <s v="03/2026"/>
    <s v="2026"/>
  </r>
  <r>
    <n v="11"/>
    <x v="2"/>
    <n v="12629"/>
    <s v="EUROCHEM SERRA DO SALITRE"/>
    <n v="3359"/>
    <s v="MG"/>
    <s v="MAX OIL GRV ADITIVO ANTI-PO P/ FERTILIZANTES"/>
    <n v="30000"/>
    <n v="30000"/>
    <n v="163500"/>
    <n v="-29430"/>
    <n v="134070"/>
    <n v="-73717.875"/>
    <n v="-4222.8635904000002"/>
    <n v="-2.2251438464103548"/>
    <n v="56127.036265753595"/>
    <n v="0.41863978716904299"/>
    <n v="5.45"/>
    <n v="5.45"/>
    <n v="100700"/>
    <s v="MAX OIL"/>
    <s v="SERRA DO SALITRE"/>
    <s v="Additives"/>
    <s v="Domestic"/>
    <s v="03/2026"/>
    <s v="2026"/>
  </r>
  <r>
    <n v="11"/>
    <x v="2"/>
    <n v="1787"/>
    <s v="MOSAIC - UBERABA (CIU1)"/>
    <n v="3359"/>
    <s v="MG"/>
    <s v="MAX OIL GRV ADITIVO ANTI-PO P/ FERTILIZANTES"/>
    <n v="300000"/>
    <n v="300000"/>
    <n v="1164000"/>
    <n v="0"/>
    <n v="1164000"/>
    <n v="-737178.75"/>
    <n v="-24421.605"/>
    <n v="-12.868420426544487"/>
    <n v="402386.77657957346"/>
    <n v="0.34569310702712497"/>
    <n v="3.88"/>
    <n v="3.88"/>
    <n v="100700"/>
    <s v="MAX OIL"/>
    <s v="UBERABA"/>
    <s v="Additives"/>
    <s v="Domestic"/>
    <s v="03/2026"/>
    <s v="2026"/>
  </r>
  <r>
    <n v="11"/>
    <x v="2"/>
    <n v="5300"/>
    <s v="FOSNOR - LUIS EDUARDO MAGALHAES"/>
    <n v="4246"/>
    <s v="BA"/>
    <s v="MAX OIL GRGL ADITIVO ANTI-PO P/ FERTILIZANTES"/>
    <n v="90000"/>
    <n v="90000"/>
    <n v="526500"/>
    <n v="-36855"/>
    <n v="489645"/>
    <n v="-237180.83000000002"/>
    <n v="-46451.499494399999"/>
    <n v="-24.476582310513901"/>
    <n v="205988.19392328948"/>
    <n v="0.42068885401319217"/>
    <n v="5.85"/>
    <n v="5.85"/>
    <n v="100700"/>
    <s v="MAX OIL"/>
    <s v="LUIS EDUARDO MAGALHAES"/>
    <s v="Additives"/>
    <s v="Domestic"/>
    <s v="03/2026"/>
    <s v="2026"/>
  </r>
  <r>
    <n v="11"/>
    <x v="2"/>
    <n v="12741"/>
    <s v="HINOVE AGROCIENCIA - GUARA"/>
    <n v="3351"/>
    <s v="SP"/>
    <s v="MAX OIL MT ADITIVO ANTI-PO P/ FERTILIZANTES"/>
    <n v="30000"/>
    <n v="30000"/>
    <n v="175500"/>
    <n v="-21060"/>
    <n v="154440"/>
    <n v="-94735.139999999985"/>
    <n v="0"/>
    <n v="0"/>
    <n v="59704.860000000015"/>
    <n v="0.38658935508935521"/>
    <n v="5.85"/>
    <n v="5.85"/>
    <n v="100700"/>
    <s v="MAX OIL"/>
    <s v="GUARA"/>
    <s v="Additives"/>
    <s v="Domestic"/>
    <s v="03/2026"/>
    <s v="2026"/>
  </r>
  <r>
    <n v="11"/>
    <x v="2"/>
    <n v="6370"/>
    <s v="YTL S.A. - PARAGUAI"/>
    <n v="7010"/>
    <s v="EX"/>
    <s v="MAX OIL GRI ADITIVO ANTI-PO P/ FERTILIZANTES"/>
    <n v="28000"/>
    <n v="28000"/>
    <n v="189840"/>
    <n v="0"/>
    <n v="189840"/>
    <n v="-75466.13"/>
    <n v="-28440.27648"/>
    <n v="-9909.5242630082066"/>
    <n v="76024.069256991788"/>
    <n v="0.40046391306885687"/>
    <n v="6.78"/>
    <n v="6.78"/>
    <n v="100700"/>
    <s v="MAX OIL"/>
    <s v="ITAPUA"/>
    <s v="Additives"/>
    <s v="International"/>
    <s v="03/2026"/>
    <s v="2026"/>
  </r>
  <r>
    <n v="13"/>
    <x v="2"/>
    <n v="2"/>
    <s v="CARGILL - UBERLANDIA"/>
    <n v="3700"/>
    <s v="MG"/>
    <s v="CICOAT 41175"/>
    <n v="84000"/>
    <n v="84000"/>
    <n v="92400"/>
    <n v="-23640.539999999997"/>
    <n v="68759.460000000006"/>
    <n v="-15087.710000000001"/>
    <n v="0"/>
    <n v="0"/>
    <n v="53671.750000000007"/>
    <n v="0.78057259321117423"/>
    <n v="1.1000000000000001"/>
    <n v="1.1000000000000001"/>
    <n v="100900"/>
    <s v="PA TERCEIROS"/>
    <s v="UBERLANDIA"/>
    <s v="Fertilizers"/>
    <s v="Domestic"/>
    <s v="03/2026"/>
    <s v="2026"/>
  </r>
  <r>
    <n v="11"/>
    <x v="2"/>
    <n v="2900"/>
    <s v="BIOSAFRA - MARUIM"/>
    <n v="7305"/>
    <s v="SE"/>
    <s v="PHYTOHUMUS BIO PRODUTO A BASE DE EXTRATO DE ALGAS E ACIDOS HUMICOS"/>
    <n v="2000"/>
    <n v="2000"/>
    <n v="46879.735996617703"/>
    <n v="-1747.2"/>
    <n v="45132.535996617706"/>
    <n v="-13026.939999999999"/>
    <n v="-14851.871999999958"/>
    <n v="-7.8258629200342718"/>
    <n v="17245.898133697716"/>
    <n v="0.38211675353208929"/>
    <n v="23.439867998308852"/>
    <n v="23.439867998308852"/>
    <n v="101000"/>
    <s v="PHYTOHUMUS"/>
    <s v="MARUIM"/>
    <s v="Additives"/>
    <s v="Domestic"/>
    <s v="03/2026"/>
    <s v="2026"/>
  </r>
  <r>
    <n v="11"/>
    <x v="2"/>
    <n v="3273"/>
    <s v="FERTIMAXI - CONCEICAO DO JACUIPE"/>
    <n v="7305"/>
    <s v="BA"/>
    <s v="PHYTOHUMUS BIO PRODUTO A BASE DE EXTRATO DE ALGAS E ACIDOS HUMICOS"/>
    <n v="4000"/>
    <n v="4000"/>
    <n v="100628.29778028562"/>
    <n v="-3750.4"/>
    <n v="96877.897780285624"/>
    <n v="-26053.879999999997"/>
    <n v="-12906.984000000033"/>
    <n v="-6.801047537648869"/>
    <n v="57910.232732747936"/>
    <n v="0.59776516687103942"/>
    <n v="25.157074445071405"/>
    <n v="25.157074445071405"/>
    <n v="101000"/>
    <s v="PHYTOHUMUS"/>
    <s v="CONCEICAO DO JACUIPE"/>
    <s v="Additives"/>
    <s v="Domestic"/>
    <s v="03/2026"/>
    <s v="2026"/>
  </r>
  <r>
    <n v="11"/>
    <x v="2"/>
    <n v="3297"/>
    <s v="MACROSOURCE PERU S.R.L."/>
    <n v="14144"/>
    <s v="EX"/>
    <s v="RESIDEX YELLOW IBC ADITIVO ANTI PO P/ FERTILIZANTES"/>
    <n v="2000"/>
    <n v="2000"/>
    <n v="12402"/>
    <n v="0"/>
    <n v="12402"/>
    <n v="-3005.1"/>
    <n v="-9057.2866560000002"/>
    <n v="-711.52527055711141"/>
    <n v="-371.911926557112"/>
    <n v="-2.9988060519038219E-2"/>
    <n v="6.2009999999999996"/>
    <n v="6.2009999999999996"/>
    <n v="101300"/>
    <s v="RESIDEX"/>
    <s v="LIMA"/>
    <s v="Additives"/>
    <s v="International"/>
    <s v="03/2026"/>
    <s v="2026"/>
  </r>
  <r>
    <n v="11"/>
    <x v="2"/>
    <n v="16645"/>
    <s v="OPCAO AGRONEGOCIOS"/>
    <n v="8301"/>
    <s v="MG"/>
    <s v="BIOSINERGIC - BB - 20L PRODUTO A BASE DE EXTRATO DE ALGAS E ACIDOS HUMICOS"/>
    <n v="3"/>
    <n v="68.996899198925291"/>
    <n v="1824.967983811574"/>
    <n v="-180.012228859076"/>
    <n v="1644.955754952498"/>
    <n v="-505.53657398552735"/>
    <n v="-16.654423944568176"/>
    <n v="-402.23776448097976"/>
    <n v="720.5269925414226"/>
    <n v="0.43802211115534201"/>
    <n v="608.32266127052469"/>
    <n v="26.45"/>
    <n v="101602"/>
    <s v="FERTILIZANTE LIQUIDOS"/>
    <s v="UBERLANDIA"/>
    <s v="Fertilizers"/>
    <s v="Domestic"/>
    <s v="03/2026"/>
    <s v="2026"/>
  </r>
  <r>
    <n v="11"/>
    <x v="2"/>
    <n v="7060"/>
    <s v="AGROVIVA"/>
    <n v="8368"/>
    <s v="MG"/>
    <s v="SULFORCE - BB - 18 L SOLUC?O ALTAMENTE CONCENTRADA EM ENXOFRE (60%)"/>
    <n v="100"/>
    <n v="1644.2036273934677"/>
    <n v="17812.961919119989"/>
    <n v="-1603.1012841433039"/>
    <n v="16209.860634976685"/>
    <n v="-7983.1885430865605"/>
    <n v="-396.8767376466991"/>
    <n v="-4265.2456998500393"/>
    <n v="3564.5496543933859"/>
    <n v="0.21990008024510774"/>
    <n v="178.12961919119988"/>
    <n v="10.833793103448276"/>
    <n v="101602"/>
    <s v="FERTILIZANTE LIQUIDOS"/>
    <s v="TRES PONTAS"/>
    <s v="Fertilizers"/>
    <s v="Domestic"/>
    <s v="03/2026"/>
    <s v="2026"/>
  </r>
  <r>
    <n v="11"/>
    <x v="2"/>
    <n v="11326"/>
    <s v="VEGA AGRO"/>
    <n v="8301"/>
    <s v="MG"/>
    <s v="BIOSINERGIC - BB - 20L PRODUTO A BASE DE EXTRATO DE ALGAS E ACIDOS HUMICOS"/>
    <n v="3"/>
    <n v="68.996899198925291"/>
    <n v="1824.967983811574"/>
    <n v="-178.29408650563514"/>
    <n v="1646.6738973059389"/>
    <n v="-505.53657398552735"/>
    <n v="0"/>
    <n v="-400.26155328843697"/>
    <n v="740.87577003197453"/>
    <n v="0.44992258105511568"/>
    <n v="608.32266127052469"/>
    <n v="26.45"/>
    <n v="101602"/>
    <s v="FERTILIZANTE LIQUIDOS"/>
    <s v="PATOS DE MINAS"/>
    <s v="Fertilizers"/>
    <s v="Domestic"/>
    <s v="03/2026"/>
    <s v="2026"/>
  </r>
  <r>
    <n v="11"/>
    <x v="2"/>
    <n v="15905"/>
    <s v="CAMPEVO - ITAPETININGA"/>
    <n v="8368"/>
    <s v="SP"/>
    <s v="SULFORCE - BB - 18 L SOLUC?O ALTAMENTE CONCENTRADA EM ENXOFRE (60%)"/>
    <n v="170"/>
    <n v="2795.1461665688953"/>
    <n v="30282.035262503981"/>
    <n v="-2725.2721830436167"/>
    <n v="27556.763079460365"/>
    <n v="-13571.420523247154"/>
    <n v="-755.63618576813087"/>
    <n v="-7247.8696403577596"/>
    <n v="5981.8367300873197"/>
    <n v="0.21707327209798183"/>
    <n v="178.12961919119988"/>
    <n v="10.833793103448276"/>
    <n v="101602"/>
    <s v="FERTILIZANTE LIQUIDOS"/>
    <s v="ITAPETININGA"/>
    <s v="Fertilizers"/>
    <s v="Domestic"/>
    <s v="03/2026"/>
    <s v="2026"/>
  </r>
  <r>
    <n v="11"/>
    <x v="2"/>
    <n v="15906"/>
    <s v="CAMPEVO - JAU"/>
    <n v="8368"/>
    <s v="SP"/>
    <s v="SULFORCE - BB - 18 L SOLUC?O ALTAMENTE CONCENTRADA EM ENXOFRE (60%)"/>
    <n v="500"/>
    <n v="8221.0181369673392"/>
    <n v="89064.809595599945"/>
    <n v="-8015.5064207165206"/>
    <n v="81049.303174883418"/>
    <n v="-39915.9427154328"/>
    <n v="-2222.4593699062671"/>
    <n v="-21308.465032622182"/>
    <n v="17602.436056922168"/>
    <n v="0.21718183090286003"/>
    <n v="178.12961919119988"/>
    <n v="10.833793103448276"/>
    <n v="101602"/>
    <s v="FERTILIZANTE LIQUIDOS"/>
    <s v="JAU"/>
    <s v="Fertilizers"/>
    <s v="Domestic"/>
    <s v="03/2026"/>
    <s v="2026"/>
  </r>
  <r>
    <n v="11"/>
    <x v="2"/>
    <n v="15908"/>
    <s v="CAMPEVO - S?O JOSE DO RIO PRETO"/>
    <n v="13004"/>
    <s v="SP"/>
    <s v="BIOSINERGIC K - BB - 20L PRODUTO A BASE DE EXTRATO DE ALGAS E ACIDOS HUMICOS"/>
    <n v="63"/>
    <n v="1448.9348831774312"/>
    <n v="38324.327660043054"/>
    <n v="-3627.6857650550473"/>
    <n v="34696.64189498801"/>
    <n v="-10245.14613524024"/>
    <n v="-391.70317518477435"/>
    <n v="-8412.1195523733386"/>
    <n v="15647.673032189656"/>
    <n v="0.45098523020033215"/>
    <n v="608.32266127052469"/>
    <n v="26.45"/>
    <n v="101602"/>
    <s v="FERTILIZANTE LIQUIDOS"/>
    <s v="SAO JOSE DO RIO PRETO"/>
    <s v="Fertilizers"/>
    <s v="Domestic"/>
    <s v="03/2026"/>
    <s v="2026"/>
  </r>
  <r>
    <n v="11"/>
    <x v="2"/>
    <n v="14166"/>
    <s v="TAKI AGRO - TRES CORAC?ES"/>
    <n v="8368"/>
    <s v="MG"/>
    <s v="SULFORCE - BB - 18 L SOLUC?O ALTAMENTE CONCENTRADA EM ENXOFRE (60%)"/>
    <n v="1000"/>
    <n v="16442.036273934678"/>
    <n v="178129.61919119989"/>
    <n v="-16031.012841433041"/>
    <n v="162098.60634976684"/>
    <n v="-79831.885430865601"/>
    <n v="-3968.7673764669912"/>
    <n v="-42615.214275854159"/>
    <n v="35682.739266580087"/>
    <n v="0.22012983374814446"/>
    <n v="178.12961919119988"/>
    <n v="10.833793103448276"/>
    <n v="101602"/>
    <s v="FERTILIZANTE LIQUIDOS"/>
    <s v="TRES CORACOES"/>
    <s v="Fertilizers"/>
    <s v="Domestic"/>
    <s v="03/2026"/>
    <s v="2026"/>
  </r>
  <r>
    <n v="11"/>
    <x v="2"/>
    <n v="15908"/>
    <s v="CAMPEVO - S?O JOSE DO RIO PRETO"/>
    <n v="8368"/>
    <s v="SP"/>
    <s v="SULFORCE - BB - 18 L SOLUC?O ALTAMENTE CONCENTRADA EM ENXOFRE (60%)"/>
    <n v="500"/>
    <n v="8221.0181369673392"/>
    <n v="89064.809595599945"/>
    <n v="-8015.5064207165206"/>
    <n v="81049.303174883418"/>
    <n v="-39915.9427154328"/>
    <n v="-2222.4593699062671"/>
    <n v="-21307.85945989623"/>
    <n v="17603.04162964812"/>
    <n v="0.21718930256149535"/>
    <n v="178.12961919119988"/>
    <n v="10.833793103448276"/>
    <n v="101602"/>
    <s v="FERTILIZANTE LIQUIDOS"/>
    <s v="SAO JOSE DO RIO PRETO"/>
    <s v="Fertilizers"/>
    <s v="Domestic"/>
    <s v="03/2026"/>
    <s v="2026"/>
  </r>
  <r>
    <n v="11"/>
    <x v="2"/>
    <n v="15906"/>
    <s v="CAMPEVO - JAU"/>
    <n v="13004"/>
    <s v="SP"/>
    <s v="BIOSINERGIC K - BB - 20L PRODUTO A BASE DE EXTRATO DE ALGAS E ACIDOS HUMICOS"/>
    <n v="63"/>
    <n v="1448.9348831774312"/>
    <n v="38324.327660043054"/>
    <n v="-3627.6857650550473"/>
    <n v="34696.64189498801"/>
    <n v="-10245.14613524024"/>
    <n v="-391.70317518477435"/>
    <n v="-8412.725125099294"/>
    <n v="15647.0674594637"/>
    <n v="0.45096777684770545"/>
    <n v="608.32266127052469"/>
    <n v="26.45"/>
    <n v="101602"/>
    <s v="FERTILIZANTE LIQUIDOS"/>
    <s v="JAU"/>
    <s v="Fertilizers"/>
    <s v="Domestic"/>
    <s v="03/2026"/>
    <s v="2026"/>
  </r>
  <r>
    <n v="11"/>
    <x v="2"/>
    <n v="15904"/>
    <s v="CAMPEVO - JALES"/>
    <n v="8368"/>
    <s v="SP"/>
    <s v="SULFORCE - BB - 18 L SOLUC?O ALTAMENTE CONCENTRADA EM ENXOFRE (60%)"/>
    <n v="500"/>
    <n v="8221.0181369673392"/>
    <n v="89064.809595599945"/>
    <n v="-8015.5064207165206"/>
    <n v="81049.303174883418"/>
    <n v="-39915.9427154328"/>
    <n v="-2222.4593699062671"/>
    <n v="-21307.85945989623"/>
    <n v="17603.04162964812"/>
    <n v="0.21718930256149535"/>
    <n v="178.12961919119988"/>
    <n v="10.833793103448276"/>
    <n v="101602"/>
    <s v="FERTILIZANTE LIQUIDOS"/>
    <s v="JALES"/>
    <s v="Fertilizers"/>
    <s v="Domestic"/>
    <s v="03/2026"/>
    <s v="2026"/>
  </r>
  <r>
    <n v="11"/>
    <x v="2"/>
    <n v="14298"/>
    <s v="SAGRA - BAMBUI"/>
    <n v="8368"/>
    <s v="MG"/>
    <s v="SULFORCE - BB - 18 L SOLUC?O ALTAMENTE CONCENTRADA EM ENXOFRE (60%)"/>
    <n v="200"/>
    <n v="3288.4072547869355"/>
    <n v="35625.923838239978"/>
    <n v="-3206.2025682866079"/>
    <n v="32419.72126995337"/>
    <n v="-15966.377086173121"/>
    <n v="-793.7534752933982"/>
    <n v="-8524.5840377583863"/>
    <n v="7135.0066707284641"/>
    <n v="0.22008229532007714"/>
    <n v="178.12961919119988"/>
    <n v="10.833793103448276"/>
    <n v="101602"/>
    <s v="FERTILIZANTE LIQUIDOS"/>
    <s v="BAMBUI "/>
    <s v="Fertilizers"/>
    <s v="Domestic"/>
    <s v="03/2026"/>
    <s v="2026"/>
  </r>
  <r>
    <n v="11"/>
    <x v="2"/>
    <n v="12653"/>
    <s v="APROVAR AGROPECUARIA COMERCIO"/>
    <n v="8368"/>
    <s v="MG"/>
    <s v="SULFORCE - BB - 18 L SOLUC?O ALTAMENTE CONCENTRADA EM ENXOFRE (60%)"/>
    <n v="1600"/>
    <n v="26307.258038295484"/>
    <n v="285007.39070591982"/>
    <n v="-25649.620546292863"/>
    <n v="259357.77015962696"/>
    <n v="-127731.01668938497"/>
    <n v="-6350.0278023471856"/>
    <n v="-68181.456278039594"/>
    <n v="57095.26938985521"/>
    <n v="0.22014096340632006"/>
    <n v="178.12961919119988"/>
    <n v="10.833793103448276"/>
    <n v="101602"/>
    <s v="FERTILIZANTE LIQUIDOS"/>
    <s v="VARGINHA"/>
    <s v="Fertilizers"/>
    <s v="Domestic"/>
    <s v="03/2026"/>
    <s v="2026"/>
  </r>
  <r>
    <n v="11"/>
    <x v="2"/>
    <n v="15905"/>
    <s v="CAMPEVO - ITAPETININGA"/>
    <n v="13004"/>
    <s v="SP"/>
    <s v="BIOSINERGIC K - BB - 20L PRODUTO A BASE DE EXTRATO DE ALGAS E ACIDOS HUMICOS"/>
    <n v="23"/>
    <n v="528.97622719176059"/>
    <n v="13991.421209222068"/>
    <n v="-1324.3932158137472"/>
    <n v="12667.027993408321"/>
    <n v="-3740.291446198818"/>
    <n v="-143.00274649602875"/>
    <n v="-3074.2304708572215"/>
    <n v="5709.5033298562521"/>
    <n v="0.45073740524039013"/>
    <n v="608.32266127052469"/>
    <n v="26.45"/>
    <n v="101602"/>
    <s v="FERTILIZANTE LIQUIDOS"/>
    <s v="ITAPETININGA"/>
    <s v="Fertilizers"/>
    <s v="Domestic"/>
    <s v="03/2026"/>
    <s v="2026"/>
  </r>
  <r>
    <n v="11"/>
    <x v="2"/>
    <n v="15904"/>
    <s v="CAMPEVO - JALES"/>
    <n v="13004"/>
    <s v="SP"/>
    <s v="BIOSINERGIC K - BB - 20L PRODUTO A BASE DE EXTRATO DE ALGAS E ACIDOS HUMICOS"/>
    <n v="71"/>
    <n v="1632.9266143745651"/>
    <n v="43190.908950207246"/>
    <n v="-4088.3442749033075"/>
    <n v="39102.56467530394"/>
    <n v="-11546.117073048525"/>
    <n v="-441.44326092252351"/>
    <n v="-9480.0304336758363"/>
    <n v="17634.973907657055"/>
    <n v="0.45099276873761684"/>
    <n v="608.32266127052458"/>
    <n v="26.45"/>
    <n v="101602"/>
    <s v="FERTILIZANTE LIQUIDOS"/>
    <s v="JALES"/>
    <s v="Fertilizers"/>
    <s v="Domestic"/>
    <s v="03/2026"/>
    <s v="2026"/>
  </r>
  <r>
    <n v="11"/>
    <x v="2"/>
    <n v="15906"/>
    <s v="CAMPEVO - JAU"/>
    <n v="8369"/>
    <s v="SP"/>
    <s v="SULFORCE IBC - 700 L - SOLUC?O ALTAMENTE CONCENTRADA EM ENXOFRE (60%) "/>
    <n v="3500"/>
    <n v="3197.0626088206318"/>
    <n v="31669.661228824232"/>
    <n v="-2850.1534340460607"/>
    <n v="28819.507794778172"/>
    <n v="-17074.682582790541"/>
    <n v="-864.28975496354849"/>
    <n v="-7668.683384691275"/>
    <n v="3211.8520723328065"/>
    <n v="0.11144715222772696"/>
    <n v="9.0484746368069242"/>
    <n v="9.905862068965515"/>
    <n v="101602"/>
    <s v="FERTILIZANTE LIQUIDOS"/>
    <s v="JAU"/>
    <s v="Fertilizers"/>
    <s v="Domestic"/>
    <s v="03/2026"/>
    <s v="2026"/>
  </r>
  <r>
    <n v="11"/>
    <x v="2"/>
    <n v="15917"/>
    <s v="MINAS FARM"/>
    <n v="8301"/>
    <s v="MG"/>
    <s v="BIOSINERGIC - BB - 20L PRODUTO A BASE DE EXTRATO DE ALGAS E ACIDOS HUMICOS"/>
    <n v="5"/>
    <n v="114.99483199820881"/>
    <n v="3041.6133063526231"/>
    <n v="-300.02038143179334"/>
    <n v="2741.5929249208298"/>
    <n v="-842.56095664254553"/>
    <n v="-27.757373240946958"/>
    <n v="-669.03646400660443"/>
    <n v="1202.2381310307328"/>
    <n v="0.43851810387402806"/>
    <n v="608.32266127052458"/>
    <n v="26.45"/>
    <n v="101602"/>
    <s v="FERTILIZANTE LIQUIDOS"/>
    <s v="UBERLANDIA"/>
    <s v="Fertilizers"/>
    <s v="Domestic"/>
    <s v="03/2026"/>
    <s v="2026"/>
  </r>
  <r>
    <n v="11"/>
    <x v="2"/>
    <n v="2696"/>
    <s v="MOSAIC FERTILIZANTES PARAGUAY S.R.L."/>
    <n v="4676"/>
    <s v="EX"/>
    <s v="R-COAT ADITIVO ANTIEMBLOCANTE P/ FERTILIZANTES"/>
    <n v="30000"/>
    <n v="30000"/>
    <n v="338570.68054622674"/>
    <n v="0"/>
    <n v="338570.68054622674"/>
    <n v="-174191.38"/>
    <n v="-27051.200000000012"/>
    <n v="-10615.545055347675"/>
    <n v="126712.55549087905"/>
    <n v="0.37425731987911565"/>
    <n v="11.285689351540892"/>
    <n v="11.285689351540892"/>
    <n v="101900"/>
    <s v="HIGROSCOPICIDADE"/>
    <s v="ASSUNCION"/>
    <s v="Additives"/>
    <s v="International"/>
    <s v="03/2026"/>
    <s v="2026"/>
  </r>
  <r>
    <n v="11"/>
    <x v="2"/>
    <n v="6477"/>
    <s v="MOSAIC - PARANAGUA II"/>
    <n v="4676"/>
    <s v="PR"/>
    <s v="R-COAT ADITIVO ANTIEMBLOCANTE P/ FERTILIZANTES"/>
    <n v="30000"/>
    <n v="30000"/>
    <n v="344726.51110161265"/>
    <n v="-40320"/>
    <n v="304406.51110161265"/>
    <n v="-174191.38"/>
    <n v="-14049.6057"/>
    <n v="-7.4031265748002992"/>
    <n v="116158.12227503784"/>
    <n v="0.38158882296792784"/>
    <n v="11.490883703387087"/>
    <n v="11.490883703387087"/>
    <n v="101900"/>
    <s v="HIGROSCOPICIDADE"/>
    <s v="PARANAGUA"/>
    <s v="Additives"/>
    <s v="Domestic"/>
    <s v="03/2026"/>
    <s v="2026"/>
  </r>
  <r>
    <n v="11"/>
    <x v="2"/>
    <n v="903"/>
    <s v="YARA - PONTA GROSSA"/>
    <n v="4627"/>
    <s v="PR"/>
    <s v="COAT BIO GR ADITIVO ANTI-PO P/ FERTILIZANTES"/>
    <n v="45000"/>
    <n v="45000"/>
    <n v="386029.5564195044"/>
    <n v="-46170"/>
    <n v="339859.5564195044"/>
    <n v="-239683.63909090907"/>
    <n v="-17720.945424000001"/>
    <n v="-9.3376572126148822"/>
    <n v="82445.63424738271"/>
    <n v="0.24258736495735386"/>
    <n v="8.578434587100098"/>
    <n v="8.578434587100098"/>
    <n v="102200"/>
    <s v="COAT BIO"/>
    <s v="PONTA GROSSA"/>
    <s v="Additives"/>
    <s v="Domestic"/>
    <s v="03/2026"/>
    <s v="2026"/>
  </r>
  <r>
    <n v="11"/>
    <x v="2"/>
    <n v="1159"/>
    <s v="YARA - RIO GRANDE"/>
    <n v="4627"/>
    <s v="RS"/>
    <s v="COAT BIO GR ADITIVO ANTI-PO P/ FERTILIZANTES"/>
    <n v="120000"/>
    <n v="120000"/>
    <n v="1089611.6914141176"/>
    <n v="-130320"/>
    <n v="959291.69141411758"/>
    <n v="-639156.37090909097"/>
    <n v="-97686.42"/>
    <n v="-51.473681706177949"/>
    <n v="222397.42682332045"/>
    <n v="0.23183503913755205"/>
    <n v="9.0800974284509799"/>
    <n v="9.0800974284509799"/>
    <n v="102200"/>
    <s v="COAT BIO"/>
    <s v="RIO GRANDE"/>
    <s v="Additives"/>
    <s v="Domestic"/>
    <s v="03/2026"/>
    <s v="2026"/>
  </r>
  <r>
    <n v="11"/>
    <x v="2"/>
    <n v="2900"/>
    <s v="BIOSAFRA - MARUIM"/>
    <n v="12813"/>
    <s v="SE"/>
    <s v="COATMAX BMZ 3313 - MICRONUTRIENTE LIQUIDO"/>
    <n v="4800"/>
    <n v="4800"/>
    <n v="56096.967790668728"/>
    <n v="-2184.96"/>
    <n v="53912.007790668729"/>
    <n v="-29869.780000000002"/>
    <n v="-7794.1996554239995"/>
    <n v="-4.1069797850888259"/>
    <n v="16243.921155459639"/>
    <n v="0.3013043257177892"/>
    <n v="11.686868289722652"/>
    <n v="11.686868289722652"/>
    <n v="102300"/>
    <s v="COAT MAX"/>
    <s v="MARUIM"/>
    <s v="Additives"/>
    <s v="Domestic"/>
    <s v="03/2026"/>
    <s v="2026"/>
  </r>
  <r>
    <n v="11"/>
    <x v="2"/>
    <n v="8855"/>
    <s v="TERMAG - GUARUJA"/>
    <n v="7398"/>
    <s v="SP"/>
    <s v="SUPERSELEN ADITIVO ANTI PO P/ FERTILIZANTES"/>
    <n v="30000"/>
    <n v="30000"/>
    <n v="73800"/>
    <n v="-8856"/>
    <n v="64944"/>
    <n v="-19277.265789473684"/>
    <n v="-13045.632163199998"/>
    <n v="-6.8741050969462743"/>
    <n v="32614.227942229372"/>
    <n v="0.50219000896509869"/>
    <n v="2.46"/>
    <n v="2.46"/>
    <n v="102600"/>
    <s v="SUPERSELEN"/>
    <s v="GUARUJA"/>
    <s v="Additives"/>
    <s v="Domestic"/>
    <s v="03/2026"/>
    <s v="2026"/>
  </r>
  <r>
    <n v="11"/>
    <x v="2"/>
    <n v="1953"/>
    <s v="AMAGGI - COMODORO"/>
    <n v="7398"/>
    <s v="MT"/>
    <s v="SUPERSELEN ADITIVO ANTI PO P/ FERTILIZANTES"/>
    <n v="60000"/>
    <n v="60000"/>
    <n v="125400"/>
    <n v="-8778"/>
    <n v="116622"/>
    <n v="-38554.531578947368"/>
    <n v="-41876.730604799995"/>
    <n v="-22.066009810236018"/>
    <n v="36168.671806442399"/>
    <n v="0.31013592466637857"/>
    <n v="2.09"/>
    <n v="2.09"/>
    <n v="102600"/>
    <s v="SUPERSELEN"/>
    <s v="COMODORO"/>
    <s v="Additives"/>
    <s v="Domestic"/>
    <s v="03/2026"/>
    <s v="2026"/>
  </r>
  <r>
    <n v="11"/>
    <x v="2"/>
    <n v="3142"/>
    <s v="INTERFERTIL - SAO FRANCISCO DO SUL"/>
    <n v="7398"/>
    <s v="SC"/>
    <s v="SUPERSELEN ADITIVO ANTI PO P/ FERTILIZANTES"/>
    <n v="15000"/>
    <n v="15000"/>
    <n v="41400"/>
    <n v="-4968"/>
    <n v="36432"/>
    <n v="-9638.632894736842"/>
    <n v="-12045.7338550185"/>
    <n v="-6.3472309699808234"/>
    <n v="14741.286019274678"/>
    <n v="0.40462467114829481"/>
    <n v="2.76"/>
    <n v="2.76"/>
    <n v="102600"/>
    <s v="SUPERSELEN"/>
    <s v="SAO FRANCISCO DO SUL"/>
    <s v="Additives"/>
    <s v="Domestic"/>
    <s v="03/2026"/>
    <s v="2026"/>
  </r>
  <r>
    <n v="11"/>
    <x v="2"/>
    <n v="8413"/>
    <s v="AMAGGI - SINOP"/>
    <n v="7398"/>
    <s v="MT"/>
    <s v="SUPERSELEN ADITIVO ANTI PO P/ FERTILIZANTES"/>
    <n v="32000"/>
    <n v="32000"/>
    <n v="66240"/>
    <n v="-4636.8"/>
    <n v="61603.199999999997"/>
    <n v="-20562.41684210526"/>
    <n v="-23352.800640000001"/>
    <n v="-12.305237791406306"/>
    <n v="17675.677280103329"/>
    <n v="0.28692790764283888"/>
    <n v="2.0699999999999998"/>
    <n v="2.0699999999999998"/>
    <n v="102600"/>
    <s v="SUPERSELEN"/>
    <s v="SINOP"/>
    <s v="Additives"/>
    <s v="Domestic"/>
    <s v="03/2026"/>
    <s v="2026"/>
  </r>
  <r>
    <n v="11"/>
    <x v="2"/>
    <n v="8414"/>
    <s v="AMAGGI - PORTO VELHO"/>
    <n v="7398"/>
    <s v="RO"/>
    <s v="SUPERSELEN ADITIVO ANTI PO P/ FERTILIZANTES"/>
    <n v="15000"/>
    <n v="15000"/>
    <n v="35400"/>
    <n v="-2478.0000000000005"/>
    <n v="32922"/>
    <n v="-9638.632894736842"/>
    <n v="-24495.122433600001"/>
    <n v="-12.907158799564826"/>
    <n v="-1224.6624871364081"/>
    <n v="-3.719890915304077E-2"/>
    <n v="2.36"/>
    <n v="2.36"/>
    <n v="102600"/>
    <s v="SUPERSELEN"/>
    <s v="PORTO VELHO"/>
    <s v="Additives"/>
    <s v="Domestic"/>
    <s v="03/2026"/>
    <s v="2026"/>
  </r>
  <r>
    <n v="11"/>
    <x v="3"/>
    <n v="1936"/>
    <s v="CIBRA - PARANAGUA II"/>
    <n v="4"/>
    <s v="PR"/>
    <s v="START ANTIDUSTING G37 ADITIVO ANTI PO P/ FERTILIZANTES"/>
    <n v="35000"/>
    <n v="35000"/>
    <n v="139650"/>
    <n v="-16758"/>
    <n v="122892"/>
    <n v="-34500.835833333338"/>
    <n v="0"/>
    <n v="0"/>
    <n v="88391.164166666655"/>
    <n v="0.71925889534442156"/>
    <n v="3.99"/>
    <n v="3.99"/>
    <n v="100100"/>
    <s v="START ANTIDUSTING"/>
    <s v="PARANAGUA"/>
    <s v="Additives"/>
    <s v="Domestic"/>
    <s v="04/2026"/>
    <s v="2026"/>
  </r>
  <r>
    <n v="11"/>
    <x v="3"/>
    <n v="7024"/>
    <s v="MOSAIC - SORRISO"/>
    <n v="1043"/>
    <s v="MT"/>
    <s v="START ANTIDUSTING SC AD ADITIVO ANTI PO P/ FERTILIZANTES"/>
    <n v="30000"/>
    <n v="30000"/>
    <n v="68400"/>
    <n v="-4788.0000000000009"/>
    <n v="63612"/>
    <n v="-11986.197500000006"/>
    <n v="-21002.580299999998"/>
    <n v="-263.80073245950285"/>
    <n v="30359.421467540491"/>
    <n v="0.47725934521065982"/>
    <n v="2.2799999999999998"/>
    <n v="2.2799999999999998"/>
    <n v="100100"/>
    <s v="START ANTIDUSTING"/>
    <s v="SORRISO"/>
    <s v="Additives"/>
    <s v="Domestic"/>
    <s v="04/2026"/>
    <s v="2026"/>
  </r>
  <r>
    <n v="11"/>
    <x v="3"/>
    <n v="2603"/>
    <s v="MOSAIC - S?O LUIS"/>
    <n v="1043"/>
    <s v="MA"/>
    <s v="START ANTIDUSTING SC AD ADITIVO ANTI PO P/ FERTILIZANTES"/>
    <n v="30000"/>
    <n v="30000"/>
    <n v="73800"/>
    <n v="-5166.0000000000009"/>
    <n v="68634"/>
    <n v="-11986.197500000006"/>
    <n v="0"/>
    <n v="0"/>
    <n v="56647.802499999991"/>
    <n v="0.82536064486988947"/>
    <n v="2.46"/>
    <n v="2.46"/>
    <n v="100100"/>
    <s v="START ANTIDUSTING"/>
    <s v="SAO LUIS"/>
    <s v="Additives"/>
    <s v="Domestic"/>
    <s v="04/2026"/>
    <s v="2026"/>
  </r>
  <r>
    <n v="11"/>
    <x v="3"/>
    <n v="3273"/>
    <s v="FERTIMAXI - CONCEICAO DO JACUIPE"/>
    <n v="2"/>
    <s v="BA"/>
    <s v="START ANTIDUSTING SC ADITIVO ANTI PO P/ FERTILIZANTES"/>
    <n v="30000"/>
    <n v="30000"/>
    <n v="78900"/>
    <n v="-5523.0000000000009"/>
    <n v="73377"/>
    <n v="-17009.744999999999"/>
    <n v="-18675.345000000001"/>
    <n v="-234.56973474511202"/>
    <n v="37457.34026525489"/>
    <n v="0.51047794629454579"/>
    <n v="2.63"/>
    <n v="2.63"/>
    <n v="100100"/>
    <s v="START ANTIDUSTING"/>
    <s v="CONCEICAO DO JACUIPE"/>
    <s v="Additives"/>
    <s v="Domestic"/>
    <s v="04/2026"/>
    <s v="2026"/>
  </r>
  <r>
    <n v="11"/>
    <x v="3"/>
    <n v="1023"/>
    <s v="ADUBOS ARAGUAIA - RONDONOPOLIS"/>
    <n v="14133"/>
    <s v="MT"/>
    <s v="START ANTIDUSTING SC AD IBC ADITIVO ANTI PO P/ FERTILIZANTES"/>
    <n v="12000"/>
    <n v="12000"/>
    <n v="34320"/>
    <n v="-2402.4"/>
    <n v="31917.599999999999"/>
    <n v="-15419.301068702283"/>
    <n v="-7644.7315593636004"/>
    <n v="-96.020858199808686"/>
    <n v="8757.5465137343053"/>
    <n v="0.27437985668516135"/>
    <n v="2.86"/>
    <n v="2.86"/>
    <n v="100100"/>
    <s v="START ANTIDUSTING"/>
    <s v="RONDONOPOLIS"/>
    <s v="Additives"/>
    <s v="Domestic"/>
    <s v="04/2026"/>
    <s v="2026"/>
  </r>
  <r>
    <n v="11"/>
    <x v="3"/>
    <n v="2287"/>
    <s v="BUNGE PARAGUAY S.A"/>
    <n v="4067"/>
    <s v="EX"/>
    <s v="DUSTPROTEC BLACK PLUS ADITIVO ANTI PO P/ FERTILIZANTES"/>
    <n v="30000"/>
    <n v="30000"/>
    <n v="159000"/>
    <n v="0"/>
    <n v="159000"/>
    <n v="-45775.780000000006"/>
    <n v="-35721.999999999898"/>
    <n v="-3720.5180456978801"/>
    <n v="73781.701954302218"/>
    <n v="0.46403586134781272"/>
    <n v="5.3"/>
    <n v="5.3"/>
    <n v="100100"/>
    <s v="START ANTIDUSTING"/>
    <s v="SAN JUAN DEL PARANA"/>
    <s v="Additives"/>
    <s v="International"/>
    <s v="04/2026"/>
    <s v="2026"/>
  </r>
  <r>
    <n v="11"/>
    <x v="3"/>
    <n v="2011"/>
    <s v="FERTGROW S.A"/>
    <n v="6654"/>
    <s v="MA"/>
    <s v="START ANTIDUSTING SC FG ADITIVO ANTI PO P/ FERTILIZANTES"/>
    <n v="30000"/>
    <n v="30000"/>
    <n v="81000"/>
    <n v="-5670.0000000000009"/>
    <n v="75330"/>
    <n v="-11564.710000000001"/>
    <n v="-26461.527299999998"/>
    <n v="-332.36727030807407"/>
    <n v="36971.395429691933"/>
    <n v="0.49079245227255985"/>
    <n v="2.7"/>
    <n v="2.7"/>
    <n v="100100"/>
    <s v="START ANTIDUSTING"/>
    <s v="SAO LUIS"/>
    <s v="Additives"/>
    <s v="Domestic"/>
    <s v="04/2026"/>
    <s v="2026"/>
  </r>
  <r>
    <n v="11"/>
    <x v="3"/>
    <n v="2655"/>
    <s v="EQUILIBRA PERU S.A"/>
    <n v="14141"/>
    <s v="EX"/>
    <s v="DUSTPROTEC SC IBC - ADITIVO ANTI-PO P/ FERTILIZANTES GRANULADOS"/>
    <n v="4800"/>
    <n v="4800"/>
    <n v="29030.400000000001"/>
    <n v="0"/>
    <n v="29030.400000000001"/>
    <n v="-6201.112000000001"/>
    <n v="-8680.725504"/>
    <n v="-632.52704363316548"/>
    <n v="13516.035452366836"/>
    <n v="0.46558212950447925"/>
    <n v="6.048"/>
    <n v="6.048"/>
    <n v="100100"/>
    <s v="START ANTIDUSTING"/>
    <s v="LIMA"/>
    <s v="Additives"/>
    <s v="International"/>
    <s v="04/2026"/>
    <s v="2026"/>
  </r>
  <r>
    <n v="11"/>
    <x v="3"/>
    <n v="214"/>
    <s v="UNIFERTIL - CANOAS UN1"/>
    <n v="3"/>
    <s v="RS"/>
    <s v="START ANTIDUSTING MH ADITIVO ANTI PO P/ FERTILIZANTES"/>
    <n v="64000"/>
    <n v="64000"/>
    <n v="165760"/>
    <n v="-19891.2"/>
    <n v="145868.79999999999"/>
    <n v="-49328.845000000008"/>
    <n v="-51609.076479999996"/>
    <n v="-648.2304546638253"/>
    <n v="44282.648065336165"/>
    <n v="0.3035786135577736"/>
    <n v="2.59"/>
    <n v="2.59"/>
    <n v="100100"/>
    <s v="START ANTIDUSTING"/>
    <s v="CANOAS"/>
    <s v="Additives"/>
    <s v="Domestic"/>
    <s v="04/2026"/>
    <s v="2026"/>
  </r>
  <r>
    <n v="11"/>
    <x v="3"/>
    <n v="2925"/>
    <s v="COPEVAL - CHILE"/>
    <n v="14145"/>
    <s v="EX"/>
    <s v="DUSTPROTEC BLACK IBC ADITIVO ANTI-PO P/ FERTILIZANTES GRANULADOS"/>
    <n v="12000"/>
    <n v="12000"/>
    <n v="82800"/>
    <n v="0"/>
    <n v="82800"/>
    <n v="-18791.510000000002"/>
    <n v="-69762.908160000006"/>
    <n v="-2184.9840026605307"/>
    <n v="-7939.402162660539"/>
    <n v="-9.5886499549040327E-2"/>
    <n v="6.9"/>
    <n v="6.9"/>
    <n v="100100"/>
    <s v="START ANTIDUSTING"/>
    <s v="SAN FERNANDO"/>
    <s v="Additives"/>
    <s v="International"/>
    <s v="04/2026"/>
    <s v="2026"/>
  </r>
  <r>
    <n v="11"/>
    <x v="3"/>
    <n v="2247"/>
    <s v="ADUBOS LEAO - LARANJEIRAS"/>
    <n v="14133"/>
    <s v="SE"/>
    <s v="START ANTIDUSTING SC AD IBC ADITIVO ANTI PO P/ FERTILIZANTES"/>
    <n v="1000"/>
    <n v="1000"/>
    <n v="5500"/>
    <n v="-385.00000000000006"/>
    <n v="5115"/>
    <n v="-1284.9417557251904"/>
    <n v="-1540.8424886400001"/>
    <n v="-19.353592334935875"/>
    <n v="2269.8621632998734"/>
    <n v="0.44376581882695471"/>
    <n v="5.5"/>
    <n v="5.5"/>
    <n v="100100"/>
    <s v="START ANTIDUSTING"/>
    <s v="LARANJEIRAS"/>
    <s v="Additives"/>
    <s v="Domestic"/>
    <s v="04/2026"/>
    <s v="2026"/>
  </r>
  <r>
    <n v="11"/>
    <x v="3"/>
    <n v="7479"/>
    <s v="MOSAIC - CUBAT?O"/>
    <n v="1043"/>
    <s v="SP"/>
    <s v="START ANTIDUSTING SC AD ADITIVO ANTI PO P/ FERTILIZANTES"/>
    <n v="30000"/>
    <n v="30000"/>
    <n v="64800"/>
    <n v="-7776"/>
    <n v="57024"/>
    <n v="-11986.197500000006"/>
    <n v="0"/>
    <n v="0"/>
    <n v="45037.802499999991"/>
    <n v="0.78980433677048245"/>
    <n v="2.16"/>
    <n v="2.16"/>
    <n v="100100"/>
    <s v="START ANTIDUSTING"/>
    <s v="CUBATAO"/>
    <s v="Additives"/>
    <s v="Domestic"/>
    <s v="04/2026"/>
    <s v="2026"/>
  </r>
  <r>
    <n v="11"/>
    <x v="3"/>
    <n v="6477"/>
    <s v="MOSAIC - PARANAGUA II"/>
    <n v="1043"/>
    <s v="PR"/>
    <s v="START ANTIDUSTING SC AD ADITIVO ANTI PO P/ FERTILIZANTES"/>
    <n v="60000"/>
    <n v="60000"/>
    <n v="131400"/>
    <n v="-15768"/>
    <n v="115632"/>
    <n v="-23972.395000000011"/>
    <n v="-28099.2114"/>
    <n v="-352.93723166264544"/>
    <n v="63207.456368337334"/>
    <n v="0.54662598907168725"/>
    <n v="2.19"/>
    <n v="2.19"/>
    <n v="100100"/>
    <s v="START ANTIDUSTING"/>
    <s v="PARANAGUA"/>
    <s v="Additives"/>
    <s v="Domestic"/>
    <s v="04/2026"/>
    <s v="2026"/>
  </r>
  <r>
    <n v="11"/>
    <x v="3"/>
    <n v="2559"/>
    <s v="MOSAIC - RIO GRANDE"/>
    <n v="1043"/>
    <s v="RS"/>
    <s v="START ANTIDUSTING SC AD ADITIVO ANTI PO P/ FERTILIZANTES"/>
    <n v="30000"/>
    <n v="30000"/>
    <n v="75300"/>
    <n v="-9036"/>
    <n v="66264"/>
    <n v="-11986.197500000006"/>
    <n v="-24421.605"/>
    <n v="-306.74503774360795"/>
    <n v="29549.452462256384"/>
    <n v="0.44593523575782301"/>
    <n v="2.5099999999999998"/>
    <n v="2.5099999999999998"/>
    <n v="100100"/>
    <s v="START ANTIDUSTING"/>
    <s v="RIO GRANDE"/>
    <s v="Additives"/>
    <s v="Domestic"/>
    <s v="04/2026"/>
    <s v="2026"/>
  </r>
  <r>
    <n v="11"/>
    <x v="3"/>
    <n v="11212"/>
    <s v="INPEK FERTILIZANTES - PARANAGUA"/>
    <n v="1043"/>
    <s v="PR"/>
    <s v="START ANTIDUSTING SC AD ADITIVO ANTI PO P/ FERTILIZANTES"/>
    <n v="30000"/>
    <n v="30000"/>
    <n v="57000"/>
    <n v="-6840"/>
    <n v="50160"/>
    <n v="-11986.197500000006"/>
    <n v="-14049.6057"/>
    <n v="-176.46861583132272"/>
    <n v="23947.728184168667"/>
    <n v="0.47742679792999737"/>
    <n v="1.9"/>
    <n v="1.9"/>
    <n v="100100"/>
    <s v="START ANTIDUSTING"/>
    <s v="PARANAGUA"/>
    <s v="Additives"/>
    <s v="Domestic"/>
    <s v="04/2026"/>
    <s v="2026"/>
  </r>
  <r>
    <n v="11"/>
    <x v="3"/>
    <n v="1462"/>
    <s v="AURORA MINERAC?O LTDA"/>
    <n v="1042"/>
    <s v="SP"/>
    <s v="START ANTIDUSTING KG AD ADITIVO ANTI PO P/ FERTILIZANTES"/>
    <n v="45000"/>
    <n v="45000"/>
    <n v="75150"/>
    <n v="-9018"/>
    <n v="66132"/>
    <n v="-23408.18"/>
    <n v="0"/>
    <n v="0"/>
    <n v="42723.82"/>
    <n v="0.64603852900260084"/>
    <n v="1.67"/>
    <n v="1.67"/>
    <n v="100100"/>
    <s v="START ANTIDUSTING"/>
    <s v="IPEUNA"/>
    <s v="Additives"/>
    <s v="Domestic"/>
    <s v="04/2026"/>
    <s v="2026"/>
  </r>
  <r>
    <n v="11"/>
    <x v="3"/>
    <n v="7022"/>
    <s v="MOSAIC - ROSARIO DO CATETE"/>
    <n v="1043"/>
    <s v="SE"/>
    <s v="START ANTIDUSTING SC AD ADITIVO ANTI PO P/ FERTILIZANTES"/>
    <n v="120000"/>
    <n v="120000"/>
    <n v="289200"/>
    <n v="-20244.000000000004"/>
    <n v="268956"/>
    <n v="-47944.790000000023"/>
    <n v="-100846.0043136"/>
    <n v="-1266.6657821821"/>
    <n v="118898.53990421786"/>
    <n v="0.44207431663252672"/>
    <n v="2.41"/>
    <n v="2.41"/>
    <n v="100100"/>
    <s v="START ANTIDUSTING"/>
    <s v="ROSARIO DO CATETE"/>
    <s v="Additives"/>
    <s v="Domestic"/>
    <s v="04/2026"/>
    <s v="2026"/>
  </r>
  <r>
    <n v="11"/>
    <x v="3"/>
    <n v="1874"/>
    <s v="FERTILIZ. TOCANTINS - BARCARENA"/>
    <n v="148"/>
    <s v="PA"/>
    <s v="START ANTIDUSTING BLACK ADITIVO ANTI PO P/ FERTILIZANTES"/>
    <n v="30000"/>
    <n v="30000"/>
    <n v="84300"/>
    <n v="-5901.0000000000009"/>
    <n v="78399"/>
    <n v="-19902.14086956521"/>
    <n v="-26978.690699999999"/>
    <n v="-338.86304757793869"/>
    <n v="31179.305382856855"/>
    <n v="0.39770029442795002"/>
    <n v="2.81"/>
    <n v="2.81"/>
    <n v="100100"/>
    <s v="START ANTIDUSTING"/>
    <s v="BARCARENA "/>
    <s v="Additives"/>
    <s v="Domestic"/>
    <s v="04/2026"/>
    <s v="2026"/>
  </r>
  <r>
    <n v="11"/>
    <x v="3"/>
    <n v="3142"/>
    <s v="INTERFERTIL - SAO FRANCISCO DO SUL"/>
    <n v="1"/>
    <s v="SC"/>
    <s v="START ANTIDUSTING KG ADITIVO ANTI PO P/ FERTILIZANTES"/>
    <n v="30000"/>
    <n v="30000"/>
    <n v="83100"/>
    <n v="-9972"/>
    <n v="73128"/>
    <n v="-22055.75"/>
    <n v="-16807.8105"/>
    <n v="-211.1127612706008"/>
    <n v="34053.326738729396"/>
    <n v="0.46566741519977844"/>
    <n v="2.77"/>
    <n v="2.77"/>
    <n v="100100"/>
    <s v="START ANTIDUSTING"/>
    <s v="SAO FRANCISCO DO SUL"/>
    <s v="Additives"/>
    <s v="Domestic"/>
    <s v="04/2026"/>
    <s v="2026"/>
  </r>
  <r>
    <n v="11"/>
    <x v="3"/>
    <n v="43"/>
    <s v="CIBRA - CAMACARI"/>
    <n v="148"/>
    <s v="BA"/>
    <s v="START ANTIDUSTING BLACK ADITIVO ANTI PO P/ FERTILIZANTES"/>
    <n v="180000"/>
    <n v="180000"/>
    <n v="426600"/>
    <n v="-29862.000000000004"/>
    <n v="396738"/>
    <n v="-119412.84521739128"/>
    <n v="-124574.4759168"/>
    <n v="-1564.7047897543589"/>
    <n v="151185.97407605438"/>
    <n v="0.38107258209713812"/>
    <n v="2.37"/>
    <n v="2.37"/>
    <n v="100100"/>
    <s v="START ANTIDUSTING"/>
    <s v="CAMACARI"/>
    <s v="Additives"/>
    <s v="Domestic"/>
    <s v="04/2026"/>
    <s v="2026"/>
  </r>
  <r>
    <n v="11"/>
    <x v="3"/>
    <n v="452"/>
    <s v="FERTIPAR - S?O LUIS DO MARANH?O"/>
    <n v="2"/>
    <s v="MA"/>
    <s v="START ANTIDUSTING SC ADITIVO ANTI PO P/ FERTILIZANTES"/>
    <n v="30000"/>
    <n v="30000"/>
    <n v="71100"/>
    <n v="-4977.0000000000009"/>
    <n v="66123"/>
    <n v="-17009.744999999999"/>
    <n v="-26461.527299999998"/>
    <n v="-332.36727030807407"/>
    <n v="22319.360429691933"/>
    <n v="0.33754307018271906"/>
    <n v="2.37"/>
    <n v="2.37"/>
    <n v="100100"/>
    <s v="START ANTIDUSTING"/>
    <s v="SAO LUIS"/>
    <s v="Additives"/>
    <s v="Domestic"/>
    <s v="04/2026"/>
    <s v="2026"/>
  </r>
  <r>
    <n v="11"/>
    <x v="3"/>
    <n v="7097"/>
    <s v="MOSAIC - S?O FRANCISCO SUL"/>
    <n v="14133"/>
    <s v="SC"/>
    <s v="START ANTIDUSTING SC AD IBC ADITIVO ANTI PO P/ FERTILIZANTES"/>
    <n v="13200"/>
    <n v="13200"/>
    <n v="35640"/>
    <n v="-4276.8"/>
    <n v="31363.200000000001"/>
    <n v="-16961.23117557251"/>
    <n v="-10600.245792416279"/>
    <n v="-133.14328831730157"/>
    <n v="3668.5797436939106"/>
    <n v="0.11697083663956198"/>
    <n v="2.7"/>
    <n v="2.7"/>
    <n v="100100"/>
    <s v="START ANTIDUSTING"/>
    <s v="SAO FRANCISCO DO SUL"/>
    <s v="Additives"/>
    <s v="Domestic"/>
    <s v="04/2026"/>
    <s v="2026"/>
  </r>
  <r>
    <n v="11"/>
    <x v="3"/>
    <n v="7102"/>
    <s v="MOSAIC RONDONOPOLIS"/>
    <n v="1043"/>
    <s v="MT"/>
    <s v="START ANTIDUSTING SC AD ADITIVO ANTI PO P/ FERTILIZANTES"/>
    <n v="30000"/>
    <n v="30000"/>
    <n v="61200"/>
    <n v="-4284"/>
    <n v="56916"/>
    <n v="-11986.197500000006"/>
    <n v="-11980.9521"/>
    <n v="-150.48550675186416"/>
    <n v="32798.364893248123"/>
    <n v="0.57625913439539189"/>
    <n v="2.04"/>
    <n v="2.04"/>
    <n v="100100"/>
    <s v="START ANTIDUSTING"/>
    <s v="RONDONOPOLIS"/>
    <s v="Additives"/>
    <s v="Domestic"/>
    <s v="04/2026"/>
    <s v="2026"/>
  </r>
  <r>
    <n v="11"/>
    <x v="3"/>
    <n v="10492"/>
    <s v="UNIFERTIL RIO GRANDE UN1"/>
    <n v="3"/>
    <s v="RS"/>
    <s v="START ANTIDUSTING MH ADITIVO ANTI PO P/ FERTILIZANTES"/>
    <n v="64000"/>
    <n v="64000"/>
    <n v="165760"/>
    <n v="-19891.2"/>
    <n v="145868.79999999999"/>
    <n v="-49328.845000000008"/>
    <n v="-52099.423999999999"/>
    <n v="-654.38941385303042"/>
    <n v="43786.141586146958"/>
    <n v="0.30017482550173141"/>
    <n v="2.59"/>
    <n v="2.59"/>
    <n v="100100"/>
    <s v="START ANTIDUSTING"/>
    <s v="RIO GRANDE"/>
    <s v="Additives"/>
    <s v="Domestic"/>
    <s v="04/2026"/>
    <s v="2026"/>
  </r>
  <r>
    <n v="11"/>
    <x v="3"/>
    <n v="11637"/>
    <s v="AGROPECUARIA MARATA LTDA - MARUIM"/>
    <n v="14130"/>
    <s v="SE"/>
    <s v="START ANTIDUSTING BLACK IBC ADITIVO ANTI PO P/ FERTILIZANTES"/>
    <n v="8000"/>
    <n v="8000"/>
    <n v="23760"/>
    <n v="-1663.2"/>
    <n v="22096.799999999999"/>
    <n v="-10181.189999999999"/>
    <n v="0"/>
    <n v="0"/>
    <n v="11915.61"/>
    <n v="0.53924595416530907"/>
    <n v="2.97"/>
    <n v="2.97"/>
    <n v="100100"/>
    <s v="START ANTIDUSTING"/>
    <s v="MARUIM"/>
    <s v="Additives"/>
    <s v="Domestic"/>
    <s v="04/2026"/>
    <s v="2026"/>
  </r>
  <r>
    <n v="11"/>
    <x v="3"/>
    <n v="11768"/>
    <s v="CERES PERU S.A"/>
    <n v="14141"/>
    <s v="EX"/>
    <s v="DUSTPROTEC SC IBC - ADITIVO ANTI-PO P/ FERTILIZANTES GRANULADOS"/>
    <n v="2400"/>
    <n v="2400"/>
    <n v="15264"/>
    <n v="0"/>
    <n v="15264"/>
    <n v="-3100.5560000000005"/>
    <n v="0"/>
    <n v="-261.74684544812987"/>
    <n v="11901.69715455187"/>
    <n v="0.77972334607913196"/>
    <n v="6.36"/>
    <n v="6.36"/>
    <n v="100100"/>
    <s v="START ANTIDUSTING"/>
    <s v="PIURA"/>
    <s v="Additives"/>
    <s v="International"/>
    <s v="04/2026"/>
    <s v="2026"/>
  </r>
  <r>
    <n v="11"/>
    <x v="3"/>
    <n v="2975"/>
    <s v="COONAGRO COOPERATIVA - PARANAGUA"/>
    <n v="4"/>
    <s v="PR"/>
    <s v="START ANTIDUSTING G37 ADITIVO ANTI PO P/ FERTILIZANTES"/>
    <n v="25000"/>
    <n v="25000"/>
    <n v="99750"/>
    <n v="-11970"/>
    <n v="87780"/>
    <n v="-24643.45416666667"/>
    <n v="-11708.00475"/>
    <n v="-147.05717985943559"/>
    <n v="51281.483903473891"/>
    <n v="0.58420464688395868"/>
    <n v="3.99"/>
    <n v="3.99"/>
    <n v="100100"/>
    <s v="START ANTIDUSTING"/>
    <s v="PARANAGUA"/>
    <s v="Additives"/>
    <s v="Domestic"/>
    <s v="04/2026"/>
    <s v="2026"/>
  </r>
  <r>
    <n v="11"/>
    <x v="3"/>
    <n v="1292"/>
    <s v="CIBRA - S?O FRANCISCO DO SUL"/>
    <n v="148"/>
    <s v="SC"/>
    <s v="START ANTIDUSTING BLACK ADITIVO ANTI PO P/ FERTILIZANTES"/>
    <n v="20000"/>
    <n v="20000"/>
    <n v="47000"/>
    <n v="-5640"/>
    <n v="41360"/>
    <n v="-13268.093913043474"/>
    <n v="-10207.092555894"/>
    <n v="-128.20512784930415"/>
    <n v="17756.60840321322"/>
    <n v="0.42931838499064845"/>
    <n v="2.35"/>
    <n v="2.35"/>
    <n v="100100"/>
    <s v="START ANTIDUSTING"/>
    <s v="S?O FRANCISCO DO SUL"/>
    <s v="Additives"/>
    <s v="Domestic"/>
    <s v="04/2026"/>
    <s v="2026"/>
  </r>
  <r>
    <n v="11"/>
    <x v="3"/>
    <n v="3232"/>
    <s v="FERTILIZ. TOCANTINS - ARAGUARI"/>
    <n v="7384"/>
    <s v="MG"/>
    <s v="START ANTIDUSTING EURO KG ADITIVO ANTI PO P/ FERTILIZANTES"/>
    <n v="30000"/>
    <n v="30000"/>
    <n v="56100"/>
    <n v="-10098"/>
    <n v="46002"/>
    <n v="-20378.219999999998"/>
    <n v="-1723.8779999999999"/>
    <n v="-21.652590899548798"/>
    <n v="23878.249409100452"/>
    <n v="0.51906981020608778"/>
    <n v="1.87"/>
    <n v="1.87"/>
    <n v="100100"/>
    <s v="START ANTIDUSTING"/>
    <s v="ARAGUARI"/>
    <s v="Additives"/>
    <s v="Domestic"/>
    <s v="04/2026"/>
    <s v="2026"/>
  </r>
  <r>
    <n v="11"/>
    <x v="3"/>
    <n v="214"/>
    <s v="UNIFERTIL - CANOAS UN1"/>
    <n v="113"/>
    <s v="RS"/>
    <s v="MEGAMICRO ADITIVO P/ SUSPENS?O DE MICRONUTRIENTES"/>
    <n v="30000"/>
    <n v="30000"/>
    <n v="92700"/>
    <n v="-11124"/>
    <n v="81576"/>
    <n v="-26824.123770491806"/>
    <n v="-24191.754599999997"/>
    <n v="-303.85802562366808"/>
    <n v="30256.263603884534"/>
    <n v="0.37089663140978391"/>
    <n v="3.09"/>
    <n v="3.09"/>
    <n v="100200"/>
    <s v="ADITIVO MEGAMICRO"/>
    <s v="CANOAS"/>
    <s v="Additives"/>
    <s v="Domestic"/>
    <s v="04/2026"/>
    <s v="2026"/>
  </r>
  <r>
    <n v="11"/>
    <x v="3"/>
    <n v="10492"/>
    <s v="UNIFERTIL RIO GRANDE UN1"/>
    <n v="113"/>
    <s v="RS"/>
    <s v="MEGAMICRO ADITIVO P/ SUSPENS?O DE MICRONUTRIENTES"/>
    <n v="32000"/>
    <n v="32000"/>
    <n v="98880"/>
    <n v="-11865.6"/>
    <n v="87014.399999999994"/>
    <n v="-28612.398688524598"/>
    <n v="-26049.712"/>
    <n v="-327.19470692651521"/>
    <n v="32025.094604548882"/>
    <n v="0.36804361812009145"/>
    <n v="3.09"/>
    <n v="3.09"/>
    <n v="100200"/>
    <s v="ADITIVO MEGAMICRO"/>
    <s v="RIO GRANDE"/>
    <s v="Additives"/>
    <s v="Domestic"/>
    <s v="04/2026"/>
    <s v="2026"/>
  </r>
  <r>
    <n v="11"/>
    <x v="3"/>
    <n v="5182"/>
    <s v="FERTIPAR SINOP"/>
    <n v="113"/>
    <s v="MT"/>
    <s v="MEGAMICRO ADITIVO P/ SUSPENS?O DE MICRONUTRIENTES"/>
    <n v="60000"/>
    <n v="60000"/>
    <n v="161400"/>
    <n v="-11298.000000000002"/>
    <n v="150102"/>
    <n v="-53648.247540983612"/>
    <n v="-43786.501199999999"/>
    <n v="-549.97580884853949"/>
    <n v="52117.275450167857"/>
    <n v="0.3472123985700914"/>
    <n v="2.69"/>
    <n v="2.69"/>
    <n v="100200"/>
    <s v="ADITIVO MEGAMICRO"/>
    <s v="SINOP"/>
    <s v="Additives"/>
    <s v="Domestic"/>
    <s v="04/2026"/>
    <s v="2026"/>
  </r>
  <r>
    <n v="11"/>
    <x v="3"/>
    <n v="10434"/>
    <s v="CIBRA - SINOP"/>
    <n v="6564"/>
    <s v="MT"/>
    <s v="MEGAMICRO PLUS ADITIVO P/ SUSPENS?O DE MICRONUTRIENTES"/>
    <n v="60000"/>
    <n v="60000"/>
    <n v="184800"/>
    <n v="-12936.000000000002"/>
    <n v="171864"/>
    <n v="-58753.959999999992"/>
    <n v="-43786.501199999999"/>
    <n v="-549.97580884853949"/>
    <n v="68773.56299115147"/>
    <n v="0.40016270417976696"/>
    <n v="3.08"/>
    <n v="3.08"/>
    <n v="100200"/>
    <s v="ADITIVO MEGAMICRO"/>
    <s v="SINOP"/>
    <s v="Additives"/>
    <s v="Domestic"/>
    <s v="04/2026"/>
    <s v="2026"/>
  </r>
  <r>
    <n v="11"/>
    <x v="3"/>
    <n v="205"/>
    <s v="FERTIPAR - RONDONOPOLIS"/>
    <n v="6564"/>
    <s v="MT"/>
    <s v="MEGAMICRO PLUS ADITIVO P/ SUSPENS?O DE MICRONUTRIENTES"/>
    <n v="30000"/>
    <n v="30000"/>
    <n v="75600"/>
    <n v="-5292.0000000000009"/>
    <n v="70308"/>
    <n v="-29376.979999999996"/>
    <n v="-11980.9521"/>
    <n v="-150.48550675186416"/>
    <n v="28799.582393248136"/>
    <n v="0.40962027640166321"/>
    <n v="2.52"/>
    <n v="2.52"/>
    <n v="100200"/>
    <s v="ADITIVO MEGAMICRO"/>
    <s v="RONDONOPOLIS"/>
    <s v="Additives"/>
    <s v="Domestic"/>
    <s v="04/2026"/>
    <s v="2026"/>
  </r>
  <r>
    <n v="11"/>
    <x v="3"/>
    <n v="252"/>
    <s v="FERTIPAR - PARANAGUA"/>
    <n v="10343"/>
    <s v="PR"/>
    <s v="MEGAMICRO BLACK ADITIVO P/ SUSPENS?O DE MICRONUTRIENTES"/>
    <n v="30000"/>
    <n v="30000"/>
    <n v="112800"/>
    <n v="-13536"/>
    <n v="99264"/>
    <n v="-48415.03"/>
    <n v="-14049.6057"/>
    <n v="-176.46861583132272"/>
    <n v="36622.895684168681"/>
    <n v="0.3689443875339366"/>
    <n v="3.76"/>
    <n v="3.76"/>
    <n v="100200"/>
    <s v="ADITIVO MEGAMICRO"/>
    <s v="PARANAGUA"/>
    <s v="Additives"/>
    <s v="Domestic"/>
    <s v="04/2026"/>
    <s v="2026"/>
  </r>
  <r>
    <n v="13"/>
    <x v="3"/>
    <n v="2900"/>
    <s v="BIOSAFRA - MARUIM"/>
    <n v="8214"/>
    <s v="SE"/>
    <s v="UREMAX NBPT AZUL ADITIVO INIBIDOR DE UREASE P/ FERTILIZANTES"/>
    <n v="2000"/>
    <n v="2000"/>
    <n v="68378.352918296208"/>
    <n v="-4781"/>
    <n v="63597.352918296208"/>
    <n v="-19608.706666666665"/>
    <n v="-14851.871999999958"/>
    <n v="-186.54539851918915"/>
    <n v="28950.228853110395"/>
    <n v="0.45521122381151424"/>
    <n v="34.189176459148101"/>
    <n v="34.189176459148101"/>
    <n v="100300"/>
    <s v="UREMAX"/>
    <s v="MARUIM"/>
    <s v="Additives"/>
    <s v="Domestic"/>
    <s v="04/2026"/>
    <s v="2026"/>
  </r>
  <r>
    <n v="13"/>
    <x v="3"/>
    <n v="2622"/>
    <s v="ADUFERTIL JUNDIAI"/>
    <n v="8215"/>
    <s v="SP"/>
    <s v="UREMAX NBPT VERDE ADITIVO INIBIDOR DE UREASE P/ FERTILIZANTES"/>
    <n v="12000"/>
    <n v="12000"/>
    <n v="416036.72531079315"/>
    <n v="-49867.199999999997"/>
    <n v="366169.52531079313"/>
    <n v="-113410.29000000001"/>
    <n v="-5481.0480000000016"/>
    <n v="-68.844135167796196"/>
    <n v="247209.34317562531"/>
    <n v="0.67512265791589787"/>
    <n v="34.66972710923276"/>
    <n v="34.66972710923276"/>
    <n v="100300"/>
    <s v="UREMAX"/>
    <s v="JUNDIAI"/>
    <s v="Additives"/>
    <s v="Domestic"/>
    <s v="04/2026"/>
    <s v="2026"/>
  </r>
  <r>
    <n v="13"/>
    <x v="3"/>
    <n v="1613"/>
    <s v="HERINGER - CANDEIAS"/>
    <n v="8217"/>
    <s v="BA"/>
    <s v="UREMAX NBPT AMARELO ADITIVO INIBIDOR DE UREASE P/ FERTILIZANTES"/>
    <n v="12000"/>
    <n v="12000"/>
    <n v="405825.02399649413"/>
    <n v="-28375.200000000004"/>
    <n v="377449.82399649412"/>
    <n v="-191291.05"/>
    <n v="-13083.792000000029"/>
    <n v="-164.33761298119126"/>
    <n v="172910.64438351293"/>
    <n v="0.45810233146411267"/>
    <n v="33.818751999707843"/>
    <n v="33.818751999707843"/>
    <n v="100300"/>
    <s v="UREMAX"/>
    <s v="CANDEIAS"/>
    <s v="Additives"/>
    <s v="Domestic"/>
    <s v="04/2026"/>
    <s v="2026"/>
  </r>
  <r>
    <n v="13"/>
    <x v="3"/>
    <n v="10492"/>
    <s v="UNIFERTIL RIO GRANDE UN1"/>
    <n v="8216"/>
    <s v="RS"/>
    <s v="UREMAX NBPT ROXO ADITIVO INIBIDOR DE UREASE P/ FERTILIZANTES"/>
    <n v="12000"/>
    <n v="12000"/>
    <n v="373267.71745325852"/>
    <n v="-44740.799999999996"/>
    <n v="328526.91745325853"/>
    <n v="-123909.72500000001"/>
    <n v="-14498.255999999972"/>
    <n v="-182.10384141158957"/>
    <n v="189936.83261184697"/>
    <n v="0.5781469417612346"/>
    <n v="31.105643121104876"/>
    <n v="31.105643121104876"/>
    <n v="100300"/>
    <s v="UREMAX"/>
    <s v="RIO GRANDE"/>
    <s v="Additives"/>
    <s v="Domestic"/>
    <s v="04/2026"/>
    <s v="2026"/>
  </r>
  <r>
    <n v="13"/>
    <x v="3"/>
    <n v="14632"/>
    <s v="BIGFERTIL - CANDEIAS"/>
    <n v="8224"/>
    <s v="BA"/>
    <s v="UREMAX COAT VERDE ADITIVO INIBIDOR DE UREASE P/ FERTILIZANTES"/>
    <n v="6000"/>
    <n v="6000"/>
    <n v="145066.22749430631"/>
    <n v="-10143.000000000002"/>
    <n v="134923.22749430631"/>
    <n v="-42824.010000000009"/>
    <n v="-13083.792000000029"/>
    <n v="-164.33761298119126"/>
    <n v="78851.087881325075"/>
    <n v="0.5844144803358825"/>
    <n v="24.177704582384386"/>
    <n v="24.177704582384386"/>
    <n v="100300"/>
    <s v="UREMAX"/>
    <s v="CANDEIAS"/>
    <s v="Additives"/>
    <s v="Domestic"/>
    <s v="04/2026"/>
    <s v="2026"/>
  </r>
  <r>
    <n v="13"/>
    <x v="3"/>
    <n v="10676"/>
    <s v="LYCSA ARGENTINA"/>
    <n v="8208"/>
    <s v="EX"/>
    <s v="NITROPROTEC DUO BLUE - ADITIVO P/ INIBIR A NITRIFICACAO E VOLATIZACAO PARA FERTILIZANTES"/>
    <n v="5000"/>
    <n v="5000"/>
    <n v="234263.43618033268"/>
    <n v="0"/>
    <n v="234263.43618033268"/>
    <n v="-65721.560000000012"/>
    <n v="-20322.741119999999"/>
    <n v="-800.56761093695718"/>
    <n v="147418.56744939572"/>
    <n v="0.6292854311925784"/>
    <n v="46.852687236066537"/>
    <n v="46.852687236066537"/>
    <n v="100300"/>
    <s v="UREMAX"/>
    <s v="LA PAMPA"/>
    <s v="Additives"/>
    <s v="International"/>
    <s v="04/2026"/>
    <s v="2026"/>
  </r>
  <r>
    <n v="13"/>
    <x v="3"/>
    <n v="97"/>
    <s v="FECOAGRO - SAO FRANCISCO DO SUL"/>
    <n v="8223"/>
    <s v="SC"/>
    <s v="UREMAX PLUS AZUL ADITIVO P/ INIBIR A NITRIFICACAO E VOLATIZACAO P/ FERTILIZANTES"/>
    <n v="12000"/>
    <n v="12000"/>
    <n v="456523.11758042563"/>
    <n v="-54720"/>
    <n v="401803.11758042563"/>
    <n v="-143904.28"/>
    <n v="-9901.2479999999723"/>
    <n v="-124.36359901279276"/>
    <n v="247873.22598141289"/>
    <n v="0.61690219696167026"/>
    <n v="38.043593131702139"/>
    <n v="38.043593131702139"/>
    <n v="100300"/>
    <s v="UREMAX"/>
    <s v="SAO FRANCISCO DO SUL"/>
    <s v="Additives"/>
    <s v="Domestic"/>
    <s v="04/2026"/>
    <s v="2026"/>
  </r>
  <r>
    <n v="13"/>
    <x v="3"/>
    <n v="215"/>
    <s v="UNIFERTIL - CANOAS UN2"/>
    <n v="8216"/>
    <s v="RS"/>
    <s v="UREMAX NBPT ROXO ADITIVO INIBIDOR DE UREASE P/ FERTILIZANTES"/>
    <n v="12000"/>
    <n v="12000"/>
    <n v="373267.71745325852"/>
    <n v="-44740.799999999996"/>
    <n v="328526.91745325853"/>
    <n v="-123909.72500000001"/>
    <n v="-14321.447999999978"/>
    <n v="-179.88306285778975"/>
    <n v="190115.86139040077"/>
    <n v="0.57869188577964747"/>
    <n v="31.105643121104876"/>
    <n v="31.105643121104876"/>
    <n v="100300"/>
    <s v="UREMAX"/>
    <s v="CANOAS"/>
    <s v="Additives"/>
    <s v="Domestic"/>
    <s v="04/2026"/>
    <s v="2026"/>
  </r>
  <r>
    <n v="13"/>
    <x v="3"/>
    <n v="7662"/>
    <s v="BENTONIT UNIAO - BOA VISTA"/>
    <n v="7"/>
    <s v="PB"/>
    <s v="UREMAX NBPT ADITIVO INIBIDOR DE UREASE P/ FERTILIZANTES"/>
    <n v="2000"/>
    <n v="2000"/>
    <n v="78109.503582510544"/>
    <n v="-12173.070500000002"/>
    <n v="65936.433082510543"/>
    <n v="-18490.43"/>
    <n v="0"/>
    <n v="0"/>
    <n v="47446.003082510542"/>
    <n v="0.71957187952733626"/>
    <n v="39.054751791255271"/>
    <n v="39.054751791255271"/>
    <n v="100300"/>
    <s v="UREMAX"/>
    <s v="BOA VISTA "/>
    <s v="Additives"/>
    <s v="Domestic"/>
    <s v="04/2026"/>
    <s v="2026"/>
  </r>
  <r>
    <n v="13"/>
    <x v="3"/>
    <n v="2642"/>
    <s v="BUNGE - ARGENTINA"/>
    <n v="13491"/>
    <s v="EX"/>
    <s v="UREMAX COAT BLUE ADITIVO INIBIDOR DE UREASE P/ FERTILIZANTES"/>
    <n v="5500"/>
    <n v="5500"/>
    <n v="145917.20260383122"/>
    <n v="0"/>
    <n v="145917.20260383122"/>
    <n v="-51947.72"/>
    <n v="0"/>
    <n v="-599.8365208186309"/>
    <n v="93369.646083012587"/>
    <n v="0.63988100386294733"/>
    <n v="26.530400473423857"/>
    <n v="26.530400473423857"/>
    <n v="100300"/>
    <s v="UREMAX"/>
    <s v="BUENOS AIRES"/>
    <s v="Additives"/>
    <s v="International"/>
    <s v="04/2026"/>
    <s v="2026"/>
  </r>
  <r>
    <n v="13"/>
    <x v="3"/>
    <n v="10891"/>
    <s v="HINOVE - RIO BRILHANTE"/>
    <n v="8214"/>
    <s v="MS"/>
    <s v="UREMAX NBPT AZUL ADITIVO INIBIDOR DE UREASE P/ FERTILIZANTES"/>
    <n v="4000"/>
    <n v="4000"/>
    <n v="124542.71014694068"/>
    <n v="-8708"/>
    <n v="115834.71014694068"/>
    <n v="-39217.41333333333"/>
    <n v="-7691.1480000000047"/>
    <n v="-96.603867090294699"/>
    <n v="68829.544946517053"/>
    <n v="0.59420483600471907"/>
    <n v="31.135677536735169"/>
    <n v="31.135677536735169"/>
    <n v="100300"/>
    <s v="UREMAX"/>
    <s v="RIO BRILHANTE"/>
    <s v="Additives"/>
    <s v="Domestic"/>
    <s v="04/2026"/>
    <s v="2026"/>
  </r>
  <r>
    <n v="13"/>
    <x v="3"/>
    <n v="12596"/>
    <s v="DREYFUS SUICA"/>
    <n v="11792"/>
    <s v="EX"/>
    <s v="NITROPROTEC DUO BLUE/L - ADITIVO INIBIDOR DE UREASE P/ FERTILIZANTE NITROGENADO"/>
    <n v="22000"/>
    <n v="22000"/>
    <n v="919862.04521455197"/>
    <n v="0"/>
    <n v="919862.04521455197"/>
    <n v="-312312"/>
    <n v="-18554.720448"/>
    <n v="-2632.4007258397382"/>
    <n v="586362.92404071218"/>
    <n v="0.6374465900524755"/>
    <n v="41.811911146115996"/>
    <n v="41.811911146115996"/>
    <n v="100300"/>
    <s v="UREMAX"/>
    <s v="GENEBRA"/>
    <s v="Additives"/>
    <s v="International"/>
    <s v="04/2026"/>
    <s v="2026"/>
  </r>
  <r>
    <n v="13"/>
    <x v="3"/>
    <n v="11768"/>
    <s v="CERES PERU S.A"/>
    <n v="8206"/>
    <s v="EX"/>
    <s v="NITROPROTEC DUO PURPLE - ADITIVO P/ INIBIR A NITRIFICACAO E VOLATIZACAO PARA FERTILIZANTES"/>
    <n v="2000"/>
    <n v="2000"/>
    <n v="116733.76208306498"/>
    <n v="0"/>
    <n v="116733.76208306498"/>
    <n v="-27845.43"/>
    <n v="-8233.9720319999997"/>
    <n v="-321.54432327485773"/>
    <n v="80332.815727790119"/>
    <n v="0.6881712222264128"/>
    <n v="58.366881041532494"/>
    <n v="58.366881041532494"/>
    <n v="100300"/>
    <s v="UREMAX"/>
    <s v="PIURA"/>
    <s v="Additives"/>
    <s v="International"/>
    <s v="04/2026"/>
    <s v="2026"/>
  </r>
  <r>
    <n v="13"/>
    <x v="3"/>
    <n v="2247"/>
    <s v="ADUBOS LEAO - LARANJEIRAS"/>
    <n v="8225"/>
    <s v="SE"/>
    <s v="UREMAX COAT AZUL ADITIVO INIBIDOR DE UREASE P/ FERTILIZANTES"/>
    <n v="2000"/>
    <n v="2000"/>
    <n v="61210.139054533385"/>
    <n v="-4279.8"/>
    <n v="56930.339054533382"/>
    <n v="-13424.509999999998"/>
    <n v="-12188.49139872"/>
    <n v="-153.09228259723338"/>
    <n v="31164.245373216156"/>
    <n v="0.54741014880245187"/>
    <n v="30.605069527266693"/>
    <n v="30.605069527266693"/>
    <n v="100300"/>
    <s v="UREMAX"/>
    <s v="LARANJEIRAS"/>
    <s v="Additives"/>
    <s v="Domestic"/>
    <s v="04/2026"/>
    <s v="2026"/>
  </r>
  <r>
    <n v="13"/>
    <x v="3"/>
    <n v="11637"/>
    <s v="AGROPECUARIA MARATA LTDA - MARUIM"/>
    <n v="8224"/>
    <s v="SE"/>
    <s v="UREMAX COAT VERDE ADITIVO INIBIDOR DE UREASE P/ FERTILIZANTES"/>
    <n v="4000"/>
    <n v="4000"/>
    <n v="92506.000141296769"/>
    <n v="-6468.0000000000009"/>
    <n v="86038.000141296769"/>
    <n v="-28549.340000000011"/>
    <n v="0"/>
    <n v="0"/>
    <n v="57488.660141296758"/>
    <n v="0.66817754999983059"/>
    <n v="23.126500035324192"/>
    <n v="23.126500035324192"/>
    <n v="100300"/>
    <s v="UREMAX"/>
    <s v="MARUIM"/>
    <s v="Additives"/>
    <s v="Domestic"/>
    <s v="04/2026"/>
    <s v="2026"/>
  </r>
  <r>
    <n v="11"/>
    <x v="3"/>
    <n v="2642"/>
    <s v="BUNGE - ARGENTINA"/>
    <n v="14142"/>
    <s v="EX"/>
    <s v="MAX OIL MT IBC ADITIVO ANTI-PO P/ FERTILIZANTES"/>
    <n v="28000"/>
    <n v="28000"/>
    <n v="178080"/>
    <n v="0"/>
    <n v="178080"/>
    <n v="-80876.188109756098"/>
    <n v="0"/>
    <n v="-3053.7131968948484"/>
    <n v="94150.098693349049"/>
    <n v="0.52869552276139409"/>
    <n v="6.36"/>
    <n v="6.36"/>
    <n v="100700"/>
    <s v="MAX OIL"/>
    <s v="BUENOS AIRES"/>
    <s v="Additives"/>
    <s v="International"/>
    <s v="04/2026"/>
    <s v="2026"/>
  </r>
  <r>
    <n v="11"/>
    <x v="3"/>
    <n v="8995"/>
    <s v="FERTIPOL - DOURADOS"/>
    <n v="3351"/>
    <s v="MS"/>
    <s v="MAX OIL MT ADITIVO ANTI-PO P/ FERTILIZANTES"/>
    <n v="30000"/>
    <n v="30000"/>
    <n v="160200"/>
    <n v="-11214.000000000002"/>
    <n v="148986"/>
    <n v="-88356.599999999991"/>
    <n v="-11914.507987199999"/>
    <n v="-149.65094236149434"/>
    <n v="48565.241070438518"/>
    <n v="0.32597184346474511"/>
    <n v="5.34"/>
    <n v="5.34"/>
    <n v="100700"/>
    <s v="MAX OIL"/>
    <s v="DOURADOS"/>
    <s v="Additives"/>
    <s v="Domestic"/>
    <s v="04/2026"/>
    <s v="2026"/>
  </r>
  <r>
    <n v="11"/>
    <x v="3"/>
    <n v="12629"/>
    <s v="EUROCHEM SERRA DO SALITRE"/>
    <n v="3359"/>
    <s v="MG"/>
    <s v="MAX OIL GRV ADITIVO ANTI-PO P/ FERTILIZANTES"/>
    <n v="60000"/>
    <n v="60000"/>
    <n v="327000"/>
    <n v="-58860"/>
    <n v="268140"/>
    <n v="-142976.79253012047"/>
    <n v="-8445.7271808000005"/>
    <n v="-106.08168066131248"/>
    <n v="116611.39860841823"/>
    <n v="0.43488997765502435"/>
    <n v="5.45"/>
    <n v="5.45"/>
    <n v="100700"/>
    <s v="MAX OIL"/>
    <s v="SERRA DO SALITRE"/>
    <s v="Additives"/>
    <s v="Domestic"/>
    <s v="04/2026"/>
    <s v="2026"/>
  </r>
  <r>
    <n v="11"/>
    <x v="3"/>
    <n v="1789"/>
    <s v="MOSAIC - ARAXA (CMA)"/>
    <n v="3359"/>
    <s v="MG"/>
    <s v="MAX OIL GRV ADITIVO ANTI-PO P/ FERTILIZANTES"/>
    <n v="360000"/>
    <n v="360000"/>
    <n v="1396800"/>
    <n v="0"/>
    <n v="1396800"/>
    <n v="-857860.75518072292"/>
    <n v="-38005.772313599999"/>
    <n v="-477.36756297590614"/>
    <n v="500456.10494270117"/>
    <n v="0.35828758944924194"/>
    <n v="3.88"/>
    <n v="3.88"/>
    <n v="100700"/>
    <s v="MAX OIL"/>
    <s v="ARAXA"/>
    <s v="Additives"/>
    <s v="Domestic"/>
    <s v="04/2026"/>
    <s v="2026"/>
  </r>
  <r>
    <n v="11"/>
    <x v="3"/>
    <n v="456"/>
    <s v="FERTIPAR - CANDEIAS"/>
    <n v="3353"/>
    <s v="BA"/>
    <s v="MAX OIL MTF ADITIVO ANTI-PO P/ FERTILIZANTES"/>
    <n v="30000"/>
    <n v="30000"/>
    <n v="185400"/>
    <n v="-12978.000000000002"/>
    <n v="172422"/>
    <n v="-91396.349999999991"/>
    <n v="-21548.474999999999"/>
    <n v="-270.65738624436"/>
    <n v="59206.517613755648"/>
    <n v="0.34338145720241992"/>
    <n v="6.18"/>
    <n v="6.18"/>
    <n v="100700"/>
    <s v="MAX OIL"/>
    <s v="CANDEIAS"/>
    <s v="Additives"/>
    <s v="Domestic"/>
    <s v="04/2026"/>
    <s v="2026"/>
  </r>
  <r>
    <n v="11"/>
    <x v="3"/>
    <n v="507"/>
    <s v="FERTIAL FERTILIZANTES USIFERTIL - MACEIO"/>
    <n v="14142"/>
    <s v="AL"/>
    <s v="MAX OIL MT IBC ADITIVO ANTI-PO P/ FERTILIZANTES"/>
    <n v="12000"/>
    <n v="12000"/>
    <n v="72960"/>
    <n v="-5107.2000000000007"/>
    <n v="67852.800000000003"/>
    <n v="-34661.22347560976"/>
    <n v="-21003.719143679999"/>
    <n v="-263.81503678747828"/>
    <n v="11924.042343922765"/>
    <n v="0.175733976253342"/>
    <n v="6.08"/>
    <n v="6.08"/>
    <n v="100700"/>
    <s v="MAX OIL"/>
    <s v="MACEIO"/>
    <s v="Additives"/>
    <s v="Domestic"/>
    <s v="04/2026"/>
    <s v="2026"/>
  </r>
  <r>
    <n v="11"/>
    <x v="3"/>
    <n v="12741"/>
    <s v="HINOVE AGROCIENCIA - GUARA"/>
    <n v="3351"/>
    <s v="SP"/>
    <s v="MAX OIL MT ADITIVO ANTI-PO P/ FERTILIZANTES"/>
    <n v="30000"/>
    <n v="30000"/>
    <n v="175500"/>
    <n v="-21060"/>
    <n v="154440"/>
    <n v="-88356.599999999991"/>
    <n v="0"/>
    <n v="0"/>
    <n v="66083.400000000009"/>
    <n v="0.42789044289044292"/>
    <n v="5.85"/>
    <n v="5.85"/>
    <n v="100700"/>
    <s v="MAX OIL"/>
    <s v="GUARA"/>
    <s v="Additives"/>
    <s v="Domestic"/>
    <s v="04/2026"/>
    <s v="2026"/>
  </r>
  <r>
    <n v="11"/>
    <x v="3"/>
    <n v="6370"/>
    <s v="YTL S.A. - PARAGUAI"/>
    <n v="7010"/>
    <s v="EX"/>
    <s v="MAX OIL GRI ADITIVO ANTI-PO P/ FERTILIZANTES"/>
    <n v="28000"/>
    <n v="28000"/>
    <n v="189840"/>
    <n v="0"/>
    <n v="189840"/>
    <n v="-71993.25"/>
    <n v="-28440.27648"/>
    <n v="-3410.934341135624"/>
    <n v="85995.539178864376"/>
    <n v="0.45298956583894001"/>
    <n v="6.78"/>
    <n v="6.78"/>
    <n v="100700"/>
    <s v="MAX OIL"/>
    <s v="ITAPUA"/>
    <s v="Additives"/>
    <s v="International"/>
    <s v="04/2026"/>
    <s v="2026"/>
  </r>
  <r>
    <n v="11"/>
    <x v="3"/>
    <n v="2133"/>
    <s v="FERTIPAR - CANITAR"/>
    <n v="3353"/>
    <s v="SP"/>
    <s v="MAX OIL MTF ADITIVO ANTI-PO P/ FERTILIZANTES"/>
    <n v="30000"/>
    <n v="30000"/>
    <n v="179700"/>
    <n v="-21564"/>
    <n v="158136"/>
    <n v="-91396.349999999991"/>
    <n v="-11663.147059199999"/>
    <n v="-146.49374948466959"/>
    <n v="54930.009191315345"/>
    <n v="0.34735929321163644"/>
    <n v="5.99"/>
    <n v="5.99"/>
    <n v="100700"/>
    <s v="MAX OIL"/>
    <s v="CANITAR"/>
    <s v="Additives"/>
    <s v="Domestic"/>
    <s v="04/2026"/>
    <s v="2026"/>
  </r>
  <r>
    <n v="11"/>
    <x v="3"/>
    <n v="1792"/>
    <s v="MOSAIC - CATAL?O (CMC3)"/>
    <n v="3359"/>
    <s v="GO"/>
    <s v="MAX OIL GRV ADITIVO ANTI-PO P/ FERTILIZANTES"/>
    <n v="150000"/>
    <n v="150000"/>
    <n v="585000"/>
    <n v="-40950.000000000007"/>
    <n v="544050"/>
    <n v="-357441.98132530117"/>
    <n v="-12210.8025"/>
    <n v="-153.37251887180398"/>
    <n v="174243.84365582705"/>
    <n v="0.32027174644945694"/>
    <n v="3.9"/>
    <n v="3.9"/>
    <n v="100700"/>
    <s v="MAX OIL"/>
    <s v="CATALAO"/>
    <s v="Additives"/>
    <s v="Domestic"/>
    <s v="04/2026"/>
    <s v="2026"/>
  </r>
  <r>
    <n v="11"/>
    <x v="3"/>
    <n v="14382"/>
    <s v="GECAL - PAINS-MG"/>
    <n v="3351"/>
    <s v="MG"/>
    <s v="MAX OIL MT ADITIVO ANTI-PO P/ FERTILIZANTES"/>
    <n v="15000"/>
    <n v="15000"/>
    <n v="102900"/>
    <n v="-18522"/>
    <n v="84378"/>
    <n v="-44178.299999999996"/>
    <n v="-6648.4965456"/>
    <n v="-83.507751592015325"/>
    <n v="33467.695702807992"/>
    <n v="0.39664006853454681"/>
    <n v="6.86"/>
    <n v="6.86"/>
    <n v="100700"/>
    <s v="MAX OIL"/>
    <s v="PAINS"/>
    <s v="Additives"/>
    <s v="Domestic"/>
    <s v="04/2026"/>
    <s v="2026"/>
  </r>
  <r>
    <n v="11"/>
    <x v="3"/>
    <n v="1787"/>
    <s v="MOSAIC - UBERABA (CIU1)"/>
    <n v="3359"/>
    <s v="MG"/>
    <s v="MAX OIL GRV ADITIVO ANTI-PO P/ FERTILIZANTES"/>
    <n v="260000"/>
    <n v="260000"/>
    <n v="1008800"/>
    <n v="0"/>
    <n v="1008800"/>
    <n v="-619566.1009638554"/>
    <n v="-21165.391"/>
    <n v="-265.84569937779361"/>
    <n v="367802.66233676684"/>
    <n v="0.36459423308561345"/>
    <n v="3.88"/>
    <n v="3.88"/>
    <n v="100700"/>
    <s v="MAX OIL"/>
    <s v="UBERABA"/>
    <s v="Additives"/>
    <s v="Domestic"/>
    <s v="04/2026"/>
    <s v="2026"/>
  </r>
  <r>
    <n v="11"/>
    <x v="3"/>
    <n v="5300"/>
    <s v="FOSNOR - LUIS EDUARDO MAGALHAES"/>
    <n v="4246"/>
    <s v="BA"/>
    <s v="MAX OIL GRGL ADITIVO ANTI-PO P/ FERTILIZANTES"/>
    <n v="150000"/>
    <n v="150000"/>
    <n v="877500"/>
    <n v="-61425.000000000007"/>
    <n v="816075"/>
    <n v="-392112"/>
    <n v="-77419.165823999996"/>
    <n v="-972.41540606203102"/>
    <n v="345571.41876993794"/>
    <n v="0.42345546520839134"/>
    <n v="5.85"/>
    <n v="5.85"/>
    <n v="100700"/>
    <s v="MAX OIL"/>
    <s v="LUIS EDUARDO MAGALHAES"/>
    <s v="Additives"/>
    <s v="Domestic"/>
    <s v="04/2026"/>
    <s v="2026"/>
  </r>
  <r>
    <n v="11"/>
    <x v="3"/>
    <n v="2225"/>
    <s v="ITAFOS"/>
    <n v="3351"/>
    <s v="TO"/>
    <s v="MAX OIL MT ADITIVO ANTI-PO P/ FERTILIZANTES"/>
    <n v="30000"/>
    <n v="30000"/>
    <n v="162000"/>
    <n v="-11340.000000000002"/>
    <n v="150660"/>
    <n v="-88356.599999999991"/>
    <n v="-13774.578854399999"/>
    <n v="-173.01416964999771"/>
    <n v="48355.806975950014"/>
    <n v="0.32095982328388434"/>
    <n v="5.4"/>
    <n v="5.4"/>
    <n v="100700"/>
    <s v="MAX OIL"/>
    <s v="ARRAIAS"/>
    <s v="Additives"/>
    <s v="Domestic"/>
    <s v="04/2026"/>
    <s v="2026"/>
  </r>
  <r>
    <n v="11"/>
    <x v="3"/>
    <n v="11724"/>
    <s v="HINOVE - REGISTRO/SP"/>
    <n v="14142"/>
    <s v="SP"/>
    <s v="MAX OIL MT IBC ADITIVO ANTI-PO P/ FERTILIZANTES"/>
    <n v="91200"/>
    <n v="91200"/>
    <n v="551760"/>
    <n v="-66211.199999999997"/>
    <n v="485548.79999999999"/>
    <n v="-263425.29841463413"/>
    <n v="-35838.035670527999"/>
    <n v="-450.13993160616928"/>
    <n v="185835.32598323168"/>
    <n v="0.38273254095825526"/>
    <n v="6.05"/>
    <n v="6.05"/>
    <n v="100700"/>
    <s v="MAX OIL"/>
    <s v="REGISTRO"/>
    <s v="Additives"/>
    <s v="Domestic"/>
    <s v="04/2026"/>
    <s v="2026"/>
  </r>
  <r>
    <n v="13"/>
    <x v="3"/>
    <n v="2"/>
    <s v="CARGILL - UBERLANDIA"/>
    <n v="3700"/>
    <s v="MG"/>
    <s v="CICOAT 41175"/>
    <n v="84000"/>
    <n v="84000"/>
    <n v="92400"/>
    <n v="-23640.539999999997"/>
    <n v="68759.460000000006"/>
    <n v="-14936.119999999999"/>
    <n v="0"/>
    <n v="0"/>
    <n v="53823.340000000011"/>
    <n v="0.7827772353069673"/>
    <n v="1.1000000000000001"/>
    <n v="1.1000000000000001"/>
    <n v="100900"/>
    <s v="PA TERCEIROS"/>
    <s v="UBERLANDIA"/>
    <s v="Fertilizers"/>
    <s v="Domestic"/>
    <s v="04/2026"/>
    <s v="2026"/>
  </r>
  <r>
    <n v="11"/>
    <x v="3"/>
    <n v="11768"/>
    <s v="CERES PERU S.A"/>
    <n v="4542"/>
    <s v="EX"/>
    <s v="RESIDEX GREEN ADITIVO ANTI PO P/ FERTILIZANTES"/>
    <n v="2000"/>
    <n v="2000"/>
    <n v="15600"/>
    <n v="0"/>
    <n v="15600"/>
    <n v="-5951.47"/>
    <n v="-8233.9720319999997"/>
    <n v="-321.54432327485773"/>
    <n v="1093.0136447251414"/>
    <n v="7.0064977225970604E-2"/>
    <n v="7.8"/>
    <n v="7.8"/>
    <n v="101300"/>
    <s v="RESIDEX"/>
    <s v="PIURA"/>
    <s v="Additives"/>
    <s v="International"/>
    <s v="04/2026"/>
    <s v="2026"/>
  </r>
  <r>
    <n v="11"/>
    <x v="3"/>
    <n v="15908"/>
    <s v="CAMPEVO - S?O JOSE DO RIO PRETO"/>
    <n v="8368"/>
    <s v="SP"/>
    <s v="SULFORCE - BB - 18 L SOLUC?O ALTAMENTE CONCENTRADA EM ENXOFRE (60%)"/>
    <n v="171"/>
    <n v="2811.58820284283"/>
    <n v="32474.497261273536"/>
    <n v="-2925.9297654468542"/>
    <n v="29548.567495826683"/>
    <n v="-10141.160465614783"/>
    <n v="-760.08110450794345"/>
    <n v="-8959.594491166652"/>
    <n v="9687.7314345373052"/>
    <n v="0.32785790498661432"/>
    <n v="189.90934070920196"/>
    <n v="11.550232437466549"/>
    <n v="101602"/>
    <s v="FERTILIZANTE LIQUIDOS"/>
    <s v="SAO JOSE DO RIO PRETO"/>
    <s v="Fertilizers"/>
    <s v="Domestic"/>
    <s v="04/2026"/>
    <s v="2026"/>
  </r>
  <r>
    <n v="11"/>
    <x v="3"/>
    <n v="15908"/>
    <s v="CAMPEVO - S?O JOSE DO RIO PRETO"/>
    <n v="13004"/>
    <s v="SP"/>
    <s v="BIOSINERGIC K - BB - 20L PRODUTO A BASE DE EXTRATO DE ALGAS E ACIDOS HUMICOS"/>
    <n v="63"/>
    <n v="1448.9348831774312"/>
    <n v="38280.526874248979"/>
    <n v="-3627.6857650550473"/>
    <n v="34652.841109193934"/>
    <n v="-10245.14613524024"/>
    <n v="-391.70317518477435"/>
    <n v="-9866.9608342075626"/>
    <n v="14149.030964561356"/>
    <n v="0.40830796297413546"/>
    <n v="607.62741070236473"/>
    <n v="26.419770355933441"/>
    <n v="101602"/>
    <s v="FERTILIZANTE LIQUIDOS"/>
    <s v="SAO JOSE DO RIO PRETO"/>
    <s v="Fertilizers"/>
    <s v="Domestic"/>
    <s v="04/2026"/>
    <s v="2026"/>
  </r>
  <r>
    <n v="11"/>
    <x v="3"/>
    <n v="2247"/>
    <s v="ADUBOS LEAO - LARANJEIRAS"/>
    <n v="8369"/>
    <s v="SE"/>
    <s v="SULFORCE IBC - 700 L - SOLUC?O ALTAMENTE CONCENTRADA EM ENXOFRE (60%) "/>
    <n v="1000"/>
    <n v="913.44645966303767"/>
    <n v="6440.3030495042594"/>
    <n v="-580.26685492416641"/>
    <n v="5860.0361945800933"/>
    <n v="-3544.4828212896909"/>
    <n v="-1065.5393244422107"/>
    <n v="-2035.8468107409017"/>
    <n v="-785.8327618927101"/>
    <n v="-0.13410032562930607"/>
    <n v="6.4403030495042595"/>
    <n v="7.0505534083300629"/>
    <n v="101602"/>
    <s v="FERTILIZANTE LIQUIDOS"/>
    <s v="LARANJEIRAS"/>
    <s v="Fertilizers"/>
    <s v="Domestic"/>
    <s v="04/2026"/>
    <s v="2026"/>
  </r>
  <r>
    <n v="11"/>
    <x v="3"/>
    <n v="15905"/>
    <s v="CAMPEVO - ITAPETININGA"/>
    <n v="8368"/>
    <s v="SP"/>
    <s v="SULFORCE - BB - 18 L SOLUC?O ALTAMENTE CONCENTRADA EM ENXOFRE (60%)"/>
    <n v="171"/>
    <n v="2811.58820284283"/>
    <n v="32474.497261273536"/>
    <n v="-2925.9297654468542"/>
    <n v="29548.567495826683"/>
    <n v="-10141.160465614783"/>
    <n v="-760.08110450794345"/>
    <n v="-8999.2909078158264"/>
    <n v="9648.0350178881308"/>
    <n v="0.32651447550717239"/>
    <n v="189.90934070920196"/>
    <n v="11.550232437466549"/>
    <n v="101602"/>
    <s v="FERTILIZANTE LIQUIDOS"/>
    <s v="ITAPETININGA"/>
    <s v="Fertilizers"/>
    <s v="Domestic"/>
    <s v="04/2026"/>
    <s v="2026"/>
  </r>
  <r>
    <n v="11"/>
    <x v="3"/>
    <n v="15904"/>
    <s v="CAMPEVO - JALES"/>
    <n v="13004"/>
    <s v="SP"/>
    <s v="BIOSINERGIC K - BB - 20L PRODUTO A BASE DE EXTRATO DE ALGAS E ACIDOS HUMICOS"/>
    <n v="71"/>
    <n v="1632.9266143745651"/>
    <n v="43141.546159867888"/>
    <n v="-4088.3442749033075"/>
    <n v="39053.201884964583"/>
    <n v="-11546.117073048525"/>
    <n v="-441.44326092252351"/>
    <n v="-11112.881651381154"/>
    <n v="15952.759899612382"/>
    <n v="0.40848788651447726"/>
    <n v="607.62741070236461"/>
    <n v="26.419770355933437"/>
    <n v="101602"/>
    <s v="FERTILIZANTE LIQUIDOS"/>
    <s v="JALES"/>
    <s v="Fertilizers"/>
    <s v="Domestic"/>
    <s v="04/2026"/>
    <s v="2026"/>
  </r>
  <r>
    <n v="11"/>
    <x v="3"/>
    <n v="15906"/>
    <s v="CAMPEVO - JAU"/>
    <n v="8368"/>
    <s v="SP"/>
    <s v="SULFORCE - BB - 18 L SOLUC?O ALTAMENTE CONCENTRADA EM ENXOFRE (60%)"/>
    <n v="171"/>
    <n v="2811.58820284283"/>
    <n v="32474.497261273536"/>
    <n v="-2925.9297654468542"/>
    <n v="29548.567495826683"/>
    <n v="-10141.160465614783"/>
    <n v="-760.08110450794345"/>
    <n v="-8974.0295517663508"/>
    <n v="9673.2963739376064"/>
    <n v="0.32736938517590819"/>
    <n v="189.90934070920196"/>
    <n v="11.550232437466549"/>
    <n v="101602"/>
    <s v="FERTILIZANTE LIQUIDOS"/>
    <s v="JAU"/>
    <s v="Fertilizers"/>
    <s v="Domestic"/>
    <s v="04/2026"/>
    <s v="2026"/>
  </r>
  <r>
    <n v="11"/>
    <x v="3"/>
    <n v="15906"/>
    <s v="CAMPEVO - JAU"/>
    <n v="13004"/>
    <s v="SP"/>
    <s v="BIOSINERGIC K - BB - 20L PRODUTO A BASE DE EXTRATO DE ALGAS E ACIDOS HUMICOS"/>
    <n v="63"/>
    <n v="1448.9348831774312"/>
    <n v="38280.526874248979"/>
    <n v="-3627.6857650550473"/>
    <n v="34652.841109193934"/>
    <n v="-10245.14613524024"/>
    <n v="-391.70317518477435"/>
    <n v="-9881.3958948072632"/>
    <n v="14134.595903961655"/>
    <n v="0.40789140086443099"/>
    <n v="607.62741070236473"/>
    <n v="26.419770355933441"/>
    <n v="101602"/>
    <s v="FERTILIZANTE LIQUIDOS"/>
    <s v="JAU"/>
    <s v="Fertilizers"/>
    <s v="Domestic"/>
    <s v="04/2026"/>
    <s v="2026"/>
  </r>
  <r>
    <n v="11"/>
    <x v="3"/>
    <n v="15917"/>
    <s v="MINAS FARM"/>
    <n v="8301"/>
    <s v="MG"/>
    <s v="BIOSINERGIC - BB - 20L PRODUTO A BASE DE EXTRATO DE ALGAS E ACIDOS HUMICOS"/>
    <n v="4"/>
    <n v="91.99586559856705"/>
    <n v="2430.5096428094585"/>
    <n v="-240.01630514543467"/>
    <n v="2190.4933376640238"/>
    <n v="-674.04743479531908"/>
    <n v="-22.205898592757567"/>
    <n v="-671.2231372898982"/>
    <n v="823.01686698604885"/>
    <n v="0.37572215027311012"/>
    <n v="607.62741070236461"/>
    <n v="26.419770355933437"/>
    <n v="101602"/>
    <s v="FERTILIZANTE LIQUIDOS"/>
    <s v="UBERLANDIA"/>
    <s v="Fertilizers"/>
    <s v="Domestic"/>
    <s v="04/2026"/>
    <s v="2026"/>
  </r>
  <r>
    <n v="11"/>
    <x v="3"/>
    <n v="15904"/>
    <s v="CAMPEVO - JALES"/>
    <n v="8368"/>
    <s v="SP"/>
    <s v="SULFORCE - BB - 18 L SOLUC?O ALTAMENTE CONCENTRADA EM ENXOFRE (60%)"/>
    <n v="171"/>
    <n v="2811.58820284283"/>
    <n v="32474.497261273536"/>
    <n v="-2925.9297654468542"/>
    <n v="29548.567495826683"/>
    <n v="-10141.160465614783"/>
    <n v="-760.08110450794345"/>
    <n v="-8959.594491166652"/>
    <n v="9687.7314345373052"/>
    <n v="0.32785790498661432"/>
    <n v="189.90934070920196"/>
    <n v="11.550232437466549"/>
    <n v="101602"/>
    <s v="FERTILIZANTE LIQUIDOS"/>
    <s v="JALES"/>
    <s v="Fertilizers"/>
    <s v="Domestic"/>
    <s v="04/2026"/>
    <s v="2026"/>
  </r>
  <r>
    <n v="11"/>
    <x v="3"/>
    <n v="15906"/>
    <s v="CAMPEVO - JAU"/>
    <n v="8369"/>
    <s v="SP"/>
    <s v="SULFORCE IBC - 700 L - SOLUC?O ALTAMENTE CONCENTRADA EM ENXOFRE (60%) "/>
    <n v="3500"/>
    <n v="3197.0626088206318"/>
    <n v="32342.62301096549"/>
    <n v="-2914.0479866107439"/>
    <n v="29428.575024354745"/>
    <n v="-12405.689874513919"/>
    <n v="-864.28975496354849"/>
    <n v="-9068.220429832767"/>
    <n v="7090.3749650445097"/>
    <n v="0.24093504218864142"/>
    <n v="9.2407494317044261"/>
    <n v="10.116355845435383"/>
    <n v="101602"/>
    <s v="FERTILIZANTE LIQUIDOS"/>
    <s v="JAU"/>
    <s v="Fertilizers"/>
    <s v="Domestic"/>
    <s v="04/2026"/>
    <s v="2026"/>
  </r>
  <r>
    <n v="11"/>
    <x v="3"/>
    <n v="15905"/>
    <s v="CAMPEVO - ITAPETININGA"/>
    <n v="13004"/>
    <s v="SP"/>
    <s v="BIOSINERGIC K - BB - 20L PRODUTO A BASE DE EXTRATO DE ALGAS E ACIDOS HUMICOS"/>
    <n v="23"/>
    <n v="528.97622719176059"/>
    <n v="13975.430446154387"/>
    <n v="-1324.3932158137472"/>
    <n v="12651.03723034064"/>
    <n v="-3740.291446198818"/>
    <n v="-143.00274649602875"/>
    <n v="-3677.053164988768"/>
    <n v="5090.6898726570244"/>
    <n v="0.40239308287293318"/>
    <n v="607.62741070236461"/>
    <n v="26.419770355933437"/>
    <n v="101602"/>
    <s v="FERTILIZANTE LIQUIDOS"/>
    <s v="ITAPETININGA"/>
    <s v="Fertilizers"/>
    <s v="Domestic"/>
    <s v="04/2026"/>
    <s v="2026"/>
  </r>
  <r>
    <n v="11"/>
    <x v="3"/>
    <n v="1159"/>
    <s v="YARA - RIO GRANDE"/>
    <n v="4627"/>
    <s v="RS"/>
    <s v="COAT BIO GR ADITIVO ANTI-PO P/ FERTILIZANTES"/>
    <n v="180000"/>
    <n v="180000"/>
    <n v="1634417.5371211765"/>
    <n v="-195480"/>
    <n v="1438937.5371211765"/>
    <n v="-898540.35199999996"/>
    <n v="-146529.63"/>
    <n v="-1840.4702264616481"/>
    <n v="392027.08489471488"/>
    <n v="0.27244204475965472"/>
    <n v="9.0800974284509799"/>
    <n v="9.0800974284509799"/>
    <n v="102200"/>
    <s v="COAT BIO"/>
    <s v="RIO GRANDE"/>
    <s v="Additives"/>
    <s v="Domestic"/>
    <s v="04/2026"/>
    <s v="2026"/>
  </r>
  <r>
    <n v="11"/>
    <x v="3"/>
    <n v="903"/>
    <s v="YARA - PONTA GROSSA"/>
    <n v="4627"/>
    <s v="PR"/>
    <s v="COAT BIO GR ADITIVO ANTI-PO P/ FERTILIZANTES"/>
    <n v="45000"/>
    <n v="45000"/>
    <n v="386029.5564195044"/>
    <n v="-46170"/>
    <n v="339859.5564195044"/>
    <n v="-224635.08799999999"/>
    <n v="-17720.945424000001"/>
    <n v="-222.58209781614673"/>
    <n v="97280.940897688255"/>
    <n v="0.28623865081966354"/>
    <n v="8.578434587100098"/>
    <n v="8.578434587100098"/>
    <n v="102200"/>
    <s v="COAT BIO"/>
    <s v="PONTA GROSSA"/>
    <s v="Additives"/>
    <s v="Domestic"/>
    <s v="04/2026"/>
    <s v="2026"/>
  </r>
  <r>
    <n v="11"/>
    <x v="3"/>
    <n v="252"/>
    <s v="FERTIPAR - PARANAGUA"/>
    <n v="12293"/>
    <s v="PR"/>
    <s v="COATMAX BMZ 366 - MICRONUTRIENTE LIQUIDO"/>
    <n v="14400"/>
    <n v="14400"/>
    <n v="118306.43470791297"/>
    <n v="-4608"/>
    <n v="113698.43470791297"/>
    <n v="-58990.45"/>
    <n v="-10498.551068753279"/>
    <n v="-131.86596228372053"/>
    <n v="44077.567676875966"/>
    <n v="0.38767083988543549"/>
    <n v="8.2157246324939557"/>
    <n v="8.2157246324939557"/>
    <n v="102300"/>
    <s v="COAT MAX"/>
    <s v="PARANAGUA"/>
    <s v="Additives"/>
    <s v="Domestic"/>
    <s v="04/2026"/>
    <s v="2026"/>
  </r>
  <r>
    <n v="11"/>
    <x v="3"/>
    <n v="2900"/>
    <s v="BIOSAFRA - MARUIM"/>
    <n v="12813"/>
    <s v="SE"/>
    <s v="COATMAX BMZ 3313 - MICRONUTRIENTE LIQUIDO"/>
    <n v="2400"/>
    <n v="2400"/>
    <n v="28048.483895334364"/>
    <n v="-1092.48"/>
    <n v="26956.003895334365"/>
    <n v="-14873.920000000002"/>
    <n v="-3897.0998277119998"/>
    <n v="-48.949118362291323"/>
    <n v="8136.0349492600717"/>
    <n v="0.30182644953053611"/>
    <n v="11.686868289722652"/>
    <n v="11.686868289722652"/>
    <n v="102300"/>
    <s v="COAT MAX"/>
    <s v="MARUIM"/>
    <s v="Additives"/>
    <s v="Domestic"/>
    <s v="04/2026"/>
    <s v="2026"/>
  </r>
  <r>
    <n v="11"/>
    <x v="3"/>
    <n v="1953"/>
    <s v="AMAGGI - COMODORO"/>
    <n v="7398"/>
    <s v="MT"/>
    <s v="SUPERSELEN ADITIVO ANTI PO P/ FERTILIZANTES"/>
    <n v="60000"/>
    <n v="60000"/>
    <n v="125400"/>
    <n v="-8778"/>
    <n v="116622"/>
    <n v="-37933.040000000008"/>
    <n v="-41876.730604799995"/>
    <n v="-525.98833327900763"/>
    <n v="36286.241061920991"/>
    <n v="0.31114404710878729"/>
    <n v="2.09"/>
    <n v="2.09"/>
    <n v="102600"/>
    <s v="SUPERSELEN"/>
    <s v="COMODORO"/>
    <s v="Additives"/>
    <s v="Domestic"/>
    <s v="04/2026"/>
    <s v="2026"/>
  </r>
  <r>
    <n v="11"/>
    <x v="3"/>
    <n v="8414"/>
    <s v="AMAGGI - PORTO VELHO"/>
    <n v="7398"/>
    <s v="RO"/>
    <s v="SUPERSELEN ADITIVO ANTI PO P/ FERTILIZANTES"/>
    <n v="30000"/>
    <n v="30000"/>
    <n v="70800"/>
    <n v="-4956.0000000000009"/>
    <n v="65844"/>
    <n v="-18966.520000000004"/>
    <n v="-24507.690479999997"/>
    <n v="-307.82630549041562"/>
    <n v="22061.963214509582"/>
    <n v="0.33506413970156101"/>
    <n v="2.36"/>
    <n v="2.36"/>
    <n v="102600"/>
    <s v="SUPERSELEN"/>
    <s v="PORTO VELHO"/>
    <s v="Additives"/>
    <s v="Domestic"/>
    <s v="04/2026"/>
    <s v="2026"/>
  </r>
  <r>
    <n v="11"/>
    <x v="3"/>
    <n v="8855"/>
    <s v="TERMAG - GUARUJA"/>
    <n v="7398"/>
    <s v="SP"/>
    <s v="SUPERSELEN ADITIVO ANTI PO P/ FERTILIZANTES"/>
    <n v="30000"/>
    <n v="30000"/>
    <n v="73800"/>
    <n v="-8856"/>
    <n v="64944"/>
    <n v="-18966.520000000004"/>
    <n v="-13045.632163199998"/>
    <n v="-163.85831030720584"/>
    <n v="32767.989526492795"/>
    <n v="0.5045576115806355"/>
    <n v="2.46"/>
    <n v="2.46"/>
    <n v="102600"/>
    <s v="SUPERSELEN"/>
    <s v="GUARUJA"/>
    <s v="Additives"/>
    <s v="Domestic"/>
    <s v="04/2026"/>
    <s v="2026"/>
  </r>
  <r>
    <n v="11"/>
    <x v="4"/>
    <n v="3273"/>
    <s v="FERTIMAXI - CONCEICAO DO JACUIPE"/>
    <n v="2"/>
    <s v="BA"/>
    <s v="START ANTIDUSTING SC ADITIVO ANTI PO P/ FERTILIZANTES"/>
    <n v="30000"/>
    <n v="30000"/>
    <n v="78900"/>
    <n v="-5523.0000000000009"/>
    <n v="73377"/>
    <n v="-11421.65"/>
    <n v="-18675.345000000001"/>
    <n v="-10.246016425349165"/>
    <n v="43269.758983574648"/>
    <n v="0.5896910337513751"/>
    <n v="2.63"/>
    <n v="2.63"/>
    <n v="100100"/>
    <s v="START ANTIDUSTING"/>
    <s v="CONCEICAO DO JACUIPE"/>
    <s v="Additives"/>
    <s v="Domestic"/>
    <s v="05/2026"/>
    <s v="2026"/>
  </r>
  <r>
    <n v="11"/>
    <x v="4"/>
    <n v="2352"/>
    <s v="BR FERTIL - PARANAGUA"/>
    <n v="1"/>
    <s v="PR"/>
    <s v="START ANTIDUSTING KG ADITIVO ANTI PO P/ FERTILIZANTES"/>
    <n v="30000"/>
    <n v="30000"/>
    <n v="70800"/>
    <n v="-8496"/>
    <n v="62304"/>
    <n v="-20722.112000000008"/>
    <n v="-14049.6057"/>
    <n v="-7.7081569723011398"/>
    <n v="27524.57414302769"/>
    <n v="0.44177860399055741"/>
    <n v="2.36"/>
    <n v="2.36"/>
    <n v="100100"/>
    <s v="START ANTIDUSTING"/>
    <s v="PARANAGUA"/>
    <s v="Additives"/>
    <s v="Domestic"/>
    <s v="05/2026"/>
    <s v="2026"/>
  </r>
  <r>
    <n v="11"/>
    <x v="4"/>
    <n v="11212"/>
    <s v="INPEK FERTILIZANTES - PARANAGUA"/>
    <n v="1043"/>
    <s v="PR"/>
    <s v="START ANTIDUSTING SC AD ADITIVO ANTI PO P/ FERTILIZANTES"/>
    <n v="30000"/>
    <n v="30000"/>
    <n v="57000"/>
    <n v="-6840"/>
    <n v="50160"/>
    <n v="-11949.90071428571"/>
    <n v="-14049.6057"/>
    <n v="-7.7081569723011398"/>
    <n v="24152.78542874199"/>
    <n v="0.48151486101957719"/>
    <n v="1.9"/>
    <n v="1.9"/>
    <n v="100100"/>
    <s v="START ANTIDUSTING"/>
    <s v="PARANAGUA"/>
    <s v="Additives"/>
    <s v="Domestic"/>
    <s v="05/2026"/>
    <s v="2026"/>
  </r>
  <r>
    <n v="11"/>
    <x v="4"/>
    <n v="3142"/>
    <s v="INTERFERTIL - SAO FRANCISCO DO SUL"/>
    <n v="1"/>
    <s v="SC"/>
    <s v="START ANTIDUSTING KG ADITIVO ANTI PO P/ FERTILIZANTES"/>
    <n v="30000"/>
    <n v="30000"/>
    <n v="83100"/>
    <n v="-9972"/>
    <n v="73128"/>
    <n v="-20722.112000000008"/>
    <n v="-16807.8105"/>
    <n v="-9.2214147828142465"/>
    <n v="35588.856085217179"/>
    <n v="0.48666524566810498"/>
    <n v="2.77"/>
    <n v="2.77"/>
    <n v="100100"/>
    <s v="START ANTIDUSTING"/>
    <s v="SAO FRANCISCO DO SUL"/>
    <s v="Additives"/>
    <s v="Domestic"/>
    <s v="05/2026"/>
    <s v="2026"/>
  </r>
  <r>
    <n v="11"/>
    <x v="4"/>
    <n v="452"/>
    <s v="FERTIPAR - S?O LUIS DO MARANH?O"/>
    <n v="1043"/>
    <s v="MA"/>
    <s v="START ANTIDUSTING SC AD ADITIVO ANTI PO P/ FERTILIZANTES"/>
    <n v="60000"/>
    <n v="60000"/>
    <n v="142200"/>
    <n v="-9954.0000000000018"/>
    <n v="132246"/>
    <n v="-23899.80142857142"/>
    <n v="-52923.054599999996"/>
    <n v="-29.035634239220244"/>
    <n v="55394.108337189369"/>
    <n v="0.41887171133485601"/>
    <n v="2.37"/>
    <n v="2.37"/>
    <n v="100100"/>
    <s v="START ANTIDUSTING"/>
    <s v="SAO LUIS"/>
    <s v="Additives"/>
    <s v="Domestic"/>
    <s v="05/2026"/>
    <s v="2026"/>
  </r>
  <r>
    <n v="11"/>
    <x v="4"/>
    <n v="7024"/>
    <s v="MOSAIC - SORRISO"/>
    <n v="1043"/>
    <s v="MT"/>
    <s v="START ANTIDUSTING SC AD ADITIVO ANTI PO P/ FERTILIZANTES"/>
    <n v="60000"/>
    <n v="60000"/>
    <n v="136800"/>
    <n v="-9576.0000000000018"/>
    <n v="127224"/>
    <n v="-23899.80142857142"/>
    <n v="-42005.160599999996"/>
    <n v="-23.045655405939193"/>
    <n v="61295.992316022646"/>
    <n v="0.48179582717115205"/>
    <n v="2.2799999999999998"/>
    <n v="2.2799999999999998"/>
    <n v="100100"/>
    <s v="START ANTIDUSTING"/>
    <s v="SORRISO"/>
    <s v="Additives"/>
    <s v="Domestic"/>
    <s v="05/2026"/>
    <s v="2026"/>
  </r>
  <r>
    <n v="11"/>
    <x v="4"/>
    <n v="14561"/>
    <s v="EXTRA CARGO ARMAZENS GERAIS"/>
    <n v="148"/>
    <s v="SC"/>
    <s v="START ANTIDUSTING BLACK ADITIVO ANTI PO P/ FERTILIZANTES"/>
    <n v="15000"/>
    <n v="15000"/>
    <n v="52800"/>
    <n v="-6336"/>
    <n v="46464"/>
    <n v="-10224.230973451326"/>
    <n v="-12045.7338550185"/>
    <n v="-6.6087553902701144"/>
    <n v="24187.426416139904"/>
    <n v="0.5205627241765648"/>
    <n v="3.52"/>
    <n v="3.52"/>
    <n v="100100"/>
    <s v="START ANTIDUSTING"/>
    <s v="S?O FRANCISCO DO SUL"/>
    <s v="Additives"/>
    <s v="Domestic"/>
    <s v="05/2026"/>
    <s v="2026"/>
  </r>
  <r>
    <n v="11"/>
    <x v="4"/>
    <n v="1023"/>
    <s v="ADUBOS ARAGUAIA - RONDONOPOLIS"/>
    <n v="14133"/>
    <s v="MT"/>
    <s v="START ANTIDUSTING SC AD IBC ADITIVO ANTI PO P/ FERTILIZANTES"/>
    <n v="12000"/>
    <n v="12000"/>
    <n v="34320"/>
    <n v="-2402.4"/>
    <n v="31917.599999999999"/>
    <n v="-13905.095160349851"/>
    <n v="-7644.7315593636004"/>
    <n v="-4.1941953481782841"/>
    <n v="10363.579084938368"/>
    <n v="0.32469794360911752"/>
    <n v="2.86"/>
    <n v="2.86"/>
    <n v="100100"/>
    <s v="START ANTIDUSTING"/>
    <s v="RONDONOPOLIS"/>
    <s v="Additives"/>
    <s v="Domestic"/>
    <s v="05/2026"/>
    <s v="2026"/>
  </r>
  <r>
    <n v="11"/>
    <x v="4"/>
    <n v="43"/>
    <s v="CIBRA - CAMACARI"/>
    <n v="148"/>
    <s v="BA"/>
    <s v="START ANTIDUSTING BLACK ADITIVO ANTI PO P/ FERTILIZANTES"/>
    <n v="210000"/>
    <n v="210000"/>
    <n v="497700"/>
    <n v="-34839"/>
    <n v="462861"/>
    <n v="-143139.23362831856"/>
    <n v="-145336.88856959998"/>
    <n v="-79.737437112581446"/>
    <n v="174305.14036496892"/>
    <n v="0.37658204161717862"/>
    <n v="2.37"/>
    <n v="2.37"/>
    <n v="100100"/>
    <s v="START ANTIDUSTING"/>
    <s v="CAMACARI"/>
    <s v="Additives"/>
    <s v="Domestic"/>
    <s v="05/2026"/>
    <s v="2026"/>
  </r>
  <r>
    <n v="11"/>
    <x v="4"/>
    <n v="205"/>
    <s v="FERTIPAR - RONDONOPOLIS"/>
    <n v="231"/>
    <s v="MT"/>
    <s v="START ANTIDUSTING RED ADITIVO ANTI PO P/ FERTILIZANTES"/>
    <n v="15000"/>
    <n v="15000"/>
    <n v="36900"/>
    <n v="-2583.0000000000005"/>
    <n v="34317"/>
    <n v="-16471.719999999998"/>
    <n v="-9555.9144492044998"/>
    <n v="-5.242744185222854"/>
    <n v="8284.1228066102794"/>
    <n v="0.24139997105254771"/>
    <n v="2.46"/>
    <n v="2.46"/>
    <n v="100100"/>
    <s v="START ANTIDUSTING"/>
    <s v="RONDONOPOLIS"/>
    <s v="Additives"/>
    <s v="Domestic"/>
    <s v="05/2026"/>
    <s v="2026"/>
  </r>
  <r>
    <n v="11"/>
    <x v="4"/>
    <n v="7102"/>
    <s v="MOSAIC RONDONOPOLIS"/>
    <n v="1043"/>
    <s v="MT"/>
    <s v="START ANTIDUSTING SC AD ADITIVO ANTI PO P/ FERTILIZANTES"/>
    <n v="240000"/>
    <n v="240000"/>
    <n v="489600"/>
    <n v="-34272"/>
    <n v="455328"/>
    <n v="-95599.205714285679"/>
    <n v="-95847.616800000003"/>
    <n v="-52.585708915330478"/>
    <n v="263828.591776799"/>
    <n v="0.57942536320366633"/>
    <n v="2.04"/>
    <n v="2.04"/>
    <n v="100100"/>
    <s v="START ANTIDUSTING"/>
    <s v="RONDONOPOLIS"/>
    <s v="Additives"/>
    <s v="Domestic"/>
    <s v="05/2026"/>
    <s v="2026"/>
  </r>
  <r>
    <n v="11"/>
    <x v="4"/>
    <n v="11637"/>
    <s v="AGROPECUARIA MARATA LTDA - MARUIM"/>
    <n v="14130"/>
    <s v="SE"/>
    <s v="START ANTIDUSTING BLACK IBC ADITIVO ANTI PO P/ FERTILIZANTES"/>
    <n v="4000"/>
    <n v="4000"/>
    <n v="11880"/>
    <n v="-831.6"/>
    <n v="11048.4"/>
    <n v="-5069.97"/>
    <n v="0"/>
    <n v="0"/>
    <n v="5978.4299999999994"/>
    <n v="0.54111274030628864"/>
    <n v="2.97"/>
    <n v="2.97"/>
    <n v="100100"/>
    <s v="START ANTIDUSTING"/>
    <s v="MARUIM"/>
    <s v="Additives"/>
    <s v="Domestic"/>
    <s v="05/2026"/>
    <s v="2026"/>
  </r>
  <r>
    <n v="11"/>
    <x v="4"/>
    <n v="7022"/>
    <s v="MOSAIC - ROSARIO DO CATETE"/>
    <n v="1043"/>
    <s v="SE"/>
    <s v="START ANTIDUSTING SC AD ADITIVO ANTI PO P/ FERTILIZANTES"/>
    <n v="150000"/>
    <n v="150000"/>
    <n v="361500"/>
    <n v="-25305.000000000004"/>
    <n v="336195"/>
    <n v="-59749.503571428555"/>
    <n v="-126057.50539200001"/>
    <n v="-69.160021985402295"/>
    <n v="150318.83101458603"/>
    <n v="0.44711798514131984"/>
    <n v="2.41"/>
    <n v="2.41"/>
    <n v="100100"/>
    <s v="START ANTIDUSTING"/>
    <s v="ROSARIO DO CATETE"/>
    <s v="Additives"/>
    <s v="Domestic"/>
    <s v="05/2026"/>
    <s v="2026"/>
  </r>
  <r>
    <n v="11"/>
    <x v="4"/>
    <n v="6370"/>
    <s v="YTL S.A. - PARAGUAI"/>
    <n v="4067"/>
    <s v="EX"/>
    <s v="DUSTPROTEC BLACK PLUS ADITIVO ANTI PO P/ FERTILIZANTES"/>
    <n v="30000"/>
    <n v="30000"/>
    <n v="154200"/>
    <n v="0"/>
    <n v="154200"/>
    <n v="-45847.56"/>
    <n v="-30471.7248"/>
    <n v="-4524.4411276908513"/>
    <n v="73356.274072309156"/>
    <n v="0.47572162174000748"/>
    <n v="5.14"/>
    <n v="5.14"/>
    <n v="100100"/>
    <s v="START ANTIDUSTING"/>
    <s v="ITAPUA"/>
    <s v="Additives"/>
    <s v="International"/>
    <s v="05/2026"/>
    <s v="2026"/>
  </r>
  <r>
    <n v="11"/>
    <x v="4"/>
    <n v="2011"/>
    <s v="FERTGROW S.A"/>
    <n v="6654"/>
    <s v="MA"/>
    <s v="START ANTIDUSTING SC FG ADITIVO ANTI PO P/ FERTILIZANTES"/>
    <n v="80000"/>
    <n v="80000"/>
    <n v="216000"/>
    <n v="-15120.000000000002"/>
    <n v="200880"/>
    <n v="-31141.629999999997"/>
    <n v="-70564.072799999994"/>
    <n v="-38.714178985626987"/>
    <n v="99135.583021014376"/>
    <n v="0.49350648656418944"/>
    <n v="2.7"/>
    <n v="2.7"/>
    <n v="100100"/>
    <s v="START ANTIDUSTING"/>
    <s v="SAO LUIS"/>
    <s v="Additives"/>
    <s v="Domestic"/>
    <s v="05/2026"/>
    <s v="2026"/>
  </r>
  <r>
    <n v="11"/>
    <x v="4"/>
    <n v="86"/>
    <s v="ADUBOS ARAGUAIA - ANAPOLIS"/>
    <n v="14133"/>
    <s v="GO"/>
    <s v="START ANTIDUSTING SC AD IBC ADITIVO ANTI PO P/ FERTILIZANTES"/>
    <n v="12000"/>
    <n v="12000"/>
    <n v="33000"/>
    <n v="-2310"/>
    <n v="30690"/>
    <n v="-13905.095160349851"/>
    <n v="-4650.7495518743999"/>
    <n v="-2.5515810443496685"/>
    <n v="12131.603706731399"/>
    <n v="0.39529500510692078"/>
    <n v="2.75"/>
    <n v="2.75"/>
    <n v="100100"/>
    <s v="START ANTIDUSTING"/>
    <s v="ANAPOLIS"/>
    <s v="Additives"/>
    <s v="Domestic"/>
    <s v="05/2026"/>
    <s v="2026"/>
  </r>
  <r>
    <n v="11"/>
    <x v="4"/>
    <n v="1292"/>
    <s v="CIBRA - S?O FRANCISCO DO SUL"/>
    <n v="148"/>
    <s v="SC"/>
    <s v="START ANTIDUSTING BLACK ADITIVO ANTI PO P/ FERTILIZANTES"/>
    <n v="20000"/>
    <n v="20000"/>
    <n v="47000"/>
    <n v="-5640"/>
    <n v="41360"/>
    <n v="-13632.307964601769"/>
    <n v="-10207.092555894"/>
    <n v="-5.6000056750089007"/>
    <n v="17514.999473829223"/>
    <n v="0.42347677644654791"/>
    <n v="2.35"/>
    <n v="2.35"/>
    <n v="100100"/>
    <s v="START ANTIDUSTING"/>
    <s v="S?O FRANCISCO DO SUL"/>
    <s v="Additives"/>
    <s v="Domestic"/>
    <s v="05/2026"/>
    <s v="2026"/>
  </r>
  <r>
    <n v="11"/>
    <x v="4"/>
    <n v="3232"/>
    <s v="FERTILIZ. TOCANTINS - ARAGUARI"/>
    <n v="7384"/>
    <s v="MG"/>
    <s v="START ANTIDUSTING EURO KG ADITIVO ANTI PO P/ FERTILIZANTES"/>
    <n v="150000"/>
    <n v="150000"/>
    <n v="280500"/>
    <n v="-50490"/>
    <n v="230010"/>
    <n v="-102550.68965517241"/>
    <n v="-8619.39"/>
    <n v="-4.7289306578534598"/>
    <n v="118835.19141416973"/>
    <n v="0.51665228213629721"/>
    <n v="1.87"/>
    <n v="1.87"/>
    <n v="100100"/>
    <s v="START ANTIDUSTING"/>
    <s v="ARAGUARI"/>
    <s v="Additives"/>
    <s v="Domestic"/>
    <s v="05/2026"/>
    <s v="2026"/>
  </r>
  <r>
    <n v="11"/>
    <x v="4"/>
    <n v="1874"/>
    <s v="FERTILIZ. TOCANTINS - BARCARENA"/>
    <n v="148"/>
    <s v="PA"/>
    <s v="START ANTIDUSTING BLACK ADITIVO ANTI PO P/ FERTILIZANTES"/>
    <n v="30000"/>
    <n v="30000"/>
    <n v="84300"/>
    <n v="-5901.0000000000009"/>
    <n v="78399"/>
    <n v="-20448.461946902651"/>
    <n v="-26978.690699999999"/>
    <n v="-14.801552959081329"/>
    <n v="30957.045800138269"/>
    <n v="0.39486531461036833"/>
    <n v="2.81"/>
    <n v="2.81"/>
    <n v="100100"/>
    <s v="START ANTIDUSTING"/>
    <s v="BARCARENA "/>
    <s v="Additives"/>
    <s v="Domestic"/>
    <s v="05/2026"/>
    <s v="2026"/>
  </r>
  <r>
    <n v="11"/>
    <x v="4"/>
    <n v="214"/>
    <s v="UNIFERTIL - CANOAS UN1"/>
    <n v="3"/>
    <s v="RS"/>
    <s v="START ANTIDUSTING MH ADITIVO ANTI PO P/ FERTILIZANTES"/>
    <n v="64000"/>
    <n v="64000"/>
    <n v="165760"/>
    <n v="-19891.2"/>
    <n v="145868.79999999999"/>
    <n v="-49603.92"/>
    <n v="-51609.076479999996"/>
    <n v="-28.314735032267471"/>
    <n v="44627.488784967725"/>
    <n v="0.30594266069898246"/>
    <n v="2.59"/>
    <n v="2.59"/>
    <n v="100100"/>
    <s v="START ANTIDUSTING"/>
    <s v="CANOAS"/>
    <s v="Additives"/>
    <s v="Domestic"/>
    <s v="05/2026"/>
    <s v="2026"/>
  </r>
  <r>
    <n v="11"/>
    <x v="4"/>
    <n v="1936"/>
    <s v="CIBRA - PARANAGUA II"/>
    <n v="4"/>
    <s v="PR"/>
    <s v="START ANTIDUSTING G37 ADITIVO ANTI PO P/ FERTILIZANTES"/>
    <n v="40000"/>
    <n v="40000"/>
    <n v="159600"/>
    <n v="-19152"/>
    <n v="140448"/>
    <n v="-39155.822222222218"/>
    <n v="0"/>
    <n v="0"/>
    <n v="101292.17777777778"/>
    <n v="0.72120769094453308"/>
    <n v="3.99"/>
    <n v="3.99"/>
    <n v="100100"/>
    <s v="START ANTIDUSTING"/>
    <s v="PARANAGUA"/>
    <s v="Additives"/>
    <s v="Domestic"/>
    <s v="05/2026"/>
    <s v="2026"/>
  </r>
  <r>
    <n v="11"/>
    <x v="4"/>
    <n v="6477"/>
    <s v="MOSAIC - PARANAGUA II"/>
    <n v="1043"/>
    <s v="PR"/>
    <s v="START ANTIDUSTING SC AD ADITIVO ANTI PO P/ FERTILIZANTES"/>
    <n v="90000"/>
    <n v="90000"/>
    <n v="197100"/>
    <n v="-23652"/>
    <n v="173448"/>
    <n v="-35849.702142857132"/>
    <n v="-42148.8171"/>
    <n v="-23.124470916903419"/>
    <n v="95426.356286225971"/>
    <n v="0.55017271047360572"/>
    <n v="2.19"/>
    <n v="2.19"/>
    <n v="100100"/>
    <s v="START ANTIDUSTING"/>
    <s v="PARANAGUA"/>
    <s v="Additives"/>
    <s v="Domestic"/>
    <s v="05/2026"/>
    <s v="2026"/>
  </r>
  <r>
    <n v="11"/>
    <x v="4"/>
    <n v="6124"/>
    <s v="MOSAIC - UBERABA II"/>
    <n v="1043"/>
    <s v="MG"/>
    <s v="START ANTIDUSTING SC AD ADITIVO ANTI PO P/ FERTILIZANTES"/>
    <n v="30000"/>
    <n v="30000"/>
    <n v="50700"/>
    <n v="0"/>
    <n v="50700"/>
    <n v="-11949.90071428571"/>
    <n v="-2442.1605"/>
    <n v="-1.3398636863918136"/>
    <n v="36306.598922027901"/>
    <n v="0.71610648761396256"/>
    <n v="1.69"/>
    <n v="1.69"/>
    <n v="100100"/>
    <s v="START ANTIDUSTING"/>
    <s v="UBERABA"/>
    <s v="Additives"/>
    <s v="Domestic"/>
    <s v="05/2026"/>
    <s v="2026"/>
  </r>
  <r>
    <n v="11"/>
    <x v="4"/>
    <n v="10492"/>
    <s v="UNIFERTIL RIO GRANDE UN1"/>
    <n v="3"/>
    <s v="RS"/>
    <s v="START ANTIDUSTING MH ADITIVO ANTI PO P/ FERTILIZANTES"/>
    <n v="32000"/>
    <n v="32000"/>
    <n v="82880"/>
    <n v="-9945.6"/>
    <n v="72934.399999999994"/>
    <n v="-24801.96"/>
    <n v="-26049.712"/>
    <n v="-14.291879321512678"/>
    <n v="22068.436120678482"/>
    <n v="0.30257925095261612"/>
    <n v="2.59"/>
    <n v="2.59"/>
    <n v="100100"/>
    <s v="START ANTIDUSTING"/>
    <s v="RIO GRANDE"/>
    <s v="Additives"/>
    <s v="Domestic"/>
    <s v="05/2026"/>
    <s v="2026"/>
  </r>
  <r>
    <n v="11"/>
    <x v="4"/>
    <n v="9295"/>
    <s v="TECNOMYL S.A. - PARAGUAY"/>
    <n v="14146"/>
    <s v="EX"/>
    <s v="DUSTPROTEC BLACK PLUS IBC ADITIVO ANTI PO P/ FERTILIZANTES"/>
    <n v="52800"/>
    <n v="52800"/>
    <n v="271444.8"/>
    <n v="0"/>
    <n v="271444.8"/>
    <n v="-105225.20000000001"/>
    <n v="-47610.112000000016"/>
    <n v="-7959.7135121099836"/>
    <n v="110649.77448788997"/>
    <n v="0.4076326917586558"/>
    <n v="5.141"/>
    <n v="5.141"/>
    <n v="100100"/>
    <s v="START ANTIDUSTING"/>
    <s v="ASSUNCION"/>
    <s v="Additives"/>
    <s v="International"/>
    <s v="05/2026"/>
    <s v="2026"/>
  </r>
  <r>
    <n v="11"/>
    <x v="4"/>
    <n v="2352"/>
    <s v="BR FERTIL - PARANAGUA"/>
    <n v="1043"/>
    <s v="PR"/>
    <s v="START ANTIDUSTING SC AD ADITIVO ANTI PO P/ FERTILIZANTES"/>
    <n v="30000"/>
    <n v="30000"/>
    <n v="56700"/>
    <n v="-6804"/>
    <n v="49896"/>
    <n v="-11949.90071428571"/>
    <n v="-14049.6057"/>
    <n v="-7.7081569723011398"/>
    <n v="23888.78542874199"/>
    <n v="0.47877155340592414"/>
    <n v="1.89"/>
    <n v="1.89"/>
    <n v="100100"/>
    <s v="START ANTIDUSTING"/>
    <s v="PARANAGUA"/>
    <s v="Additives"/>
    <s v="Domestic"/>
    <s v="05/2026"/>
    <s v="2026"/>
  </r>
  <r>
    <n v="11"/>
    <x v="4"/>
    <n v="97"/>
    <s v="FECOAGRO - SAO FRANCISCO DO SUL"/>
    <n v="148"/>
    <s v="SC"/>
    <s v="START ANTIDUSTING BLACK ADITIVO ANTI PO P/ FERTILIZANTES"/>
    <n v="64000"/>
    <n v="64000"/>
    <n v="224000"/>
    <n v="-26880"/>
    <n v="197120"/>
    <n v="-43623.38548672566"/>
    <n v="-35856.662400000001"/>
    <n v="-19.672351536670394"/>
    <n v="117620.27976173766"/>
    <n v="0.59669378937569839"/>
    <n v="3.5"/>
    <n v="3.5"/>
    <n v="100100"/>
    <s v="START ANTIDUSTING"/>
    <s v="SAO FRANCISCO DO SUL"/>
    <s v="Additives"/>
    <s v="Domestic"/>
    <s v="05/2026"/>
    <s v="2026"/>
  </r>
  <r>
    <n v="11"/>
    <x v="4"/>
    <n v="1023"/>
    <s v="ADUBOS ARAGUAIA - RONDONOPOLIS"/>
    <n v="1"/>
    <s v="MT"/>
    <s v="START ANTIDUSTING KG ADITIVO ANTI PO P/ FERTILIZANTES"/>
    <n v="30000"/>
    <n v="30000"/>
    <n v="72900"/>
    <n v="-5103.0000000000009"/>
    <n v="67797"/>
    <n v="-20722.112000000008"/>
    <n v="-11980.9521"/>
    <n v="-6.5732136144163098"/>
    <n v="35087.362686385575"/>
    <n v="0.51753562379435036"/>
    <n v="2.4300000000000002"/>
    <n v="2.4300000000000002"/>
    <n v="100100"/>
    <s v="START ANTIDUSTING"/>
    <s v="RONDONOPOLIS"/>
    <s v="Additives"/>
    <s v="Domestic"/>
    <s v="05/2026"/>
    <s v="2026"/>
  </r>
  <r>
    <n v="11"/>
    <x v="4"/>
    <n v="729"/>
    <s v="FERTILIZ. TOCANTINS - S?O LUIS"/>
    <n v="8061"/>
    <s v="MA"/>
    <s v="START ANTIDUSTING EURO SC ADITIVO ANTI PO P/ FERTILIZANTES"/>
    <n v="30000"/>
    <n v="30000"/>
    <n v="85500"/>
    <n v="-5985.0000000000009"/>
    <n v="79515"/>
    <n v="-16638.560000000001"/>
    <n v="-26461.527299999998"/>
    <n v="-14.517817119610122"/>
    <n v="36400.394882880391"/>
    <n v="0.45778022867233092"/>
    <n v="2.85"/>
    <n v="2.85"/>
    <n v="100100"/>
    <s v="START ANTIDUSTING"/>
    <s v="SAO LUIS"/>
    <s v="Additives"/>
    <s v="Domestic"/>
    <s v="05/2026"/>
    <s v="2026"/>
  </r>
  <r>
    <n v="11"/>
    <x v="4"/>
    <n v="1613"/>
    <s v="HERINGER - CANDEIAS"/>
    <n v="7384"/>
    <s v="BA"/>
    <s v="START ANTIDUSTING EURO KG ADITIVO ANTI PO P/ FERTILIZANTES"/>
    <n v="24000"/>
    <n v="24000"/>
    <n v="89760"/>
    <n v="-6283.2000000000007"/>
    <n v="83476.800000000003"/>
    <n v="-16408.110344827586"/>
    <n v="-17238.78"/>
    <n v="-9.4578613157069196"/>
    <n v="49820.451793856715"/>
    <n v="0.59681793976118769"/>
    <n v="3.74"/>
    <n v="3.74"/>
    <n v="100100"/>
    <s v="START ANTIDUSTING"/>
    <s v="CANDEIAS"/>
    <s v="Additives"/>
    <s v="Domestic"/>
    <s v="05/2026"/>
    <s v="2026"/>
  </r>
  <r>
    <n v="11"/>
    <x v="4"/>
    <n v="7648"/>
    <s v="LOUIS DREYFUS - PARANAGUA"/>
    <n v="14133"/>
    <s v="PR"/>
    <s v="START ANTIDUSTING SC AD IBC ADITIVO ANTI PO P/ FERTILIZANTES"/>
    <n v="26400"/>
    <n v="26400"/>
    <n v="74184"/>
    <n v="-8902.08"/>
    <n v="65281.919999999998"/>
    <n v="-30591.209352769671"/>
    <n v="-12363.653015999998"/>
    <n v="-6.7831781356250023"/>
    <n v="22320.274453094706"/>
    <n v="0.34190591289433131"/>
    <n v="2.81"/>
    <n v="2.81"/>
    <n v="100100"/>
    <s v="START ANTIDUSTING"/>
    <s v="PARANAGUA"/>
    <s v="Additives"/>
    <s v="Domestic"/>
    <s v="05/2026"/>
    <s v="2026"/>
  </r>
  <r>
    <n v="11"/>
    <x v="4"/>
    <n v="7097"/>
    <s v="MOSAIC - S?O FRANCISCO SUL"/>
    <n v="14133"/>
    <s v="SC"/>
    <s v="START ANTIDUSTING SC AD IBC ADITIVO ANTI PO P/ FERTILIZANTES"/>
    <n v="13200"/>
    <n v="13200"/>
    <n v="35640"/>
    <n v="-4276.8"/>
    <n v="31363.200000000001"/>
    <n v="-15295.604676384835"/>
    <n v="-10600.245792416279"/>
    <n v="-5.8157047434377009"/>
    <n v="5461.5338264554484"/>
    <n v="0.17413828392687764"/>
    <n v="2.7"/>
    <n v="2.7"/>
    <n v="100100"/>
    <s v="START ANTIDUSTING"/>
    <s v="SAO FRANCISCO DO SUL"/>
    <s v="Additives"/>
    <s v="Domestic"/>
    <s v="05/2026"/>
    <s v="2026"/>
  </r>
  <r>
    <n v="11"/>
    <x v="4"/>
    <n v="2287"/>
    <s v="BUNGE PARAGUAY S.A"/>
    <n v="4067"/>
    <s v="EX"/>
    <s v="DUSTPROTEC BLACK PLUS ADITIVO ANTI PO P/ FERTILIZANTES"/>
    <n v="90000"/>
    <n v="90000"/>
    <n v="477000"/>
    <n v="0"/>
    <n v="477000"/>
    <n v="-137542.68"/>
    <n v="-107165.99999999969"/>
    <n v="-13581.9648950666"/>
    <n v="218709.3551049337"/>
    <n v="0.45851017841705177"/>
    <n v="5.3"/>
    <n v="5.3"/>
    <n v="100100"/>
    <s v="START ANTIDUSTING"/>
    <s v="SAN JUAN DEL PARANA"/>
    <s v="Additives"/>
    <s v="International"/>
    <s v="05/2026"/>
    <s v="2026"/>
  </r>
  <r>
    <n v="11"/>
    <x v="4"/>
    <n v="2975"/>
    <s v="COONAGRO COOPERATIVA - PARANAGUA"/>
    <n v="4"/>
    <s v="PR"/>
    <s v="START ANTIDUSTING G37 ADITIVO ANTI PO P/ FERTILIZANTES"/>
    <n v="50000"/>
    <n v="50000"/>
    <n v="199500"/>
    <n v="-23940"/>
    <n v="175560"/>
    <n v="-48944.777777777774"/>
    <n v="-23416.0095"/>
    <n v="-12.846928287168566"/>
    <n v="103186.36579393505"/>
    <n v="0.5877555581791698"/>
    <n v="3.99"/>
    <n v="3.99"/>
    <n v="100100"/>
    <s v="START ANTIDUSTING"/>
    <s v="PARANAGUA"/>
    <s v="Additives"/>
    <s v="Domestic"/>
    <s v="05/2026"/>
    <s v="2026"/>
  </r>
  <r>
    <n v="11"/>
    <x v="4"/>
    <n v="13861"/>
    <s v="ADUBOS ARAGUAIA - GUARANT? DO NORTE"/>
    <n v="1"/>
    <s v="MT"/>
    <s v="START ANTIDUSTING KG ADITIVO ANTI PO P/ FERTILIZANTES"/>
    <n v="30000"/>
    <n v="30000"/>
    <n v="85200"/>
    <n v="-5964.0000000000009"/>
    <n v="79236"/>
    <n v="-20722.112000000008"/>
    <n v="-22431.382390052997"/>
    <n v="-12.306723780030353"/>
    <n v="36070.198886166967"/>
    <n v="0.45522488371658043"/>
    <n v="2.84"/>
    <n v="2.84"/>
    <n v="100100"/>
    <s v="START ANTIDUSTING"/>
    <s v="GUARANT? DO NORTE"/>
    <s v="Additives"/>
    <s v="Domestic"/>
    <s v="05/2026"/>
    <s v="2026"/>
  </r>
  <r>
    <n v="11"/>
    <x v="4"/>
    <n v="2997"/>
    <s v="AGROPLANTA - BATATAIS"/>
    <n v="1043"/>
    <s v="SP"/>
    <s v="START ANTIDUSTING SC AD ADITIVO ANTI PO P/ FERTILIZANTES"/>
    <n v="30000"/>
    <n v="30000"/>
    <n v="52200"/>
    <n v="-6264"/>
    <n v="45936"/>
    <n v="-11949.90071428571"/>
    <n v="-4800.9937247999997"/>
    <n v="-2.6340108074201067"/>
    <n v="29182.471550106871"/>
    <n v="0.63528543081911515"/>
    <n v="1.74"/>
    <n v="1.74"/>
    <n v="100100"/>
    <s v="START ANTIDUSTING"/>
    <s v="BATATAIS"/>
    <s v="Additives"/>
    <s v="Domestic"/>
    <s v="05/2026"/>
    <s v="2026"/>
  </r>
  <r>
    <n v="11"/>
    <x v="4"/>
    <n v="14632"/>
    <s v="BIGFERTIL - CANDEIAS"/>
    <n v="1043"/>
    <s v="BA"/>
    <s v="START ANTIDUSTING SC AD ADITIVO ANTI PO P/ FERTILIZANTES"/>
    <n v="30000"/>
    <n v="30000"/>
    <n v="96900"/>
    <n v="-6783.0000000000009"/>
    <n v="90117"/>
    <n v="-11949.90071428571"/>
    <n v="-21548.474999999999"/>
    <n v="-11.82232664463365"/>
    <n v="56606.801959069649"/>
    <n v="0.62814787397571659"/>
    <n v="3.23"/>
    <n v="3.23"/>
    <n v="100100"/>
    <s v="START ANTIDUSTING"/>
    <s v="CANDEIAS"/>
    <s v="Additives"/>
    <s v="Domestic"/>
    <s v="05/2026"/>
    <s v="2026"/>
  </r>
  <r>
    <n v="11"/>
    <x v="4"/>
    <n v="2696"/>
    <s v="MOSAIC FERTILIZANTES PARAGUAY S.R.L."/>
    <n v="3245"/>
    <s v="EX"/>
    <s v="DUSTPROTEC SC - ADITIVO ANTI-PO P/ FERTILIZANTES GRANULADOS"/>
    <n v="30000"/>
    <n v="30000"/>
    <n v="93810"/>
    <n v="0"/>
    <n v="93810"/>
    <n v="-14069.44"/>
    <n v="-27051.200000000012"/>
    <n v="-4522.5644955170355"/>
    <n v="48166.79550448295"/>
    <n v="0.51345054369985021"/>
    <n v="3.1269999999999998"/>
    <n v="3.1269999999999998"/>
    <n v="100100"/>
    <s v="START ANTIDUSTING"/>
    <s v="ASSUNCION"/>
    <s v="Additives"/>
    <s v="International"/>
    <s v="05/2026"/>
    <s v="2026"/>
  </r>
  <r>
    <n v="11"/>
    <x v="4"/>
    <n v="15508"/>
    <s v="SOMAX - PARAGUAI"/>
    <n v="14141"/>
    <s v="EX"/>
    <s v="DUSTPROTEC SC IBC - ADITIVO ANTI-PO P/ FERTILIZANTES GRANULADOS"/>
    <n v="45600"/>
    <n v="45600"/>
    <n v="241680"/>
    <n v="0"/>
    <n v="241680"/>
    <n v="-44612.762000000002"/>
    <n v="0"/>
    <n v="-6851.7392049512018"/>
    <n v="190215.4987950488"/>
    <n v="0.78705519196892093"/>
    <n v="5.3"/>
    <n v="5.3"/>
    <n v="100100"/>
    <s v="START ANTIDUSTING"/>
    <s v="HERNANDARIAS "/>
    <s v="Additives"/>
    <s v="International"/>
    <s v="05/2026"/>
    <s v="2026"/>
  </r>
  <r>
    <n v="11"/>
    <x v="4"/>
    <n v="2559"/>
    <s v="MOSAIC - RIO GRANDE"/>
    <n v="1043"/>
    <s v="RS"/>
    <s v="START ANTIDUSTING SC AD ADITIVO ANTI PO P/ FERTILIZANTES"/>
    <n v="30000"/>
    <n v="30000"/>
    <n v="75300"/>
    <n v="-9036"/>
    <n v="66264"/>
    <n v="-11949.90071428571"/>
    <n v="-24421.605"/>
    <n v="-13.398636863918137"/>
    <n v="29879.095648850373"/>
    <n v="0.45090993071426977"/>
    <n v="2.5099999999999998"/>
    <n v="2.5099999999999998"/>
    <n v="100100"/>
    <s v="START ANTIDUSTING"/>
    <s v="RIO GRANDE"/>
    <s v="Additives"/>
    <s v="Domestic"/>
    <s v="05/2026"/>
    <s v="2026"/>
  </r>
  <r>
    <n v="11"/>
    <x v="4"/>
    <n v="7103"/>
    <s v="MOSAIC - RIO VERDE"/>
    <n v="1043"/>
    <s v="GO"/>
    <s v="START ANTIDUSTING SC AD ADITIVO ANTI PO P/ FERTILIZANTES"/>
    <n v="30000"/>
    <n v="30000"/>
    <n v="57000"/>
    <n v="-3990.0000000000005"/>
    <n v="53010"/>
    <n v="-11949.90071428571"/>
    <n v="-5688.7973999999995"/>
    <n v="-3.1210942341832828"/>
    <n v="35368.180791480103"/>
    <n v="0.66719827940916998"/>
    <n v="1.9"/>
    <n v="1.9"/>
    <n v="100100"/>
    <s v="START ANTIDUSTING"/>
    <s v="RIO VERDE"/>
    <s v="Additives"/>
    <s v="Domestic"/>
    <s v="05/2026"/>
    <s v="2026"/>
  </r>
  <r>
    <n v="11"/>
    <x v="4"/>
    <n v="5657"/>
    <s v="FERTIPLANTA - VARGEM GRANDE DO SUL"/>
    <n v="14133"/>
    <s v="SP"/>
    <s v="START ANTIDUSTING SC AD IBC ADITIVO ANTI PO P/ FERTILIZANTES"/>
    <n v="5000"/>
    <n v="5000"/>
    <n v="17300"/>
    <n v="-2076"/>
    <n v="15224"/>
    <n v="-5793.7896501457717"/>
    <n v="-2572.2601631999996"/>
    <n v="-1.4112413924571952"/>
    <n v="6856.538945261771"/>
    <n v="0.45037696697725771"/>
    <n v="3.46"/>
    <n v="3.46"/>
    <n v="100100"/>
    <s v="START ANTIDUSTING"/>
    <s v="VARGEM GRANDE DO SUL"/>
    <s v="Additives"/>
    <s v="Domestic"/>
    <s v="05/2026"/>
    <s v="2026"/>
  </r>
  <r>
    <n v="11"/>
    <x v="4"/>
    <n v="4577"/>
    <s v="MICROSOLO INDUSTRIAL"/>
    <n v="1"/>
    <s v="MG"/>
    <s v="START ANTIDUSTING KG ADITIVO ANTI PO P/ FERTILIZANTES"/>
    <n v="30000"/>
    <n v="30000"/>
    <n v="69600"/>
    <n v="-6438"/>
    <n v="63162"/>
    <n v="-20722.112000000008"/>
    <n v="-10004.1649344"/>
    <n v="-5.4886717348335212"/>
    <n v="32430.234393865157"/>
    <n v="0.51344533728927455"/>
    <n v="2.3199999999999998"/>
    <n v="2.3199999999999998"/>
    <n v="100100"/>
    <s v="START ANTIDUSTING"/>
    <s v="SETE LAGOAS"/>
    <s v="Additives"/>
    <s v="Domestic"/>
    <s v="05/2026"/>
    <s v="2026"/>
  </r>
  <r>
    <n v="11"/>
    <x v="4"/>
    <n v="7479"/>
    <s v="MOSAIC - CUBAT?O"/>
    <n v="1043"/>
    <s v="SP"/>
    <s v="START ANTIDUSTING SC AD ADITIVO ANTI PO P/ FERTILIZANTES"/>
    <n v="30000"/>
    <n v="30000"/>
    <n v="64800"/>
    <n v="-7776"/>
    <n v="57024"/>
    <n v="-11949.90071428571"/>
    <n v="0"/>
    <n v="0"/>
    <n v="45074.099285714292"/>
    <n v="0.79044085447731294"/>
    <n v="2.16"/>
    <n v="2.16"/>
    <n v="100100"/>
    <s v="START ANTIDUSTING"/>
    <s v="CUBATAO"/>
    <s v="Additives"/>
    <s v="Domestic"/>
    <s v="05/2026"/>
    <s v="2026"/>
  </r>
  <r>
    <n v="11"/>
    <x v="4"/>
    <n v="1462"/>
    <s v="AURORA MINERAC?O LTDA"/>
    <n v="1042"/>
    <s v="SP"/>
    <s v="START ANTIDUSTING KG AD ADITIVO ANTI PO P/ FERTILIZANTES"/>
    <n v="45000"/>
    <n v="45000"/>
    <n v="75150"/>
    <n v="-9018"/>
    <n v="66132"/>
    <n v="-23251.69"/>
    <n v="0"/>
    <n v="0"/>
    <n v="42880.31"/>
    <n v="0.64840485695276107"/>
    <n v="1.67"/>
    <n v="1.67"/>
    <n v="100100"/>
    <s v="START ANTIDUSTING"/>
    <s v="IPEUNA"/>
    <s v="Additives"/>
    <s v="Domestic"/>
    <s v="05/2026"/>
    <s v="2026"/>
  </r>
  <r>
    <n v="11"/>
    <x v="4"/>
    <n v="14632"/>
    <s v="BIGFERTIL - CANDEIAS"/>
    <n v="113"/>
    <s v="BA"/>
    <s v="MEGAMICRO ADITIVO P/ SUSPENS?O DE MICRONUTRIENTES"/>
    <n v="30000"/>
    <n v="30000"/>
    <n v="109500"/>
    <n v="-7665.0000000000009"/>
    <n v="101835"/>
    <n v="-27042.963636363627"/>
    <n v="-21548.474999999999"/>
    <n v="-11.82232664463365"/>
    <n v="53231.739036991741"/>
    <n v="0.5227253796532797"/>
    <n v="3.65"/>
    <n v="3.65"/>
    <n v="100200"/>
    <s v="ADITIVO MEGAMICRO"/>
    <s v="CANDEIAS"/>
    <s v="Additives"/>
    <s v="Domestic"/>
    <s v="05/2026"/>
    <s v="2026"/>
  </r>
  <r>
    <n v="11"/>
    <x v="4"/>
    <n v="2975"/>
    <s v="COONAGRO COOPERATIVA - PARANAGUA"/>
    <n v="10343"/>
    <s v="PR"/>
    <s v="MEGAMICRO BLACK ADITIVO P/ SUSPENS?O DE MICRONUTRIENTES"/>
    <n v="15000"/>
    <n v="15000"/>
    <n v="61350"/>
    <n v="-7362"/>
    <n v="53988"/>
    <n v="-23041.119999999999"/>
    <n v="-10935.990696618001"/>
    <n v="-5.9999073808282342"/>
    <n v="20004.88939600117"/>
    <n v="0.37054325768691504"/>
    <n v="4.09"/>
    <n v="4.09"/>
    <n v="100200"/>
    <s v="ADITIVO MEGAMICRO"/>
    <s v="PARANAGUA"/>
    <s v="Additives"/>
    <s v="Domestic"/>
    <s v="05/2026"/>
    <s v="2026"/>
  </r>
  <r>
    <n v="11"/>
    <x v="4"/>
    <n v="912"/>
    <s v="FERTILIZE - ALMIRANTE TAMANDARE-PR"/>
    <n v="113"/>
    <s v="PR"/>
    <s v="MEGAMICRO ADITIVO P/ SUSPENS?O DE MICRONUTRIENTES"/>
    <n v="15000"/>
    <n v="15000"/>
    <n v="47250"/>
    <n v="-5670"/>
    <n v="41580"/>
    <n v="-13521.481818181814"/>
    <n v="-10700.094943784999"/>
    <n v="-5.8704858489530798"/>
    <n v="17352.552752184234"/>
    <n v="0.41732931101934184"/>
    <n v="3.15"/>
    <n v="3.15"/>
    <n v="100200"/>
    <s v="ADITIVO MEGAMICRO"/>
    <s v="ALMIRANTE TAMANDARE "/>
    <s v="Additives"/>
    <s v="Domestic"/>
    <s v="05/2026"/>
    <s v="2026"/>
  </r>
  <r>
    <n v="11"/>
    <x v="4"/>
    <n v="8413"/>
    <s v="AMAGGI - SINOP"/>
    <n v="113"/>
    <s v="MT"/>
    <s v="MEGAMICRO ADITIVO P/ SUSPENS?O DE MICRONUTRIENTES"/>
    <n v="64000"/>
    <n v="64000"/>
    <n v="185600"/>
    <n v="-12992.000000000002"/>
    <n v="172608"/>
    <n v="-57691.65575757574"/>
    <n v="-46705.601280000003"/>
    <n v="-25.624498924688613"/>
    <n v="68185.118463499573"/>
    <n v="0.39502872673050826"/>
    <n v="2.9"/>
    <n v="2.9"/>
    <n v="100200"/>
    <s v="ADITIVO MEGAMICRO"/>
    <s v="SINOP"/>
    <s v="Additives"/>
    <s v="Domestic"/>
    <s v="05/2026"/>
    <s v="2026"/>
  </r>
  <r>
    <n v="11"/>
    <x v="4"/>
    <n v="2588"/>
    <s v="FERTILIZ. TOCANTINS - SINOP"/>
    <n v="6564"/>
    <s v="MT"/>
    <s v="MEGAMICRO PLUS ADITIVO P/ SUSPENS?O DE MICRONUTRIENTES"/>
    <n v="32000"/>
    <n v="32000"/>
    <n v="100160"/>
    <n v="-7011.2000000000007"/>
    <n v="93148.800000000003"/>
    <n v="-31227.539622641511"/>
    <n v="-23352.800640000001"/>
    <n v="-12.812249462344306"/>
    <n v="38555.647487896145"/>
    <n v="0.4139145913623809"/>
    <n v="3.13"/>
    <n v="3.13"/>
    <n v="100200"/>
    <s v="ADITIVO MEGAMICRO"/>
    <s v="SINOP"/>
    <s v="Additives"/>
    <s v="Domestic"/>
    <s v="05/2026"/>
    <s v="2026"/>
  </r>
  <r>
    <n v="11"/>
    <x v="4"/>
    <n v="205"/>
    <s v="FERTIPAR - RONDONOPOLIS"/>
    <n v="6564"/>
    <s v="MT"/>
    <s v="MEGAMICRO PLUS ADITIVO P/ SUSPENS?O DE MICRONUTRIENTES"/>
    <n v="90000"/>
    <n v="90000"/>
    <n v="226800"/>
    <n v="-15876.000000000002"/>
    <n v="210924"/>
    <n v="-87827.455188679247"/>
    <n v="-35942.856299999999"/>
    <n v="-19.719640843248929"/>
    <n v="87133.968870477504"/>
    <n v="0.41310599491038241"/>
    <n v="2.52"/>
    <n v="2.52"/>
    <n v="100200"/>
    <s v="ADITIVO MEGAMICRO"/>
    <s v="RONDONOPOLIS"/>
    <s v="Additives"/>
    <s v="Domestic"/>
    <s v="05/2026"/>
    <s v="2026"/>
  </r>
  <r>
    <n v="11"/>
    <x v="4"/>
    <n v="10492"/>
    <s v="UNIFERTIL RIO GRANDE UN1"/>
    <n v="113"/>
    <s v="RS"/>
    <s v="MEGAMICRO ADITIVO P/ SUSPENS?O DE MICRONUTRIENTES"/>
    <n v="32000"/>
    <n v="32000"/>
    <n v="98880"/>
    <n v="-11865.6"/>
    <n v="87014.399999999994"/>
    <n v="-28845.82787878787"/>
    <n v="-26049.712"/>
    <n v="-14.291879321512678"/>
    <n v="32104.568241890614"/>
    <n v="0.36895695703114217"/>
    <n v="3.09"/>
    <n v="3.09"/>
    <n v="100200"/>
    <s v="ADITIVO MEGAMICRO"/>
    <s v="RIO GRANDE"/>
    <s v="Additives"/>
    <s v="Domestic"/>
    <s v="05/2026"/>
    <s v="2026"/>
  </r>
  <r>
    <n v="11"/>
    <x v="4"/>
    <n v="8414"/>
    <s v="AMAGGI - PORTO VELHO"/>
    <n v="113"/>
    <s v="RO"/>
    <s v="MEGAMICRO ADITIVO P/ SUSPENS?O DE MICRONUTRIENTES"/>
    <n v="30000"/>
    <n v="30000"/>
    <n v="94500"/>
    <n v="-6615.0000000000009"/>
    <n v="87885"/>
    <n v="-27042.963636363627"/>
    <n v="-24507.690479999997"/>
    <n v="-13.445866687092169"/>
    <n v="36320.900016949287"/>
    <n v="0.41327757884678029"/>
    <n v="3.15"/>
    <n v="3.15"/>
    <n v="100200"/>
    <s v="ADITIVO MEGAMICRO"/>
    <s v="PORTO VELHO"/>
    <s v="Additives"/>
    <s v="Domestic"/>
    <s v="05/2026"/>
    <s v="2026"/>
  </r>
  <r>
    <n v="11"/>
    <x v="4"/>
    <n v="10434"/>
    <s v="CIBRA - SINOP"/>
    <n v="6564"/>
    <s v="MT"/>
    <s v="MEGAMICRO PLUS ADITIVO P/ SUSPENS?O DE MICRONUTRIENTES"/>
    <n v="90000"/>
    <n v="90000"/>
    <n v="277200"/>
    <n v="-19404.000000000004"/>
    <n v="257796"/>
    <n v="-87827.455188679247"/>
    <n v="-65679.751799999998"/>
    <n v="-36.034451612843363"/>
    <n v="104252.75855970792"/>
    <n v="0.40440021784553648"/>
    <n v="3.08"/>
    <n v="3.08"/>
    <n v="100200"/>
    <s v="ADITIVO MEGAMICRO"/>
    <s v="SINOP"/>
    <s v="Additives"/>
    <s v="Domestic"/>
    <s v="05/2026"/>
    <s v="2026"/>
  </r>
  <r>
    <n v="11"/>
    <x v="4"/>
    <n v="5182"/>
    <s v="FERTIPAR SINOP"/>
    <n v="113"/>
    <s v="MT"/>
    <s v="MEGAMICRO ADITIVO P/ SUSPENS?O DE MICRONUTRIENTES"/>
    <n v="30000"/>
    <n v="30000"/>
    <n v="80700"/>
    <n v="-5649.0000000000009"/>
    <n v="75051"/>
    <n v="-27042.963636363627"/>
    <n v="-21893.250599999999"/>
    <n v="-12.011483870947787"/>
    <n v="26102.774279765428"/>
    <n v="0.34780048606634728"/>
    <n v="2.69"/>
    <n v="2.69"/>
    <n v="100200"/>
    <s v="ADITIVO MEGAMICRO"/>
    <s v="SINOP"/>
    <s v="Additives"/>
    <s v="Domestic"/>
    <s v="05/2026"/>
    <s v="2026"/>
  </r>
  <r>
    <n v="11"/>
    <x v="4"/>
    <n v="214"/>
    <s v="UNIFERTIL - CANOAS UN1"/>
    <n v="113"/>
    <s v="RS"/>
    <s v="MEGAMICRO ADITIVO P/ SUSPENS?O DE MICRONUTRIENTES"/>
    <n v="30000"/>
    <n v="30000"/>
    <n v="92700"/>
    <n v="-11124"/>
    <n v="81576"/>
    <n v="-27042.963636363627"/>
    <n v="-24191.754599999997"/>
    <n v="-13.272532046375376"/>
    <n v="30328.009231590004"/>
    <n v="0.37177612571822599"/>
    <n v="3.09"/>
    <n v="3.09"/>
    <n v="100200"/>
    <s v="ADITIVO MEGAMICRO"/>
    <s v="CANOAS"/>
    <s v="Additives"/>
    <s v="Domestic"/>
    <s v="05/2026"/>
    <s v="2026"/>
  </r>
  <r>
    <n v="11"/>
    <x v="4"/>
    <n v="252"/>
    <s v="FERTIPAR - PARANAGUA"/>
    <n v="10343"/>
    <s v="PR"/>
    <s v="MEGAMICRO BLACK ADITIVO P/ SUSPENS?O DE MICRONUTRIENTES"/>
    <n v="30000"/>
    <n v="30000"/>
    <n v="112800"/>
    <n v="-13536"/>
    <n v="99264"/>
    <n v="-46082.239999999998"/>
    <n v="-14049.6057"/>
    <n v="-7.7081569723011398"/>
    <n v="39124.446143027701"/>
    <n v="0.39414537136351246"/>
    <n v="3.76"/>
    <n v="3.76"/>
    <n v="100200"/>
    <s v="ADITIVO MEGAMICRO"/>
    <s v="PARANAGUA"/>
    <s v="Additives"/>
    <s v="Domestic"/>
    <s v="05/2026"/>
    <s v="2026"/>
  </r>
  <r>
    <n v="13"/>
    <x v="4"/>
    <n v="2622"/>
    <s v="ADUFERTIL JUNDIAI"/>
    <n v="8215"/>
    <s v="SP"/>
    <s v="UREMAX NBPT VERDE ADITIVO INIBIDOR DE UREASE P/ FERTILIZANTES"/>
    <n v="12000"/>
    <n v="12000"/>
    <n v="416036.72531079315"/>
    <n v="-49867.199999999997"/>
    <n v="366169.52531079313"/>
    <n v="-113882.79000000001"/>
    <n v="-5481.0480000000016"/>
    <n v="-3.0071148798657905"/>
    <n v="246802.68019591324"/>
    <n v="0.67401207128429086"/>
    <n v="34.66972710923276"/>
    <n v="34.66972710923276"/>
    <n v="100300"/>
    <s v="UREMAX"/>
    <s v="JUNDIAI"/>
    <s v="Additives"/>
    <s v="Domestic"/>
    <s v="05/2026"/>
    <s v="2026"/>
  </r>
  <r>
    <n v="13"/>
    <x v="4"/>
    <n v="7662"/>
    <s v="BENTONIT UNIAO - BOA VISTA"/>
    <n v="7"/>
    <s v="PB"/>
    <s v="UREMAX NBPT ADITIVO INIBIDOR DE UREASE P/ FERTILIZANTES"/>
    <n v="5000"/>
    <n v="5000"/>
    <n v="195273.75895627635"/>
    <n v="-30432.676250000004"/>
    <n v="164841.08270627633"/>
    <n v="-46383.56"/>
    <n v="0"/>
    <n v="0"/>
    <n v="118457.52270627633"/>
    <n v="0.71861650482696116"/>
    <n v="39.054751791255271"/>
    <n v="39.054751791255271"/>
    <n v="100300"/>
    <s v="UREMAX"/>
    <s v="BOA VISTA "/>
    <s v="Additives"/>
    <s v="Domestic"/>
    <s v="05/2026"/>
    <s v="2026"/>
  </r>
  <r>
    <n v="13"/>
    <x v="4"/>
    <n v="3426"/>
    <s v="C I ACEPALMA SA - COLOMBIA"/>
    <n v="8204"/>
    <s v="EX"/>
    <s v="NITROPROTEC BLUE - ADITIVO INIBIDOR DE UREASE P/ FERTILIZANTE NITROGENADO"/>
    <n v="11000"/>
    <n v="11000"/>
    <n v="519465.24126963917"/>
    <n v="0"/>
    <n v="519465.24126963917"/>
    <n v="-217792.39999999997"/>
    <n v="0"/>
    <n v="-1652.8318257557726"/>
    <n v="300020.00944388343"/>
    <n v="0.57755550440794912"/>
    <n v="47.224112842694467"/>
    <n v="47.224112842694467"/>
    <n v="100300"/>
    <s v="UREMAX"/>
    <s v="SANTA MARTA"/>
    <s v="Additives"/>
    <s v="International"/>
    <s v="05/2026"/>
    <s v="2026"/>
  </r>
  <r>
    <n v="13"/>
    <x v="4"/>
    <n v="5657"/>
    <s v="FERTIPLANTA - VARGEM GRANDE DO SUL"/>
    <n v="8214"/>
    <s v="SP"/>
    <s v="UREMAX NBPT AZUL ADITIVO INIBIDOR DE UREASE P/ FERTILIZANTES"/>
    <n v="1000"/>
    <n v="1000"/>
    <n v="36792.159147106671"/>
    <n v="-4410"/>
    <n v="32382.159147106671"/>
    <n v="-10784.699999999999"/>
    <n v="-5039.0280000000012"/>
    <n v="-2.7646056153604848"/>
    <n v="16555.666541491311"/>
    <n v="0.51125888382802764"/>
    <n v="36.792159147106673"/>
    <n v="36.792159147106673"/>
    <n v="100300"/>
    <s v="UREMAX"/>
    <s v="VARGEM GRANDE DO SUL"/>
    <s v="Additives"/>
    <s v="Domestic"/>
    <s v="05/2026"/>
    <s v="2026"/>
  </r>
  <r>
    <n v="13"/>
    <x v="4"/>
    <n v="1936"/>
    <s v="CIBRA - PARANAGUA II"/>
    <n v="8218"/>
    <s v="PR"/>
    <s v="UREMAX NBPT LARANJA ADITIVO INIBIDOR DE UREASE P/ FERTILIZANTES"/>
    <n v="8000"/>
    <n v="8000"/>
    <n v="240115.14149230107"/>
    <n v="-28780.799999999999"/>
    <n v="211334.34149230109"/>
    <n v="-96250.639999999985"/>
    <n v="0"/>
    <n v="0"/>
    <n v="115083.7014923011"/>
    <n v="0.54455750390427482"/>
    <n v="30.014392686537633"/>
    <n v="30.014392686537633"/>
    <n v="100300"/>
    <s v="UREMAX"/>
    <s v="PARANAGUA"/>
    <s v="Additives"/>
    <s v="Domestic"/>
    <s v="05/2026"/>
    <s v="2026"/>
  </r>
  <r>
    <n v="13"/>
    <x v="4"/>
    <n v="2975"/>
    <s v="COONAGRO COOPERATIVA - PARANAGUA"/>
    <n v="8218"/>
    <s v="PR"/>
    <s v="UREMAX NBPT LARANJA ADITIVO INIBIDOR DE UREASE P/ FERTILIZANTES"/>
    <n v="4000"/>
    <n v="4000"/>
    <n v="120057.57074615054"/>
    <n v="-14390.4"/>
    <n v="105667.17074615054"/>
    <n v="-48125.319999999992"/>
    <n v="-9901.2479999999723"/>
    <n v="-5.4322075249188311"/>
    <n v="47635.170538625658"/>
    <n v="0.45080387978837794"/>
    <n v="30.014392686537633"/>
    <n v="30.014392686537633"/>
    <n v="100300"/>
    <s v="UREMAX"/>
    <s v="PARANAGUA"/>
    <s v="Additives"/>
    <s v="Domestic"/>
    <s v="05/2026"/>
    <s v="2026"/>
  </r>
  <r>
    <n v="13"/>
    <x v="4"/>
    <n v="215"/>
    <s v="UNIFERTIL - CANOAS UN2"/>
    <n v="8216"/>
    <s v="RS"/>
    <s v="UREMAX NBPT ROXO ADITIVO INIBIDOR DE UREASE P/ FERTILIZANTES"/>
    <n v="12000"/>
    <n v="12000"/>
    <n v="373267.71745325852"/>
    <n v="-44740.799999999996"/>
    <n v="328526.91745325853"/>
    <n v="-123909.73000000001"/>
    <n v="-14321.447999999978"/>
    <n v="-7.8573001699718912"/>
    <n v="190287.88215308858"/>
    <n v="0.57921549816435347"/>
    <n v="31.105643121104876"/>
    <n v="31.105643121104876"/>
    <n v="100300"/>
    <s v="UREMAX"/>
    <s v="CANOAS"/>
    <s v="Additives"/>
    <s v="Domestic"/>
    <s v="05/2026"/>
    <s v="2026"/>
  </r>
  <r>
    <n v="13"/>
    <x v="4"/>
    <n v="10492"/>
    <s v="UNIFERTIL RIO GRANDE UN1"/>
    <n v="8216"/>
    <s v="RS"/>
    <s v="UREMAX NBPT ROXO ADITIVO INIBIDOR DE UREASE P/ FERTILIZANTES"/>
    <n v="24000"/>
    <n v="24000"/>
    <n v="746535.43490651704"/>
    <n v="-89481.599999999991"/>
    <n v="657053.83490651706"/>
    <n v="-247819.46000000002"/>
    <n v="-25187.772999999997"/>
    <n v="-13.818986255727333"/>
    <n v="384032.78292026132"/>
    <n v="0.58447689141773285"/>
    <n v="31.105643121104876"/>
    <n v="31.105643121104876"/>
    <n v="100300"/>
    <s v="UREMAX"/>
    <s v="RIO GRANDE"/>
    <s v="Additives"/>
    <s v="Domestic"/>
    <s v="05/2026"/>
    <s v="2026"/>
  </r>
  <r>
    <n v="13"/>
    <x v="4"/>
    <n v="11637"/>
    <s v="AGROPECUARIA MARATA LTDA - MARUIM"/>
    <n v="8224"/>
    <s v="SE"/>
    <s v="UREMAX COAT VERDE ADITIVO INIBIDOR DE UREASE P/ FERTILIZANTES"/>
    <n v="8000"/>
    <n v="8000"/>
    <n v="185012.00028259354"/>
    <n v="-12936.000000000002"/>
    <n v="172076.00028259354"/>
    <n v="-57350.68"/>
    <n v="0"/>
    <n v="0"/>
    <n v="114725.32028259354"/>
    <n v="0.66671308081420266"/>
    <n v="23.126500035324192"/>
    <n v="23.126500035324192"/>
    <n v="100300"/>
    <s v="UREMAX"/>
    <s v="MARUIM"/>
    <s v="Additives"/>
    <s v="Domestic"/>
    <s v="05/2026"/>
    <s v="2026"/>
  </r>
  <r>
    <n v="13"/>
    <x v="4"/>
    <n v="97"/>
    <s v="FECOAGRO - SAO FRANCISCO DO SUL"/>
    <n v="8223"/>
    <s v="SC"/>
    <s v="UREMAX PLUS AZUL ADITIVO P/ INIBIR A NITRIFICACAO E VOLATIZACAO P/ FERTILIZANTES"/>
    <n v="12000"/>
    <n v="12000"/>
    <n v="456523.11758042563"/>
    <n v="-54720"/>
    <n v="401803.11758042563"/>
    <n v="-143904.28"/>
    <n v="-9901.2479999999723"/>
    <n v="-5.4322075249188311"/>
    <n v="247992.15737290075"/>
    <n v="0.61719819115953523"/>
    <n v="38.043593131702139"/>
    <n v="38.043593131702139"/>
    <n v="100300"/>
    <s v="UREMAX"/>
    <s v="SAO FRANCISCO DO SUL"/>
    <s v="Additives"/>
    <s v="Domestic"/>
    <s v="05/2026"/>
    <s v="2026"/>
  </r>
  <r>
    <n v="13"/>
    <x v="4"/>
    <n v="16073"/>
    <s v="IMEX SUL INSUMOS - RIO GRANDE"/>
    <n v="8218"/>
    <s v="RS"/>
    <s v="UREMAX NBPT LARANJA ADITIVO INIBIDOR DE UREASE P/ FERTILIZANTES"/>
    <n v="6000"/>
    <n v="6000"/>
    <n v="150172.07815145579"/>
    <n v="-18000"/>
    <n v="132172.07815145579"/>
    <n v="-72187.979999999981"/>
    <n v="-14498.255999999972"/>
    <n v="-7.9543038757740101"/>
    <n v="45477.887847580059"/>
    <n v="0.34408090183364609"/>
    <n v="25.0286796919093"/>
    <n v="25.0286796919093"/>
    <n v="100300"/>
    <s v="UREMAX"/>
    <s v="RIO GRANDE"/>
    <s v="Additives"/>
    <s v="Domestic"/>
    <s v="05/2026"/>
    <s v="2026"/>
  </r>
  <r>
    <n v="11"/>
    <x v="4"/>
    <n v="5300"/>
    <s v="FOSNOR - LUIS EDUARDO MAGALHAES"/>
    <n v="4246"/>
    <s v="BA"/>
    <s v="MAX OIL GRGL ADITIVO ANTI-PO P/ FERTILIZANTES"/>
    <n v="180000"/>
    <n v="180000"/>
    <n v="1053000"/>
    <n v="-73710"/>
    <n v="979290"/>
    <n v="-466281.9"/>
    <n v="-92902.998988799998"/>
    <n v="-50.970177718454011"/>
    <n v="420054.13083348155"/>
    <n v="0.42893742490322739"/>
    <n v="5.85"/>
    <n v="5.85"/>
    <n v="100700"/>
    <s v="MAX OIL"/>
    <s v="LUIS EDUARDO MAGALHAES"/>
    <s v="Additives"/>
    <s v="Domestic"/>
    <s v="05/2026"/>
    <s v="2026"/>
  </r>
  <r>
    <n v="11"/>
    <x v="4"/>
    <n v="505"/>
    <s v="FERTINE - RECIFE"/>
    <n v="14142"/>
    <s v="PE"/>
    <s v="MAX OIL MT IBC ADITIVO ANTI-PO P/ FERTILIZANTES"/>
    <n v="12000"/>
    <n v="12000"/>
    <n v="84600"/>
    <n v="-5922.0000000000009"/>
    <n v="78678"/>
    <n v="-35782.33994910941"/>
    <n v="-18671.089731839998"/>
    <n v="-10.243681820689295"/>
    <n v="24214.326637229904"/>
    <n v="0.30776489790322459"/>
    <n v="7.05"/>
    <n v="7.05"/>
    <n v="100700"/>
    <s v="MAX OIL"/>
    <s v="RECIFE"/>
    <s v="Additives"/>
    <s v="Domestic"/>
    <s v="05/2026"/>
    <s v="2026"/>
  </r>
  <r>
    <n v="11"/>
    <x v="4"/>
    <n v="1788"/>
    <s v="MOSAIC - UBERABA (CIU2)"/>
    <n v="3359"/>
    <s v="MG"/>
    <s v="MAX OIL GRV ADITIVO ANTI-PO P/ FERTILIZANTES"/>
    <n v="60000"/>
    <n v="60000"/>
    <n v="232800"/>
    <n v="0"/>
    <n v="232800"/>
    <n v="-138038.31325301205"/>
    <n v="-4884.3209999999999"/>
    <n v="-2.6797273727836273"/>
    <n v="89874.686019615168"/>
    <n v="0.38605964785058061"/>
    <n v="3.88"/>
    <n v="3.88"/>
    <n v="100700"/>
    <s v="MAX OIL"/>
    <s v="UBERABA"/>
    <s v="Additives"/>
    <s v="Domestic"/>
    <s v="05/2026"/>
    <s v="2026"/>
  </r>
  <r>
    <n v="11"/>
    <x v="4"/>
    <n v="16465"/>
    <s v="GRUPO NOBLEZA SRL"/>
    <n v="14142"/>
    <s v="EX"/>
    <s v="MAX OIL MT IBC ADITIVO ANTI-PO P/ FERTILIZANTES"/>
    <n v="9500"/>
    <n v="9500"/>
    <n v="60420"/>
    <n v="0"/>
    <n v="60420"/>
    <n v="-28327.685793044951"/>
    <n v="0"/>
    <n v="-1427.4456676981672"/>
    <n v="30664.86853925688"/>
    <n v="0.50752844321841906"/>
    <n v="6.36"/>
    <n v="6.36"/>
    <n v="100700"/>
    <s v="MAX OIL"/>
    <s v="ENCARNACION"/>
    <s v="Additives"/>
    <s v="International"/>
    <s v="05/2026"/>
    <s v="2026"/>
  </r>
  <r>
    <n v="11"/>
    <x v="4"/>
    <n v="11724"/>
    <s v="HINOVE - REGISTRO/SP"/>
    <n v="14142"/>
    <s v="SP"/>
    <s v="MAX OIL MT IBC ADITIVO ANTI-PO P/ FERTILIZANTES"/>
    <n v="68400"/>
    <n v="68400"/>
    <n v="413820"/>
    <n v="-49658.400000000001"/>
    <n v="364161.6"/>
    <n v="-203959.33770992365"/>
    <n v="-26878.526752895996"/>
    <n v="-14.746599144452714"/>
    <n v="133308.98893803588"/>
    <n v="0.36607096667533284"/>
    <n v="6.05"/>
    <n v="6.05"/>
    <n v="100700"/>
    <s v="MAX OIL"/>
    <s v="REGISTRO"/>
    <s v="Additives"/>
    <s v="Domestic"/>
    <s v="05/2026"/>
    <s v="2026"/>
  </r>
  <r>
    <n v="11"/>
    <x v="4"/>
    <n v="1789"/>
    <s v="MOSAIC - ARAXA (CMA)"/>
    <n v="3359"/>
    <s v="MG"/>
    <s v="MAX OIL GRV ADITIVO ANTI-PO P/ FERTILIZANTES"/>
    <n v="270000"/>
    <n v="270000"/>
    <n v="1047600"/>
    <n v="0"/>
    <n v="1047600"/>
    <n v="-621172.40963855421"/>
    <n v="-28504.329235199999"/>
    <n v="-15.638577254525661"/>
    <n v="397907.62254899123"/>
    <n v="0.37982781839346241"/>
    <n v="3.88"/>
    <n v="3.88"/>
    <n v="100700"/>
    <s v="MAX OIL"/>
    <s v="ARAXA"/>
    <s v="Additives"/>
    <s v="Domestic"/>
    <s v="05/2026"/>
    <s v="2026"/>
  </r>
  <r>
    <n v="11"/>
    <x v="4"/>
    <n v="1792"/>
    <s v="MOSAIC - CATAL?O (CMC3)"/>
    <n v="3359"/>
    <s v="GO"/>
    <s v="MAX OIL GRV ADITIVO ANTI-PO P/ FERTILIZANTES"/>
    <n v="150000"/>
    <n v="150000"/>
    <n v="585000"/>
    <n v="-40950.000000000007"/>
    <n v="544050"/>
    <n v="-345095.78313253011"/>
    <n v="-12210.8025"/>
    <n v="-6.6993184319590684"/>
    <n v="186736.71504903794"/>
    <n v="0.34323447302460791"/>
    <n v="3.9"/>
    <n v="3.9"/>
    <n v="100700"/>
    <s v="MAX OIL"/>
    <s v="CATALAO"/>
    <s v="Additives"/>
    <s v="Domestic"/>
    <s v="05/2026"/>
    <s v="2026"/>
  </r>
  <r>
    <n v="11"/>
    <x v="4"/>
    <n v="13330"/>
    <s v="ORGANITEC - PARAGUAY"/>
    <n v="14142"/>
    <s v="EX"/>
    <s v="MAX OIL MT IBC ADITIVO ANTI-PO P/ FERTILIZANTES"/>
    <n v="28000"/>
    <n v="28000"/>
    <n v="178080"/>
    <n v="0"/>
    <n v="178080"/>
    <n v="-83492.126547921973"/>
    <n v="-25247.786666666678"/>
    <n v="-4221.0601958159004"/>
    <n v="65119.026589595444"/>
    <n v="0.36567288066933651"/>
    <n v="6.36"/>
    <n v="6.36"/>
    <n v="100700"/>
    <s v="MAX OIL"/>
    <s v="VILLETA"/>
    <s v="Additives"/>
    <s v="International"/>
    <s v="05/2026"/>
    <s v="2026"/>
  </r>
  <r>
    <n v="11"/>
    <x v="4"/>
    <n v="456"/>
    <s v="FERTIPAR - CANDEIAS"/>
    <n v="3353"/>
    <s v="BA"/>
    <s v="MAX OIL MTF ADITIVO ANTI-PO P/ FERTILIZANTES"/>
    <n v="30000"/>
    <n v="30000"/>
    <n v="185400"/>
    <n v="-12978.000000000002"/>
    <n v="172422"/>
    <n v="-85490.34"/>
    <n v="-21548.474999999999"/>
    <n v="-11.82232664463365"/>
    <n v="65371.362673355368"/>
    <n v="0.37913585663868515"/>
    <n v="6.18"/>
    <n v="6.18"/>
    <n v="100700"/>
    <s v="MAX OIL"/>
    <s v="CANDEIAS"/>
    <s v="Additives"/>
    <s v="Domestic"/>
    <s v="05/2026"/>
    <s v="2026"/>
  </r>
  <r>
    <n v="11"/>
    <x v="4"/>
    <n v="1787"/>
    <s v="MOSAIC - UBERABA (CIU1)"/>
    <n v="3359"/>
    <s v="MG"/>
    <s v="MAX OIL GRV ADITIVO ANTI-PO P/ FERTILIZANTES"/>
    <n v="260000"/>
    <n v="260000"/>
    <n v="1008800"/>
    <n v="0"/>
    <n v="1008800"/>
    <n v="-598166.02409638558"/>
    <n v="-21165.391"/>
    <n v="-11.612151948729052"/>
    <n v="389456.97275166569"/>
    <n v="0.38605964785058056"/>
    <n v="3.88"/>
    <n v="3.88"/>
    <n v="100700"/>
    <s v="MAX OIL"/>
    <s v="UBERABA"/>
    <s v="Additives"/>
    <s v="Domestic"/>
    <s v="05/2026"/>
    <s v="2026"/>
  </r>
  <r>
    <n v="11"/>
    <x v="4"/>
    <n v="6370"/>
    <s v="YTL S.A. - PARAGUAI"/>
    <n v="7010"/>
    <s v="EX"/>
    <s v="MAX OIL GRI ADITIVO ANTI-PO P/ FERTILIZANTES"/>
    <n v="56000"/>
    <n v="56000"/>
    <n v="379680"/>
    <n v="0"/>
    <n v="379680"/>
    <n v="-136269"/>
    <n v="-56880.552960000001"/>
    <n v="-8445.6234383562569"/>
    <n v="178084.82360164373"/>
    <n v="0.46903925305953365"/>
    <n v="6.78"/>
    <n v="6.78"/>
    <n v="100700"/>
    <s v="MAX OIL"/>
    <s v="ITAPUA"/>
    <s v="Additives"/>
    <s v="International"/>
    <s v="05/2026"/>
    <s v="2026"/>
  </r>
  <r>
    <n v="11"/>
    <x v="4"/>
    <n v="2949"/>
    <s v="MOSAIC - CANDEIAS"/>
    <n v="3362"/>
    <s v="BA"/>
    <s v="MAX OIL M-NPK ADITIVO ANTI-PO P/ FERTILIZANTES"/>
    <n v="30000"/>
    <n v="30000"/>
    <n v="160200"/>
    <n v="-11214.000000000002"/>
    <n v="148986"/>
    <n v="-81203.850000000006"/>
    <n v="-21548.474999999999"/>
    <n v="-11.82232664463365"/>
    <n v="46221.852673355359"/>
    <n v="0.31024292667334757"/>
    <n v="5.34"/>
    <n v="5.34"/>
    <n v="100700"/>
    <s v="MAX OIL"/>
    <s v="CANDEIAS"/>
    <s v="Additives"/>
    <s v="Domestic"/>
    <s v="05/2026"/>
    <s v="2026"/>
  </r>
  <r>
    <n v="11"/>
    <x v="4"/>
    <n v="12629"/>
    <s v="EUROCHEM SERRA DO SALITRE"/>
    <n v="3359"/>
    <s v="MG"/>
    <s v="MAX OIL GRV ADITIVO ANTI-PO P/ FERTILIZANTES"/>
    <n v="90000"/>
    <n v="90000"/>
    <n v="490500"/>
    <n v="-88290"/>
    <n v="402210"/>
    <n v="-207057.46987951809"/>
    <n v="-12668.590771199999"/>
    <n v="-6.950478779789182"/>
    <n v="182476.98887050213"/>
    <n v="0.45368585781184489"/>
    <n v="5.45"/>
    <n v="5.45"/>
    <n v="100700"/>
    <s v="MAX OIL"/>
    <s v="SERRA DO SALITRE"/>
    <s v="Additives"/>
    <s v="Domestic"/>
    <s v="05/2026"/>
    <s v="2026"/>
  </r>
  <r>
    <n v="13"/>
    <x v="4"/>
    <n v="2"/>
    <s v="CARGILL - UBERLANDIA"/>
    <n v="3700"/>
    <s v="MG"/>
    <s v="CICOAT 41175"/>
    <n v="84000"/>
    <n v="84000"/>
    <n v="92400"/>
    <n v="-23640.539999999997"/>
    <n v="68759.460000000006"/>
    <n v="-15239.310000000001"/>
    <n v="0"/>
    <n v="0"/>
    <n v="53520.150000000009"/>
    <n v="0.77836780568084751"/>
    <n v="1.1000000000000001"/>
    <n v="1.1000000000000001"/>
    <n v="100900"/>
    <s v="PA TERCEIROS"/>
    <s v="UBERLANDIA"/>
    <s v="Fertilizers"/>
    <s v="Domestic"/>
    <s v="05/2026"/>
    <s v="2026"/>
  </r>
  <r>
    <n v="11"/>
    <x v="4"/>
    <n v="5882"/>
    <s v="ABOPAR - PARAGUAY"/>
    <n v="14144"/>
    <s v="EX"/>
    <s v="RESIDEX YELLOW IBC ADITIVO ANTI PO P/ FERTILIZANTES"/>
    <n v="24000"/>
    <n v="24000"/>
    <n v="148800"/>
    <n v="0"/>
    <n v="148800"/>
    <n v="-35296.450000000004"/>
    <n v="-15538.2"/>
    <n v="-3614.7033862895337"/>
    <n v="94350.646613710458"/>
    <n v="0.63407692616740896"/>
    <n v="6.2"/>
    <n v="6.2"/>
    <n v="101300"/>
    <s v="RESIDEX"/>
    <s v="ASSUNCION"/>
    <s v="Additives"/>
    <s v="International"/>
    <s v="05/2026"/>
    <s v="2026"/>
  </r>
  <r>
    <n v="11"/>
    <x v="4"/>
    <n v="15905"/>
    <s v="CAMPEVO - ITAPETININGA"/>
    <n v="8368"/>
    <s v="SP"/>
    <s v="SULFORCE - BB - 18 L SOLUC?O ALTAMENTE CONCENTRADA EM ENXOFRE (60%)"/>
    <n v="170"/>
    <n v="2795.1461665688953"/>
    <n v="32321.528120593568"/>
    <n v="-2908.8190650641241"/>
    <n v="29412.709055529445"/>
    <n v="-9877.0573999735407"/>
    <n v="-755.63618576813087"/>
    <n v="-8321.40897778613"/>
    <n v="10458.606492001647"/>
    <n v="0.35558120376659014"/>
    <n v="190.12663600349157"/>
    <n v="11.56344827586207"/>
    <n v="101602"/>
    <s v="FERTILIZANTE LIQUIDOS"/>
    <s v="ITAPETININGA"/>
    <s v="Fertilizers"/>
    <s v="Domestic"/>
    <s v="05/2026"/>
    <s v="2026"/>
  </r>
  <r>
    <n v="11"/>
    <x v="4"/>
    <n v="15905"/>
    <s v="CAMPEVO - ITAPETININGA"/>
    <n v="13004"/>
    <s v="SP"/>
    <s v="BIOSINERGIC K - BB - 20L PRODUTO A BASE DE EXTRATO DE ALGAS E ACIDOS HUMICOS"/>
    <n v="23"/>
    <n v="528.97622719176059"/>
    <n v="13991.421209222068"/>
    <n v="-1324.3932158137472"/>
    <n v="12667.027993408321"/>
    <n v="-3740.291446198818"/>
    <n v="-143.00274649602875"/>
    <n v="-3354.6113489779145"/>
    <n v="5429.1224517355586"/>
    <n v="0.42860270416713137"/>
    <n v="608.32266127052469"/>
    <n v="26.45"/>
    <n v="101602"/>
    <s v="FERTILIZANTE LIQUIDOS"/>
    <s v="ITAPETININGA"/>
    <s v="Fertilizers"/>
    <s v="Domestic"/>
    <s v="05/2026"/>
    <s v="2026"/>
  </r>
  <r>
    <n v="11"/>
    <x v="4"/>
    <n v="15904"/>
    <s v="CAMPEVO - JALES"/>
    <n v="8368"/>
    <s v="SP"/>
    <s v="SULFORCE - BB - 18 L SOLUC?O ALTAMENTE CONCENTRADA EM ENXOFRE (60%)"/>
    <n v="500"/>
    <n v="8221.0181369673392"/>
    <n v="95063.318001745778"/>
    <n v="-8555.3501913650707"/>
    <n v="86507.967810380709"/>
    <n v="-29050.16882345159"/>
    <n v="-2222.4593699062671"/>
    <n v="-24464.940619420591"/>
    <n v="30770.39899760226"/>
    <n v="0.35569439181658707"/>
    <n v="190.12663600349157"/>
    <n v="11.563448275862068"/>
    <n v="101602"/>
    <s v="FERTILIZANTE LIQUIDOS"/>
    <s v="JALES"/>
    <s v="Fertilizers"/>
    <s v="Domestic"/>
    <s v="05/2026"/>
    <s v="2026"/>
  </r>
  <r>
    <n v="11"/>
    <x v="4"/>
    <n v="15904"/>
    <s v="CAMPEVO - JALES"/>
    <n v="13004"/>
    <s v="SP"/>
    <s v="BIOSINERGIC K - BB - 20L PRODUTO A BASE DE EXTRATO DE ALGAS E ACIDOS HUMICOS"/>
    <n v="71"/>
    <n v="1632.9266143745651"/>
    <n v="43190.908950207246"/>
    <n v="-4088.3442749033075"/>
    <n v="39102.56467530394"/>
    <n v="-11546.117073048525"/>
    <n v="-441.44326092252351"/>
    <n v="-10345.142587702889"/>
    <n v="16769.861753630004"/>
    <n v="0.4288685893849149"/>
    <n v="608.32266127052458"/>
    <n v="26.45"/>
    <n v="101602"/>
    <s v="FERTILIZANTE LIQUIDOS"/>
    <s v="JALES"/>
    <s v="Fertilizers"/>
    <s v="Domestic"/>
    <s v="05/2026"/>
    <s v="2026"/>
  </r>
  <r>
    <n v="11"/>
    <x v="4"/>
    <n v="15906"/>
    <s v="CAMPEVO - JAU"/>
    <n v="13004"/>
    <s v="SP"/>
    <s v="BIOSINERGIC K - BB - 20L PRODUTO A BASE DE EXTRATO DE ALGAS E ACIDOS HUMICOS"/>
    <n v="63"/>
    <n v="1448.9348831774312"/>
    <n v="38324.327660043054"/>
    <n v="-3627.6857650550473"/>
    <n v="34696.64189498801"/>
    <n v="-10245.14613524024"/>
    <n v="-391.70317518477435"/>
    <n v="-9180.3955817962378"/>
    <n v="14879.397002766756"/>
    <n v="0.42884256775627938"/>
    <n v="608.32266127052469"/>
    <n v="26.45"/>
    <n v="101602"/>
    <s v="FERTILIZANTE LIQUIDOS"/>
    <s v="JAU"/>
    <s v="Fertilizers"/>
    <s v="Domestic"/>
    <s v="05/2026"/>
    <s v="2026"/>
  </r>
  <r>
    <n v="11"/>
    <x v="4"/>
    <n v="15906"/>
    <s v="CAMPEVO - JAU"/>
    <n v="8368"/>
    <s v="SP"/>
    <s v="SULFORCE - BB - 18 L SOLUC?O ALTAMENTE CONCENTRADA EM ENXOFRE (60%)"/>
    <n v="500"/>
    <n v="8221.0181369673392"/>
    <n v="95063.318001745778"/>
    <n v="-8555.3501913650707"/>
    <n v="86507.967810380709"/>
    <n v="-29050.16882345159"/>
    <n v="-2222.4593699062671"/>
    <n v="-24465.571143508307"/>
    <n v="30769.768473514545"/>
    <n v="0.35568710319215546"/>
    <n v="190.12663600349157"/>
    <n v="11.563448275862068"/>
    <n v="101602"/>
    <s v="FERTILIZANTE LIQUIDOS"/>
    <s v="JAU"/>
    <s v="Fertilizers"/>
    <s v="Domestic"/>
    <s v="05/2026"/>
    <s v="2026"/>
  </r>
  <r>
    <n v="11"/>
    <x v="4"/>
    <n v="15908"/>
    <s v="CAMPEVO - S?O JOSE DO RIO PRETO"/>
    <n v="8368"/>
    <s v="SP"/>
    <s v="SULFORCE - BB - 18 L SOLUC?O ALTAMENTE CONCENTRADA EM ENXOFRE (60%)"/>
    <n v="500"/>
    <n v="8221.0181369673392"/>
    <n v="95063.318001745778"/>
    <n v="-8555.3501913650707"/>
    <n v="86507.967810380709"/>
    <n v="-29050.16882345159"/>
    <n v="-2222.4593699062671"/>
    <n v="-24464.940619420591"/>
    <n v="30770.39899760226"/>
    <n v="0.35569439181658707"/>
    <n v="190.12663600349157"/>
    <n v="11.563448275862068"/>
    <n v="101602"/>
    <s v="FERTILIZANTE LIQUIDOS"/>
    <s v="SAO JOSE DO RIO PRETO"/>
    <s v="Fertilizers"/>
    <s v="Domestic"/>
    <s v="05/2026"/>
    <s v="2026"/>
  </r>
  <r>
    <n v="11"/>
    <x v="4"/>
    <n v="15908"/>
    <s v="CAMPEVO - S?O JOSE DO RIO PRETO"/>
    <n v="13004"/>
    <s v="SP"/>
    <s v="BIOSINERGIC K - BB - 20L PRODUTO A BASE DE EXTRATO DE ALGAS E ACIDOS HUMICOS"/>
    <n v="63"/>
    <n v="1448.9348831774312"/>
    <n v="38324.327660043054"/>
    <n v="-3627.6857650550473"/>
    <n v="34696.64189498801"/>
    <n v="-10245.14613524024"/>
    <n v="-391.70317518477435"/>
    <n v="-9179.765057708526"/>
    <n v="14880.027526854468"/>
    <n v="0.42886074023791665"/>
    <n v="608.32266127052469"/>
    <n v="26.45"/>
    <n v="101602"/>
    <s v="FERTILIZANTE LIQUIDOS"/>
    <s v="SAO JOSE DO RIO PRETO"/>
    <s v="Fertilizers"/>
    <s v="Domestic"/>
    <s v="05/2026"/>
    <s v="2026"/>
  </r>
  <r>
    <n v="11"/>
    <x v="4"/>
    <n v="9355"/>
    <s v="NITROFERT SAS - COLOMBIA"/>
    <n v="14147"/>
    <s v="EX"/>
    <s v="R-COAT IBC ADITIVO ANTIEMBLOCANTE P/ FERTILIZANTES"/>
    <n v="43200"/>
    <n v="43200"/>
    <n v="713229.30214034801"/>
    <n v="0"/>
    <n v="713229.30214034801"/>
    <n v="-212312.48199999999"/>
    <n v="-49587.158016000001"/>
    <n v="-6518.3267844362308"/>
    <n v="444811.33533991181"/>
    <n v="0.62365824567928729"/>
    <n v="16.509937549545093"/>
    <n v="16.509937549545093"/>
    <n v="101900"/>
    <s v="HIGROSCOPICIDADE"/>
    <s v="BARRANQUILLA"/>
    <s v="Additives"/>
    <s v="International"/>
    <s v="05/2026"/>
    <s v="2026"/>
  </r>
  <r>
    <n v="11"/>
    <x v="4"/>
    <n v="903"/>
    <s v="YARA - PONTA GROSSA"/>
    <n v="4627"/>
    <s v="PR"/>
    <s v="COAT BIO GR ADITIVO ANTI-PO P/ FERTILIZANTES"/>
    <n v="60000"/>
    <n v="60000"/>
    <n v="514706.07522600587"/>
    <n v="-61560"/>
    <n v="453146.07522600587"/>
    <n v="-289404.5509090909"/>
    <n v="-23627.927231999998"/>
    <n v="-12.96319454960681"/>
    <n v="140100.63389036537"/>
    <n v="0.30917322591945745"/>
    <n v="8.578434587100098"/>
    <n v="8.578434587100098"/>
    <n v="102200"/>
    <s v="COAT BIO"/>
    <s v="PONTA GROSSA"/>
    <s v="Additives"/>
    <s v="Domestic"/>
    <s v="05/2026"/>
    <s v="2026"/>
  </r>
  <r>
    <n v="11"/>
    <x v="4"/>
    <n v="1159"/>
    <s v="YARA - RIO GRANDE"/>
    <n v="4627"/>
    <s v="RS"/>
    <s v="COAT BIO GR ADITIVO ANTI-PO P/ FERTILIZANTES"/>
    <n v="270000"/>
    <n v="270000"/>
    <n v="2451626.3056817646"/>
    <n v="-293220"/>
    <n v="2158406.3056817646"/>
    <n v="-1302320.4790909092"/>
    <n v="-219794.44500000001"/>
    <n v="-120.58773177526324"/>
    <n v="636170.79385908006"/>
    <n v="0.29474098189225595"/>
    <n v="9.0800974284509799"/>
    <n v="9.0800974284509799"/>
    <n v="102200"/>
    <s v="COAT BIO"/>
    <s v="RIO GRANDE"/>
    <s v="Additives"/>
    <s v="Domestic"/>
    <s v="05/2026"/>
    <s v="2026"/>
  </r>
  <r>
    <n v="11"/>
    <x v="4"/>
    <n v="2352"/>
    <s v="BR FERTIL - PARANAGUA"/>
    <n v="12813"/>
    <s v="PR"/>
    <s v="COATMAX BMZ 3313 - MICRONUTRIENTE LIQUIDO"/>
    <n v="6000"/>
    <n v="6000"/>
    <n v="61617.934743704667"/>
    <n v="-2400"/>
    <n v="59217.934743704667"/>
    <n v="-27773.5"/>
    <n v="-4374.3962786472002"/>
    <n v="-2.3999629523312938"/>
    <n v="27067.638502105136"/>
    <n v="0.45708514859989502"/>
    <n v="10.269655790617444"/>
    <n v="10.269655790617444"/>
    <n v="102300"/>
    <s v="COAT MAX"/>
    <s v="PARANAGUA"/>
    <s v="Additives"/>
    <s v="Domestic"/>
    <s v="05/2026"/>
    <s v="2026"/>
  </r>
  <r>
    <n v="11"/>
    <x v="4"/>
    <n v="1292"/>
    <s v="CIBRA - S?O FRANCISCO DO SUL"/>
    <n v="12293"/>
    <s v="SC"/>
    <s v="COATMAX BMZ 366 - MICRONUTRIENTE LIQUIDO"/>
    <n v="6000"/>
    <n v="6000"/>
    <n v="49294.347794963731"/>
    <n v="-1920"/>
    <n v="47374.347794963731"/>
    <n v="-20319.62"/>
    <n v="-4818.2935420074"/>
    <n v="-2.6435021561080458"/>
    <n v="22233.790750800224"/>
    <n v="0.46932130542520845"/>
    <n v="8.2157246324939557"/>
    <n v="8.2157246324939557"/>
    <n v="102300"/>
    <s v="COAT MAX"/>
    <s v="S?O FRANCISCO DO SUL"/>
    <s v="Additives"/>
    <s v="Domestic"/>
    <s v="05/2026"/>
    <s v="2026"/>
  </r>
  <r>
    <n v="11"/>
    <x v="4"/>
    <n v="97"/>
    <s v="FECOAGRO - SAO FRANCISCO DO SUL"/>
    <n v="13600"/>
    <s v="SC"/>
    <s v="COATMAX BMZC 3663 - MICRONUTRIENTE LIQUIDO"/>
    <n v="30000"/>
    <n v="30000"/>
    <n v="277280.70634667098"/>
    <n v="-10800"/>
    <n v="266480.70634667098"/>
    <n v="-177765.86000000002"/>
    <n v="-16807.8105"/>
    <n v="-9.2214147828142465"/>
    <n v="71897.814431888153"/>
    <n v="0.26980495292726597"/>
    <n v="9.2426902115556988"/>
    <n v="9.2426902115556988"/>
    <n v="102300"/>
    <s v="COAT MAX"/>
    <s v="SAO FRANCISCO DO SUL"/>
    <s v="Additives"/>
    <s v="Domestic"/>
    <s v="05/2026"/>
    <s v="2026"/>
  </r>
  <r>
    <n v="11"/>
    <x v="4"/>
    <n v="8413"/>
    <s v="AMAGGI - SINOP"/>
    <n v="7398"/>
    <s v="MT"/>
    <s v="SUPERSELEN ADITIVO ANTI PO P/ FERTILIZANTES"/>
    <n v="32000"/>
    <n v="32000"/>
    <n v="66240"/>
    <n v="-4636.8"/>
    <n v="61603.199999999997"/>
    <n v="-20064.697142857141"/>
    <n v="-23352.800640000001"/>
    <n v="-12.812249462344306"/>
    <n v="18172.889967680509"/>
    <n v="0.29499912289752006"/>
    <n v="2.0699999999999998"/>
    <n v="2.0699999999999998"/>
    <n v="102600"/>
    <s v="SUPERSELEN"/>
    <s v="SINOP"/>
    <s v="Additives"/>
    <s v="Domestic"/>
    <s v="05/2026"/>
    <s v="2026"/>
  </r>
  <r>
    <n v="11"/>
    <x v="4"/>
    <n v="8414"/>
    <s v="AMAGGI - PORTO VELHO"/>
    <n v="7398"/>
    <s v="RO"/>
    <s v="SUPERSELEN ADITIVO ANTI PO P/ FERTILIZANTES"/>
    <n v="16000"/>
    <n v="16000"/>
    <n v="37760"/>
    <n v="-2643.2000000000003"/>
    <n v="35116.800000000003"/>
    <n v="-10032.348571428571"/>
    <n v="-26128.130595839997"/>
    <n v="-14.334902795565203"/>
    <n v="-1058.0140700641302"/>
    <n v="-3.0128430553584898E-2"/>
    <n v="2.36"/>
    <n v="2.36"/>
    <n v="102600"/>
    <s v="SUPERSELEN"/>
    <s v="PORTO VELHO"/>
    <s v="Additives"/>
    <s v="Domestic"/>
    <s v="05/2026"/>
    <s v="2026"/>
  </r>
  <r>
    <n v="11"/>
    <x v="4"/>
    <n v="1953"/>
    <s v="AMAGGI - COMODORO"/>
    <n v="7398"/>
    <s v="MT"/>
    <s v="SUPERSELEN ADITIVO ANTI PO P/ FERTILIZANTES"/>
    <n v="60000"/>
    <n v="60000"/>
    <n v="125400"/>
    <n v="-8778"/>
    <n v="116622"/>
    <n v="-37621.307142857142"/>
    <n v="-41876.730604799995"/>
    <n v="-22.97519374430313"/>
    <n v="37100.987058598563"/>
    <n v="0.31813025894426922"/>
    <n v="2.09"/>
    <n v="2.09"/>
    <n v="102600"/>
    <s v="SUPERSELEN"/>
    <s v="COMODORO"/>
    <s v="Additives"/>
    <s v="Domestic"/>
    <s v="05/2026"/>
    <s v="2026"/>
  </r>
  <r>
    <n v="11"/>
    <x v="4"/>
    <n v="8855"/>
    <s v="TERMAG - GUARUJA"/>
    <n v="7398"/>
    <s v="SP"/>
    <s v="SUPERSELEN ADITIVO ANTI PO P/ FERTILIZANTES"/>
    <n v="60000"/>
    <n v="60000"/>
    <n v="147600"/>
    <n v="-17712"/>
    <n v="129888"/>
    <n v="-37621.307142857142"/>
    <n v="-26091.264326399996"/>
    <n v="-14.314676534565816"/>
    <n v="66161.113854208306"/>
    <n v="0.50937048729835166"/>
    <n v="2.46"/>
    <n v="2.46"/>
    <n v="102600"/>
    <s v="SUPERSELEN"/>
    <s v="GUARUJA"/>
    <s v="Additives"/>
    <s v="Domestic"/>
    <s v="05/2026"/>
    <s v="2026"/>
  </r>
  <r>
    <n v="11"/>
    <x v="5"/>
    <n v="9271"/>
    <s v="BIOAGGIL ARGENTINA S. A."/>
    <n v="8060"/>
    <s v="EX"/>
    <s v="DUOBIND ADITIVO ANTI PO P/ FERTILIZANTES"/>
    <n v="22000"/>
    <n v="22000"/>
    <n v="174460"/>
    <n v="0"/>
    <n v="174460"/>
    <n v="-14513.55"/>
    <n v="-34905.065066666742"/>
    <n v="-1577.0946890899108"/>
    <n v="123464.29024424336"/>
    <n v="0.70769397136445811"/>
    <n v="7.93"/>
    <n v="7.93"/>
    <n v="100100"/>
    <s v="START ANTIDUSTING"/>
    <s v="MENDOZA"/>
    <s v="Additives"/>
    <s v="International"/>
    <s v="06/2026"/>
    <s v="2026"/>
  </r>
  <r>
    <n v="11"/>
    <x v="5"/>
    <n v="7022"/>
    <s v="MOSAIC - ROSARIO DO CATETE"/>
    <n v="1043"/>
    <s v="SE"/>
    <s v="START ANTIDUSTING SC AD ADITIVO ANTI PO P/ FERTILIZANTES"/>
    <n v="180000"/>
    <n v="180000"/>
    <n v="433800"/>
    <n v="-30366.000000000004"/>
    <n v="403434"/>
    <n v="-71781.034854771759"/>
    <n v="-151269.0064704"/>
    <n v="-68.985398118213709"/>
    <n v="180314.97327671005"/>
    <n v="0.44695036431413826"/>
    <n v="2.41"/>
    <n v="2.41"/>
    <n v="100100"/>
    <s v="START ANTIDUSTING"/>
    <s v="ROSARIO DO CATETE"/>
    <s v="Additives"/>
    <s v="Domestic"/>
    <s v="06/2026"/>
    <s v="2026"/>
  </r>
  <r>
    <n v="11"/>
    <x v="5"/>
    <n v="2003"/>
    <s v="HERINGER - RIO GRANDE"/>
    <n v="7384"/>
    <s v="RS"/>
    <s v="START ANTIDUSTING EURO KG ADITIVO ANTI PO P/ FERTILIZANTES"/>
    <n v="20000"/>
    <n v="20000"/>
    <n v="70000"/>
    <n v="-8400"/>
    <n v="61600"/>
    <n v="-13679.237391304348"/>
    <n v="-16281.07"/>
    <n v="-7.4248923949948891"/>
    <n v="31632.267716300656"/>
    <n v="0.51351083955033527"/>
    <n v="3.5"/>
    <n v="3.5"/>
    <n v="100100"/>
    <s v="START ANTIDUSTING"/>
    <s v="RIO GRANDE"/>
    <s v="Additives"/>
    <s v="Domestic"/>
    <s v="06/2026"/>
    <s v="2026"/>
  </r>
  <r>
    <n v="11"/>
    <x v="5"/>
    <n v="1462"/>
    <s v="AURORA MINERAC?O LTDA"/>
    <n v="1042"/>
    <s v="SP"/>
    <s v="START ANTIDUSTING KG AD ADITIVO ANTI PO P/ FERTILIZANTES"/>
    <n v="45000"/>
    <n v="45000"/>
    <n v="75150"/>
    <n v="-9018"/>
    <n v="66132"/>
    <n v="-25190.484"/>
    <n v="0"/>
    <n v="0"/>
    <n v="40941.516000000003"/>
    <n v="0.6190878243512975"/>
    <n v="1.67"/>
    <n v="1.67"/>
    <n v="100100"/>
    <s v="START ANTIDUSTING"/>
    <s v="IPEUNA"/>
    <s v="Additives"/>
    <s v="Domestic"/>
    <s v="06/2026"/>
    <s v="2026"/>
  </r>
  <r>
    <n v="11"/>
    <x v="5"/>
    <n v="2287"/>
    <s v="BUNGE PARAGUAY S.A"/>
    <n v="4067"/>
    <s v="EX"/>
    <s v="DUSTPROTEC BLACK PLUS ADITIVO ANTI PO P/ FERTILIZANTES"/>
    <n v="90000"/>
    <n v="90000"/>
    <n v="477000"/>
    <n v="0"/>
    <n v="477000"/>
    <n v="-137558.40499999997"/>
    <n v="-107165.99999999969"/>
    <n v="-6435.5032991843091"/>
    <n v="225840.091700816"/>
    <n v="0.47345931174175265"/>
    <n v="5.3"/>
    <n v="5.3"/>
    <n v="100100"/>
    <s v="START ANTIDUSTING"/>
    <s v="SAN JUAN DEL PARANA"/>
    <s v="Additives"/>
    <s v="International"/>
    <s v="06/2026"/>
    <s v="2026"/>
  </r>
  <r>
    <n v="11"/>
    <x v="5"/>
    <n v="6370"/>
    <s v="YTL S.A. - PARAGUAI"/>
    <n v="4067"/>
    <s v="EX"/>
    <s v="DUSTPROTEC BLACK PLUS ADITIVO ANTI PO P/ FERTILIZANTES"/>
    <n v="60000"/>
    <n v="60000"/>
    <n v="308400"/>
    <n v="0"/>
    <n v="308400"/>
    <n v="-91705.603333333303"/>
    <n v="-60943.4496"/>
    <n v="-4285.5468145536852"/>
    <n v="151465.40025211303"/>
    <n v="0.4911329450457621"/>
    <n v="5.14"/>
    <n v="5.14"/>
    <n v="100100"/>
    <s v="START ANTIDUSTING"/>
    <s v="ITAPUA"/>
    <s v="Additives"/>
    <s v="International"/>
    <s v="06/2026"/>
    <s v="2026"/>
  </r>
  <r>
    <n v="11"/>
    <x v="5"/>
    <n v="2011"/>
    <s v="FERTGROW S.A"/>
    <n v="6654"/>
    <s v="MA"/>
    <s v="START ANTIDUSTING SC FG ADITIVO ANTI PO P/ FERTILIZANTES"/>
    <n v="180000"/>
    <n v="180000"/>
    <n v="486000"/>
    <n v="-34020"/>
    <n v="451980"/>
    <n v="-70102.73"/>
    <n v="-158769.16379999998"/>
    <n v="-72.405803602485449"/>
    <n v="223035.70039639756"/>
    <n v="0.49346364971104378"/>
    <n v="2.7"/>
    <n v="2.7"/>
    <n v="100100"/>
    <s v="START ANTIDUSTING"/>
    <s v="SAO LUIS"/>
    <s v="Additives"/>
    <s v="Domestic"/>
    <s v="06/2026"/>
    <s v="2026"/>
  </r>
  <r>
    <n v="11"/>
    <x v="5"/>
    <n v="205"/>
    <s v="FERTIPAR - RONDONOPOLIS"/>
    <n v="231"/>
    <s v="MT"/>
    <s v="START ANTIDUSTING RED ADITIVO ANTI PO P/ FERTILIZANTES"/>
    <n v="15000"/>
    <n v="15000"/>
    <n v="36900"/>
    <n v="-2583.0000000000005"/>
    <n v="34317"/>
    <n v="-16474.36"/>
    <n v="-9555.9144492044998"/>
    <n v="-4.3579222078843882"/>
    <n v="8282.3676285876154"/>
    <n v="0.24134882503096469"/>
    <n v="2.46"/>
    <n v="2.46"/>
    <n v="100100"/>
    <s v="START ANTIDUSTING"/>
    <s v="RONDONOPOLIS"/>
    <s v="Additives"/>
    <s v="Domestic"/>
    <s v="06/2026"/>
    <s v="2026"/>
  </r>
  <r>
    <n v="11"/>
    <x v="5"/>
    <n v="7443"/>
    <s v="MOSAIC - CATAL?O"/>
    <n v="1043"/>
    <s v="GO"/>
    <s v="START ANTIDUSTING SC AD ADITIVO ANTI PO P/ FERTILIZANTES"/>
    <n v="30000"/>
    <n v="30000"/>
    <n v="72000"/>
    <n v="-5040.0000000000009"/>
    <n v="66960"/>
    <n v="-11963.505809128625"/>
    <n v="-2442.1605"/>
    <n v="-1.1137338592492334"/>
    <n v="52553.219957012123"/>
    <n v="0.78484498143685966"/>
    <n v="2.4"/>
    <n v="2.4"/>
    <n v="100100"/>
    <s v="START ANTIDUSTING"/>
    <s v="CATALAO"/>
    <s v="Additives"/>
    <s v="Domestic"/>
    <s v="06/2026"/>
    <s v="2026"/>
  </r>
  <r>
    <n v="11"/>
    <x v="5"/>
    <n v="5209"/>
    <s v="NUTRISOYA - CATAL?O"/>
    <n v="1043"/>
    <s v="GO"/>
    <s v="START ANTIDUSTING SC AD ADITIVO ANTI PO P/ FERTILIZANTES"/>
    <n v="15000"/>
    <n v="15000"/>
    <n v="28500"/>
    <n v="-1995.0000000000002"/>
    <n v="26505"/>
    <n v="-5981.7529045643123"/>
    <n v="-2614.5482999999999"/>
    <n v="-1.1923503669609441"/>
    <n v="17907.506445068728"/>
    <n v="0.67562748330762978"/>
    <n v="1.9"/>
    <n v="1.9"/>
    <n v="100100"/>
    <s v="START ANTIDUSTING"/>
    <s v="CATALAO"/>
    <s v="Additives"/>
    <s v="Domestic"/>
    <s v="06/2026"/>
    <s v="2026"/>
  </r>
  <r>
    <n v="11"/>
    <x v="5"/>
    <n v="2975"/>
    <s v="COONAGRO COOPERATIVA - PARANAGUA"/>
    <n v="4"/>
    <s v="PR"/>
    <s v="START ANTIDUSTING G37 ADITIVO ANTI PO P/ FERTILIZANTES"/>
    <n v="60000"/>
    <n v="60000"/>
    <n v="239400"/>
    <n v="-28728"/>
    <n v="210672"/>
    <n v="-58744.789090909086"/>
    <n v="-28099.2114"/>
    <n v="-12.814490757008826"/>
    <n v="123815.1850183339"/>
    <n v="0.58771542975969226"/>
    <n v="3.99"/>
    <n v="3.99"/>
    <n v="100100"/>
    <s v="START ANTIDUSTING"/>
    <s v="PARANAGUA"/>
    <s v="Additives"/>
    <s v="Domestic"/>
    <s v="06/2026"/>
    <s v="2026"/>
  </r>
  <r>
    <n v="11"/>
    <x v="5"/>
    <n v="2247"/>
    <s v="ADUBOS LEAO - LARANJEIRAS"/>
    <n v="14133"/>
    <s v="SE"/>
    <s v="START ANTIDUSTING SC AD IBC ADITIVO ANTI PO P/ FERTILIZANTES"/>
    <n v="1000"/>
    <n v="1000"/>
    <n v="5500"/>
    <n v="-385.00000000000006"/>
    <n v="5115"/>
    <n v="-1175.7023037974682"/>
    <n v="-1540.8424886400001"/>
    <n v="-0.70269273922341324"/>
    <n v="2397.752514823308"/>
    <n v="0.46876882010230853"/>
    <n v="5.5"/>
    <n v="5.5"/>
    <n v="100100"/>
    <s v="START ANTIDUSTING"/>
    <s v="LARANJEIRAS"/>
    <s v="Additives"/>
    <s v="Domestic"/>
    <s v="06/2026"/>
    <s v="2026"/>
  </r>
  <r>
    <n v="11"/>
    <x v="5"/>
    <n v="1023"/>
    <s v="ADUBOS ARAGUAIA - RONDONOPOLIS"/>
    <n v="1"/>
    <s v="MT"/>
    <s v="START ANTIDUSTING KG ADITIVO ANTI PO P/ FERTILIZANTES"/>
    <n v="30000"/>
    <n v="30000"/>
    <n v="72900"/>
    <n v="-5103.0000000000009"/>
    <n v="67797"/>
    <n v="-19666.866000000005"/>
    <n v="-11980.9521"/>
    <n v="-5.4638472859638867"/>
    <n v="36143.718052714023"/>
    <n v="0.53311677585607065"/>
    <n v="2.4300000000000002"/>
    <n v="2.4300000000000002"/>
    <n v="100100"/>
    <s v="START ANTIDUSTING"/>
    <s v="RONDONOPOLIS"/>
    <s v="Additives"/>
    <s v="Domestic"/>
    <s v="06/2026"/>
    <s v="2026"/>
  </r>
  <r>
    <n v="11"/>
    <x v="5"/>
    <n v="43"/>
    <s v="CIBRA - CAMACARI"/>
    <n v="148"/>
    <s v="BA"/>
    <s v="START ANTIDUSTING BLACK ADITIVO ANTI PO P/ FERTILIZANTES"/>
    <n v="180000"/>
    <n v="180000"/>
    <n v="426600"/>
    <n v="-29862.000000000004"/>
    <n v="396738"/>
    <n v="-120712.2870229008"/>
    <n v="-124574.4759168"/>
    <n v="-56.811504332646592"/>
    <n v="151394.42555596659"/>
    <n v="0.38159799554357432"/>
    <n v="2.37"/>
    <n v="2.37"/>
    <n v="100100"/>
    <s v="START ANTIDUSTING"/>
    <s v="CAMACARI"/>
    <s v="Additives"/>
    <s v="Domestic"/>
    <s v="06/2026"/>
    <s v="2026"/>
  </r>
  <r>
    <n v="11"/>
    <x v="5"/>
    <n v="33"/>
    <s v="HERINGER - PARANAGUA"/>
    <n v="7384"/>
    <s v="PR"/>
    <s v="START ANTIDUSTING EURO KG ADITIVO ANTI PO P/ FERTILIZANTES"/>
    <n v="30000"/>
    <n v="30000"/>
    <n v="98400"/>
    <n v="-11808"/>
    <n v="86592"/>
    <n v="-20518.856086956523"/>
    <n v="-14049.6057"/>
    <n v="-6.4072453785044132"/>
    <n v="52017.130967664969"/>
    <n v="0.6007152042644236"/>
    <n v="3.28"/>
    <n v="3.28"/>
    <n v="100100"/>
    <s v="START ANTIDUSTING"/>
    <s v="PARANAGUA"/>
    <s v="Additives"/>
    <s v="Domestic"/>
    <s v="06/2026"/>
    <s v="2026"/>
  </r>
  <r>
    <n v="11"/>
    <x v="5"/>
    <n v="7479"/>
    <s v="MOSAIC - CUBAT?O"/>
    <n v="1043"/>
    <s v="SP"/>
    <s v="START ANTIDUSTING SC AD ADITIVO ANTI PO P/ FERTILIZANTES"/>
    <n v="60000"/>
    <n v="60000"/>
    <n v="129600"/>
    <n v="-15552"/>
    <n v="114048"/>
    <n v="-23927.011618257249"/>
    <n v="0"/>
    <n v="0"/>
    <n v="90120.988381742747"/>
    <n v="0.79020226905989366"/>
    <n v="2.16"/>
    <n v="2.16"/>
    <n v="100100"/>
    <s v="START ANTIDUSTING"/>
    <s v="CUBATAO"/>
    <s v="Additives"/>
    <s v="Domestic"/>
    <s v="06/2026"/>
    <s v="2026"/>
  </r>
  <r>
    <n v="11"/>
    <x v="5"/>
    <n v="2559"/>
    <s v="MOSAIC - RIO GRANDE"/>
    <n v="1043"/>
    <s v="RS"/>
    <s v="START ANTIDUSTING SC AD ADITIVO ANTI PO P/ FERTILIZANTES"/>
    <n v="30000"/>
    <n v="30000"/>
    <n v="75300"/>
    <n v="-9036"/>
    <n v="66264"/>
    <n v="-11963.505809128625"/>
    <n v="-24421.605"/>
    <n v="-11.137338592492336"/>
    <n v="29867.751852278881"/>
    <n v="0.45073873977240858"/>
    <n v="2.5099999999999998"/>
    <n v="2.5099999999999998"/>
    <n v="100100"/>
    <s v="START ANTIDUSTING"/>
    <s v="RIO GRANDE"/>
    <s v="Additives"/>
    <s v="Domestic"/>
    <s v="06/2026"/>
    <s v="2026"/>
  </r>
  <r>
    <n v="11"/>
    <x v="5"/>
    <n v="7097"/>
    <s v="MOSAIC - S?O FRANCISCO SUL"/>
    <n v="14133"/>
    <s v="SC"/>
    <s v="START ANTIDUSTING SC AD IBC ADITIVO ANTI PO P/ FERTILIZANTES"/>
    <n v="26400"/>
    <n v="26400"/>
    <n v="71280"/>
    <n v="-8553.6"/>
    <n v="62726.400000000001"/>
    <n v="-31038.540820253162"/>
    <n v="-14790.873239999999"/>
    <n v="-6.7452963616647699"/>
    <n v="16890.240643385176"/>
    <n v="0.26926845225272256"/>
    <n v="2.7"/>
    <n v="2.7"/>
    <n v="100100"/>
    <s v="START ANTIDUSTING"/>
    <s v="SAO FRANCISCO DO SUL"/>
    <s v="Additives"/>
    <s v="Domestic"/>
    <s v="06/2026"/>
    <s v="2026"/>
  </r>
  <r>
    <n v="11"/>
    <x v="5"/>
    <n v="10492"/>
    <s v="UNIFERTIL RIO GRANDE UN1"/>
    <n v="3"/>
    <s v="RS"/>
    <s v="START ANTIDUSTING MH ADITIVO ANTI PO P/ FERTILIZANTES"/>
    <n v="32000"/>
    <n v="32000"/>
    <n v="82880"/>
    <n v="-9945.6"/>
    <n v="72934.399999999994"/>
    <n v="-24807.856666666667"/>
    <n v="-26049.712"/>
    <n v="-11.879827831991824"/>
    <n v="22064.951505501336"/>
    <n v="0.30253147356393334"/>
    <n v="2.59"/>
    <n v="2.59"/>
    <n v="100100"/>
    <s v="START ANTIDUSTING"/>
    <s v="RIO GRANDE"/>
    <s v="Additives"/>
    <s v="Domestic"/>
    <s v="06/2026"/>
    <s v="2026"/>
  </r>
  <r>
    <n v="11"/>
    <x v="5"/>
    <n v="5882"/>
    <s v="ABOPAR - PARAGUAY"/>
    <n v="14146"/>
    <s v="EX"/>
    <s v="DUSTPROTEC BLACK PLUS IBC ADITIVO ANTI PO P/ FERTILIZANTES"/>
    <n v="26400"/>
    <n v="26400"/>
    <n v="135696"/>
    <n v="0"/>
    <n v="135696"/>
    <n v="-53523.840000000011"/>
    <n v="-23805.056000000008"/>
    <n v="-1884.2678762701569"/>
    <n v="56482.836123729823"/>
    <n v="0.41624540239749014"/>
    <n v="5.14"/>
    <n v="5.14"/>
    <n v="100100"/>
    <s v="START ANTIDUSTING"/>
    <s v="ASSUNCION"/>
    <s v="Additives"/>
    <s v="International"/>
    <s v="06/2026"/>
    <s v="2026"/>
  </r>
  <r>
    <n v="11"/>
    <x v="5"/>
    <n v="1023"/>
    <s v="ADUBOS ARAGUAIA - RONDONOPOLIS"/>
    <n v="14133"/>
    <s v="MT"/>
    <s v="START ANTIDUSTING SC AD IBC ADITIVO ANTI PO P/ FERTILIZANTES"/>
    <n v="12000"/>
    <n v="12000"/>
    <n v="34320"/>
    <n v="-2402.4"/>
    <n v="31917.599999999999"/>
    <n v="-14108.427645569618"/>
    <n v="-7644.7315593636004"/>
    <n v="-3.4863377663075106"/>
    <n v="10160.954457300473"/>
    <n v="0.31834957695128935"/>
    <n v="2.86"/>
    <n v="2.86"/>
    <n v="100100"/>
    <s v="START ANTIDUSTING"/>
    <s v="RONDONOPOLIS"/>
    <s v="Additives"/>
    <s v="Domestic"/>
    <s v="06/2026"/>
    <s v="2026"/>
  </r>
  <r>
    <n v="11"/>
    <x v="5"/>
    <n v="729"/>
    <s v="FERTILIZ. TOCANTINS - S?O LUIS"/>
    <n v="8061"/>
    <s v="MA"/>
    <s v="START ANTIDUSTING EURO SC ADITIVO ANTI PO P/ FERTILIZANTES"/>
    <n v="30000"/>
    <n v="30000"/>
    <n v="85500"/>
    <n v="-5985.0000000000009"/>
    <n v="79515"/>
    <n v="-16647.27"/>
    <n v="-26461.527299999998"/>
    <n v="-12.067633933747578"/>
    <n v="36394.13506606625"/>
    <n v="0.45770150369196066"/>
    <n v="2.85"/>
    <n v="2.85"/>
    <n v="100100"/>
    <s v="START ANTIDUSTING"/>
    <s v="SAO LUIS"/>
    <s v="Additives"/>
    <s v="Domestic"/>
    <s v="06/2026"/>
    <s v="2026"/>
  </r>
  <r>
    <n v="11"/>
    <x v="5"/>
    <n v="812"/>
    <s v="FERTIPAR - VARGINHA"/>
    <n v="1042"/>
    <s v="MG"/>
    <s v="START ANTIDUSTING KG AD ADITIVO ANTI PO P/ FERTILIZANTES"/>
    <n v="30000"/>
    <n v="30000"/>
    <n v="51000"/>
    <n v="-9180"/>
    <n v="41820"/>
    <n v="-16793.655999999999"/>
    <n v="-6895.5119999999997"/>
    <n v="-3.1446603084684241"/>
    <n v="18127.687339691533"/>
    <n v="0.43346932902179658"/>
    <n v="1.7"/>
    <n v="1.7"/>
    <n v="100100"/>
    <s v="START ANTIDUSTING"/>
    <s v="VARGINHA"/>
    <s v="Additives"/>
    <s v="Domestic"/>
    <s v="06/2026"/>
    <s v="2026"/>
  </r>
  <r>
    <n v="11"/>
    <x v="5"/>
    <n v="3273"/>
    <s v="FERTIMAXI - CONCEICAO DO JACUIPE"/>
    <n v="2"/>
    <s v="BA"/>
    <s v="START ANTIDUSTING SC ADITIVO ANTI PO P/ FERTILIZANTES"/>
    <n v="30000"/>
    <n v="30000"/>
    <n v="78900"/>
    <n v="-5523.0000000000009"/>
    <n v="73377"/>
    <n v="-19040.262765957446"/>
    <n v="-18675.345000000001"/>
    <n v="-8.5167883354353151"/>
    <n v="35652.875445707112"/>
    <n v="0.48588625108286126"/>
    <n v="2.63"/>
    <n v="2.63"/>
    <n v="100100"/>
    <s v="START ANTIDUSTING"/>
    <s v="CONCEICAO DO JACUIPE"/>
    <s v="Additives"/>
    <s v="Domestic"/>
    <s v="06/2026"/>
    <s v="2026"/>
  </r>
  <r>
    <n v="11"/>
    <x v="5"/>
    <n v="3297"/>
    <s v="MACROSOURCE PERU S.R.L."/>
    <n v="14141"/>
    <s v="EX"/>
    <s v="DUSTPROTEC SC IBC - ADITIVO ANTI-PO P/ FERTILIZANTES GRANULADOS"/>
    <n v="2400"/>
    <n v="2400"/>
    <n v="17044.8"/>
    <n v="0"/>
    <n v="17044.8"/>
    <n v="-2528.8399999999992"/>
    <n v="-4340.362752"/>
    <n v="-172.28955413934554"/>
    <n v="10003.307693860652"/>
    <n v="0.58688325435679223"/>
    <n v="7.1019999999999994"/>
    <n v="7.1019999999999994"/>
    <n v="100100"/>
    <s v="START ANTIDUSTING"/>
    <s v="LIMA"/>
    <s v="Additives"/>
    <s v="International"/>
    <s v="06/2026"/>
    <s v="2026"/>
  </r>
  <r>
    <n v="11"/>
    <x v="5"/>
    <n v="2925"/>
    <s v="COPEVAL - CHILE"/>
    <n v="14145"/>
    <s v="EX"/>
    <s v="DUSTPROTEC BLACK IBC ADITIVO ANTI-PO P/ FERTILIZANTES GRANULADOS"/>
    <n v="18000"/>
    <n v="18000"/>
    <n v="124200"/>
    <n v="0"/>
    <n v="124200"/>
    <n v="-28542.738000000001"/>
    <n v="0"/>
    <n v="-1277.3261669024046"/>
    <n v="94379.935833097596"/>
    <n v="0.75990286500078574"/>
    <n v="6.9"/>
    <n v="6.9"/>
    <n v="100100"/>
    <s v="START ANTIDUSTING"/>
    <s v="SAN FERNANDO"/>
    <s v="Additives"/>
    <s v="International"/>
    <s v="06/2026"/>
    <s v="2026"/>
  </r>
  <r>
    <n v="11"/>
    <x v="5"/>
    <n v="341"/>
    <s v="ADUBOS PARANAIBA - UBERLANDIA"/>
    <n v="1043"/>
    <s v="MG"/>
    <s v="START ANTIDUSTING SC AD ADITIVO ANTI PO P/ FERTILIZANTES"/>
    <n v="3000"/>
    <n v="3000"/>
    <n v="6000"/>
    <n v="-1080"/>
    <n v="4920"/>
    <n v="-1196.3505809128626"/>
    <n v="0"/>
    <n v="0"/>
    <n v="3723.6494190871372"/>
    <n v="0.75683931282258887"/>
    <n v="2"/>
    <n v="2"/>
    <n v="100100"/>
    <s v="START ANTIDUSTING"/>
    <s v="UBERLANDIA"/>
    <s v="Additives"/>
    <s v="Domestic"/>
    <s v="06/2026"/>
    <s v="2026"/>
  </r>
  <r>
    <n v="11"/>
    <x v="5"/>
    <n v="2410"/>
    <s v="PEDRO MACCIO Y CIA S.A. - URUGUAI"/>
    <n v="14141"/>
    <s v="EX"/>
    <s v="DUSTPROTEC SC IBC - ADITIVO ANTI-PO P/ FERTILIZANTES GRANULADOS"/>
    <n v="12000"/>
    <n v="12000"/>
    <n v="57000"/>
    <n v="0"/>
    <n v="57000"/>
    <n v="-12644.199999999999"/>
    <n v="0"/>
    <n v="-851.55077793493626"/>
    <n v="43504.249222065067"/>
    <n v="0.76323244249236966"/>
    <n v="4.75"/>
    <n v="4.75"/>
    <n v="100100"/>
    <s v="START ANTIDUSTING"/>
    <s v="MONTEVIDEO"/>
    <s v="Additives"/>
    <s v="International"/>
    <s v="06/2026"/>
    <s v="2026"/>
  </r>
  <r>
    <n v="11"/>
    <x v="5"/>
    <n v="11133"/>
    <s v="ADUBOS ARAGUAIA - PARANAGUA"/>
    <n v="14133"/>
    <s v="PR"/>
    <s v="START ANTIDUSTING SC AD IBC ADITIVO ANTI PO P/ FERTILIZANTES"/>
    <n v="13200"/>
    <n v="13200"/>
    <n v="38280"/>
    <n v="-4593.5999999999995"/>
    <n v="33686.400000000001"/>
    <n v="-15519.270410126581"/>
    <n v="-9623.6718130238405"/>
    <n v="-4.3888225808529411"/>
    <n v="8539.0689542687269"/>
    <n v="0.25348713291621328"/>
    <n v="2.9"/>
    <n v="2.9"/>
    <n v="100100"/>
    <s v="START ANTIDUSTING"/>
    <s v="PARANAGUA"/>
    <s v="Additives"/>
    <s v="Domestic"/>
    <s v="06/2026"/>
    <s v="2026"/>
  </r>
  <r>
    <n v="11"/>
    <x v="5"/>
    <n v="3232"/>
    <s v="FERTILIZ. TOCANTINS - ARAGUARI"/>
    <n v="7384"/>
    <s v="MG"/>
    <s v="START ANTIDUSTING EURO KG ADITIVO ANTI PO P/ FERTILIZANTES"/>
    <n v="180000"/>
    <n v="180000"/>
    <n v="336600"/>
    <n v="-60588"/>
    <n v="276012"/>
    <n v="-123113.13652173914"/>
    <n v="-10343.268"/>
    <n v="-4.7169904627026362"/>
    <n v="142550.87848779815"/>
    <n v="0.51646623511948087"/>
    <n v="1.87"/>
    <n v="1.87"/>
    <n v="100100"/>
    <s v="START ANTIDUSTING"/>
    <s v="ARAGUARI"/>
    <s v="Additives"/>
    <s v="Domestic"/>
    <s v="06/2026"/>
    <s v="2026"/>
  </r>
  <r>
    <n v="11"/>
    <x v="5"/>
    <n v="7648"/>
    <s v="LOUIS DREYFUS - PARANAGUA"/>
    <n v="14133"/>
    <s v="PR"/>
    <s v="START ANTIDUSTING SC AD IBC ADITIVO ANTI PO P/ FERTILIZANTES"/>
    <n v="26400"/>
    <n v="26400"/>
    <n v="74184"/>
    <n v="-8902.08"/>
    <n v="65281.919999999998"/>
    <n v="-31038.540820253162"/>
    <n v="-12363.653015999998"/>
    <n v="-5.6383759330838839"/>
    <n v="21874.087787813754"/>
    <n v="0.33507114661783471"/>
    <n v="2.81"/>
    <n v="2.81"/>
    <n v="100100"/>
    <s v="START ANTIDUSTING"/>
    <s v="PARANAGUA"/>
    <s v="Additives"/>
    <s v="Domestic"/>
    <s v="06/2026"/>
    <s v="2026"/>
  </r>
  <r>
    <n v="11"/>
    <x v="5"/>
    <n v="214"/>
    <s v="UNIFERTIL - CANOAS UN1"/>
    <n v="3"/>
    <s v="RS"/>
    <s v="START ANTIDUSTING MH ADITIVO ANTI PO P/ FERTILIZANTES"/>
    <n v="64000"/>
    <n v="64000"/>
    <n v="165760"/>
    <n v="-19891.2"/>
    <n v="145868.79999999999"/>
    <n v="-49615.713333333333"/>
    <n v="-51609.076479999996"/>
    <n v="-23.536035375381449"/>
    <n v="44620.474151291281"/>
    <n v="0.30589457204893222"/>
    <n v="2.59"/>
    <n v="2.59"/>
    <n v="100100"/>
    <s v="START ANTIDUSTING"/>
    <s v="CANOAS"/>
    <s v="Additives"/>
    <s v="Domestic"/>
    <s v="06/2026"/>
    <s v="2026"/>
  </r>
  <r>
    <n v="11"/>
    <x v="5"/>
    <n v="9295"/>
    <s v="TECNOMYL S.A. - PARAGUAY"/>
    <n v="14146"/>
    <s v="EX"/>
    <s v="DUSTPROTEC BLACK PLUS IBC ADITIVO ANTI PO P/ FERTILIZANTES"/>
    <n v="26400"/>
    <n v="26400"/>
    <n v="135722.4"/>
    <n v="0"/>
    <n v="135722.4"/>
    <n v="-53523.840000000011"/>
    <n v="-23805.056000000008"/>
    <n v="-1884.2678762701569"/>
    <n v="56509.236123729817"/>
    <n v="0.41635895123966138"/>
    <n v="5.141"/>
    <n v="5.141"/>
    <n v="100100"/>
    <s v="START ANTIDUSTING"/>
    <s v="ASSUNCION"/>
    <s v="Additives"/>
    <s v="International"/>
    <s v="06/2026"/>
    <s v="2026"/>
  </r>
  <r>
    <n v="11"/>
    <x v="5"/>
    <n v="86"/>
    <s v="ADUBOS ARAGUAIA - ANAPOLIS"/>
    <n v="1"/>
    <s v="GO"/>
    <s v="START ANTIDUSTING KG ADITIVO ANTI PO P/ FERTILIZANTES"/>
    <n v="30000"/>
    <n v="30000"/>
    <n v="63600"/>
    <n v="-4452"/>
    <n v="59148"/>
    <n v="-19666.866000000005"/>
    <n v="-7470.1379999999999"/>
    <n v="-3.4067153341741259"/>
    <n v="32007.589284665817"/>
    <n v="0.54114406716483765"/>
    <n v="2.12"/>
    <n v="2.12"/>
    <n v="100100"/>
    <s v="START ANTIDUSTING"/>
    <s v="ANAPOLIS"/>
    <s v="Additives"/>
    <s v="Domestic"/>
    <s v="06/2026"/>
    <s v="2026"/>
  </r>
  <r>
    <n v="11"/>
    <x v="5"/>
    <n v="5053"/>
    <s v="ADUBOS ARAGUAIA - CONFRESA"/>
    <n v="1"/>
    <s v="MT"/>
    <s v="START ANTIDUSTING KG ADITIVO ANTI PO P/ FERTILIZANTES"/>
    <n v="30000"/>
    <n v="30000"/>
    <n v="73800"/>
    <n v="-5166.0000000000009"/>
    <n v="68634"/>
    <n v="-19666.866000000005"/>
    <n v="-20973.848999999998"/>
    <n v="-9.565008438258122"/>
    <n v="27983.719991561735"/>
    <n v="0.40772386851358999"/>
    <n v="2.46"/>
    <n v="2.46"/>
    <n v="100100"/>
    <s v="START ANTIDUSTING"/>
    <s v="CONFRESA"/>
    <s v="Additives"/>
    <s v="Domestic"/>
    <s v="06/2026"/>
    <s v="2026"/>
  </r>
  <r>
    <n v="11"/>
    <x v="5"/>
    <n v="1874"/>
    <s v="FERTILIZ. TOCANTINS - BARCARENA"/>
    <n v="148"/>
    <s v="PA"/>
    <s v="START ANTIDUSTING BLACK ADITIVO ANTI PO P/ FERTILIZANTES"/>
    <n v="30000"/>
    <n v="30000"/>
    <n v="84300"/>
    <n v="-5901.0000000000009"/>
    <n v="78399"/>
    <n v="-20118.714503816798"/>
    <n v="-26978.690699999999"/>
    <n v="-12.303483456882708"/>
    <n v="31289.291312726324"/>
    <n v="0.3991031940806174"/>
    <n v="2.81"/>
    <n v="2.81"/>
    <n v="100100"/>
    <s v="START ANTIDUSTING"/>
    <s v="BARCARENA "/>
    <s v="Additives"/>
    <s v="Domestic"/>
    <s v="06/2026"/>
    <s v="2026"/>
  </r>
  <r>
    <n v="11"/>
    <x v="5"/>
    <n v="7024"/>
    <s v="MOSAIC - SORRISO"/>
    <n v="1043"/>
    <s v="MT"/>
    <s v="START ANTIDUSTING SC AD ADITIVO ANTI PO P/ FERTILIZANTES"/>
    <n v="30000"/>
    <n v="30000"/>
    <n v="68400"/>
    <n v="-4788.0000000000009"/>
    <n v="63612"/>
    <n v="-11963.505809128625"/>
    <n v="-21002.580299999998"/>
    <n v="-9.5781111895434066"/>
    <n v="30636.335779681831"/>
    <n v="0.4816125224750335"/>
    <n v="2.2799999999999998"/>
    <n v="2.2799999999999998"/>
    <n v="100100"/>
    <s v="START ANTIDUSTING"/>
    <s v="SORRISO"/>
    <s v="Additives"/>
    <s v="Domestic"/>
    <s v="06/2026"/>
    <s v="2026"/>
  </r>
  <r>
    <n v="11"/>
    <x v="5"/>
    <n v="13329"/>
    <s v="CARGILL PARAGUAI"/>
    <n v="4067"/>
    <s v="EX"/>
    <s v="DUSTPROTEC BLACK PLUS ADITIVO ANTI PO P/ FERTILIZANTES"/>
    <n v="30000"/>
    <n v="30000"/>
    <n v="154230"/>
    <n v="0"/>
    <n v="154230"/>
    <n v="-45852.801666666652"/>
    <n v="-21107.24352"/>
    <n v="-2138.502787112508"/>
    <n v="85131.452026220839"/>
    <n v="0.55197725491941152"/>
    <n v="5.141"/>
    <n v="5.141"/>
    <n v="100100"/>
    <s v="START ANTIDUSTING"/>
    <s v="CIUDAD DEL ESTE"/>
    <s v="Additives"/>
    <s v="International"/>
    <s v="06/2026"/>
    <s v="2026"/>
  </r>
  <r>
    <n v="11"/>
    <x v="5"/>
    <n v="3142"/>
    <s v="INTERFERTIL - SAO FRANCISCO DO SUL"/>
    <n v="1"/>
    <s v="SC"/>
    <s v="START ANTIDUSTING KG ADITIVO ANTI PO P/ FERTILIZANTES"/>
    <n v="45000"/>
    <n v="45000"/>
    <n v="124650"/>
    <n v="-14958"/>
    <n v="109692"/>
    <n v="-29500.299000000003"/>
    <n v="-25211.715749999999"/>
    <n v="-11.497664252837675"/>
    <n v="54968.487585747163"/>
    <n v="0.50111665012714846"/>
    <n v="2.77"/>
    <n v="2.77"/>
    <n v="100100"/>
    <s v="START ANTIDUSTING"/>
    <s v="SAO FRANCISCO DO SUL"/>
    <s v="Additives"/>
    <s v="Domestic"/>
    <s v="06/2026"/>
    <s v="2026"/>
  </r>
  <r>
    <n v="11"/>
    <x v="5"/>
    <n v="2410"/>
    <s v="PEDRO MACCIO Y CIA S.A. - URUGUAI"/>
    <n v="14145"/>
    <s v="EX"/>
    <s v="DUSTPROTEC BLACK IBC ADITIVO ANTI-PO P/ FERTILIZANTES GRANULADOS"/>
    <n v="12000"/>
    <n v="12000"/>
    <n v="73080"/>
    <n v="0"/>
    <n v="73080"/>
    <n v="-19028.492000000002"/>
    <n v="0"/>
    <n v="-851.55077793493626"/>
    <n v="53199.957222065066"/>
    <n v="0.72796876330138294"/>
    <n v="6.09"/>
    <n v="6.09"/>
    <n v="100100"/>
    <s v="START ANTIDUSTING"/>
    <s v="MONTEVIDEO"/>
    <s v="Additives"/>
    <s v="International"/>
    <s v="06/2026"/>
    <s v="2026"/>
  </r>
  <r>
    <n v="11"/>
    <x v="5"/>
    <n v="1936"/>
    <s v="CIBRA - PARANAGUA II"/>
    <n v="4"/>
    <s v="PR"/>
    <s v="START ANTIDUSTING G37 ADITIVO ANTI PO P/ FERTILIZANTES"/>
    <n v="50000"/>
    <n v="50000"/>
    <n v="199500"/>
    <n v="-23940"/>
    <n v="175560"/>
    <n v="-48953.990909090906"/>
    <n v="0"/>
    <n v="0"/>
    <n v="126606.00909090909"/>
    <n v="0.72115521241119329"/>
    <n v="3.99"/>
    <n v="3.99"/>
    <n v="100100"/>
    <s v="START ANTIDUSTING"/>
    <s v="PARANAGUA"/>
    <s v="Additives"/>
    <s v="Domestic"/>
    <s v="06/2026"/>
    <s v="2026"/>
  </r>
  <r>
    <n v="11"/>
    <x v="5"/>
    <n v="1292"/>
    <s v="CIBRA - S?O FRANCISCO DO SUL"/>
    <n v="148"/>
    <s v="SC"/>
    <s v="START ANTIDUSTING BLACK ADITIVO ANTI PO P/ FERTILIZANTES"/>
    <n v="20000"/>
    <n v="20000"/>
    <n v="47000"/>
    <n v="-5640"/>
    <n v="41360"/>
    <n v="-13412.476335877865"/>
    <n v="-10207.092555894"/>
    <n v="-4.6548884006558726"/>
    <n v="17735.77621982748"/>
    <n v="0.42881470550840134"/>
    <n v="2.35"/>
    <n v="2.35"/>
    <n v="100100"/>
    <s v="START ANTIDUSTING"/>
    <s v="S?O FRANCISCO DO SUL"/>
    <s v="Additives"/>
    <s v="Domestic"/>
    <s v="06/2026"/>
    <s v="2026"/>
  </r>
  <r>
    <n v="11"/>
    <x v="5"/>
    <n v="912"/>
    <s v="FERTILIZE - ALMIRANTE TAMANDARE-PR"/>
    <n v="14130"/>
    <s v="PR"/>
    <s v="START ANTIDUSTING BLACK IBC ADITIVO ANTI PO P/ FERTILIZANTES"/>
    <n v="6000"/>
    <n v="6000"/>
    <n v="22260"/>
    <n v="-2671.2"/>
    <n v="19588.8"/>
    <n v="-7606.09"/>
    <n v="-4280.0379775139991"/>
    <n v="-1.9518877708610678"/>
    <n v="7700.7201347151386"/>
    <n v="0.39311852358057353"/>
    <n v="3.71"/>
    <n v="3.71"/>
    <n v="100100"/>
    <s v="START ANTIDUSTING"/>
    <s v="ALMIRANTE TAMANDARE "/>
    <s v="Additives"/>
    <s v="Domestic"/>
    <s v="06/2026"/>
    <s v="2026"/>
  </r>
  <r>
    <n v="11"/>
    <x v="5"/>
    <n v="2949"/>
    <s v="MOSAIC - CANDEIAS"/>
    <n v="1043"/>
    <s v="BA"/>
    <s v="START ANTIDUSTING SC AD ADITIVO ANTI PO P/ FERTILIZANTES"/>
    <n v="30000"/>
    <n v="30000"/>
    <n v="69900"/>
    <n v="-4893.0000000000009"/>
    <n v="65007"/>
    <n v="-11963.505809128625"/>
    <n v="-21548.474999999999"/>
    <n v="-9.8270634639638246"/>
    <n v="31485.192127407412"/>
    <n v="0.48433541199266866"/>
    <n v="2.33"/>
    <n v="2.33"/>
    <n v="100100"/>
    <s v="START ANTIDUSTING"/>
    <s v="CANDEIAS"/>
    <s v="Additives"/>
    <s v="Domestic"/>
    <s v="06/2026"/>
    <s v="2026"/>
  </r>
  <r>
    <n v="11"/>
    <x v="5"/>
    <n v="6477"/>
    <s v="MOSAIC - PARANAGUA II"/>
    <n v="1043"/>
    <s v="PR"/>
    <s v="START ANTIDUSTING SC AD ADITIVO ANTI PO P/ FERTILIZANTES"/>
    <n v="75000"/>
    <n v="75000"/>
    <n v="164250"/>
    <n v="-19710"/>
    <n v="144540"/>
    <n v="-29908.764522821566"/>
    <n v="-35124.01425"/>
    <n v="-16.018113446261037"/>
    <n v="79491.203113732176"/>
    <n v="0.54995989424195502"/>
    <n v="2.19"/>
    <n v="2.19"/>
    <n v="100100"/>
    <s v="START ANTIDUSTING"/>
    <s v="PARANAGUA"/>
    <s v="Additives"/>
    <s v="Domestic"/>
    <s v="06/2026"/>
    <s v="2026"/>
  </r>
  <r>
    <n v="11"/>
    <x v="5"/>
    <n v="7103"/>
    <s v="MOSAIC - RIO VERDE"/>
    <n v="1043"/>
    <s v="GO"/>
    <s v="START ANTIDUSTING SC AD ADITIVO ANTI PO P/ FERTILIZANTES"/>
    <n v="60000"/>
    <n v="60000"/>
    <n v="114000"/>
    <n v="-7980.0000000000009"/>
    <n v="106020"/>
    <n v="-23927.011618257249"/>
    <n v="-11377.594799999999"/>
    <n v="-5.1886895089728995"/>
    <n v="70710.204892233771"/>
    <n v="0.66695156472584205"/>
    <n v="1.9"/>
    <n v="1.9"/>
    <n v="100100"/>
    <s v="START ANTIDUSTING"/>
    <s v="RIO VERDE"/>
    <s v="Additives"/>
    <s v="Domestic"/>
    <s v="06/2026"/>
    <s v="2026"/>
  </r>
  <r>
    <n v="11"/>
    <x v="5"/>
    <n v="6124"/>
    <s v="MOSAIC - UBERABA II"/>
    <n v="1043"/>
    <s v="MG"/>
    <s v="START ANTIDUSTING SC AD ADITIVO ANTI PO P/ FERTILIZANTES"/>
    <n v="30000"/>
    <n v="30000"/>
    <n v="50700"/>
    <n v="0"/>
    <n v="50700"/>
    <n v="-11963.505809128625"/>
    <n v="-2442.1605"/>
    <n v="-1.1137338592492334"/>
    <n v="36293.219957012123"/>
    <n v="0.71584260270240874"/>
    <n v="1.69"/>
    <n v="1.69"/>
    <n v="100100"/>
    <s v="START ANTIDUSTING"/>
    <s v="UBERABA"/>
    <s v="Additives"/>
    <s v="Domestic"/>
    <s v="06/2026"/>
    <s v="2026"/>
  </r>
  <r>
    <n v="11"/>
    <x v="5"/>
    <n v="7102"/>
    <s v="MOSAIC RONDONOPOLIS"/>
    <n v="1043"/>
    <s v="MT"/>
    <s v="START ANTIDUSTING SC AD ADITIVO ANTI PO P/ FERTILIZANTES"/>
    <n v="120000"/>
    <n v="120000"/>
    <n v="244800"/>
    <n v="-17136"/>
    <n v="227664"/>
    <n v="-47854.023236514498"/>
    <n v="-47923.808400000002"/>
    <n v="-21.855389143855547"/>
    <n v="131864.31297434162"/>
    <n v="0.57920581635366863"/>
    <n v="2.04"/>
    <n v="2.04"/>
    <n v="100100"/>
    <s v="START ANTIDUSTING"/>
    <s v="RONDONOPOLIS"/>
    <s v="Additives"/>
    <s v="Domestic"/>
    <s v="06/2026"/>
    <s v="2026"/>
  </r>
  <r>
    <n v="11"/>
    <x v="5"/>
    <n v="97"/>
    <s v="FECOAGRO - SAO FRANCISCO DO SUL"/>
    <n v="148"/>
    <s v="SC"/>
    <s v="START ANTIDUSTING BLACK ADITIVO ANTI PO P/ FERTILIZANTES"/>
    <n v="32000"/>
    <n v="32000"/>
    <n v="112000"/>
    <n v="-13440"/>
    <n v="98560"/>
    <n v="-21459.962137404582"/>
    <n v="-17928.331200000001"/>
    <n v="-8.1761168020179031"/>
    <n v="59163.530545793401"/>
    <n v="0.60027932777793624"/>
    <n v="3.5"/>
    <n v="3.5"/>
    <n v="100100"/>
    <s v="START ANTIDUSTING"/>
    <s v="SAO FRANCISCO DO SUL"/>
    <s v="Additives"/>
    <s v="Domestic"/>
    <s v="06/2026"/>
    <s v="2026"/>
  </r>
  <r>
    <n v="11"/>
    <x v="5"/>
    <n v="11133"/>
    <s v="ADUBOS ARAGUAIA - PARANAGUA"/>
    <n v="1"/>
    <s v="PR"/>
    <s v="START ANTIDUSTING KG ADITIVO ANTI PO P/ FERTILIZANTES"/>
    <n v="15000"/>
    <n v="15000"/>
    <n v="38400"/>
    <n v="-4608"/>
    <n v="33792"/>
    <n v="-9833.4330000000027"/>
    <n v="-10935.990696618001"/>
    <n v="-4.9872983873328876"/>
    <n v="13017.589004994661"/>
    <n v="0.3852269473542454"/>
    <n v="2.56"/>
    <n v="2.56"/>
    <n v="100100"/>
    <s v="START ANTIDUSTING"/>
    <s v="PARANAGUA"/>
    <s v="Additives"/>
    <s v="Domestic"/>
    <s v="06/2026"/>
    <s v="2026"/>
  </r>
  <r>
    <n v="11"/>
    <x v="5"/>
    <n v="452"/>
    <s v="FERTIPAR - S?O LUIS DO MARANH?O"/>
    <n v="2"/>
    <s v="MA"/>
    <s v="START ANTIDUSTING SC ADITIVO ANTI PO P/ FERTILIZANTES"/>
    <n v="64000"/>
    <n v="64000"/>
    <n v="151680"/>
    <n v="-10617.6"/>
    <n v="141062.39999999999"/>
    <n v="-40619.227234042548"/>
    <n v="-56451.258239999996"/>
    <n v="-25.744285725328165"/>
    <n v="43966.170240232132"/>
    <n v="0.31167887573323672"/>
    <n v="2.37"/>
    <n v="2.37"/>
    <n v="100100"/>
    <s v="START ANTIDUSTING"/>
    <s v="SAO LUIS"/>
    <s v="Additives"/>
    <s v="Domestic"/>
    <s v="06/2026"/>
    <s v="2026"/>
  </r>
  <r>
    <n v="11"/>
    <x v="5"/>
    <n v="2603"/>
    <s v="MOSAIC - S?O LUIS"/>
    <n v="1043"/>
    <s v="MA"/>
    <s v="START ANTIDUSTING SC AD ADITIVO ANTI PO P/ FERTILIZANTES"/>
    <n v="60000"/>
    <n v="60000"/>
    <n v="147600"/>
    <n v="-10332.000000000002"/>
    <n v="137268"/>
    <n v="-23927.011618257249"/>
    <n v="0"/>
    <n v="0"/>
    <n v="113340.98838174275"/>
    <n v="0.82569126367210677"/>
    <n v="2.46"/>
    <n v="2.46"/>
    <n v="100100"/>
    <s v="START ANTIDUSTING"/>
    <s v="SAO LUIS"/>
    <s v="Additives"/>
    <s v="Domestic"/>
    <s v="06/2026"/>
    <s v="2026"/>
  </r>
  <r>
    <n v="11"/>
    <x v="5"/>
    <n v="2588"/>
    <s v="FERTILIZ. TOCANTINS - SINOP"/>
    <n v="6564"/>
    <s v="MT"/>
    <s v="MEGAMICRO PLUS ADITIVO P/ SUSPENS?O DE MICRONUTRIENTES"/>
    <n v="32000"/>
    <n v="32000"/>
    <n v="100160"/>
    <n v="-7011.2000000000007"/>
    <n v="93148.800000000003"/>
    <n v="-31407.542222222215"/>
    <n v="-23352.800640000001"/>
    <n v="-10.64991624467973"/>
    <n v="38377.807221533112"/>
    <n v="0.41200538516366408"/>
    <n v="3.13"/>
    <n v="3.13"/>
    <n v="100200"/>
    <s v="ADITIVO MEGAMICRO"/>
    <s v="SINOP"/>
    <s v="Additives"/>
    <s v="Domestic"/>
    <s v="06/2026"/>
    <s v="2026"/>
  </r>
  <r>
    <n v="11"/>
    <x v="5"/>
    <n v="456"/>
    <s v="FERTIPAR - CANDEIAS"/>
    <n v="113"/>
    <s v="BA"/>
    <s v="MEGAMICRO ADITIVO P/ SUSPENS?O DE MICRONUTRIENTES"/>
    <n v="30000"/>
    <n v="30000"/>
    <n v="100200"/>
    <n v="-7014.0000000000009"/>
    <n v="93186"/>
    <n v="-27048.628051948057"/>
    <n v="-21548.474999999999"/>
    <n v="-9.8270634639638246"/>
    <n v="44579.069884587974"/>
    <n v="0.47838806134599593"/>
    <n v="3.34"/>
    <n v="3.34"/>
    <n v="100200"/>
    <s v="ADITIVO MEGAMICRO"/>
    <s v="CANDEIAS"/>
    <s v="Additives"/>
    <s v="Domestic"/>
    <s v="06/2026"/>
    <s v="2026"/>
  </r>
  <r>
    <n v="11"/>
    <x v="5"/>
    <n v="205"/>
    <s v="FERTIPAR - RONDONOPOLIS"/>
    <n v="6564"/>
    <s v="MT"/>
    <s v="MEGAMICRO PLUS ADITIVO P/ SUSPENS?O DE MICRONUTRIENTES"/>
    <n v="340000"/>
    <n v="340000"/>
    <n v="856800"/>
    <n v="-59976.000000000007"/>
    <n v="796824"/>
    <n v="-333705.13611111109"/>
    <n v="-135784.12379999997"/>
    <n v="-61.923602574257373"/>
    <n v="327272.81648631464"/>
    <n v="0.4107215853015404"/>
    <n v="2.52"/>
    <n v="2.52"/>
    <n v="100200"/>
    <s v="ADITIVO MEGAMICRO"/>
    <s v="RONDONOPOLIS"/>
    <s v="Additives"/>
    <s v="Domestic"/>
    <s v="06/2026"/>
    <s v="2026"/>
  </r>
  <r>
    <n v="11"/>
    <x v="5"/>
    <n v="10434"/>
    <s v="CIBRA - SINOP"/>
    <n v="6564"/>
    <s v="MT"/>
    <s v="MEGAMICRO PLUS ADITIVO P/ SUSPENS?O DE MICRONUTRIENTES"/>
    <n v="60000"/>
    <n v="60000"/>
    <n v="184800"/>
    <n v="-12936.000000000002"/>
    <n v="171864"/>
    <n v="-58889.141666666663"/>
    <n v="-43786.501199999999"/>
    <n v="-19.96859295877449"/>
    <n v="69168.388540374566"/>
    <n v="0.4024600180396975"/>
    <n v="3.08"/>
    <n v="3.08"/>
    <n v="100200"/>
    <s v="ADITIVO MEGAMICRO"/>
    <s v="SINOP"/>
    <s v="Additives"/>
    <s v="Domestic"/>
    <s v="06/2026"/>
    <s v="2026"/>
  </r>
  <r>
    <n v="11"/>
    <x v="5"/>
    <n v="5182"/>
    <s v="FERTIPAR SINOP"/>
    <n v="113"/>
    <s v="MT"/>
    <s v="MEGAMICRO ADITIVO P/ SUSPENS?O DE MICRONUTRIENTES"/>
    <n v="60000"/>
    <n v="60000"/>
    <n v="161400"/>
    <n v="-11298.000000000002"/>
    <n v="150102"/>
    <n v="-54097.256103896114"/>
    <n v="-43786.501199999999"/>
    <n v="-19.96859295877449"/>
    <n v="52198.274103145115"/>
    <n v="0.34775202264556843"/>
    <n v="2.69"/>
    <n v="2.69"/>
    <n v="100200"/>
    <s v="ADITIVO MEGAMICRO"/>
    <s v="SINOP"/>
    <s v="Additives"/>
    <s v="Domestic"/>
    <s v="06/2026"/>
    <s v="2026"/>
  </r>
  <r>
    <n v="11"/>
    <x v="5"/>
    <n v="10492"/>
    <s v="UNIFERTIL RIO GRANDE UN1"/>
    <n v="113"/>
    <s v="RS"/>
    <s v="MEGAMICRO ADITIVO P/ SUSPENS?O DE MICRONUTRIENTES"/>
    <n v="64000"/>
    <n v="64000"/>
    <n v="197760"/>
    <n v="-23731.200000000001"/>
    <n v="174028.79999999999"/>
    <n v="-57703.739844155854"/>
    <n v="-52099.423999999999"/>
    <n v="-23.759655663983647"/>
    <n v="64201.876500180158"/>
    <n v="0.36891523989236358"/>
    <n v="3.09"/>
    <n v="3.09"/>
    <n v="100200"/>
    <s v="ADITIVO MEGAMICRO"/>
    <s v="RIO GRANDE"/>
    <s v="Additives"/>
    <s v="Domestic"/>
    <s v="06/2026"/>
    <s v="2026"/>
  </r>
  <r>
    <n v="11"/>
    <x v="5"/>
    <n v="252"/>
    <s v="FERTIPAR - PARANAGUA"/>
    <n v="10343"/>
    <s v="PR"/>
    <s v="MEGAMICRO BLACK ADITIVO P/ SUSPENS?O DE MICRONUTRIENTES"/>
    <n v="60000"/>
    <n v="60000"/>
    <n v="225600"/>
    <n v="-27072"/>
    <n v="198528"/>
    <n v="-95500.520000000019"/>
    <n v="-28099.2114"/>
    <n v="-12.814490757008826"/>
    <n v="74915.454109242972"/>
    <n v="0.37735460040519708"/>
    <n v="3.76"/>
    <n v="3.76"/>
    <n v="100200"/>
    <s v="ADITIVO MEGAMICRO"/>
    <s v="PARANAGUA"/>
    <s v="Additives"/>
    <s v="Domestic"/>
    <s v="06/2026"/>
    <s v="2026"/>
  </r>
  <r>
    <n v="11"/>
    <x v="5"/>
    <n v="2975"/>
    <s v="COONAGRO COOPERATIVA - PARANAGUA"/>
    <n v="10343"/>
    <s v="PR"/>
    <s v="MEGAMICRO BLACK ADITIVO P/ SUSPENS?O DE MICRONUTRIENTES"/>
    <n v="15000"/>
    <n v="15000"/>
    <n v="61350"/>
    <n v="-7362"/>
    <n v="53988"/>
    <n v="-23875.130000000005"/>
    <n v="-10935.990696618001"/>
    <n v="-4.9872983873328876"/>
    <n v="19171.892004994665"/>
    <n v="0.35511395134093993"/>
    <n v="4.09"/>
    <n v="4.09"/>
    <n v="100200"/>
    <s v="ADITIVO MEGAMICRO"/>
    <s v="PARANAGUA"/>
    <s v="Additives"/>
    <s v="Domestic"/>
    <s v="06/2026"/>
    <s v="2026"/>
  </r>
  <r>
    <n v="11"/>
    <x v="5"/>
    <n v="1953"/>
    <s v="AMAGGI - COMODORO"/>
    <n v="113"/>
    <s v="MT"/>
    <s v="MEGAMICRO ADITIVO P/ SUSPENS?O DE MICRONUTRIENTES"/>
    <n v="60000"/>
    <n v="60000"/>
    <n v="174000"/>
    <n v="-12180.000000000002"/>
    <n v="161820"/>
    <n v="-54097.256103896114"/>
    <n v="-41876.730604799995"/>
    <n v="-19.097652586398144"/>
    <n v="65826.915638717488"/>
    <n v="0.40679097539684517"/>
    <n v="2.9"/>
    <n v="2.9"/>
    <n v="100200"/>
    <s v="ADITIVO MEGAMICRO"/>
    <s v="COMODORO"/>
    <s v="Additives"/>
    <s v="Domestic"/>
    <s v="06/2026"/>
    <s v="2026"/>
  </r>
  <r>
    <n v="11"/>
    <x v="5"/>
    <n v="8414"/>
    <s v="AMAGGI - PORTO VELHO"/>
    <n v="113"/>
    <s v="RO"/>
    <s v="MEGAMICRO ADITIVO P/ SUSPENS?O DE MICRONUTRIENTES"/>
    <n v="15000"/>
    <n v="15000"/>
    <n v="47250"/>
    <n v="-3307.5000000000005"/>
    <n v="43942.5"/>
    <n v="-13524.314025974028"/>
    <n v="-24495.122433600001"/>
    <n v="-11.170865813592433"/>
    <n v="5911.892674612378"/>
    <n v="0.13453701256442802"/>
    <n v="3.15"/>
    <n v="3.15"/>
    <n v="100200"/>
    <s v="ADITIVO MEGAMICRO"/>
    <s v="PORTO VELHO"/>
    <s v="Additives"/>
    <s v="Domestic"/>
    <s v="06/2026"/>
    <s v="2026"/>
  </r>
  <r>
    <n v="11"/>
    <x v="5"/>
    <n v="214"/>
    <s v="UNIFERTIL - CANOAS UN1"/>
    <n v="113"/>
    <s v="RS"/>
    <s v="MEGAMICRO ADITIVO P/ SUSPENS?O DE MICRONUTRIENTES"/>
    <n v="60000"/>
    <n v="60000"/>
    <n v="185400"/>
    <n v="-22248"/>
    <n v="163152"/>
    <n v="-54097.256103896114"/>
    <n v="-48383.509199999993"/>
    <n v="-22.065033164420107"/>
    <n v="60649.169662939472"/>
    <n v="0.37173414768399698"/>
    <n v="3.09"/>
    <n v="3.09"/>
    <n v="100200"/>
    <s v="ADITIVO MEGAMICRO"/>
    <s v="CANOAS"/>
    <s v="Additives"/>
    <s v="Domestic"/>
    <s v="06/2026"/>
    <s v="2026"/>
  </r>
  <r>
    <n v="11"/>
    <x v="5"/>
    <n v="8413"/>
    <s v="AMAGGI - SINOP"/>
    <n v="113"/>
    <s v="MT"/>
    <s v="MEGAMICRO ADITIVO P/ SUSPENS?O DE MICRONUTRIENTES"/>
    <n v="96000"/>
    <n v="96000"/>
    <n v="278400"/>
    <n v="-19488.000000000004"/>
    <n v="258912"/>
    <n v="-86555.609766233785"/>
    <n v="-70058.401919999989"/>
    <n v="-31.949748734039183"/>
    <n v="102266.0385650322"/>
    <n v="0.39498377272985491"/>
    <n v="2.9"/>
    <n v="2.9"/>
    <n v="100200"/>
    <s v="ADITIVO MEGAMICRO"/>
    <s v="SINOP"/>
    <s v="Additives"/>
    <s v="Domestic"/>
    <s v="06/2026"/>
    <s v="2026"/>
  </r>
  <r>
    <n v="13"/>
    <x v="5"/>
    <n v="97"/>
    <s v="FECOAGRO - SAO FRANCISCO DO SUL"/>
    <n v="8223"/>
    <s v="SC"/>
    <s v="UREMAX PLUS AZUL ADITIVO P/ INIBIR A NITRIFICACAO E VOLATIZACAO P/ FERTILIZANTES"/>
    <n v="12000"/>
    <n v="12000"/>
    <n v="456523.11758042563"/>
    <n v="-54720"/>
    <n v="401803.11758042563"/>
    <n v="-142094.79999999996"/>
    <n v="-9901.2479999999723"/>
    <n v="-4.5154096736982376"/>
    <n v="249802.554170752"/>
    <n v="0.62170387247120118"/>
    <n v="38.043593131702139"/>
    <n v="38.043593131702139"/>
    <n v="100300"/>
    <s v="UREMAX"/>
    <s v="SAO FRANCISCO DO SUL"/>
    <s v="Additives"/>
    <s v="Domestic"/>
    <s v="06/2026"/>
    <s v="2026"/>
  </r>
  <r>
    <n v="13"/>
    <x v="5"/>
    <n v="2622"/>
    <s v="ADUFERTIL JUNDIAI"/>
    <n v="8215"/>
    <s v="SP"/>
    <s v="UREMAX NBPT VERDE ADITIVO INIBIDOR DE UREASE P/ FERTILIZANTES"/>
    <n v="12000"/>
    <n v="12000"/>
    <n v="416036.72531079315"/>
    <n v="-49867.199999999997"/>
    <n v="366169.52531079313"/>
    <n v="-168555.81333333332"/>
    <n v="-5481.0480000000016"/>
    <n v="-2.4996017836543891"/>
    <n v="192130.16437567613"/>
    <n v="0.52470277042471547"/>
    <n v="34.66972710923276"/>
    <n v="34.66972710923276"/>
    <n v="100300"/>
    <s v="UREMAX"/>
    <s v="JUNDIAI"/>
    <s v="Additives"/>
    <s v="Domestic"/>
    <s v="06/2026"/>
    <s v="2026"/>
  </r>
  <r>
    <n v="13"/>
    <x v="5"/>
    <n v="10891"/>
    <s v="HINOVE - RIO BRILHANTE"/>
    <n v="8214"/>
    <s v="MS"/>
    <s v="UREMAX NBPT AZUL ADITIVO INIBIDOR DE UREASE P/ FERTILIZANTES"/>
    <n v="12000"/>
    <n v="12000"/>
    <n v="373628.13044082205"/>
    <n v="-26124.000000000004"/>
    <n v="347504.13044082205"/>
    <n v="-117422.79"/>
    <n v="-7691.1480000000047"/>
    <n v="-3.5075057286763212"/>
    <n v="222386.68493509336"/>
    <n v="0.63995407666949888"/>
    <n v="31.135677536735169"/>
    <n v="31.135677536735169"/>
    <n v="100300"/>
    <s v="UREMAX"/>
    <s v="RIO BRILHANTE"/>
    <s v="Additives"/>
    <s v="Domestic"/>
    <s v="06/2026"/>
    <s v="2026"/>
  </r>
  <r>
    <n v="13"/>
    <x v="5"/>
    <n v="6124"/>
    <s v="MOSAIC - UBERABA II"/>
    <n v="8215"/>
    <s v="MG"/>
    <s v="UREMAX NBPT VERDE ADITIVO INIBIDOR DE UREASE P/ FERTILIZANTES"/>
    <n v="24000"/>
    <n v="24000"/>
    <n v="870517.50262835901"/>
    <n v="0"/>
    <n v="870517.50262835901"/>
    <n v="-337111.62666666665"/>
    <n v="-4003.2278000000001"/>
    <n v="-1.8256500124163906"/>
    <n v="529400.82251167984"/>
    <n v="0.60814494931262908"/>
    <n v="36.271562609514959"/>
    <n v="36.271562609514959"/>
    <n v="100300"/>
    <s v="UREMAX"/>
    <s v="UBERABA"/>
    <s v="Additives"/>
    <s v="Domestic"/>
    <s v="06/2026"/>
    <s v="2026"/>
  </r>
  <r>
    <n v="13"/>
    <x v="5"/>
    <n v="215"/>
    <s v="UNIFERTIL - CANOAS UN2"/>
    <n v="8216"/>
    <s v="RS"/>
    <s v="UREMAX NBPT ROXO ADITIVO INIBIDOR DE UREASE P/ FERTILIZANTES"/>
    <n v="12000"/>
    <n v="12000"/>
    <n v="373267.71745325852"/>
    <n v="-44740.799999999996"/>
    <n v="328526.91745325853"/>
    <n v="-120535.75749999999"/>
    <n v="-14321.447999999978"/>
    <n v="-6.5312175637421008"/>
    <n v="193663.1807356948"/>
    <n v="0.58948953783444058"/>
    <n v="31.105643121104876"/>
    <n v="31.105643121104876"/>
    <n v="100300"/>
    <s v="UREMAX"/>
    <s v="CANOAS"/>
    <s v="Additives"/>
    <s v="Domestic"/>
    <s v="06/2026"/>
    <s v="2026"/>
  </r>
  <r>
    <n v="13"/>
    <x v="5"/>
    <n v="12031"/>
    <s v="EVOAGRO NUTRICION S.A.S - COLOMBIA"/>
    <n v="8203"/>
    <s v="EX"/>
    <s v="NITROPROTEC YELLOW - ADITIVO INIBIDOR DE UREASE P/ FERTILIZANTE NITROGENADO"/>
    <n v="8800"/>
    <n v="8800"/>
    <n v="447323.77630230499"/>
    <n v="0"/>
    <n v="447323.77630230499"/>
    <n v="-180293.40000000002"/>
    <n v="-9290.16"/>
    <n v="-628.70729683912657"/>
    <n v="257111.50900546584"/>
    <n v="0.57477720306042446"/>
    <n v="50.83224730708011"/>
    <n v="50.83224730708011"/>
    <n v="100300"/>
    <s v="UREMAX"/>
    <s v="BARRANQUILLA"/>
    <s v="Additives"/>
    <s v="International"/>
    <s v="06/2026"/>
    <s v="2026"/>
  </r>
  <r>
    <n v="13"/>
    <x v="5"/>
    <n v="10492"/>
    <s v="UNIFERTIL RIO GRANDE UN1"/>
    <n v="8216"/>
    <s v="RS"/>
    <s v="UREMAX NBPT ROXO ADITIVO INIBIDOR DE UREASE P/ FERTILIZANTES"/>
    <n v="36000"/>
    <n v="36000"/>
    <n v="1119803.1523597757"/>
    <n v="-134222.39999999999"/>
    <n v="985580.75235977571"/>
    <n v="-361607.27249999996"/>
    <n v="-25187.772999999997"/>
    <n v="-11.48674529343327"/>
    <n v="598774.22011448222"/>
    <n v="0.60753440921085089"/>
    <n v="31.105643121104883"/>
    <n v="31.105643121104883"/>
    <n v="100300"/>
    <s v="UREMAX"/>
    <s v="RIO GRANDE"/>
    <s v="Additives"/>
    <s v="Domestic"/>
    <s v="06/2026"/>
    <s v="2026"/>
  </r>
  <r>
    <n v="13"/>
    <x v="5"/>
    <n v="7662"/>
    <s v="BENTONIT UNIAO - BOA VISTA"/>
    <n v="7"/>
    <s v="PB"/>
    <s v="UREMAX NBPT ADITIVO INIBIDOR DE UREASE P/ FERTILIZANTES"/>
    <n v="6000"/>
    <n v="6000"/>
    <n v="234328.51074753163"/>
    <n v="-36519.211500000005"/>
    <n v="197809.29924753163"/>
    <n v="-54507.659999999996"/>
    <n v="0"/>
    <n v="0"/>
    <n v="143301.63924753162"/>
    <n v="0.72444338963159149"/>
    <n v="39.054751791255271"/>
    <n v="39.054751791255271"/>
    <n v="100300"/>
    <s v="UREMAX"/>
    <s v="BOA VISTA "/>
    <s v="Additives"/>
    <s v="Domestic"/>
    <s v="06/2026"/>
    <s v="2026"/>
  </r>
  <r>
    <n v="13"/>
    <x v="5"/>
    <n v="14632"/>
    <s v="BIGFERTIL - CANDEIAS"/>
    <n v="8224"/>
    <s v="BA"/>
    <s v="UREMAX COAT VERDE ADITIVO INIBIDOR DE UREASE P/ FERTILIZANTES"/>
    <n v="5000"/>
    <n v="5000"/>
    <n v="120888.52291192191"/>
    <n v="-8452.5"/>
    <n v="112436.02291192191"/>
    <n v="-34954.53"/>
    <n v="-13083.792000000029"/>
    <n v="-5.9667913545298426"/>
    <n v="64391.734120567358"/>
    <n v="0.57269665408753723"/>
    <n v="24.177704582384383"/>
    <n v="24.177704582384383"/>
    <n v="100300"/>
    <s v="UREMAX"/>
    <s v="CANDEIAS"/>
    <s v="Additives"/>
    <s v="Domestic"/>
    <s v="06/2026"/>
    <s v="2026"/>
  </r>
  <r>
    <n v="13"/>
    <x v="5"/>
    <n v="12249"/>
    <s v="LYCSA BOLIVIA"/>
    <n v="13938"/>
    <s v="EX"/>
    <s v="UREMAX COAT YELLOW ADITIVO INIBIDOR DE UREASE P/ FERTILIZANTES"/>
    <n v="2200"/>
    <n v="2200"/>
    <n v="58366.881041532492"/>
    <n v="0"/>
    <n v="58366.881041532492"/>
    <n v="-21240.350000000002"/>
    <n v="-1987.6813440000001"/>
    <n v="-157.02411376210637"/>
    <n v="34981.825583770391"/>
    <n v="0.59934375384694882"/>
    <n v="26.53040047342386"/>
    <n v="26.53040047342386"/>
    <n v="100300"/>
    <s v="UREMAX"/>
    <s v="SANTA CRUZ DE LA SIERRA"/>
    <s v="Additives"/>
    <s v="International"/>
    <s v="06/2026"/>
    <s v="2026"/>
  </r>
  <r>
    <n v="13"/>
    <x v="5"/>
    <n v="2247"/>
    <s v="ADUBOS LEAO - LARANJEIRAS"/>
    <n v="8225"/>
    <s v="SE"/>
    <s v="UREMAX COAT AZUL ADITIVO INIBIDOR DE UREASE P/ FERTILIZANTES"/>
    <n v="2000"/>
    <n v="2000"/>
    <n v="61210.139054533385"/>
    <n v="-4279.8"/>
    <n v="56930.339054533382"/>
    <n v="-13153.539999999997"/>
    <n v="-12188.49139872"/>
    <n v="-5.558494441263182"/>
    <n v="31582.749161372129"/>
    <n v="0.55476130453252914"/>
    <n v="30.605069527266693"/>
    <n v="30.605069527266693"/>
    <n v="100300"/>
    <s v="UREMAX"/>
    <s v="LARANJEIRAS"/>
    <s v="Additives"/>
    <s v="Domestic"/>
    <s v="06/2026"/>
    <s v="2026"/>
  </r>
  <r>
    <n v="13"/>
    <x v="5"/>
    <n v="1936"/>
    <s v="CIBRA - PARANAGUA II"/>
    <n v="8218"/>
    <s v="PR"/>
    <s v="UREMAX NBPT LARANJA ADITIVO INIBIDOR DE UREASE P/ FERTILIZANTES"/>
    <n v="12000"/>
    <n v="12000"/>
    <n v="360172.71223845158"/>
    <n v="-43171.199999999997"/>
    <n v="317001.51223845157"/>
    <n v="-144881.16"/>
    <n v="0"/>
    <n v="0"/>
    <n v="172120.35223845157"/>
    <n v="0.54296382065515503"/>
    <n v="30.014392686537633"/>
    <n v="30.014392686537633"/>
    <n v="100300"/>
    <s v="UREMAX"/>
    <s v="PARANAGUA"/>
    <s v="Additives"/>
    <s v="Domestic"/>
    <s v="06/2026"/>
    <s v="2026"/>
  </r>
  <r>
    <n v="13"/>
    <x v="5"/>
    <n v="1062"/>
    <s v="NUTRIEN - URUGUAY"/>
    <n v="11403"/>
    <s v="EX"/>
    <s v="NITROPROTEC GREEN/L - ADITIVO INIBIDOR DE UREASE P/ FERTILIZANTE NITROGENADO"/>
    <n v="7000"/>
    <n v="7000"/>
    <n v="363997.09449537535"/>
    <n v="0"/>
    <n v="363997.09449537535"/>
    <n v="-156114.82999999999"/>
    <n v="-21958.799999999999"/>
    <n v="-506.7521437179837"/>
    <n v="185416.71235165739"/>
    <n v="0.509390638429981"/>
    <n v="51.999584927910767"/>
    <n v="51.999584927910767"/>
    <n v="100300"/>
    <s v="UREMAX"/>
    <s v="MONTEVIDEO"/>
    <s v="Additives"/>
    <s v="International"/>
    <s v="06/2026"/>
    <s v="2026"/>
  </r>
  <r>
    <n v="13"/>
    <x v="5"/>
    <n v="2003"/>
    <s v="HERINGER - RIO GRANDE"/>
    <n v="8217"/>
    <s v="RS"/>
    <s v="UREMAX NBPT AMARELO ADITIVO INIBIDOR DE UREASE P/ FERTILIZANTES"/>
    <n v="6000"/>
    <n v="6000"/>
    <n v="221894.26267659108"/>
    <n v="-26596.799999999999"/>
    <n v="195297.46267659109"/>
    <n v="-93758.069999999978"/>
    <n v="-14498.255999999972"/>
    <n v="-6.6118498793438532"/>
    <n v="87034.524826711815"/>
    <n v="0.44565107827764944"/>
    <n v="36.982377112765178"/>
    <n v="36.982377112765178"/>
    <n v="100300"/>
    <s v="UREMAX"/>
    <s v="RIO GRANDE"/>
    <s v="Additives"/>
    <s v="Domestic"/>
    <s v="06/2026"/>
    <s v="2026"/>
  </r>
  <r>
    <n v="11"/>
    <x v="5"/>
    <n v="507"/>
    <s v="FERTIAL FERTILIZANTES USIFERTIL - MACEIO"/>
    <n v="14142"/>
    <s v="AL"/>
    <s v="MAX OIL MT IBC ADITIVO ANTI-PO P/ FERTILIZANTES"/>
    <n v="12000"/>
    <n v="12000"/>
    <n v="72960"/>
    <n v="-5107.2000000000007"/>
    <n v="67852.800000000003"/>
    <n v="-32677.060674157299"/>
    <n v="-21003.719143679999"/>
    <n v="-9.5786305529377493"/>
    <n v="14162.441551609767"/>
    <n v="0.20872302324457895"/>
    <n v="6.08"/>
    <n v="6.08"/>
    <n v="100700"/>
    <s v="MAX OIL"/>
    <s v="MACEIO"/>
    <s v="Additives"/>
    <s v="Domestic"/>
    <s v="06/2026"/>
    <s v="2026"/>
  </r>
  <r>
    <n v="11"/>
    <x v="5"/>
    <n v="12629"/>
    <s v="EUROCHEM SERRA DO SALITRE"/>
    <n v="3359"/>
    <s v="MG"/>
    <s v="MAX OIL GRV ADITIVO ANTI-PO P/ FERTILIZANTES"/>
    <n v="90000"/>
    <n v="90000"/>
    <n v="490500"/>
    <n v="-88290"/>
    <n v="402210"/>
    <n v="-206859.4382022472"/>
    <n v="-12668.590771199999"/>
    <n v="-5.7774411185742283"/>
    <n v="182676.19358543423"/>
    <n v="0.45418113320264097"/>
    <n v="5.45"/>
    <n v="5.45"/>
    <n v="100700"/>
    <s v="MAX OIL"/>
    <s v="SERRA DO SALITRE"/>
    <s v="Additives"/>
    <s v="Domestic"/>
    <s v="06/2026"/>
    <s v="2026"/>
  </r>
  <r>
    <n v="11"/>
    <x v="5"/>
    <n v="506"/>
    <s v="FERTINOR - MARUIM"/>
    <n v="14142"/>
    <s v="SE"/>
    <s v="MAX OIL MT IBC ADITIVO ANTI-PO P/ FERTILIZANTES"/>
    <n v="15000"/>
    <n v="15000"/>
    <n v="94800"/>
    <n v="-6636.0000000000009"/>
    <n v="88164"/>
    <n v="-40846.325842696628"/>
    <n v="-24356.873923200001"/>
    <n v="-11.10781834106831"/>
    <n v="22949.692415762303"/>
    <n v="0.26030684197362081"/>
    <n v="6.32"/>
    <n v="6.32"/>
    <n v="100700"/>
    <s v="MAX OIL"/>
    <s v="MARUIM"/>
    <s v="Additives"/>
    <s v="Domestic"/>
    <s v="06/2026"/>
    <s v="2026"/>
  </r>
  <r>
    <n v="11"/>
    <x v="5"/>
    <n v="11724"/>
    <s v="HINOVE - REGISTRO/SP"/>
    <n v="14142"/>
    <s v="SP"/>
    <s v="MAX OIL MT IBC ADITIVO ANTI-PO P/ FERTILIZANTES"/>
    <n v="68400"/>
    <n v="68400"/>
    <n v="413820"/>
    <n v="-49658.400000000001"/>
    <n v="364161.6"/>
    <n v="-186259.2458426966"/>
    <n v="-26878.526752895996"/>
    <n v="-12.257804239908323"/>
    <n v="151011.56960016748"/>
    <n v="0.4146828484940957"/>
    <n v="6.05"/>
    <n v="6.05"/>
    <n v="100700"/>
    <s v="MAX OIL"/>
    <s v="REGISTRO"/>
    <s v="Additives"/>
    <s v="Domestic"/>
    <s v="06/2026"/>
    <s v="2026"/>
  </r>
  <r>
    <n v="11"/>
    <x v="5"/>
    <n v="2619"/>
    <s v="FOSPAR - PARANAGUA"/>
    <n v="4552"/>
    <s v="PR"/>
    <s v="MAX OIL GRMO ADITIVO ANTI-PO P/ FERTILIZANTES"/>
    <n v="60000"/>
    <n v="60000"/>
    <n v="384000"/>
    <n v="-46080"/>
    <n v="337920"/>
    <n v="-171491.22"/>
    <n v="-28099.2114"/>
    <n v="-12.814490757008826"/>
    <n v="138316.75410924299"/>
    <n v="0.4093180460145685"/>
    <n v="6.4"/>
    <n v="6.4"/>
    <n v="100700"/>
    <s v="MAX OIL"/>
    <s v="PARANAGUA"/>
    <s v="Additives"/>
    <s v="Domestic"/>
    <s v="06/2026"/>
    <s v="2026"/>
  </r>
  <r>
    <n v="11"/>
    <x v="5"/>
    <n v="8995"/>
    <s v="FERTIPOL - DOURADOS"/>
    <n v="3351"/>
    <s v="MS"/>
    <s v="MAX OIL MT ADITIVO ANTI-PO P/ FERTILIZANTES"/>
    <n v="30000"/>
    <n v="30000"/>
    <n v="160200"/>
    <n v="-11214.000000000002"/>
    <n v="148986"/>
    <n v="-81269.34"/>
    <n v="-11914.507987199999"/>
    <n v="-5.433545813897191"/>
    <n v="55796.718466986109"/>
    <n v="0.37450980942495343"/>
    <n v="5.34"/>
    <n v="5.34"/>
    <n v="100700"/>
    <s v="MAX OIL"/>
    <s v="DOURADOS"/>
    <s v="Additives"/>
    <s v="Domestic"/>
    <s v="06/2026"/>
    <s v="2026"/>
  </r>
  <r>
    <n v="11"/>
    <x v="5"/>
    <n v="5519"/>
    <s v="GRANUPAR - RIO BRANCO DO SUL"/>
    <n v="3351"/>
    <s v="PR"/>
    <s v="MAX OIL MT ADITIVO ANTI-PO P/ FERTILIZANTES"/>
    <n v="15000"/>
    <n v="15000"/>
    <n v="92250"/>
    <n v="-11070"/>
    <n v="81180"/>
    <n v="-40634.67"/>
    <n v="-12630.886632"/>
    <n v="-5.7602463533403769"/>
    <n v="27908.68312164666"/>
    <n v="0.34378767087517442"/>
    <n v="6.15"/>
    <n v="6.15"/>
    <n v="100700"/>
    <s v="MAX OIL"/>
    <s v="RIO BRANCO DO SUL"/>
    <s v="Additives"/>
    <s v="Domestic"/>
    <s v="06/2026"/>
    <s v="2026"/>
  </r>
  <r>
    <n v="11"/>
    <x v="5"/>
    <n v="201"/>
    <s v="JOSAPAR - PELOTAS"/>
    <n v="14142"/>
    <s v="RS"/>
    <s v="MAX OIL MT IBC ADITIVO ANTI-PO P/ FERTILIZANTES"/>
    <n v="11400"/>
    <n v="11400"/>
    <n v="87666"/>
    <n v="-10519.92"/>
    <n v="77146.080000000002"/>
    <n v="-31043.207640449433"/>
    <n v="-20182.774352831999"/>
    <n v="-9.2042431979126818"/>
    <n v="25910.89376352066"/>
    <n v="0.33586792437827895"/>
    <n v="7.69"/>
    <n v="7.69"/>
    <n v="100700"/>
    <s v="MAX OIL"/>
    <s v="PELOTAS"/>
    <s v="Additives"/>
    <s v="Domestic"/>
    <s v="06/2026"/>
    <s v="2026"/>
  </r>
  <r>
    <n v="11"/>
    <x v="5"/>
    <n v="1788"/>
    <s v="MOSAIC - UBERABA (CIU2)"/>
    <n v="3359"/>
    <s v="MG"/>
    <s v="MAX OIL GRV ADITIVO ANTI-PO P/ FERTILIZANTES"/>
    <n v="30000"/>
    <n v="30000"/>
    <n v="116400"/>
    <n v="0"/>
    <n v="116400"/>
    <n v="-68953.146067415728"/>
    <n v="-2442.1605"/>
    <n v="-1.1137338592492334"/>
    <n v="45003.579698725021"/>
    <n v="0.38662869156980256"/>
    <n v="3.88"/>
    <n v="3.88"/>
    <n v="100700"/>
    <s v="MAX OIL"/>
    <s v="UBERABA"/>
    <s v="Additives"/>
    <s v="Domestic"/>
    <s v="06/2026"/>
    <s v="2026"/>
  </r>
  <r>
    <n v="11"/>
    <x v="5"/>
    <n v="2225"/>
    <s v="ITAFOS"/>
    <n v="3351"/>
    <s v="TO"/>
    <s v="MAX OIL MT ADITIVO ANTI-PO P/ FERTILIZANTES"/>
    <n v="30000"/>
    <n v="30000"/>
    <n v="162000"/>
    <n v="-11340.000000000002"/>
    <n v="150660"/>
    <n v="-81269.34"/>
    <n v="-13774.578854399999"/>
    <n v="-6.2818208987672168"/>
    <n v="55609.799324701242"/>
    <n v="0.36910792064716075"/>
    <n v="5.4"/>
    <n v="5.4"/>
    <n v="100700"/>
    <s v="MAX OIL"/>
    <s v="ARRAIAS"/>
    <s v="Additives"/>
    <s v="Domestic"/>
    <s v="06/2026"/>
    <s v="2026"/>
  </r>
  <r>
    <n v="11"/>
    <x v="5"/>
    <n v="6370"/>
    <s v="YTL S.A. - PARAGUAI"/>
    <n v="7010"/>
    <s v="EX"/>
    <s v="MAX OIL GRI ADITIVO ANTI-PO P/ FERTILIZANTES"/>
    <n v="84000"/>
    <n v="84000"/>
    <n v="569520"/>
    <n v="0"/>
    <n v="569520"/>
    <n v="-204403.5"/>
    <n v="-85320.829440000001"/>
    <n v="-5999.7655403751596"/>
    <n v="273795.90501962486"/>
    <n v="0.48074853388752786"/>
    <n v="6.78"/>
    <n v="6.78"/>
    <n v="100700"/>
    <s v="MAX OIL"/>
    <s v="ITAPUA"/>
    <s v="Additives"/>
    <s v="International"/>
    <s v="06/2026"/>
    <s v="2026"/>
  </r>
  <r>
    <n v="11"/>
    <x v="5"/>
    <n v="2603"/>
    <s v="MOSAIC - S?O LUIS"/>
    <n v="3362"/>
    <s v="MA"/>
    <s v="MAX OIL M-NPK ADITIVO ANTI-PO P/ FERTILIZANTES"/>
    <n v="30000"/>
    <n v="30000"/>
    <n v="193200"/>
    <n v="-13524.000000000002"/>
    <n v="179676"/>
    <n v="-81203.850000000006"/>
    <n v="0"/>
    <n v="0"/>
    <n v="98472.15"/>
    <n v="0.54805399719495085"/>
    <n v="6.44"/>
    <n v="6.44"/>
    <n v="100700"/>
    <s v="MAX OIL"/>
    <s v="SAO LUIS"/>
    <s v="Additives"/>
    <s v="Domestic"/>
    <s v="06/2026"/>
    <s v="2026"/>
  </r>
  <r>
    <n v="11"/>
    <x v="5"/>
    <n v="5300"/>
    <s v="FOSNOR - LUIS EDUARDO MAGALHAES"/>
    <n v="4246"/>
    <s v="BA"/>
    <s v="MAX OIL GRGL ADITIVO ANTI-PO P/ FERTILIZANTES"/>
    <n v="120000"/>
    <n v="120000"/>
    <n v="702000"/>
    <n v="-49140.000000000007"/>
    <n v="652860"/>
    <n v="-310854.59999999998"/>
    <n v="-61935.332659199994"/>
    <n v="-28.245267690807342"/>
    <n v="280041.82207310922"/>
    <n v="0.42894620910012748"/>
    <n v="5.85"/>
    <n v="5.85"/>
    <n v="100700"/>
    <s v="MAX OIL"/>
    <s v="LUIS EDUARDO MAGALHAES"/>
    <s v="Additives"/>
    <s v="Domestic"/>
    <s v="06/2026"/>
    <s v="2026"/>
  </r>
  <r>
    <n v="11"/>
    <x v="5"/>
    <n v="14382"/>
    <s v="GECAL - PAINS-MG"/>
    <n v="3351"/>
    <s v="MG"/>
    <s v="MAX OIL MT ADITIVO ANTI-PO P/ FERTILIZANTES"/>
    <n v="15000"/>
    <n v="15000"/>
    <n v="102900"/>
    <n v="-18522"/>
    <n v="84378"/>
    <n v="-40634.67"/>
    <n v="-6648.4965456"/>
    <n v="-3.0320102695692137"/>
    <n v="37091.801444130433"/>
    <n v="0.43959090573526788"/>
    <n v="6.86"/>
    <n v="6.86"/>
    <n v="100700"/>
    <s v="MAX OIL"/>
    <s v="PAINS"/>
    <s v="Additives"/>
    <s v="Domestic"/>
    <s v="06/2026"/>
    <s v="2026"/>
  </r>
  <r>
    <n v="11"/>
    <x v="5"/>
    <n v="1789"/>
    <s v="MOSAIC - ARAXA (CMA)"/>
    <n v="3359"/>
    <s v="MG"/>
    <s v="MAX OIL GRV ADITIVO ANTI-PO P/ FERTILIZANTES"/>
    <n v="320000"/>
    <n v="320000"/>
    <n v="1241600"/>
    <n v="0"/>
    <n v="1241600"/>
    <n v="-735500.2247191011"/>
    <n v="-33782.908723200002"/>
    <n v="-15.40650964953128"/>
    <n v="472301.4600480494"/>
    <n v="0.38039743882735938"/>
    <n v="3.88"/>
    <n v="3.88"/>
    <n v="100700"/>
    <s v="MAX OIL"/>
    <s v="ARAXA"/>
    <s v="Additives"/>
    <s v="Domestic"/>
    <s v="06/2026"/>
    <s v="2026"/>
  </r>
  <r>
    <n v="11"/>
    <x v="5"/>
    <n v="1792"/>
    <s v="MOSAIC - CATAL?O (CMC3)"/>
    <n v="3359"/>
    <s v="GO"/>
    <s v="MAX OIL GRV ADITIVO ANTI-PO P/ FERTILIZANTES"/>
    <n v="150000"/>
    <n v="150000"/>
    <n v="585000"/>
    <n v="-40950.000000000007"/>
    <n v="544050"/>
    <n v="-344765.73033707862"/>
    <n v="-12210.8025"/>
    <n v="-5.5686692962461679"/>
    <n v="187067.89849362514"/>
    <n v="0.3438432101711702"/>
    <n v="3.9"/>
    <n v="3.9"/>
    <n v="100700"/>
    <s v="MAX OIL"/>
    <s v="CATALAO"/>
    <s v="Additives"/>
    <s v="Domestic"/>
    <s v="06/2026"/>
    <s v="2026"/>
  </r>
  <r>
    <n v="11"/>
    <x v="5"/>
    <n v="1787"/>
    <s v="MOSAIC - UBERABA (CIU1)"/>
    <n v="3359"/>
    <s v="MG"/>
    <s v="MAX OIL GRV ADITIVO ANTI-PO P/ FERTILIZANTES"/>
    <n v="300000"/>
    <n v="300000"/>
    <n v="1164000"/>
    <n v="0"/>
    <n v="1164000"/>
    <n v="-689531.46067415725"/>
    <n v="-24421.605"/>
    <n v="-11.137338592492336"/>
    <n v="450035.79698725027"/>
    <n v="0.38662869156980262"/>
    <n v="3.88"/>
    <n v="3.88"/>
    <n v="100700"/>
    <s v="MAX OIL"/>
    <s v="UBERABA"/>
    <s v="Additives"/>
    <s v="Domestic"/>
    <s v="06/2026"/>
    <s v="2026"/>
  </r>
  <r>
    <n v="13"/>
    <x v="5"/>
    <n v="2"/>
    <s v="CARGILL - UBERLANDIA"/>
    <n v="3700"/>
    <s v="MG"/>
    <s v="CICOAT 41175"/>
    <n v="84000"/>
    <n v="84000"/>
    <n v="92400"/>
    <n v="-23640.539999999997"/>
    <n v="68759.460000000006"/>
    <n v="-15239.31"/>
    <n v="0"/>
    <n v="0"/>
    <n v="53520.150000000009"/>
    <n v="0.77836780568084751"/>
    <n v="1.1000000000000001"/>
    <n v="1.1000000000000001"/>
    <n v="100900"/>
    <s v="PA TERCEIROS"/>
    <s v="UBERLANDIA"/>
    <s v="Fertilizers"/>
    <s v="Domestic"/>
    <s v="06/2026"/>
    <s v="2026"/>
  </r>
  <r>
    <n v="11"/>
    <x v="5"/>
    <n v="2900"/>
    <s v="BIOSAFRA - MARUIM"/>
    <n v="7305"/>
    <s v="SE"/>
    <s v="PHYTOHUMUS BIO PRODUTO A BASE DE EXTRATO DE ALGAS E ACIDOS HUMICOS"/>
    <n v="3000"/>
    <n v="3000"/>
    <n v="70319.603994926554"/>
    <n v="-2620.8000000000002"/>
    <n v="67698.803994926551"/>
    <n v="-19540.41"/>
    <n v="-14851.871999999958"/>
    <n v="-6.7731145105473551"/>
    <n v="33299.748880416038"/>
    <n v="0.4918809035815695"/>
    <n v="23.439867998308852"/>
    <n v="23.439867998308852"/>
    <n v="101000"/>
    <s v="PHYTOHUMUS"/>
    <s v="MARUIM"/>
    <s v="Additives"/>
    <s v="Domestic"/>
    <s v="06/2026"/>
    <s v="2026"/>
  </r>
  <r>
    <n v="11"/>
    <x v="5"/>
    <n v="11770"/>
    <s v="FERTIBAL - EQUADOR"/>
    <n v="14134"/>
    <s v="EX"/>
    <s v="RESIDEX 100 IBC ADITIVO ANTI PO P/ FERTILIZANTES"/>
    <n v="5000"/>
    <n v="5000"/>
    <n v="26500"/>
    <n v="0"/>
    <n v="26500"/>
    <n v="-6017.33"/>
    <n v="-8553.5535359999994"/>
    <n v="-358.71362516796762"/>
    <n v="11570.402838832031"/>
    <n v="0.43661897505026531"/>
    <n v="5.3"/>
    <n v="5.3"/>
    <n v="101300"/>
    <s v="RESIDEX"/>
    <s v="PASAJE - EL ORO"/>
    <s v="Additives"/>
    <s v="International"/>
    <s v="06/2026"/>
    <s v="2026"/>
  </r>
  <r>
    <n v="11"/>
    <x v="5"/>
    <n v="3297"/>
    <s v="MACROSOURCE PERU S.R.L."/>
    <n v="14144"/>
    <s v="EX"/>
    <s v="RESIDEX YELLOW IBC ADITIVO ANTI PO P/ FERTILIZANTES"/>
    <n v="2000"/>
    <n v="2000"/>
    <n v="12402"/>
    <n v="0"/>
    <n v="12402"/>
    <n v="-2941.7077777777781"/>
    <n v="-9057.2866560000002"/>
    <n v="-146.05565540206811"/>
    <n v="256.949910820154"/>
    <n v="2.0718425320122077E-2"/>
    <n v="6.2009999999999996"/>
    <n v="6.2009999999999996"/>
    <n v="101300"/>
    <s v="RESIDEX"/>
    <s v="LIMA"/>
    <s v="Additives"/>
    <s v="International"/>
    <s v="06/2026"/>
    <s v="2026"/>
  </r>
  <r>
    <n v="11"/>
    <x v="5"/>
    <n v="5882"/>
    <s v="ABOPAR - PARAGUAY"/>
    <n v="14144"/>
    <s v="EX"/>
    <s v="RESIDEX YELLOW IBC ADITIVO ANTI PO P/ FERTILIZANTES"/>
    <n v="16000"/>
    <n v="16000"/>
    <n v="99200"/>
    <n v="0"/>
    <n v="99200"/>
    <n v="-23533.662222222225"/>
    <n v="-15538.2"/>
    <n v="-1142.4871478653502"/>
    <n v="58985.65062991243"/>
    <n v="0.59461341360798825"/>
    <n v="6.2"/>
    <n v="6.2"/>
    <n v="101300"/>
    <s v="RESIDEX"/>
    <s v="ASSUNCION"/>
    <s v="Additives"/>
    <s v="International"/>
    <s v="06/2026"/>
    <s v="2026"/>
  </r>
  <r>
    <n v="11"/>
    <x v="5"/>
    <n v="15905"/>
    <s v="CAMPEVO - ITAPETININGA"/>
    <n v="8368"/>
    <s v="SP"/>
    <s v="SULFORCE - BB - 18 L SOLUC?O ALTAMENTE CONCENTRADA EM ENXOFRE (60%)"/>
    <n v="170"/>
    <n v="2795.1461665688953"/>
    <n v="32321.528120593568"/>
    <n v="-2908.8190650641241"/>
    <n v="29412.709055529445"/>
    <n v="-9839.794413430669"/>
    <n v="-755.63618576813087"/>
    <n v="-8312.7190005213597"/>
    <n v="10504.559455809285"/>
    <n v="0.35714355437227158"/>
    <n v="190.12663600349157"/>
    <n v="11.56344827586207"/>
    <n v="101602"/>
    <s v="FERTILIZANTE LIQUIDOS"/>
    <s v="ITAPETININGA"/>
    <s v="Fertilizers"/>
    <s v="Domestic"/>
    <s v="06/2026"/>
    <s v="2026"/>
  </r>
  <r>
    <n v="11"/>
    <x v="5"/>
    <n v="15904"/>
    <s v="CAMPEVO - JALES"/>
    <n v="8368"/>
    <s v="SP"/>
    <s v="SULFORCE - BB - 18 L SOLUC?O ALTAMENTE CONCENTRADA EM ENXOFRE (60%)"/>
    <n v="500"/>
    <n v="8221.0181369673392"/>
    <n v="95063.318001745778"/>
    <n v="-8555.3501913650707"/>
    <n v="86507.967810380709"/>
    <n v="-28940.571804207852"/>
    <n v="-2222.4593699062671"/>
    <n v="-24441.034410146785"/>
    <n v="30903.902226119804"/>
    <n v="0.35723763958782329"/>
    <n v="190.12663600349157"/>
    <n v="11.563448275862068"/>
    <n v="101602"/>
    <s v="FERTILIZANTE LIQUIDOS"/>
    <s v="JALES"/>
    <s v="Fertilizers"/>
    <s v="Domestic"/>
    <s v="06/2026"/>
    <s v="2026"/>
  </r>
  <r>
    <n v="11"/>
    <x v="5"/>
    <n v="15904"/>
    <s v="CAMPEVO - JALES"/>
    <n v="13004"/>
    <s v="SP"/>
    <s v="BIOSINERGIC K - BB - 20L PRODUTO A BASE DE EXTRATO DE ALGAS E ACIDOS HUMICOS"/>
    <n v="71"/>
    <n v="1632.9266143745651"/>
    <n v="43190.908950207246"/>
    <n v="-4088.3442749033075"/>
    <n v="39102.56467530394"/>
    <n v="-11546.117073048521"/>
    <n v="-441.44326092252351"/>
    <n v="-10334.05849398674"/>
    <n v="16780.945847346156"/>
    <n v="0.42915205144956953"/>
    <n v="608.32266127052458"/>
    <n v="26.45"/>
    <n v="101602"/>
    <s v="FERTILIZANTE LIQUIDOS"/>
    <s v="JALES"/>
    <s v="Fertilizers"/>
    <s v="Domestic"/>
    <s v="06/2026"/>
    <s v="2026"/>
  </r>
  <r>
    <n v="11"/>
    <x v="5"/>
    <n v="15906"/>
    <s v="CAMPEVO - JAU"/>
    <n v="8368"/>
    <s v="SP"/>
    <s v="SULFORCE - BB - 18 L SOLUC?O ALTAMENTE CONCENTRADA EM ENXOFRE (60%)"/>
    <n v="500"/>
    <n v="8221.0181369673392"/>
    <n v="95063.318001745778"/>
    <n v="-8555.3501913650707"/>
    <n v="86507.967810380709"/>
    <n v="-28940.571804207852"/>
    <n v="-2222.4593699062671"/>
    <n v="-24441.558520198196"/>
    <n v="30903.378116068394"/>
    <n v="0.35723158107015524"/>
    <n v="190.12663600349157"/>
    <n v="11.563448275862068"/>
    <n v="101602"/>
    <s v="FERTILIZANTE LIQUIDOS"/>
    <s v="JAU"/>
    <s v="Fertilizers"/>
    <s v="Domestic"/>
    <s v="06/2026"/>
    <s v="2026"/>
  </r>
  <r>
    <n v="11"/>
    <x v="5"/>
    <n v="15905"/>
    <s v="CAMPEVO - ITAPETININGA"/>
    <n v="13004"/>
    <s v="SP"/>
    <s v="BIOSINERGIC K - BB - 20L PRODUTO A BASE DE EXTRATO DE ALGAS E ACIDOS HUMICOS"/>
    <n v="23"/>
    <n v="528.97622719176059"/>
    <n v="13991.421209222068"/>
    <n v="-1324.3932158137472"/>
    <n v="12667.027993408321"/>
    <n v="-3740.2914461988175"/>
    <n v="-143.00274649602875"/>
    <n v="-3350.4523112491952"/>
    <n v="5433.2814894642797"/>
    <n v="0.4289310398849403"/>
    <n v="608.32266127052469"/>
    <n v="26.45"/>
    <n v="101602"/>
    <s v="FERTILIZANTE LIQUIDOS"/>
    <s v="ITAPETININGA"/>
    <s v="Fertilizers"/>
    <s v="Domestic"/>
    <s v="06/2026"/>
    <s v="2026"/>
  </r>
  <r>
    <n v="11"/>
    <x v="5"/>
    <n v="15906"/>
    <s v="CAMPEVO - JAU"/>
    <n v="13004"/>
    <s v="SP"/>
    <s v="BIOSINERGIC K - BB - 20L PRODUTO A BASE DE EXTRATO DE ALGAS E ACIDOS HUMICOS"/>
    <n v="63"/>
    <n v="1448.9348831774312"/>
    <n v="38324.327660043054"/>
    <n v="-3627.6857650550473"/>
    <n v="34696.64189498801"/>
    <n v="-10245.146135240238"/>
    <n v="-391.70317518477435"/>
    <n v="-9170.4080231416665"/>
    <n v="14889.384561421328"/>
    <n v="0.42913042151125652"/>
    <n v="608.32266127052469"/>
    <n v="26.45"/>
    <n v="101602"/>
    <s v="FERTILIZANTE LIQUIDOS"/>
    <s v="JAU"/>
    <s v="Fertilizers"/>
    <s v="Domestic"/>
    <s v="06/2026"/>
    <s v="2026"/>
  </r>
  <r>
    <n v="11"/>
    <x v="5"/>
    <n v="15908"/>
    <s v="CAMPEVO - S?O JOSE DO RIO PRETO"/>
    <n v="8368"/>
    <s v="SP"/>
    <s v="SULFORCE - BB - 18 L SOLUC?O ALTAMENTE CONCENTRADA EM ENXOFRE (60%)"/>
    <n v="500"/>
    <n v="8221.0181369673392"/>
    <n v="95063.318001745778"/>
    <n v="-8555.3501913650707"/>
    <n v="86507.967810380709"/>
    <n v="-28940.571804207852"/>
    <n v="-2222.4593699062671"/>
    <n v="-24441.034410146785"/>
    <n v="30903.902226119804"/>
    <n v="0.35723763958782329"/>
    <n v="190.12663600349157"/>
    <n v="11.563448275862068"/>
    <n v="101602"/>
    <s v="FERTILIZANTE LIQUIDOS"/>
    <s v="SAO JOSE DO RIO PRETO"/>
    <s v="Fertilizers"/>
    <s v="Domestic"/>
    <s v="06/2026"/>
    <s v="2026"/>
  </r>
  <r>
    <n v="11"/>
    <x v="5"/>
    <n v="15908"/>
    <s v="CAMPEVO - S?O JOSE DO RIO PRETO"/>
    <n v="13004"/>
    <s v="SP"/>
    <s v="BIOSINERGIC K - BB - 20L PRODUTO A BASE DE EXTRATO DE ALGAS E ACIDOS HUMICOS"/>
    <n v="63"/>
    <n v="1448.9348831774312"/>
    <n v="38324.327660043054"/>
    <n v="-3627.6857650550473"/>
    <n v="34696.64189498801"/>
    <n v="-10245.146135240238"/>
    <n v="-391.70317518477435"/>
    <n v="-9169.8839130902543"/>
    <n v="14889.90867147274"/>
    <n v="0.42914552700916031"/>
    <n v="608.32266127052469"/>
    <n v="26.45"/>
    <n v="101602"/>
    <s v="FERTILIZANTE LIQUIDOS"/>
    <s v="SAO JOSE DO RIO PRETO"/>
    <s v="Fertilizers"/>
    <s v="Domestic"/>
    <s v="06/2026"/>
    <s v="2026"/>
  </r>
  <r>
    <n v="11"/>
    <x v="5"/>
    <n v="15917"/>
    <s v="MINAS FARM"/>
    <n v="8301"/>
    <s v="MG"/>
    <s v="BIOSINERGIC - BB - 20L PRODUTO A BASE DE EXTRATO DE ALGAS E ACIDOS HUMICOS"/>
    <n v="5"/>
    <n v="114.99483199820881"/>
    <n v="3041.6133063526231"/>
    <n v="-300.02038143179334"/>
    <n v="2741.5929249208298"/>
    <n v="-842.55772538280348"/>
    <n v="-27.757373240946958"/>
    <n v="-728.92689029098028"/>
    <n v="1142.3509360060991"/>
    <n v="0.41667416253603268"/>
    <n v="608.32266127052458"/>
    <n v="26.45"/>
    <n v="101602"/>
    <s v="FERTILIZANTE LIQUIDOS"/>
    <s v="UBERLANDIA"/>
    <s v="Fertilizers"/>
    <s v="Domestic"/>
    <s v="06/2026"/>
    <s v="2026"/>
  </r>
  <r>
    <n v="11"/>
    <x v="5"/>
    <n v="1159"/>
    <s v="YARA - RIO GRANDE"/>
    <n v="4627"/>
    <s v="RS"/>
    <s v="COAT BIO GR ADITIVO ANTI-PO P/ FERTILIZANTES"/>
    <n v="360000"/>
    <n v="360000"/>
    <n v="3268835.074242353"/>
    <n v="-390960"/>
    <n v="2877875.074242353"/>
    <n v="-1736427.2914285711"/>
    <n v="-293059.26"/>
    <n v="-133.64806310990801"/>
    <n v="848254.87475067191"/>
    <n v="0.29475041579905575"/>
    <n v="9.0800974284509799"/>
    <n v="9.0800974284509799"/>
    <n v="102200"/>
    <s v="COAT BIO"/>
    <s v="RIO GRANDE"/>
    <s v="Additives"/>
    <s v="Domestic"/>
    <s v="06/2026"/>
    <s v="2026"/>
  </r>
  <r>
    <n v="11"/>
    <x v="5"/>
    <n v="903"/>
    <s v="YARA - PONTA GROSSA"/>
    <n v="4627"/>
    <s v="PR"/>
    <s v="COAT BIO GR ADITIVO ANTI-PO P/ FERTILIZANTES"/>
    <n v="60000"/>
    <n v="60000"/>
    <n v="514706.07522600587"/>
    <n v="-61560"/>
    <n v="453146.07522600587"/>
    <n v="-289404.54857142852"/>
    <n v="-23627.927231999998"/>
    <n v="-10.77538621321384"/>
    <n v="140102.82403636415"/>
    <n v="0.30917805912031371"/>
    <n v="8.578434587100098"/>
    <n v="8.578434587100098"/>
    <n v="102200"/>
    <s v="COAT BIO"/>
    <s v="PONTA GROSSA"/>
    <s v="Additives"/>
    <s v="Domestic"/>
    <s v="06/2026"/>
    <s v="2026"/>
  </r>
  <r>
    <n v="11"/>
    <x v="5"/>
    <n v="97"/>
    <s v="FECOAGRO - SAO FRANCISCO DO SUL"/>
    <n v="13600"/>
    <s v="SC"/>
    <s v="COATMAX BMZC 3663 - MICRONUTRIENTE LIQUIDO"/>
    <n v="120000"/>
    <n v="120000"/>
    <n v="1109122.8253866839"/>
    <n v="-43200"/>
    <n v="1065922.8253866839"/>
    <n v="-711063.3899999999"/>
    <n v="-67231.241999999998"/>
    <n v="-30.660438007567137"/>
    <n v="287597.5329486765"/>
    <n v="0.26981084005246342"/>
    <n v="9.2426902115556988"/>
    <n v="9.2426902115556988"/>
    <n v="102300"/>
    <s v="COAT MAX"/>
    <s v="SAO FRANCISCO DO SUL"/>
    <s v="Additives"/>
    <s v="Domestic"/>
    <s v="06/2026"/>
    <s v="2026"/>
  </r>
  <r>
    <n v="11"/>
    <x v="5"/>
    <n v="1292"/>
    <s v="CIBRA - S?O FRANCISCO DO SUL"/>
    <n v="12293"/>
    <s v="SC"/>
    <s v="COATMAX BMZ 366 - MICRONUTRIENTE LIQUIDO"/>
    <n v="12000"/>
    <n v="12000"/>
    <n v="98588.695589927462"/>
    <n v="-3840"/>
    <n v="94748.695589927462"/>
    <n v="-40639.230000000018"/>
    <n v="-9636.5870840148"/>
    <n v="-4.3947125191285012"/>
    <n v="44468.48379339352"/>
    <n v="0.46933082842483875"/>
    <n v="8.2157246324939557"/>
    <n v="8.2157246324939557"/>
    <n v="102300"/>
    <s v="COAT MAX"/>
    <s v="S?O FRANCISCO DO SUL"/>
    <s v="Additives"/>
    <s v="Domestic"/>
    <s v="06/2026"/>
    <s v="2026"/>
  </r>
  <r>
    <n v="11"/>
    <x v="5"/>
    <n v="2900"/>
    <s v="BIOSAFRA - MARUIM"/>
    <n v="12813"/>
    <s v="SE"/>
    <s v="COATMAX BMZ 3313 - MICRONUTRIENTE LIQUIDO"/>
    <n v="2400"/>
    <n v="2400"/>
    <n v="28048.483895334364"/>
    <n v="-1092.48"/>
    <n v="26956.003895334365"/>
    <n v="-11109.402222222223"/>
    <n v="-3897.0998277119998"/>
    <n v="-1.7772509345709295"/>
    <n v="11947.724594465571"/>
    <n v="0.44323055601477795"/>
    <n v="11.686868289722652"/>
    <n v="11.686868289722652"/>
    <n v="102300"/>
    <s v="COAT MAX"/>
    <s v="MARUIM"/>
    <s v="Additives"/>
    <s v="Domestic"/>
    <s v="06/2026"/>
    <s v="2026"/>
  </r>
  <r>
    <n v="11"/>
    <x v="5"/>
    <n v="2352"/>
    <s v="BR FERTIL - PARANAGUA"/>
    <n v="12813"/>
    <s v="PR"/>
    <s v="COATMAX BMZ 3313 - MICRONUTRIENTE LIQUIDO"/>
    <n v="6000"/>
    <n v="6000"/>
    <n v="61617.934743704667"/>
    <n v="-2400"/>
    <n v="59217.934743704667"/>
    <n v="-27773.505555555559"/>
    <n v="-4374.3962786472002"/>
    <n v="-1.9949193549331552"/>
    <n v="27068.037990146975"/>
    <n v="0.45709189466497768"/>
    <n v="10.269655790617444"/>
    <n v="10.269655790617444"/>
    <n v="102300"/>
    <s v="COAT MAX"/>
    <s v="PARANAGUA"/>
    <s v="Additives"/>
    <s v="Domestic"/>
    <s v="06/2026"/>
    <s v="2026"/>
  </r>
  <r>
    <n v="11"/>
    <x v="5"/>
    <n v="2247"/>
    <s v="ADUBOS LEAO - LARANJEIRAS"/>
    <n v="12813"/>
    <s v="SE"/>
    <s v="COATMAX BMZ 3313 - MICRONUTRIENTE LIQUIDO"/>
    <n v="2400"/>
    <n v="2400"/>
    <n v="28713.957590566377"/>
    <n v="-1118.4000000000001"/>
    <n v="27595.557590566375"/>
    <n v="-11109.402222222223"/>
    <n v="-3698.021972736"/>
    <n v="-1.6864625741361916"/>
    <n v="12786.446933034016"/>
    <n v="0.46335164241816595"/>
    <n v="11.964148996069325"/>
    <n v="11.964148996069325"/>
    <n v="102300"/>
    <s v="COAT MAX"/>
    <s v="LARANJEIRAS"/>
    <s v="Additives"/>
    <s v="Domestic"/>
    <s v="06/2026"/>
    <s v="2026"/>
  </r>
  <r>
    <n v="11"/>
    <x v="5"/>
    <n v="8855"/>
    <s v="TERMAG - GUARUJA"/>
    <n v="7398"/>
    <s v="SP"/>
    <s v="SUPERSELEN ADITIVO ANTI PO P/ FERTILIZANTES"/>
    <n v="60000"/>
    <n v="60000"/>
    <n v="147600"/>
    <n v="-17712"/>
    <n v="129888"/>
    <n v="-38197.393457943916"/>
    <n v="-26091.264326399996"/>
    <n v="-11.898777541825496"/>
    <n v="65587.443438114264"/>
    <n v="0.50495383282608297"/>
    <n v="2.46"/>
    <n v="2.46"/>
    <n v="102600"/>
    <s v="SUPERSELEN"/>
    <s v="GUARUJA"/>
    <s v="Additives"/>
    <s v="Domestic"/>
    <s v="06/2026"/>
    <s v="2026"/>
  </r>
  <r>
    <n v="11"/>
    <x v="5"/>
    <n v="8414"/>
    <s v="AMAGGI - PORTO VELHO"/>
    <n v="7398"/>
    <s v="RO"/>
    <s v="SUPERSELEN ADITIVO ANTI PO P/ FERTILIZANTES"/>
    <n v="30000"/>
    <n v="30000"/>
    <n v="70800"/>
    <n v="-4956.0000000000009"/>
    <n v="65844"/>
    <n v="-19098.696728971958"/>
    <n v="-24507.690479999997"/>
    <n v="-11.176597402003717"/>
    <n v="22226.436193626036"/>
    <n v="0.33756205870885786"/>
    <n v="2.36"/>
    <n v="2.36"/>
    <n v="102600"/>
    <s v="SUPERSELEN"/>
    <s v="PORTO VELHO"/>
    <s v="Additives"/>
    <s v="Domestic"/>
    <s v="06/2026"/>
    <s v="2026"/>
  </r>
  <r>
    <n v="11"/>
    <x v="5"/>
    <n v="1953"/>
    <s v="AMAGGI - COMODORO"/>
    <n v="7398"/>
    <s v="MT"/>
    <s v="SUPERSELEN ADITIVO ANTI PO P/ FERTILIZANTES"/>
    <n v="60000"/>
    <n v="60000"/>
    <n v="125400"/>
    <n v="-8778"/>
    <n v="116622"/>
    <n v="-38197.393457943916"/>
    <n v="-41876.730604799995"/>
    <n v="-19.097652586398144"/>
    <n v="36528.778284669686"/>
    <n v="0.31322373381239976"/>
    <n v="2.09"/>
    <n v="2.09"/>
    <n v="102600"/>
    <s v="SUPERSELEN"/>
    <s v="COMODORO"/>
    <s v="Additives"/>
    <s v="Domestic"/>
    <s v="06/2026"/>
    <s v="2026"/>
  </r>
  <r>
    <n v="11"/>
    <x v="5"/>
    <n v="8413"/>
    <s v="AMAGGI - SINOP"/>
    <n v="7398"/>
    <s v="MT"/>
    <s v="SUPERSELEN ADITIVO ANTI PO P/ FERTILIZANTES"/>
    <n v="64000"/>
    <n v="64000"/>
    <n v="132480"/>
    <n v="-9273.6"/>
    <n v="123206.39999999999"/>
    <n v="-40743.886355140174"/>
    <n v="-46705.601280000003"/>
    <n v="-21.29983248935946"/>
    <n v="35735.612532370462"/>
    <n v="0.29004672267325776"/>
    <n v="2.0699999999999998"/>
    <n v="2.0699999999999998"/>
    <n v="102600"/>
    <s v="SUPERSELEN"/>
    <s v="SINOP"/>
    <s v="Additives"/>
    <s v="Domestic"/>
    <s v="06/2026"/>
    <s v="2026"/>
  </r>
  <r>
    <n v="11"/>
    <x v="6"/>
    <n v="2651"/>
    <s v="AGROBROKERS - COLOMBIA"/>
    <n v="14146"/>
    <s v="EX"/>
    <s v="DUSTPROTEC BLACK PLUS IBC ADITIVO ANTI PO P/ FERTILIZANTES"/>
    <n v="2400"/>
    <n v="2400"/>
    <n v="23913.599999999999"/>
    <n v="0"/>
    <n v="23913.599999999999"/>
    <n v="-4798.2921739130434"/>
    <n v="-4558.3718399999998"/>
    <n v="-443.42050386253186"/>
    <n v="14113.515482224424"/>
    <n v="0.59018782124918145"/>
    <n v="9.9639999999999986"/>
    <n v="9.9639999999999986"/>
    <n v="100100"/>
    <s v="START ANTIDUSTING"/>
    <s v="SANTA MARTA"/>
    <s v="Additives"/>
    <s v="International"/>
    <s v="07/2026"/>
    <s v="2026"/>
  </r>
  <r>
    <n v="11"/>
    <x v="6"/>
    <n v="2563"/>
    <s v="N?O CLIENTE - ADUBOS REAL - POUSO ALEGRE"/>
    <n v="1043"/>
    <s v="MG"/>
    <s v="START ANTIDUSTING SC AD ADITIVO ANTI PO P/ FERTILIZANTES"/>
    <n v="30000"/>
    <n v="30000"/>
    <n v="69000"/>
    <n v="-12420"/>
    <n v="56580"/>
    <n v="-11677.992287234043"/>
    <n v="-11235.833481600001"/>
    <n v="-5.7777313406619033"/>
    <n v="33660.3964998253"/>
    <n v="0.59491686991561155"/>
    <n v="2.2999999999999998"/>
    <n v="2.2999999999999998"/>
    <n v="100100"/>
    <s v="START ANTIDUSTING"/>
    <s v="POUSO ALEGRE"/>
    <s v="Additives"/>
    <s v="Domestic"/>
    <s v="07/2026"/>
    <s v="2026"/>
  </r>
  <r>
    <n v="11"/>
    <x v="6"/>
    <n v="16453"/>
    <s v="HIDROVIAS DO BRASIL ADMINISTRACAO PORTUA"/>
    <n v="1043"/>
    <s v="SP"/>
    <s v="START ANTIDUSTING SC AD ADITIVO ANTI PO P/ FERTILIZANTES"/>
    <n v="60000"/>
    <n v="60000"/>
    <n v="141600"/>
    <n v="-16992"/>
    <n v="124608"/>
    <n v="-23355.984574468086"/>
    <n v="0"/>
    <n v="0"/>
    <n v="101252.01542553192"/>
    <n v="0.81256432512785637"/>
    <n v="2.36"/>
    <n v="2.36"/>
    <n v="100100"/>
    <s v="START ANTIDUSTING"/>
    <s v="SANTOS"/>
    <s v="Additives"/>
    <s v="Domestic"/>
    <s v="07/2026"/>
    <s v="2026"/>
  </r>
  <r>
    <n v="11"/>
    <x v="6"/>
    <n v="12568"/>
    <s v="FRIBON FERTILIZANTES - BARCARENA"/>
    <n v="1043"/>
    <s v="PA"/>
    <s v="START ANTIDUSTING SC AD ADITIVO ANTI PO P/ FERTILIZANTES"/>
    <n v="30000"/>
    <n v="30000"/>
    <n v="69000"/>
    <n v="-4830.0000000000009"/>
    <n v="64170"/>
    <n v="-11677.992287234043"/>
    <n v="-26978.690699999999"/>
    <n v="-13.873080892724024"/>
    <n v="25499.443931873237"/>
    <n v="0.39737328863757576"/>
    <n v="2.2999999999999998"/>
    <n v="2.2999999999999998"/>
    <n v="100100"/>
    <s v="START ANTIDUSTING"/>
    <s v="BARCARENA "/>
    <s v="Additives"/>
    <s v="Domestic"/>
    <s v="07/2026"/>
    <s v="2026"/>
  </r>
  <r>
    <n v="11"/>
    <x v="6"/>
    <n v="11212"/>
    <s v="INPEK FERTILIZANTES - PARANAGUA"/>
    <n v="1043"/>
    <s v="PR"/>
    <s v="START ANTIDUSTING SC AD ADITIVO ANTI PO P/ FERTILIZANTES"/>
    <n v="30000"/>
    <n v="30000"/>
    <n v="57000"/>
    <n v="-6840"/>
    <n v="50160"/>
    <n v="-11677.992287234043"/>
    <n v="-14049.6057"/>
    <n v="-7.224639570332319"/>
    <n v="24425.177373195627"/>
    <n v="0.48694532243212973"/>
    <n v="1.9"/>
    <n v="1.9"/>
    <n v="100100"/>
    <s v="START ANTIDUSTING"/>
    <s v="PARANAGUA"/>
    <s v="Additives"/>
    <s v="Domestic"/>
    <s v="07/2026"/>
    <s v="2026"/>
  </r>
  <r>
    <n v="11"/>
    <x v="6"/>
    <n v="86"/>
    <s v="ADUBOS ARAGUAIA - ANAPOLIS"/>
    <n v="14133"/>
    <s v="GO"/>
    <s v="START ANTIDUSTING SC AD IBC ADITIVO ANTI PO P/ FERTILIZANTES"/>
    <n v="12000"/>
    <n v="12000"/>
    <n v="33000"/>
    <n v="-2310"/>
    <n v="30690"/>
    <n v="-14778.192149999999"/>
    <n v="-4650.7495518743999"/>
    <n v="-2.3915254250998013"/>
    <n v="11258.666772700501"/>
    <n v="0.36685131224178885"/>
    <n v="2.75"/>
    <n v="2.75"/>
    <n v="100100"/>
    <s v="START ANTIDUSTING"/>
    <s v="ANAPOLIS"/>
    <s v="Additives"/>
    <s v="Domestic"/>
    <s v="07/2026"/>
    <s v="2026"/>
  </r>
  <r>
    <n v="11"/>
    <x v="6"/>
    <n v="729"/>
    <s v="FERTILIZ. TOCANTINS - S?O LUIS"/>
    <n v="8061"/>
    <s v="MA"/>
    <s v="START ANTIDUSTING EURO SC ADITIVO ANTI PO P/ FERTILIZANTES"/>
    <n v="30000"/>
    <n v="30000"/>
    <n v="117000"/>
    <n v="-8190.0000000000009"/>
    <n v="108810"/>
    <n v="-16706.329999999998"/>
    <n v="-26461.527299999998"/>
    <n v="-13.607143239828355"/>
    <n v="65628.535556760165"/>
    <n v="0.6031480154099822"/>
    <n v="3.9"/>
    <n v="3.9"/>
    <n v="100100"/>
    <s v="START ANTIDUSTING"/>
    <s v="SAO LUIS"/>
    <s v="Additives"/>
    <s v="Domestic"/>
    <s v="07/2026"/>
    <s v="2026"/>
  </r>
  <r>
    <n v="11"/>
    <x v="6"/>
    <n v="6124"/>
    <s v="MOSAIC - UBERABA II"/>
    <n v="1043"/>
    <s v="MG"/>
    <s v="START ANTIDUSTING SC AD ADITIVO ANTI PO P/ FERTILIZANTES"/>
    <n v="60000"/>
    <n v="60000"/>
    <n v="101400"/>
    <n v="0"/>
    <n v="101400"/>
    <n v="-23355.984574468086"/>
    <n v="-4884.3209999999999"/>
    <n v="-2.5116333884590887"/>
    <n v="73157.18279214346"/>
    <n v="0.72147123069175012"/>
    <n v="1.69"/>
    <n v="1.69"/>
    <n v="100100"/>
    <s v="START ANTIDUSTING"/>
    <s v="UBERABA"/>
    <s v="Additives"/>
    <s v="Domestic"/>
    <s v="07/2026"/>
    <s v="2026"/>
  </r>
  <r>
    <n v="11"/>
    <x v="6"/>
    <n v="16921"/>
    <s v="FERTIBAS FERTILIZANTES"/>
    <n v="1"/>
    <s v="RS"/>
    <s v="START ANTIDUSTING KG ADITIVO ANTI PO P/ FERTILIZANTES"/>
    <n v="30000"/>
    <n v="30000"/>
    <n v="90000"/>
    <n v="-10800"/>
    <n v="79200"/>
    <n v="-20433.108888888884"/>
    <n v="-24191.754599999997"/>
    <n v="-12.439972429897367"/>
    <n v="34562.696538681223"/>
    <n v="0.43639768356920733"/>
    <n v="3"/>
    <n v="3"/>
    <n v="100100"/>
    <s v="START ANTIDUSTING"/>
    <s v="CANOAS"/>
    <s v="Additives"/>
    <s v="Domestic"/>
    <s v="07/2026"/>
    <s v="2026"/>
  </r>
  <r>
    <n v="11"/>
    <x v="6"/>
    <n v="87"/>
    <s v="ADUBOS ARAGUAIA - CATALAO"/>
    <n v="1"/>
    <s v="GO"/>
    <s v="START ANTIDUSTING KG ADITIVO ANTI PO P/ FERTILIZANTES"/>
    <n v="30000"/>
    <n v="30000"/>
    <n v="64500"/>
    <n v="-4515"/>
    <n v="59985"/>
    <n v="-20433.108888888884"/>
    <n v="-2442.1605"/>
    <n v="-1.2558166942295443"/>
    <n v="37108.474794416885"/>
    <n v="0.61862923721625218"/>
    <n v="2.15"/>
    <n v="2.15"/>
    <n v="100100"/>
    <s v="START ANTIDUSTING"/>
    <s v="CATALAO"/>
    <s v="Additives"/>
    <s v="Domestic"/>
    <s v="07/2026"/>
    <s v="2026"/>
  </r>
  <r>
    <n v="11"/>
    <x v="6"/>
    <n v="87"/>
    <s v="ADUBOS ARAGUAIA - CATALAO"/>
    <n v="14133"/>
    <s v="GO"/>
    <s v="START ANTIDUSTING SC AD IBC ADITIVO ANTI PO P/ FERTILIZANTES"/>
    <n v="10000"/>
    <n v="10000"/>
    <n v="27500"/>
    <n v="-1925.0000000000002"/>
    <n v="25575"/>
    <n v="-12315.160125"/>
    <n v="-1743.0321999999999"/>
    <n v="-0.89630838568540017"/>
    <n v="11515.911366614315"/>
    <n v="0.45028001433487058"/>
    <n v="2.75"/>
    <n v="2.75"/>
    <n v="100100"/>
    <s v="START ANTIDUSTING"/>
    <s v="CATALAO"/>
    <s v="Additives"/>
    <s v="Domestic"/>
    <s v="07/2026"/>
    <s v="2026"/>
  </r>
  <r>
    <n v="11"/>
    <x v="6"/>
    <n v="13861"/>
    <s v="ADUBOS ARAGUAIA - GUARANT? DO NORTE"/>
    <n v="1"/>
    <s v="MT"/>
    <s v="START ANTIDUSTING KG ADITIVO ANTI PO P/ FERTILIZANTES"/>
    <n v="30000"/>
    <n v="30000"/>
    <n v="85200"/>
    <n v="-5964.0000000000009"/>
    <n v="79236"/>
    <n v="-20433.108888888884"/>
    <n v="-22431.382390052997"/>
    <n v="-11.534747400948941"/>
    <n v="36359.973973657172"/>
    <n v="0.45888199774921967"/>
    <n v="2.84"/>
    <n v="2.84"/>
    <n v="100100"/>
    <s v="START ANTIDUSTING"/>
    <s v="GUARANT? DO NORTE"/>
    <s v="Additives"/>
    <s v="Domestic"/>
    <s v="07/2026"/>
    <s v="2026"/>
  </r>
  <r>
    <n v="11"/>
    <x v="6"/>
    <n v="1023"/>
    <s v="ADUBOS ARAGUAIA - RONDONOPOLIS"/>
    <n v="14133"/>
    <s v="MT"/>
    <s v="START ANTIDUSTING SC AD IBC ADITIVO ANTI PO P/ FERTILIZANTES"/>
    <n v="12000"/>
    <n v="12000"/>
    <n v="34320"/>
    <n v="-2402.4"/>
    <n v="31917.599999999999"/>
    <n v="-14778.192149999999"/>
    <n v="-7644.7315593636004"/>
    <n v="-3.9311017908742136"/>
    <n v="9490.7451888455234"/>
    <n v="0.29735146717940958"/>
    <n v="2.86"/>
    <n v="2.86"/>
    <n v="100100"/>
    <s v="START ANTIDUSTING"/>
    <s v="RONDONOPOLIS"/>
    <s v="Additives"/>
    <s v="Domestic"/>
    <s v="07/2026"/>
    <s v="2026"/>
  </r>
  <r>
    <n v="11"/>
    <x v="6"/>
    <n v="7443"/>
    <s v="MOSAIC - CATAL?O"/>
    <n v="1043"/>
    <s v="GO"/>
    <s v="START ANTIDUSTING SC AD ADITIVO ANTI PO P/ FERTILIZANTES"/>
    <n v="30000"/>
    <n v="30000"/>
    <n v="72000"/>
    <n v="-5040.0000000000009"/>
    <n v="66960"/>
    <n v="-11677.992287234043"/>
    <n v="-2442.1605"/>
    <n v="-1.2558166942295443"/>
    <n v="52838.59139607173"/>
    <n v="0.78910680101660291"/>
    <n v="2.4"/>
    <n v="2.4"/>
    <n v="100100"/>
    <s v="START ANTIDUSTING"/>
    <s v="CATALAO"/>
    <s v="Additives"/>
    <s v="Domestic"/>
    <s v="07/2026"/>
    <s v="2026"/>
  </r>
  <r>
    <n v="11"/>
    <x v="6"/>
    <n v="7479"/>
    <s v="MOSAIC - CUBAT?O"/>
    <n v="1043"/>
    <s v="SP"/>
    <s v="START ANTIDUSTING SC AD ADITIVO ANTI PO P/ FERTILIZANTES"/>
    <n v="30000"/>
    <n v="30000"/>
    <n v="64800"/>
    <n v="-7776"/>
    <n v="57024"/>
    <n v="-11677.992287234043"/>
    <n v="0"/>
    <n v="0"/>
    <n v="45346.007712765961"/>
    <n v="0.79520917004710223"/>
    <n v="2.16"/>
    <n v="2.16"/>
    <n v="100100"/>
    <s v="START ANTIDUSTING"/>
    <s v="CUBATAO"/>
    <s v="Additives"/>
    <s v="Domestic"/>
    <s v="07/2026"/>
    <s v="2026"/>
  </r>
  <r>
    <n v="11"/>
    <x v="6"/>
    <n v="2559"/>
    <s v="MOSAIC - RIO GRANDE"/>
    <n v="1043"/>
    <s v="RS"/>
    <s v="START ANTIDUSTING SC AD ADITIVO ANTI PO P/ FERTILIZANTES"/>
    <n v="60000"/>
    <n v="60000"/>
    <n v="150600"/>
    <n v="-18072"/>
    <n v="132528"/>
    <n v="-23355.984574468086"/>
    <n v="-48843.21"/>
    <n v="-25.116333884590883"/>
    <n v="60303.689091647328"/>
    <n v="0.45502602538065412"/>
    <n v="2.5099999999999998"/>
    <n v="2.5099999999999998"/>
    <n v="100100"/>
    <s v="START ANTIDUSTING"/>
    <s v="RIO GRANDE"/>
    <s v="Additives"/>
    <s v="Domestic"/>
    <s v="07/2026"/>
    <s v="2026"/>
  </r>
  <r>
    <n v="11"/>
    <x v="6"/>
    <n v="16951"/>
    <s v="3 TENTOS - SANTA BARBARA DO SUL"/>
    <n v="1"/>
    <s v="RS"/>
    <s v="START ANTIDUSTING KG ADITIVO ANTI PO P/ FERTILIZANTES"/>
    <n v="30000"/>
    <n v="30000"/>
    <n v="90000"/>
    <n v="-10800"/>
    <n v="79200"/>
    <n v="-20433.108888888884"/>
    <n v="0"/>
    <n v="0"/>
    <n v="58766.891111111116"/>
    <n v="0.74200620089786762"/>
    <n v="3"/>
    <n v="3"/>
    <n v="100100"/>
    <s v="START ANTIDUSTING"/>
    <s v="SANTA BARBARA DO SUL"/>
    <s v="Additives"/>
    <s v="Domestic"/>
    <s v="07/2026"/>
    <s v="2026"/>
  </r>
  <r>
    <n v="11"/>
    <x v="6"/>
    <n v="6370"/>
    <s v="YTL S.A. - PARAGUAI"/>
    <n v="4067"/>
    <s v="EX"/>
    <s v="DUSTPROTEC BLACK PLUS ADITIVO ANTI PO P/ FERTILIZANTES"/>
    <n v="30000"/>
    <n v="30000"/>
    <n v="154200"/>
    <n v="0"/>
    <n v="154200"/>
    <n v="-45947.301666666666"/>
    <n v="-30471.7248"/>
    <n v="-5529.1252971726235"/>
    <n v="72251.848236160717"/>
    <n v="0.46855932708275433"/>
    <n v="5.14"/>
    <n v="5.14"/>
    <n v="100100"/>
    <s v="START ANTIDUSTING"/>
    <s v="ITAPUA"/>
    <s v="Additives"/>
    <s v="International"/>
    <s v="07/2026"/>
    <s v="2026"/>
  </r>
  <r>
    <n v="11"/>
    <x v="6"/>
    <n v="2011"/>
    <s v="FERTGROW S.A"/>
    <n v="6654"/>
    <s v="MA"/>
    <s v="START ANTIDUSTING SC FG ADITIVO ANTI PO P/ FERTILIZANTES"/>
    <n v="210000"/>
    <n v="210000"/>
    <n v="567000"/>
    <n v="-39690.000000000007"/>
    <n v="527310"/>
    <n v="-81984.960000000006"/>
    <n v="-185230.6911"/>
    <n v="-95.250002678798495"/>
    <n v="259999.09889732118"/>
    <n v="0.49306688455997644"/>
    <n v="2.7"/>
    <n v="2.7"/>
    <n v="100100"/>
    <s v="START ANTIDUSTING"/>
    <s v="SAO LUIS"/>
    <s v="Additives"/>
    <s v="Domestic"/>
    <s v="07/2026"/>
    <s v="2026"/>
  </r>
  <r>
    <n v="11"/>
    <x v="6"/>
    <n v="4577"/>
    <s v="MICROSOLO INDUSTRIAL"/>
    <n v="1"/>
    <s v="MG"/>
    <s v="START ANTIDUSTING KG ADITIVO ANTI PO P/ FERTILIZANTES"/>
    <n v="30000"/>
    <n v="30000"/>
    <n v="69600"/>
    <n v="-6438"/>
    <n v="63162"/>
    <n v="-20433.108888888884"/>
    <n v="-10004.1649344"/>
    <n v="-5.1443782406788303"/>
    <n v="32719.581798470437"/>
    <n v="0.51802637342817581"/>
    <n v="2.3199999999999998"/>
    <n v="2.3199999999999998"/>
    <n v="100100"/>
    <s v="START ANTIDUSTING"/>
    <s v="SETE LAGOAS"/>
    <s v="Additives"/>
    <s v="Domestic"/>
    <s v="07/2026"/>
    <s v="2026"/>
  </r>
  <r>
    <n v="11"/>
    <x v="6"/>
    <n v="1936"/>
    <s v="CIBRA - PARANAGUA II"/>
    <n v="4"/>
    <s v="PR"/>
    <s v="START ANTIDUSTING G37 ADITIVO ANTI PO P/ FERTILIZANTES"/>
    <n v="50000"/>
    <n v="50000"/>
    <n v="199500"/>
    <n v="-23940"/>
    <n v="175560"/>
    <n v="-48953.987999999998"/>
    <n v="0"/>
    <n v="0"/>
    <n v="126606.012"/>
    <n v="0.72115522898154483"/>
    <n v="3.99"/>
    <n v="3.99"/>
    <n v="100100"/>
    <s v="START ANTIDUSTING"/>
    <s v="PARANAGUA"/>
    <s v="Additives"/>
    <s v="Domestic"/>
    <s v="07/2026"/>
    <s v="2026"/>
  </r>
  <r>
    <n v="11"/>
    <x v="6"/>
    <n v="13390"/>
    <s v="HERINGER - VIANA"/>
    <n v="7384"/>
    <s v="ES"/>
    <s v="START ANTIDUSTING EURO KG ADITIVO ANTI PO P/ FERTILIZANTES"/>
    <n v="20000"/>
    <n v="20000"/>
    <n v="73800"/>
    <n v="-5166.0000000000009"/>
    <n v="68634"/>
    <n v="-13718.613043478264"/>
    <n v="-11454.211600000001"/>
    <n v="-5.8900265345040586"/>
    <n v="43455.285329987222"/>
    <n v="0.633145166098249"/>
    <n v="3.69"/>
    <n v="3.69"/>
    <n v="100100"/>
    <s v="START ANTIDUSTING"/>
    <s v="VIANA"/>
    <s v="Additives"/>
    <s v="Domestic"/>
    <s v="07/2026"/>
    <s v="2026"/>
  </r>
  <r>
    <n v="11"/>
    <x v="6"/>
    <n v="7648"/>
    <s v="LOUIS DREYFUS - PARANAGUA"/>
    <n v="14133"/>
    <s v="PR"/>
    <s v="START ANTIDUSTING SC AD IBC ADITIVO ANTI PO P/ FERTILIZANTES"/>
    <n v="26400"/>
    <n v="26400"/>
    <n v="74184"/>
    <n v="-8902.08"/>
    <n v="65281.919999999998"/>
    <n v="-32512.022730000004"/>
    <n v="-12363.653015999998"/>
    <n v="-6.3576828218924399"/>
    <n v="20399.886571178104"/>
    <n v="0.31248907157108896"/>
    <n v="2.81"/>
    <n v="2.81"/>
    <n v="100100"/>
    <s v="START ANTIDUSTING"/>
    <s v="PARANAGUA"/>
    <s v="Additives"/>
    <s v="Domestic"/>
    <s v="07/2026"/>
    <s v="2026"/>
  </r>
  <r>
    <n v="11"/>
    <x v="6"/>
    <n v="7103"/>
    <s v="MOSAIC - RIO VERDE"/>
    <n v="1043"/>
    <s v="GO"/>
    <s v="START ANTIDUSTING SC AD ADITIVO ANTI PO P/ FERTILIZANTES"/>
    <n v="60000"/>
    <n v="60000"/>
    <n v="114000"/>
    <n v="-7980.0000000000009"/>
    <n v="106020"/>
    <n v="-23355.984574468086"/>
    <n v="-11377.594799999999"/>
    <n v="-5.8506283637046996"/>
    <n v="71280.569997168219"/>
    <n v="0.67233135254827603"/>
    <n v="1.9"/>
    <n v="1.9"/>
    <n v="100100"/>
    <s v="START ANTIDUSTING"/>
    <s v="RIO VERDE"/>
    <s v="Additives"/>
    <s v="Domestic"/>
    <s v="07/2026"/>
    <s v="2026"/>
  </r>
  <r>
    <n v="11"/>
    <x v="6"/>
    <n v="7097"/>
    <s v="MOSAIC - S?O FRANCISCO SUL"/>
    <n v="14133"/>
    <s v="SC"/>
    <s v="START ANTIDUSTING SC AD IBC ADITIVO ANTI PO P/ FERTILIZANTES"/>
    <n v="26400"/>
    <n v="26400"/>
    <n v="71280"/>
    <n v="-8553.6"/>
    <n v="62726.400000000001"/>
    <n v="-32512.022730000004"/>
    <n v="-14790.873239999999"/>
    <n v="-7.60581687281611"/>
    <n v="15415.898213127182"/>
    <n v="0.24576411547812693"/>
    <n v="2.7"/>
    <n v="2.7"/>
    <n v="100100"/>
    <s v="START ANTIDUSTING"/>
    <s v="SAO FRANCISCO DO SUL"/>
    <s v="Additives"/>
    <s v="Domestic"/>
    <s v="07/2026"/>
    <s v="2026"/>
  </r>
  <r>
    <n v="11"/>
    <x v="6"/>
    <n v="2975"/>
    <s v="COONAGRO COOPERATIVA - PARANAGUA"/>
    <n v="4"/>
    <s v="PR"/>
    <s v="START ANTIDUSTING G37 ADITIVO ANTI PO P/ FERTILIZANTES"/>
    <n v="75000"/>
    <n v="75000"/>
    <n v="299250"/>
    <n v="-35910"/>
    <n v="263340"/>
    <n v="-73430.981999999989"/>
    <n v="-35124.01425"/>
    <n v="-18.061598925830801"/>
    <n v="154766.94215107418"/>
    <n v="0.587707686455055"/>
    <n v="3.99"/>
    <n v="3.99"/>
    <n v="100100"/>
    <s v="START ANTIDUSTING"/>
    <s v="PARANAGUA"/>
    <s v="Additives"/>
    <s v="Domestic"/>
    <s v="07/2026"/>
    <s v="2026"/>
  </r>
  <r>
    <n v="11"/>
    <x v="6"/>
    <n v="97"/>
    <s v="FECOAGRO - SAO FRANCISCO DO SUL"/>
    <n v="148"/>
    <s v="SC"/>
    <s v="START ANTIDUSTING BLACK ADITIVO ANTI PO P/ FERTILIZANTES"/>
    <n v="64000"/>
    <n v="64000"/>
    <n v="224000"/>
    <n v="-26880"/>
    <n v="197120"/>
    <n v="-43296.614689265531"/>
    <n v="-35856.662400000001"/>
    <n v="-18.43834393409966"/>
    <n v="117948.28456680037"/>
    <n v="0.59835777479099217"/>
    <n v="3.5"/>
    <n v="3.5"/>
    <n v="100100"/>
    <s v="START ANTIDUSTING"/>
    <s v="SAO FRANCISCO DO SUL"/>
    <s v="Additives"/>
    <s v="Domestic"/>
    <s v="07/2026"/>
    <s v="2026"/>
  </r>
  <r>
    <n v="11"/>
    <x v="6"/>
    <n v="11133"/>
    <s v="ADUBOS ARAGUAIA - PARANAGUA"/>
    <n v="1"/>
    <s v="PR"/>
    <s v="START ANTIDUSTING KG ADITIVO ANTI PO P/ FERTILIZANTES"/>
    <n v="15000"/>
    <n v="15000"/>
    <n v="38400"/>
    <n v="-4608"/>
    <n v="33792"/>
    <n v="-10216.554444444442"/>
    <n v="-10935.990696618001"/>
    <n v="-5.6235450883559324"/>
    <n v="12633.831313849201"/>
    <n v="0.37387048158881397"/>
    <n v="2.56"/>
    <n v="2.56"/>
    <n v="100100"/>
    <s v="START ANTIDUSTING"/>
    <s v="PARANAGUA"/>
    <s v="Additives"/>
    <s v="Domestic"/>
    <s v="07/2026"/>
    <s v="2026"/>
  </r>
  <r>
    <n v="11"/>
    <x v="6"/>
    <n v="6477"/>
    <s v="MOSAIC - PARANAGUA II"/>
    <n v="1043"/>
    <s v="PR"/>
    <s v="START ANTIDUSTING SC AD ADITIVO ANTI PO P/ FERTILIZANTES"/>
    <n v="75000"/>
    <n v="75000"/>
    <n v="164250"/>
    <n v="-19710"/>
    <n v="144540"/>
    <n v="-29194.980718085106"/>
    <n v="-35124.01425"/>
    <n v="-18.061598925830801"/>
    <n v="80202.94343298905"/>
    <n v="0.55488406968997539"/>
    <n v="2.19"/>
    <n v="2.19"/>
    <n v="100100"/>
    <s v="START ANTIDUSTING"/>
    <s v="PARANAGUA"/>
    <s v="Additives"/>
    <s v="Domestic"/>
    <s v="07/2026"/>
    <s v="2026"/>
  </r>
  <r>
    <n v="11"/>
    <x v="6"/>
    <n v="7024"/>
    <s v="MOSAIC - SORRISO"/>
    <n v="1043"/>
    <s v="MT"/>
    <s v="START ANTIDUSTING SC AD ADITIVO ANTI PO P/ FERTILIZANTES"/>
    <n v="30000"/>
    <n v="30000"/>
    <n v="68400"/>
    <n v="-4788.0000000000009"/>
    <n v="63612"/>
    <n v="-11677.992287234043"/>
    <n v="-21002.580299999998"/>
    <n v="-10.80002357037408"/>
    <n v="30920.62738919559"/>
    <n v="0.48608167309934586"/>
    <n v="2.2799999999999998"/>
    <n v="2.2799999999999998"/>
    <n v="100100"/>
    <s v="START ANTIDUSTING"/>
    <s v="SORRISO"/>
    <s v="Additives"/>
    <s v="Domestic"/>
    <s v="07/2026"/>
    <s v="2026"/>
  </r>
  <r>
    <n v="11"/>
    <x v="6"/>
    <n v="7102"/>
    <s v="MOSAIC RONDONOPOLIS"/>
    <n v="1043"/>
    <s v="MT"/>
    <s v="START ANTIDUSTING SC AD ADITIVO ANTI PO P/ FERTILIZANTES"/>
    <n v="210000"/>
    <n v="210000"/>
    <n v="428400"/>
    <n v="-29988.000000000004"/>
    <n v="398412"/>
    <n v="-81745.94601063829"/>
    <n v="-83866.664699999994"/>
    <n v="-43.126222711247522"/>
    <n v="232756.26306665048"/>
    <n v="0.58420997125249863"/>
    <n v="2.04"/>
    <n v="2.04"/>
    <n v="100100"/>
    <s v="START ANTIDUSTING"/>
    <s v="RONDONOPOLIS"/>
    <s v="Additives"/>
    <s v="Domestic"/>
    <s v="07/2026"/>
    <s v="2026"/>
  </r>
  <r>
    <n v="11"/>
    <x v="6"/>
    <n v="1462"/>
    <s v="AURORA MINERAC?O LTDA"/>
    <n v="1042"/>
    <s v="SP"/>
    <s v="START ANTIDUSTING KG AD ADITIVO ANTI PO P/ FERTILIZANTES"/>
    <n v="90000"/>
    <n v="90000"/>
    <n v="150300"/>
    <n v="-18036"/>
    <n v="132264"/>
    <n v="-46519.972500000003"/>
    <n v="0"/>
    <n v="0"/>
    <n v="85744.027499999997"/>
    <n v="0.64827940709490106"/>
    <n v="1.67"/>
    <n v="1.67"/>
    <n v="100100"/>
    <s v="START ANTIDUSTING"/>
    <s v="IPEUNA"/>
    <s v="Additives"/>
    <s v="Domestic"/>
    <s v="07/2026"/>
    <s v="2026"/>
  </r>
  <r>
    <n v="11"/>
    <x v="6"/>
    <n v="2696"/>
    <s v="MOSAIC FERTILIZANTES PARAGUAY S.R.L."/>
    <n v="3245"/>
    <s v="EX"/>
    <s v="DUSTPROTEC SC - ADITIVO ANTI-PO P/ FERTILIZANTES GRANULADOS"/>
    <n v="60000"/>
    <n v="60000"/>
    <n v="187620"/>
    <n v="0"/>
    <n v="187620"/>
    <n v="-28291.71"/>
    <n v="-54102.400000000023"/>
    <n v="-11054.7327648276"/>
    <n v="94171.157235172388"/>
    <n v="0.5019249399593454"/>
    <n v="3.1269999999999998"/>
    <n v="3.1269999999999998"/>
    <n v="100100"/>
    <s v="START ANTIDUSTING"/>
    <s v="ASSUNCION"/>
    <s v="Additives"/>
    <s v="International"/>
    <s v="07/2026"/>
    <s v="2026"/>
  </r>
  <r>
    <n v="11"/>
    <x v="6"/>
    <n v="3142"/>
    <s v="INTERFERTIL - SAO FRANCISCO DO SUL"/>
    <n v="1"/>
    <s v="SC"/>
    <s v="START ANTIDUSTING KG ADITIVO ANTI PO P/ FERTILIZANTES"/>
    <n v="45000"/>
    <n v="45000"/>
    <n v="124650"/>
    <n v="-14958"/>
    <n v="109692"/>
    <n v="-30649.66333333333"/>
    <n v="-25211.715749999999"/>
    <n v="-12.964460578663823"/>
    <n v="53817.656456088"/>
    <n v="0.49062517281194618"/>
    <n v="2.77"/>
    <n v="2.77"/>
    <n v="100100"/>
    <s v="START ANTIDUSTING"/>
    <s v="SAO FRANCISCO DO SUL"/>
    <s v="Additives"/>
    <s v="Domestic"/>
    <s v="07/2026"/>
    <s v="2026"/>
  </r>
  <r>
    <n v="11"/>
    <x v="6"/>
    <n v="5053"/>
    <s v="ADUBOS ARAGUAIA - CONFRESA"/>
    <n v="1"/>
    <s v="MT"/>
    <s v="START ANTIDUSTING KG ADITIVO ANTI PO P/ FERTILIZANTES"/>
    <n v="30000"/>
    <n v="30000"/>
    <n v="73800"/>
    <n v="-5166.0000000000009"/>
    <n v="68634"/>
    <n v="-20433.108888888884"/>
    <n v="-20973.848999999998"/>
    <n v="-10.78524925632432"/>
    <n v="27216.256861854792"/>
    <n v="0.39654190141700602"/>
    <n v="2.46"/>
    <n v="2.46"/>
    <n v="100100"/>
    <s v="START ANTIDUSTING"/>
    <s v="CONFRESA"/>
    <s v="Additives"/>
    <s v="Domestic"/>
    <s v="07/2026"/>
    <s v="2026"/>
  </r>
  <r>
    <n v="11"/>
    <x v="6"/>
    <n v="205"/>
    <s v="FERTIPAR - RONDONOPOLIS"/>
    <n v="231"/>
    <s v="MT"/>
    <s v="START ANTIDUSTING RED ADITIVO ANTI PO P/ FERTILIZANTES"/>
    <n v="30000"/>
    <n v="30000"/>
    <n v="73800"/>
    <n v="-5166.0000000000009"/>
    <n v="68634"/>
    <n v="-33007.78"/>
    <n v="-11980.9521"/>
    <n v="-6.1608889587496467"/>
    <n v="23639.107011041247"/>
    <n v="0.34442269153832278"/>
    <n v="2.46"/>
    <n v="2.46"/>
    <n v="100100"/>
    <s v="START ANTIDUSTING"/>
    <s v="RONDONOPOLIS"/>
    <s v="Additives"/>
    <s v="Domestic"/>
    <s v="07/2026"/>
    <s v="2026"/>
  </r>
  <r>
    <n v="11"/>
    <x v="6"/>
    <n v="16099"/>
    <s v="MOSAIC - PALMEIRANTE"/>
    <n v="1043"/>
    <s v="TO"/>
    <s v="START ANTIDUSTING SC AD ADITIVO ANTI PO P/ FERTILIZANTES"/>
    <n v="30000"/>
    <n v="30000"/>
    <n v="65700"/>
    <n v="-4599"/>
    <n v="61101"/>
    <n v="-11677.992287234043"/>
    <n v="0"/>
    <n v="0"/>
    <n v="49423.007712765961"/>
    <n v="0.80887395808196205"/>
    <n v="2.19"/>
    <n v="2.19"/>
    <n v="100100"/>
    <s v="START ANTIDUSTING"/>
    <s v="PALMEIRANTE"/>
    <s v="Additives"/>
    <s v="Domestic"/>
    <s v="07/2026"/>
    <s v="2026"/>
  </r>
  <r>
    <n v="11"/>
    <x v="6"/>
    <n v="214"/>
    <s v="UNIFERTIL - CANOAS UN1"/>
    <n v="3"/>
    <s v="RS"/>
    <s v="START ANTIDUSTING MH ADITIVO ANTI PO P/ FERTILIZANTES"/>
    <n v="64000"/>
    <n v="64000"/>
    <n v="165760"/>
    <n v="-19891.2"/>
    <n v="145868.79999999999"/>
    <n v="-49766.920000000006"/>
    <n v="-51609.076479999996"/>
    <n v="-26.538607850447715"/>
    <n v="44466.264912149534"/>
    <n v="0.30483739437185703"/>
    <n v="2.59"/>
    <n v="2.59"/>
    <n v="100100"/>
    <s v="START ANTIDUSTING"/>
    <s v="CANOAS"/>
    <s v="Additives"/>
    <s v="Domestic"/>
    <s v="07/2026"/>
    <s v="2026"/>
  </r>
  <r>
    <n v="11"/>
    <x v="6"/>
    <n v="31"/>
    <s v="SUL GOIANA - GOIATUBA"/>
    <n v="1042"/>
    <s v="GO"/>
    <s v="START ANTIDUSTING KG AD ADITIVO ANTI PO P/ FERTILIZANTES"/>
    <n v="30000"/>
    <n v="30000"/>
    <n v="60000"/>
    <n v="-4200"/>
    <n v="55800"/>
    <n v="-15506.657500000001"/>
    <n v="-3505.2185999999997"/>
    <n v="-1.8024663140706398"/>
    <n v="36786.321433685931"/>
    <n v="0.65925307228827834"/>
    <n v="2"/>
    <n v="2"/>
    <n v="100100"/>
    <s v="START ANTIDUSTING"/>
    <s v="GOIATUBA"/>
    <s v="Additives"/>
    <s v="Domestic"/>
    <s v="07/2026"/>
    <s v="2026"/>
  </r>
  <r>
    <n v="11"/>
    <x v="6"/>
    <n v="13836"/>
    <s v="FERTALVO FERTILIZANTES - RONDONOPOLIS"/>
    <n v="1043"/>
    <s v="MT"/>
    <s v="START ANTIDUSTING SC AD ADITIVO ANTI PO P/ FERTILIZANTES"/>
    <n v="30000"/>
    <n v="30000"/>
    <n v="60000"/>
    <n v="-10800"/>
    <n v="49200"/>
    <n v="-11677.992287234043"/>
    <n v="-11980.9521"/>
    <n v="-6.1608889587496467"/>
    <n v="25534.894723807207"/>
    <n v="0.51900192528063427"/>
    <n v="2"/>
    <n v="2"/>
    <n v="100100"/>
    <s v="START ANTIDUSTING"/>
    <s v="RONDONOPOLIS"/>
    <s v="Additives"/>
    <s v="Domestic"/>
    <s v="07/2026"/>
    <s v="2026"/>
  </r>
  <r>
    <n v="11"/>
    <x v="6"/>
    <n v="3273"/>
    <s v="FERTIMAXI - CONCEICAO DO JACUIPE"/>
    <n v="2"/>
    <s v="BA"/>
    <s v="START ANTIDUSTING SC ADITIVO ANTI PO P/ FERTILIZANTES"/>
    <n v="30000"/>
    <n v="30000"/>
    <n v="78900"/>
    <n v="-5523.0000000000009"/>
    <n v="73377"/>
    <n v="-18881.660000000003"/>
    <n v="-18675.345000000001"/>
    <n v="-9.6033041323435757"/>
    <n v="35810.391695867649"/>
    <n v="0.48803292170390788"/>
    <n v="2.63"/>
    <n v="2.63"/>
    <n v="100100"/>
    <s v="START ANTIDUSTING"/>
    <s v="CONCEICAO DO JACUIPE"/>
    <s v="Additives"/>
    <s v="Domestic"/>
    <s v="07/2026"/>
    <s v="2026"/>
  </r>
  <r>
    <n v="11"/>
    <x v="6"/>
    <n v="13329"/>
    <s v="CARGILL PARAGUAI"/>
    <n v="4067"/>
    <s v="EX"/>
    <s v="DUSTPROTEC BLACK PLUS ADITIVO ANTI PO P/ FERTILIZANTES"/>
    <n v="30000"/>
    <n v="30000"/>
    <n v="154230"/>
    <n v="0"/>
    <n v="154230"/>
    <n v="-45947.301666666666"/>
    <n v="-21107.24352"/>
    <n v="-5524.3098593976601"/>
    <n v="81651.144953935669"/>
    <n v="0.52941156035748993"/>
    <n v="5.141"/>
    <n v="5.141"/>
    <n v="100100"/>
    <s v="START ANTIDUSTING"/>
    <s v="CIUDAD DEL ESTE"/>
    <s v="Additives"/>
    <s v="International"/>
    <s v="07/2026"/>
    <s v="2026"/>
  </r>
  <r>
    <n v="11"/>
    <x v="6"/>
    <n v="341"/>
    <s v="ADUBOS PARANAIBA - UBERLANDIA"/>
    <n v="1043"/>
    <s v="MG"/>
    <s v="START ANTIDUSTING SC AD ADITIVO ANTI PO P/ FERTILIZANTES"/>
    <n v="3000"/>
    <n v="3000"/>
    <n v="6000"/>
    <n v="-1080"/>
    <n v="4920"/>
    <n v="-1167.7992287234042"/>
    <n v="0"/>
    <n v="0"/>
    <n v="3752.2007712765958"/>
    <n v="0.76264243318629998"/>
    <n v="2"/>
    <n v="2"/>
    <n v="100100"/>
    <s v="START ANTIDUSTING"/>
    <s v="UBERLANDIA"/>
    <s v="Additives"/>
    <s v="Domestic"/>
    <s v="07/2026"/>
    <s v="2026"/>
  </r>
  <r>
    <n v="11"/>
    <x v="6"/>
    <n v="2622"/>
    <s v="ADUFERTIL JUNDIAI"/>
    <n v="1043"/>
    <s v="SP"/>
    <s v="START ANTIDUSTING SC AD ADITIVO ANTI PO P/ FERTILIZANTES"/>
    <n v="30000"/>
    <n v="30000"/>
    <n v="79200"/>
    <n v="-9504"/>
    <n v="69696"/>
    <n v="-11677.992287234043"/>
    <n v="-9878.4844703999988"/>
    <n v="-5.0797503733336189"/>
    <n v="48134.443491992628"/>
    <n v="0.69063423283965553"/>
    <n v="2.64"/>
    <n v="2.64"/>
    <n v="100100"/>
    <s v="START ANTIDUSTING"/>
    <s v="JUNDIAI"/>
    <s v="Additives"/>
    <s v="Domestic"/>
    <s v="07/2026"/>
    <s v="2026"/>
  </r>
  <r>
    <n v="11"/>
    <x v="6"/>
    <n v="43"/>
    <s v="CIBRA - CAMACARI"/>
    <n v="148"/>
    <s v="BA"/>
    <s v="START ANTIDUSTING BLACK ADITIVO ANTI PO P/ FERTILIZANTES"/>
    <n v="180000"/>
    <n v="180000"/>
    <n v="426600"/>
    <n v="-29862.000000000004"/>
    <n v="396738"/>
    <n v="-121771.7288135593"/>
    <n v="-124574.4759168"/>
    <n v="-64.059142112573582"/>
    <n v="150327.73612752813"/>
    <n v="0.37890934603574178"/>
    <n v="2.37"/>
    <n v="2.37"/>
    <n v="100100"/>
    <s v="START ANTIDUSTING"/>
    <s v="CAMACARI"/>
    <s v="Additives"/>
    <s v="Domestic"/>
    <s v="07/2026"/>
    <s v="2026"/>
  </r>
  <r>
    <n v="11"/>
    <x v="6"/>
    <n v="1292"/>
    <s v="CIBRA - S?O FRANCISCO DO SUL"/>
    <n v="148"/>
    <s v="SC"/>
    <s v="START ANTIDUSTING BLACK ADITIVO ANTI PO P/ FERTILIZANTES"/>
    <n v="20000"/>
    <n v="20000"/>
    <n v="47000"/>
    <n v="-5640"/>
    <n v="41360"/>
    <n v="-13530.192090395478"/>
    <n v="-10207.092555894"/>
    <n v="-5.2487284235568437"/>
    <n v="17617.466625286965"/>
    <n v="0.42595422208140632"/>
    <n v="2.35"/>
    <n v="2.35"/>
    <n v="100100"/>
    <s v="START ANTIDUSTING"/>
    <s v="S?O FRANCISCO DO SUL"/>
    <s v="Additives"/>
    <s v="Domestic"/>
    <s v="07/2026"/>
    <s v="2026"/>
  </r>
  <r>
    <n v="11"/>
    <x v="6"/>
    <n v="3232"/>
    <s v="FERTILIZ. TOCANTINS - ARAGUARI"/>
    <n v="7384"/>
    <s v="MG"/>
    <s v="START ANTIDUSTING EURO KG ADITIVO ANTI PO P/ FERTILIZANTES"/>
    <n v="180000"/>
    <n v="180000"/>
    <n v="336600"/>
    <n v="-60588"/>
    <n v="276012"/>
    <n v="-123467.51739130438"/>
    <n v="-10343.268"/>
    <n v="-5.3187530579133639"/>
    <n v="142195.8958556377"/>
    <n v="0.51518012208033603"/>
    <n v="1.87"/>
    <n v="1.87"/>
    <n v="100100"/>
    <s v="START ANTIDUSTING"/>
    <s v="ARAGUARI"/>
    <s v="Additives"/>
    <s v="Domestic"/>
    <s v="07/2026"/>
    <s v="2026"/>
  </r>
  <r>
    <n v="11"/>
    <x v="6"/>
    <n v="452"/>
    <s v="FERTIPAR - S?O LUIS DO MARANH?O"/>
    <n v="2"/>
    <s v="MA"/>
    <s v="START ANTIDUSTING SC ADITIVO ANTI PO P/ FERTILIZANTES"/>
    <n v="60000"/>
    <n v="60000"/>
    <n v="142200"/>
    <n v="-9954.0000000000018"/>
    <n v="132246"/>
    <n v="-37763.320000000007"/>
    <n v="-52923.054599999996"/>
    <n v="-27.21428647965671"/>
    <n v="41532.411113520342"/>
    <n v="0.31405419531418977"/>
    <n v="2.37"/>
    <n v="2.37"/>
    <n v="100100"/>
    <s v="START ANTIDUSTING"/>
    <s v="SAO LUIS"/>
    <s v="Additives"/>
    <s v="Domestic"/>
    <s v="07/2026"/>
    <s v="2026"/>
  </r>
  <r>
    <n v="11"/>
    <x v="6"/>
    <n v="33"/>
    <s v="HERINGER - PARANAGUA"/>
    <n v="7384"/>
    <s v="PR"/>
    <s v="START ANTIDUSTING EURO KG ADITIVO ANTI PO P/ FERTILIZANTES"/>
    <n v="30000"/>
    <n v="30000"/>
    <n v="98400"/>
    <n v="-11808"/>
    <n v="86592"/>
    <n v="-20577.919565217398"/>
    <n v="-14049.6057"/>
    <n v="-7.224639570332319"/>
    <n v="51957.250095212272"/>
    <n v="0.60002367534197465"/>
    <n v="3.28"/>
    <n v="3.28"/>
    <n v="100100"/>
    <s v="START ANTIDUSTING"/>
    <s v="PARANAGUA"/>
    <s v="Additives"/>
    <s v="Domestic"/>
    <s v="07/2026"/>
    <s v="2026"/>
  </r>
  <r>
    <n v="11"/>
    <x v="6"/>
    <n v="9295"/>
    <s v="TECNOMYL S.A. - PARAGUAY"/>
    <n v="14146"/>
    <s v="EX"/>
    <s v="DUSTPROTEC BLACK PLUS IBC ADITIVO ANTI PO P/ FERTILIZANTES"/>
    <n v="52800"/>
    <n v="52800"/>
    <n v="271444.8"/>
    <n v="0"/>
    <n v="271444.8"/>
    <n v="-105562.42782608696"/>
    <n v="-47610.112000000016"/>
    <n v="-9728.1648330482894"/>
    <n v="108544.09534086472"/>
    <n v="0.39987539028511404"/>
    <n v="5.141"/>
    <n v="5.141"/>
    <n v="100100"/>
    <s v="START ANTIDUSTING"/>
    <s v="ASSUNCION"/>
    <s v="Additives"/>
    <s v="International"/>
    <s v="07/2026"/>
    <s v="2026"/>
  </r>
  <r>
    <n v="11"/>
    <x v="6"/>
    <n v="2287"/>
    <s v="BUNGE PARAGUAY S.A"/>
    <n v="4067"/>
    <s v="EX"/>
    <s v="DUSTPROTEC BLACK PLUS ADITIVO ANTI PO P/ FERTILIZANTES"/>
    <n v="120000"/>
    <n v="120000"/>
    <n v="636000"/>
    <n v="0"/>
    <n v="636000"/>
    <n v="-183789.20666666667"/>
    <n v="-142887.99999999959"/>
    <n v="-22127.300451466974"/>
    <n v="287195.49288186675"/>
    <n v="0.45156524038029366"/>
    <n v="5.3"/>
    <n v="5.3"/>
    <n v="100100"/>
    <s v="START ANTIDUSTING"/>
    <s v="SAN JUAN DEL PARANA"/>
    <s v="Additives"/>
    <s v="International"/>
    <s v="07/2026"/>
    <s v="2026"/>
  </r>
  <r>
    <n v="11"/>
    <x v="6"/>
    <n v="5657"/>
    <s v="FERTIPLANTA - VARGEM GRANDE DO SUL"/>
    <n v="14133"/>
    <s v="SP"/>
    <s v="START ANTIDUSTING SC AD IBC ADITIVO ANTI PO P/ FERTILIZANTES"/>
    <n v="60000"/>
    <n v="60000"/>
    <n v="207600"/>
    <n v="-24912"/>
    <n v="182688"/>
    <n v="-73890.960749999998"/>
    <n v="-15433.5609792"/>
    <n v="-7.9363021099919644"/>
    <n v="93355.541968690013"/>
    <n v="0.51101080513602437"/>
    <n v="3.46"/>
    <n v="3.46"/>
    <n v="100100"/>
    <s v="START ANTIDUSTING"/>
    <s v="VARGEM GRANDE DO SUL"/>
    <s v="Additives"/>
    <s v="Domestic"/>
    <s v="07/2026"/>
    <s v="2026"/>
  </r>
  <r>
    <n v="11"/>
    <x v="6"/>
    <n v="11133"/>
    <s v="ADUBOS ARAGUAIA - PARANAGUA"/>
    <n v="14133"/>
    <s v="PR"/>
    <s v="START ANTIDUSTING SC AD IBC ADITIVO ANTI PO P/ FERTILIZANTES"/>
    <n v="13200"/>
    <n v="13200"/>
    <n v="38280"/>
    <n v="-4593.5999999999995"/>
    <n v="33686.400000000001"/>
    <n v="-16256.011365000002"/>
    <n v="-9623.6718130238405"/>
    <n v="-4.9487196777532203"/>
    <n v="7801.7681022984052"/>
    <n v="0.23159993654110872"/>
    <n v="2.9"/>
    <n v="2.9"/>
    <n v="100100"/>
    <s v="START ANTIDUSTING"/>
    <s v="PARANAGUA"/>
    <s v="Additives"/>
    <s v="Domestic"/>
    <s v="07/2026"/>
    <s v="2026"/>
  </r>
  <r>
    <n v="11"/>
    <x v="6"/>
    <n v="2603"/>
    <s v="MOSAIC - S?O LUIS"/>
    <n v="1043"/>
    <s v="MA"/>
    <s v="START ANTIDUSTING SC AD ADITIVO ANTI PO P/ FERTILIZANTES"/>
    <n v="30000"/>
    <n v="30000"/>
    <n v="73800"/>
    <n v="-5166.0000000000009"/>
    <n v="68634"/>
    <n v="-11677.992287234043"/>
    <n v="0"/>
    <n v="0"/>
    <n v="56956.007712765961"/>
    <n v="0.82985120658516132"/>
    <n v="2.46"/>
    <n v="2.46"/>
    <n v="100100"/>
    <s v="START ANTIDUSTING"/>
    <s v="SAO LUIS"/>
    <s v="Additives"/>
    <s v="Domestic"/>
    <s v="07/2026"/>
    <s v="2026"/>
  </r>
  <r>
    <n v="11"/>
    <x v="6"/>
    <n v="7022"/>
    <s v="MOSAIC - ROSARIO DO CATETE"/>
    <n v="1043"/>
    <s v="SE"/>
    <s v="START ANTIDUSTING SC AD ADITIVO ANTI PO P/ FERTILIZANTES"/>
    <n v="180000"/>
    <n v="180000"/>
    <n v="433800"/>
    <n v="-30366.000000000004"/>
    <n v="403434"/>
    <n v="-70067.953723404265"/>
    <n v="-151269.0064704"/>
    <n v="-77.786101136696487"/>
    <n v="182019.25370505903"/>
    <n v="0.45117479861652471"/>
    <n v="2.41"/>
    <n v="2.41"/>
    <n v="100100"/>
    <s v="START ANTIDUSTING"/>
    <s v="ROSARIO DO CATETE"/>
    <s v="Additives"/>
    <s v="Domestic"/>
    <s v="07/2026"/>
    <s v="2026"/>
  </r>
  <r>
    <n v="11"/>
    <x v="6"/>
    <n v="139"/>
    <s v="COMIGO - RIO VERDE"/>
    <n v="1043"/>
    <s v="GO"/>
    <s v="START ANTIDUSTING SC AD ADITIVO ANTI PO P/ FERTILIZANTES"/>
    <n v="90000"/>
    <n v="90000"/>
    <n v="61250.000000000036"/>
    <n v="-4287.5000000000027"/>
    <n v="56962.500000000036"/>
    <n v="-35033.976861702133"/>
    <n v="-17066.392199999998"/>
    <n v="-8.775942545557049"/>
    <n v="4853.3549957523483"/>
    <n v="8.5202633236819758E-2"/>
    <n v="0.68055555555555591"/>
    <n v="0.68055555555555591"/>
    <n v="100100"/>
    <s v="START ANTIDUSTING"/>
    <s v="RIO VERDE"/>
    <s v="Additives"/>
    <s v="Domestic"/>
    <s v="07/2026"/>
    <s v="2026"/>
  </r>
  <r>
    <n v="11"/>
    <x v="6"/>
    <n v="466"/>
    <s v="ADUBOS ARAGUAIA - SORRISO"/>
    <n v="1"/>
    <s v="MT"/>
    <s v="START ANTIDUSTING KG ADITIVO ANTI PO P/ FERTILIZANTES"/>
    <n v="30000"/>
    <n v="30000"/>
    <n v="72900"/>
    <n v="-5103.0000000000009"/>
    <n v="67797"/>
    <n v="-20433.108888888884"/>
    <n v="-21002.580299999998"/>
    <n v="-10.80002357037408"/>
    <n v="26350.510787540745"/>
    <n v="0.38866779927638012"/>
    <n v="2.4300000000000002"/>
    <n v="2.4300000000000002"/>
    <n v="100100"/>
    <s v="START ANTIDUSTING"/>
    <s v="SORRISO"/>
    <s v="Additives"/>
    <s v="Domestic"/>
    <s v="07/2026"/>
    <s v="2026"/>
  </r>
  <r>
    <n v="11"/>
    <x v="6"/>
    <n v="1874"/>
    <s v="FERTILIZ. TOCANTINS - BARCARENA"/>
    <n v="148"/>
    <s v="PA"/>
    <s v="START ANTIDUSTING BLACK ADITIVO ANTI PO P/ FERTILIZANTES"/>
    <n v="90000"/>
    <n v="90000"/>
    <n v="252900"/>
    <n v="-17703"/>
    <n v="235197"/>
    <n v="-60885.864406779649"/>
    <n v="-80936.072100000005"/>
    <n v="-41.619242678172078"/>
    <n v="93333.444250542176"/>
    <n v="0.39683093003117459"/>
    <n v="2.81"/>
    <n v="2.81"/>
    <n v="100100"/>
    <s v="START ANTIDUSTING"/>
    <s v="BARCARENA "/>
    <s v="Additives"/>
    <s v="Domestic"/>
    <s v="07/2026"/>
    <s v="2026"/>
  </r>
  <r>
    <n v="11"/>
    <x v="6"/>
    <n v="10492"/>
    <s v="UNIFERTIL RIO GRANDE UN1"/>
    <n v="3"/>
    <s v="RS"/>
    <s v="START ANTIDUSTING MH ADITIVO ANTI PO P/ FERTILIZANTES"/>
    <n v="64000"/>
    <n v="64000"/>
    <n v="165760"/>
    <n v="-19891.2"/>
    <n v="145868.79999999999"/>
    <n v="-49766.920000000006"/>
    <n v="-52099.423999999999"/>
    <n v="-26.790756143563609"/>
    <n v="43975.665243856412"/>
    <n v="0.3014741003138191"/>
    <n v="2.59"/>
    <n v="2.59"/>
    <n v="100100"/>
    <s v="START ANTIDUSTING"/>
    <s v="RIO GRANDE"/>
    <s v="Additives"/>
    <s v="Domestic"/>
    <s v="07/2026"/>
    <s v="2026"/>
  </r>
  <r>
    <n v="11"/>
    <x v="6"/>
    <n v="2809"/>
    <s v="CISBRA QUIMICA - FORMOSA"/>
    <n v="1043"/>
    <s v="GO"/>
    <s v="START ANTIDUSTING SC AD ADITIVO ANTI PO P/ FERTILIZANTES"/>
    <n v="30000"/>
    <n v="30000"/>
    <n v="55500"/>
    <n v="-3885.0000000000005"/>
    <n v="51615"/>
    <n v="-11677.992287234043"/>
    <n v="-7786.1822999999995"/>
    <n v="-4.0038391074847821"/>
    <n v="32146.821573658475"/>
    <n v="0.62281936595289111"/>
    <n v="1.85"/>
    <n v="1.85"/>
    <n v="100100"/>
    <s v="START ANTIDUSTING"/>
    <s v="FORMOSA"/>
    <s v="Additives"/>
    <s v="Domestic"/>
    <s v="07/2026"/>
    <s v="2026"/>
  </r>
  <r>
    <n v="11"/>
    <x v="6"/>
    <n v="10492"/>
    <s v="UNIFERTIL RIO GRANDE UN1"/>
    <n v="113"/>
    <s v="RS"/>
    <s v="MEGAMICRO ADITIVO P/ SUSPENS?O DE MICRONUTRIENTES"/>
    <n v="96000"/>
    <n v="96000"/>
    <n v="296640"/>
    <n v="-35596.799999999996"/>
    <n v="261043.20000000001"/>
    <n v="-86405.822950819682"/>
    <n v="-78149.135999999999"/>
    <n v="-40.186134215345419"/>
    <n v="96448.054914964989"/>
    <n v="0.36947162352807883"/>
    <n v="3.09"/>
    <n v="3.09"/>
    <n v="100200"/>
    <s v="ADITIVO MEGAMICRO"/>
    <s v="RIO GRANDE"/>
    <s v="Additives"/>
    <s v="Domestic"/>
    <s v="07/2026"/>
    <s v="2026"/>
  </r>
  <r>
    <n v="11"/>
    <x v="6"/>
    <n v="8414"/>
    <s v="AMAGGI - PORTO VELHO"/>
    <n v="113"/>
    <s v="RO"/>
    <s v="MEGAMICRO ADITIVO P/ SUSPENS?O DE MICRONUTRIENTES"/>
    <n v="90000"/>
    <n v="90000"/>
    <n v="283500"/>
    <n v="-19845.000000000004"/>
    <n v="263655"/>
    <n v="-81005.459016393448"/>
    <n v="-73523.07144"/>
    <n v="-37.807302396948693"/>
    <n v="109088.66224120959"/>
    <n v="0.41375533269313908"/>
    <n v="3.15"/>
    <n v="3.15"/>
    <n v="100200"/>
    <s v="ADITIVO MEGAMICRO"/>
    <s v="PORTO VELHO"/>
    <s v="Additives"/>
    <s v="Domestic"/>
    <s v="07/2026"/>
    <s v="2026"/>
  </r>
  <r>
    <n v="11"/>
    <x v="6"/>
    <n v="8413"/>
    <s v="AMAGGI - SINOP"/>
    <n v="113"/>
    <s v="MT"/>
    <s v="MEGAMICRO ADITIVO P/ SUSPENS?O DE MICRONUTRIENTES"/>
    <n v="64000"/>
    <n v="64000"/>
    <n v="185600"/>
    <n v="-12992.000000000002"/>
    <n v="172608"/>
    <n v="-57603.881967213114"/>
    <n v="-46705.601280000003"/>
    <n v="-24.01712491928879"/>
    <n v="68274.499627867583"/>
    <n v="0.39554655420297774"/>
    <n v="2.9"/>
    <n v="2.9"/>
    <n v="100200"/>
    <s v="ADITIVO MEGAMICRO"/>
    <s v="SINOP"/>
    <s v="Additives"/>
    <s v="Domestic"/>
    <s v="07/2026"/>
    <s v="2026"/>
  </r>
  <r>
    <n v="11"/>
    <x v="6"/>
    <n v="10434"/>
    <s v="CIBRA - SINOP"/>
    <n v="6564"/>
    <s v="MT"/>
    <s v="MEGAMICRO PLUS ADITIVO P/ SUSPENS?O DE MICRONUTRIENTES"/>
    <n v="30000"/>
    <n v="30000"/>
    <n v="92400"/>
    <n v="-6468.0000000000009"/>
    <n v="85932"/>
    <n v="-28906.459333333332"/>
    <n v="-21893.250599999999"/>
    <n v="-11.25802730591662"/>
    <n v="35121.032039360754"/>
    <n v="0.40870725735885066"/>
    <n v="3.08"/>
    <n v="3.08"/>
    <n v="100200"/>
    <s v="ADITIVO MEGAMICRO"/>
    <s v="SINOP"/>
    <s v="Additives"/>
    <s v="Domestic"/>
    <s v="07/2026"/>
    <s v="2026"/>
  </r>
  <r>
    <n v="11"/>
    <x v="6"/>
    <n v="452"/>
    <s v="FERTIPAR - S?O LUIS DO MARANH?O"/>
    <n v="113"/>
    <s v="MA"/>
    <s v="MEGAMICRO ADITIVO P/ SUSPENS?O DE MICRONUTRIENTES"/>
    <n v="30000"/>
    <n v="30000"/>
    <n v="105600"/>
    <n v="-7392.0000000000009"/>
    <n v="98208"/>
    <n v="-27001.819672131147"/>
    <n v="-26461.527299999998"/>
    <n v="-13.607143239828355"/>
    <n v="44731.045884629013"/>
    <n v="0.4554725265215564"/>
    <n v="3.52"/>
    <n v="3.52"/>
    <n v="100200"/>
    <s v="ADITIVO MEGAMICRO"/>
    <s v="SAO LUIS"/>
    <s v="Additives"/>
    <s v="Domestic"/>
    <s v="07/2026"/>
    <s v="2026"/>
  </r>
  <r>
    <n v="11"/>
    <x v="6"/>
    <n v="205"/>
    <s v="FERTIPAR - RONDONOPOLIS"/>
    <n v="6564"/>
    <s v="MT"/>
    <s v="MEGAMICRO PLUS ADITIVO P/ SUSPENS?O DE MICRONUTRIENTES"/>
    <n v="260000"/>
    <n v="260000"/>
    <n v="655200"/>
    <n v="-45864.000000000007"/>
    <n v="609336"/>
    <n v="-250522.64755555554"/>
    <n v="-103834.9182"/>
    <n v="-53.39437097583027"/>
    <n v="254925.0398734686"/>
    <n v="0.4183653023511964"/>
    <n v="2.52"/>
    <n v="2.52"/>
    <n v="100200"/>
    <s v="ADITIVO MEGAMICRO"/>
    <s v="RONDONOPOLIS"/>
    <s v="Additives"/>
    <s v="Domestic"/>
    <s v="07/2026"/>
    <s v="2026"/>
  </r>
  <r>
    <n v="11"/>
    <x v="6"/>
    <n v="1953"/>
    <s v="AMAGGI - COMODORO"/>
    <n v="113"/>
    <s v="MT"/>
    <s v="MEGAMICRO ADITIVO P/ SUSPENS?O DE MICRONUTRIENTES"/>
    <n v="90000"/>
    <n v="90000"/>
    <n v="261000"/>
    <n v="-18270"/>
    <n v="242730"/>
    <n v="-81005.459016393448"/>
    <n v="-62815.095907199997"/>
    <n v="-32.301008099136673"/>
    <n v="98877.144068307403"/>
    <n v="0.4073544434899164"/>
    <n v="2.9"/>
    <n v="2.9"/>
    <n v="100200"/>
    <s v="ADITIVO MEGAMICRO"/>
    <s v="COMODORO"/>
    <s v="Additives"/>
    <s v="Domestic"/>
    <s v="07/2026"/>
    <s v="2026"/>
  </r>
  <r>
    <n v="11"/>
    <x v="6"/>
    <n v="2588"/>
    <s v="FERTILIZ. TOCANTINS - SINOP"/>
    <n v="6564"/>
    <s v="MT"/>
    <s v="MEGAMICRO PLUS ADITIVO P/ SUSPENS?O DE MICRONUTRIENTES"/>
    <n v="160000"/>
    <n v="160000"/>
    <n v="500800"/>
    <n v="-35056"/>
    <n v="465744"/>
    <n v="-154167.78311111112"/>
    <n v="-116764.00319999999"/>
    <n v="-60.042812298221975"/>
    <n v="194752.17087659065"/>
    <n v="0.41815282832755901"/>
    <n v="3.13"/>
    <n v="3.13"/>
    <n v="100200"/>
    <s v="ADITIVO MEGAMICRO"/>
    <s v="SINOP"/>
    <s v="Additives"/>
    <s v="Domestic"/>
    <s v="07/2026"/>
    <s v="2026"/>
  </r>
  <r>
    <n v="11"/>
    <x v="6"/>
    <n v="5182"/>
    <s v="FERTIPAR SINOP"/>
    <n v="113"/>
    <s v="MT"/>
    <s v="MEGAMICRO ADITIVO P/ SUSPENS?O DE MICRONUTRIENTES"/>
    <n v="60000"/>
    <n v="60000"/>
    <n v="161400"/>
    <n v="-11298.000000000002"/>
    <n v="150102"/>
    <n v="-54003.639344262294"/>
    <n v="-43786.501199999999"/>
    <n v="-22.516054611833241"/>
    <n v="52289.343401125872"/>
    <n v="0.34835873873183482"/>
    <n v="2.69"/>
    <n v="2.69"/>
    <n v="100200"/>
    <s v="ADITIVO MEGAMICRO"/>
    <s v="SINOP"/>
    <s v="Additives"/>
    <s v="Domestic"/>
    <s v="07/2026"/>
    <s v="2026"/>
  </r>
  <r>
    <n v="11"/>
    <x v="6"/>
    <n v="456"/>
    <s v="FERTIPAR - CANDEIAS"/>
    <n v="113"/>
    <s v="BA"/>
    <s v="MEGAMICRO ADITIVO P/ SUSPENS?O DE MICRONUTRIENTES"/>
    <n v="60000"/>
    <n v="60000"/>
    <n v="200400"/>
    <n v="-14028.000000000002"/>
    <n v="186372"/>
    <n v="-54003.639344262294"/>
    <n v="-43096.95"/>
    <n v="-22.161471074639014"/>
    <n v="89249.249184663058"/>
    <n v="0.47887691919742803"/>
    <n v="3.34"/>
    <n v="3.34"/>
    <n v="100200"/>
    <s v="ADITIVO MEGAMICRO"/>
    <s v="CANDEIAS"/>
    <s v="Additives"/>
    <s v="Domestic"/>
    <s v="07/2026"/>
    <s v="2026"/>
  </r>
  <r>
    <n v="11"/>
    <x v="6"/>
    <n v="252"/>
    <s v="FERTIPAR - PARANAGUA"/>
    <n v="10343"/>
    <s v="PR"/>
    <s v="MEGAMICRO BLACK ADITIVO P/ SUSPENS?O DE MICRONUTRIENTES"/>
    <n v="60000"/>
    <n v="60000"/>
    <n v="225600"/>
    <n v="-27072"/>
    <n v="198528"/>
    <n v="-101432.56000000001"/>
    <n v="-28099.2114"/>
    <n v="-14.449279140664638"/>
    <n v="68981.779320859321"/>
    <n v="0.34746624819098221"/>
    <n v="3.76"/>
    <n v="3.76"/>
    <n v="100200"/>
    <s v="ADITIVO MEGAMICRO"/>
    <s v="PARANAGUA"/>
    <s v="Additives"/>
    <s v="Domestic"/>
    <s v="07/2026"/>
    <s v="2026"/>
  </r>
  <r>
    <n v="11"/>
    <x v="6"/>
    <n v="214"/>
    <s v="UNIFERTIL - CANOAS UN1"/>
    <n v="113"/>
    <s v="RS"/>
    <s v="MEGAMICRO ADITIVO P/ SUSPENS?O DE MICRONUTRIENTES"/>
    <n v="90000"/>
    <n v="90000"/>
    <n v="278100"/>
    <n v="-33372"/>
    <n v="244728"/>
    <n v="-81005.459016393448"/>
    <n v="-72575.263800000001"/>
    <n v="-37.319917289692107"/>
    <n v="91109.957266316851"/>
    <n v="0.37229069524662828"/>
    <n v="3.09"/>
    <n v="3.09"/>
    <n v="100200"/>
    <s v="ADITIVO MEGAMICRO"/>
    <s v="CANOAS"/>
    <s v="Additives"/>
    <s v="Domestic"/>
    <s v="07/2026"/>
    <s v="2026"/>
  </r>
  <r>
    <n v="11"/>
    <x v="6"/>
    <n v="729"/>
    <s v="FERTILIZ. TOCANTINS - S?O LUIS"/>
    <n v="113"/>
    <s v="MA"/>
    <s v="MEGAMICRO ADITIVO P/ SUSPENS?O DE MICRONUTRIENTES"/>
    <n v="30000"/>
    <n v="30000"/>
    <n v="86700"/>
    <n v="-6069.0000000000009"/>
    <n v="80631"/>
    <n v="-27001.819672131147"/>
    <n v="-26461.527299999998"/>
    <n v="-13.607143239828355"/>
    <n v="27154.045884629028"/>
    <n v="0.33676930565947377"/>
    <n v="2.89"/>
    <n v="2.89"/>
    <n v="100200"/>
    <s v="ADITIVO MEGAMICRO"/>
    <s v="SAO LUIS"/>
    <s v="Additives"/>
    <s v="Domestic"/>
    <s v="07/2026"/>
    <s v="2026"/>
  </r>
  <r>
    <n v="13"/>
    <x v="6"/>
    <n v="2651"/>
    <s v="AGROBROKERS - COLOMBIA"/>
    <n v="8201"/>
    <s v="EX"/>
    <s v="NITROPROTEC GREEN - ADITIVO INIBIDOR DE UREASE P/ FERTILIZANTE NITROGENADO"/>
    <n v="3300"/>
    <n v="3300"/>
    <n v="182269.85813554795"/>
    <n v="0"/>
    <n v="182269.85813554795"/>
    <n v="-67231.216363636355"/>
    <n v="0"/>
    <n v="-606.48016170763265"/>
    <n v="114432.16161020397"/>
    <n v="0.62781725284004242"/>
    <n v="55.233290344105441"/>
    <n v="55.233290344105441"/>
    <n v="100300"/>
    <s v="UREMAX"/>
    <s v="SANTA MARTA"/>
    <s v="Additives"/>
    <s v="International"/>
    <s v="07/2026"/>
    <s v="2026"/>
  </r>
  <r>
    <n v="13"/>
    <x v="6"/>
    <n v="2648"/>
    <s v="SQM - CHILE"/>
    <n v="13025"/>
    <s v="EX"/>
    <s v="UREMAX COAT GREEN ADITIVO INIBIDOR DE UREASE P/ FERTILIZANTES"/>
    <n v="5500"/>
    <n v="5500"/>
    <n v="155663.37047586069"/>
    <n v="0"/>
    <n v="155663.37047586069"/>
    <n v="-35828"/>
    <n v="0"/>
    <n v="-1010.800269512721"/>
    <n v="118824.57020634797"/>
    <n v="0.76334316700905913"/>
    <n v="28.302430995611036"/>
    <n v="28.302430995611036"/>
    <n v="100300"/>
    <s v="UREMAX"/>
    <s v="SANTIAGO"/>
    <s v="Additives"/>
    <s v="International"/>
    <s v="07/2026"/>
    <s v="2026"/>
  </r>
  <r>
    <n v="13"/>
    <x v="6"/>
    <n v="87"/>
    <s v="ADUBOS ARAGUAIA - CATALAO"/>
    <n v="8214"/>
    <s v="GO"/>
    <s v="UREMAX NBPT AZUL ADITIVO INIBIDOR DE UREASE P/ FERTILIZANTES"/>
    <n v="2000"/>
    <n v="2000"/>
    <n v="64073.42001128781"/>
    <n v="-4480"/>
    <n v="59593.42001128781"/>
    <n v="-31804.80315789473"/>
    <n v="-2121.6959999999981"/>
    <n v="-1.0910262682899199"/>
    <n v="25665.829827124791"/>
    <n v="0.43068227704104467"/>
    <n v="32.036710005643904"/>
    <n v="32.036710005643904"/>
    <n v="100300"/>
    <s v="UREMAX"/>
    <s v="CATALAO"/>
    <s v="Additives"/>
    <s v="Domestic"/>
    <s v="07/2026"/>
    <s v="2026"/>
  </r>
  <r>
    <n v="13"/>
    <x v="6"/>
    <n v="912"/>
    <s v="FERTILIZE - ALMIRANTE TAMANDARE-PR"/>
    <n v="8215"/>
    <s v="PR"/>
    <s v="UREMAX NBPT VERDE ADITIVO INIBIDOR DE UREASE P/ FERTILIZANTES"/>
    <n v="3000"/>
    <n v="3000"/>
    <n v="91785.174166169789"/>
    <n v="-11001.6"/>
    <n v="80783.574166169783"/>
    <n v="-41105.740000000005"/>
    <n v="-8663.5920000000024"/>
    <n v="-4.4550239288505109"/>
    <n v="31009.787142240923"/>
    <n v="0.38386252975703417"/>
    <n v="30.595058055389931"/>
    <n v="30.595058055389931"/>
    <n v="100300"/>
    <s v="UREMAX"/>
    <s v="ALMIRANTE TAMANDARE "/>
    <s v="Additives"/>
    <s v="Domestic"/>
    <s v="07/2026"/>
    <s v="2026"/>
  </r>
  <r>
    <n v="13"/>
    <x v="6"/>
    <n v="215"/>
    <s v="UNIFERTIL - CANOAS UN2"/>
    <n v="8216"/>
    <s v="RS"/>
    <s v="UREMAX NBPT ROXO ADITIVO INIBIDOR DE UREASE P/ FERTILIZANTES"/>
    <n v="24000"/>
    <n v="24000"/>
    <n v="746535.43490651704"/>
    <n v="-89481.599999999991"/>
    <n v="657053.83490651706"/>
    <n v="-241071.51600000003"/>
    <n v="-18675.345000000001"/>
    <n v="-9.6033041323435757"/>
    <n v="397297.37060238468"/>
    <n v="0.60466486838009326"/>
    <n v="31.105643121104876"/>
    <n v="31.105643121104876"/>
    <n v="100300"/>
    <s v="UREMAX"/>
    <s v="CANOAS"/>
    <s v="Additives"/>
    <s v="Domestic"/>
    <s v="07/2026"/>
    <s v="2026"/>
  </r>
  <r>
    <n v="13"/>
    <x v="6"/>
    <n v="5657"/>
    <s v="FERTIPLANTA - VARGEM GRANDE DO SUL"/>
    <n v="8214"/>
    <s v="SP"/>
    <s v="UREMAX NBPT AZUL ADITIVO INIBIDOR DE UREASE P/ FERTILIZANTES"/>
    <n v="1000"/>
    <n v="1000"/>
    <n v="36792.159147106671"/>
    <n v="-4410"/>
    <n v="32382.159147106671"/>
    <n v="-15902.401578947365"/>
    <n v="-5039.0280000000012"/>
    <n v="-2.5911873871885622"/>
    <n v="11438.138380772118"/>
    <n v="0.35322346261132836"/>
    <n v="36.792159147106673"/>
    <n v="36.792159147106673"/>
    <n v="100300"/>
    <s v="UREMAX"/>
    <s v="VARGEM GRANDE DO SUL"/>
    <s v="Additives"/>
    <s v="Domestic"/>
    <s v="07/2026"/>
    <s v="2026"/>
  </r>
  <r>
    <n v="13"/>
    <x v="6"/>
    <n v="6124"/>
    <s v="MOSAIC - UBERABA II"/>
    <n v="8215"/>
    <s v="MG"/>
    <s v="UREMAX NBPT VERDE ADITIVO INIBIDOR DE UREASE P/ FERTILIZANTES"/>
    <n v="24000"/>
    <n v="24000"/>
    <n v="870517.50262835901"/>
    <n v="0"/>
    <n v="870517.50262835901"/>
    <n v="-328845.92000000004"/>
    <n v="-4003.2278000000001"/>
    <n v="-2.0585544242664686"/>
    <n v="537666.29627393465"/>
    <n v="0.61763984601177502"/>
    <n v="36.271562609514959"/>
    <n v="36.271562609514959"/>
    <n v="100300"/>
    <s v="UREMAX"/>
    <s v="UBERABA"/>
    <s v="Additives"/>
    <s v="Domestic"/>
    <s v="07/2026"/>
    <s v="2026"/>
  </r>
  <r>
    <n v="13"/>
    <x v="6"/>
    <n v="97"/>
    <s v="FECOAGRO - SAO FRANCISCO DO SUL"/>
    <n v="8223"/>
    <s v="SC"/>
    <s v="UREMAX PLUS AZUL ADITIVO P/ INIBIR A NITRIFICACAO E VOLATIZACAO P/ FERTILIZANTES"/>
    <n v="24000"/>
    <n v="24000"/>
    <n v="913046.23516085127"/>
    <n v="-109440"/>
    <n v="803606.23516085127"/>
    <n v="-284189.58999999997"/>
    <n v="-15993.757"/>
    <n v="-8.2243681543660347"/>
    <n v="503414.66379269696"/>
    <n v="0.626444447250876"/>
    <n v="38.043593131702139"/>
    <n v="38.043593131702139"/>
    <n v="100300"/>
    <s v="UREMAX"/>
    <s v="SAO FRANCISCO DO SUL"/>
    <s v="Additives"/>
    <s v="Domestic"/>
    <s v="07/2026"/>
    <s v="2026"/>
  </r>
  <r>
    <n v="13"/>
    <x v="6"/>
    <n v="2003"/>
    <s v="HERINGER - RIO GRANDE"/>
    <n v="8217"/>
    <s v="RS"/>
    <s v="UREMAX NBPT AMARELO ADITIVO INIBIDOR DE UREASE P/ FERTILIZANTES"/>
    <n v="6000"/>
    <n v="6000"/>
    <n v="221894.26267659108"/>
    <n v="-26596.799999999999"/>
    <n v="195297.46267659109"/>
    <n v="-94699.829999999987"/>
    <n v="-14498.255999999972"/>
    <n v="-7.4553461666477778"/>
    <n v="86091.921330424491"/>
    <n v="0.44082457677901882"/>
    <n v="36.982377112765178"/>
    <n v="36.982377112765178"/>
    <n v="100300"/>
    <s v="UREMAX"/>
    <s v="RIO GRANDE"/>
    <s v="Additives"/>
    <s v="Domestic"/>
    <s v="07/2026"/>
    <s v="2026"/>
  </r>
  <r>
    <n v="13"/>
    <x v="6"/>
    <n v="9355"/>
    <s v="NITROFERT SAS - COLOMBIA"/>
    <n v="8206"/>
    <s v="EX"/>
    <s v="NITROPROTEC DUO PURPLE - ADITIVO P/ INIBIR A NITRIFICACAO E VOLATIZACAO PARA FERTILIZANTES"/>
    <n v="24000"/>
    <n v="24000"/>
    <n v="1260724.6304971017"/>
    <n v="0"/>
    <n v="1260724.6304971017"/>
    <n v="-336174.26999999996"/>
    <n v="0"/>
    <n v="-4410.7648124191464"/>
    <n v="920139.59568468248"/>
    <n v="0.72984978117058985"/>
    <n v="52.53019293737924"/>
    <n v="52.53019293737924"/>
    <n v="100300"/>
    <s v="UREMAX"/>
    <s v="BARRANQUILLA"/>
    <s v="Additives"/>
    <s v="International"/>
    <s v="07/2026"/>
    <s v="2026"/>
  </r>
  <r>
    <n v="13"/>
    <x v="6"/>
    <n v="2346"/>
    <s v="TEPEYAC - MEXICO"/>
    <n v="8214"/>
    <s v="EX"/>
    <s v="UREMAX NBPT AZUL ADITIVO INIBIDOR DE UREASE P/ FERTILIZANTES"/>
    <n v="11000"/>
    <n v="11000"/>
    <n v="525301.92937379237"/>
    <n v="0"/>
    <n v="525301.92937379237"/>
    <n v="-174926.41736842104"/>
    <n v="-13252.310015999999"/>
    <n v="-2028.4151902963958"/>
    <n v="335094.78679907491"/>
    <n v="0.63790892068212723"/>
    <n v="47.75472085216294"/>
    <n v="47.75472085216294"/>
    <n v="100300"/>
    <s v="UREMAX"/>
    <s v="OBREGON - MEXICO"/>
    <s v="Additives"/>
    <s v="International"/>
    <s v="07/2026"/>
    <s v="2026"/>
  </r>
  <r>
    <n v="13"/>
    <x v="6"/>
    <n v="10492"/>
    <s v="UNIFERTIL RIO GRANDE UN1"/>
    <n v="8216"/>
    <s v="RS"/>
    <s v="UREMAX NBPT ROXO ADITIVO INIBIDOR DE UREASE P/ FERTILIZANTES"/>
    <n v="36000"/>
    <n v="36000"/>
    <n v="1119803.1523597757"/>
    <n v="-134222.39999999999"/>
    <n v="985580.75235977571"/>
    <n v="-361607.27400000003"/>
    <n v="-25187.772999999997"/>
    <n v="-12.952148650289024"/>
    <n v="598772.75321112527"/>
    <n v="0.60753292084639832"/>
    <n v="31.105643121104883"/>
    <n v="31.105643121104883"/>
    <n v="100300"/>
    <s v="UREMAX"/>
    <s v="RIO GRANDE"/>
    <s v="Additives"/>
    <s v="Domestic"/>
    <s v="07/2026"/>
    <s v="2026"/>
  </r>
  <r>
    <n v="13"/>
    <x v="6"/>
    <n v="7662"/>
    <s v="BENTONIT UNIAO - BOA VISTA"/>
    <n v="7"/>
    <s v="PB"/>
    <s v="UREMAX NBPT ADITIVO INIBIDOR DE UREASE P/ FERTILIZANTES"/>
    <n v="7000"/>
    <n v="7000"/>
    <n v="273383.26253878692"/>
    <n v="-42605.746749999998"/>
    <n v="230777.51578878693"/>
    <n v="-63647.4"/>
    <n v="0"/>
    <n v="0"/>
    <n v="167130.11578878693"/>
    <n v="0.72420450154142568"/>
    <n v="39.054751791255278"/>
    <n v="39.054751791255278"/>
    <n v="100300"/>
    <s v="UREMAX"/>
    <s v="BOA VISTA "/>
    <s v="Additives"/>
    <s v="Domestic"/>
    <s v="07/2026"/>
    <s v="2026"/>
  </r>
  <r>
    <n v="13"/>
    <x v="6"/>
    <n v="943"/>
    <s v="FORTGREEN - PAICANDU"/>
    <n v="8214"/>
    <s v="PR"/>
    <s v="UREMAX NBPT AZUL ADITIVO INIBIDOR DE UREASE P/ FERTILIZANTES"/>
    <n v="5000"/>
    <n v="5000"/>
    <n v="180256.55114113077"/>
    <n v="-21606"/>
    <n v="158650.55114113077"/>
    <n v="-79512.007894736817"/>
    <n v="0"/>
    <n v="0"/>
    <n v="79138.543246393951"/>
    <n v="0.49882299605750929"/>
    <n v="36.05131022822615"/>
    <n v="36.05131022822615"/>
    <n v="100300"/>
    <s v="UREMAX"/>
    <s v="PAICANDU"/>
    <s v="Additives"/>
    <s v="Domestic"/>
    <s v="07/2026"/>
    <s v="2026"/>
  </r>
  <r>
    <n v="13"/>
    <x v="6"/>
    <n v="2656"/>
    <s v="ISUSA - URUGUAI"/>
    <n v="8201"/>
    <s v="EX"/>
    <s v="NITROPROTEC GREEN - ADITIVO INIBIDOR DE UREASE P/ FERTILIZANTE NITROGENADO"/>
    <n v="8800"/>
    <n v="8800"/>
    <n v="441561.97400778992"/>
    <n v="0"/>
    <n v="441561.97400778992"/>
    <n v="-179283.24363636362"/>
    <n v="0"/>
    <n v="-1617.2804312203534"/>
    <n v="260661.44994020596"/>
    <n v="0.59031679647216961"/>
    <n v="50.177497046339766"/>
    <n v="50.177497046339766"/>
    <n v="100300"/>
    <s v="UREMAX"/>
    <s v="CIUDAD DEL PLATA"/>
    <s v="Additives"/>
    <s v="International"/>
    <s v="07/2026"/>
    <s v="2026"/>
  </r>
  <r>
    <n v="13"/>
    <x v="6"/>
    <n v="2622"/>
    <s v="ADUFERTIL JUNDIAI"/>
    <n v="8215"/>
    <s v="SP"/>
    <s v="UREMAX NBPT VERDE ADITIVO INIBIDOR DE UREASE P/ FERTILIZANTES"/>
    <n v="12000"/>
    <n v="12000"/>
    <n v="416036.72531079315"/>
    <n v="-49867.199999999997"/>
    <n v="366169.52531079313"/>
    <n v="-164422.96000000002"/>
    <n v="-5481.0480000000016"/>
    <n v="-2.8184845264156295"/>
    <n v="196262.69882626669"/>
    <n v="0.53598862073430364"/>
    <n v="34.66972710923276"/>
    <n v="34.66972710923276"/>
    <n v="100300"/>
    <s v="UREMAX"/>
    <s v="JUNDIAI"/>
    <s v="Additives"/>
    <s v="Domestic"/>
    <s v="07/2026"/>
    <s v="2026"/>
  </r>
  <r>
    <n v="13"/>
    <x v="6"/>
    <n v="1613"/>
    <s v="HERINGER - CANDEIAS"/>
    <n v="8217"/>
    <s v="BA"/>
    <s v="UREMAX NBPT AMARELO ADITIVO INIBIDOR DE UREASE P/ FERTILIZANTES"/>
    <n v="12000"/>
    <n v="12000"/>
    <n v="405825.02399649413"/>
    <n v="-28375.200000000004"/>
    <n v="377449.82399649412"/>
    <n v="-189399.65999999997"/>
    <n v="-13083.792000000029"/>
    <n v="-6.7279953211211927"/>
    <n v="174959.644001173"/>
    <n v="0.46353086656306952"/>
    <n v="33.818751999707843"/>
    <n v="33.818751999707843"/>
    <n v="100300"/>
    <s v="UREMAX"/>
    <s v="CANDEIAS"/>
    <s v="Additives"/>
    <s v="Domestic"/>
    <s v="07/2026"/>
    <s v="2026"/>
  </r>
  <r>
    <n v="11"/>
    <x v="6"/>
    <n v="6177"/>
    <s v="NUTRIENTES IND DE FERTILIZANTES LTDA"/>
    <n v="3351"/>
    <s v="PR"/>
    <s v="MAX OIL MT ADITIVO ANTI-PO P/ FERTILIZANTES"/>
    <n v="30000"/>
    <n v="30000"/>
    <n v="135000"/>
    <n v="-16200"/>
    <n v="118800"/>
    <n v="-81269.34"/>
    <n v="-13749.442761599999"/>
    <n v="-7.0702886875661308"/>
    <n v="23774.146949712438"/>
    <n v="0.20011908206828652"/>
    <n v="4.5"/>
    <n v="4.5"/>
    <n v="100700"/>
    <s v="MAX OIL"/>
    <s v="COLOMBO"/>
    <s v="Additives"/>
    <s v="Domestic"/>
    <s v="07/2026"/>
    <s v="2026"/>
  </r>
  <r>
    <n v="11"/>
    <x v="6"/>
    <n v="11724"/>
    <s v="HINOVE - REGISTRO/SP"/>
    <n v="14142"/>
    <s v="SP"/>
    <s v="MAX OIL MT IBC ADITIVO ANTI-PO P/ FERTILIZANTES"/>
    <n v="68400"/>
    <n v="68400"/>
    <n v="413820"/>
    <n v="-49658.400000000001"/>
    <n v="364161.6"/>
    <n v="-181525.05"/>
    <n v="-26878.526752895996"/>
    <n v="-13.821574221916297"/>
    <n v="155744.20167288207"/>
    <n v="0.42767881531957813"/>
    <n v="6.05"/>
    <n v="6.05"/>
    <n v="100700"/>
    <s v="MAX OIL"/>
    <s v="REGISTRO"/>
    <s v="Additives"/>
    <s v="Domestic"/>
    <s v="07/2026"/>
    <s v="2026"/>
  </r>
  <r>
    <n v="11"/>
    <x v="6"/>
    <n v="12741"/>
    <s v="HINOVE AGROCIENCIA - GUARA"/>
    <n v="3351"/>
    <s v="SP"/>
    <s v="MAX OIL MT ADITIVO ANTI-PO P/ FERTILIZANTES"/>
    <n v="30000"/>
    <n v="30000"/>
    <n v="175500"/>
    <n v="-21060"/>
    <n v="154440"/>
    <n v="-81269.34"/>
    <n v="0"/>
    <n v="0"/>
    <n v="73170.66"/>
    <n v="0.47378049728049731"/>
    <n v="5.85"/>
    <n v="5.85"/>
    <n v="100700"/>
    <s v="MAX OIL"/>
    <s v="GUARA"/>
    <s v="Additives"/>
    <s v="Domestic"/>
    <s v="07/2026"/>
    <s v="2026"/>
  </r>
  <r>
    <n v="11"/>
    <x v="6"/>
    <n v="2603"/>
    <s v="MOSAIC - S?O LUIS"/>
    <n v="3362"/>
    <s v="MA"/>
    <s v="MAX OIL M-NPK ADITIVO ANTI-PO P/ FERTILIZANTES"/>
    <n v="30000"/>
    <n v="30000"/>
    <n v="193200"/>
    <n v="-13524.000000000002"/>
    <n v="179676"/>
    <n v="-81203.850000000006"/>
    <n v="0"/>
    <n v="0"/>
    <n v="98472.15"/>
    <n v="0.54805399719495085"/>
    <n v="6.44"/>
    <n v="6.44"/>
    <n v="100700"/>
    <s v="MAX OIL"/>
    <s v="SAO LUIS"/>
    <s v="Additives"/>
    <s v="Domestic"/>
    <s v="07/2026"/>
    <s v="2026"/>
  </r>
  <r>
    <n v="11"/>
    <x v="6"/>
    <n v="1789"/>
    <s v="MOSAIC - ARAXA (CMA)"/>
    <n v="3359"/>
    <s v="MG"/>
    <s v="MAX OIL GRV ADITIVO ANTI-PO P/ FERTILIZANTES"/>
    <n v="360000"/>
    <n v="360000"/>
    <n v="1396800"/>
    <n v="0"/>
    <n v="1396800"/>
    <n v="-826966.45161290315"/>
    <n v="-38005.772313599999"/>
    <n v="-19.543467085191939"/>
    <n v="531808.23260641156"/>
    <n v="0.38073327076633129"/>
    <n v="3.88"/>
    <n v="3.88"/>
    <n v="100700"/>
    <s v="MAX OIL"/>
    <s v="ARAXA"/>
    <s v="Additives"/>
    <s v="Domestic"/>
    <s v="07/2026"/>
    <s v="2026"/>
  </r>
  <r>
    <n v="11"/>
    <x v="6"/>
    <n v="12629"/>
    <s v="EUROCHEM SERRA DO SALITRE"/>
    <n v="3359"/>
    <s v="MG"/>
    <s v="MAX OIL GRV ADITIVO ANTI-PO P/ FERTILIZANTES"/>
    <n v="90000"/>
    <n v="90000"/>
    <n v="490500"/>
    <n v="-88290"/>
    <n v="402210"/>
    <n v="-206741.61290322579"/>
    <n v="-12668.590771199999"/>
    <n v="-6.5144890283973123"/>
    <n v="182793.28183654582"/>
    <n v="0.45447224543533432"/>
    <n v="5.45"/>
    <n v="5.45"/>
    <n v="100700"/>
    <s v="MAX OIL"/>
    <s v="SERRA DO SALITRE"/>
    <s v="Additives"/>
    <s v="Domestic"/>
    <s v="07/2026"/>
    <s v="2026"/>
  </r>
  <r>
    <n v="11"/>
    <x v="6"/>
    <n v="6477"/>
    <s v="MOSAIC - PARANAGUA II"/>
    <n v="3362"/>
    <s v="PR"/>
    <s v="MAX OIL M-NPK ADITIVO ANTI-PO P/ FERTILIZANTES"/>
    <n v="300000"/>
    <n v="300000"/>
    <n v="1839000"/>
    <n v="-220680"/>
    <n v="1618320"/>
    <n v="-812038.5"/>
    <n v="-140496.057"/>
    <n v="-72.246395703323202"/>
    <n v="665713.19660429668"/>
    <n v="0.41136066822649209"/>
    <n v="6.13"/>
    <n v="6.13"/>
    <n v="100700"/>
    <s v="MAX OIL"/>
    <s v="PARANAGUA"/>
    <s v="Additives"/>
    <s v="Domestic"/>
    <s v="07/2026"/>
    <s v="2026"/>
  </r>
  <r>
    <n v="11"/>
    <x v="6"/>
    <n v="6370"/>
    <s v="YTL S.A. - PARAGUAI"/>
    <n v="7010"/>
    <s v="EX"/>
    <s v="MAX OIL GRI ADITIVO ANTI-PO P/ FERTILIZANTES"/>
    <n v="112000"/>
    <n v="112000"/>
    <n v="759360"/>
    <n v="0"/>
    <n v="759360"/>
    <n v="-272538"/>
    <n v="-113761.10592"/>
    <n v="-20642.067776111129"/>
    <n v="352418.82630388887"/>
    <n v="0.46409980286542468"/>
    <n v="6.78"/>
    <n v="6.78"/>
    <n v="100700"/>
    <s v="MAX OIL"/>
    <s v="ITAPUA"/>
    <s v="Additives"/>
    <s v="International"/>
    <s v="07/2026"/>
    <s v="2026"/>
  </r>
  <r>
    <n v="11"/>
    <x v="6"/>
    <n v="5300"/>
    <s v="FOSNOR - LUIS EDUARDO MAGALHAES"/>
    <n v="4246"/>
    <s v="BA"/>
    <s v="MAX OIL GRGL ADITIVO ANTI-PO P/ FERTILIZANTES"/>
    <n v="150000"/>
    <n v="150000"/>
    <n v="877500"/>
    <n v="-61425.000000000007"/>
    <n v="816075"/>
    <n v="-388568.25"/>
    <n v="-77419.165823999996"/>
    <n v="-39.810766284650249"/>
    <n v="350047.77340971533"/>
    <n v="0.42894068977693878"/>
    <n v="5.85"/>
    <n v="5.85"/>
    <n v="100700"/>
    <s v="MAX OIL"/>
    <s v="LUIS EDUARDO MAGALHAES"/>
    <s v="Additives"/>
    <s v="Domestic"/>
    <s v="07/2026"/>
    <s v="2026"/>
  </r>
  <r>
    <n v="11"/>
    <x v="6"/>
    <n v="1787"/>
    <s v="MOSAIC - UBERABA (CIU1)"/>
    <n v="3359"/>
    <s v="MG"/>
    <s v="MAX OIL GRV ADITIVO ANTI-PO P/ FERTILIZANTES"/>
    <n v="270000"/>
    <n v="270000"/>
    <n v="1047600"/>
    <n v="0"/>
    <n v="1047600"/>
    <n v="-620224.83870967745"/>
    <n v="-21979.444499999998"/>
    <n v="-11.302350248065895"/>
    <n v="405384.41444007447"/>
    <n v="0.38696488587254152"/>
    <n v="3.88"/>
    <n v="3.88"/>
    <n v="100700"/>
    <s v="MAX OIL"/>
    <s v="UBERABA"/>
    <s v="Additives"/>
    <s v="Domestic"/>
    <s v="07/2026"/>
    <s v="2026"/>
  </r>
  <r>
    <n v="11"/>
    <x v="6"/>
    <n v="2619"/>
    <s v="FOSPAR - PARANAGUA"/>
    <n v="4552"/>
    <s v="PR"/>
    <s v="MAX OIL GRMO ADITIVO ANTI-PO P/ FERTILIZANTES"/>
    <n v="60000"/>
    <n v="60000"/>
    <n v="384000"/>
    <n v="-46080"/>
    <n v="337920"/>
    <n v="-171491.22"/>
    <n v="-28099.2114"/>
    <n v="-14.449279140664638"/>
    <n v="138315.11932085935"/>
    <n v="0.40931320821750516"/>
    <n v="6.4"/>
    <n v="6.4"/>
    <n v="100700"/>
    <s v="MAX OIL"/>
    <s v="PARANAGUA"/>
    <s v="Additives"/>
    <s v="Domestic"/>
    <s v="07/2026"/>
    <s v="2026"/>
  </r>
  <r>
    <n v="11"/>
    <x v="6"/>
    <n v="2225"/>
    <s v="ITAFOS"/>
    <n v="3351"/>
    <s v="TO"/>
    <s v="MAX OIL MT ADITIVO ANTI-PO P/ FERTILIZANTES"/>
    <n v="60000"/>
    <n v="60000"/>
    <n v="324000"/>
    <n v="-22680.000000000004"/>
    <n v="301320"/>
    <n v="-162538.68"/>
    <n v="-27549.157708799998"/>
    <n v="-14.166428522070348"/>
    <n v="111217.99586267794"/>
    <n v="0.36910260142930418"/>
    <n v="5.4"/>
    <n v="5.4"/>
    <n v="100700"/>
    <s v="MAX OIL"/>
    <s v="ARRAIAS"/>
    <s v="Additives"/>
    <s v="Domestic"/>
    <s v="07/2026"/>
    <s v="2026"/>
  </r>
  <r>
    <n v="11"/>
    <x v="6"/>
    <n v="456"/>
    <s v="FERTIPAR - CANDEIAS"/>
    <n v="3353"/>
    <s v="BA"/>
    <s v="MAX OIL MTF ADITIVO ANTI-PO P/ FERTILIZANTES"/>
    <n v="30000"/>
    <n v="30000"/>
    <n v="185400"/>
    <n v="-12978.000000000002"/>
    <n v="172422"/>
    <n v="-85490.34"/>
    <n v="-21548.474999999999"/>
    <n v="-11.080735537319507"/>
    <n v="65372.104264462687"/>
    <n v="0.37914015766237885"/>
    <n v="6.18"/>
    <n v="6.18"/>
    <n v="100700"/>
    <s v="MAX OIL"/>
    <s v="CANDEIAS"/>
    <s v="Additives"/>
    <s v="Domestic"/>
    <s v="07/2026"/>
    <s v="2026"/>
  </r>
  <r>
    <n v="11"/>
    <x v="6"/>
    <n v="1792"/>
    <s v="MOSAIC - CATAL?O (CMC3)"/>
    <n v="3359"/>
    <s v="GO"/>
    <s v="MAX OIL GRV ADITIVO ANTI-PO P/ FERTILIZANTES"/>
    <n v="150000"/>
    <n v="150000"/>
    <n v="585000"/>
    <n v="-40950.000000000007"/>
    <n v="544050"/>
    <n v="-344569.3548387097"/>
    <n v="-12210.8025"/>
    <n v="-6.2790834711477208"/>
    <n v="187263.56357781918"/>
    <n v="0.34420285557911806"/>
    <n v="3.9"/>
    <n v="3.9"/>
    <n v="100700"/>
    <s v="MAX OIL"/>
    <s v="CATALAO"/>
    <s v="Additives"/>
    <s v="Domestic"/>
    <s v="07/2026"/>
    <s v="2026"/>
  </r>
  <r>
    <n v="11"/>
    <x v="6"/>
    <n v="1788"/>
    <s v="MOSAIC - UBERABA (CIU2)"/>
    <n v="3359"/>
    <s v="MG"/>
    <s v="MAX OIL GRV ADITIVO ANTI-PO P/ FERTILIZANTES"/>
    <n v="60000"/>
    <n v="60000"/>
    <n v="232800"/>
    <n v="0"/>
    <n v="232800"/>
    <n v="-137827.74193548388"/>
    <n v="-4884.3209999999999"/>
    <n v="-2.5116333884590887"/>
    <n v="90085.42543112766"/>
    <n v="0.38696488587254152"/>
    <n v="3.88"/>
    <n v="3.88"/>
    <n v="100700"/>
    <s v="MAX OIL"/>
    <s v="UBERABA"/>
    <s v="Additives"/>
    <s v="Domestic"/>
    <s v="07/2026"/>
    <s v="2026"/>
  </r>
  <r>
    <n v="13"/>
    <x v="6"/>
    <n v="2"/>
    <s v="CARGILL - UBERLANDIA"/>
    <n v="3700"/>
    <s v="MG"/>
    <s v="CICOAT 41175"/>
    <n v="84000"/>
    <n v="84000"/>
    <n v="92400"/>
    <n v="-23640.539999999997"/>
    <n v="68759.460000000006"/>
    <n v="-15315.1"/>
    <n v="0"/>
    <n v="0"/>
    <n v="53444.360000000008"/>
    <n v="0.77726555735021774"/>
    <n v="1.1000000000000001"/>
    <n v="1.1000000000000001"/>
    <n v="100900"/>
    <s v="PA TERCEIROS"/>
    <s v="UBERLANDIA"/>
    <s v="Fertilizers"/>
    <s v="Domestic"/>
    <s v="07/2026"/>
    <s v="2026"/>
  </r>
  <r>
    <n v="11"/>
    <x v="6"/>
    <n v="2622"/>
    <s v="ADUFERTIL JUNDIAI"/>
    <n v="14150"/>
    <s v="SP"/>
    <s v="PHYTOHUMUS BIO IBC PRODUTO A BASE DE EXTRATO DE ALGAS E ACIDOS HUMICOS"/>
    <n v="12000"/>
    <n v="12000"/>
    <n v="270460.01536510215"/>
    <n v="-10080"/>
    <n v="260380.01536510215"/>
    <n v="-162145.61142857143"/>
    <n v="-5481.0480000000016"/>
    <n v="-2.8184845264156295"/>
    <n v="92750.537452004311"/>
    <n v="0.35621219747587185"/>
    <n v="22.538334613758511"/>
    <n v="22.538334613758511"/>
    <n v="101000"/>
    <s v="PHYTOHUMUS"/>
    <s v="JUNDIAI"/>
    <s v="Additives"/>
    <s v="Domestic"/>
    <s v="07/2026"/>
    <s v="2026"/>
  </r>
  <r>
    <n v="11"/>
    <x v="6"/>
    <n v="2651"/>
    <s v="AGROBROKERS - COLOMBIA"/>
    <n v="14150"/>
    <s v="EX"/>
    <s v="PHYTOHUMUS BIO IBC PRODUTO A BASE DE EXTRATO DE ALGAS E ACIDOS HUMICOS"/>
    <n v="2000"/>
    <n v="2000"/>
    <n v="45505.970839207657"/>
    <n v="0"/>
    <n v="45505.970839207657"/>
    <n v="-27024.268571428569"/>
    <n v="0"/>
    <n v="-367.56373436826215"/>
    <n v="18114.138533410827"/>
    <n v="0.39806069839529279"/>
    <n v="22.752985419603828"/>
    <n v="22.752985419603828"/>
    <n v="101000"/>
    <s v="PHYTOHUMUS"/>
    <s v="SANTA MARTA"/>
    <s v="Additives"/>
    <s v="International"/>
    <s v="07/2026"/>
    <s v="2026"/>
  </r>
  <r>
    <n v="11"/>
    <x v="6"/>
    <n v="2651"/>
    <s v="AGROBROKERS - COLOMBIA"/>
    <n v="14143"/>
    <s v="EX"/>
    <s v="RESIDEX BLUE IBC ADITIVO ANTI PO P/ FERTILIZANTES"/>
    <n v="2000"/>
    <n v="2000"/>
    <n v="19116"/>
    <n v="0"/>
    <n v="19116"/>
    <n v="-3159.58"/>
    <n v="0"/>
    <n v="-367.56373436826215"/>
    <n v="15588.856265631737"/>
    <n v="0.81548735434357278"/>
    <n v="9.5579999999999998"/>
    <n v="9.5579999999999998"/>
    <n v="101300"/>
    <s v="RESIDEX"/>
    <s v="SANTA MARTA"/>
    <s v="Additives"/>
    <s v="International"/>
    <s v="07/2026"/>
    <s v="2026"/>
  </r>
  <r>
    <n v="11"/>
    <x v="6"/>
    <n v="15905"/>
    <s v="CAMPEVO - ITAPETININGA"/>
    <n v="8368"/>
    <s v="SP"/>
    <s v="SULFORCE - BB - 18 L SOLUC?O ALTAMENTE CONCENTRADA EM ENXOFRE (60%)"/>
    <n v="245"/>
    <n v="4028.298887113996"/>
    <n v="44919.699797066351"/>
    <n v="-4042.6083407675251"/>
    <n v="40877.091456298826"/>
    <n v="-14180.880210262118"/>
    <n v="-1089.005091254071"/>
    <n v="-10187.749298378783"/>
    <n v="15419.456856403851"/>
    <n v="0.37721511749162961"/>
    <n v="183.34571345741367"/>
    <n v="11.151034482758622"/>
    <n v="101602"/>
    <s v="FERTILIZANTE LIQUIDOS"/>
    <s v="ITAPETININGA"/>
    <s v="Fertilizers"/>
    <s v="Domestic"/>
    <s v="07/2026"/>
    <s v="2026"/>
  </r>
  <r>
    <n v="11"/>
    <x v="6"/>
    <n v="15906"/>
    <s v="CAMPEVO - JAU"/>
    <n v="13004"/>
    <s v="SP"/>
    <s v="BIOSINERGIC K - BB - 20L PRODUTO A BASE DE EXTRATO DE ALGAS E ACIDOS HUMICOS"/>
    <n v="22"/>
    <n v="505.97726079211878"/>
    <n v="13383.098547951542"/>
    <n v="-1266.8109020827151"/>
    <n v="12116.287645868826"/>
    <n v="-3577.6717152628812"/>
    <n v="-136.78523577881009"/>
    <n v="-2783.8467709913102"/>
    <n v="5617.9839238358245"/>
    <n v="0.46367204939636231"/>
    <n v="608.32266127052469"/>
    <n v="26.45"/>
    <n v="101602"/>
    <s v="FERTILIZANTE LIQUIDOS"/>
    <s v="JAU"/>
    <s v="Fertilizers"/>
    <s v="Domestic"/>
    <s v="07/2026"/>
    <s v="2026"/>
  </r>
  <r>
    <n v="11"/>
    <x v="6"/>
    <n v="8187"/>
    <s v="AGROREP. REPRESENTACOES AGRICOLAS"/>
    <n v="8369"/>
    <s v="MT"/>
    <s v="SULFORCE IBC - 700 L - SOLUC?O ALTAMENTE CONCENTRADA EM ENXOFRE (60%) "/>
    <n v="180000"/>
    <n v="164420.36273934678"/>
    <n v="1674366.259454617"/>
    <n v="-150686.82641581277"/>
    <n v="1523679.4330388042"/>
    <n v="-605540.72246548138"/>
    <n v="-148073.14082055577"/>
    <n v="-384297.35958314757"/>
    <n v="385768.21016961953"/>
    <n v="0.25318200259502682"/>
    <n v="9.302034774747872"/>
    <n v="10.183448275862069"/>
    <n v="101602"/>
    <s v="FERTILIZANTE LIQUIDOS"/>
    <s v="SORRISO"/>
    <s v="Fertilizers"/>
    <s v="Domestic"/>
    <s v="07/2026"/>
    <s v="2026"/>
  </r>
  <r>
    <n v="11"/>
    <x v="6"/>
    <n v="15905"/>
    <s v="CAMPEVO - ITAPETININGA"/>
    <n v="13004"/>
    <s v="SP"/>
    <s v="BIOSINERGIC K - BB - 20L PRODUTO A BASE DE EXTRATO DE ALGAS E ACIDOS HUMICOS"/>
    <n v="23"/>
    <n v="528.97622719176059"/>
    <n v="13991.421209222068"/>
    <n v="-1324.3932158137472"/>
    <n v="12667.027993408321"/>
    <n v="-3740.29315686574"/>
    <n v="-143.00274649602875"/>
    <n v="-2911.2896276842648"/>
    <n v="5872.4424623622863"/>
    <n v="0.46360065403014766"/>
    <n v="608.32266127052469"/>
    <n v="26.45"/>
    <n v="101602"/>
    <s v="FERTILIZANTE LIQUIDOS"/>
    <s v="ITAPETININGA"/>
    <s v="Fertilizers"/>
    <s v="Domestic"/>
    <s v="07/2026"/>
    <s v="2026"/>
  </r>
  <r>
    <n v="11"/>
    <x v="6"/>
    <n v="15908"/>
    <s v="CAMPEVO - S?O JOSE DO RIO PRETO"/>
    <n v="13004"/>
    <s v="SP"/>
    <s v="BIOSINERGIC K - BB - 20L PRODUTO A BASE DE EXTRATO DE ALGAS E ACIDOS HUMICOS"/>
    <n v="22"/>
    <n v="505.97726079211878"/>
    <n v="13383.098547951542"/>
    <n v="-1266.8109020827151"/>
    <n v="12116.287645868826"/>
    <n v="-3577.6717152628812"/>
    <n v="-136.78523577881009"/>
    <n v="-2783.2557984293198"/>
    <n v="5618.5748963978149"/>
    <n v="0.46372082444852869"/>
    <n v="608.32266127052469"/>
    <n v="26.45"/>
    <n v="101602"/>
    <s v="FERTILIZANTE LIQUIDOS"/>
    <s v="SAO JOSE DO RIO PRETO"/>
    <s v="Fertilizers"/>
    <s v="Domestic"/>
    <s v="07/2026"/>
    <s v="2026"/>
  </r>
  <r>
    <n v="11"/>
    <x v="6"/>
    <n v="14298"/>
    <s v="SAGRA - BAMBUI"/>
    <n v="8368"/>
    <s v="MG"/>
    <s v="SULFORCE - BB - 18 L SOLUC?O ALTAMENTE CONCENTRADA EM ENXOFRE (60%)"/>
    <n v="2000"/>
    <n v="32884.072547869357"/>
    <n v="366691.42691482737"/>
    <n v="-33000.88441442878"/>
    <n v="333690.54250039859"/>
    <n v="-115762.28743071116"/>
    <n v="-7937.5347529339824"/>
    <n v="-83135.852332670402"/>
    <n v="126854.86798408306"/>
    <n v="0.38015721702370853"/>
    <n v="183.34571345741369"/>
    <n v="11.151034482758622"/>
    <n v="101602"/>
    <s v="FERTILIZANTE LIQUIDOS"/>
    <s v="BAMBUI "/>
    <s v="Fertilizers"/>
    <s v="Domestic"/>
    <s v="07/2026"/>
    <s v="2026"/>
  </r>
  <r>
    <n v="11"/>
    <x v="6"/>
    <n v="16645"/>
    <s v="OPCAO AGRONEGOCIOS"/>
    <n v="8368"/>
    <s v="MG"/>
    <s v="SULFORCE - BB - 18 L SOLUC?O ALTAMENTE CONCENTRADA EM ENXOFRE (60%)"/>
    <n v="136"/>
    <n v="2236.1169332551162"/>
    <n v="24935.017030208259"/>
    <n v="-2244.0601401811564"/>
    <n v="22690.956890027104"/>
    <n v="-7871.8355452883598"/>
    <n v="-539.7523631995108"/>
    <n v="-5655.0713021741467"/>
    <n v="8624.2976793650887"/>
    <n v="0.38007642080337084"/>
    <n v="183.34571345741367"/>
    <n v="11.151034482758622"/>
    <n v="101602"/>
    <s v="FERTILIZANTE LIQUIDOS"/>
    <s v="UBERLANDIA"/>
    <s v="Fertilizers"/>
    <s v="Domestic"/>
    <s v="07/2026"/>
    <s v="2026"/>
  </r>
  <r>
    <n v="11"/>
    <x v="6"/>
    <n v="15906"/>
    <s v="CAMPEVO - JAU"/>
    <n v="8369"/>
    <s v="SP"/>
    <s v="SULFORCE IBC - 700 L - SOLUC?O ALTAMENTE CONCENTRADA EM ENXOFRE (60%) "/>
    <n v="4900"/>
    <n v="4475.8876523488843"/>
    <n v="45579.97039626458"/>
    <n v="-4102.0302746526804"/>
    <n v="41477.9401216119"/>
    <n v="-16484.164111560323"/>
    <n v="-1210.005656948968"/>
    <n v="-10463.96005637604"/>
    <n v="13319.81029672657"/>
    <n v="0.32112998518425317"/>
    <n v="9.3020347747478738"/>
    <n v="10.183448275862071"/>
    <n v="101602"/>
    <s v="FERTILIZANTE LIQUIDOS"/>
    <s v="JAU"/>
    <s v="Fertilizers"/>
    <s v="Domestic"/>
    <s v="07/2026"/>
    <s v="2026"/>
  </r>
  <r>
    <n v="11"/>
    <x v="6"/>
    <n v="7060"/>
    <s v="AGROVIVA"/>
    <n v="8368"/>
    <s v="MG"/>
    <s v="SULFORCE - BB - 18 L SOLUC?O ALTAMENTE CONCENTRADA EM ENXOFRE (60%)"/>
    <n v="40"/>
    <n v="657.68145095738714"/>
    <n v="7333.8285382965478"/>
    <n v="-660.01768828857564"/>
    <n v="6673.8108500079725"/>
    <n v="-2315.2457486142234"/>
    <n v="-158.75069505867964"/>
    <n v="-1666.7091254069092"/>
    <n v="2533.1052809281609"/>
    <n v="0.37955904622695963"/>
    <n v="183.34571345741369"/>
    <n v="11.151034482758622"/>
    <n v="101602"/>
    <s v="FERTILIZANTE LIQUIDOS"/>
    <s v="TRES PONTAS"/>
    <s v="Fertilizers"/>
    <s v="Domestic"/>
    <s v="07/2026"/>
    <s v="2026"/>
  </r>
  <r>
    <n v="11"/>
    <x v="6"/>
    <n v="13773"/>
    <s v="FERTLIZE AGRO"/>
    <n v="8368"/>
    <s v="MG"/>
    <s v="SULFORCE - BB - 18 L SOLUC?O ALTAMENTE CONCENTRADA EM ENXOFRE (60%)"/>
    <n v="167"/>
    <n v="2745.8200577470911"/>
    <n v="29856.532372737594"/>
    <n v="-2686.9784825300035"/>
    <n v="27169.55389020759"/>
    <n v="-9666.1510004643824"/>
    <n v="0"/>
    <n v="-6791.2987430501344"/>
    <n v="10712.104146693073"/>
    <n v="0.39426867993419329"/>
    <n v="178.78163097447663"/>
    <n v="10.873448275862069"/>
    <n v="101602"/>
    <s v="FERTILIZANTE LIQUIDOS"/>
    <s v="CRUZEIRO DA FORTALEZA"/>
    <s v="Fertilizers"/>
    <s v="Domestic"/>
    <s v="07/2026"/>
    <s v="2026"/>
  </r>
  <r>
    <n v="11"/>
    <x v="6"/>
    <n v="15917"/>
    <s v="MINAS FARM"/>
    <n v="8368"/>
    <s v="MG"/>
    <s v="SULFORCE - BB - 18 L SOLUC?O ALTAMENTE CONCENTRADA EM ENXOFRE (60%)"/>
    <n v="194"/>
    <n v="3189.7550371433272"/>
    <n v="34683.636409048457"/>
    <n v="-3121.4001533582073"/>
    <n v="31562.236255690248"/>
    <n v="-11228.941880778983"/>
    <n v="0"/>
    <n v="-7889.2931506091372"/>
    <n v="12444.00122430213"/>
    <n v="0.39426867993419329"/>
    <n v="178.78163097447657"/>
    <n v="10.873448275862067"/>
    <n v="101602"/>
    <s v="FERTILIZANTE LIQUIDOS"/>
    <s v="UBERLANDIA"/>
    <s v="Fertilizers"/>
    <s v="Domestic"/>
    <s v="07/2026"/>
    <s v="2026"/>
  </r>
  <r>
    <n v="11"/>
    <x v="6"/>
    <n v="15904"/>
    <s v="CAMPEVO - JALES"/>
    <n v="8368"/>
    <s v="SP"/>
    <s v="SULFORCE - BB - 18 L SOLUC?O ALTAMENTE CONCENTRADA EM ENXOFRE (60%)"/>
    <n v="245"/>
    <n v="4028.298887113996"/>
    <n v="44919.699797066351"/>
    <n v="-4042.6083407675251"/>
    <n v="40877.091456298826"/>
    <n v="-14180.880210262118"/>
    <n v="-1089.005091254071"/>
    <n v="-10186.12412383331"/>
    <n v="15421.082030949325"/>
    <n v="0.3772548750792557"/>
    <n v="183.34571345741367"/>
    <n v="11.151034482758622"/>
    <n v="101602"/>
    <s v="FERTILIZANTE LIQUIDOS"/>
    <s v="JALES"/>
    <s v="Fertilizers"/>
    <s v="Domestic"/>
    <s v="07/2026"/>
    <s v="2026"/>
  </r>
  <r>
    <n v="11"/>
    <x v="6"/>
    <n v="15908"/>
    <s v="CAMPEVO - S?O JOSE DO RIO PRETO"/>
    <n v="8368"/>
    <s v="SP"/>
    <s v="SULFORCE - BB - 18 L SOLUC?O ALTAMENTE CONCENTRADA EM ENXOFRE (60%)"/>
    <n v="245"/>
    <n v="4028.298887113996"/>
    <n v="44919.699797066351"/>
    <n v="-4042.6083407675251"/>
    <n v="40877.091456298826"/>
    <n v="-14180.880210262118"/>
    <n v="-1089.005091254071"/>
    <n v="-10186.12412383331"/>
    <n v="15421.082030949325"/>
    <n v="0.3772548750792557"/>
    <n v="183.34571345741367"/>
    <n v="11.151034482758622"/>
    <n v="101602"/>
    <s v="FERTILIZANTE LIQUIDOS"/>
    <s v="SAO JOSE DO RIO PRETO"/>
    <s v="Fertilizers"/>
    <s v="Domestic"/>
    <s v="07/2026"/>
    <s v="2026"/>
  </r>
  <r>
    <n v="11"/>
    <x v="6"/>
    <n v="15917"/>
    <s v="MINAS FARM"/>
    <n v="8301"/>
    <s v="MG"/>
    <s v="BIOSINERGIC - BB - 20L PRODUTO A BASE DE EXTRATO DE ALGAS E ACIDOS HUMICOS"/>
    <n v="5"/>
    <n v="114.99483199820881"/>
    <n v="3041.6133063526231"/>
    <n v="-300.02038143179334"/>
    <n v="2741.5929249208298"/>
    <n v="-842.55772538280348"/>
    <n v="-27.757373240946958"/>
    <n v="-633.58625986158631"/>
    <n v="1237.6915664354931"/>
    <n v="0.45144979591426193"/>
    <n v="608.32266127052458"/>
    <n v="26.45"/>
    <n v="101602"/>
    <s v="FERTILIZANTE LIQUIDOS"/>
    <s v="UBERLANDIA"/>
    <s v="Fertilizers"/>
    <s v="Domestic"/>
    <s v="07/2026"/>
    <s v="2026"/>
  </r>
  <r>
    <n v="11"/>
    <x v="6"/>
    <n v="14166"/>
    <s v="TAKI AGRO - TRES CORAC?ES"/>
    <n v="8368"/>
    <s v="MG"/>
    <s v="SULFORCE - BB - 18 L SOLUC?O ALTAMENTE CONCENTRADA EM ENXOFRE (60%)"/>
    <n v="2000"/>
    <n v="32884.072547869357"/>
    <n v="366691.42691482737"/>
    <n v="-33000.88441442878"/>
    <n v="333690.54250039859"/>
    <n v="-115762.28743071116"/>
    <n v="-7937.5347529339824"/>
    <n v="-83137.578957505684"/>
    <n v="126853.14135924778"/>
    <n v="0.38015204269415653"/>
    <n v="183.34571345741369"/>
    <n v="11.151034482758622"/>
    <n v="101602"/>
    <s v="FERTILIZANTE LIQUIDOS"/>
    <s v="TRES CORACOES"/>
    <s v="Fertilizers"/>
    <s v="Domestic"/>
    <s v="07/2026"/>
    <s v="2026"/>
  </r>
  <r>
    <n v="11"/>
    <x v="6"/>
    <n v="12653"/>
    <s v="APROVAR AGROPECUARIA COMERCIO"/>
    <n v="8368"/>
    <s v="MG"/>
    <s v="SULFORCE - BB - 18 L SOLUC?O ALTAMENTE CONCENTRADA EM ENXOFRE (60%)"/>
    <n v="1969"/>
    <n v="32374.369423377382"/>
    <n v="361007.70979764749"/>
    <n v="-32489.370706005131"/>
    <n v="328518.33909164235"/>
    <n v="-113967.97197553514"/>
    <n v="-7814.5029642635045"/>
    <n v="-81848.615095800196"/>
    <n v="124887.24905604351"/>
    <n v="0.38015305142890482"/>
    <n v="183.34571345741367"/>
    <n v="11.15103448275862"/>
    <n v="101602"/>
    <s v="FERTILIZANTE LIQUIDOS"/>
    <s v="VARGINHA"/>
    <s v="Fertilizers"/>
    <s v="Domestic"/>
    <s v="07/2026"/>
    <s v="2026"/>
  </r>
  <r>
    <n v="11"/>
    <x v="6"/>
    <n v="16645"/>
    <s v="OPCAO AGRONEGOCIOS"/>
    <n v="8369"/>
    <s v="MG"/>
    <s v="SULFORCE IBC - 700 L - SOLUC?O ALTAMENTE CONCENTRADA EM ENXOFRE (60%) "/>
    <n v="2000"/>
    <n v="1826.8929193260753"/>
    <n v="18604.069549495747"/>
    <n v="-1674.2980712868084"/>
    <n v="16929.771478208939"/>
    <n v="-6728.2302496164593"/>
    <n v="-440.97415294077678"/>
    <n v="-4271.8287787195741"/>
    <n v="5488.7382969321288"/>
    <n v="0.32420628382355471"/>
    <n v="9.3020347747478738"/>
    <n v="10.183448275862071"/>
    <n v="101602"/>
    <s v="FERTILIZANTE LIQUIDOS"/>
    <s v="UBERLANDIA"/>
    <s v="Fertilizers"/>
    <s v="Domestic"/>
    <s v="07/2026"/>
    <s v="2026"/>
  </r>
  <r>
    <n v="11"/>
    <x v="6"/>
    <n v="15904"/>
    <s v="CAMPEVO - JALES"/>
    <n v="13004"/>
    <s v="SP"/>
    <s v="BIOSINERGIC K - BB - 20L PRODUTO A BASE DE EXTRATO DE ALGAS E ACIDOS HUMICOS"/>
    <n v="25"/>
    <n v="574.97415999104408"/>
    <n v="15208.066531763116"/>
    <n v="-1439.5578432758125"/>
    <n v="13768.508688487304"/>
    <n v="-4065.5360400714562"/>
    <n v="-155.43776793046604"/>
    <n v="-3162.4817625577325"/>
    <n v="6385.0531179276495"/>
    <n v="0.46374326097252527"/>
    <n v="608.32266127052458"/>
    <n v="26.45"/>
    <n v="101602"/>
    <s v="FERTILIZANTE LIQUIDOS"/>
    <s v="JALES"/>
    <s v="Fertilizers"/>
    <s v="Domestic"/>
    <s v="07/2026"/>
    <s v="2026"/>
  </r>
  <r>
    <n v="11"/>
    <x v="6"/>
    <n v="15906"/>
    <s v="CAMPEVO - JAU"/>
    <n v="8368"/>
    <s v="SP"/>
    <s v="SULFORCE - BB - 18 L SOLUC?O ALTAMENTE CONCENTRADA EM ENXOFRE (60%)"/>
    <n v="245"/>
    <n v="4028.298887113996"/>
    <n v="44919.699797066351"/>
    <n v="-4042.6083407675251"/>
    <n v="40877.091456298826"/>
    <n v="-14180.880210262118"/>
    <n v="-1089.005091254071"/>
    <n v="-10186.715096395299"/>
    <n v="15420.491058387335"/>
    <n v="0.37724041777466444"/>
    <n v="183.34571345741367"/>
    <n v="11.151034482758622"/>
    <n v="101602"/>
    <s v="FERTILIZANTE LIQUIDOS"/>
    <s v="JAU"/>
    <s v="Fertilizers"/>
    <s v="Domestic"/>
    <s v="07/2026"/>
    <s v="2026"/>
  </r>
  <r>
    <n v="11"/>
    <x v="6"/>
    <n v="903"/>
    <s v="YARA - PONTA GROSSA"/>
    <n v="4627"/>
    <s v="PR"/>
    <s v="COAT BIO GR ADITIVO ANTI-PO P/ FERTILIZANTES"/>
    <n v="45000"/>
    <n v="45000"/>
    <n v="386029.5564195044"/>
    <n v="-46170"/>
    <n v="339859.5564195044"/>
    <n v="-217053.41222222219"/>
    <n v="-17720.945424000001"/>
    <n v="-9.1125292956748147"/>
    <n v="105076.08624398653"/>
    <n v="0.30917502320954676"/>
    <n v="8.578434587100098"/>
    <n v="8.578434587100098"/>
    <n v="102200"/>
    <s v="COAT BIO"/>
    <s v="PONTA GROSSA"/>
    <s v="Additives"/>
    <s v="Domestic"/>
    <s v="07/2026"/>
    <s v="2026"/>
  </r>
  <r>
    <n v="11"/>
    <x v="6"/>
    <n v="1159"/>
    <s v="YARA - RIO GRANDE"/>
    <n v="4627"/>
    <s v="RS"/>
    <s v="COAT BIO GR ADITIVO ANTI-PO P/ FERTILIZANTES"/>
    <n v="360000"/>
    <n v="360000"/>
    <n v="3268835.074242353"/>
    <n v="-390960"/>
    <n v="2877875.074242353"/>
    <n v="-1736427.2977777775"/>
    <n v="-293059.26"/>
    <n v="-150.69800330754529"/>
    <n v="848237.81846126786"/>
    <n v="0.29474448910350293"/>
    <n v="9.0800974284509799"/>
    <n v="9.0800974284509799"/>
    <n v="102200"/>
    <s v="COAT BIO"/>
    <s v="RIO GRANDE"/>
    <s v="Additives"/>
    <s v="Domestic"/>
    <s v="07/2026"/>
    <s v="2026"/>
  </r>
  <r>
    <n v="11"/>
    <x v="6"/>
    <n v="3273"/>
    <s v="FERTIMAXI - CONCEICAO DO JACUIPE"/>
    <n v="12293"/>
    <s v="BA"/>
    <s v="COATMAX BMZ 366 - MICRONUTRIENTE LIQUIDO"/>
    <n v="14400"/>
    <n v="14400"/>
    <n v="101299.88471865047"/>
    <n v="-3945.6"/>
    <n v="97354.284718650466"/>
    <n v="-45809.810000000005"/>
    <n v="-14834.349443160001"/>
    <n v="-7.6281733648362069"/>
    <n v="36702.497102125621"/>
    <n v="0.37699929908780283"/>
    <n v="7.034714216572949"/>
    <n v="7.034714216572949"/>
    <n v="102300"/>
    <s v="COAT MAX"/>
    <s v="CONCEICAO DO JACUIPE"/>
    <s v="Additives"/>
    <s v="Domestic"/>
    <s v="07/2026"/>
    <s v="2026"/>
  </r>
  <r>
    <n v="11"/>
    <x v="6"/>
    <n v="2809"/>
    <s v="CISBRA QUIMICA - FORMOSA"/>
    <n v="12813"/>
    <s v="GO"/>
    <s v="COATMAX BMZ 3313 - MICRONUTRIENTE LIQUIDO"/>
    <n v="12000"/>
    <n v="12000"/>
    <n v="118429.67057740036"/>
    <n v="-4612.8"/>
    <n v="113816.87057740036"/>
    <n v="-53314.707032967024"/>
    <n v="-5861.7368409599994"/>
    <n v="-3.0142437329806611"/>
    <n v="54637.412459740357"/>
    <n v="0.48004669415492818"/>
    <n v="9.8691392147833632"/>
    <n v="9.8691392147833632"/>
    <n v="102300"/>
    <s v="COAT MAX"/>
    <s v="FORMOSA"/>
    <s v="Additives"/>
    <s v="Domestic"/>
    <s v="07/2026"/>
    <s v="2026"/>
  </r>
  <r>
    <n v="11"/>
    <x v="6"/>
    <n v="97"/>
    <s v="FECOAGRO - SAO FRANCISCO DO SUL"/>
    <n v="13600"/>
    <s v="SC"/>
    <s v="COATMAX BMZC 3663 - MICRONUTRIENTE LIQUIDO"/>
    <n v="210000"/>
    <n v="210000"/>
    <n v="1940964.944426697"/>
    <n v="-75600"/>
    <n v="1865364.944426697"/>
    <n v="-1201044.5899999996"/>
    <n v="-117654.67349999999"/>
    <n v="-60.500816033764508"/>
    <n v="546605.18011066352"/>
    <n v="0.29302854743989931"/>
    <n v="9.2426902115557006"/>
    <n v="9.2426902115557006"/>
    <n v="102300"/>
    <s v="COAT MAX"/>
    <s v="SAO FRANCISCO DO SUL"/>
    <s v="Additives"/>
    <s v="Domestic"/>
    <s v="07/2026"/>
    <s v="2026"/>
  </r>
  <r>
    <n v="11"/>
    <x v="6"/>
    <n v="2011"/>
    <s v="FERTGROW S.A"/>
    <n v="12813"/>
    <s v="MA"/>
    <s v="COATMAX BMZ 3313 - MICRONUTRIENTE LIQUIDO"/>
    <n v="90000"/>
    <n v="90000"/>
    <n v="1011150.3091441935"/>
    <n v="-39384"/>
    <n v="971766.30914419354"/>
    <n v="-399860.30274725269"/>
    <n v="-79384.58189999999"/>
    <n v="-40.821429719485067"/>
    <n v="492480.60306722141"/>
    <n v="0.50678913071285092"/>
    <n v="11.235003434935484"/>
    <n v="11.235003434935484"/>
    <n v="102300"/>
    <s v="COAT MAX"/>
    <s v="SAO LUIS"/>
    <s v="Additives"/>
    <s v="Domestic"/>
    <s v="07/2026"/>
    <s v="2026"/>
  </r>
  <r>
    <n v="11"/>
    <x v="6"/>
    <n v="139"/>
    <s v="COMIGO - RIO VERDE"/>
    <n v="14190"/>
    <s v="GO"/>
    <s v="COATMAX BMZC 3662 IBC - MICRONUTRIENTE LIQUIDO"/>
    <n v="100000"/>
    <n v="100000"/>
    <n v="815410.6697750251"/>
    <n v="-31760"/>
    <n v="783650.6697750251"/>
    <n v="-443202.62"/>
    <n v="-18962.657999999999"/>
    <n v="-9.7510472728411663"/>
    <n v="321475.6407277523"/>
    <n v="0.41022824726232077"/>
    <n v="8.154106697750251"/>
    <n v="8.154106697750251"/>
    <n v="102300"/>
    <s v="COAT MAX"/>
    <s v="RIO VERDE"/>
    <s v="Additives"/>
    <s v="Domestic"/>
    <s v="07/2026"/>
    <s v="2026"/>
  </r>
  <r>
    <n v="11"/>
    <x v="6"/>
    <n v="5695"/>
    <s v="CAMPO RICO - SANTAREM"/>
    <n v="12813"/>
    <s v="PA"/>
    <s v="COATMAX BMZ 3313 - MICRONUTRIENTE LIQUIDO"/>
    <n v="80000"/>
    <n v="80000"/>
    <n v="821572.4632493956"/>
    <n v="-32000"/>
    <n v="789572.4632493956"/>
    <n v="-355431.38021978014"/>
    <n v="-80971.733606399997"/>
    <n v="-41.637580668274893"/>
    <n v="353127.71184254723"/>
    <n v="0.44723914305381207"/>
    <n v="10.269655790617445"/>
    <n v="10.269655790617445"/>
    <n v="102300"/>
    <s v="COAT MAX"/>
    <s v="SANTAREM"/>
    <s v="Additives"/>
    <s v="Domestic"/>
    <s v="07/2026"/>
    <s v="2026"/>
  </r>
  <r>
    <n v="11"/>
    <x v="6"/>
    <n v="1953"/>
    <s v="AMAGGI - COMODORO"/>
    <n v="7398"/>
    <s v="MT"/>
    <s v="SUPERSELEN ADITIVO ANTI PO P/ FERTILIZANTES"/>
    <n v="120000"/>
    <n v="120000"/>
    <n v="250800"/>
    <n v="-17556"/>
    <n v="233244"/>
    <n v="-77530.427737226288"/>
    <n v="-83753.461209599991"/>
    <n v="-43.068010798848896"/>
    <n v="71917.043042374862"/>
    <n v="0.30833394660687891"/>
    <n v="2.09"/>
    <n v="2.09"/>
    <n v="102600"/>
    <s v="SUPERSELEN"/>
    <s v="COMODORO"/>
    <s v="Additives"/>
    <s v="Domestic"/>
    <s v="07/2026"/>
    <s v="2026"/>
  </r>
  <r>
    <n v="11"/>
    <x v="6"/>
    <n v="8855"/>
    <s v="TERMAG - GUARUJA"/>
    <n v="7398"/>
    <s v="SP"/>
    <s v="SUPERSELEN ADITIVO ANTI PO P/ FERTILIZANTES"/>
    <n v="60000"/>
    <n v="60000"/>
    <n v="147600"/>
    <n v="-17712"/>
    <n v="129888"/>
    <n v="-38765.213868613144"/>
    <n v="-26091.264326399996"/>
    <n v="-13.416745260865893"/>
    <n v="65018.105059725989"/>
    <n v="0.50057053045489952"/>
    <n v="2.46"/>
    <n v="2.46"/>
    <n v="102600"/>
    <s v="SUPERSELEN"/>
    <s v="GUARUJA"/>
    <s v="Additives"/>
    <s v="Domestic"/>
    <s v="07/2026"/>
    <s v="2026"/>
  </r>
  <r>
    <n v="11"/>
    <x v="6"/>
    <n v="8413"/>
    <s v="AMAGGI - SINOP"/>
    <n v="7398"/>
    <s v="MT"/>
    <s v="SUPERSELEN ADITIVO ANTI PO P/ FERTILIZANTES"/>
    <n v="64000"/>
    <n v="64000"/>
    <n v="132480"/>
    <n v="-9273.6"/>
    <n v="123206.39999999999"/>
    <n v="-41349.56145985402"/>
    <n v="-46705.601280000003"/>
    <n v="-24.01712491928879"/>
    <n v="35127.220135226693"/>
    <n v="0.28510872921558211"/>
    <n v="2.0699999999999998"/>
    <n v="2.0699999999999998"/>
    <n v="102600"/>
    <s v="SUPERSELEN"/>
    <s v="SINOP"/>
    <s v="Additives"/>
    <s v="Domestic"/>
    <s v="07/2026"/>
    <s v="2026"/>
  </r>
  <r>
    <n v="11"/>
    <x v="6"/>
    <n v="8414"/>
    <s v="AMAGGI - PORTO VELHO"/>
    <n v="7398"/>
    <s v="RO"/>
    <s v="SUPERSELEN ADITIVO ANTI PO P/ FERTILIZANTES"/>
    <n v="30000"/>
    <n v="30000"/>
    <n v="70800"/>
    <n v="-4956.0000000000009"/>
    <n v="65844"/>
    <n v="-19382.606934306572"/>
    <n v="-24507.690479999997"/>
    <n v="-12.60243413231623"/>
    <n v="21941.10015156111"/>
    <n v="0.33322854248771505"/>
    <n v="2.36"/>
    <n v="2.36"/>
    <n v="102600"/>
    <s v="SUPERSELEN"/>
    <s v="PORTO VELHO"/>
    <s v="Additives"/>
    <s v="Domestic"/>
    <s v="07/2026"/>
    <s v="2026"/>
  </r>
  <r>
    <n v="11"/>
    <x v="7"/>
    <n v="5209"/>
    <s v="NUTRISOYA - CATAL?O"/>
    <n v="1043"/>
    <s v="GO"/>
    <s v="START ANTIDUSTING SC AD ADITIVO ANTI PO P/ FERTILIZANTES"/>
    <n v="15000"/>
    <n v="15000"/>
    <n v="28500"/>
    <n v="-1995.0000000000002"/>
    <n v="26505"/>
    <n v="-5856.2562796208531"/>
    <n v="-2614.5482999999999"/>
    <n v="-1.1901915765162718"/>
    <n v="18033.005228802635"/>
    <n v="0.68036239308819602"/>
    <n v="1.9"/>
    <n v="1.9"/>
    <n v="100100"/>
    <s v="START ANTIDUSTING"/>
    <s v="CATALAO"/>
    <s v="Additives"/>
    <s v="Domestic"/>
    <s v="08/2026"/>
    <s v="2026"/>
  </r>
  <r>
    <n v="11"/>
    <x v="7"/>
    <n v="139"/>
    <s v="COMIGO - RIO VERDE"/>
    <n v="1043"/>
    <s v="GO"/>
    <s v="START ANTIDUSTING SC AD ADITIVO ANTI PO P/ FERTILIZANTES"/>
    <n v="90000"/>
    <n v="90000"/>
    <n v="61250.000000000036"/>
    <n v="-4287.5000000000027"/>
    <n v="56962.500000000036"/>
    <n v="-35137.537677725122"/>
    <n v="-17066.392199999998"/>
    <n v="-7.7689428181391804"/>
    <n v="4750.8011794567765"/>
    <n v="8.3402259020527073E-2"/>
    <n v="0.68055555555555591"/>
    <n v="0.68055555555555591"/>
    <n v="100100"/>
    <s v="START ANTIDUSTING"/>
    <s v="RIO VERDE"/>
    <s v="Additives"/>
    <s v="Domestic"/>
    <s v="08/2026"/>
    <s v="2026"/>
  </r>
  <r>
    <n v="11"/>
    <x v="7"/>
    <n v="12568"/>
    <s v="FRIBON FERTILIZANTES - BARCARENA"/>
    <n v="1043"/>
    <s v="PA"/>
    <s v="START ANTIDUSTING SC AD ADITIVO ANTI PO P/ FERTILIZANTES"/>
    <n v="30000"/>
    <n v="30000"/>
    <n v="69000"/>
    <n v="-4830.0000000000009"/>
    <n v="64170"/>
    <n v="-11712.512559241706"/>
    <n v="-26978.690699999999"/>
    <n v="-12.28120758625032"/>
    <n v="25466.515533172049"/>
    <n v="0.3968601454444764"/>
    <n v="2.2999999999999998"/>
    <n v="2.2999999999999998"/>
    <n v="100100"/>
    <s v="START ANTIDUSTING"/>
    <s v="BARCARENA "/>
    <s v="Additives"/>
    <s v="Domestic"/>
    <s v="08/2026"/>
    <s v="2026"/>
  </r>
  <r>
    <n v="11"/>
    <x v="7"/>
    <n v="4577"/>
    <s v="MICROSOLO INDUSTRIAL"/>
    <n v="1"/>
    <s v="MG"/>
    <s v="START ANTIDUSTING KG ADITIVO ANTI PO P/ FERTILIZANTES"/>
    <n v="30000"/>
    <n v="30000"/>
    <n v="69600"/>
    <n v="-6438"/>
    <n v="63162"/>
    <n v="-20219.462727272727"/>
    <n v="-10004.1649344"/>
    <n v="-4.5540840974337096"/>
    <n v="32933.818254229838"/>
    <n v="0.52141823017367783"/>
    <n v="2.3199999999999998"/>
    <n v="2.3199999999999998"/>
    <n v="100100"/>
    <s v="START ANTIDUSTING"/>
    <s v="SETE LAGOAS"/>
    <s v="Additives"/>
    <s v="Domestic"/>
    <s v="08/2026"/>
    <s v="2026"/>
  </r>
  <r>
    <n v="11"/>
    <x v="7"/>
    <n v="12972"/>
    <s v="INVICTA FERTILIZER - RIO GRANDE"/>
    <n v="1"/>
    <s v="RS"/>
    <s v="START ANTIDUSTING KG ADITIVO ANTI PO P/ FERTILIZANTES"/>
    <n v="30000"/>
    <n v="30000"/>
    <n v="90000"/>
    <n v="-10800"/>
    <n v="79200"/>
    <n v="-20219.462727272727"/>
    <n v="-24421.605"/>
    <n v="-11.117174066360779"/>
    <n v="34547.815098660918"/>
    <n v="0.43620978659925402"/>
    <n v="3"/>
    <n v="3"/>
    <n v="100100"/>
    <s v="START ANTIDUSTING"/>
    <s v="RIO GRANDE"/>
    <s v="Additives"/>
    <s v="Domestic"/>
    <s v="08/2026"/>
    <s v="2026"/>
  </r>
  <r>
    <n v="11"/>
    <x v="7"/>
    <n v="13861"/>
    <s v="ADUBOS ARAGUAIA - GUARANT? DO NORTE"/>
    <n v="1"/>
    <s v="MT"/>
    <s v="START ANTIDUSTING KG ADITIVO ANTI PO P/ FERTILIZANTES"/>
    <n v="30000"/>
    <n v="30000"/>
    <n v="85200"/>
    <n v="-5964.0000000000009"/>
    <n v="79236"/>
    <n v="-20219.462727272727"/>
    <n v="-22431.382390052997"/>
    <n v="-10.211187290078561"/>
    <n v="36574.943695384201"/>
    <n v="0.46159502871654551"/>
    <n v="2.84"/>
    <n v="2.84"/>
    <n v="100100"/>
    <s v="START ANTIDUSTING"/>
    <s v="GUARANT? DO NORTE"/>
    <s v="Additives"/>
    <s v="Domestic"/>
    <s v="08/2026"/>
    <s v="2026"/>
  </r>
  <r>
    <n v="11"/>
    <x v="7"/>
    <n v="466"/>
    <s v="ADUBOS ARAGUAIA - SORRISO"/>
    <n v="1"/>
    <s v="MT"/>
    <s v="START ANTIDUSTING KG ADITIVO ANTI PO P/ FERTILIZANTES"/>
    <n v="30000"/>
    <n v="30000"/>
    <n v="72900"/>
    <n v="-5103.0000000000009"/>
    <n v="67797"/>
    <n v="-20219.462727272727"/>
    <n v="-21002.580299999998"/>
    <n v="-9.5607696970702705"/>
    <n v="26565.39620303021"/>
    <n v="0.39183734092998523"/>
    <n v="2.4300000000000002"/>
    <n v="2.4300000000000002"/>
    <n v="100100"/>
    <s v="START ANTIDUSTING"/>
    <s v="SORRISO"/>
    <s v="Additives"/>
    <s v="Domestic"/>
    <s v="08/2026"/>
    <s v="2026"/>
  </r>
  <r>
    <n v="11"/>
    <x v="7"/>
    <n v="7648"/>
    <s v="LOUIS DREYFUS - PARANAGUA"/>
    <n v="14133"/>
    <s v="PR"/>
    <s v="START ANTIDUSTING SC AD IBC ADITIVO ANTI PO P/ FERTILIZANTES"/>
    <n v="26400"/>
    <n v="26400"/>
    <n v="74184"/>
    <n v="-8902.08"/>
    <n v="65281.919999999998"/>
    <n v="-31109.001660000013"/>
    <n v="-12363.653015999998"/>
    <n v="-5.6281674638074941"/>
    <n v="21803.637156536184"/>
    <n v="0.33399197138405529"/>
    <n v="2.81"/>
    <n v="2.81"/>
    <n v="100100"/>
    <s v="START ANTIDUSTING"/>
    <s v="PARANAGUA"/>
    <s v="Additives"/>
    <s v="Domestic"/>
    <s v="08/2026"/>
    <s v="2026"/>
  </r>
  <r>
    <n v="11"/>
    <x v="7"/>
    <n v="2559"/>
    <s v="MOSAIC - RIO GRANDE"/>
    <n v="1043"/>
    <s v="RS"/>
    <s v="START ANTIDUSTING SC AD ADITIVO ANTI PO P/ FERTILIZANTES"/>
    <n v="90000"/>
    <n v="90000"/>
    <n v="225900"/>
    <n v="-27108"/>
    <n v="198792"/>
    <n v="-35137.537677725122"/>
    <n v="-73264.815000000002"/>
    <n v="-33.351522199082339"/>
    <n v="90356.295800075779"/>
    <n v="0.45452682099921415"/>
    <n v="2.5099999999999998"/>
    <n v="2.5099999999999998"/>
    <n v="100100"/>
    <s v="START ANTIDUSTING"/>
    <s v="RIO GRANDE"/>
    <s v="Additives"/>
    <s v="Domestic"/>
    <s v="08/2026"/>
    <s v="2026"/>
  </r>
  <r>
    <n v="11"/>
    <x v="7"/>
    <n v="10492"/>
    <s v="UNIFERTIL RIO GRANDE UN1"/>
    <n v="3"/>
    <s v="RS"/>
    <s v="START ANTIDUSTING MH ADITIVO ANTI PO P/ FERTILIZANTES"/>
    <n v="64000"/>
    <n v="64000"/>
    <n v="165760"/>
    <n v="-19891.2"/>
    <n v="145868.79999999999"/>
    <n v="-49902.29"/>
    <n v="-52099.423999999999"/>
    <n v="-23.71663800823633"/>
    <n v="43843.369361991747"/>
    <n v="0.30056714912299098"/>
    <n v="2.59"/>
    <n v="2.59"/>
    <n v="100100"/>
    <s v="START ANTIDUSTING"/>
    <s v="RIO GRANDE"/>
    <s v="Additives"/>
    <s v="Domestic"/>
    <s v="08/2026"/>
    <s v="2026"/>
  </r>
  <r>
    <n v="11"/>
    <x v="7"/>
    <n v="16073"/>
    <s v="IMEX SUL INSUMOS - RIO GRANDE"/>
    <n v="1"/>
    <s v="RS"/>
    <s v="START ANTIDUSTING KG ADITIVO ANTI PO P/ FERTILIZANTES"/>
    <n v="30000"/>
    <n v="30000"/>
    <n v="84000"/>
    <n v="-10080"/>
    <n v="73920"/>
    <n v="-20219.462727272727"/>
    <n v="-24421.605"/>
    <n v="-11.117174066360779"/>
    <n v="29267.815098660918"/>
    <n v="0.39593905707062932"/>
    <n v="2.8"/>
    <n v="2.8"/>
    <n v="100100"/>
    <s v="START ANTIDUSTING"/>
    <s v="RIO GRANDE"/>
    <s v="Additives"/>
    <s v="Domestic"/>
    <s v="08/2026"/>
    <s v="2026"/>
  </r>
  <r>
    <n v="11"/>
    <x v="7"/>
    <n v="1023"/>
    <s v="ADUBOS ARAGUAIA - RONDONOPOLIS"/>
    <n v="1"/>
    <s v="MT"/>
    <s v="START ANTIDUSTING KG ADITIVO ANTI PO P/ FERTILIZANTES"/>
    <n v="30000"/>
    <n v="30000"/>
    <n v="72900"/>
    <n v="-5103.0000000000009"/>
    <n v="67797"/>
    <n v="-20219.462727272727"/>
    <n v="-11980.9521"/>
    <n v="-5.4539548066734653"/>
    <n v="35591.1312179206"/>
    <n v="0.5249661669088691"/>
    <n v="2.4300000000000002"/>
    <n v="2.4300000000000002"/>
    <n v="100100"/>
    <s v="START ANTIDUSTING"/>
    <s v="RONDONOPOLIS"/>
    <s v="Additives"/>
    <s v="Domestic"/>
    <s v="08/2026"/>
    <s v="2026"/>
  </r>
  <r>
    <n v="11"/>
    <x v="7"/>
    <n v="33"/>
    <s v="HERINGER - PARANAGUA"/>
    <n v="7384"/>
    <s v="PR"/>
    <s v="START ANTIDUSTING EURO KG ADITIVO ANTI PO P/ FERTILIZANTES"/>
    <n v="15000"/>
    <n v="15000"/>
    <n v="49200"/>
    <n v="-5904"/>
    <n v="43296"/>
    <n v="-10316.017692307691"/>
    <n v="-10935.990696618001"/>
    <n v="-4.9782687158523942"/>
    <n v="22039.013342358456"/>
    <n v="0.50903116552010474"/>
    <n v="3.28"/>
    <n v="3.28"/>
    <n v="100100"/>
    <s v="START ANTIDUSTING"/>
    <s v="PARANAGUA"/>
    <s v="Additives"/>
    <s v="Domestic"/>
    <s v="08/2026"/>
    <s v="2026"/>
  </r>
  <r>
    <n v="11"/>
    <x v="7"/>
    <n v="16099"/>
    <s v="MOSAIC - PALMEIRANTE"/>
    <n v="1043"/>
    <s v="TO"/>
    <s v="START ANTIDUSTING SC AD ADITIVO ANTI PO P/ FERTILIZANTES"/>
    <n v="30000"/>
    <n v="30000"/>
    <n v="65700"/>
    <n v="-4599"/>
    <n v="61101"/>
    <n v="-11712.512559241706"/>
    <n v="0"/>
    <n v="0"/>
    <n v="49388.487440758297"/>
    <n v="0.80830898742669188"/>
    <n v="2.19"/>
    <n v="2.19"/>
    <n v="100100"/>
    <s v="START ANTIDUSTING"/>
    <s v="PALMEIRANTE"/>
    <s v="Additives"/>
    <s v="Domestic"/>
    <s v="08/2026"/>
    <s v="2026"/>
  </r>
  <r>
    <n v="11"/>
    <x v="7"/>
    <n v="6477"/>
    <s v="MOSAIC - PARANAGUA II"/>
    <n v="1043"/>
    <s v="PR"/>
    <s v="START ANTIDUSTING SC AD ADITIVO ANTI PO P/ FERTILIZANTES"/>
    <n v="75000"/>
    <n v="75000"/>
    <n v="164250"/>
    <n v="-19710"/>
    <n v="144540"/>
    <n v="-29281.281398104267"/>
    <n v="-35124.01425"/>
    <n v="-15.989112113089476"/>
    <n v="80118.715239782628"/>
    <n v="0.5543013369294495"/>
    <n v="2.19"/>
    <n v="2.19"/>
    <n v="100100"/>
    <s v="START ANTIDUSTING"/>
    <s v="PARANAGUA"/>
    <s v="Additives"/>
    <s v="Domestic"/>
    <s v="08/2026"/>
    <s v="2026"/>
  </r>
  <r>
    <n v="11"/>
    <x v="7"/>
    <n v="7024"/>
    <s v="MOSAIC - SORRISO"/>
    <n v="1043"/>
    <s v="MT"/>
    <s v="START ANTIDUSTING SC AD ADITIVO ANTI PO P/ FERTILIZANTES"/>
    <n v="30000"/>
    <n v="30000"/>
    <n v="68400"/>
    <n v="-4788.0000000000009"/>
    <n v="63612"/>
    <n v="-11712.512559241706"/>
    <n v="-21002.580299999998"/>
    <n v="-9.5607696970702705"/>
    <n v="30887.34637106123"/>
    <n v="0.48555848536535923"/>
    <n v="2.2799999999999998"/>
    <n v="2.2799999999999998"/>
    <n v="100100"/>
    <s v="START ANTIDUSTING"/>
    <s v="SORRISO"/>
    <s v="Additives"/>
    <s v="Domestic"/>
    <s v="08/2026"/>
    <s v="2026"/>
  </r>
  <r>
    <n v="11"/>
    <x v="7"/>
    <n v="2809"/>
    <s v="CISBRA QUIMICA - FORMOSA"/>
    <n v="1043"/>
    <s v="GO"/>
    <s v="START ANTIDUSTING SC AD ADITIVO ANTI PO P/ FERTILIZANTES"/>
    <n v="30000"/>
    <n v="30000"/>
    <n v="55500"/>
    <n v="-3885.0000000000005"/>
    <n v="51615"/>
    <n v="-11712.512559241706"/>
    <n v="-7786.1822999999995"/>
    <n v="-3.5444166729220838"/>
    <n v="32112.760724085376"/>
    <n v="0.62215946380093723"/>
    <n v="1.85"/>
    <n v="1.85"/>
    <n v="100100"/>
    <s v="START ANTIDUSTING"/>
    <s v="FORMOSA"/>
    <s v="Additives"/>
    <s v="Domestic"/>
    <s v="08/2026"/>
    <s v="2026"/>
  </r>
  <r>
    <n v="11"/>
    <x v="7"/>
    <n v="14632"/>
    <s v="BIGFERTIL - CANDEIAS"/>
    <n v="1043"/>
    <s v="BA"/>
    <s v="START ANTIDUSTING SC AD ADITIVO ANTI PO P/ FERTILIZANTES"/>
    <n v="30000"/>
    <n v="30000"/>
    <n v="96900"/>
    <n v="-6783.0000000000009"/>
    <n v="90117"/>
    <n v="-11712.512559241706"/>
    <n v="-21548.474999999999"/>
    <n v="-9.8092712350242159"/>
    <n v="56846.203169523273"/>
    <n v="0.63080443389730323"/>
    <n v="3.23"/>
    <n v="3.23"/>
    <n v="100100"/>
    <s v="START ANTIDUSTING"/>
    <s v="CANDEIAS"/>
    <s v="Additives"/>
    <s v="Domestic"/>
    <s v="08/2026"/>
    <s v="2026"/>
  </r>
  <r>
    <n v="11"/>
    <x v="7"/>
    <n v="2975"/>
    <s v="COONAGRO COOPERATIVA - PARANAGUA"/>
    <n v="4"/>
    <s v="PR"/>
    <s v="START ANTIDUSTING G37 ADITIVO ANTI PO P/ FERTILIZANTES"/>
    <n v="65000"/>
    <n v="65000"/>
    <n v="259350"/>
    <n v="-31122"/>
    <n v="228228"/>
    <n v="-63618.749999999993"/>
    <n v="-30440.812349999997"/>
    <n v="-13.857230498010876"/>
    <n v="134154.58041950199"/>
    <n v="0.58780947306860676"/>
    <n v="3.99"/>
    <n v="3.99"/>
    <n v="100100"/>
    <s v="START ANTIDUSTING"/>
    <s v="PARANAGUA"/>
    <s v="Additives"/>
    <s v="Domestic"/>
    <s v="08/2026"/>
    <s v="2026"/>
  </r>
  <r>
    <n v="11"/>
    <x v="7"/>
    <n v="7479"/>
    <s v="MOSAIC - CUBAT?O"/>
    <n v="1043"/>
    <s v="SP"/>
    <s v="START ANTIDUSTING SC AD ADITIVO ANTI PO P/ FERTILIZANTES"/>
    <n v="30000"/>
    <n v="30000"/>
    <n v="64800"/>
    <n v="-7776"/>
    <n v="57024"/>
    <n v="-11712.512559241706"/>
    <n v="0"/>
    <n v="0"/>
    <n v="45311.487440758297"/>
    <n v="0.79460380613002068"/>
    <n v="2.16"/>
    <n v="2.16"/>
    <n v="100100"/>
    <s v="START ANTIDUSTING"/>
    <s v="CUBATAO"/>
    <s v="Additives"/>
    <s v="Domestic"/>
    <s v="08/2026"/>
    <s v="2026"/>
  </r>
  <r>
    <n v="11"/>
    <x v="7"/>
    <n v="6370"/>
    <s v="YTL S.A. - PARAGUAI"/>
    <n v="4067"/>
    <s v="EX"/>
    <s v="DUSTPROTEC BLACK PLUS ADITIVO ANTI PO P/ FERTILIZANTES"/>
    <n v="60000"/>
    <n v="60000"/>
    <n v="308400"/>
    <n v="0"/>
    <n v="308400"/>
    <n v="-92053.914450206998"/>
    <n v="-60943.4496"/>
    <n v="-4627.0136302401515"/>
    <n v="150775.62231955287"/>
    <n v="0.48889631102319347"/>
    <n v="5.14"/>
    <n v="5.14"/>
    <n v="100100"/>
    <s v="START ANTIDUSTING"/>
    <s v="ITAPUA"/>
    <s v="Additives"/>
    <s v="International"/>
    <s v="08/2026"/>
    <s v="2026"/>
  </r>
  <r>
    <n v="11"/>
    <x v="7"/>
    <n v="5657"/>
    <s v="FERTIPLANTA - VARGEM GRANDE DO SUL"/>
    <n v="14133"/>
    <s v="SP"/>
    <s v="START ANTIDUSTING SC AD IBC ADITIVO ANTI PO P/ FERTILIZANTES"/>
    <n v="6000"/>
    <n v="6000"/>
    <n v="20760"/>
    <n v="-2491.1999999999998"/>
    <n v="18268.8"/>
    <n v="-7070.2276500000025"/>
    <n v="-3086.7121958399998"/>
    <n v="-1.4051294652383404"/>
    <n v="8110.4550246947583"/>
    <n v="0.44395116398968509"/>
    <n v="3.46"/>
    <n v="3.46"/>
    <n v="100100"/>
    <s v="START ANTIDUSTING"/>
    <s v="VARGEM GRANDE DO SUL"/>
    <s v="Additives"/>
    <s v="Domestic"/>
    <s v="08/2026"/>
    <s v="2026"/>
  </r>
  <r>
    <n v="11"/>
    <x v="7"/>
    <n v="13329"/>
    <s v="CARGILL PARAGUAI"/>
    <n v="4067"/>
    <s v="EX"/>
    <s v="DUSTPROTEC BLACK PLUS ADITIVO ANTI PO P/ FERTILIZANTES"/>
    <n v="30000"/>
    <n v="30000"/>
    <n v="154230"/>
    <n v="0"/>
    <n v="154230"/>
    <n v="-46026.957225103499"/>
    <n v="-21107.24352"/>
    <n v="-2309.2439270571931"/>
    <n v="84786.555327839305"/>
    <n v="0.54974100582143104"/>
    <n v="5.141"/>
    <n v="5.141"/>
    <n v="100100"/>
    <s v="START ANTIDUSTING"/>
    <s v="CIUDAD DEL ESTE"/>
    <s v="Additives"/>
    <s v="International"/>
    <s v="08/2026"/>
    <s v="2026"/>
  </r>
  <r>
    <n v="11"/>
    <x v="7"/>
    <n v="16453"/>
    <s v="HIDROVIAS DO BRASIL ADMINISTRACAO PORTUA"/>
    <n v="1043"/>
    <s v="SP"/>
    <s v="START ANTIDUSTING SC AD ADITIVO ANTI PO P/ FERTILIZANTES"/>
    <n v="60000"/>
    <n v="60000"/>
    <n v="141600"/>
    <n v="-16992"/>
    <n v="124608"/>
    <n v="-23425.025118483412"/>
    <n v="0"/>
    <n v="0"/>
    <n v="101182.97488151659"/>
    <n v="0.81201026323764602"/>
    <n v="2.36"/>
    <n v="2.36"/>
    <n v="100100"/>
    <s v="START ANTIDUSTING"/>
    <s v="SANTOS"/>
    <s v="Additives"/>
    <s v="Domestic"/>
    <s v="08/2026"/>
    <s v="2026"/>
  </r>
  <r>
    <n v="11"/>
    <x v="7"/>
    <n v="86"/>
    <s v="ADUBOS ARAGUAIA - ANAPOLIS"/>
    <n v="1"/>
    <s v="GO"/>
    <s v="START ANTIDUSTING KG ADITIVO ANTI PO P/ FERTILIZANTES"/>
    <n v="30000"/>
    <n v="30000"/>
    <n v="63600"/>
    <n v="-4452"/>
    <n v="59148"/>
    <n v="-20219.462727272727"/>
    <n v="-7470.1379999999999"/>
    <n v="-3.4005473614750619"/>
    <n v="31454.998725365804"/>
    <n v="0.53180156092117747"/>
    <n v="2.12"/>
    <n v="2.12"/>
    <n v="100100"/>
    <s v="START ANTIDUSTING"/>
    <s v="ANAPOLIS"/>
    <s v="Additives"/>
    <s v="Domestic"/>
    <s v="08/2026"/>
    <s v="2026"/>
  </r>
  <r>
    <n v="11"/>
    <x v="7"/>
    <n v="11133"/>
    <s v="ADUBOS ARAGUAIA - PARANAGUA"/>
    <n v="1"/>
    <s v="PR"/>
    <s v="START ANTIDUSTING KG ADITIVO ANTI PO P/ FERTILIZANTES"/>
    <n v="45000"/>
    <n v="45000"/>
    <n v="115200"/>
    <n v="-13824"/>
    <n v="101376"/>
    <n v="-30329.194090909088"/>
    <n v="-21074.40855"/>
    <n v="-9.5934672678536845"/>
    <n v="49962.803891823052"/>
    <n v="0.49284647147079241"/>
    <n v="2.56"/>
    <n v="2.56"/>
    <n v="100100"/>
    <s v="START ANTIDUSTING"/>
    <s v="PARANAGUA"/>
    <s v="Additives"/>
    <s v="Domestic"/>
    <s v="08/2026"/>
    <s v="2026"/>
  </r>
  <r>
    <n v="11"/>
    <x v="7"/>
    <n v="11133"/>
    <s v="ADUBOS ARAGUAIA - PARANAGUA"/>
    <n v="14133"/>
    <s v="PR"/>
    <s v="START ANTIDUSTING SC AD IBC ADITIVO ANTI PO P/ FERTILIZANTES"/>
    <n v="13200"/>
    <n v="13200"/>
    <n v="38280"/>
    <n v="-4593.5999999999995"/>
    <n v="33686.400000000001"/>
    <n v="-15554.500830000006"/>
    <n v="-9623.6718130238405"/>
    <n v="-4.380876469950107"/>
    <n v="8503.8464805062067"/>
    <n v="0.25244153369033812"/>
    <n v="2.9"/>
    <n v="2.9"/>
    <n v="100100"/>
    <s v="START ANTIDUSTING"/>
    <s v="PARANAGUA"/>
    <s v="Additives"/>
    <s v="Domestic"/>
    <s v="08/2026"/>
    <s v="2026"/>
  </r>
  <r>
    <n v="11"/>
    <x v="7"/>
    <n v="3232"/>
    <s v="FERTILIZ. TOCANTINS - ARAGUARI"/>
    <n v="7384"/>
    <s v="MG"/>
    <s v="START ANTIDUSTING EURO KG ADITIVO ANTI PO P/ FERTILIZANTES"/>
    <n v="180000"/>
    <n v="180000"/>
    <n v="336600"/>
    <n v="-60588"/>
    <n v="276012"/>
    <n v="-123792.2123076923"/>
    <n v="-10343.268"/>
    <n v="-4.7084501928116245"/>
    <n v="141871.81124211487"/>
    <n v="0.5140059535169299"/>
    <n v="1.87"/>
    <n v="1.87"/>
    <n v="100100"/>
    <s v="START ANTIDUSTING"/>
    <s v="ARAGUARI"/>
    <s v="Additives"/>
    <s v="Domestic"/>
    <s v="08/2026"/>
    <s v="2026"/>
  </r>
  <r>
    <n v="11"/>
    <x v="7"/>
    <n v="1874"/>
    <s v="FERTILIZ. TOCANTINS - BARCARENA"/>
    <n v="148"/>
    <s v="PA"/>
    <s v="START ANTIDUSTING BLACK ADITIVO ANTI PO P/ FERTILIZANTES"/>
    <n v="60000"/>
    <n v="60000"/>
    <n v="168600"/>
    <n v="-11802.000000000002"/>
    <n v="156798"/>
    <n v="-40317.687931034488"/>
    <n v="-53957.381399999998"/>
    <n v="-24.562415172500639"/>
    <n v="62498.368253793022"/>
    <n v="0.39859161630756146"/>
    <n v="2.81"/>
    <n v="2.81"/>
    <n v="100100"/>
    <s v="START ANTIDUSTING"/>
    <s v="BARCARENA "/>
    <s v="Additives"/>
    <s v="Domestic"/>
    <s v="08/2026"/>
    <s v="2026"/>
  </r>
  <r>
    <n v="11"/>
    <x v="7"/>
    <n v="812"/>
    <s v="FERTIPAR - VARGINHA"/>
    <n v="1042"/>
    <s v="MG"/>
    <s v="START ANTIDUSTING KG AD ADITIVO ANTI PO P/ FERTILIZANTES"/>
    <n v="30000"/>
    <n v="30000"/>
    <n v="51000"/>
    <n v="-9180"/>
    <n v="41820"/>
    <n v="-16258.71111111111"/>
    <n v="-6895.5119999999997"/>
    <n v="-3.1389667952077493"/>
    <n v="18662.637922093687"/>
    <n v="0.44626106939487536"/>
    <n v="1.7"/>
    <n v="1.7"/>
    <n v="100100"/>
    <s v="START ANTIDUSTING"/>
    <s v="VARGINHA"/>
    <s v="Additives"/>
    <s v="Domestic"/>
    <s v="08/2026"/>
    <s v="2026"/>
  </r>
  <r>
    <n v="11"/>
    <x v="7"/>
    <n v="7097"/>
    <s v="MOSAIC - S?O FRANCISCO SUL"/>
    <n v="14133"/>
    <s v="SC"/>
    <s v="START ANTIDUSTING SC AD IBC ADITIVO ANTI PO P/ FERTILIZANTES"/>
    <n v="26400"/>
    <n v="26400"/>
    <n v="71280"/>
    <n v="-8553.6"/>
    <n v="62726.400000000001"/>
    <n v="-31109.001660000013"/>
    <n v="-14790.873239999999"/>
    <n v="-6.7330837757206217"/>
    <n v="16819.79201622427"/>
    <n v="0.26814534257066036"/>
    <n v="2.7"/>
    <n v="2.7"/>
    <n v="100100"/>
    <s v="START ANTIDUSTING"/>
    <s v="SAO FRANCISCO DO SUL"/>
    <s v="Additives"/>
    <s v="Domestic"/>
    <s v="08/2026"/>
    <s v="2026"/>
  </r>
  <r>
    <n v="11"/>
    <x v="7"/>
    <n v="2603"/>
    <s v="MOSAIC - S?O LUIS"/>
    <n v="1043"/>
    <s v="MA"/>
    <s v="START ANTIDUSTING SC AD ADITIVO ANTI PO P/ FERTILIZANTES"/>
    <n v="90000"/>
    <n v="90000"/>
    <n v="221400"/>
    <n v="-15498.000000000002"/>
    <n v="205902"/>
    <n v="-35137.537677725122"/>
    <n v="0"/>
    <n v="0"/>
    <n v="170764.46232227486"/>
    <n v="0.82934824490424985"/>
    <n v="2.46"/>
    <n v="2.46"/>
    <n v="100100"/>
    <s v="START ANTIDUSTING"/>
    <s v="SAO LUIS"/>
    <s v="Additives"/>
    <s v="Domestic"/>
    <s v="08/2026"/>
    <s v="2026"/>
  </r>
  <r>
    <n v="11"/>
    <x v="7"/>
    <n v="2287"/>
    <s v="BUNGE PARAGUAY S.A"/>
    <n v="4067"/>
    <s v="EX"/>
    <s v="DUSTPROTEC BLACK PLUS ADITIVO ANTI PO P/ FERTILIZANTES"/>
    <n v="120170"/>
    <n v="120170"/>
    <n v="636901"/>
    <n v="0"/>
    <n v="636901"/>
    <n v="-184368.6483246896"/>
    <n v="-143090.42466666628"/>
    <n v="-9276.7107721031025"/>
    <n v="300165.21623654099"/>
    <n v="0.47129022601085724"/>
    <n v="5.3"/>
    <n v="5.3"/>
    <n v="100100"/>
    <s v="START ANTIDUSTING"/>
    <s v="SAN JUAN DEL PARANA"/>
    <s v="Additives"/>
    <s v="International"/>
    <s v="08/2026"/>
    <s v="2026"/>
  </r>
  <r>
    <n v="11"/>
    <x v="7"/>
    <n v="31"/>
    <s v="SUL GOIANA - GOIATUBA"/>
    <n v="1042"/>
    <s v="GO"/>
    <s v="START ANTIDUSTING KG AD ADITIVO ANTI PO P/ FERTILIZANTES"/>
    <n v="60000"/>
    <n v="60000"/>
    <n v="120000"/>
    <n v="-8400"/>
    <n v="111600"/>
    <n v="-32517.42222222222"/>
    <n v="-7010.4371999999994"/>
    <n v="-3.1912829084612118"/>
    <n v="72068.949294869322"/>
    <n v="0.645779115545424"/>
    <n v="2"/>
    <n v="2"/>
    <n v="100100"/>
    <s v="START ANTIDUSTING"/>
    <s v="GOIATUBA"/>
    <s v="Additives"/>
    <s v="Domestic"/>
    <s v="08/2026"/>
    <s v="2026"/>
  </r>
  <r>
    <n v="11"/>
    <x v="7"/>
    <n v="3273"/>
    <s v="FERTIMAXI - CONCEICAO DO JACUIPE"/>
    <n v="2"/>
    <s v="BA"/>
    <s v="START ANTIDUSTING SC ADITIVO ANTI PO P/ FERTILIZANTES"/>
    <n v="30000"/>
    <n v="30000"/>
    <n v="78900"/>
    <n v="-5523.0000000000009"/>
    <n v="73377"/>
    <n v="-11427.18"/>
    <n v="-18675.345000000001"/>
    <n v="-8.5013684036876551"/>
    <n v="43265.973631596309"/>
    <n v="0.58963944603344798"/>
    <n v="2.63"/>
    <n v="2.63"/>
    <n v="100100"/>
    <s v="START ANTIDUSTING"/>
    <s v="CONCEICAO DO JACUIPE"/>
    <s v="Additives"/>
    <s v="Domestic"/>
    <s v="08/2026"/>
    <s v="2026"/>
  </r>
  <r>
    <n v="11"/>
    <x v="7"/>
    <n v="16918"/>
    <s v="FERTZ FERTILIZANTES S/A"/>
    <n v="1043"/>
    <s v="PA"/>
    <s v="START ANTIDUSTING SC AD ADITIVO ANTI PO P/ FERTILIZANTES"/>
    <n v="30000"/>
    <n v="30000"/>
    <n v="66000"/>
    <n v="-4620"/>
    <n v="61380"/>
    <n v="-11712.512559241706"/>
    <n v="-26978.690699999999"/>
    <n v="-12.28120758625032"/>
    <n v="22676.515533172049"/>
    <n v="0.36944469751013437"/>
    <n v="2.2000000000000002"/>
    <n v="2.2000000000000002"/>
    <n v="100100"/>
    <s v="START ANTIDUSTING"/>
    <s v="BARCARENA "/>
    <s v="Additives"/>
    <s v="Domestic"/>
    <s v="08/2026"/>
    <s v="2026"/>
  </r>
  <r>
    <n v="11"/>
    <x v="7"/>
    <n v="86"/>
    <s v="ADUBOS ARAGUAIA - ANAPOLIS"/>
    <n v="14133"/>
    <s v="GO"/>
    <s v="START ANTIDUSTING SC AD IBC ADITIVO ANTI PO P/ FERTILIZANTES"/>
    <n v="8000"/>
    <n v="8000"/>
    <n v="22000"/>
    <n v="-1540.0000000000002"/>
    <n v="20460"/>
    <n v="-9426.9702000000034"/>
    <n v="-3100.4997012495996"/>
    <n v="-1.4114057971002067"/>
    <n v="7931.1186929532969"/>
    <n v="0.38764020982176428"/>
    <n v="2.75"/>
    <n v="2.75"/>
    <n v="100100"/>
    <s v="START ANTIDUSTING"/>
    <s v="ANAPOLIS"/>
    <s v="Additives"/>
    <s v="Domestic"/>
    <s v="08/2026"/>
    <s v="2026"/>
  </r>
  <r>
    <n v="11"/>
    <x v="7"/>
    <n v="1936"/>
    <s v="CIBRA - PARANAGUA II"/>
    <n v="4"/>
    <s v="PR"/>
    <s v="START ANTIDUSTING G37 ADITIVO ANTI PO P/ FERTILIZANTES"/>
    <n v="40000"/>
    <n v="40000"/>
    <n v="159600"/>
    <n v="-19152"/>
    <n v="140448"/>
    <n v="-39149.999999999993"/>
    <n v="0"/>
    <n v="0"/>
    <n v="101298"/>
    <n v="0.72124914559125086"/>
    <n v="3.99"/>
    <n v="3.99"/>
    <n v="100100"/>
    <s v="START ANTIDUSTING"/>
    <s v="PARANAGUA"/>
    <s v="Additives"/>
    <s v="Domestic"/>
    <s v="08/2026"/>
    <s v="2026"/>
  </r>
  <r>
    <n v="11"/>
    <x v="7"/>
    <n v="43"/>
    <s v="CIBRA - CAMACARI"/>
    <n v="148"/>
    <s v="BA"/>
    <s v="START ANTIDUSTING BLACK ADITIVO ANTI PO P/ FERTILIZANTES"/>
    <n v="120000"/>
    <n v="120000"/>
    <n v="284400"/>
    <n v="-19908.000000000004"/>
    <n v="264492"/>
    <n v="-80635.375862068977"/>
    <n v="-83049.650611200006"/>
    <n v="-37.805763462113013"/>
    <n v="100769.16776326892"/>
    <n v="0.38099136368309411"/>
    <n v="2.37"/>
    <n v="2.37"/>
    <n v="100100"/>
    <s v="START ANTIDUSTING"/>
    <s v="CAMACARI"/>
    <s v="Additives"/>
    <s v="Domestic"/>
    <s v="08/2026"/>
    <s v="2026"/>
  </r>
  <r>
    <n v="11"/>
    <x v="7"/>
    <n v="205"/>
    <s v="FERTIPAR - RONDONOPOLIS"/>
    <n v="231"/>
    <s v="MT"/>
    <s v="START ANTIDUSTING RED ADITIVO ANTI PO P/ FERTILIZANTES"/>
    <n v="15000"/>
    <n v="15000"/>
    <n v="36900"/>
    <n v="-2583.0000000000005"/>
    <n v="34317"/>
    <n v="-16533.419999999998"/>
    <n v="-9555.9144492044998"/>
    <n v="-4.3500320431461619"/>
    <n v="8223.3155187523553"/>
    <n v="0.23962804204191379"/>
    <n v="2.46"/>
    <n v="2.46"/>
    <n v="100100"/>
    <s v="START ANTIDUSTING"/>
    <s v="RONDONOPOLIS"/>
    <s v="Additives"/>
    <s v="Domestic"/>
    <s v="08/2026"/>
    <s v="2026"/>
  </r>
  <r>
    <n v="11"/>
    <x v="7"/>
    <n v="7103"/>
    <s v="MOSAIC - RIO VERDE"/>
    <n v="1043"/>
    <s v="GO"/>
    <s v="START ANTIDUSTING SC AD ADITIVO ANTI PO P/ FERTILIZANTES"/>
    <n v="60000"/>
    <n v="60000"/>
    <n v="114000"/>
    <n v="-7980.0000000000009"/>
    <n v="106020"/>
    <n v="-23425.025118483412"/>
    <n v="-11377.594799999999"/>
    <n v="-5.1792952120927866"/>
    <n v="71212.200786304515"/>
    <n v="0.6716864816667093"/>
    <n v="1.9"/>
    <n v="1.9"/>
    <n v="100100"/>
    <s v="START ANTIDUSTING"/>
    <s v="RIO VERDE"/>
    <s v="Additives"/>
    <s v="Domestic"/>
    <s v="08/2026"/>
    <s v="2026"/>
  </r>
  <r>
    <n v="11"/>
    <x v="7"/>
    <n v="97"/>
    <s v="FECOAGRO - SAO FRANCISCO DO SUL"/>
    <n v="148"/>
    <s v="SC"/>
    <s v="START ANTIDUSTING BLACK ADITIVO ANTI PO P/ FERTILIZANTES"/>
    <n v="32000"/>
    <n v="32000"/>
    <n v="112000"/>
    <n v="-13440"/>
    <n v="98560"/>
    <n v="-21502.766896551722"/>
    <n v="-17928.331200000001"/>
    <n v="-8.1613136675401492"/>
    <n v="59120.74058978074"/>
    <n v="0.59984517643852209"/>
    <n v="3.5"/>
    <n v="3.5"/>
    <n v="100100"/>
    <s v="START ANTIDUSTING"/>
    <s v="SAO FRANCISCO DO SUL"/>
    <s v="Additives"/>
    <s v="Domestic"/>
    <s v="08/2026"/>
    <s v="2026"/>
  </r>
  <r>
    <n v="11"/>
    <x v="7"/>
    <n v="341"/>
    <s v="ADUBOS PARANAIBA - UBERLANDIA"/>
    <n v="1043"/>
    <s v="MG"/>
    <s v="START ANTIDUSTING SC AD ADITIVO ANTI PO P/ FERTILIZANTES"/>
    <n v="6000"/>
    <n v="6000"/>
    <n v="12000"/>
    <n v="-2160"/>
    <n v="9840"/>
    <n v="-2342.5025118483413"/>
    <n v="0"/>
    <n v="0"/>
    <n v="7497.4974881516591"/>
    <n v="0.76194080164142874"/>
    <n v="2"/>
    <n v="2"/>
    <n v="100100"/>
    <s v="START ANTIDUSTING"/>
    <s v="UBERLANDIA"/>
    <s v="Additives"/>
    <s v="Domestic"/>
    <s v="08/2026"/>
    <s v="2026"/>
  </r>
  <r>
    <n v="11"/>
    <x v="7"/>
    <n v="11212"/>
    <s v="INPEK FERTILIZANTES - PARANAGUA"/>
    <n v="1043"/>
    <s v="PR"/>
    <s v="START ANTIDUSTING SC AD ADITIVO ANTI PO P/ FERTILIZANTES"/>
    <n v="30000"/>
    <n v="30000"/>
    <n v="57000"/>
    <n v="-6840"/>
    <n v="50160"/>
    <n v="-11712.512559241706"/>
    <n v="-14049.6057"/>
    <n v="-6.3956448452357897"/>
    <n v="24391.48609591306"/>
    <n v="0.48627364625026037"/>
    <n v="1.9"/>
    <n v="1.9"/>
    <n v="100100"/>
    <s v="START ANTIDUSTING"/>
    <s v="PARANAGUA"/>
    <s v="Additives"/>
    <s v="Domestic"/>
    <s v="08/2026"/>
    <s v="2026"/>
  </r>
  <r>
    <n v="11"/>
    <x v="7"/>
    <n v="6124"/>
    <s v="MOSAIC - UBERABA II"/>
    <n v="1043"/>
    <s v="MG"/>
    <s v="START ANTIDUSTING SC AD ADITIVO ANTI PO P/ FERTILIZANTES"/>
    <n v="90000"/>
    <n v="90000"/>
    <n v="152100"/>
    <n v="0"/>
    <n v="152100"/>
    <n v="-35137.537677725122"/>
    <n v="-7326.4814999999999"/>
    <n v="-3.3351522199082342"/>
    <n v="109632.64567005498"/>
    <n v="0.72079319967163036"/>
    <n v="1.69"/>
    <n v="1.69"/>
    <n v="100100"/>
    <s v="START ANTIDUSTING"/>
    <s v="UBERABA"/>
    <s v="Additives"/>
    <s v="Domestic"/>
    <s v="08/2026"/>
    <s v="2026"/>
  </r>
  <r>
    <n v="11"/>
    <x v="7"/>
    <n v="9295"/>
    <s v="TECNOMYL S.A. - PARAGUAY"/>
    <n v="14146"/>
    <s v="EX"/>
    <s v="DUSTPROTEC BLACK PLUS IBC ADITIVO ANTI PO P/ FERTILIZANTES"/>
    <n v="79200"/>
    <n v="79200"/>
    <n v="407167.2"/>
    <n v="0"/>
    <n v="407167.2"/>
    <n v="-158311.43000000002"/>
    <n v="-71415.16800000002"/>
    <n v="-6103.5472815953917"/>
    <n v="171337.05471840457"/>
    <n v="0.42080269412272053"/>
    <n v="5.141"/>
    <n v="5.141"/>
    <n v="100100"/>
    <s v="START ANTIDUSTING"/>
    <s v="ASSUNCION"/>
    <s v="Additives"/>
    <s v="International"/>
    <s v="08/2026"/>
    <s v="2026"/>
  </r>
  <r>
    <n v="11"/>
    <x v="7"/>
    <n v="11637"/>
    <s v="AGROPECUARIA MARATA LTDA - MARUIM"/>
    <n v="14130"/>
    <s v="SE"/>
    <s v="START ANTIDUSTING BLACK IBC ADITIVO ANTI PO P/ FERTILIZANTES"/>
    <n v="8000"/>
    <n v="8000"/>
    <n v="23760"/>
    <n v="-1663.2"/>
    <n v="22096.799999999999"/>
    <n v="-10139.469999999999"/>
    <n v="0"/>
    <n v="0"/>
    <n v="11957.33"/>
    <n v="0.54113401035444053"/>
    <n v="2.97"/>
    <n v="2.97"/>
    <n v="100100"/>
    <s v="START ANTIDUSTING"/>
    <s v="MARUIM"/>
    <s v="Additives"/>
    <s v="Domestic"/>
    <s v="08/2026"/>
    <s v="2026"/>
  </r>
  <r>
    <n v="11"/>
    <x v="7"/>
    <n v="7022"/>
    <s v="MOSAIC - ROSARIO DO CATETE"/>
    <n v="1043"/>
    <s v="SE"/>
    <s v="START ANTIDUSTING SC AD ADITIVO ANTI PO P/ FERTILIZANTES"/>
    <n v="210000"/>
    <n v="210000"/>
    <n v="506100"/>
    <n v="-35427"/>
    <n v="470673"/>
    <n v="-81987.587914691947"/>
    <n v="-176480.50754879997"/>
    <n v="-80.337247356990133"/>
    <n v="212124.56728915111"/>
    <n v="0.45068352611930385"/>
    <n v="2.41"/>
    <n v="2.41"/>
    <n v="100100"/>
    <s v="START ANTIDUSTING"/>
    <s v="ROSARIO DO CATETE"/>
    <s v="Additives"/>
    <s v="Domestic"/>
    <s v="08/2026"/>
    <s v="2026"/>
  </r>
  <r>
    <n v="11"/>
    <x v="7"/>
    <n v="2696"/>
    <s v="MOSAIC FERTILIZANTES PARAGUAY S.R.L."/>
    <n v="3245"/>
    <s v="EX"/>
    <s v="DUSTPROTEC SC - ADITIVO ANTI-PO P/ FERTILIZANTES GRANULADOS"/>
    <n v="30000"/>
    <n v="30000"/>
    <n v="93810"/>
    <n v="0"/>
    <n v="93810"/>
    <n v="-14216.720000000001"/>
    <n v="-27051.200000000012"/>
    <n v="-2311.9497278770423"/>
    <n v="50230.130272122944"/>
    <n v="0.53544537119841107"/>
    <n v="3.1269999999999998"/>
    <n v="3.1269999999999998"/>
    <n v="100100"/>
    <s v="START ANTIDUSTING"/>
    <s v="ASSUNCION"/>
    <s v="Additives"/>
    <s v="International"/>
    <s v="08/2026"/>
    <s v="2026"/>
  </r>
  <r>
    <n v="11"/>
    <x v="7"/>
    <n v="2011"/>
    <s v="FERTGROW S.A"/>
    <n v="6654"/>
    <s v="MA"/>
    <s v="START ANTIDUSTING SC FG ADITIVO ANTI PO P/ FERTILIZANTES"/>
    <n v="210000"/>
    <n v="210000"/>
    <n v="567000"/>
    <n v="-39690.000000000007"/>
    <n v="527310"/>
    <n v="-82183.410000000018"/>
    <n v="-185230.6911"/>
    <n v="-84.320495536268169"/>
    <n v="259811.57840446371"/>
    <n v="0.49271126738439192"/>
    <n v="2.7"/>
    <n v="2.7"/>
    <n v="100100"/>
    <s v="START ANTIDUSTING"/>
    <s v="SAO LUIS"/>
    <s v="Additives"/>
    <s v="Domestic"/>
    <s v="08/2026"/>
    <s v="2026"/>
  </r>
  <r>
    <n v="11"/>
    <x v="7"/>
    <n v="2527"/>
    <s v="INKAFERT - PERU"/>
    <n v="14141"/>
    <s v="EX"/>
    <s v="DUSTPROTEC SC IBC - ADITIVO ANTI-PO P/ FERTILIZANTES GRANULADOS"/>
    <n v="4800"/>
    <n v="4800"/>
    <n v="28492.799999999999"/>
    <n v="0"/>
    <n v="28492.799999999999"/>
    <n v="-5977.83"/>
    <n v="0"/>
    <n v="-367.9416820309176"/>
    <n v="22147.028317969085"/>
    <n v="0.77728507966816474"/>
    <n v="5.9359999999999999"/>
    <n v="5.9359999999999999"/>
    <n v="100100"/>
    <s v="START ANTIDUSTING"/>
    <s v="SANTIAGO DE SURCO"/>
    <s v="Additives"/>
    <s v="International"/>
    <s v="08/2026"/>
    <s v="2026"/>
  </r>
  <r>
    <n v="11"/>
    <x v="7"/>
    <n v="3142"/>
    <s v="INTERFERTIL - SAO FRANCISCO DO SUL"/>
    <n v="1"/>
    <s v="SC"/>
    <s v="START ANTIDUSTING KG ADITIVO ANTI PO P/ FERTILIZANTES"/>
    <n v="45000"/>
    <n v="45000"/>
    <n v="124650"/>
    <n v="-14958"/>
    <n v="109692"/>
    <n v="-30329.194090909088"/>
    <n v="-25211.715749999999"/>
    <n v="-11.476847344978333"/>
    <n v="54139.613311745925"/>
    <n v="0.49356027159451854"/>
    <n v="2.77"/>
    <n v="2.77"/>
    <n v="100100"/>
    <s v="START ANTIDUSTING"/>
    <s v="SAO FRANCISCO DO SUL"/>
    <s v="Additives"/>
    <s v="Domestic"/>
    <s v="08/2026"/>
    <s v="2026"/>
  </r>
  <r>
    <n v="11"/>
    <x v="7"/>
    <n v="5053"/>
    <s v="ADUBOS ARAGUAIA - CONFRESA"/>
    <n v="1"/>
    <s v="MT"/>
    <s v="START ANTIDUSTING KG ADITIVO ANTI PO P/ FERTILIZANTES"/>
    <n v="30000"/>
    <n v="30000"/>
    <n v="73800"/>
    <n v="-5166.0000000000009"/>
    <n v="68634"/>
    <n v="-20219.462727272727"/>
    <n v="-20973.848999999998"/>
    <n v="-9.5476906687569034"/>
    <n v="27431.140582058521"/>
    <n v="0.39967276542323804"/>
    <n v="2.46"/>
    <n v="2.46"/>
    <n v="100100"/>
    <s v="START ANTIDUSTING"/>
    <s v="CONFRESA"/>
    <s v="Additives"/>
    <s v="Domestic"/>
    <s v="08/2026"/>
    <s v="2026"/>
  </r>
  <r>
    <n v="11"/>
    <x v="7"/>
    <n v="1292"/>
    <s v="CIBRA - S?O FRANCISCO DO SUL"/>
    <n v="148"/>
    <s v="SC"/>
    <s v="START ANTIDUSTING BLACK ADITIVO ANTI PO P/ FERTILIZANTES"/>
    <n v="20000"/>
    <n v="20000"/>
    <n v="47000"/>
    <n v="-5640"/>
    <n v="41360"/>
    <n v="-13439.229310344828"/>
    <n v="-10207.092555894"/>
    <n v="-4.6464605686370311"/>
    <n v="17709.031673192534"/>
    <n v="0.42816807720484851"/>
    <n v="2.35"/>
    <n v="2.35"/>
    <n v="100100"/>
    <s v="START ANTIDUSTING"/>
    <s v="S?O FRANCISCO DO SUL"/>
    <s v="Additives"/>
    <s v="Domestic"/>
    <s v="08/2026"/>
    <s v="2026"/>
  </r>
  <r>
    <n v="11"/>
    <x v="7"/>
    <n v="729"/>
    <s v="FERTILIZ. TOCANTINS - S?O LUIS"/>
    <n v="8061"/>
    <s v="MA"/>
    <s v="START ANTIDUSTING EURO SC ADITIVO ANTI PO P/ FERTILIZANTES"/>
    <n v="60000"/>
    <n v="60000"/>
    <n v="171000"/>
    <n v="-11970.000000000002"/>
    <n v="159030"/>
    <n v="-33530.82"/>
    <n v="-52923.054599999996"/>
    <n v="-24.091570153219475"/>
    <n v="72552.033829846769"/>
    <n v="0.4562160210642443"/>
    <n v="2.85"/>
    <n v="2.85"/>
    <n v="100100"/>
    <s v="START ANTIDUSTING"/>
    <s v="SAO LUIS"/>
    <s v="Additives"/>
    <s v="Domestic"/>
    <s v="08/2026"/>
    <s v="2026"/>
  </r>
  <r>
    <n v="11"/>
    <x v="7"/>
    <n v="2949"/>
    <s v="MOSAIC - CANDEIAS"/>
    <n v="1043"/>
    <s v="BA"/>
    <s v="START ANTIDUSTING SC AD ADITIVO ANTI PO P/ FERTILIZANTES"/>
    <n v="30000"/>
    <n v="30000"/>
    <n v="69900"/>
    <n v="-4893.0000000000009"/>
    <n v="65007"/>
    <n v="-11712.512559241706"/>
    <n v="-21548.474999999999"/>
    <n v="-9.8092712350242159"/>
    <n v="31736.203169523276"/>
    <n v="0.48819670450141178"/>
    <n v="2.33"/>
    <n v="2.33"/>
    <n v="100100"/>
    <s v="START ANTIDUSTING"/>
    <s v="CANDEIAS"/>
    <s v="Additives"/>
    <s v="Domestic"/>
    <s v="08/2026"/>
    <s v="2026"/>
  </r>
  <r>
    <n v="11"/>
    <x v="7"/>
    <n v="7443"/>
    <s v="MOSAIC - CATAL?O"/>
    <n v="1043"/>
    <s v="GO"/>
    <s v="START ANTIDUSTING SC AD ADITIVO ANTI PO P/ FERTILIZANTES"/>
    <n v="30000"/>
    <n v="30000"/>
    <n v="72000"/>
    <n v="-5040.0000000000009"/>
    <n v="66960"/>
    <n v="-11712.512559241706"/>
    <n v="-2442.1605"/>
    <n v="-1.1117174066360778"/>
    <n v="52804.215223351661"/>
    <n v="0.78859341731409294"/>
    <n v="2.4"/>
    <n v="2.4"/>
    <n v="100100"/>
    <s v="START ANTIDUSTING"/>
    <s v="CATALAO"/>
    <s v="Additives"/>
    <s v="Domestic"/>
    <s v="08/2026"/>
    <s v="2026"/>
  </r>
  <r>
    <n v="11"/>
    <x v="7"/>
    <n v="7102"/>
    <s v="MOSAIC RONDONOPOLIS"/>
    <n v="1043"/>
    <s v="MT"/>
    <s v="START ANTIDUSTING SC AD ADITIVO ANTI PO P/ FERTILIZANTES"/>
    <n v="180000"/>
    <n v="180000"/>
    <n v="367200"/>
    <n v="-25704.000000000004"/>
    <n v="341496"/>
    <n v="-70275.075355450244"/>
    <n v="-71885.712599999999"/>
    <n v="-32.723728840040785"/>
    <n v="199302.48831570969"/>
    <n v="0.58361587929495429"/>
    <n v="2.04"/>
    <n v="2.04"/>
    <n v="100100"/>
    <s v="START ANTIDUSTING"/>
    <s v="RONDONOPOLIS"/>
    <s v="Additives"/>
    <s v="Domestic"/>
    <s v="08/2026"/>
    <s v="2026"/>
  </r>
  <r>
    <n v="11"/>
    <x v="7"/>
    <n v="214"/>
    <s v="UNIFERTIL - CANOAS UN1"/>
    <n v="3"/>
    <s v="RS"/>
    <s v="START ANTIDUSTING MH ADITIVO ANTI PO P/ FERTILIZANTES"/>
    <n v="64000"/>
    <n v="64000"/>
    <n v="165760"/>
    <n v="-19891.2"/>
    <n v="145868.79999999999"/>
    <n v="-49902.29"/>
    <n v="-51609.076479999996"/>
    <n v="-23.493422591688223"/>
    <n v="44333.940097408296"/>
    <n v="0.30393024483239939"/>
    <n v="2.59"/>
    <n v="2.59"/>
    <n v="100100"/>
    <s v="START ANTIDUSTING"/>
    <s v="CANOAS"/>
    <s v="Additives"/>
    <s v="Domestic"/>
    <s v="08/2026"/>
    <s v="2026"/>
  </r>
  <r>
    <n v="11"/>
    <x v="7"/>
    <n v="1462"/>
    <s v="AURORA MINERAC?O LTDA"/>
    <n v="1042"/>
    <s v="SP"/>
    <s v="START ANTIDUSTING KG AD ADITIVO ANTI PO P/ FERTILIZANTES"/>
    <n v="45000"/>
    <n v="45000"/>
    <n v="75150"/>
    <n v="-9018"/>
    <n v="66132"/>
    <n v="-24388.066666666666"/>
    <n v="0"/>
    <n v="0"/>
    <n v="41743.933333333334"/>
    <n v="0.63122139559265311"/>
    <n v="1.67"/>
    <n v="1.67"/>
    <n v="100100"/>
    <s v="START ANTIDUSTING"/>
    <s v="IPEUNA"/>
    <s v="Additives"/>
    <s v="Domestic"/>
    <s v="08/2026"/>
    <s v="2026"/>
  </r>
  <r>
    <n v="11"/>
    <x v="7"/>
    <n v="2588"/>
    <s v="FERTILIZ. TOCANTINS - SINOP"/>
    <n v="6564"/>
    <s v="MT"/>
    <s v="MEGAMICRO PLUS ADITIVO P/ SUSPENS?O DE MICRONUTRIENTES"/>
    <n v="128000"/>
    <n v="128000"/>
    <n v="400640"/>
    <n v="-28044.800000000003"/>
    <n v="372595.20000000001"/>
    <n v="-123872.40844221106"/>
    <n v="-93411.202560000005"/>
    <n v="-42.522536852414319"/>
    <n v="155269.06646093653"/>
    <n v="0.41672320647430922"/>
    <n v="3.13"/>
    <n v="3.13"/>
    <n v="100200"/>
    <s v="ADITIVO MEGAMICRO"/>
    <s v="SINOP"/>
    <s v="Additives"/>
    <s v="Domestic"/>
    <s v="08/2026"/>
    <s v="2026"/>
  </r>
  <r>
    <n v="11"/>
    <x v="7"/>
    <n v="1953"/>
    <s v="AMAGGI - COMODORO"/>
    <n v="113"/>
    <s v="MT"/>
    <s v="MEGAMICRO ADITIVO P/ SUSPENS?O DE MICRONUTRIENTES"/>
    <n v="60000"/>
    <n v="60000"/>
    <n v="174000"/>
    <n v="-12180.000000000002"/>
    <n v="161820"/>
    <n v="-54323.613068181839"/>
    <n v="-41876.730604799995"/>
    <n v="-19.063075644031557"/>
    <n v="65600.593251374128"/>
    <n v="0.40539236961669833"/>
    <n v="2.9"/>
    <n v="2.9"/>
    <n v="100200"/>
    <s v="ADITIVO MEGAMICRO"/>
    <s v="COMODORO"/>
    <s v="Additives"/>
    <s v="Domestic"/>
    <s v="08/2026"/>
    <s v="2026"/>
  </r>
  <r>
    <n v="11"/>
    <x v="7"/>
    <n v="8414"/>
    <s v="AMAGGI - PORTO VELHO"/>
    <n v="113"/>
    <s v="RO"/>
    <s v="MEGAMICRO ADITIVO P/ SUSPENS?O DE MICRONUTRIENTES"/>
    <n v="30000"/>
    <n v="30000"/>
    <n v="94500"/>
    <n v="-6615.0000000000009"/>
    <n v="87885"/>
    <n v="-27161.80653409092"/>
    <n v="-24507.690479999997"/>
    <n v="-11.156361796477052"/>
    <n v="36204.346624112601"/>
    <n v="0.41195137536681575"/>
    <n v="3.15"/>
    <n v="3.15"/>
    <n v="100200"/>
    <s v="ADITIVO MEGAMICRO"/>
    <s v="PORTO VELHO"/>
    <s v="Additives"/>
    <s v="Domestic"/>
    <s v="08/2026"/>
    <s v="2026"/>
  </r>
  <r>
    <n v="11"/>
    <x v="7"/>
    <n v="912"/>
    <s v="FERTILIZE - ALMIRANTE TAMANDARE-PR"/>
    <n v="113"/>
    <s v="PR"/>
    <s v="MEGAMICRO ADITIVO P/ SUSPENS?O DE MICRONUTRIENTES"/>
    <n v="30000"/>
    <n v="30000"/>
    <n v="94500"/>
    <n v="-11340"/>
    <n v="83160"/>
    <n v="-27161.80653409092"/>
    <n v="-15342.5142"/>
    <n v="-6.9842011193372429"/>
    <n v="40648.695064789739"/>
    <n v="0.48880104695514359"/>
    <n v="3.15"/>
    <n v="3.15"/>
    <n v="100200"/>
    <s v="ADITIVO MEGAMICRO"/>
    <s v="ALMIRANTE TAMANDARE "/>
    <s v="Additives"/>
    <s v="Domestic"/>
    <s v="08/2026"/>
    <s v="2026"/>
  </r>
  <r>
    <n v="11"/>
    <x v="7"/>
    <n v="5182"/>
    <s v="FERTIPAR SINOP"/>
    <n v="113"/>
    <s v="MT"/>
    <s v="MEGAMICRO ADITIVO P/ SUSPENS?O DE MICRONUTRIENTES"/>
    <n v="180000"/>
    <n v="180000"/>
    <n v="484200"/>
    <n v="-33894"/>
    <n v="450306"/>
    <n v="-162970.83920454551"/>
    <n v="-131359.5036"/>
    <n v="-59.797317448707624"/>
    <n v="155915.85987800581"/>
    <n v="0.34624424253286834"/>
    <n v="2.69"/>
    <n v="2.69"/>
    <n v="100200"/>
    <s v="ADITIVO MEGAMICRO"/>
    <s v="SINOP"/>
    <s v="Additives"/>
    <s v="Domestic"/>
    <s v="08/2026"/>
    <s v="2026"/>
  </r>
  <r>
    <n v="11"/>
    <x v="7"/>
    <n v="2975"/>
    <s v="COONAGRO COOPERATIVA - PARANAGUA"/>
    <n v="10343"/>
    <s v="PR"/>
    <s v="MEGAMICRO BLACK ADITIVO P/ SUSPENS?O DE MICRONUTRIENTES"/>
    <n v="15000"/>
    <n v="15000"/>
    <n v="61350"/>
    <n v="-7362"/>
    <n v="53988"/>
    <n v="-23386.333333333336"/>
    <n v="-10935.990696618001"/>
    <n v="-4.9782687158523942"/>
    <n v="19660.697701332814"/>
    <n v="0.36416792067372034"/>
    <n v="4.09"/>
    <n v="4.09"/>
    <n v="100200"/>
    <s v="ADITIVO MEGAMICRO"/>
    <s v="PARANAGUA"/>
    <s v="Additives"/>
    <s v="Domestic"/>
    <s v="08/2026"/>
    <s v="2026"/>
  </r>
  <r>
    <n v="11"/>
    <x v="7"/>
    <n v="205"/>
    <s v="FERTIPAR - RONDONOPOLIS"/>
    <n v="6564"/>
    <s v="MT"/>
    <s v="MEGAMICRO PLUS ADITIVO P/ SUSPENS?O DE MICRONUTRIENTES"/>
    <n v="240000"/>
    <n v="240000"/>
    <n v="604800"/>
    <n v="-42336.000000000007"/>
    <n v="562464"/>
    <n v="-232260.76582914573"/>
    <n v="-95847.616800000003"/>
    <n v="-43.631638453387723"/>
    <n v="234311.98573240085"/>
    <n v="0.41658130250540631"/>
    <n v="2.52"/>
    <n v="2.52"/>
    <n v="100200"/>
    <s v="ADITIVO MEGAMICRO"/>
    <s v="RONDONOPOLIS"/>
    <s v="Additives"/>
    <s v="Domestic"/>
    <s v="08/2026"/>
    <s v="2026"/>
  </r>
  <r>
    <n v="11"/>
    <x v="7"/>
    <n v="214"/>
    <s v="UNIFERTIL - CANOAS UN1"/>
    <n v="113"/>
    <s v="RS"/>
    <s v="MEGAMICRO ADITIVO P/ SUSPENS?O DE MICRONUTRIENTES"/>
    <n v="120000"/>
    <n v="120000"/>
    <n v="370800"/>
    <n v="-44496"/>
    <n v="326304"/>
    <n v="-108647.22613636368"/>
    <n v="-96767.018399999986"/>
    <n v="-44.050167359415411"/>
    <n v="120845.70529627691"/>
    <n v="0.37034699328318654"/>
    <n v="3.09"/>
    <n v="3.09"/>
    <n v="100200"/>
    <s v="ADITIVO MEGAMICRO"/>
    <s v="CANOAS"/>
    <s v="Additives"/>
    <s v="Domestic"/>
    <s v="08/2026"/>
    <s v="2026"/>
  </r>
  <r>
    <n v="11"/>
    <x v="7"/>
    <n v="10492"/>
    <s v="UNIFERTIL RIO GRANDE UN1"/>
    <n v="113"/>
    <s v="RS"/>
    <s v="MEGAMICRO ADITIVO P/ SUSPENS?O DE MICRONUTRIENTES"/>
    <n v="128000"/>
    <n v="128000"/>
    <n v="395520"/>
    <n v="-47462.400000000001"/>
    <n v="348057.59999999998"/>
    <n v="-115890.3745454546"/>
    <n v="-104198.848"/>
    <n v="-47.433276016472661"/>
    <n v="127920.94417852891"/>
    <n v="0.36752808781801899"/>
    <n v="3.09"/>
    <n v="3.09"/>
    <n v="100200"/>
    <s v="ADITIVO MEGAMICRO"/>
    <s v="RIO GRANDE"/>
    <s v="Additives"/>
    <s v="Domestic"/>
    <s v="08/2026"/>
    <s v="2026"/>
  </r>
  <r>
    <n v="11"/>
    <x v="7"/>
    <n v="8413"/>
    <s v="AMAGGI - SINOP"/>
    <n v="113"/>
    <s v="MT"/>
    <s v="MEGAMICRO ADITIVO P/ SUSPENS?O DE MICRONUTRIENTES"/>
    <n v="96000"/>
    <n v="96000"/>
    <n v="278400"/>
    <n v="-19488.000000000004"/>
    <n v="258912"/>
    <n v="-86917.780909090943"/>
    <n v="-70058.401919999989"/>
    <n v="-31.891902639310732"/>
    <n v="101903.92526826976"/>
    <n v="0.39358517669428128"/>
    <n v="2.9"/>
    <n v="2.9"/>
    <n v="100200"/>
    <s v="ADITIVO MEGAMICRO"/>
    <s v="SINOP"/>
    <s v="Additives"/>
    <s v="Domestic"/>
    <s v="08/2026"/>
    <s v="2026"/>
  </r>
  <r>
    <n v="11"/>
    <x v="7"/>
    <n v="252"/>
    <s v="FERTIPAR - PARANAGUA"/>
    <n v="10343"/>
    <s v="PR"/>
    <s v="MEGAMICRO BLACK ADITIVO P/ SUSPENS?O DE MICRONUTRIENTES"/>
    <n v="30000"/>
    <n v="30000"/>
    <n v="112800"/>
    <n v="-13536"/>
    <n v="99264"/>
    <n v="-46772.666666666672"/>
    <n v="-14049.6057"/>
    <n v="-6.3956448452357897"/>
    <n v="38435.331988488091"/>
    <n v="0.38720313495817305"/>
    <n v="3.76"/>
    <n v="3.76"/>
    <n v="100200"/>
    <s v="ADITIVO MEGAMICRO"/>
    <s v="PARANAGUA"/>
    <s v="Additives"/>
    <s v="Domestic"/>
    <s v="08/2026"/>
    <s v="2026"/>
  </r>
  <r>
    <n v="11"/>
    <x v="7"/>
    <n v="10434"/>
    <s v="CIBRA - SINOP"/>
    <n v="6564"/>
    <s v="MT"/>
    <s v="MEGAMICRO PLUS ADITIVO P/ SUSPENS?O DE MICRONUTRIENTES"/>
    <n v="30000"/>
    <n v="30000"/>
    <n v="92400"/>
    <n v="-6468.0000000000009"/>
    <n v="85932"/>
    <n v="-29032.595728643217"/>
    <n v="-21893.250599999999"/>
    <n v="-9.9662195747846045"/>
    <n v="34996.187451781996"/>
    <n v="0.40725442735863238"/>
    <n v="3.08"/>
    <n v="3.08"/>
    <n v="100200"/>
    <s v="ADITIVO MEGAMICRO"/>
    <s v="SINOP"/>
    <s v="Additives"/>
    <s v="Domestic"/>
    <s v="08/2026"/>
    <s v="2026"/>
  </r>
  <r>
    <n v="11"/>
    <x v="7"/>
    <n v="456"/>
    <s v="FERTIPAR - CANDEIAS"/>
    <n v="113"/>
    <s v="BA"/>
    <s v="MEGAMICRO ADITIVO P/ SUSPENS?O DE MICRONUTRIENTES"/>
    <n v="30000"/>
    <n v="30000"/>
    <n v="100200"/>
    <n v="-7014.0000000000009"/>
    <n v="93186"/>
    <n v="-27161.80653409092"/>
    <n v="-21548.474999999999"/>
    <n v="-9.8092712350242159"/>
    <n v="44465.909194674052"/>
    <n v="0.47717370843983059"/>
    <n v="3.34"/>
    <n v="3.34"/>
    <n v="100200"/>
    <s v="ADITIVO MEGAMICRO"/>
    <s v="CANDEIAS"/>
    <s v="Additives"/>
    <s v="Domestic"/>
    <s v="08/2026"/>
    <s v="2026"/>
  </r>
  <r>
    <n v="11"/>
    <x v="7"/>
    <n v="452"/>
    <s v="FERTIPAR - S?O LUIS DO MARANH?O"/>
    <n v="113"/>
    <s v="MA"/>
    <s v="MEGAMICRO ADITIVO P/ SUSPENS?O DE MICRONUTRIENTES"/>
    <n v="30000"/>
    <n v="30000"/>
    <n v="105600"/>
    <n v="-7392.0000000000009"/>
    <n v="98208"/>
    <n v="-27161.80653409092"/>
    <n v="-26461.527299999998"/>
    <n v="-12.045785076609738"/>
    <n v="44572.620380832464"/>
    <n v="0.45385936360411028"/>
    <n v="3.52"/>
    <n v="3.52"/>
    <n v="100200"/>
    <s v="ADITIVO MEGAMICRO"/>
    <s v="SAO LUIS"/>
    <s v="Additives"/>
    <s v="Domestic"/>
    <s v="08/2026"/>
    <s v="2026"/>
  </r>
  <r>
    <n v="13"/>
    <x v="7"/>
    <n v="7662"/>
    <s v="BENTONIT UNIAO - BOA VISTA"/>
    <n v="7"/>
    <s v="PB"/>
    <s v="UREMAX NBPT ADITIVO INIBIDOR DE UREASE P/ FERTILIZANTES"/>
    <n v="6000"/>
    <n v="6000"/>
    <n v="234328.51074753163"/>
    <n v="-36519.211500000005"/>
    <n v="197809.29924753163"/>
    <n v="-54602.16"/>
    <n v="0"/>
    <n v="0"/>
    <n v="143207.13924753162"/>
    <n v="0.72396565678303737"/>
    <n v="39.054751791255271"/>
    <n v="39.054751791255271"/>
    <n v="100300"/>
    <s v="UREMAX"/>
    <s v="BOA VISTA "/>
    <s v="Additives"/>
    <s v="Domestic"/>
    <s v="08/2026"/>
    <s v="2026"/>
  </r>
  <r>
    <n v="13"/>
    <x v="7"/>
    <n v="14632"/>
    <s v="BIGFERTIL - CANDEIAS"/>
    <n v="8224"/>
    <s v="BA"/>
    <s v="UREMAX COAT VERDE ADITIVO INIBIDOR DE UREASE P/ FERTILIZANTES"/>
    <n v="6000"/>
    <n v="6000"/>
    <n v="145066.22749430631"/>
    <n v="-10143.000000000002"/>
    <n v="134923.22749430631"/>
    <n v="-42039.917999999998"/>
    <n v="-13083.792000000029"/>
    <n v="-5.9559882780865125"/>
    <n v="79793.561506028185"/>
    <n v="0.59139973885812536"/>
    <n v="24.177704582384386"/>
    <n v="24.177704582384386"/>
    <n v="100300"/>
    <s v="UREMAX"/>
    <s v="CANDEIAS"/>
    <s v="Additives"/>
    <s v="Domestic"/>
    <s v="08/2026"/>
    <s v="2026"/>
  </r>
  <r>
    <n v="13"/>
    <x v="7"/>
    <n v="11637"/>
    <s v="AGROPECUARIA MARATA LTDA - MARUIM"/>
    <n v="8224"/>
    <s v="SE"/>
    <s v="UREMAX COAT VERDE ADITIVO INIBIDOR DE UREASE P/ FERTILIZANTES"/>
    <n v="4000"/>
    <n v="4000"/>
    <n v="92506.000141296769"/>
    <n v="-6468.0000000000009"/>
    <n v="86038.000141296769"/>
    <n v="-28026.612000000001"/>
    <n v="0"/>
    <n v="0"/>
    <n v="58011.388141296768"/>
    <n v="0.67425309800352151"/>
    <n v="23.126500035324192"/>
    <n v="23.126500035324192"/>
    <n v="100300"/>
    <s v="UREMAX"/>
    <s v="MARUIM"/>
    <s v="Additives"/>
    <s v="Domestic"/>
    <s v="08/2026"/>
    <s v="2026"/>
  </r>
  <r>
    <n v="13"/>
    <x v="7"/>
    <n v="5657"/>
    <s v="FERTIPLANTA - VARGEM GRANDE DO SUL"/>
    <n v="8214"/>
    <s v="SP"/>
    <s v="UREMAX NBPT AZUL ADITIVO INIBIDOR DE UREASE P/ FERTILIZANTES"/>
    <n v="1000"/>
    <n v="1000"/>
    <n v="36792.159147106671"/>
    <n v="-4410"/>
    <n v="32382.159147106671"/>
    <n v="-9538.2817391304343"/>
    <n v="-5039.0280000000012"/>
    <n v="-2.2938603503441253"/>
    <n v="17802.555547625892"/>
    <n v="0.5497643151820697"/>
    <n v="36.792159147106673"/>
    <n v="36.792159147106673"/>
    <n v="100300"/>
    <s v="UREMAX"/>
    <s v="VARGEM GRANDE DO SUL"/>
    <s v="Additives"/>
    <s v="Domestic"/>
    <s v="08/2026"/>
    <s v="2026"/>
  </r>
  <r>
    <n v="13"/>
    <x v="7"/>
    <n v="2622"/>
    <s v="ADUFERTIL JUNDIAI"/>
    <n v="8215"/>
    <s v="SP"/>
    <s v="UREMAX NBPT VERDE ADITIVO INIBIDOR DE UREASE P/ FERTILIZANTES"/>
    <n v="24000"/>
    <n v="24000"/>
    <n v="832073.45062158629"/>
    <n v="-99734.399999999994"/>
    <n v="732339.05062158627"/>
    <n v="-308990.09499999997"/>
    <n v="-8810.9319999999989"/>
    <n v="-4.0109020160987905"/>
    <n v="414534.01271957025"/>
    <n v="0.56604111492856601"/>
    <n v="34.66972710923276"/>
    <n v="34.66972710923276"/>
    <n v="100300"/>
    <s v="UREMAX"/>
    <s v="JUNDIAI"/>
    <s v="Additives"/>
    <s v="Domestic"/>
    <s v="08/2026"/>
    <s v="2026"/>
  </r>
  <r>
    <n v="13"/>
    <x v="7"/>
    <n v="86"/>
    <s v="ADUBOS ARAGUAIA - ANAPOLIS"/>
    <n v="8214"/>
    <s v="GO"/>
    <s v="UREMAX NBPT AZUL ADITIVO INIBIDOR DE UREASE P/ FERTILIZANTES"/>
    <n v="4000"/>
    <n v="4000"/>
    <n v="128146.84002257562"/>
    <n v="-8960"/>
    <n v="119186.84002257562"/>
    <n v="-38153.126956521737"/>
    <n v="-4066.5840000000026"/>
    <n v="-1.851185545891751"/>
    <n v="76965.277880507987"/>
    <n v="0.64575315417314283"/>
    <n v="32.036710005643904"/>
    <n v="32.036710005643904"/>
    <n v="100300"/>
    <s v="UREMAX"/>
    <s v="ANAPOLIS"/>
    <s v="Additives"/>
    <s v="Domestic"/>
    <s v="08/2026"/>
    <s v="2026"/>
  </r>
  <r>
    <n v="13"/>
    <x v="7"/>
    <n v="2003"/>
    <s v="HERINGER - RIO GRANDE"/>
    <n v="8217"/>
    <s v="RS"/>
    <s v="UREMAX NBPT AMARELO ADITIVO INIBIDOR DE UREASE P/ FERTILIZANTES"/>
    <n v="6000"/>
    <n v="6000"/>
    <n v="221894.26267659108"/>
    <n v="-26596.799999999999"/>
    <n v="195297.46267659109"/>
    <n v="-93852.569999999992"/>
    <n v="-14498.255999999972"/>
    <n v="-6.5998789027444866"/>
    <n v="86940.036797688372"/>
    <n v="0.44516726231952858"/>
    <n v="36.982377112765178"/>
    <n v="36.982377112765178"/>
    <n v="100300"/>
    <s v="UREMAX"/>
    <s v="RIO GRANDE"/>
    <s v="Additives"/>
    <s v="Domestic"/>
    <s v="08/2026"/>
    <s v="2026"/>
  </r>
  <r>
    <n v="13"/>
    <x v="7"/>
    <n v="10891"/>
    <s v="HINOVE - RIO BRILHANTE"/>
    <n v="8214"/>
    <s v="MS"/>
    <s v="UREMAX NBPT AZUL ADITIVO INIBIDOR DE UREASE P/ FERTILIZANTES"/>
    <n v="4000"/>
    <n v="4000"/>
    <n v="124542.71014694068"/>
    <n v="-8708"/>
    <n v="115834.71014694068"/>
    <n v="-38153.126956521737"/>
    <n v="-7691.1480000000047"/>
    <n v="-3.5011552715778764"/>
    <n v="69986.934035147366"/>
    <n v="0.60419656548858558"/>
    <n v="31.135677536735169"/>
    <n v="31.135677536735169"/>
    <n v="100300"/>
    <s v="UREMAX"/>
    <s v="RIO BRILHANTE"/>
    <s v="Additives"/>
    <s v="Domestic"/>
    <s v="08/2026"/>
    <s v="2026"/>
  </r>
  <r>
    <n v="13"/>
    <x v="7"/>
    <n v="14116"/>
    <s v="MAXIMO S.A. PARAGUAI"/>
    <n v="8204"/>
    <s v="EX"/>
    <s v="NITROPROTEC BLUE - ADITIVO INIBIDOR DE UREASE P/ FERTILIZANTE NITROGENADO"/>
    <n v="6600"/>
    <n v="6600"/>
    <n v="358255.91583292646"/>
    <n v="0"/>
    <n v="358255.91583292646"/>
    <n v="-132276.68100000001"/>
    <n v="0"/>
    <n v="-505.91981279251172"/>
    <n v="225473.31502013394"/>
    <n v="0.62936382919433487"/>
    <n v="54.281199368625224"/>
    <n v="54.281199368625224"/>
    <n v="100300"/>
    <s v="UREMAX"/>
    <s v="CARMEN DEL PARANA"/>
    <s v="Additives"/>
    <s v="International"/>
    <s v="08/2026"/>
    <s v="2026"/>
  </r>
  <r>
    <n v="13"/>
    <x v="7"/>
    <n v="11580"/>
    <s v="AGRO MIL AGROS SAS - COLOMBIA"/>
    <n v="9680"/>
    <s v="EX"/>
    <s v="NITROPROTEC ORANGE - ADITIVO INIBIDOR DE UREASE P/ FERTILIZANTE NITROGENADO"/>
    <n v="2200"/>
    <n v="2200"/>
    <n v="91580.940139883809"/>
    <n v="0"/>
    <n v="91580.940139883809"/>
    <n v="-38513.828000000001"/>
    <n v="0"/>
    <n v="-168.63993759750392"/>
    <n v="52898.472202286306"/>
    <n v="0.57761442633682725"/>
    <n v="41.627700063583546"/>
    <n v="41.627700063583546"/>
    <n v="100300"/>
    <s v="UREMAX"/>
    <s v="SAN PEDRO DE LOS MILAGROS"/>
    <s v="Additives"/>
    <s v="International"/>
    <s v="08/2026"/>
    <s v="2026"/>
  </r>
  <r>
    <n v="13"/>
    <x v="7"/>
    <n v="2527"/>
    <s v="INKAFERT - PERU"/>
    <n v="13491"/>
    <s v="EX"/>
    <s v="UREMAX COAT BLUE ADITIVO INIBIDOR DE UREASE P/ FERTILIZANTES"/>
    <n v="3300"/>
    <n v="3300"/>
    <n v="135878.09906468762"/>
    <n v="0"/>
    <n v="135878.09906468762"/>
    <n v="-30938.83"/>
    <n v="0"/>
    <n v="-252.95990639625586"/>
    <n v="104686.30915829136"/>
    <n v="0.77044284457095069"/>
    <n v="41.175181534753825"/>
    <n v="41.175181534753825"/>
    <n v="100300"/>
    <s v="UREMAX"/>
    <s v="SANTIAGO DE SURCO"/>
    <s v="Additives"/>
    <s v="International"/>
    <s v="08/2026"/>
    <s v="2026"/>
  </r>
  <r>
    <n v="13"/>
    <x v="7"/>
    <n v="1936"/>
    <s v="CIBRA - PARANAGUA II"/>
    <n v="8218"/>
    <s v="PR"/>
    <s v="UREMAX NBPT LARANJA ADITIVO INIBIDOR DE UREASE P/ FERTILIZANTES"/>
    <n v="8000"/>
    <n v="8000"/>
    <n v="240115.14149230107"/>
    <n v="-28780.799999999999"/>
    <n v="211334.34149230109"/>
    <n v="-96587.43"/>
    <n v="0"/>
    <n v="0"/>
    <n v="114746.91149230109"/>
    <n v="0.54296386797354146"/>
    <n v="30.014392686537633"/>
    <n v="30.014392686537633"/>
    <n v="100300"/>
    <s v="UREMAX"/>
    <s v="PARANAGUA"/>
    <s v="Additives"/>
    <s v="Domestic"/>
    <s v="08/2026"/>
    <s v="2026"/>
  </r>
  <r>
    <n v="13"/>
    <x v="7"/>
    <n v="6124"/>
    <s v="MOSAIC - UBERABA II"/>
    <n v="8215"/>
    <s v="MG"/>
    <s v="UREMAX NBPT VERDE ADITIVO INIBIDOR DE UREASE P/ FERTILIZANTES"/>
    <n v="24000"/>
    <n v="24000"/>
    <n v="870517.50262835901"/>
    <n v="0"/>
    <n v="870517.50262835901"/>
    <n v="-308990.09499999997"/>
    <n v="-4003.2278000000001"/>
    <n v="-1.8223446116622768"/>
    <n v="557522.35748374742"/>
    <n v="0.64044933709019825"/>
    <n v="36.271562609514959"/>
    <n v="36.271562609514959"/>
    <n v="100300"/>
    <s v="UREMAX"/>
    <s v="UBERABA"/>
    <s v="Additives"/>
    <s v="Domestic"/>
    <s v="08/2026"/>
    <s v="2026"/>
  </r>
  <r>
    <n v="13"/>
    <x v="7"/>
    <n v="97"/>
    <s v="FECOAGRO - SAO FRANCISCO DO SUL"/>
    <n v="8223"/>
    <s v="SC"/>
    <s v="UREMAX PLUS AZUL ADITIVO P/ INIBIR A NITRIFICACAO E VOLATIZACAO P/ FERTILIZANTES"/>
    <n v="24000"/>
    <n v="24000"/>
    <n v="913046.23516085127"/>
    <n v="-109440"/>
    <n v="803606.23516085127"/>
    <n v="-284189.59000000003"/>
    <n v="-15993.757"/>
    <n v="-7.280659094440197"/>
    <n v="503415.60750175681"/>
    <n v="0.62644562159350625"/>
    <n v="38.043593131702139"/>
    <n v="38.043593131702139"/>
    <n v="100300"/>
    <s v="UREMAX"/>
    <s v="SAO FRANCISCO DO SUL"/>
    <s v="Additives"/>
    <s v="Domestic"/>
    <s v="08/2026"/>
    <s v="2026"/>
  </r>
  <r>
    <n v="13"/>
    <x v="7"/>
    <n v="11978"/>
    <s v="MYRIN SA - URUGUAI"/>
    <n v="8204"/>
    <s v="EX"/>
    <s v="NITROPROTEC BLUE - ADITIVO INIBIDOR DE UREASE P/ FERTILIZANTE NITROGENADO"/>
    <n v="11000"/>
    <n v="11000"/>
    <n v="541644.65606542153"/>
    <n v="0"/>
    <n v="541644.65606542153"/>
    <n v="-220461.13500000004"/>
    <n v="-21958.799999999999"/>
    <n v="-853.19574688243677"/>
    <n v="298371.52531853912"/>
    <n v="0.55086212330783313"/>
    <n v="49.240423278674683"/>
    <n v="49.240423278674683"/>
    <n v="100300"/>
    <s v="UREMAX"/>
    <s v="MONTEVIDEO"/>
    <s v="Additives"/>
    <s v="International"/>
    <s v="08/2026"/>
    <s v="2026"/>
  </r>
  <r>
    <n v="13"/>
    <x v="7"/>
    <n v="3142"/>
    <s v="INTERFERTIL - SAO FRANCISCO DO SUL"/>
    <n v="8214"/>
    <s v="SC"/>
    <s v="UREMAX NBPT AZUL ADITIVO INIBIDOR DE UREASE P/ FERTILIZANTES"/>
    <n v="4000"/>
    <n v="4000"/>
    <n v="131270.41924812589"/>
    <n v="-15734.4"/>
    <n v="115536.0192481259"/>
    <n v="-38153.126956521737"/>
    <n v="-9901.2479999999723"/>
    <n v="-4.5072343726059874"/>
    <n v="67477.137057231579"/>
    <n v="0.58403550248963698"/>
    <n v="32.817604812031476"/>
    <n v="32.817604812031476"/>
    <n v="100300"/>
    <s v="UREMAX"/>
    <s v="SAO FRANCISCO DO SUL"/>
    <s v="Additives"/>
    <s v="Domestic"/>
    <s v="08/2026"/>
    <s v="2026"/>
  </r>
  <r>
    <n v="13"/>
    <x v="7"/>
    <n v="2494"/>
    <s v="ASOCIACION DE COOPERATIVAS ARGENTINAS CL"/>
    <n v="8204"/>
    <s v="EX"/>
    <s v="NITROPROTEC BLUE - ADITIVO INIBIDOR DE UREASE P/ FERTILIZANTE NITROGENADO"/>
    <n v="17600"/>
    <n v="17600"/>
    <n v="653709.06766516389"/>
    <n v="0"/>
    <n v="653709.06766516389"/>
    <n v="-352737.81600000005"/>
    <n v="0"/>
    <n v="-1349.1195007800313"/>
    <n v="299622.13216438383"/>
    <n v="0.45834171037972077"/>
    <n v="37.1425606627934"/>
    <n v="37.1425606627934"/>
    <n v="100300"/>
    <s v="UREMAX"/>
    <s v="BUENOS AIRES"/>
    <s v="Additives"/>
    <s v="International"/>
    <s v="08/2026"/>
    <s v="2026"/>
  </r>
  <r>
    <n v="13"/>
    <x v="7"/>
    <n v="2527"/>
    <s v="INKAFERT - PERU"/>
    <n v="13938"/>
    <s v="EX"/>
    <s v="UREMAX COAT YELLOW ADITIVO INIBIDOR DE UREASE P/ FERTILIZANTES"/>
    <n v="2200"/>
    <n v="2200"/>
    <n v="89884.996803960035"/>
    <n v="0"/>
    <n v="89884.996803960035"/>
    <n v="-21274.999999999993"/>
    <n v="0"/>
    <n v="-168.63993759750392"/>
    <n v="68441.356866362534"/>
    <n v="0.76143248929110752"/>
    <n v="40.85681672907274"/>
    <n v="40.85681672907274"/>
    <n v="100300"/>
    <s v="UREMAX"/>
    <s v="SANTIAGO DE SURCO"/>
    <s v="Additives"/>
    <s v="International"/>
    <s v="08/2026"/>
    <s v="2026"/>
  </r>
  <r>
    <n v="13"/>
    <x v="7"/>
    <n v="13861"/>
    <s v="ADUBOS ARAGUAIA - GUARANT? DO NORTE"/>
    <n v="8214"/>
    <s v="MT"/>
    <s v="UREMAX NBPT AZUL ADITIVO INIBIDOR DE UREASE P/ FERTILIZANTES"/>
    <n v="10000"/>
    <n v="10000"/>
    <n v="392649.92700667313"/>
    <n v="-27454.000000000004"/>
    <n v="365195.92700667313"/>
    <n v="-95382.817391304343"/>
    <n v="-14435.831371883998"/>
    <n v="-6.5714620375633022"/>
    <n v="255370.7067814472"/>
    <n v="0.69927041321241479"/>
    <n v="39.264992700667314"/>
    <n v="39.264992700667314"/>
    <n v="100300"/>
    <s v="UREMAX"/>
    <s v="GUARANT? DO NORTE"/>
    <s v="Additives"/>
    <s v="Domestic"/>
    <s v="08/2026"/>
    <s v="2026"/>
  </r>
  <r>
    <n v="13"/>
    <x v="7"/>
    <n v="215"/>
    <s v="UNIFERTIL - CANOAS UN2"/>
    <n v="8216"/>
    <s v="RS"/>
    <s v="UREMAX NBPT ROXO ADITIVO INIBIDOR DE UREASE P/ FERTILIZANTES"/>
    <n v="24000"/>
    <n v="24000"/>
    <n v="746535.43490651704"/>
    <n v="-89481.599999999991"/>
    <n v="657053.83490651706"/>
    <n v="-241071.51"/>
    <n v="-18675.345000000001"/>
    <n v="-8.5013684036876551"/>
    <n v="397298.47853811341"/>
    <n v="0.60466655459767527"/>
    <n v="31.105643121104876"/>
    <n v="31.105643121104876"/>
    <n v="100300"/>
    <s v="UREMAX"/>
    <s v="CANOAS"/>
    <s v="Additives"/>
    <s v="Domestic"/>
    <s v="08/2026"/>
    <s v="2026"/>
  </r>
  <r>
    <n v="13"/>
    <x v="7"/>
    <n v="10492"/>
    <s v="UNIFERTIL RIO GRANDE UN1"/>
    <n v="8216"/>
    <s v="RS"/>
    <s v="UREMAX NBPT ROXO ADITIVO INIBIDOR DE UREASE P/ FERTILIZANTES"/>
    <n v="48000"/>
    <n v="48000"/>
    <n v="1493070.8698130341"/>
    <n v="-178963.19999999998"/>
    <n v="1314107.6698130341"/>
    <n v="-482143.02"/>
    <n v="-25187.772999999997"/>
    <n v="-11.465948154717196"/>
    <n v="806765.41086487938"/>
    <n v="0.61392641516175206"/>
    <n v="31.105643121104876"/>
    <n v="31.105643121104876"/>
    <n v="100300"/>
    <s v="UREMAX"/>
    <s v="RIO GRANDE"/>
    <s v="Additives"/>
    <s v="Domestic"/>
    <s v="08/2026"/>
    <s v="2026"/>
  </r>
  <r>
    <n v="11"/>
    <x v="7"/>
    <n v="6370"/>
    <s v="YTL S.A. - PARAGUAI"/>
    <n v="7010"/>
    <s v="EX"/>
    <s v="MAX OIL GRI ADITIVO ANTI-PO P/ FERTILIZANTES"/>
    <n v="84000"/>
    <n v="84000"/>
    <n v="569520"/>
    <n v="0"/>
    <n v="569520"/>
    <n v="-215979.75"/>
    <n v="-85320.829440000001"/>
    <n v="-6477.819082336212"/>
    <n v="261741.60147766379"/>
    <n v="0.45958280916853456"/>
    <n v="6.78"/>
    <n v="6.78"/>
    <n v="100700"/>
    <s v="MAX OIL"/>
    <s v="ITAPUA"/>
    <s v="Additives"/>
    <s v="International"/>
    <s v="08/2026"/>
    <s v="2026"/>
  </r>
  <r>
    <n v="11"/>
    <x v="7"/>
    <n v="12629"/>
    <s v="EUROCHEM SERRA DO SALITRE"/>
    <n v="3359"/>
    <s v="MG"/>
    <s v="MAX OIL GRV ADITIVO ANTI-PO P/ FERTILIZANTES"/>
    <n v="90000"/>
    <n v="90000"/>
    <n v="490500"/>
    <n v="-88290"/>
    <n v="402210"/>
    <n v="-214315.40999999997"/>
    <n v="-12668.590771199999"/>
    <n v="-5.7669808671019842"/>
    <n v="175220.23224793293"/>
    <n v="0.43564364945658468"/>
    <n v="5.45"/>
    <n v="5.45"/>
    <n v="100700"/>
    <s v="MAX OIL"/>
    <s v="SERRA DO SALITRE"/>
    <s v="Additives"/>
    <s v="Domestic"/>
    <s v="08/2026"/>
    <s v="2026"/>
  </r>
  <r>
    <n v="11"/>
    <x v="7"/>
    <n v="1792"/>
    <s v="MOSAIC - CATAL?O (CMC3)"/>
    <n v="3359"/>
    <s v="GO"/>
    <s v="MAX OIL GRV ADITIVO ANTI-PO P/ FERTILIZANTES"/>
    <n v="150000"/>
    <n v="150000"/>
    <n v="585000"/>
    <n v="-40950.000000000007"/>
    <n v="544050"/>
    <n v="-357192.35"/>
    <n v="-12210.8025"/>
    <n v="-5.5585870331803893"/>
    <n v="174641.28891296685"/>
    <n v="0.32100227720424013"/>
    <n v="3.9"/>
    <n v="3.9"/>
    <n v="100700"/>
    <s v="MAX OIL"/>
    <s v="CATALAO"/>
    <s v="Additives"/>
    <s v="Domestic"/>
    <s v="08/2026"/>
    <s v="2026"/>
  </r>
  <r>
    <n v="11"/>
    <x v="7"/>
    <n v="1787"/>
    <s v="MOSAIC - UBERABA (CIU1)"/>
    <n v="3359"/>
    <s v="MG"/>
    <s v="MAX OIL GRV ADITIVO ANTI-PO P/ FERTILIZANTES"/>
    <n v="240000"/>
    <n v="240000"/>
    <n v="931200"/>
    <n v="0"/>
    <n v="931200"/>
    <n v="-571507.76"/>
    <n v="-19537.284"/>
    <n v="-8.8937392530886221"/>
    <n v="340146.0622607469"/>
    <n v="0.3652771287164378"/>
    <n v="3.88"/>
    <n v="3.88"/>
    <n v="100700"/>
    <s v="MAX OIL"/>
    <s v="UBERABA"/>
    <s v="Additives"/>
    <s v="Domestic"/>
    <s v="08/2026"/>
    <s v="2026"/>
  </r>
  <r>
    <n v="11"/>
    <x v="7"/>
    <n v="8995"/>
    <s v="FERTIPOL - DOURADOS"/>
    <n v="3351"/>
    <s v="MS"/>
    <s v="MAX OIL MT ADITIVO ANTI-PO P/ FERTILIZANTES"/>
    <n v="30000"/>
    <n v="30000"/>
    <n v="160200"/>
    <n v="-11214.000000000002"/>
    <n v="148986"/>
    <n v="-88356.602222222224"/>
    <n v="-11914.507987199999"/>
    <n v="-5.4237081964411518"/>
    <n v="48709.466082381339"/>
    <n v="0.32693988752219227"/>
    <n v="5.34"/>
    <n v="5.34"/>
    <n v="100700"/>
    <s v="MAX OIL"/>
    <s v="DOURADOS"/>
    <s v="Additives"/>
    <s v="Domestic"/>
    <s v="08/2026"/>
    <s v="2026"/>
  </r>
  <r>
    <n v="11"/>
    <x v="7"/>
    <n v="2619"/>
    <s v="FOSPAR - PARANAGUA"/>
    <n v="4552"/>
    <s v="PR"/>
    <s v="MAX OIL GRMO ADITIVO ANTI-PO P/ FERTILIZANTES"/>
    <n v="60000"/>
    <n v="60000"/>
    <n v="384000"/>
    <n v="-46080"/>
    <n v="337920"/>
    <n v="-176216.22"/>
    <n v="-28099.2114"/>
    <n v="-12.791289690471579"/>
    <n v="133591.77731030952"/>
    <n v="0.39533551524120952"/>
    <n v="6.4"/>
    <n v="6.4"/>
    <n v="100700"/>
    <s v="MAX OIL"/>
    <s v="PARANAGUA"/>
    <s v="Additives"/>
    <s v="Domestic"/>
    <s v="08/2026"/>
    <s v="2026"/>
  </r>
  <r>
    <n v="11"/>
    <x v="7"/>
    <n v="13330"/>
    <s v="ORGANITEC - PARAGUAY"/>
    <n v="14142"/>
    <s v="EX"/>
    <s v="MAX OIL MT IBC ADITIVO ANTI-PO P/ FERTILIZANTES"/>
    <n v="28000"/>
    <n v="28000"/>
    <n v="178080"/>
    <n v="0"/>
    <n v="178080"/>
    <n v="-81620.545610278365"/>
    <n v="-25247.786666666678"/>
    <n v="-2157.8197460185729"/>
    <n v="69053.847977036377"/>
    <n v="0.3877686881010578"/>
    <n v="6.36"/>
    <n v="6.36"/>
    <n v="100700"/>
    <s v="MAX OIL"/>
    <s v="VILLETA"/>
    <s v="Additives"/>
    <s v="International"/>
    <s v="08/2026"/>
    <s v="2026"/>
  </r>
  <r>
    <n v="11"/>
    <x v="7"/>
    <n v="2133"/>
    <s v="FERTIPAR - CANITAR"/>
    <n v="3353"/>
    <s v="SP"/>
    <s v="MAX OIL MTF ADITIVO ANTI-PO P/ FERTILIZANTES"/>
    <n v="30000"/>
    <n v="30000"/>
    <n v="179700"/>
    <n v="-21564"/>
    <n v="158136"/>
    <n v="-91396.35"/>
    <n v="-11663.147059199999"/>
    <n v="-5.3092839728875401"/>
    <n v="55071.193656827112"/>
    <n v="0.34825209728858142"/>
    <n v="5.99"/>
    <n v="5.99"/>
    <n v="100700"/>
    <s v="MAX OIL"/>
    <s v="CANITAR"/>
    <s v="Additives"/>
    <s v="Domestic"/>
    <s v="08/2026"/>
    <s v="2026"/>
  </r>
  <r>
    <n v="11"/>
    <x v="7"/>
    <n v="11724"/>
    <s v="HINOVE - REGISTRO/SP"/>
    <n v="14142"/>
    <s v="SP"/>
    <s v="MAX OIL MT IBC ADITIVO ANTI-PO P/ FERTILIZANTES"/>
    <n v="91200"/>
    <n v="91200"/>
    <n v="551760"/>
    <n v="-66211.199999999997"/>
    <n v="485548.79999999999"/>
    <n v="-265849.77713062096"/>
    <n v="-35838.035670527999"/>
    <n v="-16.314148097379611"/>
    <n v="183844.67305075363"/>
    <n v="0.37863274103602695"/>
    <n v="6.05"/>
    <n v="6.05"/>
    <n v="100700"/>
    <s v="MAX OIL"/>
    <s v="REGISTRO"/>
    <s v="Additives"/>
    <s v="Domestic"/>
    <s v="08/2026"/>
    <s v="2026"/>
  </r>
  <r>
    <n v="11"/>
    <x v="7"/>
    <n v="201"/>
    <s v="JOSAPAR - PELOTAS"/>
    <n v="14142"/>
    <s v="RS"/>
    <s v="MAX OIL MT IBC ADITIVO ANTI-PO P/ FERTILIZANTES"/>
    <n v="11400"/>
    <n v="11400"/>
    <n v="87666"/>
    <n v="-10519.92"/>
    <n v="77146.080000000002"/>
    <n v="-33231.22214132762"/>
    <n v="-20182.774352831999"/>
    <n v="-9.1875786060136253"/>
    <n v="23722.895927234371"/>
    <n v="0.30750617435434657"/>
    <n v="7.69"/>
    <n v="7.69"/>
    <n v="100700"/>
    <s v="MAX OIL"/>
    <s v="PELOTAS"/>
    <s v="Additives"/>
    <s v="Domestic"/>
    <s v="08/2026"/>
    <s v="2026"/>
  </r>
  <r>
    <n v="11"/>
    <x v="7"/>
    <n v="6477"/>
    <s v="MOSAIC - PARANAGUA II"/>
    <n v="3362"/>
    <s v="PR"/>
    <s v="MAX OIL M-NPK ADITIVO ANTI-PO P/ FERTILIZANTES"/>
    <n v="300000"/>
    <n v="300000"/>
    <n v="1839000"/>
    <n v="-220680"/>
    <n v="1618320"/>
    <n v="-882677.2583333333"/>
    <n v="-140496.057"/>
    <n v="-63.956448452357904"/>
    <n v="595082.72821821435"/>
    <n v="0.3677163528957279"/>
    <n v="6.13"/>
    <n v="6.13"/>
    <n v="100700"/>
    <s v="MAX OIL"/>
    <s v="PARANAGUA"/>
    <s v="Additives"/>
    <s v="Domestic"/>
    <s v="08/2026"/>
    <s v="2026"/>
  </r>
  <r>
    <n v="11"/>
    <x v="7"/>
    <n v="16465"/>
    <s v="GRUPO NOBLEZA SRL"/>
    <n v="14142"/>
    <s v="EX"/>
    <s v="MAX OIL MT IBC ADITIVO ANTI-PO P/ FERTILIZANTES"/>
    <n v="9500"/>
    <n v="9500"/>
    <n v="60420"/>
    <n v="0"/>
    <n v="60420"/>
    <n v="-27692.68511777302"/>
    <n v="0"/>
    <n v="-728.21791235285775"/>
    <n v="31999.096969874121"/>
    <n v="0.52961100579070042"/>
    <n v="6.36"/>
    <n v="6.36"/>
    <n v="100700"/>
    <s v="MAX OIL"/>
    <s v="ENCARNACION"/>
    <s v="Additives"/>
    <s v="International"/>
    <s v="08/2026"/>
    <s v="2026"/>
  </r>
  <r>
    <n v="11"/>
    <x v="7"/>
    <n v="14382"/>
    <s v="GECAL - PAINS-MG"/>
    <n v="3351"/>
    <s v="MG"/>
    <s v="MAX OIL MT ADITIVO ANTI-PO P/ FERTILIZANTES"/>
    <n v="15000"/>
    <n v="15000"/>
    <n v="102900"/>
    <n v="-18522"/>
    <n v="84378"/>
    <n v="-44178.301111111112"/>
    <n v="-6648.4965456"/>
    <n v="-3.0265207129930052"/>
    <n v="33548.175822575897"/>
    <n v="0.39759387307800487"/>
    <n v="6.86"/>
    <n v="6.86"/>
    <n v="100700"/>
    <s v="MAX OIL"/>
    <s v="PAINS"/>
    <s v="Additives"/>
    <s v="Domestic"/>
    <s v="08/2026"/>
    <s v="2026"/>
  </r>
  <r>
    <n v="11"/>
    <x v="7"/>
    <n v="456"/>
    <s v="FERTIPAR - CANDEIAS"/>
    <n v="3353"/>
    <s v="BA"/>
    <s v="MAX OIL MTF ADITIVO ANTI-PO P/ FERTILIZANTES"/>
    <n v="30000"/>
    <n v="30000"/>
    <n v="185400"/>
    <n v="-12978.000000000002"/>
    <n v="172422"/>
    <n v="-91396.35"/>
    <n v="-21548.474999999999"/>
    <n v="-9.8092712350242159"/>
    <n v="59467.365728764969"/>
    <n v="0.34489430425795414"/>
    <n v="6.18"/>
    <n v="6.18"/>
    <n v="100700"/>
    <s v="MAX OIL"/>
    <s v="CANDEIAS"/>
    <s v="Additives"/>
    <s v="Domestic"/>
    <s v="08/2026"/>
    <s v="2026"/>
  </r>
  <r>
    <n v="11"/>
    <x v="7"/>
    <n v="2603"/>
    <s v="MOSAIC - S?O LUIS"/>
    <n v="3362"/>
    <s v="MA"/>
    <s v="MAX OIL M-NPK ADITIVO ANTI-PO P/ FERTILIZANTES"/>
    <n v="30000"/>
    <n v="30000"/>
    <n v="193200"/>
    <n v="-13524.000000000002"/>
    <n v="179676"/>
    <n v="-88267.72583333333"/>
    <n v="0"/>
    <n v="0"/>
    <n v="91408.27416666667"/>
    <n v="0.50873947642794071"/>
    <n v="6.44"/>
    <n v="6.44"/>
    <n v="100700"/>
    <s v="MAX OIL"/>
    <s v="SAO LUIS"/>
    <s v="Additives"/>
    <s v="Domestic"/>
    <s v="08/2026"/>
    <s v="2026"/>
  </r>
  <r>
    <n v="11"/>
    <x v="7"/>
    <n v="2225"/>
    <s v="ITAFOS"/>
    <n v="3351"/>
    <s v="TO"/>
    <s v="MAX OIL MT ADITIVO ANTI-PO P/ FERTILIZANTES"/>
    <n v="90000"/>
    <n v="90000"/>
    <n v="486000"/>
    <n v="-34020"/>
    <n v="451980"/>
    <n v="-265069.80666666664"/>
    <n v="-41323.7365632"/>
    <n v="-18.811342352213615"/>
    <n v="145567.64542778113"/>
    <n v="0.32206656362622488"/>
    <n v="5.4"/>
    <n v="5.4"/>
    <n v="100700"/>
    <s v="MAX OIL"/>
    <s v="ARRAIAS"/>
    <s v="Additives"/>
    <s v="Domestic"/>
    <s v="08/2026"/>
    <s v="2026"/>
  </r>
  <r>
    <n v="11"/>
    <x v="7"/>
    <n v="2949"/>
    <s v="MOSAIC - CANDEIAS"/>
    <n v="3362"/>
    <s v="BA"/>
    <s v="MAX OIL M-NPK ADITIVO ANTI-PO P/ FERTILIZANTES"/>
    <n v="30000"/>
    <n v="30000"/>
    <n v="160200"/>
    <n v="-11214.000000000002"/>
    <n v="148986"/>
    <n v="-88267.72583333333"/>
    <n v="-21548.474999999999"/>
    <n v="-9.8092712350242159"/>
    <n v="39159.989895431645"/>
    <n v="0.2628434208276727"/>
    <n v="5.34"/>
    <n v="5.34"/>
    <n v="100700"/>
    <s v="MAX OIL"/>
    <s v="CANDEIAS"/>
    <s v="Additives"/>
    <s v="Domestic"/>
    <s v="08/2026"/>
    <s v="2026"/>
  </r>
  <r>
    <n v="11"/>
    <x v="7"/>
    <n v="1789"/>
    <s v="MOSAIC - ARAXA (CMA)"/>
    <n v="3359"/>
    <s v="MG"/>
    <s v="MAX OIL GRV ADITIVO ANTI-PO P/ FERTILIZANTES"/>
    <n v="330000"/>
    <n v="330000"/>
    <n v="1280400"/>
    <n v="0"/>
    <n v="1280400"/>
    <n v="-785823.16999999993"/>
    <n v="-34838.624620800001"/>
    <n v="-15.859197384530457"/>
    <n v="459722.34618181555"/>
    <n v="0.35904588111669444"/>
    <n v="3.88"/>
    <n v="3.88"/>
    <n v="100700"/>
    <s v="MAX OIL"/>
    <s v="ARAXA"/>
    <s v="Additives"/>
    <s v="Domestic"/>
    <s v="08/2026"/>
    <s v="2026"/>
  </r>
  <r>
    <n v="11"/>
    <x v="7"/>
    <n v="5300"/>
    <s v="FOSNOR - LUIS EDUARDO MAGALHAES"/>
    <n v="4246"/>
    <s v="BA"/>
    <s v="MAX OIL GRGL ADITIVO ANTI-PO P/ FERTILIZANTES"/>
    <n v="150000"/>
    <n v="150000"/>
    <n v="877500"/>
    <n v="-61425.000000000007"/>
    <n v="816075"/>
    <n v="-392112"/>
    <n v="-77419.165823999996"/>
    <n v="-35.242660854512124"/>
    <n v="346508.59151514544"/>
    <n v="0.42460385566908121"/>
    <n v="5.85"/>
    <n v="5.85"/>
    <n v="100700"/>
    <s v="MAX OIL"/>
    <s v="LUIS EDUARDO MAGALHAES"/>
    <s v="Additives"/>
    <s v="Domestic"/>
    <s v="08/2026"/>
    <s v="2026"/>
  </r>
  <r>
    <n v="11"/>
    <x v="7"/>
    <n v="1788"/>
    <s v="MOSAIC - UBERABA (CIU2)"/>
    <n v="3359"/>
    <s v="MG"/>
    <s v="MAX OIL GRV ADITIVO ANTI-PO P/ FERTILIZANTES"/>
    <n v="60000"/>
    <n v="60000"/>
    <n v="232800"/>
    <n v="0"/>
    <n v="232800"/>
    <n v="-142876.94"/>
    <n v="-4884.3209999999999"/>
    <n v="-2.2234348132721555"/>
    <n v="85036.515565186724"/>
    <n v="0.3652771287164378"/>
    <n v="3.88"/>
    <n v="3.88"/>
    <n v="100700"/>
    <s v="MAX OIL"/>
    <s v="UBERABA"/>
    <s v="Additives"/>
    <s v="Domestic"/>
    <s v="08/2026"/>
    <s v="2026"/>
  </r>
  <r>
    <n v="13"/>
    <x v="7"/>
    <n v="2"/>
    <s v="CARGILL - UBERLANDIA"/>
    <n v="3700"/>
    <s v="MG"/>
    <s v="CICOAT 41175"/>
    <n v="84000"/>
    <n v="84000"/>
    <n v="92400"/>
    <n v="-23640.539999999997"/>
    <n v="68759.460000000006"/>
    <n v="-15390.900000000001"/>
    <n v="0"/>
    <n v="0"/>
    <n v="53368.560000000005"/>
    <n v="0.77616316358505433"/>
    <n v="1.1000000000000001"/>
    <n v="1.1000000000000001"/>
    <n v="100900"/>
    <s v="PA TERCEIROS"/>
    <s v="UBERLANDIA"/>
    <s v="Fertilizers"/>
    <s v="Domestic"/>
    <s v="08/2026"/>
    <s v="2026"/>
  </r>
  <r>
    <n v="11"/>
    <x v="7"/>
    <n v="2527"/>
    <s v="INKAFERT - PERU"/>
    <n v="14144"/>
    <s v="EX"/>
    <s v="RESIDEX YELLOW IBC ADITIVO ANTI PO P/ FERTILIZANTES"/>
    <n v="2000"/>
    <n v="2000"/>
    <n v="18656"/>
    <n v="0"/>
    <n v="18656"/>
    <n v="-2941.7"/>
    <n v="0"/>
    <n v="-153.309034179549"/>
    <n v="15560.990965820451"/>
    <n v="0.83410114525195378"/>
    <n v="9.3279999999999994"/>
    <n v="9.3279999999999994"/>
    <n v="101300"/>
    <s v="RESIDEX"/>
    <s v="SANTIAGO DE SURCO"/>
    <s v="Additives"/>
    <s v="International"/>
    <s v="08/2026"/>
    <s v="2026"/>
  </r>
  <r>
    <n v="11"/>
    <x v="7"/>
    <n v="2527"/>
    <s v="INKAFERT - PERU"/>
    <n v="14143"/>
    <s v="EX"/>
    <s v="RESIDEX BLUE IBC ADITIVO ANTI PO P/ FERTILIZANTES"/>
    <n v="3000"/>
    <n v="3000"/>
    <n v="27984"/>
    <n v="0"/>
    <n v="27984"/>
    <n v="-4739.3900000000003"/>
    <n v="0"/>
    <n v="-229.96355126932352"/>
    <n v="23014.646448730677"/>
    <n v="0.82242161409129066"/>
    <n v="9.3279999999999994"/>
    <n v="9.3279999999999994"/>
    <n v="101300"/>
    <s v="RESIDEX"/>
    <s v="SANTIAGO DE SURCO"/>
    <s v="Additives"/>
    <s v="International"/>
    <s v="08/2026"/>
    <s v="2026"/>
  </r>
  <r>
    <n v="11"/>
    <x v="7"/>
    <n v="12653"/>
    <s v="APROVAR AGROPECUARIA COMERCIO"/>
    <n v="8368"/>
    <s v="MG"/>
    <s v="SULFORCE - BB - 18 L SOLUC?O ALTAMENTE CONCENTRADA EM ENXOFRE (60%)"/>
    <n v="2000"/>
    <n v="32884.072547869357"/>
    <n v="362518.55150185636"/>
    <n v="-32625.340921803698"/>
    <n v="329893.21058005269"/>
    <n v="-115762.28893949043"/>
    <n v="-7937.5347529339824"/>
    <n v="-81833.251258501041"/>
    <n v="124360.13562912722"/>
    <n v="0.37697088524636274"/>
    <n v="181.25927575092817"/>
    <n v="11.024137931034485"/>
    <n v="101602"/>
    <s v="FERTILIZANTE LIQUIDOS"/>
    <s v="VARGINHA"/>
    <s v="Fertilizers"/>
    <s v="Domestic"/>
    <s v="08/2026"/>
    <s v="2026"/>
  </r>
  <r>
    <n v="11"/>
    <x v="7"/>
    <n v="13773"/>
    <s v="FERTLIZE AGRO"/>
    <n v="8368"/>
    <s v="MG"/>
    <s v="SULFORCE - BB - 18 L SOLUC?O ALTAMENTE CONCENTRADA EM ENXOFRE (60%)"/>
    <n v="167"/>
    <n v="2745.8200577470911"/>
    <n v="29508.097275754513"/>
    <n v="-2655.6206008958097"/>
    <n v="26852.476674858703"/>
    <n v="-9666.151126447452"/>
    <n v="0"/>
    <n v="-6683.4651904109742"/>
    <n v="10502.860358000278"/>
    <n v="0.39113190508173279"/>
    <n v="176.6951932679911"/>
    <n v="10.74655172413793"/>
    <n v="101602"/>
    <s v="FERTILIZANTE LIQUIDOS"/>
    <s v="CRUZEIRO DA FORTALEZA"/>
    <s v="Fertilizers"/>
    <s v="Domestic"/>
    <s v="08/2026"/>
    <s v="2026"/>
  </r>
  <r>
    <n v="11"/>
    <x v="7"/>
    <n v="15905"/>
    <s v="CAMPEVO - ITAPETININGA"/>
    <n v="8368"/>
    <s v="SP"/>
    <s v="SULFORCE - BB - 18 L SOLUC?O ALTAMENTE CONCENTRADA EM ENXOFRE (60%)"/>
    <n v="170"/>
    <n v="2795.1461665688953"/>
    <n v="30814.076877657786"/>
    <n v="-2773.1539783533144"/>
    <n v="28040.922899304471"/>
    <n v="-9839.7945598566876"/>
    <n v="-755.63618576813087"/>
    <n v="-6958.9962774681371"/>
    <n v="10486.495876211517"/>
    <n v="0.37397113903378781"/>
    <n v="181.25927575092814"/>
    <n v="11.024137931034483"/>
    <n v="101602"/>
    <s v="FERTILIZANTE LIQUIDOS"/>
    <s v="ITAPETININGA"/>
    <s v="Fertilizers"/>
    <s v="Domestic"/>
    <s v="08/2026"/>
    <s v="2026"/>
  </r>
  <r>
    <n v="11"/>
    <x v="7"/>
    <n v="15906"/>
    <s v="CAMPEVO - JAU"/>
    <n v="13004"/>
    <s v="SP"/>
    <s v="BIOSINERGIC K - BB - 20L PRODUTO A BASE DE EXTRATO DE ALGAS E ACIDOS HUMICOS"/>
    <n v="22"/>
    <n v="505.97726079211878"/>
    <n v="13383.098547951542"/>
    <n v="-1266.8109020827151"/>
    <n v="12116.287645868826"/>
    <n v="-3577.6717152628812"/>
    <n v="-136.78523577881009"/>
    <n v="-2765.7850376538231"/>
    <n v="5636.0456571733121"/>
    <n v="0.46516274802166652"/>
    <n v="608.32266127052469"/>
    <n v="26.45"/>
    <n v="101602"/>
    <s v="FERTILIZANTE LIQUIDOS"/>
    <s v="JAU"/>
    <s v="Fertilizers"/>
    <s v="Domestic"/>
    <s v="08/2026"/>
    <s v="2026"/>
  </r>
  <r>
    <n v="11"/>
    <x v="7"/>
    <n v="15917"/>
    <s v="MINAS FARM"/>
    <n v="8368"/>
    <s v="MG"/>
    <s v="SULFORCE - BB - 18 L SOLUC?O ALTAMENTE CONCENTRADA EM ENXOFRE (60%)"/>
    <n v="224"/>
    <n v="3683.0161253613674"/>
    <n v="39579.723292030008"/>
    <n v="-3562.0300275488698"/>
    <n v="36017.693264481139"/>
    <n v="-12965.376361222927"/>
    <n v="0"/>
    <n v="-8964.6479200722042"/>
    <n v="14087.668983186008"/>
    <n v="0.3911319050817329"/>
    <n v="176.6951932679911"/>
    <n v="10.746551724137932"/>
    <n v="101602"/>
    <s v="FERTILIZANTE LIQUIDOS"/>
    <s v="UBERLANDIA"/>
    <s v="Fertilizers"/>
    <s v="Domestic"/>
    <s v="08/2026"/>
    <s v="2026"/>
  </r>
  <r>
    <n v="11"/>
    <x v="7"/>
    <n v="15906"/>
    <s v="CAMPEVO - JAU"/>
    <n v="8369"/>
    <s v="SP"/>
    <s v="SULFORCE IBC - 700 L - SOLUC?O ALTAMENTE CONCENTRADA EM ENXOFRE (60%) "/>
    <n v="4900"/>
    <n v="4475.8876523488843"/>
    <n v="43272.573141001958"/>
    <n v="-3894.3729788174596"/>
    <n v="39378.200162184497"/>
    <n v="-16267.114262101421"/>
    <n v="-1210.005656948968"/>
    <n v="-9951.1345856410117"/>
    <n v="11949.945657493095"/>
    <n v="0.30346601947970225"/>
    <n v="8.831137375714686"/>
    <n v="9.6679310344827591"/>
    <n v="101602"/>
    <s v="FERTILIZANTE LIQUIDOS"/>
    <s v="JAU"/>
    <s v="Fertilizers"/>
    <s v="Domestic"/>
    <s v="08/2026"/>
    <s v="2026"/>
  </r>
  <r>
    <n v="11"/>
    <x v="7"/>
    <n v="15917"/>
    <s v="MINAS FARM"/>
    <n v="8369"/>
    <s v="MG"/>
    <s v="SULFORCE IBC - 700 L - SOLUC?O ALTAMENTE CONCENTRADA EM ENXOFRE (60%) "/>
    <n v="23000"/>
    <n v="21009.268572249865"/>
    <n v="197284.27646879596"/>
    <n v="-17754.861790218994"/>
    <n v="179529.41467857696"/>
    <n v="-76355.842454761761"/>
    <n v="0"/>
    <n v="-45554.868974295357"/>
    <n v="57618.703249519836"/>
    <n v="0.32094296833016639"/>
    <n v="8.5775772377737365"/>
    <n v="9.3903448275862065"/>
    <n v="101602"/>
    <s v="FERTILIZANTE LIQUIDOS"/>
    <s v="UBERLANDIA"/>
    <s v="Fertilizers"/>
    <s v="Domestic"/>
    <s v="08/2026"/>
    <s v="2026"/>
  </r>
  <r>
    <n v="11"/>
    <x v="7"/>
    <n v="14166"/>
    <s v="TAKI AGRO - TRES CORAC?ES"/>
    <n v="8368"/>
    <s v="MG"/>
    <s v="SULFORCE - BB - 18 L SOLUC?O ALTAMENTE CONCENTRADA EM ENXOFRE (60%)"/>
    <n v="2000"/>
    <n v="32884.072547869357"/>
    <n v="362518.55150185636"/>
    <n v="-32625.340921803698"/>
    <n v="329893.21058005269"/>
    <n v="-115762.28893949043"/>
    <n v="-7937.5347529339824"/>
    <n v="-81833.600032589398"/>
    <n v="124359.78685503887"/>
    <n v="0.37696982801306067"/>
    <n v="181.25927575092817"/>
    <n v="11.024137931034485"/>
    <n v="101602"/>
    <s v="FERTILIZANTE LIQUIDOS"/>
    <s v="TRES CORACOES"/>
    <s v="Fertilizers"/>
    <s v="Domestic"/>
    <s v="08/2026"/>
    <s v="2026"/>
  </r>
  <r>
    <n v="11"/>
    <x v="7"/>
    <n v="16645"/>
    <s v="OPCAO AGRONEGOCIOS"/>
    <n v="8369"/>
    <s v="MG"/>
    <s v="SULFORCE IBC - 700 L - SOLUC?O ALTAMENTE CONCENTRADA EM ENXOFRE (60%) "/>
    <n v="18200"/>
    <n v="16624.725565867284"/>
    <n v="160726.70023800724"/>
    <n v="-14464.813921321991"/>
    <n v="146261.88631668524"/>
    <n v="-60420.7101163767"/>
    <n v="-4012.8647917610688"/>
    <n v="-36953.113090145831"/>
    <n v="44875.19831840165"/>
    <n v="0.30681402686984477"/>
    <n v="8.8311373757146825"/>
    <n v="9.6679310344827574"/>
    <n v="101602"/>
    <s v="FERTILIZANTE LIQUIDOS"/>
    <s v="UBERLANDIA"/>
    <s v="Fertilizers"/>
    <s v="Domestic"/>
    <s v="08/2026"/>
    <s v="2026"/>
  </r>
  <r>
    <n v="11"/>
    <x v="7"/>
    <n v="15906"/>
    <s v="CAMPEVO - JAU"/>
    <n v="8368"/>
    <s v="SP"/>
    <s v="SULFORCE - BB - 18 L SOLUC?O ALTAMENTE CONCENTRADA EM ENXOFRE (60%)"/>
    <n v="170"/>
    <n v="2795.1461665688953"/>
    <n v="30814.076877657786"/>
    <n v="-2773.1539783533144"/>
    <n v="28040.922899304471"/>
    <n v="-9839.7945598566876"/>
    <n v="-755.63618576813087"/>
    <n v="-6958.0807454862024"/>
    <n v="10487.411408193451"/>
    <n v="0.37400378888576385"/>
    <n v="181.25927575092814"/>
    <n v="11.024137931034483"/>
    <n v="101602"/>
    <s v="FERTILIZANTE LIQUIDOS"/>
    <s v="JAU"/>
    <s v="Fertilizers"/>
    <s v="Domestic"/>
    <s v="08/2026"/>
    <s v="2026"/>
  </r>
  <r>
    <n v="11"/>
    <x v="7"/>
    <n v="16645"/>
    <s v="OPCAO AGRONEGOCIOS"/>
    <n v="8368"/>
    <s v="MG"/>
    <s v="SULFORCE - BB - 18 L SOLUC?O ALTAMENTE CONCENTRADA EM ENXOFRE (60%)"/>
    <n v="136"/>
    <n v="2236.1169332551162"/>
    <n v="24651.261502126232"/>
    <n v="-2218.5231826826512"/>
    <n v="22432.738319443582"/>
    <n v="-7871.8356478853502"/>
    <n v="-539.7523631995108"/>
    <n v="-5566.20383971922"/>
    <n v="8454.946468639504"/>
    <n v="0.37690211280676228"/>
    <n v="181.25927575092817"/>
    <n v="11.024137931034483"/>
    <n v="101602"/>
    <s v="FERTILIZANTE LIQUIDOS"/>
    <s v="UBERLANDIA"/>
    <s v="Fertilizers"/>
    <s v="Domestic"/>
    <s v="08/2026"/>
    <s v="2026"/>
  </r>
  <r>
    <n v="11"/>
    <x v="7"/>
    <n v="15904"/>
    <s v="CAMPEVO - JALES"/>
    <n v="13004"/>
    <s v="SP"/>
    <s v="BIOSINERGIC K - BB - 20L PRODUTO A BASE DE EXTRATO DE ALGAS E ACIDOS HUMICOS"/>
    <n v="25"/>
    <n v="574.97415999104408"/>
    <n v="15208.066531763116"/>
    <n v="-1439.5578432758125"/>
    <n v="13768.508688487304"/>
    <n v="-4065.5360400714562"/>
    <n v="-155.43776793046604"/>
    <n v="-3142.0695709094575"/>
    <n v="6405.465309575924"/>
    <n v="0.46522578839144196"/>
    <n v="608.32266127052458"/>
    <n v="26.45"/>
    <n v="101602"/>
    <s v="FERTILIZANTE LIQUIDOS"/>
    <s v="JALES"/>
    <s v="Fertilizers"/>
    <s v="Domestic"/>
    <s v="08/2026"/>
    <s v="2026"/>
  </r>
  <r>
    <n v="11"/>
    <x v="7"/>
    <n v="15908"/>
    <s v="CAMPEVO - S?O JOSE DO RIO PRETO"/>
    <n v="13004"/>
    <s v="SP"/>
    <s v="BIOSINERGIC K - BB - 20L PRODUTO A BASE DE EXTRATO DE ALGAS E ACIDOS HUMICOS"/>
    <n v="22"/>
    <n v="505.97726079211878"/>
    <n v="13383.098547951542"/>
    <n v="-1266.8109020827151"/>
    <n v="12116.287645868826"/>
    <n v="-3577.6717152628812"/>
    <n v="-136.78523577881009"/>
    <n v="-2765.2618765212883"/>
    <n v="5636.5688183058464"/>
    <n v="0.4652059263571291"/>
    <n v="608.32266127052469"/>
    <n v="26.45"/>
    <n v="101602"/>
    <s v="FERTILIZANTE LIQUIDOS"/>
    <s v="SAO JOSE DO RIO PRETO"/>
    <s v="Fertilizers"/>
    <s v="Domestic"/>
    <s v="08/2026"/>
    <s v="2026"/>
  </r>
  <r>
    <n v="11"/>
    <x v="7"/>
    <n v="8187"/>
    <s v="AGROREP. REPRESENTACOES AGRICOLAS"/>
    <n v="8369"/>
    <s v="MT"/>
    <s v="SULFORCE IBC - 700 L - SOLUC?O ALTAMENTE CONCENTRADA EM ENXOFRE (60%) "/>
    <n v="274000"/>
    <n v="250284.32994767232"/>
    <n v="2419731.6409458239"/>
    <n v="-217766.97881550691"/>
    <n v="2201964.6621303167"/>
    <n v="-909630.47098281409"/>
    <n v="-225400.22547129044"/>
    <n v="-556320.35383231915"/>
    <n v="510613.61184389284"/>
    <n v="0.23189001196317732"/>
    <n v="8.831137375714686"/>
    <n v="9.6679310344827591"/>
    <n v="101602"/>
    <s v="FERTILIZANTE LIQUIDOS"/>
    <s v="SORRISO"/>
    <s v="Fertilizers"/>
    <s v="Domestic"/>
    <s v="08/2026"/>
    <s v="2026"/>
  </r>
  <r>
    <n v="11"/>
    <x v="7"/>
    <n v="11326"/>
    <s v="VEGA AGRO"/>
    <n v="8369"/>
    <s v="MG"/>
    <s v="SULFORCE IBC - 700 L - SOLUC?O ALTAMENTE CONCENTRADA EM ENXOFRE (60%) "/>
    <n v="1400"/>
    <n v="1278.8250435282528"/>
    <n v="12008.608132883235"/>
    <n v="-1080.7307176655038"/>
    <n v="10927.877415217732"/>
    <n v="-4647.7469320289765"/>
    <n v="0"/>
    <n v="-2772.9050680005876"/>
    <n v="3507.225415188168"/>
    <n v="0.32094296833016667"/>
    <n v="8.57757723777374"/>
    <n v="9.3903448275862083"/>
    <n v="101602"/>
    <s v="FERTILIZANTE LIQUIDOS"/>
    <s v="PATOS DE MINAS"/>
    <s v="Fertilizers"/>
    <s v="Domestic"/>
    <s v="08/2026"/>
    <s v="2026"/>
  </r>
  <r>
    <n v="11"/>
    <x v="7"/>
    <n v="16107"/>
    <s v="CONNTACTA AGRONEGOCIOS"/>
    <n v="8368"/>
    <s v="MG"/>
    <s v="SULFORCE - BB - 18 L SOLUC?O ALTAMENTE CONCENTRADA EM ENXOFRE (60%)"/>
    <n v="1000"/>
    <n v="16442.036273934678"/>
    <n v="181259.27575092818"/>
    <n v="-16312.670460901849"/>
    <n v="164946.60529002635"/>
    <n v="-57881.144469745217"/>
    <n v="-3968.7673764669912"/>
    <n v="-40917.754785361576"/>
    <n v="62178.938658452556"/>
    <n v="0.37696403966073172"/>
    <n v="181.25927575092817"/>
    <n v="11.024137931034485"/>
    <n v="101602"/>
    <s v="FERTILIZANTE LIQUIDOS"/>
    <s v="ALFENAS "/>
    <s v="Fertilizers"/>
    <s v="Domestic"/>
    <s v="08/2026"/>
    <s v="2026"/>
  </r>
  <r>
    <n v="11"/>
    <x v="7"/>
    <n v="11326"/>
    <s v="VEGA AGRO"/>
    <n v="8368"/>
    <s v="MG"/>
    <s v="SULFORCE - BB - 18 L SOLUC?O ALTAMENTE CONCENTRADA EM ENXOFRE (60%)"/>
    <n v="84"/>
    <n v="1381.1310470105129"/>
    <n v="14842.39623451125"/>
    <n v="-1335.7612603308262"/>
    <n v="13506.634974180424"/>
    <n v="-4862.016135458598"/>
    <n v="0"/>
    <n v="-3361.7429700270759"/>
    <n v="5282.8758686947504"/>
    <n v="0.39113190508173279"/>
    <n v="176.69519326799107"/>
    <n v="10.746551724137928"/>
    <n v="101602"/>
    <s v="FERTILIZANTE LIQUIDOS"/>
    <s v="PATOS DE MINAS"/>
    <s v="Fertilizers"/>
    <s v="Domestic"/>
    <s v="08/2026"/>
    <s v="2026"/>
  </r>
  <r>
    <n v="11"/>
    <x v="7"/>
    <n v="15905"/>
    <s v="CAMPEVO - ITAPETININGA"/>
    <n v="13004"/>
    <s v="SP"/>
    <s v="BIOSINERGIC K - BB - 20L PRODUTO A BASE DE EXTRATO DE ALGAS E ACIDOS HUMICOS"/>
    <n v="23"/>
    <n v="528.97622719176059"/>
    <n v="13991.421209222068"/>
    <n v="-1324.3932158137472"/>
    <n v="12667.027993408321"/>
    <n v="-3740.29315686574"/>
    <n v="-143.00274649602875"/>
    <n v="-2892.3031344318156"/>
    <n v="5891.428955614736"/>
    <n v="0.46509954495091688"/>
    <n v="608.32266127052469"/>
    <n v="26.45"/>
    <n v="101602"/>
    <s v="FERTILIZANTE LIQUIDOS"/>
    <s v="ITAPETININGA"/>
    <s v="Fertilizers"/>
    <s v="Domestic"/>
    <s v="08/2026"/>
    <s v="2026"/>
  </r>
  <r>
    <n v="11"/>
    <x v="7"/>
    <n v="15904"/>
    <s v="CAMPEVO - JALES"/>
    <n v="8368"/>
    <s v="SP"/>
    <s v="SULFORCE - BB - 18 L SOLUC?O ALTAMENTE CONCENTRADA EM ENXOFRE (60%)"/>
    <n v="170"/>
    <n v="2795.1461665688953"/>
    <n v="30814.076877657786"/>
    <n v="-2773.1539783533144"/>
    <n v="28040.922899304471"/>
    <n v="-9839.7945598566876"/>
    <n v="-755.63618576813087"/>
    <n v="-6957.5575843536681"/>
    <n v="10487.934569325986"/>
    <n v="0.37402244594403594"/>
    <n v="181.25927575092814"/>
    <n v="11.024137931034483"/>
    <n v="101602"/>
    <s v="FERTILIZANTE LIQUIDOS"/>
    <s v="JALES"/>
    <s v="Fertilizers"/>
    <s v="Domestic"/>
    <s v="08/2026"/>
    <s v="2026"/>
  </r>
  <r>
    <n v="11"/>
    <x v="7"/>
    <n v="15917"/>
    <s v="MINAS FARM"/>
    <n v="8301"/>
    <s v="MG"/>
    <s v="BIOSINERGIC - BB - 20L PRODUTO A BASE DE EXTRATO DE ALGAS E ACIDOS HUMICOS"/>
    <n v="15"/>
    <n v="344.98449599462646"/>
    <n v="9124.8399190578693"/>
    <n v="-900.06114429538013"/>
    <n v="8224.7787747624898"/>
    <n v="-2527.6818007608094"/>
    <n v="-83.27211972284087"/>
    <n v="-1884.4579489835705"/>
    <n v="3729.3669052952691"/>
    <n v="0.4534306645108474"/>
    <n v="608.32266127052458"/>
    <n v="26.45"/>
    <n v="101602"/>
    <s v="FERTILIZANTE LIQUIDOS"/>
    <s v="UBERLANDIA"/>
    <s v="Fertilizers"/>
    <s v="Domestic"/>
    <s v="08/2026"/>
    <s v="2026"/>
  </r>
  <r>
    <n v="11"/>
    <x v="7"/>
    <n v="15858"/>
    <s v="SAGRA - SANTA JULIANA"/>
    <n v="8368"/>
    <s v="MG"/>
    <s v="SULFORCE - BB - 18 L SOLUC?O ALTAMENTE CONCENTRADA EM ENXOFRE (60%)"/>
    <n v="490"/>
    <n v="8056.597774227992"/>
    <n v="86580.644701315643"/>
    <n v="-7791.9406852631537"/>
    <n v="78788.704016052492"/>
    <n v="-28361.760790175158"/>
    <n v="0"/>
    <n v="-19610.167325157949"/>
    <n v="30816.775900719382"/>
    <n v="0.39113190508173279"/>
    <n v="176.6951932679911"/>
    <n v="10.74655172413793"/>
    <n v="101602"/>
    <s v="FERTILIZANTE LIQUIDOS"/>
    <s v="SANTA JULIANA"/>
    <s v="Fertilizers"/>
    <s v="Domestic"/>
    <s v="08/2026"/>
    <s v="2026"/>
  </r>
  <r>
    <n v="11"/>
    <x v="7"/>
    <n v="8187"/>
    <s v="AGROREP. REPRESENTACOES AGRICOLAS"/>
    <n v="8301"/>
    <s v="MT"/>
    <s v="BIOSINERGIC - BB - 20L PRODUTO A BASE DE EXTRATO DE ALGAS E ACIDOS HUMICOS"/>
    <n v="180"/>
    <n v="4139.8139519355173"/>
    <n v="109498.07902869442"/>
    <n v="-10800.733731544562"/>
    <n v="98697.345297149863"/>
    <n v="-30332.181609129711"/>
    <n v="-3728.2198145227417"/>
    <n v="-22599.630450384579"/>
    <n v="42037.313423112835"/>
    <n v="0.42592141963444247"/>
    <n v="608.32266127052458"/>
    <n v="26.45"/>
    <n v="101602"/>
    <s v="FERTILIZANTE LIQUIDOS"/>
    <s v="SORRISO"/>
    <s v="Fertilizers"/>
    <s v="Domestic"/>
    <s v="08/2026"/>
    <s v="2026"/>
  </r>
  <r>
    <n v="11"/>
    <x v="7"/>
    <n v="13773"/>
    <s v="FERTLIZE AGRO"/>
    <n v="8301"/>
    <s v="MG"/>
    <s v="BIOSINERGIC - BB - 20L PRODUTO A BASE DE EXTRATO DE ALGAS E ACIDOS HUMICOS"/>
    <n v="5"/>
    <n v="114.99483199820881"/>
    <n v="3041.6133063526231"/>
    <n v="-297.15681084272524"/>
    <n v="2744.4564955098976"/>
    <n v="-842.56060025360307"/>
    <n v="0"/>
    <n v="-627.67111198028158"/>
    <n v="1274.2247832760131"/>
    <n v="0.46429039241858067"/>
    <n v="608.32266127052458"/>
    <n v="26.45"/>
    <n v="101602"/>
    <s v="FERTILIZANTE LIQUIDOS"/>
    <s v="CRUZEIRO DA FORTALEZA"/>
    <s v="Fertilizers"/>
    <s v="Domestic"/>
    <s v="08/2026"/>
    <s v="2026"/>
  </r>
  <r>
    <n v="11"/>
    <x v="7"/>
    <n v="15908"/>
    <s v="CAMPEVO - S?O JOSE DO RIO PRETO"/>
    <n v="8368"/>
    <s v="SP"/>
    <s v="SULFORCE - BB - 18 L SOLUC?O ALTAMENTE CONCENTRADA EM ENXOFRE (60%)"/>
    <n v="170"/>
    <n v="2795.1461665688953"/>
    <n v="30814.076877657786"/>
    <n v="-2773.1539783533144"/>
    <n v="28040.922899304471"/>
    <n v="-9839.7945598566876"/>
    <n v="-755.63618576813087"/>
    <n v="-6957.5575843536681"/>
    <n v="10487.934569325986"/>
    <n v="0.37402244594403594"/>
    <n v="181.25927575092814"/>
    <n v="11.024137931034483"/>
    <n v="101602"/>
    <s v="FERTILIZANTE LIQUIDOS"/>
    <s v="SAO JOSE DO RIO PRETO"/>
    <s v="Fertilizers"/>
    <s v="Domestic"/>
    <s v="08/2026"/>
    <s v="2026"/>
  </r>
  <r>
    <n v="11"/>
    <x v="7"/>
    <n v="903"/>
    <s v="YARA - PONTA GROSSA"/>
    <n v="4627"/>
    <s v="PR"/>
    <s v="COAT BIO GR ADITIVO ANTI-PO P/ FERTILIZANTES"/>
    <n v="45000"/>
    <n v="45000"/>
    <n v="386029.5564195044"/>
    <n v="-46170"/>
    <n v="339859.5564195044"/>
    <n v="-224635.08857142855"/>
    <n v="-17720.945424000001"/>
    <n v="-8.0669077605295616"/>
    <n v="97495.455516315313"/>
    <n v="0.28686983689219014"/>
    <n v="8.578434587100098"/>
    <n v="8.578434587100098"/>
    <n v="102200"/>
    <s v="COAT BIO"/>
    <s v="PONTA GROSSA"/>
    <s v="Additives"/>
    <s v="Domestic"/>
    <s v="08/2026"/>
    <s v="2026"/>
  </r>
  <r>
    <n v="11"/>
    <x v="7"/>
    <n v="1159"/>
    <s v="YARA - RIO GRANDE"/>
    <n v="4627"/>
    <s v="RS"/>
    <s v="COAT BIO GR ADITIVO ANTI-PO P/ FERTILIZANTES"/>
    <n v="270000"/>
    <n v="270000"/>
    <n v="2451626.3056817646"/>
    <n v="-293220"/>
    <n v="2158406.3056817646"/>
    <n v="-1347810.5314285713"/>
    <n v="-219794.44500000001"/>
    <n v="-100.05456659724702"/>
    <n v="590701.27468659601"/>
    <n v="0.27367473544329468"/>
    <n v="9.0800974284509799"/>
    <n v="9.0800974284509799"/>
    <n v="102200"/>
    <s v="COAT BIO"/>
    <s v="RIO GRANDE"/>
    <s v="Additives"/>
    <s v="Domestic"/>
    <s v="08/2026"/>
    <s v="2026"/>
  </r>
  <r>
    <n v="11"/>
    <x v="7"/>
    <n v="2011"/>
    <s v="FERTGROW S.A"/>
    <n v="12813"/>
    <s v="MA"/>
    <s v="COATMAX BMZ 3313 - MICRONUTRIENTE LIQUIDO"/>
    <n v="120000"/>
    <n v="120000"/>
    <n v="1348200.4121922581"/>
    <n v="-52512"/>
    <n v="1295688.4121922581"/>
    <n v="-534671.14199999999"/>
    <n v="-105846.10919999999"/>
    <n v="-48.183140306438951"/>
    <n v="655122.97785195173"/>
    <n v="0.50561768685073538"/>
    <n v="11.235003434935484"/>
    <n v="11.235003434935484"/>
    <n v="102300"/>
    <s v="COAT MAX"/>
    <s v="SAO LUIS"/>
    <s v="Additives"/>
    <s v="Domestic"/>
    <s v="08/2026"/>
    <s v="2026"/>
  </r>
  <r>
    <n v="11"/>
    <x v="7"/>
    <n v="139"/>
    <s v="COMIGO - RIO VERDE"/>
    <n v="14190"/>
    <s v="GO"/>
    <s v="COATMAX BMZC 3662 IBC - MICRONUTRIENTE LIQUIDO"/>
    <n v="100000"/>
    <n v="100000"/>
    <n v="815410.6697750251"/>
    <n v="-31760"/>
    <n v="783650.6697750251"/>
    <n v="-444441.07999999996"/>
    <n v="-18962.657999999999"/>
    <n v="-8.6321586868213114"/>
    <n v="320238.29961633834"/>
    <n v="0.40864930251163334"/>
    <n v="8.154106697750251"/>
    <n v="8.154106697750251"/>
    <n v="102300"/>
    <s v="COAT MAX"/>
    <s v="RIO VERDE"/>
    <s v="Additives"/>
    <s v="Domestic"/>
    <s v="08/2026"/>
    <s v="2026"/>
  </r>
  <r>
    <n v="11"/>
    <x v="7"/>
    <n v="97"/>
    <s v="FECOAGRO - SAO FRANCISCO DO SUL"/>
    <n v="13600"/>
    <s v="SC"/>
    <s v="COATMAX BMZC 3663 - MICRONUTRIENTE LIQUIDO"/>
    <n v="210000"/>
    <n v="210000"/>
    <n v="1940964.944426697"/>
    <n v="-75600"/>
    <n v="1865364.944426697"/>
    <n v="-1203510.33"/>
    <n v="-117654.67349999999"/>
    <n v="-53.558620943232221"/>
    <n v="544146.38230575365"/>
    <n v="0.29171041512897739"/>
    <n v="9.2426902115557006"/>
    <n v="9.2426902115557006"/>
    <n v="102300"/>
    <s v="COAT MAX"/>
    <s v="SAO FRANCISCO DO SUL"/>
    <s v="Additives"/>
    <s v="Domestic"/>
    <s v="08/2026"/>
    <s v="2026"/>
  </r>
  <r>
    <n v="11"/>
    <x v="7"/>
    <n v="5695"/>
    <s v="CAMPO RICO - SANTAREM"/>
    <n v="12813"/>
    <s v="PA"/>
    <s v="COATMAX BMZ 3313 - MICRONUTRIENTE LIQUIDO"/>
    <n v="80000"/>
    <n v="80000"/>
    <n v="821572.4632493956"/>
    <n v="-32000"/>
    <n v="789572.4632493956"/>
    <n v="-356447.42800000007"/>
    <n v="-80971.733606399997"/>
    <n v="-36.859856547403162"/>
    <n v="352116.44178644818"/>
    <n v="0.44595836123432298"/>
    <n v="10.269655790617445"/>
    <n v="10.269655790617445"/>
    <n v="102300"/>
    <s v="COAT MAX"/>
    <s v="SANTAREM"/>
    <s v="Additives"/>
    <s v="Domestic"/>
    <s v="08/2026"/>
    <s v="2026"/>
  </r>
  <r>
    <n v="11"/>
    <x v="7"/>
    <n v="8414"/>
    <s v="AMAGGI - PORTO VELHO"/>
    <n v="7398"/>
    <s v="RO"/>
    <s v="SUPERSELEN ADITIVO ANTI PO P/ FERTILIZANTES"/>
    <n v="32000"/>
    <n v="32000"/>
    <n v="75520"/>
    <n v="-5286.4000000000005"/>
    <n v="70233.600000000006"/>
    <n v="-20310.074160583943"/>
    <n v="-26141.536511999999"/>
    <n v="-11.900119249575521"/>
    <n v="23770.08920816649"/>
    <n v="0.33844326943466502"/>
    <n v="2.36"/>
    <n v="2.36"/>
    <n v="102600"/>
    <s v="SUPERSELEN"/>
    <s v="PORTO VELHO"/>
    <s v="Additives"/>
    <s v="Domestic"/>
    <s v="08/2026"/>
    <s v="2026"/>
  </r>
  <r>
    <n v="11"/>
    <x v="7"/>
    <n v="139"/>
    <s v="COMIGO - RIO VERDE"/>
    <n v="14154"/>
    <s v="GO"/>
    <s v="SUPERSELEN IBC ADITIVO ANTI PO P/ FERTILIZANTES"/>
    <n v="30000"/>
    <n v="30000"/>
    <n v="48600"/>
    <n v="-3402.0000000000005"/>
    <n v="45198"/>
    <n v="-34437.555555555555"/>
    <n v="-5688.7973999999995"/>
    <n v="-2.5896476060463933"/>
    <n v="5069.0573968383997"/>
    <n v="0.11215225002961192"/>
    <n v="1.62"/>
    <n v="1.62"/>
    <n v="102600"/>
    <s v="SUPERSELEN"/>
    <s v="RIO VERDE"/>
    <s v="Additives"/>
    <s v="Domestic"/>
    <s v="08/2026"/>
    <s v="2026"/>
  </r>
  <r>
    <n v="11"/>
    <x v="7"/>
    <n v="8855"/>
    <s v="TERMAG - GUARUJA"/>
    <n v="7398"/>
    <s v="SP"/>
    <s v="SUPERSELEN ADITIVO ANTI PO P/ FERTILIZANTES"/>
    <n v="90000"/>
    <n v="90000"/>
    <n v="221400"/>
    <n v="-26568"/>
    <n v="194832"/>
    <n v="-57122.083576642333"/>
    <n v="-39136.896489599996"/>
    <n v="-17.815851607297201"/>
    <n v="98555.204082150376"/>
    <n v="0.50584710972607361"/>
    <n v="2.46"/>
    <n v="2.46"/>
    <n v="102600"/>
    <s v="SUPERSELEN"/>
    <s v="GUARUJA"/>
    <s v="Additives"/>
    <s v="Domestic"/>
    <s v="08/2026"/>
    <s v="2026"/>
  </r>
  <r>
    <n v="11"/>
    <x v="7"/>
    <n v="8413"/>
    <s v="AMAGGI - SINOP"/>
    <n v="7398"/>
    <s v="MT"/>
    <s v="SUPERSELEN ADITIVO ANTI PO P/ FERTILIZANTES"/>
    <n v="32000"/>
    <n v="32000"/>
    <n v="66240"/>
    <n v="-4636.8"/>
    <n v="61603.199999999997"/>
    <n v="-20310.074160583943"/>
    <n v="-23352.800640000001"/>
    <n v="-10.63063421310358"/>
    <n v="17929.69456520295"/>
    <n v="0.29105135066364979"/>
    <n v="2.0699999999999998"/>
    <n v="2.0699999999999998"/>
    <n v="102600"/>
    <s v="SUPERSELEN"/>
    <s v="SINOP"/>
    <s v="Additives"/>
    <s v="Domestic"/>
    <s v="08/2026"/>
    <s v="2026"/>
  </r>
  <r>
    <n v="11"/>
    <x v="7"/>
    <n v="7745"/>
    <s v="LOUIS DREYFUS - NOVA MUTUM"/>
    <n v="14154"/>
    <s v="MT"/>
    <s v="SUPERSELEN IBC ADITIVO ANTI PO P/ FERTILIZANTES"/>
    <n v="24000"/>
    <n v="24000"/>
    <n v="68160"/>
    <n v="-4771.2000000000007"/>
    <n v="63388.800000000003"/>
    <n v="-27550.044444444444"/>
    <n v="-15604.486410239999"/>
    <n v="-7.1034557982081576"/>
    <n v="20227.165689517351"/>
    <n v="0.31909683870837358"/>
    <n v="2.84"/>
    <n v="2.84"/>
    <n v="102600"/>
    <s v="SUPERSELEN"/>
    <s v="NOVA MUTUM"/>
    <s v="Additives"/>
    <s v="Domestic"/>
    <s v="08/2026"/>
    <s v="2026"/>
  </r>
  <r>
    <n v="11"/>
    <x v="7"/>
    <n v="1953"/>
    <s v="AMAGGI - COMODORO"/>
    <n v="7398"/>
    <s v="MT"/>
    <s v="SUPERSELEN ADITIVO ANTI PO P/ FERTILIZANTES"/>
    <n v="120000"/>
    <n v="120000"/>
    <n v="250800"/>
    <n v="-17556"/>
    <n v="233244"/>
    <n v="-76162.778102189783"/>
    <n v="-83753.461209599991"/>
    <n v="-38.126151288063113"/>
    <n v="73289.634536922182"/>
    <n v="0.31421873461663402"/>
    <n v="2.09"/>
    <n v="2.09"/>
    <n v="102600"/>
    <s v="SUPERSELEN"/>
    <s v="COMODORO"/>
    <s v="Additives"/>
    <s v="Domestic"/>
    <s v="08/2026"/>
    <s v="2026"/>
  </r>
  <r>
    <n v="11"/>
    <x v="8"/>
    <n v="6370"/>
    <s v="YTL S.A. - PARAGUAI"/>
    <n v="4067"/>
    <s v="EX"/>
    <s v="DUSTPROTEC BLACK PLUS ADITIVO ANTI PO P/ FERTILIZANTES"/>
    <n v="30000"/>
    <n v="30000"/>
    <n v="154200"/>
    <n v="0"/>
    <n v="154200"/>
    <n v="-46026.96"/>
    <n v="-30471.7248"/>
    <n v="-4897.0516847163644"/>
    <n v="72804.263515283645"/>
    <n v="0.47214178673984203"/>
    <n v="5.14"/>
    <n v="5.14"/>
    <n v="100100"/>
    <s v="START ANTIDUSTING"/>
    <s v="ITAPUA"/>
    <s v="Additives"/>
    <s v="International"/>
    <s v="09/2026"/>
    <s v="2026"/>
  </r>
  <r>
    <n v="11"/>
    <x v="8"/>
    <n v="16921"/>
    <s v="FERTIBAS FERTILIZANTES"/>
    <n v="1"/>
    <s v="RS"/>
    <s v="START ANTIDUSTING KG ADITIVO ANTI PO P/ FERTILIZANTES"/>
    <n v="30000"/>
    <n v="30000"/>
    <n v="90000"/>
    <n v="-10800"/>
    <n v="79200"/>
    <n v="-20072.02166666666"/>
    <n v="-24191.754599999997"/>
    <n v="-181.77814514829964"/>
    <n v="34754.445588185044"/>
    <n v="0.43881875742657883"/>
    <n v="3"/>
    <n v="3"/>
    <n v="100100"/>
    <s v="START ANTIDUSTING"/>
    <s v="CANOAS"/>
    <s v="Additives"/>
    <s v="Domestic"/>
    <s v="09/2026"/>
    <s v="2026"/>
  </r>
  <r>
    <n v="11"/>
    <x v="8"/>
    <n v="30"/>
    <s v="FAZENDA RIO BRILHANTE"/>
    <n v="1"/>
    <s v="MG"/>
    <s v="START ANTIDUSTING KG ADITIVO ANTI PO P/ FERTILIZANTES"/>
    <n v="30000"/>
    <n v="30000"/>
    <n v="73500"/>
    <n v="-13230"/>
    <n v="60270"/>
    <n v="-20072.02166666666"/>
    <n v="-4901.5380959999993"/>
    <n v="-36.830420868464344"/>
    <n v="35259.609816464879"/>
    <n v="0.58502753967919163"/>
    <n v="2.4500000000000002"/>
    <n v="2.4500000000000002"/>
    <n v="100100"/>
    <s v="START ANTIDUSTING"/>
    <s v="COROMANDEL"/>
    <s v="Additives"/>
    <s v="Domestic"/>
    <s v="09/2026"/>
    <s v="2026"/>
  </r>
  <r>
    <n v="11"/>
    <x v="8"/>
    <n v="97"/>
    <s v="FECOAGRO - SAO FRANCISCO DO SUL"/>
    <n v="148"/>
    <s v="SC"/>
    <s v="START ANTIDUSTING BLACK ADITIVO ANTI PO P/ FERTILIZANTES"/>
    <n v="32000"/>
    <n v="32000"/>
    <n v="112000"/>
    <n v="-13440"/>
    <n v="98560"/>
    <n v="-21755.348940092164"/>
    <n v="-17928.331200000001"/>
    <n v="-134.71444486049762"/>
    <n v="58741.605415047336"/>
    <n v="0.59599843156500953"/>
    <n v="3.5"/>
    <n v="3.5"/>
    <n v="100100"/>
    <s v="START ANTIDUSTING"/>
    <s v="SAO FRANCISCO DO SUL"/>
    <s v="Additives"/>
    <s v="Domestic"/>
    <s v="09/2026"/>
    <s v="2026"/>
  </r>
  <r>
    <n v="11"/>
    <x v="8"/>
    <n v="1936"/>
    <s v="CIBRA - PARANAGUA II"/>
    <n v="4"/>
    <s v="PR"/>
    <s v="START ANTIDUSTING G37 ADITIVO ANTI PO P/ FERTILIZANTES"/>
    <n v="40000"/>
    <n v="40000"/>
    <n v="159600"/>
    <n v="-19152"/>
    <n v="140448"/>
    <n v="-39150.005333333334"/>
    <n v="0"/>
    <n v="0"/>
    <n v="101297.99466666667"/>
    <n v="0.7212491076175287"/>
    <n v="3.99"/>
    <n v="3.99"/>
    <n v="100100"/>
    <s v="START ANTIDUSTING"/>
    <s v="PARANAGUA"/>
    <s v="Additives"/>
    <s v="Domestic"/>
    <s v="09/2026"/>
    <s v="2026"/>
  </r>
  <r>
    <n v="11"/>
    <x v="8"/>
    <n v="1874"/>
    <s v="FERTILIZ. TOCANTINS - BARCARENA"/>
    <n v="148"/>
    <s v="PA"/>
    <s v="START ANTIDUSTING BLACK ADITIVO ANTI PO P/ FERTILIZANTES"/>
    <n v="60000"/>
    <n v="60000"/>
    <n v="168600"/>
    <n v="-11802.000000000002"/>
    <n v="156798"/>
    <n v="-40791.279262672811"/>
    <n v="-53957.381399999998"/>
    <n v="-405.43866578207457"/>
    <n v="61643.900671545111"/>
    <n v="0.39314213619781574"/>
    <n v="2.81"/>
    <n v="2.81"/>
    <n v="100100"/>
    <s v="START ANTIDUSTING"/>
    <s v="BARCARENA "/>
    <s v="Additives"/>
    <s v="Domestic"/>
    <s v="09/2026"/>
    <s v="2026"/>
  </r>
  <r>
    <n v="11"/>
    <x v="8"/>
    <n v="7024"/>
    <s v="MOSAIC - SORRISO"/>
    <n v="1043"/>
    <s v="MT"/>
    <s v="START ANTIDUSTING SC AD ADITIVO ANTI PO P/ FERTILIZANTES"/>
    <n v="30000"/>
    <n v="30000"/>
    <n v="68400"/>
    <n v="-4788.0000000000009"/>
    <n v="63612"/>
    <n v="-11608.413527851459"/>
    <n v="-21002.580299999998"/>
    <n v="-157.81451793753806"/>
    <n v="30843.191654211005"/>
    <n v="0.4848643597782023"/>
    <n v="2.2799999999999998"/>
    <n v="2.2799999999999998"/>
    <n v="100100"/>
    <s v="START ANTIDUSTING"/>
    <s v="SORRISO"/>
    <s v="Additives"/>
    <s v="Domestic"/>
    <s v="09/2026"/>
    <s v="2026"/>
  </r>
  <r>
    <n v="11"/>
    <x v="8"/>
    <n v="2603"/>
    <s v="MOSAIC - S?O LUIS"/>
    <n v="1043"/>
    <s v="MA"/>
    <s v="START ANTIDUSTING SC AD ADITIVO ANTI PO P/ FERTILIZANTES"/>
    <n v="60000"/>
    <n v="60000"/>
    <n v="147600"/>
    <n v="-10332.000000000002"/>
    <n v="137268"/>
    <n v="-23216.827055702917"/>
    <n v="0"/>
    <n v="0"/>
    <n v="114051.17294429708"/>
    <n v="0.83086497176543028"/>
    <n v="2.46"/>
    <n v="2.46"/>
    <n v="100100"/>
    <s v="START ANTIDUSTING"/>
    <s v="SAO LUIS"/>
    <s v="Additives"/>
    <s v="Domestic"/>
    <s v="09/2026"/>
    <s v="2026"/>
  </r>
  <r>
    <n v="11"/>
    <x v="8"/>
    <n v="1462"/>
    <s v="AURORA MINERAC?O LTDA"/>
    <n v="1042"/>
    <s v="SP"/>
    <s v="START ANTIDUSTING KG AD ADITIVO ANTI PO P/ FERTILIZANTES"/>
    <n v="90000"/>
    <n v="90000"/>
    <n v="150300"/>
    <n v="-18036"/>
    <n v="132264"/>
    <n v="-48208.384999999995"/>
    <n v="0"/>
    <n v="0"/>
    <n v="84055.615000000005"/>
    <n v="0.63551393425270675"/>
    <n v="1.67"/>
    <n v="1.67"/>
    <n v="100100"/>
    <s v="START ANTIDUSTING"/>
    <s v="IPEUNA"/>
    <s v="Additives"/>
    <s v="Domestic"/>
    <s v="09/2026"/>
    <s v="2026"/>
  </r>
  <r>
    <n v="11"/>
    <x v="8"/>
    <n v="2809"/>
    <s v="CISBRA QUIMICA - FORMOSA"/>
    <n v="1043"/>
    <s v="GO"/>
    <s v="START ANTIDUSTING SC AD ADITIVO ANTI PO P/ FERTILIZANTES"/>
    <n v="30000"/>
    <n v="30000"/>
    <n v="55500"/>
    <n v="-3885.0000000000005"/>
    <n v="51615"/>
    <n v="-11608.413527851459"/>
    <n v="-7786.1822999999995"/>
    <n v="-58.50579255960713"/>
    <n v="32161.898379588933"/>
    <n v="0.62311146720118049"/>
    <n v="1.85"/>
    <n v="1.85"/>
    <n v="100100"/>
    <s v="START ANTIDUSTING"/>
    <s v="FORMOSA"/>
    <s v="Additives"/>
    <s v="Domestic"/>
    <s v="09/2026"/>
    <s v="2026"/>
  </r>
  <r>
    <n v="11"/>
    <x v="8"/>
    <n v="7022"/>
    <s v="MOSAIC - ROSARIO DO CATETE"/>
    <n v="1043"/>
    <s v="SE"/>
    <s v="START ANTIDUSTING SC AD ADITIVO ANTI PO P/ FERTILIZANTES"/>
    <n v="120000"/>
    <n v="120000"/>
    <n v="289200"/>
    <n v="-20244.000000000004"/>
    <n v="268956"/>
    <n v="-46433.654111405835"/>
    <n v="-100846.0043136"/>
    <n v="-757.76230012450753"/>
    <n v="120918.57927486965"/>
    <n v="0.44958498518296547"/>
    <n v="2.41"/>
    <n v="2.41"/>
    <n v="100100"/>
    <s v="START ANTIDUSTING"/>
    <s v="ROSARIO DO CATETE"/>
    <s v="Additives"/>
    <s v="Domestic"/>
    <s v="09/2026"/>
    <s v="2026"/>
  </r>
  <r>
    <n v="11"/>
    <x v="8"/>
    <n v="31"/>
    <s v="SUL GOIANA - GOIATUBA"/>
    <n v="1042"/>
    <s v="GO"/>
    <s v="START ANTIDUSTING KG AD ADITIVO ANTI PO P/ FERTILIZANTES"/>
    <n v="60000"/>
    <n v="60000"/>
    <n v="120000"/>
    <n v="-8400"/>
    <n v="111600"/>
    <n v="-32138.923333333329"/>
    <n v="-7010.4371999999994"/>
    <n v="-52.676802156989453"/>
    <n v="72397.962664509687"/>
    <n v="0.64872726401890402"/>
    <n v="2"/>
    <n v="2"/>
    <n v="100100"/>
    <s v="START ANTIDUSTING"/>
    <s v="GOIATUBA"/>
    <s v="Additives"/>
    <s v="Domestic"/>
    <s v="09/2026"/>
    <s v="2026"/>
  </r>
  <r>
    <n v="11"/>
    <x v="8"/>
    <n v="210"/>
    <s v="SUPERFERTIL FERTILIZANTES - PATROCINIO"/>
    <n v="14133"/>
    <s v="MG"/>
    <s v="START ANTIDUSTING SC AD IBC ADITIVO ANTI PO P/ FERTILIZANTES"/>
    <n v="1000"/>
    <n v="1000"/>
    <n v="2900"/>
    <n v="-522"/>
    <n v="2378"/>
    <n v="-1183.4637142857139"/>
    <n v="-246.33370944000001"/>
    <n v="-1.8509647410817982"/>
    <n v="946.35161153320428"/>
    <n v="0.39796114866829446"/>
    <n v="2.9"/>
    <n v="2.9"/>
    <n v="100100"/>
    <s v="START ANTIDUSTING"/>
    <s v="PATROCINIO"/>
    <s v="Additives"/>
    <s v="Domestic"/>
    <s v="09/2026"/>
    <s v="2026"/>
  </r>
  <r>
    <n v="11"/>
    <x v="8"/>
    <n v="5731"/>
    <s v="FERTILIZANTES ALIANCA - APARECIDA DE GOI"/>
    <n v="14133"/>
    <s v="GO"/>
    <s v="START ANTIDUSTING SC AD IBC ADITIVO ANTI PO P/ FERTILIZANTES"/>
    <n v="6000"/>
    <n v="6000"/>
    <n v="16200"/>
    <n v="-1134"/>
    <n v="15066"/>
    <n v="-7100.7822857142837"/>
    <n v="-2558.8542470399998"/>
    <n v="-19.227368432870104"/>
    <n v="5387.1360988128463"/>
    <n v="0.35756910253636309"/>
    <n v="2.7"/>
    <n v="2.7"/>
    <n v="100100"/>
    <s v="START ANTIDUSTING"/>
    <s v="APARECIDA DE GOIANIA"/>
    <s v="Additives"/>
    <s v="Domestic"/>
    <s v="09/2026"/>
    <s v="2026"/>
  </r>
  <r>
    <n v="11"/>
    <x v="8"/>
    <n v="2975"/>
    <s v="COONAGRO COOPERATIVA - PARANAGUA"/>
    <n v="4"/>
    <s v="PR"/>
    <s v="START ANTIDUSTING G37 ADITIVO ANTI PO P/ FERTILIZANTES"/>
    <n v="35000"/>
    <n v="35000"/>
    <n v="139650"/>
    <n v="-16758"/>
    <n v="122892"/>
    <n v="-34256.254666666675"/>
    <n v="-16391.20665"/>
    <n v="-123.1644083219774"/>
    <n v="72121.374275011345"/>
    <n v="0.58686793505689017"/>
    <n v="3.99"/>
    <n v="3.99"/>
    <n v="100100"/>
    <s v="START ANTIDUSTING"/>
    <s v="PARANAGUA"/>
    <s v="Additives"/>
    <s v="Domestic"/>
    <s v="09/2026"/>
    <s v="2026"/>
  </r>
  <r>
    <n v="11"/>
    <x v="8"/>
    <n v="4577"/>
    <s v="MICROSOLO INDUSTRIAL"/>
    <n v="1"/>
    <s v="MG"/>
    <s v="START ANTIDUSTING KG ADITIVO ANTI PO P/ FERTILIZANTES"/>
    <n v="30000"/>
    <n v="30000"/>
    <n v="69600"/>
    <n v="-6438"/>
    <n v="63162"/>
    <n v="-20072.02166666666"/>
    <n v="-10004.1649344"/>
    <n v="-75.171833362301598"/>
    <n v="33010.641565571044"/>
    <n v="0.52263452021106116"/>
    <n v="2.3199999999999998"/>
    <n v="2.3199999999999998"/>
    <n v="100100"/>
    <s v="START ANTIDUSTING"/>
    <s v="SETE LAGOAS"/>
    <s v="Additives"/>
    <s v="Domestic"/>
    <s v="09/2026"/>
    <s v="2026"/>
  </r>
  <r>
    <n v="11"/>
    <x v="8"/>
    <n v="11133"/>
    <s v="ADUBOS ARAGUAIA - PARANAGUA"/>
    <n v="1"/>
    <s v="PR"/>
    <s v="START ANTIDUSTING KG ADITIVO ANTI PO P/ FERTILIZANTES"/>
    <n v="15000"/>
    <n v="15000"/>
    <n v="38400"/>
    <n v="-4608"/>
    <n v="33792"/>
    <n v="-10036.01083333333"/>
    <n v="-10935.990696618001"/>
    <n v="-82.173622255174578"/>
    <n v="12737.824847793494"/>
    <n v="0.37694794175525254"/>
    <n v="2.56"/>
    <n v="2.56"/>
    <n v="100100"/>
    <s v="START ANTIDUSTING"/>
    <s v="PARANAGUA"/>
    <s v="Additives"/>
    <s v="Domestic"/>
    <s v="09/2026"/>
    <s v="2026"/>
  </r>
  <r>
    <n v="11"/>
    <x v="8"/>
    <n v="7102"/>
    <s v="MOSAIC RONDONOPOLIS"/>
    <n v="1043"/>
    <s v="MT"/>
    <s v="START ANTIDUSTING SC AD ADITIVO ANTI PO P/ FERTILIZANTES"/>
    <n v="90000"/>
    <n v="90000"/>
    <n v="183600"/>
    <n v="-12852.000000000002"/>
    <n v="170748"/>
    <n v="-34825.240583554369"/>
    <n v="-35942.856299999999"/>
    <n v="-270.07655532128609"/>
    <n v="99709.826561124341"/>
    <n v="0.58395897205896607"/>
    <n v="2.04"/>
    <n v="2.04"/>
    <n v="100100"/>
    <s v="START ANTIDUSTING"/>
    <s v="RONDONOPOLIS"/>
    <s v="Additives"/>
    <s v="Domestic"/>
    <s v="09/2026"/>
    <s v="2026"/>
  </r>
  <r>
    <n v="11"/>
    <x v="8"/>
    <n v="2696"/>
    <s v="MOSAIC FERTILIZANTES PARAGUAY S.R.L."/>
    <n v="3245"/>
    <s v="EX"/>
    <s v="DUSTPROTEC SC - ADITIVO ANTI-PO P/ FERTILIZANTES GRANULADOS"/>
    <n v="30000"/>
    <n v="30000"/>
    <n v="93810"/>
    <n v="0"/>
    <n v="93810"/>
    <n v="-14216.720000000001"/>
    <n v="-27051.200000000012"/>
    <n v="-4871.3496774060823"/>
    <n v="47670.730322593903"/>
    <n v="0.50816256606538646"/>
    <n v="3.1269999999999998"/>
    <n v="3.1269999999999998"/>
    <n v="100100"/>
    <s v="START ANTIDUSTING"/>
    <s v="ASSUNCION"/>
    <s v="Additives"/>
    <s v="International"/>
    <s v="09/2026"/>
    <s v="2026"/>
  </r>
  <r>
    <n v="11"/>
    <x v="8"/>
    <n v="2563"/>
    <s v="N?O CLIENTE - ADUBOS REAL - POUSO ALEGRE"/>
    <n v="1043"/>
    <s v="MG"/>
    <s v="START ANTIDUSTING SC AD ADITIVO ANTI PO P/ FERTILIZANTES"/>
    <n v="30000"/>
    <n v="30000"/>
    <n v="69000"/>
    <n v="-12420"/>
    <n v="56580"/>
    <n v="-11608.413527851459"/>
    <n v="-11235.833481600001"/>
    <n v="-84.426657067710593"/>
    <n v="33651.326333480829"/>
    <n v="0.5947565629812801"/>
    <n v="2.2999999999999998"/>
    <n v="2.2999999999999998"/>
    <n v="100100"/>
    <s v="START ANTIDUSTING"/>
    <s v="POUSO ALEGRE"/>
    <s v="Additives"/>
    <s v="Domestic"/>
    <s v="09/2026"/>
    <s v="2026"/>
  </r>
  <r>
    <n v="11"/>
    <x v="8"/>
    <n v="12323"/>
    <s v="TERA FERTILIZANTES - PATOS DE MINAS"/>
    <n v="14133"/>
    <s v="MG"/>
    <s v="START ANTIDUSTING SC AD IBC ADITIVO ANTI PO P/ FERTILIZANTES"/>
    <n v="3000"/>
    <n v="3000"/>
    <n v="9000"/>
    <n v="-1620"/>
    <n v="7380"/>
    <n v="-3550.3911428571419"/>
    <n v="-661.07924063999997"/>
    <n v="-4.9673849684133966"/>
    <n v="3163.5622315344449"/>
    <n v="0.4286669690426077"/>
    <n v="3"/>
    <n v="3"/>
    <n v="100100"/>
    <s v="START ANTIDUSTING"/>
    <s v="PATOS DE MINAS"/>
    <s v="Additives"/>
    <s v="Domestic"/>
    <s v="09/2026"/>
    <s v="2026"/>
  </r>
  <r>
    <n v="11"/>
    <x v="8"/>
    <n v="341"/>
    <s v="ADUBOS PARANAIBA - UBERLANDIA"/>
    <n v="1043"/>
    <s v="MG"/>
    <s v="START ANTIDUSTING SC AD ADITIVO ANTI PO P/ FERTILIZANTES"/>
    <n v="6000"/>
    <n v="6000"/>
    <n v="12000"/>
    <n v="-2160"/>
    <n v="9840"/>
    <n v="-2321.6827055702915"/>
    <n v="0"/>
    <n v="0"/>
    <n v="7518.3172944297085"/>
    <n v="0.76405663561277526"/>
    <n v="2"/>
    <n v="2"/>
    <n v="100100"/>
    <s v="START ANTIDUSTING"/>
    <s v="UBERLANDIA"/>
    <s v="Additives"/>
    <s v="Domestic"/>
    <s v="09/2026"/>
    <s v="2026"/>
  </r>
  <r>
    <n v="11"/>
    <x v="8"/>
    <n v="11212"/>
    <s v="INPEK FERTILIZANTES - PARANAGUA"/>
    <n v="1043"/>
    <s v="PR"/>
    <s v="START ANTIDUSTING SC AD ADITIVO ANTI PO P/ FERTILIZANTES"/>
    <n v="30000"/>
    <n v="30000"/>
    <n v="57000"/>
    <n v="-6840"/>
    <n v="50160"/>
    <n v="-11608.413527851459"/>
    <n v="-14049.6057"/>
    <n v="-105.56949284740919"/>
    <n v="24396.411279301134"/>
    <n v="0.48637183571174508"/>
    <n v="1.9"/>
    <n v="1.9"/>
    <n v="100100"/>
    <s v="START ANTIDUSTING"/>
    <s v="PARANAGUA"/>
    <s v="Additives"/>
    <s v="Domestic"/>
    <s v="09/2026"/>
    <s v="2026"/>
  </r>
  <r>
    <n v="11"/>
    <x v="8"/>
    <n v="3142"/>
    <s v="INTERFERTIL - SAO FRANCISCO DO SUL"/>
    <n v="1"/>
    <s v="SC"/>
    <s v="START ANTIDUSTING KG ADITIVO ANTI PO P/ FERTILIZANTES"/>
    <n v="45000"/>
    <n v="45000"/>
    <n v="124650"/>
    <n v="-14958"/>
    <n v="109692"/>
    <n v="-30108.032499999994"/>
    <n v="-25211.715749999999"/>
    <n v="-189.44218808507478"/>
    <n v="54182.809561914924"/>
    <n v="0.49395406740614561"/>
    <n v="2.77"/>
    <n v="2.77"/>
    <n v="100100"/>
    <s v="START ANTIDUSTING"/>
    <s v="SAO FRANCISCO DO SUL"/>
    <s v="Additives"/>
    <s v="Domestic"/>
    <s v="09/2026"/>
    <s v="2026"/>
  </r>
  <r>
    <n v="11"/>
    <x v="8"/>
    <n v="5053"/>
    <s v="ADUBOS ARAGUAIA - CONFRESA"/>
    <n v="1"/>
    <s v="MT"/>
    <s v="START ANTIDUSTING KG ADITIVO ANTI PO P/ FERTILIZANTES"/>
    <n v="30000"/>
    <n v="30000"/>
    <n v="73800"/>
    <n v="-5166.0000000000009"/>
    <n v="68634"/>
    <n v="-20072.02166666666"/>
    <n v="-20973.848999999998"/>
    <n v="-157.59862940410778"/>
    <n v="27430.530703929235"/>
    <n v="0.39966387947561316"/>
    <n v="2.46"/>
    <n v="2.46"/>
    <n v="100100"/>
    <s v="START ANTIDUSTING"/>
    <s v="CONFRESA"/>
    <s v="Additives"/>
    <s v="Domestic"/>
    <s v="09/2026"/>
    <s v="2026"/>
  </r>
  <r>
    <n v="11"/>
    <x v="8"/>
    <n v="43"/>
    <s v="CIBRA - CAMACARI"/>
    <n v="148"/>
    <s v="BA"/>
    <s v="START ANTIDUSTING BLACK ADITIVO ANTI PO P/ FERTILIZANTES"/>
    <n v="90000"/>
    <n v="90000"/>
    <n v="213300"/>
    <n v="-14931.000000000002"/>
    <n v="198369"/>
    <n v="-61186.918894009214"/>
    <n v="-62287.237958400001"/>
    <n v="-468.02965595925468"/>
    <n v="74426.813491631547"/>
    <n v="0.37519377267431681"/>
    <n v="2.37"/>
    <n v="2.37"/>
    <n v="100100"/>
    <s v="START ANTIDUSTING"/>
    <s v="CAMACARI"/>
    <s v="Additives"/>
    <s v="Domestic"/>
    <s v="09/2026"/>
    <s v="2026"/>
  </r>
  <r>
    <n v="11"/>
    <x v="8"/>
    <n v="7479"/>
    <s v="MOSAIC - CUBAT?O"/>
    <n v="1043"/>
    <s v="SP"/>
    <s v="START ANTIDUSTING SC AD ADITIVO ANTI PO P/ FERTILIZANTES"/>
    <n v="30000"/>
    <n v="30000"/>
    <n v="64800"/>
    <n v="-7776"/>
    <n v="57024"/>
    <n v="-11608.413527851459"/>
    <n v="0"/>
    <n v="0"/>
    <n v="45415.586472148541"/>
    <n v="0.79642933628206614"/>
    <n v="2.16"/>
    <n v="2.16"/>
    <n v="100100"/>
    <s v="START ANTIDUSTING"/>
    <s v="CUBATAO"/>
    <s v="Additives"/>
    <s v="Domestic"/>
    <s v="09/2026"/>
    <s v="2026"/>
  </r>
  <r>
    <n v="11"/>
    <x v="8"/>
    <n v="14632"/>
    <s v="BIGFERTIL - CANDEIAS"/>
    <n v="1043"/>
    <s v="BA"/>
    <s v="START ANTIDUSTING SC AD ADITIVO ANTI PO P/ FERTILIZANTES"/>
    <n v="30000"/>
    <n v="30000"/>
    <n v="96900"/>
    <n v="-6783.0000000000009"/>
    <n v="90117"/>
    <n v="-11608.413527851459"/>
    <n v="-21548.474999999999"/>
    <n v="-161.91640007271349"/>
    <n v="56798.195072075832"/>
    <n v="0.63027170314231318"/>
    <n v="3.23"/>
    <n v="3.23"/>
    <n v="100100"/>
    <s v="START ANTIDUSTING"/>
    <s v="CANDEIAS"/>
    <s v="Additives"/>
    <s v="Domestic"/>
    <s v="09/2026"/>
    <s v="2026"/>
  </r>
  <r>
    <n v="11"/>
    <x v="8"/>
    <n v="2011"/>
    <s v="FERTGROW S.A"/>
    <n v="6654"/>
    <s v="MA"/>
    <s v="START ANTIDUSTING SC FG ADITIVO ANTI PO P/ FERTILIZANTES"/>
    <n v="240000"/>
    <n v="240000"/>
    <n v="648000"/>
    <n v="-45360.000000000007"/>
    <n v="602640"/>
    <n v="-93923.89"/>
    <n v="-211692.21839999998"/>
    <n v="-1590.6667143143372"/>
    <n v="295433.22488568566"/>
    <n v="0.49023168871247452"/>
    <n v="2.7"/>
    <n v="2.7"/>
    <n v="100100"/>
    <s v="START ANTIDUSTING"/>
    <s v="SAO LUIS"/>
    <s v="Additives"/>
    <s v="Domestic"/>
    <s v="09/2026"/>
    <s v="2026"/>
  </r>
  <r>
    <n v="11"/>
    <x v="8"/>
    <n v="139"/>
    <s v="COMIGO - RIO VERDE"/>
    <n v="1043"/>
    <s v="GO"/>
    <s v="START ANTIDUSTING SC AD ADITIVO ANTI PO P/ FERTILIZANTES"/>
    <n v="90000"/>
    <n v="90000"/>
    <n v="61250.000000000036"/>
    <n v="-4287.5000000000027"/>
    <n v="56962.500000000036"/>
    <n v="-34825.240583554369"/>
    <n v="-17066.392199999998"/>
    <n v="-128.23778885758909"/>
    <n v="4942.62942758808"/>
    <n v="8.6769882424192701E-2"/>
    <n v="0.68055555555555591"/>
    <n v="0.68055555555555591"/>
    <n v="100100"/>
    <s v="START ANTIDUSTING"/>
    <s v="RIO VERDE"/>
    <s v="Additives"/>
    <s v="Domestic"/>
    <s v="09/2026"/>
    <s v="2026"/>
  </r>
  <r>
    <n v="11"/>
    <x v="8"/>
    <n v="12972"/>
    <s v="INVICTA FERTILIZER - RIO GRANDE"/>
    <n v="1"/>
    <s v="RS"/>
    <s v="START ANTIDUSTING KG ADITIVO ANTI PO P/ FERTILIZANTES"/>
    <n v="30000"/>
    <n v="30000"/>
    <n v="90000"/>
    <n v="-10800"/>
    <n v="79200"/>
    <n v="-20072.02166666666"/>
    <n v="-24421.605"/>
    <n v="-183.50525341574195"/>
    <n v="34522.868079917593"/>
    <n v="0.43589479898885847"/>
    <n v="3"/>
    <n v="3"/>
    <n v="100100"/>
    <s v="START ANTIDUSTING"/>
    <s v="RIO GRANDE"/>
    <s v="Additives"/>
    <s v="Domestic"/>
    <s v="09/2026"/>
    <s v="2026"/>
  </r>
  <r>
    <n v="11"/>
    <x v="8"/>
    <n v="1613"/>
    <s v="HERINGER - CANDEIAS"/>
    <n v="7384"/>
    <s v="BA"/>
    <s v="START ANTIDUSTING EURO KG ADITIVO ANTI PO P/ FERTILIZANTES"/>
    <n v="24000"/>
    <n v="24000"/>
    <n v="89760"/>
    <n v="-6283.2000000000007"/>
    <n v="83476.800000000003"/>
    <n v="-16505.628451882843"/>
    <n v="-17238.78"/>
    <n v="-129.53312005817077"/>
    <n v="49602.858428058986"/>
    <n v="0.5942113069506616"/>
    <n v="3.74"/>
    <n v="3.74"/>
    <n v="100100"/>
    <s v="START ANTIDUSTING"/>
    <s v="CANDEIAS"/>
    <s v="Additives"/>
    <s v="Domestic"/>
    <s v="09/2026"/>
    <s v="2026"/>
  </r>
  <r>
    <n v="11"/>
    <x v="8"/>
    <n v="16099"/>
    <s v="MOSAIC - PALMEIRANTE"/>
    <n v="1043"/>
    <s v="TO"/>
    <s v="START ANTIDUSTING SC AD ADITIVO ANTI PO P/ FERTILIZANTES"/>
    <n v="30000"/>
    <n v="30000"/>
    <n v="65700"/>
    <n v="-4599"/>
    <n v="61101"/>
    <n v="-11608.413527851459"/>
    <n v="0"/>
    <n v="0"/>
    <n v="49492.586472148541"/>
    <n v="0.81001270801048331"/>
    <n v="2.19"/>
    <n v="2.19"/>
    <n v="100100"/>
    <s v="START ANTIDUSTING"/>
    <s v="PALMEIRANTE"/>
    <s v="Additives"/>
    <s v="Domestic"/>
    <s v="09/2026"/>
    <s v="2026"/>
  </r>
  <r>
    <n v="11"/>
    <x v="8"/>
    <n v="7097"/>
    <s v="MOSAIC - S?O FRANCISCO SUL"/>
    <n v="14133"/>
    <s v="SC"/>
    <s v="START ANTIDUSTING SC AD IBC ADITIVO ANTI PO P/ FERTILIZANTES"/>
    <n v="26400"/>
    <n v="26400"/>
    <n v="71280"/>
    <n v="-8553.6"/>
    <n v="62726.400000000001"/>
    <n v="-31243.442057142849"/>
    <n v="-14790.873239999999"/>
    <n v="-111.13941700991053"/>
    <n v="16580.94528584724"/>
    <n v="0.26433758809444252"/>
    <n v="2.7"/>
    <n v="2.7"/>
    <n v="100100"/>
    <s v="START ANTIDUSTING"/>
    <s v="SAO FRANCISCO DO SUL"/>
    <s v="Additives"/>
    <s v="Domestic"/>
    <s v="09/2026"/>
    <s v="2026"/>
  </r>
  <r>
    <n v="11"/>
    <x v="8"/>
    <n v="2992"/>
    <s v="SUPERBAC FERTILIZANTES I"/>
    <n v="1043"/>
    <s v="PR"/>
    <s v="START ANTIDUSTING SC AD ADITIVO ANTI PO P/ FERTILIZANTES"/>
    <n v="30000"/>
    <n v="30000"/>
    <n v="110400"/>
    <n v="-13248"/>
    <n v="97152"/>
    <n v="-11608.413527851459"/>
    <n v="-11260.9695744"/>
    <n v="-84.615531020882202"/>
    <n v="74198.001366727651"/>
    <n v="0.76373107467399182"/>
    <n v="3.68"/>
    <n v="3.68"/>
    <n v="100100"/>
    <s v="START ANTIDUSTING"/>
    <s v="MANDAGUARI"/>
    <s v="Additives"/>
    <s v="Domestic"/>
    <s v="09/2026"/>
    <s v="2026"/>
  </r>
  <r>
    <n v="11"/>
    <x v="8"/>
    <n v="2247"/>
    <s v="ADUBOS LEAO - LARANJEIRAS"/>
    <n v="14133"/>
    <s v="SE"/>
    <s v="START ANTIDUSTING SC AD IBC ADITIVO ANTI PO P/ FERTILIZANTES"/>
    <n v="2000"/>
    <n v="2000"/>
    <n v="11000"/>
    <n v="-770.00000000000011"/>
    <n v="10230"/>
    <n v="-2366.9274285714278"/>
    <n v="-3081.6849772800001"/>
    <n v="-23.155946658839639"/>
    <n v="4758.2316474897334"/>
    <n v="0.46512528323457802"/>
    <n v="5.5"/>
    <n v="5.5"/>
    <n v="100100"/>
    <s v="START ANTIDUSTING"/>
    <s v="LARANJEIRAS"/>
    <s v="Additives"/>
    <s v="Domestic"/>
    <s v="09/2026"/>
    <s v="2026"/>
  </r>
  <r>
    <n v="11"/>
    <x v="8"/>
    <n v="2003"/>
    <s v="HERINGER - RIO GRANDE"/>
    <n v="7384"/>
    <s v="RS"/>
    <s v="START ANTIDUSTING EURO KG ADITIVO ANTI PO P/ FERTILIZANTES"/>
    <n v="20000"/>
    <n v="20000"/>
    <n v="70000"/>
    <n v="-8400"/>
    <n v="61600"/>
    <n v="-13754.690376569037"/>
    <n v="-16281.07"/>
    <n v="-122.33683561049465"/>
    <n v="31441.902787820469"/>
    <n v="0.51042049980228033"/>
    <n v="3.5"/>
    <n v="3.5"/>
    <n v="100100"/>
    <s v="START ANTIDUSTING"/>
    <s v="RIO GRANDE"/>
    <s v="Additives"/>
    <s v="Domestic"/>
    <s v="09/2026"/>
    <s v="2026"/>
  </r>
  <r>
    <n v="11"/>
    <x v="8"/>
    <n v="6477"/>
    <s v="MOSAIC - PARANAGUA II"/>
    <n v="1043"/>
    <s v="PR"/>
    <s v="START ANTIDUSTING SC AD ADITIVO ANTI PO P/ FERTILIZANTES"/>
    <n v="60000"/>
    <n v="60000"/>
    <n v="131400"/>
    <n v="-15768"/>
    <n v="115632"/>
    <n v="-23216.827055702917"/>
    <n v="-28099.2114"/>
    <n v="-211.13898569481839"/>
    <n v="64104.822558602267"/>
    <n v="0.55438652413347744"/>
    <n v="2.19"/>
    <n v="2.19"/>
    <n v="100100"/>
    <s v="START ANTIDUSTING"/>
    <s v="PARANAGUA"/>
    <s v="Additives"/>
    <s v="Domestic"/>
    <s v="09/2026"/>
    <s v="2026"/>
  </r>
  <r>
    <n v="11"/>
    <x v="8"/>
    <n v="2559"/>
    <s v="MOSAIC - RIO GRANDE"/>
    <n v="1043"/>
    <s v="RS"/>
    <s v="START ANTIDUSTING SC AD ADITIVO ANTI PO P/ FERTILIZANTES"/>
    <n v="120000"/>
    <n v="120000"/>
    <n v="301200"/>
    <n v="-36144"/>
    <n v="265056"/>
    <n v="-46433.654111405835"/>
    <n v="-97686.42"/>
    <n v="-734.02101366296779"/>
    <n v="120201.90487493121"/>
    <n v="0.4534962606955934"/>
    <n v="2.5099999999999998"/>
    <n v="2.5099999999999998"/>
    <n v="100100"/>
    <s v="START ANTIDUSTING"/>
    <s v="RIO GRANDE"/>
    <s v="Additives"/>
    <s v="Domestic"/>
    <s v="09/2026"/>
    <s v="2026"/>
  </r>
  <r>
    <n v="11"/>
    <x v="8"/>
    <n v="214"/>
    <s v="UNIFERTIL - CANOAS UN1"/>
    <n v="3"/>
    <s v="RS"/>
    <s v="START ANTIDUSTING MH ADITIVO ANTI PO P/ FERTILIZANTES"/>
    <n v="64000"/>
    <n v="64000"/>
    <n v="165760"/>
    <n v="-19891.2"/>
    <n v="145868.79999999999"/>
    <n v="-49902.28"/>
    <n v="-51609.076479999996"/>
    <n v="-387.79337631637264"/>
    <n v="43969.650143683619"/>
    <n v="0.30143286394132002"/>
    <n v="2.59"/>
    <n v="2.59"/>
    <n v="100100"/>
    <s v="START ANTIDUSTING"/>
    <s v="CANOAS"/>
    <s v="Additives"/>
    <s v="Domestic"/>
    <s v="09/2026"/>
    <s v="2026"/>
  </r>
  <r>
    <n v="11"/>
    <x v="8"/>
    <n v="820"/>
    <s v="EMPRESA BRASILEIRA DE TEL S/A"/>
    <n v="1043"/>
    <s v="MG"/>
    <s v="START ANTIDUSTING SC AD ADITIVO ANTI PO P/ FERTILIZANTES"/>
    <n v="90000"/>
    <n v="90000"/>
    <n v="212400"/>
    <n v="-54342.539999999994"/>
    <n v="158057.46000000002"/>
    <n v="-34825.240583554369"/>
    <n v="0"/>
    <n v="0"/>
    <n v="123232.21941644565"/>
    <n v="0.77966721353389856"/>
    <n v="2.36"/>
    <n v="2.36"/>
    <n v="100100"/>
    <s v="START ANTIDUSTING"/>
    <s v="BELO HORIZONTE"/>
    <s v="Additives"/>
    <s v="Domestic"/>
    <s v="09/2026"/>
    <s v="2026"/>
  </r>
  <r>
    <n v="11"/>
    <x v="8"/>
    <n v="3273"/>
    <s v="FERTIMAXI - CONCEICAO DO JACUIPE"/>
    <n v="2"/>
    <s v="BA"/>
    <s v="START ANTIDUSTING SC ADITIVO ANTI PO P/ FERTILIZANTES"/>
    <n v="30000"/>
    <n v="30000"/>
    <n v="78900"/>
    <n v="-5523.0000000000009"/>
    <n v="73377"/>
    <n v="-17018.045000000002"/>
    <n v="-18675.345000000001"/>
    <n v="-140.32754672968503"/>
    <n v="37543.282453270316"/>
    <n v="0.51164918780095014"/>
    <n v="2.63"/>
    <n v="2.63"/>
    <n v="100100"/>
    <s v="START ANTIDUSTING"/>
    <s v="CONCEICAO DO JACUIPE"/>
    <s v="Additives"/>
    <s v="Domestic"/>
    <s v="09/2026"/>
    <s v="2026"/>
  </r>
  <r>
    <n v="11"/>
    <x v="8"/>
    <n v="16918"/>
    <s v="FERTZ FERTILIZANTES S/A"/>
    <n v="1043"/>
    <s v="PA"/>
    <s v="START ANTIDUSTING SC AD ADITIVO ANTI PO P/ FERTILIZANTES"/>
    <n v="30000"/>
    <n v="30000"/>
    <n v="66000"/>
    <n v="-4620"/>
    <n v="61380"/>
    <n v="-11608.413527851459"/>
    <n v="-26978.690699999999"/>
    <n v="-202.71933289103728"/>
    <n v="22590.176439257506"/>
    <n v="0.36803806515571041"/>
    <n v="2.2000000000000002"/>
    <n v="2.2000000000000002"/>
    <n v="100100"/>
    <s v="START ANTIDUSTING"/>
    <s v="BARCARENA "/>
    <s v="Additives"/>
    <s v="Domestic"/>
    <s v="09/2026"/>
    <s v="2026"/>
  </r>
  <r>
    <n v="11"/>
    <x v="8"/>
    <n v="833"/>
    <s v="TERRENA - PATOS DE MINAS"/>
    <n v="14133"/>
    <s v="MG"/>
    <s v="START ANTIDUSTING SC AD IBC ADITIVO ANTI PO P/ FERTILIZANTES"/>
    <n v="6000"/>
    <n v="6000"/>
    <n v="22800"/>
    <n v="0"/>
    <n v="22800"/>
    <n v="-7100.7822857142837"/>
    <n v="-1322.1584812799999"/>
    <n v="-9.9347699368267932"/>
    <n v="14367.124463068891"/>
    <n v="0.63013703785389874"/>
    <n v="3.8"/>
    <n v="3.8"/>
    <n v="100100"/>
    <s v="START ANTIDUSTING"/>
    <s v="PATOS DE MINAS"/>
    <s v="Additives"/>
    <s v="Domestic"/>
    <s v="09/2026"/>
    <s v="2026"/>
  </r>
  <r>
    <n v="11"/>
    <x v="8"/>
    <n v="87"/>
    <s v="ADUBOS ARAGUAIA - CATALAO"/>
    <n v="1"/>
    <s v="GO"/>
    <s v="START ANTIDUSTING KG ADITIVO ANTI PO P/ FERTILIZANTES"/>
    <n v="30000"/>
    <n v="30000"/>
    <n v="64500"/>
    <n v="-4515"/>
    <n v="59985"/>
    <n v="-20072.02166666666"/>
    <n v="-2442.1605"/>
    <n v="-18.350525341574194"/>
    <n v="37452.46730799177"/>
    <n v="0.6243638794363886"/>
    <n v="2.15"/>
    <n v="2.15"/>
    <n v="100100"/>
    <s v="START ANTIDUSTING"/>
    <s v="CATALAO"/>
    <s v="Additives"/>
    <s v="Domestic"/>
    <s v="09/2026"/>
    <s v="2026"/>
  </r>
  <r>
    <n v="11"/>
    <x v="8"/>
    <n v="1023"/>
    <s v="ADUBOS ARAGUAIA - RONDONOPOLIS"/>
    <n v="1"/>
    <s v="MT"/>
    <s v="START ANTIDUSTING KG ADITIVO ANTI PO P/ FERTILIZANTES"/>
    <n v="30000"/>
    <n v="30000"/>
    <n v="72900"/>
    <n v="-5103.0000000000009"/>
    <n v="67797"/>
    <n v="-20072.02166666666"/>
    <n v="-11980.9521"/>
    <n v="-90.025518440428698"/>
    <n v="35654.000714892907"/>
    <n v="0.5258934866571221"/>
    <n v="2.4300000000000002"/>
    <n v="2.4300000000000002"/>
    <n v="100100"/>
    <s v="START ANTIDUSTING"/>
    <s v="RONDONOPOLIS"/>
    <s v="Additives"/>
    <s v="Domestic"/>
    <s v="09/2026"/>
    <s v="2026"/>
  </r>
  <r>
    <n v="11"/>
    <x v="8"/>
    <n v="33"/>
    <s v="HERINGER - PARANAGUA"/>
    <n v="7384"/>
    <s v="PR"/>
    <s v="START ANTIDUSTING EURO KG ADITIVO ANTI PO P/ FERTILIZANTES"/>
    <n v="15000"/>
    <n v="15000"/>
    <n v="49200"/>
    <n v="-5904"/>
    <n v="43296"/>
    <n v="-10316.017782426778"/>
    <n v="-10935.990696618001"/>
    <n v="-82.173622255174578"/>
    <n v="21961.817898700054"/>
    <n v="0.50724819610818672"/>
    <n v="3.28"/>
    <n v="3.28"/>
    <n v="100100"/>
    <s v="START ANTIDUSTING"/>
    <s v="PARANAGUA"/>
    <s v="Additives"/>
    <s v="Domestic"/>
    <s v="09/2026"/>
    <s v="2026"/>
  </r>
  <r>
    <n v="11"/>
    <x v="8"/>
    <n v="6124"/>
    <s v="MOSAIC - UBERABA II"/>
    <n v="1043"/>
    <s v="MG"/>
    <s v="START ANTIDUSTING SC AD ADITIVO ANTI PO P/ FERTILIZANTES"/>
    <n v="60000"/>
    <n v="60000"/>
    <n v="101400"/>
    <n v="0"/>
    <n v="101400"/>
    <n v="-23216.827055702917"/>
    <n v="-4884.3209999999999"/>
    <n v="-36.701050683148388"/>
    <n v="73262.150893613943"/>
    <n v="0.72250641906917101"/>
    <n v="1.69"/>
    <n v="1.69"/>
    <n v="100100"/>
    <s v="START ANTIDUSTING"/>
    <s v="UBERABA"/>
    <s v="Additives"/>
    <s v="Domestic"/>
    <s v="09/2026"/>
    <s v="2026"/>
  </r>
  <r>
    <n v="11"/>
    <x v="8"/>
    <n v="14561"/>
    <s v="EXTRA CARGO ARMAZENS GERAIS"/>
    <n v="148"/>
    <s v="SC"/>
    <s v="START ANTIDUSTING BLACK ADITIVO ANTI PO P/ FERTILIZANTES"/>
    <n v="15000"/>
    <n v="15000"/>
    <n v="52800"/>
    <n v="-6336"/>
    <n v="46464"/>
    <n v="-10197.819815668203"/>
    <n v="-12045.7338550185"/>
    <n v="-90.512292031737971"/>
    <n v="24129.934037281557"/>
    <n v="0.51932537098143849"/>
    <n v="3.52"/>
    <n v="3.52"/>
    <n v="100100"/>
    <s v="START ANTIDUSTING"/>
    <s v="S?O FRANCISCO DO SUL"/>
    <s v="Additives"/>
    <s v="Domestic"/>
    <s v="09/2026"/>
    <s v="2026"/>
  </r>
  <r>
    <n v="11"/>
    <x v="8"/>
    <n v="9295"/>
    <s v="TECNOMYL S.A. - PARAGUAY"/>
    <n v="14146"/>
    <s v="EX"/>
    <s v="DUSTPROTEC BLACK PLUS IBC ADITIVO ANTI PO P/ FERTILIZANTES"/>
    <n v="52800"/>
    <n v="52800"/>
    <n v="271444.8"/>
    <n v="0"/>
    <n v="271444.8"/>
    <n v="-105540.95"/>
    <n v="-47610.112000000016"/>
    <n v="-8573.5754322347038"/>
    <n v="109720.16256776525"/>
    <n v="0.40420801049703386"/>
    <n v="5.141"/>
    <n v="5.141"/>
    <n v="100100"/>
    <s v="START ANTIDUSTING"/>
    <s v="ASSUNCION"/>
    <s v="Additives"/>
    <s v="International"/>
    <s v="09/2026"/>
    <s v="2026"/>
  </r>
  <r>
    <n v="11"/>
    <x v="8"/>
    <n v="16951"/>
    <s v="3 TENTOS - SANTA BARBARA DO SUL"/>
    <n v="1"/>
    <s v="RS"/>
    <s v="START ANTIDUSTING KG ADITIVO ANTI PO P/ FERTILIZANTES"/>
    <n v="30000"/>
    <n v="30000"/>
    <n v="90000"/>
    <n v="-10800"/>
    <n v="79200"/>
    <n v="-20072.02166666666"/>
    <n v="0"/>
    <n v="0"/>
    <n v="59127.97833333334"/>
    <n v="0.74656538299663311"/>
    <n v="3"/>
    <n v="3"/>
    <n v="100100"/>
    <s v="START ANTIDUSTING"/>
    <s v="SANTA BARBARA DO SUL"/>
    <s v="Additives"/>
    <s v="Domestic"/>
    <s v="09/2026"/>
    <s v="2026"/>
  </r>
  <r>
    <n v="11"/>
    <x v="8"/>
    <n v="3297"/>
    <s v="MACROSOURCE PERU S.R.L."/>
    <n v="14141"/>
    <s v="EX"/>
    <s v="DUSTPROTEC SC IBC - ADITIVO ANTI-PO P/ FERTILIZANTES GRANULADOS"/>
    <n v="2400"/>
    <n v="2400"/>
    <n v="17044.8"/>
    <n v="0"/>
    <n v="17044.8"/>
    <n v="-3444.4433333333327"/>
    <n v="-4340.362752"/>
    <n v="-406.06055961125872"/>
    <n v="8853.9333550554074"/>
    <n v="0.5194507037369408"/>
    <n v="7.1019999999999994"/>
    <n v="7.1019999999999994"/>
    <n v="100100"/>
    <s v="START ANTIDUSTING"/>
    <s v="LIMA"/>
    <s v="Additives"/>
    <s v="International"/>
    <s v="09/2026"/>
    <s v="2026"/>
  </r>
  <r>
    <n v="11"/>
    <x v="8"/>
    <n v="2655"/>
    <s v="EQUILIBRA PERU S.A"/>
    <n v="14141"/>
    <s v="EX"/>
    <s v="DUSTPROTEC SC IBC - ADITIVO ANTI-PO P/ FERTILIZANTES GRANULADOS"/>
    <n v="12000"/>
    <n v="12000"/>
    <n v="72576"/>
    <n v="0"/>
    <n v="72576"/>
    <n v="-17222.216666666664"/>
    <n v="-21701.813760000001"/>
    <n v="-2030.3027980562938"/>
    <n v="31621.666775277041"/>
    <n v="0.43570418286040896"/>
    <n v="6.048"/>
    <n v="6.048"/>
    <n v="100100"/>
    <s v="START ANTIDUSTING"/>
    <s v="LIMA"/>
    <s v="Additives"/>
    <s v="International"/>
    <s v="09/2026"/>
    <s v="2026"/>
  </r>
  <r>
    <n v="11"/>
    <x v="8"/>
    <n v="13861"/>
    <s v="ADUBOS ARAGUAIA - GUARANT? DO NORTE"/>
    <n v="1"/>
    <s v="MT"/>
    <s v="START ANTIDUSTING KG ADITIVO ANTI PO P/ FERTILIZANTES"/>
    <n v="30000"/>
    <n v="30000"/>
    <n v="85200"/>
    <n v="-5964.0000000000009"/>
    <n v="79236"/>
    <n v="-20072.02166666666"/>
    <n v="-22431.382390052997"/>
    <n v="-168.55061368620477"/>
    <n v="36564.045329594141"/>
    <n v="0.46145748560747818"/>
    <n v="2.84"/>
    <n v="2.84"/>
    <n v="100100"/>
    <s v="START ANTIDUSTING"/>
    <s v="GUARANT? DO NORTE"/>
    <s v="Additives"/>
    <s v="Domestic"/>
    <s v="09/2026"/>
    <s v="2026"/>
  </r>
  <r>
    <n v="11"/>
    <x v="8"/>
    <n v="11133"/>
    <s v="ADUBOS ARAGUAIA - PARANAGUA"/>
    <n v="14133"/>
    <s v="PR"/>
    <s v="START ANTIDUSTING SC AD IBC ADITIVO ANTI PO P/ FERTILIZANTES"/>
    <n v="13200"/>
    <n v="13200"/>
    <n v="38280"/>
    <n v="-4593.5999999999995"/>
    <n v="33686.400000000001"/>
    <n v="-15621.721028571425"/>
    <n v="-9623.6718130238405"/>
    <n v="-72.312787584553618"/>
    <n v="8368.6943708201834"/>
    <n v="0.24842946621841999"/>
    <n v="2.9"/>
    <n v="2.9"/>
    <n v="100100"/>
    <s v="START ANTIDUSTING"/>
    <s v="PARANAGUA"/>
    <s v="Additives"/>
    <s v="Domestic"/>
    <s v="09/2026"/>
    <s v="2026"/>
  </r>
  <r>
    <n v="11"/>
    <x v="8"/>
    <n v="1292"/>
    <s v="CIBRA - S?O FRANCISCO DO SUL"/>
    <n v="148"/>
    <s v="SC"/>
    <s v="START ANTIDUSTING BLACK ADITIVO ANTI PO P/ FERTILIZANTES"/>
    <n v="20000"/>
    <n v="20000"/>
    <n v="47000"/>
    <n v="-5640"/>
    <n v="41360"/>
    <n v="-13597.093087557603"/>
    <n v="-10207.092555894"/>
    <n v="-76.696642424085624"/>
    <n v="17479.117714124313"/>
    <n v="0.42260922906490117"/>
    <n v="2.35"/>
    <n v="2.35"/>
    <n v="100100"/>
    <s v="START ANTIDUSTING"/>
    <s v="S?O FRANCISCO DO SUL"/>
    <s v="Additives"/>
    <s v="Domestic"/>
    <s v="09/2026"/>
    <s v="2026"/>
  </r>
  <r>
    <n v="11"/>
    <x v="8"/>
    <n v="3232"/>
    <s v="FERTILIZ. TOCANTINS - ARAGUARI"/>
    <n v="7384"/>
    <s v="MG"/>
    <s v="START ANTIDUSTING EURO KG ADITIVO ANTI PO P/ FERTILIZANTES"/>
    <n v="180000"/>
    <n v="180000"/>
    <n v="336600"/>
    <n v="-60588"/>
    <n v="276012"/>
    <n v="-123792.21338912133"/>
    <n v="-10343.268"/>
    <n v="-77.71987203490248"/>
    <n v="141798.79873884373"/>
    <n v="0.51374142696275427"/>
    <n v="1.87"/>
    <n v="1.87"/>
    <n v="100100"/>
    <s v="START ANTIDUSTING"/>
    <s v="ARAGUARI"/>
    <s v="Additives"/>
    <s v="Domestic"/>
    <s v="09/2026"/>
    <s v="2026"/>
  </r>
  <r>
    <n v="11"/>
    <x v="8"/>
    <n v="812"/>
    <s v="FERTIPAR - VARGINHA"/>
    <n v="1042"/>
    <s v="MG"/>
    <s v="START ANTIDUSTING KG AD ADITIVO ANTI PO P/ FERTILIZANTES"/>
    <n v="30000"/>
    <n v="30000"/>
    <n v="51000"/>
    <n v="-9180"/>
    <n v="41820"/>
    <n v="-16069.461666666664"/>
    <n v="-6895.5119999999997"/>
    <n v="-51.813248023268315"/>
    <n v="18803.213085310072"/>
    <n v="0.44962250323553493"/>
    <n v="1.7"/>
    <n v="1.7"/>
    <n v="100100"/>
    <s v="START ANTIDUSTING"/>
    <s v="VARGINHA"/>
    <s v="Additives"/>
    <s v="Domestic"/>
    <s v="09/2026"/>
    <s v="2026"/>
  </r>
  <r>
    <n v="11"/>
    <x v="8"/>
    <n v="7648"/>
    <s v="LOUIS DREYFUS - PARANAGUA"/>
    <n v="14133"/>
    <s v="PR"/>
    <s v="START ANTIDUSTING SC AD IBC ADITIVO ANTI PO P/ FERTILIZANTES"/>
    <n v="26400"/>
    <n v="26400"/>
    <n v="74184"/>
    <n v="-8902.08"/>
    <n v="65281.919999999998"/>
    <n v="-31243.442057142849"/>
    <n v="-12363.653015999998"/>
    <n v="-92.901153705720091"/>
    <n v="21581.923773151433"/>
    <n v="0.33059572655264174"/>
    <n v="2.81"/>
    <n v="2.81"/>
    <n v="100100"/>
    <s v="START ANTIDUSTING"/>
    <s v="PARANAGUA"/>
    <s v="Additives"/>
    <s v="Domestic"/>
    <s v="09/2026"/>
    <s v="2026"/>
  </r>
  <r>
    <n v="11"/>
    <x v="8"/>
    <n v="7103"/>
    <s v="MOSAIC - RIO VERDE"/>
    <n v="1043"/>
    <s v="GO"/>
    <s v="START ANTIDUSTING SC AD ADITIVO ANTI PO P/ FERTILIZANTES"/>
    <n v="60000"/>
    <n v="60000"/>
    <n v="114000"/>
    <n v="-7980.0000000000009"/>
    <n v="106020"/>
    <n v="-23216.827055702917"/>
    <n v="-11377.594799999999"/>
    <n v="-85.49185923839272"/>
    <n v="71340.0862850587"/>
    <n v="0.67289272104375308"/>
    <n v="1.9"/>
    <n v="1.9"/>
    <n v="100100"/>
    <s v="START ANTIDUSTING"/>
    <s v="RIO VERDE"/>
    <s v="Additives"/>
    <s v="Domestic"/>
    <s v="09/2026"/>
    <s v="2026"/>
  </r>
  <r>
    <n v="11"/>
    <x v="8"/>
    <n v="6315"/>
    <s v="ONNO LOGISTICA  LTDA"/>
    <n v="13954"/>
    <s v="MT"/>
    <s v="DUSTPRO - ADITIVO ANTI PO P/ FERTILIZANTES"/>
    <n v="120000"/>
    <n v="120000"/>
    <n v="180000"/>
    <n v="0"/>
    <n v="180000"/>
    <n v="-41905.780000000013"/>
    <n v="-47923.808400000002"/>
    <n v="-360.10207376171479"/>
    <n v="89810.309526238241"/>
    <n v="0.49894616403465691"/>
    <n v="1.5"/>
    <n v="1.5"/>
    <n v="100100"/>
    <s v="START ANTIDUSTING"/>
    <s v="RONDONOPOLIS"/>
    <s v="Additives"/>
    <s v="Domestic"/>
    <s v="09/2026"/>
    <s v="2026"/>
  </r>
  <r>
    <n v="11"/>
    <x v="8"/>
    <n v="16453"/>
    <s v="HIDROVIAS DO BRASIL ADMINISTRACAO PORTUA"/>
    <n v="1043"/>
    <s v="SP"/>
    <s v="START ANTIDUSTING SC AD ADITIVO ANTI PO P/ FERTILIZANTES"/>
    <n v="60000"/>
    <n v="60000"/>
    <n v="141600"/>
    <n v="-16992"/>
    <n v="124608"/>
    <n v="-23216.827055702917"/>
    <n v="0"/>
    <n v="0"/>
    <n v="101391.17294429708"/>
    <n v="0.81368108744460299"/>
    <n v="2.36"/>
    <n v="2.36"/>
    <n v="100100"/>
    <s v="START ANTIDUSTING"/>
    <s v="SANTOS"/>
    <s v="Additives"/>
    <s v="Domestic"/>
    <s v="09/2026"/>
    <s v="2026"/>
  </r>
  <r>
    <n v="11"/>
    <x v="8"/>
    <n v="12568"/>
    <s v="FRIBON FERTILIZANTES - BARCARENA"/>
    <n v="1043"/>
    <s v="PA"/>
    <s v="START ANTIDUSTING SC AD ADITIVO ANTI PO P/ FERTILIZANTES"/>
    <n v="30000"/>
    <n v="30000"/>
    <n v="69000"/>
    <n v="-4830.0000000000009"/>
    <n v="64170"/>
    <n v="-11608.413527851459"/>
    <n v="-26978.690699999999"/>
    <n v="-202.71933289103728"/>
    <n v="25380.176439257506"/>
    <n v="0.39551467101850563"/>
    <n v="2.2999999999999998"/>
    <n v="2.2999999999999998"/>
    <n v="100100"/>
    <s v="START ANTIDUSTING"/>
    <s v="BARCARENA "/>
    <s v="Additives"/>
    <s v="Domestic"/>
    <s v="09/2026"/>
    <s v="2026"/>
  </r>
  <r>
    <n v="11"/>
    <x v="8"/>
    <n v="466"/>
    <s v="ADUBOS ARAGUAIA - SORRISO"/>
    <n v="1"/>
    <s v="MT"/>
    <s v="START ANTIDUSTING KG ADITIVO ANTI PO P/ FERTILIZANTES"/>
    <n v="30000"/>
    <n v="30000"/>
    <n v="72900"/>
    <n v="-5103.0000000000009"/>
    <n v="67797"/>
    <n v="-20072.02166666666"/>
    <n v="-21002.580299999998"/>
    <n v="-157.81451793753806"/>
    <n v="26564.583515395803"/>
    <n v="0.3918253538563034"/>
    <n v="2.4300000000000002"/>
    <n v="2.4300000000000002"/>
    <n v="100100"/>
    <s v="START ANTIDUSTING"/>
    <s v="SORRISO"/>
    <s v="Additives"/>
    <s v="Domestic"/>
    <s v="09/2026"/>
    <s v="2026"/>
  </r>
  <r>
    <n v="11"/>
    <x v="8"/>
    <n v="729"/>
    <s v="FERTILIZ. TOCANTINS - S?O LUIS"/>
    <n v="8061"/>
    <s v="MA"/>
    <s v="START ANTIDUSTING EURO SC ADITIVO ANTI PO P/ FERTILIZANTES"/>
    <n v="30000"/>
    <n v="30000"/>
    <n v="85500"/>
    <n v="-5985.0000000000009"/>
    <n v="79515"/>
    <n v="-16765.39"/>
    <n v="-26461.527299999998"/>
    <n v="-198.83333928929216"/>
    <n v="36089.24936071071"/>
    <n v="0.45386718682903487"/>
    <n v="2.85"/>
    <n v="2.85"/>
    <n v="100100"/>
    <s v="START ANTIDUSTING"/>
    <s v="SAO LUIS"/>
    <s v="Additives"/>
    <s v="Domestic"/>
    <s v="09/2026"/>
    <s v="2026"/>
  </r>
  <r>
    <n v="11"/>
    <x v="8"/>
    <n v="452"/>
    <s v="FERTIPAR - S?O LUIS DO MARANH?O"/>
    <n v="2"/>
    <s v="MA"/>
    <s v="START ANTIDUSTING SC ADITIVO ANTI PO P/ FERTILIZANTES"/>
    <n v="30000"/>
    <n v="30000"/>
    <n v="71100"/>
    <n v="-4977.0000000000009"/>
    <n v="66123"/>
    <n v="-17018.045000000002"/>
    <n v="-26461.527299999998"/>
    <n v="-198.83333928929216"/>
    <n v="22444.594360710711"/>
    <n v="0.33943702434418749"/>
    <n v="2.37"/>
    <n v="2.37"/>
    <n v="100100"/>
    <s v="START ANTIDUSTING"/>
    <s v="SAO LUIS"/>
    <s v="Additives"/>
    <s v="Domestic"/>
    <s v="09/2026"/>
    <s v="2026"/>
  </r>
  <r>
    <n v="11"/>
    <x v="8"/>
    <n v="10598"/>
    <s v="GEN FERTILIZANTES - BOM JESUS 2"/>
    <n v="1043"/>
    <s v="GO"/>
    <s v="START ANTIDUSTING SC AD ADITIVO ANTI PO P/ FERTILIZANTES"/>
    <n v="15000"/>
    <n v="15000"/>
    <n v="22500"/>
    <n v="-1575.0000000000002"/>
    <n v="20925"/>
    <n v="-5804.2067639257293"/>
    <n v="-3845.8221984000002"/>
    <n v="-28.897714835256647"/>
    <n v="11246.073322839013"/>
    <n v="0.53744675377964224"/>
    <n v="1.5"/>
    <n v="1.5"/>
    <n v="100100"/>
    <s v="START ANTIDUSTING"/>
    <s v="BOM JESUS"/>
    <s v="Additives"/>
    <s v="Domestic"/>
    <s v="09/2026"/>
    <s v="2026"/>
  </r>
  <r>
    <n v="11"/>
    <x v="8"/>
    <n v="10492"/>
    <s v="UNIFERTIL RIO GRANDE UN1"/>
    <n v="3"/>
    <s v="RS"/>
    <s v="START ANTIDUSTING MH ADITIVO ANTI PO P/ FERTILIZANTES"/>
    <n v="32000"/>
    <n v="32000"/>
    <n v="82880"/>
    <n v="-9945.6"/>
    <n v="72934.399999999994"/>
    <n v="-24951.14"/>
    <n v="-26049.712"/>
    <n v="-195.73893697679142"/>
    <n v="21737.809063023204"/>
    <n v="0.29804603949608421"/>
    <n v="2.59"/>
    <n v="2.59"/>
    <n v="100100"/>
    <s v="START ANTIDUSTING"/>
    <s v="RIO GRANDE"/>
    <s v="Additives"/>
    <s v="Domestic"/>
    <s v="09/2026"/>
    <s v="2026"/>
  </r>
  <r>
    <n v="11"/>
    <x v="8"/>
    <n v="1953"/>
    <s v="AMAGGI - COMODORO"/>
    <n v="113"/>
    <s v="MT"/>
    <s v="MEGAMICRO ADITIVO P/ SUSPENS?O DE MICRONUTRIENTES"/>
    <n v="60000"/>
    <n v="60000"/>
    <n v="174000"/>
    <n v="-12180.000000000002"/>
    <n v="161820"/>
    <n v="-54323.613397129178"/>
    <n v="-41876.730604799995"/>
    <n v="-314.66400598390567"/>
    <n v="65304.991992086936"/>
    <n v="0.40356564078659585"/>
    <n v="2.9"/>
    <n v="2.9"/>
    <n v="100200"/>
    <s v="ADITIVO MEGAMICRO"/>
    <s v="COMODORO"/>
    <s v="Additives"/>
    <s v="Domestic"/>
    <s v="09/2026"/>
    <s v="2026"/>
  </r>
  <r>
    <n v="11"/>
    <x v="8"/>
    <n v="8414"/>
    <s v="AMAGGI - PORTO VELHO"/>
    <n v="113"/>
    <s v="RO"/>
    <s v="MEGAMICRO ADITIVO P/ SUSPENS?O DE MICRONUTRIENTES"/>
    <n v="30000"/>
    <n v="30000"/>
    <n v="94500"/>
    <n v="-6615.0000000000009"/>
    <n v="87885"/>
    <n v="-27161.806698564589"/>
    <n v="-24507.690479999997"/>
    <n v="-184.15210434232173"/>
    <n v="36031.350717093097"/>
    <n v="0.40998294040044486"/>
    <n v="3.15"/>
    <n v="3.15"/>
    <n v="100200"/>
    <s v="ADITIVO MEGAMICRO"/>
    <s v="PORTO VELHO"/>
    <s v="Additives"/>
    <s v="Domestic"/>
    <s v="09/2026"/>
    <s v="2026"/>
  </r>
  <r>
    <n v="11"/>
    <x v="8"/>
    <n v="8413"/>
    <s v="AMAGGI - SINOP"/>
    <n v="113"/>
    <s v="MT"/>
    <s v="MEGAMICRO ADITIVO P/ SUSPENS?O DE MICRONUTRIENTES"/>
    <n v="96000"/>
    <n v="96000"/>
    <n v="278400"/>
    <n v="-19488.000000000004"/>
    <n v="258912"/>
    <n v="-86917.78143540668"/>
    <n v="-70058.401919999989"/>
    <n v="-526.42259991640606"/>
    <n v="101409.39404467693"/>
    <n v="0.3916751407608644"/>
    <n v="2.9"/>
    <n v="2.9"/>
    <n v="100200"/>
    <s v="ADITIVO MEGAMICRO"/>
    <s v="SINOP"/>
    <s v="Additives"/>
    <s v="Domestic"/>
    <s v="09/2026"/>
    <s v="2026"/>
  </r>
  <r>
    <n v="11"/>
    <x v="8"/>
    <n v="452"/>
    <s v="FERTIPAR - S?O LUIS DO MARANH?O"/>
    <n v="113"/>
    <s v="MA"/>
    <s v="MEGAMICRO ADITIVO P/ SUSPENS?O DE MICRONUTRIENTES"/>
    <n v="60000"/>
    <n v="60000"/>
    <n v="211200"/>
    <n v="-14784.000000000002"/>
    <n v="196416"/>
    <n v="-54323.613397129178"/>
    <n v="-52923.054599999996"/>
    <n v="-397.66667857858431"/>
    <n v="88771.665324292248"/>
    <n v="0.45195740328838918"/>
    <n v="3.52"/>
    <n v="3.52"/>
    <n v="100200"/>
    <s v="ADITIVO MEGAMICRO"/>
    <s v="SAO LUIS"/>
    <s v="Additives"/>
    <s v="Domestic"/>
    <s v="09/2026"/>
    <s v="2026"/>
  </r>
  <r>
    <n v="11"/>
    <x v="8"/>
    <n v="252"/>
    <s v="FERTIPAR - PARANAGUA"/>
    <n v="10343"/>
    <s v="PR"/>
    <s v="MEGAMICRO BLACK ADITIVO P/ SUSPENS?O DE MICRONUTRIENTES"/>
    <n v="30000"/>
    <n v="30000"/>
    <n v="112800"/>
    <n v="-13536"/>
    <n v="99264"/>
    <n v="-51181.349999999991"/>
    <n v="-14049.6057"/>
    <n v="-105.56949284740919"/>
    <n v="33927.474807152597"/>
    <n v="0.34179032486251409"/>
    <n v="3.76"/>
    <n v="3.76"/>
    <n v="100200"/>
    <s v="ADITIVO MEGAMICRO"/>
    <s v="PARANAGUA"/>
    <s v="Additives"/>
    <s v="Domestic"/>
    <s v="09/2026"/>
    <s v="2026"/>
  </r>
  <r>
    <n v="11"/>
    <x v="8"/>
    <n v="214"/>
    <s v="UNIFERTIL - CANOAS UN1"/>
    <n v="113"/>
    <s v="RS"/>
    <s v="MEGAMICRO ADITIVO P/ SUSPENS?O DE MICRONUTRIENTES"/>
    <n v="120000"/>
    <n v="120000"/>
    <n v="370800"/>
    <n v="-44496"/>
    <n v="326304"/>
    <n v="-108647.22679425836"/>
    <n v="-96767.018399999986"/>
    <n v="-727.11258059319857"/>
    <n v="120162.64222514848"/>
    <n v="0.36825365985445618"/>
    <n v="3.09"/>
    <n v="3.09"/>
    <n v="100200"/>
    <s v="ADITIVO MEGAMICRO"/>
    <s v="CANOAS"/>
    <s v="Additives"/>
    <s v="Domestic"/>
    <s v="09/2026"/>
    <s v="2026"/>
  </r>
  <r>
    <n v="11"/>
    <x v="8"/>
    <n v="14632"/>
    <s v="BIGFERTIL - CANDEIAS"/>
    <n v="113"/>
    <s v="BA"/>
    <s v="MEGAMICRO ADITIVO P/ SUSPENS?O DE MICRONUTRIENTES"/>
    <n v="30000"/>
    <n v="30000"/>
    <n v="109500"/>
    <n v="-7665.0000000000009"/>
    <n v="101835"/>
    <n v="-27161.806698564589"/>
    <n v="-21548.474999999999"/>
    <n v="-161.91640007271349"/>
    <n v="52962.801901362705"/>
    <n v="0.52008446900734229"/>
    <n v="3.65"/>
    <n v="3.65"/>
    <n v="100200"/>
    <s v="ADITIVO MEGAMICRO"/>
    <s v="CANDEIAS"/>
    <s v="Additives"/>
    <s v="Domestic"/>
    <s v="09/2026"/>
    <s v="2026"/>
  </r>
  <r>
    <n v="11"/>
    <x v="8"/>
    <n v="12073"/>
    <s v="FERTILIZE - GUARAMIRIM-SC"/>
    <n v="113"/>
    <s v="SC"/>
    <s v="MEGAMICRO ADITIVO P/ SUSPENS?O DE MICRONUTRIENTES"/>
    <n v="15000"/>
    <n v="15000"/>
    <n v="48150"/>
    <n v="-5778"/>
    <n v="42372"/>
    <n v="-13580.903349282295"/>
    <n v="0"/>
    <n v="0"/>
    <n v="28791.096650717707"/>
    <n v="0.67948401422443372"/>
    <n v="3.21"/>
    <n v="3.21"/>
    <n v="100200"/>
    <s v="ADITIVO MEGAMICRO"/>
    <s v="GUARAMIRIM"/>
    <s v="Additives"/>
    <s v="Domestic"/>
    <s v="09/2026"/>
    <s v="2026"/>
  </r>
  <r>
    <n v="11"/>
    <x v="8"/>
    <n v="456"/>
    <s v="FERTIPAR - CANDEIAS"/>
    <n v="113"/>
    <s v="BA"/>
    <s v="MEGAMICRO ADITIVO P/ SUSPENS?O DE MICRONUTRIENTES"/>
    <n v="30000"/>
    <n v="30000"/>
    <n v="100200"/>
    <n v="-7014.0000000000009"/>
    <n v="93186"/>
    <n v="-27161.806698564589"/>
    <n v="-21548.474999999999"/>
    <n v="-161.91640007271349"/>
    <n v="44313.801901362705"/>
    <n v="0.4755414107415567"/>
    <n v="3.34"/>
    <n v="3.34"/>
    <n v="100200"/>
    <s v="ADITIVO MEGAMICRO"/>
    <s v="CANDEIAS"/>
    <s v="Additives"/>
    <s v="Domestic"/>
    <s v="09/2026"/>
    <s v="2026"/>
  </r>
  <r>
    <n v="11"/>
    <x v="8"/>
    <n v="10492"/>
    <s v="UNIFERTIL RIO GRANDE UN1"/>
    <n v="113"/>
    <s v="RS"/>
    <s v="MEGAMICRO ADITIVO P/ SUSPENS?O DE MICRONUTRIENTES"/>
    <n v="96000"/>
    <n v="96000"/>
    <n v="296640"/>
    <n v="-35596.799999999996"/>
    <n v="261043.20000000001"/>
    <n v="-86917.78143540668"/>
    <n v="-78149.135999999999"/>
    <n v="-587.21681093037421"/>
    <n v="95389.065753662959"/>
    <n v="0.36541486525472777"/>
    <n v="3.09"/>
    <n v="3.09"/>
    <n v="100200"/>
    <s v="ADITIVO MEGAMICRO"/>
    <s v="RIO GRANDE"/>
    <s v="Additives"/>
    <s v="Domestic"/>
    <s v="09/2026"/>
    <s v="2026"/>
  </r>
  <r>
    <n v="11"/>
    <x v="8"/>
    <n v="2588"/>
    <s v="FERTILIZ. TOCANTINS - SINOP"/>
    <n v="6564"/>
    <s v="MT"/>
    <s v="MEGAMICRO PLUS ADITIVO P/ SUSPENS?O DE MICRONUTRIENTES"/>
    <n v="128000"/>
    <n v="128000"/>
    <n v="400640"/>
    <n v="-28044.800000000003"/>
    <n v="372595.20000000001"/>
    <n v="-122111.62838709677"/>
    <n v="-93411.202560000005"/>
    <n v="-701.89679988854152"/>
    <n v="156370.47225301468"/>
    <n v="0.41967924507082938"/>
    <n v="3.13"/>
    <n v="3.13"/>
    <n v="100200"/>
    <s v="ADITIVO MEGAMICRO"/>
    <s v="SINOP"/>
    <s v="Additives"/>
    <s v="Domestic"/>
    <s v="09/2026"/>
    <s v="2026"/>
  </r>
  <r>
    <n v="11"/>
    <x v="8"/>
    <n v="205"/>
    <s v="FERTIPAR - RONDONOPOLIS"/>
    <n v="6564"/>
    <s v="MT"/>
    <s v="MEGAMICRO PLUS ADITIVO P/ SUSPENS?O DE MICRONUTRIENTES"/>
    <n v="120000"/>
    <n v="120000"/>
    <n v="302400"/>
    <n v="-21168.000000000004"/>
    <n v="281232"/>
    <n v="-114479.65161290322"/>
    <n v="-47923.808400000002"/>
    <n v="-360.10207376171479"/>
    <n v="118468.43791333504"/>
    <n v="0.4212480724573841"/>
    <n v="2.52"/>
    <n v="2.52"/>
    <n v="100200"/>
    <s v="ADITIVO MEGAMICRO"/>
    <s v="RONDONOPOLIS"/>
    <s v="Additives"/>
    <s v="Domestic"/>
    <s v="09/2026"/>
    <s v="2026"/>
  </r>
  <r>
    <n v="11"/>
    <x v="8"/>
    <n v="5182"/>
    <s v="FERTIPAR SINOP"/>
    <n v="113"/>
    <s v="MT"/>
    <s v="MEGAMICRO ADITIVO P/ SUSPENS?O DE MICRONUTRIENTES"/>
    <n v="90000"/>
    <n v="90000"/>
    <n v="242100"/>
    <n v="-16947"/>
    <n v="225153"/>
    <n v="-81485.420095693771"/>
    <n v="-65679.751799999998"/>
    <n v="-493.52118742163077"/>
    <n v="77494.306916884583"/>
    <n v="0.34418509598754882"/>
    <n v="2.69"/>
    <n v="2.69"/>
    <n v="100200"/>
    <s v="ADITIVO MEGAMICRO"/>
    <s v="SINOP"/>
    <s v="Additives"/>
    <s v="Domestic"/>
    <s v="09/2026"/>
    <s v="2026"/>
  </r>
  <r>
    <n v="13"/>
    <x v="8"/>
    <n v="2648"/>
    <s v="SQM - CHILE"/>
    <n v="13025"/>
    <s v="EX"/>
    <s v="UREMAX COAT GREEN ADITIVO INIBIDOR DE UREASE P/ FERTILIZANTES"/>
    <n v="11000"/>
    <n v="11000"/>
    <n v="274654.7194671359"/>
    <n v="0"/>
    <n v="274654.7194671359"/>
    <n v="-68212.22"/>
    <n v="0"/>
    <n v="-1711.6313521028851"/>
    <n v="204730.86811503302"/>
    <n v="0.74541179744603048"/>
    <n v="24.968610860648717"/>
    <n v="24.968610860648717"/>
    <n v="100300"/>
    <s v="UREMAX"/>
    <s v="SANTIAGO"/>
    <s v="Additives"/>
    <s v="International"/>
    <s v="09/2026"/>
    <s v="2026"/>
  </r>
  <r>
    <n v="13"/>
    <x v="8"/>
    <n v="5209"/>
    <s v="NUTRISOYA - CATAL?O"/>
    <n v="8217"/>
    <s v="GO"/>
    <s v="UREMAX NBPT AMARELO ADITIVO INIBIDOR DE UREASE P/ FERTILIZANTES"/>
    <n v="3000"/>
    <n v="3000"/>
    <n v="90103.246890873474"/>
    <n v="-6300.0000000000009"/>
    <n v="83803.246890873474"/>
    <n v="-43102.622000000003"/>
    <n v="-2121.6959999999981"/>
    <n v="-15.942537853313313"/>
    <n v="38562.986353020162"/>
    <n v="0.46016100549464312"/>
    <n v="30.034415630291157"/>
    <n v="30.034415630291157"/>
    <n v="100300"/>
    <s v="UREMAX"/>
    <s v="CATALAO"/>
    <s v="Additives"/>
    <s v="Domestic"/>
    <s v="09/2026"/>
    <s v="2026"/>
  </r>
  <r>
    <n v="13"/>
    <x v="8"/>
    <n v="215"/>
    <s v="UNIFERTIL - CANOAS UN2"/>
    <n v="8216"/>
    <s v="RS"/>
    <s v="UREMAX NBPT ROXO ADITIVO INIBIDOR DE UREASE P/ FERTILIZANTES"/>
    <n v="24000"/>
    <n v="24000"/>
    <n v="746535.43490651704"/>
    <n v="-89481.599999999991"/>
    <n v="657053.83490651706"/>
    <n v="-228901.05"/>
    <n v="-18675.345000000001"/>
    <n v="-140.32754672968503"/>
    <n v="409337.11235978734"/>
    <n v="0.6229886968364261"/>
    <n v="31.105643121104876"/>
    <n v="31.105643121104876"/>
    <n v="100300"/>
    <s v="UREMAX"/>
    <s v="CANOAS"/>
    <s v="Additives"/>
    <s v="Domestic"/>
    <s v="09/2026"/>
    <s v="2026"/>
  </r>
  <r>
    <n v="13"/>
    <x v="8"/>
    <n v="9295"/>
    <s v="TECNOMYL S.A. - PARAGUAY"/>
    <n v="8204"/>
    <s v="EX"/>
    <s v="NITROPROTEC BLUE - ADITIVO INIBIDOR DE UREASE P/ FERTILIZANTE NITROGENADO"/>
    <n v="3300"/>
    <n v="3300"/>
    <n v="165820.30903899379"/>
    <n v="0"/>
    <n v="165820.30903899379"/>
    <n v="-65229.297999999995"/>
    <n v="0"/>
    <n v="-513.48940563086546"/>
    <n v="100077.52163336292"/>
    <n v="0.60352994282400596"/>
    <n v="50.248578496664784"/>
    <n v="50.248578496664784"/>
    <n v="100300"/>
    <s v="UREMAX"/>
    <s v="ASSUNCION"/>
    <s v="Additives"/>
    <s v="International"/>
    <s v="09/2026"/>
    <s v="2026"/>
  </r>
  <r>
    <n v="13"/>
    <x v="8"/>
    <n v="2655"/>
    <s v="EQUILIBRA PERU S.A"/>
    <n v="8203"/>
    <s v="EX"/>
    <s v="NITROPROTEC YELLOW - ADITIVO INIBIDOR DE UREASE P/ FERTILIZANTE NITROGENADO"/>
    <n v="11000"/>
    <n v="11000"/>
    <n v="455261.67212395341"/>
    <n v="0"/>
    <n v="455261.67212395341"/>
    <n v="-227209.28000000003"/>
    <n v="-9057.2866560000002"/>
    <n v="-1779.6882911561659"/>
    <n v="217215.4171767972"/>
    <n v="0.47712212662975129"/>
    <n v="41.38742473854122"/>
    <n v="41.38742473854122"/>
    <n v="100300"/>
    <s v="UREMAX"/>
    <s v="LIMA"/>
    <s v="Additives"/>
    <s v="International"/>
    <s v="09/2026"/>
    <s v="2026"/>
  </r>
  <r>
    <n v="13"/>
    <x v="8"/>
    <n v="1936"/>
    <s v="CIBRA - PARANAGUA II"/>
    <n v="8218"/>
    <s v="PR"/>
    <s v="UREMAX NBPT LARANJA ADITIVO INIBIDOR DE UREASE P/ FERTILIZANTES"/>
    <n v="10000"/>
    <n v="10000"/>
    <n v="300143.9268653763"/>
    <n v="-35976"/>
    <n v="264167.9268653763"/>
    <n v="-115359.73043478261"/>
    <n v="0"/>
    <n v="0"/>
    <n v="148808.19643059367"/>
    <n v="0.56330909734711443"/>
    <n v="30.014392686537629"/>
    <n v="30.014392686537629"/>
    <n v="100300"/>
    <s v="UREMAX"/>
    <s v="PARANAGUA"/>
    <s v="Additives"/>
    <s v="Domestic"/>
    <s v="09/2026"/>
    <s v="2026"/>
  </r>
  <r>
    <n v="13"/>
    <x v="8"/>
    <n v="16073"/>
    <s v="IMEX SUL INSUMOS - RIO GRANDE"/>
    <n v="8218"/>
    <s v="RS"/>
    <s v="UREMAX NBPT LARANJA ADITIVO INIBIDOR DE UREASE P/ FERTILIZANTES"/>
    <n v="3000"/>
    <n v="3000"/>
    <n v="75086.039075727895"/>
    <n v="-9000"/>
    <n v="66086.039075727895"/>
    <n v="-34607.919130434784"/>
    <n v="-14498.255999999972"/>
    <n v="-108.9406753309742"/>
    <n v="16870.923269962164"/>
    <n v="0.25528725137588892"/>
    <n v="25.0286796919093"/>
    <n v="25.0286796919093"/>
    <n v="100300"/>
    <s v="UREMAX"/>
    <s v="RIO GRANDE"/>
    <s v="Additives"/>
    <s v="Domestic"/>
    <s v="09/2026"/>
    <s v="2026"/>
  </r>
  <r>
    <n v="13"/>
    <x v="8"/>
    <n v="2352"/>
    <s v="BR FERTIL - PARANAGUA"/>
    <n v="8225"/>
    <s v="PR"/>
    <s v="UREMAX COAT AZUL ADITIVO INIBIDOR DE UREASE P/ FERTILIZANTES"/>
    <n v="12000"/>
    <n v="12000"/>
    <n v="288330.39005079516"/>
    <n v="-34560"/>
    <n v="253770.39005079516"/>
    <n v="-75328.445999999996"/>
    <n v="-9901.2479999999723"/>
    <n v="-74.398509982128658"/>
    <n v="168466.29754081307"/>
    <n v="0.66385324744582119"/>
    <n v="24.02753250423293"/>
    <n v="24.02753250423293"/>
    <n v="100300"/>
    <s v="UREMAX"/>
    <s v="PARANAGUA"/>
    <s v="Additives"/>
    <s v="Domestic"/>
    <s v="09/2026"/>
    <s v="2026"/>
  </r>
  <r>
    <n v="13"/>
    <x v="8"/>
    <n v="2622"/>
    <s v="ADUFERTIL JUNDIAI"/>
    <n v="8215"/>
    <s v="SP"/>
    <s v="UREMAX NBPT VERDE ADITIVO INIBIDOR DE UREASE P/ FERTILIZANTES"/>
    <n v="24000"/>
    <n v="24000"/>
    <n v="832073.45062158629"/>
    <n v="-99734.399999999994"/>
    <n v="732339.05062158627"/>
    <n v="-301942.28499999997"/>
    <n v="-8810.9319999999989"/>
    <n v="-66.205816918620613"/>
    <n v="421519.62780466769"/>
    <n v="0.57557988672991711"/>
    <n v="34.66972710923276"/>
    <n v="34.66972710923276"/>
    <n v="100300"/>
    <s v="UREMAX"/>
    <s v="JUNDIAI"/>
    <s v="Additives"/>
    <s v="Domestic"/>
    <s v="09/2026"/>
    <s v="2026"/>
  </r>
  <r>
    <n v="13"/>
    <x v="8"/>
    <n v="11212"/>
    <s v="INPEK FERTILIZANTES - PARANAGUA"/>
    <n v="8224"/>
    <s v="PR"/>
    <s v="UREMAX COAT VERDE ADITIVO INIBIDOR DE UREASE P/ FERTILIZANTES"/>
    <n v="4000"/>
    <n v="4000"/>
    <n v="97311.506642143358"/>
    <n v="-11664"/>
    <n v="85647.506642143358"/>
    <n v="-26609.870000000003"/>
    <n v="-9901.2479999999723"/>
    <n v="-74.398509982128658"/>
    <n v="49061.990132161256"/>
    <n v="0.57283617533846587"/>
    <n v="24.327876660535839"/>
    <n v="24.327876660535839"/>
    <n v="100300"/>
    <s v="UREMAX"/>
    <s v="PARANAGUA"/>
    <s v="Additives"/>
    <s v="Domestic"/>
    <s v="09/2026"/>
    <s v="2026"/>
  </r>
  <r>
    <n v="13"/>
    <x v="8"/>
    <n v="6124"/>
    <s v="MOSAIC - UBERABA II"/>
    <n v="8215"/>
    <s v="MG"/>
    <s v="UREMAX NBPT VERDE ADITIVO INIBIDOR DE UREASE P/ FERTILIZANTES"/>
    <n v="24000"/>
    <n v="24000"/>
    <n v="870517.50262835901"/>
    <n v="0"/>
    <n v="870517.50262835901"/>
    <n v="-301942.28499999997"/>
    <n v="-4003.2278000000001"/>
    <n v="-30.080468991286327"/>
    <n v="564541.9093593678"/>
    <n v="0.64851299101378523"/>
    <n v="36.271562609514959"/>
    <n v="36.271562609514959"/>
    <n v="100300"/>
    <s v="UREMAX"/>
    <s v="UBERABA"/>
    <s v="Additives"/>
    <s v="Domestic"/>
    <s v="09/2026"/>
    <s v="2026"/>
  </r>
  <r>
    <n v="13"/>
    <x v="8"/>
    <n v="7662"/>
    <s v="BENTONIT UNIAO - BOA VISTA"/>
    <n v="7"/>
    <s v="PB"/>
    <s v="UREMAX NBPT ADITIVO INIBIDOR DE UREASE P/ FERTILIZANTES"/>
    <n v="4000"/>
    <n v="4000"/>
    <n v="156219.00716502109"/>
    <n v="-24346.141000000003"/>
    <n v="131872.86616502109"/>
    <n v="-35015.440000000002"/>
    <n v="0"/>
    <n v="0"/>
    <n v="96857.426165021083"/>
    <n v="0.73447577945122611"/>
    <n v="39.054751791255271"/>
    <n v="39.054751791255271"/>
    <n v="100300"/>
    <s v="UREMAX"/>
    <s v="BOA VISTA "/>
    <s v="Additives"/>
    <s v="Domestic"/>
    <s v="09/2026"/>
    <s v="2026"/>
  </r>
  <r>
    <n v="13"/>
    <x v="8"/>
    <n v="5731"/>
    <s v="FERTILIZANTES ALIANCA - APARECIDA DE GOI"/>
    <n v="8214"/>
    <s v="GO"/>
    <s v="UREMAX NBPT AZUL ADITIVO INIBIDOR DE UREASE P/ FERTILIZANTES"/>
    <n v="1000"/>
    <n v="1000"/>
    <n v="32036.710005643905"/>
    <n v="-2240"/>
    <n v="29796.710005643905"/>
    <n v="-9143.4756250000009"/>
    <n v="-3500.7983999999979"/>
    <n v="-26.305187457966976"/>
    <n v="17126.130793185934"/>
    <n v="0.57476583119216884"/>
    <n v="32.036710005643904"/>
    <n v="32.036710005643904"/>
    <n v="100300"/>
    <s v="UREMAX"/>
    <s v="APARECIDA DE GOIANIA"/>
    <s v="Additives"/>
    <s v="Domestic"/>
    <s v="09/2026"/>
    <s v="2026"/>
  </r>
  <r>
    <n v="13"/>
    <x v="8"/>
    <n v="2678"/>
    <s v="LOUIS DREYFUS - URUGUAI"/>
    <n v="11792"/>
    <s v="EX"/>
    <s v="NITROPROTEC DUO BLUE/L - ADITIVO INIBIDOR DE UREASE P/ FERTILIZANTE NITROGENADO"/>
    <n v="4000"/>
    <n v="4000"/>
    <n v="176201.90503104148"/>
    <n v="0"/>
    <n v="176201.90503104148"/>
    <n v="-56784"/>
    <n v="-21958.799999999999"/>
    <n v="-787.41100495554815"/>
    <n v="96671.694026085926"/>
    <n v="0.54864159390930123"/>
    <n v="44.050476257760366"/>
    <n v="44.050476257760366"/>
    <n v="100300"/>
    <s v="UREMAX"/>
    <s v="MONTEVIDEO"/>
    <s v="Additives"/>
    <s v="International"/>
    <s v="09/2026"/>
    <s v="2026"/>
  </r>
  <r>
    <n v="13"/>
    <x v="8"/>
    <n v="97"/>
    <s v="FECOAGRO - SAO FRANCISCO DO SUL"/>
    <n v="8223"/>
    <s v="SC"/>
    <s v="UREMAX PLUS AZUL ADITIVO P/ INIBIR A NITRIFICACAO E VOLATIZACAO P/ FERTILIZANTES"/>
    <n v="12000"/>
    <n v="12000"/>
    <n v="456523.11758042563"/>
    <n v="-54720"/>
    <n v="401803.11758042563"/>
    <n v="-138830.77000000002"/>
    <n v="-9901.2479999999723"/>
    <n v="-74.398509982128658"/>
    <n v="252996.70107044352"/>
    <n v="0.62965340486638521"/>
    <n v="38.043593131702139"/>
    <n v="38.043593131702139"/>
    <n v="100300"/>
    <s v="UREMAX"/>
    <s v="SAO FRANCISCO DO SUL"/>
    <s v="Additives"/>
    <s v="Domestic"/>
    <s v="09/2026"/>
    <s v="2026"/>
  </r>
  <r>
    <n v="13"/>
    <x v="8"/>
    <n v="2247"/>
    <s v="ADUBOS LEAO - LARANJEIRAS"/>
    <n v="8225"/>
    <s v="SE"/>
    <s v="UREMAX COAT AZUL ADITIVO INIBIDOR DE UREASE P/ FERTILIZANTES"/>
    <n v="1000"/>
    <n v="1000"/>
    <n v="30605.069527266693"/>
    <n v="-2139.9"/>
    <n v="28465.169527266691"/>
    <n v="-6277.3705"/>
    <n v="-12188.49139872"/>
    <n v="-91.584979892914689"/>
    <n v="9907.7226486537766"/>
    <n v="0.34806476874002812"/>
    <n v="30.605069527266693"/>
    <n v="30.605069527266693"/>
    <n v="100300"/>
    <s v="UREMAX"/>
    <s v="LARANJEIRAS"/>
    <s v="Additives"/>
    <s v="Domestic"/>
    <s v="09/2026"/>
    <s v="2026"/>
  </r>
  <r>
    <n v="13"/>
    <x v="8"/>
    <n v="466"/>
    <s v="ADUBOS ARAGUAIA - SORRISO"/>
    <n v="8214"/>
    <s v="MT"/>
    <s v="UREMAX NBPT AZUL ADITIVO INIBIDOR DE UREASE P/ FERTILIZANTES"/>
    <n v="12000"/>
    <n v="12000"/>
    <n v="455682.15394277748"/>
    <n v="-31861.200000000004"/>
    <n v="423820.95394277747"/>
    <n v="-109721.70750000002"/>
    <n v="-15993.757"/>
    <n v="-120.17795027619179"/>
    <n v="297985.31149250129"/>
    <n v="0.70309244675225291"/>
    <n v="37.973512828564793"/>
    <n v="37.973512828564793"/>
    <n v="100300"/>
    <s v="UREMAX"/>
    <s v="SORRISO"/>
    <s v="Additives"/>
    <s v="Domestic"/>
    <s v="09/2026"/>
    <s v="2026"/>
  </r>
  <r>
    <n v="13"/>
    <x v="8"/>
    <n v="13390"/>
    <s v="HERINGER - VIANA"/>
    <n v="8217"/>
    <s v="ES"/>
    <s v="UREMAX NBPT AMARELO ADITIVO INIBIDOR DE UREASE P/ FERTILIZANTES"/>
    <n v="12000"/>
    <n v="12000"/>
    <n v="409309.01620960794"/>
    <n v="-28618.800000000003"/>
    <n v="380690.21620960796"/>
    <n v="-172410.48800000001"/>
    <n v="-10254.863999999958"/>
    <n v="-77.055599624347437"/>
    <n v="197947.80860998365"/>
    <n v="0.51997083240246345"/>
    <n v="34.109084684133997"/>
    <n v="34.109084684133997"/>
    <n v="100300"/>
    <s v="UREMAX"/>
    <s v="VIANA"/>
    <s v="Additives"/>
    <s v="Domestic"/>
    <s v="09/2026"/>
    <s v="2026"/>
  </r>
  <r>
    <n v="13"/>
    <x v="8"/>
    <n v="10207"/>
    <s v="JOSAPAR - RIO GRANDE"/>
    <n v="8214"/>
    <s v="RS"/>
    <s v="UREMAX NBPT AZUL ADITIVO INIBIDOR DE UREASE P/ FERTILIZANTES"/>
    <n v="12000"/>
    <n v="12000"/>
    <n v="450996.78510445205"/>
    <n v="-54057.599999999999"/>
    <n v="396939.18510445207"/>
    <n v="-109721.70750000002"/>
    <n v="-14498.255999999972"/>
    <n v="-108.9406753309742"/>
    <n v="272610.28092912107"/>
    <n v="0.68678097592553222"/>
    <n v="37.583065425371004"/>
    <n v="37.583065425371004"/>
    <n v="100300"/>
    <s v="UREMAX"/>
    <s v="RIO GRANDE"/>
    <s v="Additives"/>
    <s v="Domestic"/>
    <s v="09/2026"/>
    <s v="2026"/>
  </r>
  <r>
    <n v="13"/>
    <x v="8"/>
    <n v="139"/>
    <s v="COMIGO - RIO VERDE"/>
    <n v="8225"/>
    <s v="GO"/>
    <s v="UREMAX COAT AZUL ADITIVO INIBIDOR DE UREASE P/ FERTILIZANTES"/>
    <n v="27000"/>
    <n v="27000"/>
    <n v="696798.44262275554"/>
    <n v="-48720.000000000044"/>
    <n v="648078.44262275554"/>
    <n v="-169489.00349999999"/>
    <n v="-6320.8859999999995"/>
    <n v="-47.495477354662619"/>
    <n v="472221.05764540087"/>
    <n v="0.72864799473090835"/>
    <n v="25.807349726768724"/>
    <n v="25.807349726768724"/>
    <n v="100300"/>
    <s v="UREMAX"/>
    <s v="RIO VERDE"/>
    <s v="Additives"/>
    <s v="Domestic"/>
    <s v="09/2026"/>
    <s v="2026"/>
  </r>
  <r>
    <n v="13"/>
    <x v="8"/>
    <n v="2975"/>
    <s v="COONAGRO COOPERATIVA - PARANAGUA"/>
    <n v="8218"/>
    <s v="PR"/>
    <s v="UREMAX NBPT LARANJA ADITIVO INIBIDOR DE UREASE P/ FERTILIZANTES"/>
    <n v="10000"/>
    <n v="10000"/>
    <n v="300143.9268653763"/>
    <n v="-35976"/>
    <n v="264167.9268653763"/>
    <n v="-115359.73043478261"/>
    <n v="-9901.2479999999723"/>
    <n v="-74.398509982128658"/>
    <n v="138832.54992061158"/>
    <n v="0.52554657776968738"/>
    <n v="30.014392686537629"/>
    <n v="30.014392686537629"/>
    <n v="100300"/>
    <s v="UREMAX"/>
    <s v="PARANAGUA"/>
    <s v="Additives"/>
    <s v="Domestic"/>
    <s v="09/2026"/>
    <s v="2026"/>
  </r>
  <r>
    <n v="13"/>
    <x v="8"/>
    <n v="3142"/>
    <s v="INTERFERTIL - SAO FRANCISCO DO SUL"/>
    <n v="8214"/>
    <s v="SC"/>
    <s v="UREMAX NBPT AZUL ADITIVO INIBIDOR DE UREASE P/ FERTILIZANTES"/>
    <n v="3000"/>
    <n v="3000"/>
    <n v="98452.814436094428"/>
    <n v="-11800.8"/>
    <n v="86652.014436094425"/>
    <n v="-27430.426875000005"/>
    <n v="-9901.2479999999723"/>
    <n v="-74.398509982128658"/>
    <n v="49245.941051112321"/>
    <n v="0.56831847905199062"/>
    <n v="32.817604812031476"/>
    <n v="32.817604812031476"/>
    <n v="100300"/>
    <s v="UREMAX"/>
    <s v="SAO FRANCISCO DO SUL"/>
    <s v="Additives"/>
    <s v="Domestic"/>
    <s v="09/2026"/>
    <s v="2026"/>
  </r>
  <r>
    <n v="13"/>
    <x v="8"/>
    <n v="10891"/>
    <s v="HINOVE - RIO BRILHANTE"/>
    <n v="8214"/>
    <s v="MS"/>
    <s v="UREMAX NBPT AZUL ADITIVO INIBIDOR DE UREASE P/ FERTILIZANTES"/>
    <n v="4000"/>
    <n v="4000"/>
    <n v="124542.71014694068"/>
    <n v="-8708"/>
    <n v="115834.71014694068"/>
    <n v="-36573.902500000004"/>
    <n v="-7691.1480000000047"/>
    <n v="-57.791699718260851"/>
    <n v="71511.867947222403"/>
    <n v="0.61736130609302609"/>
    <n v="31.135677536735169"/>
    <n v="31.135677536735169"/>
    <n v="100300"/>
    <s v="UREMAX"/>
    <s v="RIO BRILHANTE"/>
    <s v="Additives"/>
    <s v="Domestic"/>
    <s v="09/2026"/>
    <s v="2026"/>
  </r>
  <r>
    <n v="13"/>
    <x v="8"/>
    <n v="10492"/>
    <s v="UNIFERTIL RIO GRANDE UN1"/>
    <n v="8216"/>
    <s v="RS"/>
    <s v="UREMAX NBPT ROXO ADITIVO INIBIDOR DE UREASE P/ FERTILIZANTES"/>
    <n v="24000"/>
    <n v="24000"/>
    <n v="746535.43490651704"/>
    <n v="-89481.599999999991"/>
    <n v="657053.83490651706"/>
    <n v="-228901.05"/>
    <n v="-25187.772999999997"/>
    <n v="-189.26228097388287"/>
    <n v="402775.74962554319"/>
    <n v="0.61300266162033512"/>
    <n v="31.105643121104876"/>
    <n v="31.105643121104876"/>
    <n v="100300"/>
    <s v="UREMAX"/>
    <s v="RIO GRANDE"/>
    <s v="Additives"/>
    <s v="Domestic"/>
    <s v="09/2026"/>
    <s v="2026"/>
  </r>
  <r>
    <n v="11"/>
    <x v="8"/>
    <n v="507"/>
    <s v="FERTIAL FERTILIZANTES USIFERTIL - MACEIO"/>
    <n v="14142"/>
    <s v="AL"/>
    <s v="MAX OIL MT IBC ADITIVO ANTI-PO P/ FERTILIZANTES"/>
    <n v="12000"/>
    <n v="12000"/>
    <n v="72960"/>
    <n v="-5107.2000000000007"/>
    <n v="67852.800000000003"/>
    <n v="-37764.564444444441"/>
    <n v="-21003.719143679999"/>
    <n v="-157.82307527019904"/>
    <n v="8926.6933366053654"/>
    <n v="0.13155969004382081"/>
    <n v="6.08"/>
    <n v="6.08"/>
    <n v="100700"/>
    <s v="MAX OIL"/>
    <s v="MACEIO"/>
    <s v="Additives"/>
    <s v="Domestic"/>
    <s v="09/2026"/>
    <s v="2026"/>
  </r>
  <r>
    <n v="11"/>
    <x v="8"/>
    <n v="8995"/>
    <s v="FERTIPOL - DOURADOS"/>
    <n v="3351"/>
    <s v="MS"/>
    <s v="MAX OIL MT ADITIVO ANTI-PO P/ FERTILIZANTES"/>
    <n v="30000"/>
    <n v="30000"/>
    <n v="160200"/>
    <n v="-11214.000000000002"/>
    <n v="148986"/>
    <n v="-95443.8676923077"/>
    <n v="-11914.507987199999"/>
    <n v="-89.526253803344105"/>
    <n v="41538.098066688959"/>
    <n v="0.27880537813411299"/>
    <n v="5.34"/>
    <n v="5.34"/>
    <n v="100700"/>
    <s v="MAX OIL"/>
    <s v="DOURADOS"/>
    <s v="Additives"/>
    <s v="Domestic"/>
    <s v="09/2026"/>
    <s v="2026"/>
  </r>
  <r>
    <n v="11"/>
    <x v="8"/>
    <n v="5300"/>
    <s v="FOSNOR - LUIS EDUARDO MAGALHAES"/>
    <n v="4246"/>
    <s v="BA"/>
    <s v="MAX OIL GRGL ADITIVO ANTI-PO P/ FERTILIZANTES"/>
    <n v="150000"/>
    <n v="150000"/>
    <n v="877500"/>
    <n v="-61425.000000000007"/>
    <n v="816075"/>
    <n v="-395655.75"/>
    <n v="-77419.165823999996"/>
    <n v="-581.73177576856517"/>
    <n v="342418.35240023141"/>
    <n v="0.41959176840392293"/>
    <n v="5.85"/>
    <n v="5.85"/>
    <n v="100700"/>
    <s v="MAX OIL"/>
    <s v="LUIS EDUARDO MAGALHAES"/>
    <s v="Additives"/>
    <s v="Domestic"/>
    <s v="09/2026"/>
    <s v="2026"/>
  </r>
  <r>
    <n v="11"/>
    <x v="8"/>
    <n v="1789"/>
    <s v="MOSAIC - ARAXA (CMA)"/>
    <n v="3359"/>
    <s v="MG"/>
    <s v="MAX OIL GRV ADITIVO ANTI-PO P/ FERTILIZANTES"/>
    <n v="300000"/>
    <n v="300000"/>
    <n v="1164000"/>
    <n v="0"/>
    <n v="1164000"/>
    <n v="-737077.5"/>
    <n v="-31671.476927999996"/>
    <n v="-237.98118099623113"/>
    <n v="395013.04189100378"/>
    <n v="0.3393582834115153"/>
    <n v="3.88"/>
    <n v="3.88"/>
    <n v="100700"/>
    <s v="MAX OIL"/>
    <s v="ARAXA"/>
    <s v="Additives"/>
    <s v="Domestic"/>
    <s v="09/2026"/>
    <s v="2026"/>
  </r>
  <r>
    <n v="11"/>
    <x v="8"/>
    <n v="2619"/>
    <s v="FOSPAR - PARANAGUA"/>
    <n v="4552"/>
    <s v="PR"/>
    <s v="MAX OIL GRMO ADITIVO ANTI-PO P/ FERTILIZANTES"/>
    <n v="60000"/>
    <n v="60000"/>
    <n v="384000"/>
    <n v="-46080"/>
    <n v="337920"/>
    <n v="-180941.22"/>
    <n v="-28099.2114"/>
    <n v="-211.13898569481839"/>
    <n v="128668.42961430518"/>
    <n v="0.38076594937945424"/>
    <n v="6.4"/>
    <n v="6.4"/>
    <n v="100700"/>
    <s v="MAX OIL"/>
    <s v="PARANAGUA"/>
    <s v="Additives"/>
    <s v="Domestic"/>
    <s v="09/2026"/>
    <s v="2026"/>
  </r>
  <r>
    <n v="11"/>
    <x v="8"/>
    <n v="12629"/>
    <s v="EUROCHEM SERRA DO SALITRE"/>
    <n v="3359"/>
    <s v="MG"/>
    <s v="MAX OIL GRV ADITIVO ANTI-PO P/ FERTILIZANTES"/>
    <n v="120000"/>
    <n v="120000"/>
    <n v="654000"/>
    <n v="-117720"/>
    <n v="536280"/>
    <n v="-294831"/>
    <n v="-16891.454361600001"/>
    <n v="-126.92329653132332"/>
    <n v="224430.6223418687"/>
    <n v="0.41849523074115891"/>
    <n v="5.45"/>
    <n v="5.45"/>
    <n v="100700"/>
    <s v="MAX OIL"/>
    <s v="SERRA DO SALITRE"/>
    <s v="Additives"/>
    <s v="Domestic"/>
    <s v="09/2026"/>
    <s v="2026"/>
  </r>
  <r>
    <n v="11"/>
    <x v="8"/>
    <n v="201"/>
    <s v="JOSAPAR - PELOTAS"/>
    <n v="14142"/>
    <s v="RS"/>
    <s v="MAX OIL MT IBC ADITIVO ANTI-PO P/ FERTILIZANTES"/>
    <n v="11400"/>
    <n v="11400"/>
    <n v="87666"/>
    <n v="-10519.92"/>
    <n v="77146.080000000002"/>
    <n v="-35876.336222222228"/>
    <n v="-20182.774352831999"/>
    <n v="-151.65445195961416"/>
    <n v="20935.314972986162"/>
    <n v="0.27137237527799418"/>
    <n v="7.69"/>
    <n v="7.69"/>
    <n v="100700"/>
    <s v="MAX OIL"/>
    <s v="PELOTAS"/>
    <s v="Additives"/>
    <s v="Domestic"/>
    <s v="09/2026"/>
    <s v="2026"/>
  </r>
  <r>
    <n v="11"/>
    <x v="8"/>
    <n v="2603"/>
    <s v="MOSAIC - S?O LUIS"/>
    <n v="3362"/>
    <s v="MA"/>
    <s v="MAX OIL M-NPK ADITIVO ANTI-PO P/ FERTILIZANTES"/>
    <n v="60000"/>
    <n v="60000"/>
    <n v="386400"/>
    <n v="-27048.000000000004"/>
    <n v="359352"/>
    <n v="-190663.19999999998"/>
    <n v="0"/>
    <n v="0"/>
    <n v="168688.80000000002"/>
    <n v="0.46942496493688646"/>
    <n v="6.44"/>
    <n v="6.44"/>
    <n v="100700"/>
    <s v="MAX OIL"/>
    <s v="SAO LUIS"/>
    <s v="Additives"/>
    <s v="Domestic"/>
    <s v="09/2026"/>
    <s v="2026"/>
  </r>
  <r>
    <n v="11"/>
    <x v="8"/>
    <n v="1787"/>
    <s v="MOSAIC - UBERABA (CIU1)"/>
    <n v="3359"/>
    <s v="MG"/>
    <s v="MAX OIL GRV ADITIVO ANTI-PO P/ FERTILIZANTES"/>
    <n v="270000"/>
    <n v="270000"/>
    <n v="1047600"/>
    <n v="0"/>
    <n v="1047600"/>
    <n v="-663369.75"/>
    <n v="-21979.444499999998"/>
    <n v="-165.15472807416774"/>
    <n v="362085.65077192587"/>
    <n v="0.34563349634586282"/>
    <n v="3.88"/>
    <n v="3.88"/>
    <n v="100700"/>
    <s v="MAX OIL"/>
    <s v="UBERABA"/>
    <s v="Additives"/>
    <s v="Domestic"/>
    <s v="09/2026"/>
    <s v="2026"/>
  </r>
  <r>
    <n v="11"/>
    <x v="8"/>
    <n v="456"/>
    <s v="FERTIPAR - CANDEIAS"/>
    <n v="3353"/>
    <s v="BA"/>
    <s v="MAX OIL MTF ADITIVO ANTI-PO P/ FERTILIZANTES"/>
    <n v="30000"/>
    <n v="30000"/>
    <n v="185400"/>
    <n v="-12978.000000000002"/>
    <n v="172422"/>
    <n v="-97302.37"/>
    <n v="-21548.474999999999"/>
    <n v="-161.91640007271349"/>
    <n v="53409.238599927296"/>
    <n v="0.30975883935882481"/>
    <n v="6.18"/>
    <n v="6.18"/>
    <n v="100700"/>
    <s v="MAX OIL"/>
    <s v="CANDEIAS"/>
    <s v="Additives"/>
    <s v="Domestic"/>
    <s v="09/2026"/>
    <s v="2026"/>
  </r>
  <r>
    <n v="11"/>
    <x v="8"/>
    <n v="12741"/>
    <s v="HINOVE AGROCIENCIA - GUARA"/>
    <n v="3351"/>
    <s v="SP"/>
    <s v="MAX OIL MT ADITIVO ANTI-PO P/ FERTILIZANTES"/>
    <n v="30000"/>
    <n v="30000"/>
    <n v="175500"/>
    <n v="-21060"/>
    <n v="154440"/>
    <n v="-95443.8676923077"/>
    <n v="0"/>
    <n v="0"/>
    <n v="58996.1323076923"/>
    <n v="0.38200033869264632"/>
    <n v="5.85"/>
    <n v="5.85"/>
    <n v="100700"/>
    <s v="MAX OIL"/>
    <s v="GUARA"/>
    <s v="Additives"/>
    <s v="Domestic"/>
    <s v="09/2026"/>
    <s v="2026"/>
  </r>
  <r>
    <n v="11"/>
    <x v="8"/>
    <n v="6477"/>
    <s v="MOSAIC - PARANAGUA II"/>
    <n v="3362"/>
    <s v="PR"/>
    <s v="MAX OIL M-NPK ADITIVO ANTI-PO P/ FERTILIZANTES"/>
    <n v="300000"/>
    <n v="300000"/>
    <n v="1839000"/>
    <n v="-220680"/>
    <n v="1618320"/>
    <n v="-953316"/>
    <n v="-140496.057"/>
    <n v="-1055.694928474092"/>
    <n v="523452.24807152589"/>
    <n v="0.32345410553631287"/>
    <n v="6.13"/>
    <n v="6.13"/>
    <n v="100700"/>
    <s v="MAX OIL"/>
    <s v="PARANAGUA"/>
    <s v="Additives"/>
    <s v="Domestic"/>
    <s v="09/2026"/>
    <s v="2026"/>
  </r>
  <r>
    <n v="11"/>
    <x v="8"/>
    <n v="1792"/>
    <s v="MOSAIC - CATAL?O (CMC3)"/>
    <n v="3359"/>
    <s v="GO"/>
    <s v="MAX OIL GRV ADITIVO ANTI-PO P/ FERTILIZANTES"/>
    <n v="120000"/>
    <n v="120000"/>
    <n v="468000"/>
    <n v="-32760.000000000004"/>
    <n v="435240"/>
    <n v="-294831"/>
    <n v="-9768.6419999999998"/>
    <n v="-73.402101366296776"/>
    <n v="130566.95589863371"/>
    <n v="0.29998841075873933"/>
    <n v="3.9"/>
    <n v="3.9"/>
    <n v="100700"/>
    <s v="MAX OIL"/>
    <s v="CATALAO"/>
    <s v="Additives"/>
    <s v="Domestic"/>
    <s v="09/2026"/>
    <s v="2026"/>
  </r>
  <r>
    <n v="11"/>
    <x v="8"/>
    <n v="1788"/>
    <s v="MOSAIC - UBERABA (CIU2)"/>
    <n v="3359"/>
    <s v="MG"/>
    <s v="MAX OIL GRV ADITIVO ANTI-PO P/ FERTILIZANTES"/>
    <n v="30000"/>
    <n v="30000"/>
    <n v="116400"/>
    <n v="0"/>
    <n v="116400"/>
    <n v="-73707.75"/>
    <n v="-2442.1605"/>
    <n v="-18.350525341574194"/>
    <n v="40231.73897465843"/>
    <n v="0.34563349634586282"/>
    <n v="3.88"/>
    <n v="3.88"/>
    <n v="100700"/>
    <s v="MAX OIL"/>
    <s v="UBERABA"/>
    <s v="Additives"/>
    <s v="Domestic"/>
    <s v="09/2026"/>
    <s v="2026"/>
  </r>
  <r>
    <n v="11"/>
    <x v="8"/>
    <n v="2225"/>
    <s v="ITAFOS"/>
    <n v="3351"/>
    <s v="TO"/>
    <s v="MAX OIL MT ADITIVO ANTI-PO P/ FERTILIZANTES"/>
    <n v="90000"/>
    <n v="90000"/>
    <n v="486000"/>
    <n v="-34020"/>
    <n v="451980"/>
    <n v="-286331.60307692311"/>
    <n v="-41323.7365632"/>
    <n v="-310.50877901413025"/>
    <n v="124014.15158086276"/>
    <n v="0.27437973268919591"/>
    <n v="5.4"/>
    <n v="5.4"/>
    <n v="100700"/>
    <s v="MAX OIL"/>
    <s v="ARRAIAS"/>
    <s v="Additives"/>
    <s v="Domestic"/>
    <s v="09/2026"/>
    <s v="2026"/>
  </r>
  <r>
    <n v="11"/>
    <x v="8"/>
    <n v="11724"/>
    <s v="HINOVE - REGISTRO/SP"/>
    <n v="14142"/>
    <s v="SP"/>
    <s v="MAX OIL MT IBC ADITIVO ANTI-PO P/ FERTILIZANTES"/>
    <n v="45600"/>
    <n v="45600"/>
    <n v="275880"/>
    <n v="-33105.599999999999"/>
    <n v="242774.39999999999"/>
    <n v="-143505.34488888891"/>
    <n v="-17919.017835264"/>
    <n v="-134.64446373697879"/>
    <n v="81215.392812110091"/>
    <n v="0.33453029978494475"/>
    <n v="6.05"/>
    <n v="6.05"/>
    <n v="100700"/>
    <s v="MAX OIL"/>
    <s v="REGISTRO"/>
    <s v="Additives"/>
    <s v="Domestic"/>
    <s v="09/2026"/>
    <s v="2026"/>
  </r>
  <r>
    <n v="11"/>
    <x v="8"/>
    <n v="14382"/>
    <s v="GECAL - PAINS-MG"/>
    <n v="3351"/>
    <s v="MG"/>
    <s v="MAX OIL MT ADITIVO ANTI-PO P/ FERTILIZANTES"/>
    <n v="15000"/>
    <n v="15000"/>
    <n v="102900"/>
    <n v="-18522"/>
    <n v="84378"/>
    <n v="-47721.93384615385"/>
    <n v="-6648.4965456"/>
    <n v="-49.957160613891389"/>
    <n v="29957.612447632258"/>
    <n v="0.35504056090014291"/>
    <n v="6.86"/>
    <n v="6.86"/>
    <n v="100700"/>
    <s v="MAX OIL"/>
    <s v="PAINS"/>
    <s v="Additives"/>
    <s v="Domestic"/>
    <s v="09/2026"/>
    <s v="2026"/>
  </r>
  <r>
    <n v="11"/>
    <x v="8"/>
    <n v="6370"/>
    <s v="YTL S.A. - PARAGUAI"/>
    <n v="7010"/>
    <s v="EX"/>
    <s v="MAX OIL GRI ADITIVO ANTI-PO P/ FERTILIZANTES"/>
    <n v="56000"/>
    <n v="56000"/>
    <n v="379680"/>
    <n v="0"/>
    <n v="379680"/>
    <n v="-151704"/>
    <n v="-56880.552960000001"/>
    <n v="-9141.1631448038825"/>
    <n v="161954.2838951961"/>
    <n v="0.42655468788241702"/>
    <n v="6.78"/>
    <n v="6.78"/>
    <n v="100700"/>
    <s v="MAX OIL"/>
    <s v="ITAPUA"/>
    <s v="Additives"/>
    <s v="International"/>
    <s v="09/2026"/>
    <s v="2026"/>
  </r>
  <r>
    <n v="11"/>
    <x v="8"/>
    <n v="505"/>
    <s v="FERTINE - RECIFE"/>
    <n v="14142"/>
    <s v="PE"/>
    <s v="MAX OIL MT IBC ADITIVO ANTI-PO P/ FERTILIZANTES"/>
    <n v="12000"/>
    <n v="12000"/>
    <n v="84600"/>
    <n v="-5922.0000000000009"/>
    <n v="78678"/>
    <n v="-37764.564444444441"/>
    <n v="-18671.089731839998"/>
    <n v="-140.29557241587344"/>
    <n v="22102.050251299686"/>
    <n v="0.28091779469864114"/>
    <n v="7.05"/>
    <n v="7.05"/>
    <n v="100700"/>
    <s v="MAX OIL"/>
    <s v="RECIFE"/>
    <s v="Additives"/>
    <s v="Domestic"/>
    <s v="09/2026"/>
    <s v="2026"/>
  </r>
  <r>
    <n v="11"/>
    <x v="8"/>
    <n v="207"/>
    <s v="ADUBOS RIFERTIL - RIO VERDE"/>
    <n v="3351"/>
    <s v="GO"/>
    <s v="MAX OIL MT ADITIVO ANTI-PO P/ FERTILIZANTES"/>
    <n v="30000"/>
    <n v="30000"/>
    <n v="135000"/>
    <n v="-9450"/>
    <n v="125550"/>
    <n v="-95443.8676923077"/>
    <n v="-5688.7973999999995"/>
    <n v="-42.74592961919636"/>
    <n v="24374.588978073105"/>
    <n v="0.19414248489106417"/>
    <n v="4.5"/>
    <n v="4.5"/>
    <n v="100700"/>
    <s v="MAX OIL"/>
    <s v="RIO VERDE"/>
    <s v="Additives"/>
    <s v="Domestic"/>
    <s v="09/2026"/>
    <s v="2026"/>
  </r>
  <r>
    <n v="13"/>
    <x v="8"/>
    <n v="2"/>
    <s v="CARGILL - UBERLANDIA"/>
    <n v="3700"/>
    <s v="MG"/>
    <s v="CICOAT 41175"/>
    <n v="84000"/>
    <n v="84000"/>
    <n v="92400"/>
    <n v="-23640.539999999997"/>
    <n v="68759.460000000006"/>
    <n v="-15390.9"/>
    <n v="0"/>
    <n v="0"/>
    <n v="53368.560000000005"/>
    <n v="0.77616316358505433"/>
    <n v="1.1000000000000001"/>
    <n v="1.1000000000000001"/>
    <n v="100900"/>
    <s v="PA TERCEIROS"/>
    <s v="UBERLANDIA"/>
    <s v="Fertilizers"/>
    <s v="Domestic"/>
    <s v="09/2026"/>
    <s v="2026"/>
  </r>
  <r>
    <n v="11"/>
    <x v="8"/>
    <n v="2622"/>
    <s v="ADUFERTIL JUNDIAI"/>
    <n v="14150"/>
    <s v="SP"/>
    <s v="PHYTOHUMUS BIO IBC PRODUTO A BASE DE EXTRATO DE ALGAS E ACIDOS HUMICOS"/>
    <n v="12000"/>
    <n v="12000"/>
    <n v="270460.01536510215"/>
    <n v="-10080"/>
    <n v="260380.01536510215"/>
    <n v="-162145.60999999999"/>
    <n v="-5481.0480000000016"/>
    <n v="-41.184889454392781"/>
    <n v="92712.172475647778"/>
    <n v="0.35606485522956793"/>
    <n v="22.538334613758511"/>
    <n v="22.538334613758511"/>
    <n v="101000"/>
    <s v="PHYTOHUMUS"/>
    <s v="JUNDIAI"/>
    <s v="Additives"/>
    <s v="Domestic"/>
    <s v="09/2026"/>
    <s v="2026"/>
  </r>
  <r>
    <n v="11"/>
    <x v="8"/>
    <n v="3297"/>
    <s v="MACROSOURCE PERU S.R.L."/>
    <n v="14144"/>
    <s v="EX"/>
    <s v="RESIDEX YELLOW IBC ADITIVO ANTI PO P/ FERTILIZANTES"/>
    <n v="2000"/>
    <n v="2000"/>
    <n v="12402"/>
    <n v="0"/>
    <n v="12402"/>
    <n v="-2941.7"/>
    <n v="-9057.2866560000002"/>
    <n v="-379.26263943562356"/>
    <n v="23.750704564375496"/>
    <n v="1.9150705180112479E-3"/>
    <n v="6.2009999999999996"/>
    <n v="6.2009999999999996"/>
    <n v="101300"/>
    <s v="RESIDEX"/>
    <s v="LIMA"/>
    <s v="Additives"/>
    <s v="International"/>
    <s v="09/2026"/>
    <s v="2026"/>
  </r>
  <r>
    <n v="11"/>
    <x v="8"/>
    <n v="215"/>
    <s v="UNIFERTIL - CANOAS UN2"/>
    <n v="14134"/>
    <s v="RS"/>
    <s v="RESIDEX 100 IBC ADITIVO ANTI PO P/ FERTILIZANTES"/>
    <n v="12000"/>
    <n v="12000"/>
    <n v="49920"/>
    <n v="-5990.4"/>
    <n v="43929.599999999999"/>
    <n v="-14441.580000000002"/>
    <n v="-14321.447999999978"/>
    <n v="-107.6121305098648"/>
    <n v="15058.959869490154"/>
    <n v="0.34279756404543077"/>
    <n v="4.16"/>
    <n v="4.16"/>
    <n v="101300"/>
    <s v="RESIDEX"/>
    <s v="CANOAS"/>
    <s v="Additives"/>
    <s v="Domestic"/>
    <s v="09/2026"/>
    <s v="2026"/>
  </r>
  <r>
    <n v="11"/>
    <x v="8"/>
    <n v="16645"/>
    <s v="OPCAO AGRONEGOCIOS"/>
    <n v="8368"/>
    <s v="MG"/>
    <s v="SULFORCE - BB - 18 L SOLUC?O ALTAMENTE CONCENTRADA EM ENXOFRE (60%)"/>
    <n v="555"/>
    <n v="9125.330132033745"/>
    <n v="96690.73941280444"/>
    <n v="-8701.8121534888505"/>
    <n v="87988.927259315591"/>
    <n v="-31904.662561467256"/>
    <n v="-2202.66589393918"/>
    <n v="-22137.588676619176"/>
    <n v="31744.010127289985"/>
    <n v="0.36077278262224949"/>
    <n v="174.21754849153953"/>
    <n v="10.595862068965516"/>
    <n v="101602"/>
    <s v="FERTILIZANTE LIQUIDOS"/>
    <s v="UBERLANDIA"/>
    <s v="Fertilizers"/>
    <s v="Domestic"/>
    <s v="09/2026"/>
    <s v="2026"/>
  </r>
  <r>
    <n v="11"/>
    <x v="8"/>
    <n v="11326"/>
    <s v="VEGA AGRO"/>
    <n v="8301"/>
    <s v="MG"/>
    <s v="BIOSINERGIC - BB - 20L PRODUTO A BASE DE EXTRATO DE ALGAS E ACIDOS HUMICOS"/>
    <n v="10"/>
    <n v="229.98966399641762"/>
    <n v="6083.2266127052462"/>
    <n v="-594.31362168545047"/>
    <n v="5488.9129910197953"/>
    <n v="-1685.1209742622862"/>
    <n v="0"/>
    <n v="-1265.8120805485646"/>
    <n v="2537.9799362089448"/>
    <n v="0.46238297826204178"/>
    <n v="608.32266127052458"/>
    <n v="26.45"/>
    <n v="101602"/>
    <s v="FERTILIZANTE LIQUIDOS"/>
    <s v="PATOS DE MINAS"/>
    <s v="Fertilizers"/>
    <s v="Domestic"/>
    <s v="09/2026"/>
    <s v="2026"/>
  </r>
  <r>
    <n v="11"/>
    <x v="8"/>
    <n v="15917"/>
    <s v="MINAS FARM"/>
    <n v="8368"/>
    <s v="MG"/>
    <s v="SULFORCE - BB - 18 L SOLUC?O ALTAMENTE CONCENTRADA EM ENXOFRE (60%)"/>
    <n v="638"/>
    <n v="10490.019142770323"/>
    <n v="108238.91131348841"/>
    <n v="-9741.1052978604657"/>
    <n v="98497.806015627939"/>
    <n v="-36675.990476065061"/>
    <n v="0"/>
    <n v="-24839.267230375546"/>
    <n v="36982.548309187332"/>
    <n v="0.37546570634598275"/>
    <n v="169.65346600860252"/>
    <n v="10.318275862068965"/>
    <n v="101602"/>
    <s v="FERTILIZANTE LIQUIDOS"/>
    <s v="UBERLANDIA"/>
    <s v="Fertilizers"/>
    <s v="Domestic"/>
    <s v="09/2026"/>
    <s v="2026"/>
  </r>
  <r>
    <n v="11"/>
    <x v="8"/>
    <n v="15917"/>
    <s v="MINAS FARM"/>
    <n v="8301"/>
    <s v="MG"/>
    <s v="BIOSINERGIC - BB - 20L PRODUTO A BASE DE EXTRATO DE ALGAS E ACIDOS HUMICOS"/>
    <n v="25"/>
    <n v="574.97415999104408"/>
    <n v="15208.066531763116"/>
    <n v="-1500.1019071589667"/>
    <n v="13707.964624604148"/>
    <n v="-4212.8024356557162"/>
    <n v="-138.78686620473479"/>
    <n v="-3193.0875901598401"/>
    <n v="6163.2877325838572"/>
    <n v="0.44961362983980108"/>
    <n v="608.32266127052458"/>
    <n v="26.45"/>
    <n v="101602"/>
    <s v="FERTILIZANTE LIQUIDOS"/>
    <s v="UBERLANDIA"/>
    <s v="Fertilizers"/>
    <s v="Domestic"/>
    <s v="09/2026"/>
    <s v="2026"/>
  </r>
  <r>
    <n v="11"/>
    <x v="8"/>
    <n v="13773"/>
    <s v="FERTLIZE AGRO"/>
    <n v="8368"/>
    <s v="MG"/>
    <s v="SULFORCE - BB - 18 L SOLUC?O ALTAMENTE CONCENTRADA EM ENXOFRE (60%)"/>
    <n v="500"/>
    <n v="8221.0181369673392"/>
    <n v="84826.733004301277"/>
    <n v="-7634.0950610191758"/>
    <n v="77192.637943282098"/>
    <n v="-28742.939244565099"/>
    <n v="0"/>
    <n v="-19466.510368632873"/>
    <n v="28983.188330084122"/>
    <n v="0.37546570634598275"/>
    <n v="169.65346600860255"/>
    <n v="10.318275862068965"/>
    <n v="101602"/>
    <s v="FERTILIZANTE LIQUIDOS"/>
    <s v="CRUZEIRO DA FORTALEZA"/>
    <s v="Fertilizers"/>
    <s v="Domestic"/>
    <s v="09/2026"/>
    <s v="2026"/>
  </r>
  <r>
    <n v="11"/>
    <x v="8"/>
    <n v="15905"/>
    <s v="CAMPEVO - ITAPETININGA"/>
    <n v="8368"/>
    <s v="SP"/>
    <s v="SULFORCE - BB - 18 L SOLUC?O ALTAMENTE CONCENTRADA EM ENXOFRE (60%)"/>
    <n v="171"/>
    <n v="2811.58820284283"/>
    <n v="29791.200792053267"/>
    <n v="-2681.0988797235923"/>
    <n v="27110.101912329676"/>
    <n v="-9830.0852216412641"/>
    <n v="-760.08110450794345"/>
    <n v="-6868.6593985223335"/>
    <n v="9651.2761876581353"/>
    <n v="0.35600294749422295"/>
    <n v="174.21754849153956"/>
    <n v="10.595862068965516"/>
    <n v="101602"/>
    <s v="FERTILIZANTE LIQUIDOS"/>
    <s v="ITAPETININGA"/>
    <s v="Fertilizers"/>
    <s v="Domestic"/>
    <s v="09/2026"/>
    <s v="2026"/>
  </r>
  <r>
    <n v="11"/>
    <x v="8"/>
    <n v="15905"/>
    <s v="CAMPEVO - ITAPETININGA"/>
    <n v="13004"/>
    <s v="SP"/>
    <s v="BIOSINERGIC K - BB - 20L PRODUTO A BASE DE EXTRATO DE ALGAS E ACIDOS HUMICOS"/>
    <n v="23"/>
    <n v="528.97622719176059"/>
    <n v="13991.421209222068"/>
    <n v="-1324.3932158137472"/>
    <n v="12667.027993408321"/>
    <n v="-3740.29315686574"/>
    <n v="-143.00274649602875"/>
    <n v="-2969.7903075983413"/>
    <n v="5813.9417824482098"/>
    <n v="0.4589823110419961"/>
    <n v="608.32266127052469"/>
    <n v="26.45"/>
    <n v="101602"/>
    <s v="FERTILIZANTE LIQUIDOS"/>
    <s v="ITAPETININGA"/>
    <s v="Fertilizers"/>
    <s v="Domestic"/>
    <s v="09/2026"/>
    <s v="2026"/>
  </r>
  <r>
    <n v="11"/>
    <x v="8"/>
    <n v="15904"/>
    <s v="CAMPEVO - JALES"/>
    <n v="8368"/>
    <s v="SP"/>
    <s v="SULFORCE - BB - 18 L SOLUC?O ALTAMENTE CONCENTRADA EM ENXOFRE (60%)"/>
    <n v="171"/>
    <n v="2811.58820284283"/>
    <n v="29791.200792053267"/>
    <n v="-2681.0988797235923"/>
    <n v="27110.101912329676"/>
    <n v="-9830.0852216412641"/>
    <n v="-760.08110450794345"/>
    <n v="-6844.9116598450019"/>
    <n v="9675.023926335467"/>
    <n v="0.35687892128267013"/>
    <n v="174.21754849153956"/>
    <n v="10.595862068965516"/>
    <n v="101602"/>
    <s v="FERTILIZANTE LIQUIDOS"/>
    <s v="JALES"/>
    <s v="Fertilizers"/>
    <s v="Domestic"/>
    <s v="09/2026"/>
    <s v="2026"/>
  </r>
  <r>
    <n v="11"/>
    <x v="8"/>
    <n v="15904"/>
    <s v="CAMPEVO - JALES"/>
    <n v="13004"/>
    <s v="SP"/>
    <s v="BIOSINERGIC K - BB - 20L PRODUTO A BASE DE EXTRATO DE ALGAS E ACIDOS HUMICOS"/>
    <n v="25"/>
    <n v="574.97415999104408"/>
    <n v="15208.066531763116"/>
    <n v="-1439.5578432758125"/>
    <n v="13768.508688487304"/>
    <n v="-4065.5360400714562"/>
    <n v="-155.43776793046604"/>
    <n v="-3199.3416698307219"/>
    <n v="6348.1932106546601"/>
    <n v="0.46106614407432334"/>
    <n v="608.32266127052458"/>
    <n v="26.45"/>
    <n v="101602"/>
    <s v="FERTILIZANTE LIQUIDOS"/>
    <s v="JALES"/>
    <s v="Fertilizers"/>
    <s v="Domestic"/>
    <s v="09/2026"/>
    <s v="2026"/>
  </r>
  <r>
    <n v="11"/>
    <x v="8"/>
    <n v="15906"/>
    <s v="CAMPEVO - JAU"/>
    <n v="8368"/>
    <s v="SP"/>
    <s v="SULFORCE - BB - 18 L SOLUC?O ALTAMENTE CONCENTRADA EM ENXOFRE (60%)"/>
    <n v="171"/>
    <n v="2811.58820284283"/>
    <n v="29791.200792053267"/>
    <n v="-2681.0988797235923"/>
    <n v="27110.101912329676"/>
    <n v="-9830.0852216412641"/>
    <n v="-760.08110450794345"/>
    <n v="-6853.547201182213"/>
    <n v="9666.3883849982558"/>
    <n v="0.35656038535959844"/>
    <n v="174.21754849153956"/>
    <n v="10.595862068965516"/>
    <n v="101602"/>
    <s v="FERTILIZANTE LIQUIDOS"/>
    <s v="JAU"/>
    <s v="Fertilizers"/>
    <s v="Domestic"/>
    <s v="09/2026"/>
    <s v="2026"/>
  </r>
  <r>
    <n v="11"/>
    <x v="8"/>
    <n v="15906"/>
    <s v="CAMPEVO - JAU"/>
    <n v="13004"/>
    <s v="SP"/>
    <s v="BIOSINERGIC K - BB - 20L PRODUTO A BASE DE EXTRATO DE ALGAS E ACIDOS HUMICOS"/>
    <n v="22"/>
    <n v="505.97726079211878"/>
    <n v="13383.098547951542"/>
    <n v="-1266.8109020827151"/>
    <n v="12116.287645868826"/>
    <n v="-3577.6717152628812"/>
    <n v="-136.78523577881009"/>
    <n v="-2828.0285598033643"/>
    <n v="5573.8021350237705"/>
    <n v="0.46002557036719216"/>
    <n v="608.32266127052469"/>
    <n v="26.45"/>
    <n v="101602"/>
    <s v="FERTILIZANTE LIQUIDOS"/>
    <s v="JAU"/>
    <s v="Fertilizers"/>
    <s v="Domestic"/>
    <s v="09/2026"/>
    <s v="2026"/>
  </r>
  <r>
    <n v="11"/>
    <x v="8"/>
    <n v="15908"/>
    <s v="CAMPEVO - S?O JOSE DO RIO PRETO"/>
    <n v="8368"/>
    <s v="SP"/>
    <s v="SULFORCE - BB - 18 L SOLUC?O ALTAMENTE CONCENTRADA EM ENXOFRE (60%)"/>
    <n v="171"/>
    <n v="2811.58820284283"/>
    <n v="29791.200792053267"/>
    <n v="-2681.0988797235923"/>
    <n v="27110.101912329676"/>
    <n v="-9830.0852216412641"/>
    <n v="-760.08110450794345"/>
    <n v="-6844.9116598450019"/>
    <n v="9675.023926335467"/>
    <n v="0.35687892128267013"/>
    <n v="174.21754849153956"/>
    <n v="10.595862068965516"/>
    <n v="101602"/>
    <s v="FERTILIZANTE LIQUIDOS"/>
    <s v="SAO JOSE DO RIO PRETO"/>
    <s v="Fertilizers"/>
    <s v="Domestic"/>
    <s v="09/2026"/>
    <s v="2026"/>
  </r>
  <r>
    <n v="11"/>
    <x v="8"/>
    <n v="14166"/>
    <s v="TAKI AGRO - TRES CORAC?ES"/>
    <n v="8416"/>
    <s v="MG"/>
    <s v="BIOSINERGIC N - BB - 5L PRODUTO A BASE DE EXTRATO DE ALGAS E ACIDOS HUMICOS"/>
    <n v="50"/>
    <n v="287.48707999552204"/>
    <n v="7604.0332658815578"/>
    <n v="-810.39047670627565"/>
    <n v="6793.6427891752819"/>
    <n v="-2431.3775492406739"/>
    <n v="-69.393433102367396"/>
    <n v="-1638.7798331566505"/>
    <n v="2654.09197367559"/>
    <n v="0.39067287698795611"/>
    <n v="152.08066531763114"/>
    <n v="26.45"/>
    <n v="101602"/>
    <s v="FERTILIZANTE LIQUIDOS"/>
    <s v="TRES CORACOES"/>
    <s v="Fertilizers"/>
    <s v="Domestic"/>
    <s v="09/2026"/>
    <s v="2026"/>
  </r>
  <r>
    <n v="11"/>
    <x v="8"/>
    <n v="16645"/>
    <s v="OPCAO AGRONEGOCIOS"/>
    <n v="8369"/>
    <s v="MG"/>
    <s v="SULFORCE IBC - 700 L - SOLUC?O ALTAMENTE CONCENTRADA EM ENXOFRE (60%) "/>
    <n v="23100"/>
    <n v="21100.613218216171"/>
    <n v="204501.3224521323"/>
    <n v="-18404.369476595908"/>
    <n v="186096.95297553641"/>
    <n v="-73403.773658549311"/>
    <n v="-5093.2514664659711"/>
    <n v="-47369.857854148373"/>
    <n v="60230.069996372753"/>
    <n v="0.32364887782063989"/>
    <n v="8.8528711018239097"/>
    <n v="9.6917241379310344"/>
    <n v="101602"/>
    <s v="FERTILIZANTE LIQUIDOS"/>
    <s v="UBERLANDIA"/>
    <s v="Fertilizers"/>
    <s v="Domestic"/>
    <s v="09/2026"/>
    <s v="2026"/>
  </r>
  <r>
    <n v="11"/>
    <x v="8"/>
    <n v="8187"/>
    <s v="AGROREP. REPRESENTACOES AGRICOLAS"/>
    <n v="8369"/>
    <s v="MT"/>
    <s v="SULFORCE IBC - 700 L - SOLUC?O ALTAMENTE CONCENTRADA EM ENXOFRE (60%) "/>
    <n v="70000"/>
    <n v="63941.252176412636"/>
    <n v="619700.97712767369"/>
    <n v="-55770.816595745171"/>
    <n v="563930.16053192853"/>
    <n v="-222435.67775317971"/>
    <n v="-57583.999207993904"/>
    <n v="-143661.74910428934"/>
    <n v="140248.7344664656"/>
    <n v="0.2486987649927708"/>
    <n v="8.8528711018239097"/>
    <n v="9.6917241379310362"/>
    <n v="101602"/>
    <s v="FERTILIZANTE LIQUIDOS"/>
    <s v="SORRISO"/>
    <s v="Fertilizers"/>
    <s v="Domestic"/>
    <s v="09/2026"/>
    <s v="2026"/>
  </r>
  <r>
    <n v="11"/>
    <x v="8"/>
    <n v="12653"/>
    <s v="APROVAR AGROPECUARIA COMERCIO"/>
    <n v="8368"/>
    <s v="MG"/>
    <s v="SULFORCE - BB - 18 L SOLUC?O ALTAMENTE CONCENTRADA EM ENXOFRE (60%)"/>
    <n v="2000"/>
    <n v="32884.072547869357"/>
    <n v="348435.09698307922"/>
    <n v="-31357.881634194062"/>
    <n v="317077.21534888516"/>
    <n v="-114971.7569782604"/>
    <n v="-7937.5347529339824"/>
    <n v="-79723.530298897502"/>
    <n v="114444.39331879327"/>
    <n v="0.3609354055694865"/>
    <n v="174.21754849153962"/>
    <n v="10.595862068965518"/>
    <n v="101602"/>
    <s v="FERTILIZANTE LIQUIDOS"/>
    <s v="VARGINHA"/>
    <s v="Fertilizers"/>
    <s v="Domestic"/>
    <s v="09/2026"/>
    <s v="2026"/>
  </r>
  <r>
    <n v="11"/>
    <x v="8"/>
    <n v="12653"/>
    <s v="APROVAR AGROPECUARIA COMERCIO"/>
    <n v="8301"/>
    <s v="MG"/>
    <s v="BIOSINERGIC - BB - 20L PRODUTO A BASE DE EXTRATO DE ALGAS E ACIDOS HUMICOS"/>
    <n v="90"/>
    <n v="2069.9069759677586"/>
    <n v="54749.039514347212"/>
    <n v="-5400.366865772281"/>
    <n v="49348.672648574931"/>
    <n v="-15166.088768360576"/>
    <n v="-499.63271833704522"/>
    <n v="-11443.656109849886"/>
    <n v="22239.295052027424"/>
    <n v="0.45065639780018768"/>
    <n v="608.32266127052458"/>
    <n v="26.45"/>
    <n v="101602"/>
    <s v="FERTILIZANTE LIQUIDOS"/>
    <s v="VARGINHA"/>
    <s v="Fertilizers"/>
    <s v="Domestic"/>
    <s v="09/2026"/>
    <s v="2026"/>
  </r>
  <r>
    <n v="11"/>
    <x v="8"/>
    <n v="14848"/>
    <s v="FAZENDA FERRADURA"/>
    <n v="8369"/>
    <s v="MT"/>
    <s v="SULFORCE IBC - 700 L - SOLUC?O ALTAMENTE CONCENTRADA EM ENXOFRE (60%) "/>
    <n v="20000"/>
    <n v="18268.929193260752"/>
    <n v="177057.42203647818"/>
    <n v="-15934.519027355764"/>
    <n v="161122.90300912241"/>
    <n v="-63553.050786622771"/>
    <n v="-16452.571202283976"/>
    <n v="-41181.401373349727"/>
    <n v="39935.879646865942"/>
    <n v="0.24785973254593646"/>
    <n v="8.8528711018239097"/>
    <n v="9.6917241379310344"/>
    <n v="101602"/>
    <s v="FERTILIZANTE LIQUIDOS"/>
    <s v="TERRA NOVA DO NORTE"/>
    <s v="Fertilizers"/>
    <s v="Domestic"/>
    <s v="09/2026"/>
    <s v="2026"/>
  </r>
  <r>
    <n v="11"/>
    <x v="8"/>
    <n v="2247"/>
    <s v="ADUBOS LEAO - LARANJEIRAS"/>
    <n v="8369"/>
    <s v="SE"/>
    <s v="SULFORCE IBC - 700 L - SOLUC?O ALTAMENTE CONCENTRADA EM ENXOFRE (60%) "/>
    <n v="1000"/>
    <n v="913.44645966303767"/>
    <n v="6447.6720790697873"/>
    <n v="-580.26685492416641"/>
    <n v="5867.4052241456211"/>
    <n v="-3177.652539331139"/>
    <n v="-1065.5393244422107"/>
    <n v="-1666.0058722050901"/>
    <n v="-41.792511832818718"/>
    <n v="-7.122826911772454E-3"/>
    <n v="6.447672079069787"/>
    <n v="7.0586206896551733"/>
    <n v="101602"/>
    <s v="FERTILIZANTE LIQUIDOS"/>
    <s v="LARANJEIRAS"/>
    <s v="Fertilizers"/>
    <s v="Domestic"/>
    <s v="09/2026"/>
    <s v="2026"/>
  </r>
  <r>
    <n v="11"/>
    <x v="8"/>
    <n v="8187"/>
    <s v="AGROREP. REPRESENTACOES AGRICOLAS"/>
    <n v="8301"/>
    <s v="MT"/>
    <s v="BIOSINERGIC - BB - 20L PRODUTO A BASE DE EXTRATO DE ALGAS E ACIDOS HUMICOS"/>
    <n v="180"/>
    <n v="4139.8139519355173"/>
    <n v="109498.07902869442"/>
    <n v="-10800.733731544562"/>
    <n v="98697.345297149863"/>
    <n v="-30332.177536721152"/>
    <n v="-3728.2198145227417"/>
    <n v="-22900.985160150354"/>
    <n v="41735.962785755612"/>
    <n v="0.42286813956444724"/>
    <n v="608.32266127052458"/>
    <n v="26.45"/>
    <n v="101602"/>
    <s v="FERTILIZANTE LIQUIDOS"/>
    <s v="SORRISO"/>
    <s v="Fertilizers"/>
    <s v="Domestic"/>
    <s v="09/2026"/>
    <s v="2026"/>
  </r>
  <r>
    <n v="11"/>
    <x v="8"/>
    <n v="11326"/>
    <s v="VEGA AGRO"/>
    <n v="8369"/>
    <s v="MG"/>
    <s v="SULFORCE IBC - 700 L - SOLUC?O ALTAMENTE CONCENTRADA EM ENXOFRE (60%) "/>
    <n v="2800"/>
    <n v="2557.6500870565055"/>
    <n v="24078.070698872296"/>
    <n v="-2166.9381112651236"/>
    <n v="21911.132587607171"/>
    <n v="-8897.4271101271897"/>
    <n v="0"/>
    <n v="-5599.1744693131968"/>
    <n v="7414.5310081667849"/>
    <n v="0.33839104293314382"/>
    <n v="8.5993109638829637"/>
    <n v="9.4141379310344835"/>
    <n v="101602"/>
    <s v="FERTILIZANTE LIQUIDOS"/>
    <s v="PATOS DE MINAS"/>
    <s v="Fertilizers"/>
    <s v="Domestic"/>
    <s v="09/2026"/>
    <s v="2026"/>
  </r>
  <r>
    <n v="11"/>
    <x v="8"/>
    <n v="15917"/>
    <s v="MINAS FARM"/>
    <n v="8369"/>
    <s v="MG"/>
    <s v="SULFORCE IBC - 700 L - SOLUC?O ALTAMENTE CONCENTRADA EM ENXOFRE (60%) "/>
    <n v="23000"/>
    <n v="21009.268572249865"/>
    <n v="197784.1521693081"/>
    <n v="-17799.848771106368"/>
    <n v="179984.30339820174"/>
    <n v="-73086.008404616194"/>
    <n v="0"/>
    <n v="-45993.218855072686"/>
    <n v="60905.076138512857"/>
    <n v="0.33839104293314376"/>
    <n v="8.5993109638829601"/>
    <n v="9.4141379310344817"/>
    <n v="101602"/>
    <s v="FERTILIZANTE LIQUIDOS"/>
    <s v="UBERLANDIA"/>
    <s v="Fertilizers"/>
    <s v="Domestic"/>
    <s v="09/2026"/>
    <s v="2026"/>
  </r>
  <r>
    <n v="11"/>
    <x v="8"/>
    <n v="15858"/>
    <s v="SAGRA - SANTA JULIANA"/>
    <n v="8301"/>
    <s v="MG"/>
    <s v="BIOSINERGIC - BB - 20L PRODUTO A BASE DE EXTRATO DE ALGAS E ACIDOS HUMICOS"/>
    <n v="10"/>
    <n v="229.98966399641762"/>
    <n v="6083.2266127052462"/>
    <n v="-594.31362168545047"/>
    <n v="5488.9129910197953"/>
    <n v="-1685.1209742622862"/>
    <n v="0"/>
    <n v="-1265.8120805485646"/>
    <n v="2537.9799362089448"/>
    <n v="0.46238297826204178"/>
    <n v="608.32266127052458"/>
    <n v="26.45"/>
    <n v="101602"/>
    <s v="FERTILIZANTE LIQUIDOS"/>
    <s v="SANTA JULIANA"/>
    <s v="Fertilizers"/>
    <s v="Domestic"/>
    <s v="09/2026"/>
    <s v="2026"/>
  </r>
  <r>
    <n v="11"/>
    <x v="8"/>
    <n v="14166"/>
    <s v="TAKI AGRO - TRES CORAC?ES"/>
    <n v="8368"/>
    <s v="MG"/>
    <s v="SULFORCE - BB - 18 L SOLUC?O ALTAMENTE CONCENTRADA EM ENXOFRE (60%)"/>
    <n v="2000"/>
    <n v="32884.072547869357"/>
    <n v="348435.09698307922"/>
    <n v="-31357.881634194062"/>
    <n v="317077.21534888516"/>
    <n v="-114971.7569782604"/>
    <n v="-7937.5347529339824"/>
    <n v="-79729.28732645564"/>
    <n v="114438.63629123513"/>
    <n v="0.36091724902187139"/>
    <n v="174.21754849153962"/>
    <n v="10.595862068965518"/>
    <n v="101602"/>
    <s v="FERTILIZANTE LIQUIDOS"/>
    <s v="TRES CORACOES"/>
    <s v="Fertilizers"/>
    <s v="Domestic"/>
    <s v="09/2026"/>
    <s v="2026"/>
  </r>
  <r>
    <n v="11"/>
    <x v="8"/>
    <n v="14848"/>
    <s v="FAZENDA FERRADURA"/>
    <n v="8335"/>
    <s v="MT"/>
    <s v="BIOSINERGIC - IBC  PRODUTO A BASE DE EXTRATO DE ALGAS E ACIDOS HUMICOS"/>
    <n v="3000"/>
    <n v="3449.8449599462647"/>
    <n v="91248.399190578697"/>
    <n v="-8610.3476798150914"/>
    <n v="82638.051510763602"/>
    <n v="-21975.648297840973"/>
    <n v="-3106.8498454356186"/>
    <n v="-19130.842122065711"/>
    <n v="38424.711245421298"/>
    <n v="0.46497600733502875"/>
    <n v="30.416133063526232"/>
    <n v="26.45"/>
    <n v="101602"/>
    <s v="FERTILIZANTE LIQUIDOS"/>
    <s v="TERRA NOVA DO NORTE"/>
    <s v="Fertilizers"/>
    <s v="Domestic"/>
    <s v="09/2026"/>
    <s v="2026"/>
  </r>
  <r>
    <n v="11"/>
    <x v="8"/>
    <n v="15906"/>
    <s v="CAMPEVO - JAU"/>
    <n v="8369"/>
    <s v="SP"/>
    <s v="SULFORCE IBC - 700 L - SOLUC?O ALTAMENTE CONCENTRADA EM ENXOFRE (60%) "/>
    <n v="4200"/>
    <n v="3836.4751305847581"/>
    <n v="37182.058627660415"/>
    <n v="-3346.2489957447106"/>
    <n v="33835.809631915705"/>
    <n v="-13346.140665190784"/>
    <n v="-1037.1477059562583"/>
    <n v="-8650.9943910358561"/>
    <n v="10801.52686973281"/>
    <n v="0.31923358676023067"/>
    <n v="8.8528711018239079"/>
    <n v="9.6917241379310344"/>
    <n v="101602"/>
    <s v="FERTILIZANTE LIQUIDOS"/>
    <s v="JAU"/>
    <s v="Fertilizers"/>
    <s v="Domestic"/>
    <s v="09/2026"/>
    <s v="2026"/>
  </r>
  <r>
    <n v="11"/>
    <x v="8"/>
    <n v="15858"/>
    <s v="SAGRA - SANTA JULIANA"/>
    <n v="8368"/>
    <s v="MG"/>
    <s v="SULFORCE - BB - 18 L SOLUC?O ALTAMENTE CONCENTRADA EM ENXOFRE (60%)"/>
    <n v="834"/>
    <n v="13712.658252461522"/>
    <n v="141490.99065117451"/>
    <n v="-12733.670561779983"/>
    <n v="128757.32008939452"/>
    <n v="-47943.222659934589"/>
    <n v="0"/>
    <n v="-32470.139294879635"/>
    <n v="48343.958134580294"/>
    <n v="0.37546570634598264"/>
    <n v="169.65346600860252"/>
    <n v="10.318275862068964"/>
    <n v="101602"/>
    <s v="FERTILIZANTE LIQUIDOS"/>
    <s v="SANTA JULIANA"/>
    <s v="Fertilizers"/>
    <s v="Domestic"/>
    <s v="09/2026"/>
    <s v="2026"/>
  </r>
  <r>
    <n v="11"/>
    <x v="8"/>
    <n v="11326"/>
    <s v="VEGA AGRO"/>
    <n v="8368"/>
    <s v="MG"/>
    <s v="SULFORCE - BB - 18 L SOLUC?O ALTAMENTE CONCENTRADA EM ENXOFRE (60%)"/>
    <n v="436"/>
    <n v="7168.7278154355199"/>
    <n v="73968.911179750707"/>
    <n v="-6656.9308932087206"/>
    <n v="67311.980286541992"/>
    <n v="-25063.843021260767"/>
    <n v="0"/>
    <n v="-16974.79704144787"/>
    <n v="25273.340223833358"/>
    <n v="0.37546570634598281"/>
    <n v="169.65346600860255"/>
    <n v="10.318275862068965"/>
    <n v="101602"/>
    <s v="FERTILIZANTE LIQUIDOS"/>
    <s v="PATOS DE MINAS"/>
    <s v="Fertilizers"/>
    <s v="Domestic"/>
    <s v="09/2026"/>
    <s v="2026"/>
  </r>
  <r>
    <n v="11"/>
    <x v="8"/>
    <n v="16645"/>
    <s v="OPCAO AGRONEGOCIOS"/>
    <n v="8301"/>
    <s v="MG"/>
    <s v="BIOSINERGIC - BB - 20L PRODUTO A BASE DE EXTRATO DE ALGAS E ACIDOS HUMICOS"/>
    <n v="15"/>
    <n v="344.98449599462646"/>
    <n v="9124.8399190578693"/>
    <n v="-900.06114429538013"/>
    <n v="8224.7787747624898"/>
    <n v="-2527.6814613934298"/>
    <n v="-83.27211972284087"/>
    <n v="-1927.4871896112754"/>
    <n v="3686.3380040349439"/>
    <n v="0.44819904644078351"/>
    <n v="608.32266127052458"/>
    <n v="26.45"/>
    <n v="101602"/>
    <s v="FERTILIZANTE LIQUIDOS"/>
    <s v="UBERLANDIA"/>
    <s v="Fertilizers"/>
    <s v="Domestic"/>
    <s v="09/2026"/>
    <s v="2026"/>
  </r>
  <r>
    <n v="11"/>
    <x v="8"/>
    <n v="13773"/>
    <s v="FERTLIZE AGRO"/>
    <n v="8301"/>
    <s v="MG"/>
    <s v="BIOSINERGIC - BB - 20L PRODUTO A BASE DE EXTRATO DE ALGAS E ACIDOS HUMICOS"/>
    <n v="5"/>
    <n v="114.99483199820881"/>
    <n v="3041.6133063526231"/>
    <n v="-297.15681084272524"/>
    <n v="2744.4564955098976"/>
    <n v="-842.56048713114308"/>
    <n v="0"/>
    <n v="-632.9060402742823"/>
    <n v="1268.9899681044724"/>
    <n v="0.46238297826204178"/>
    <n v="608.32266127052458"/>
    <n v="26.45"/>
    <n v="101602"/>
    <s v="FERTILIZANTE LIQUIDOS"/>
    <s v="CRUZEIRO DA FORTALEZA"/>
    <s v="Fertilizers"/>
    <s v="Domestic"/>
    <s v="09/2026"/>
    <s v="2026"/>
  </r>
  <r>
    <n v="11"/>
    <x v="8"/>
    <n v="15908"/>
    <s v="CAMPEVO - S?O JOSE DO RIO PRETO"/>
    <n v="13004"/>
    <s v="SP"/>
    <s v="BIOSINERGIC K - BB - 20L PRODUTO A BASE DE EXTRATO DE ALGAS E ACIDOS HUMICOS"/>
    <n v="22"/>
    <n v="505.97726079211878"/>
    <n v="13383.098547951542"/>
    <n v="-1266.8109020827151"/>
    <n v="12116.287645868826"/>
    <n v="-3577.6717152628812"/>
    <n v="-136.78523577881009"/>
    <n v="-2819.3930184661526"/>
    <n v="5582.4376763609816"/>
    <n v="0.4607382920844052"/>
    <n v="608.32266127052469"/>
    <n v="26.45"/>
    <n v="101602"/>
    <s v="FERTILIZANTE LIQUIDOS"/>
    <s v="SAO JOSE DO RIO PRETO"/>
    <s v="Fertilizers"/>
    <s v="Domestic"/>
    <s v="09/2026"/>
    <s v="2026"/>
  </r>
  <r>
    <n v="11"/>
    <x v="8"/>
    <n v="2696"/>
    <s v="MOSAIC FERTILIZANTES PARAGUAY S.R.L."/>
    <n v="4676"/>
    <s v="EX"/>
    <s v="R-COAT ADITIVO ANTIEMBLOCANTE P/ FERTILIZANTES"/>
    <n v="30000"/>
    <n v="30000"/>
    <n v="338570.68054622674"/>
    <n v="0"/>
    <n v="338570.68054622674"/>
    <n v="-174722.94"/>
    <n v="-27051.200000000012"/>
    <n v="-4871.3496774060823"/>
    <n v="131925.19086882065"/>
    <n v="0.38965332336509939"/>
    <n v="11.285689351540892"/>
    <n v="11.285689351540892"/>
    <n v="101900"/>
    <s v="HIGROSCOPICIDADE"/>
    <s v="ASSUNCION"/>
    <s v="Additives"/>
    <s v="International"/>
    <s v="09/2026"/>
    <s v="2026"/>
  </r>
  <r>
    <n v="11"/>
    <x v="8"/>
    <n v="9355"/>
    <s v="NITROFERT SAS - COLOMBIA"/>
    <n v="14147"/>
    <s v="EX"/>
    <s v="R-COAT IBC ADITIVO ANTIEMBLOCANTE P/ FERTILIZANTES"/>
    <n v="43200"/>
    <n v="43200"/>
    <n v="713229.30214034801"/>
    <n v="0"/>
    <n v="713229.30214034801"/>
    <n v="-228301.88200000001"/>
    <n v="-49587.158016000001"/>
    <n v="-7094.6437004934141"/>
    <n v="428245.61842385458"/>
    <n v="0.60043189075199432"/>
    <n v="16.509937549545093"/>
    <n v="16.509937549545093"/>
    <n v="101900"/>
    <s v="HIGROSCOPICIDADE"/>
    <s v="BARRANQUILLA"/>
    <s v="Additives"/>
    <s v="International"/>
    <s v="09/2026"/>
    <s v="2026"/>
  </r>
  <r>
    <n v="11"/>
    <x v="8"/>
    <n v="1159"/>
    <s v="YARA - RIO GRANDE"/>
    <n v="4627"/>
    <s v="RS"/>
    <s v="COAT BIO GR ADITIVO ANTI-PO P/ FERTILIZANTES"/>
    <n v="330000"/>
    <n v="330000"/>
    <n v="2996432.1513888235"/>
    <n v="-358380"/>
    <n v="2638052.1513888235"/>
    <n v="-1702922.936"/>
    <n v="-268637.65499999997"/>
    <n v="-2018.5577875731612"/>
    <n v="664473.00260125031"/>
    <n v="0.25188016175170502"/>
    <n v="9.0800974284509799"/>
    <n v="9.0800974284509799"/>
    <n v="102200"/>
    <s v="COAT BIO"/>
    <s v="RIO GRANDE"/>
    <s v="Additives"/>
    <s v="Domestic"/>
    <s v="09/2026"/>
    <s v="2026"/>
  </r>
  <r>
    <n v="11"/>
    <x v="8"/>
    <n v="903"/>
    <s v="YARA - PONTA GROSSA"/>
    <n v="4627"/>
    <s v="PR"/>
    <s v="COAT BIO GR ADITIVO ANTI-PO P/ FERTILIZANTES"/>
    <n v="45000"/>
    <n v="45000"/>
    <n v="386029.5564195044"/>
    <n v="-46170"/>
    <n v="339859.5564195044"/>
    <n v="-232216.764"/>
    <n v="-17720.945424000001"/>
    <n v="-133.15613698598651"/>
    <n v="89788.690858518414"/>
    <n v="0.26419351512272343"/>
    <n v="8.578434587100098"/>
    <n v="8.578434587100098"/>
    <n v="102200"/>
    <s v="COAT BIO"/>
    <s v="PONTA GROSSA"/>
    <s v="Additives"/>
    <s v="Domestic"/>
    <s v="09/2026"/>
    <s v="2026"/>
  </r>
  <r>
    <n v="11"/>
    <x v="8"/>
    <n v="2011"/>
    <s v="FERTGROW S.A"/>
    <n v="12813"/>
    <s v="MA"/>
    <s v="COATMAX BMZ 3313 - MICRONUTRIENTE LIQUIDO"/>
    <n v="120000"/>
    <n v="120000"/>
    <n v="1348200.4121922581"/>
    <n v="-52512"/>
    <n v="1295688.4121922581"/>
    <n v="-534671.13929313945"/>
    <n v="-105846.10919999999"/>
    <n v="-795.33335715716862"/>
    <n v="654375.83034196147"/>
    <n v="0.50504104550474538"/>
    <n v="11.235003434935484"/>
    <n v="11.235003434935484"/>
    <n v="102300"/>
    <s v="COAT MAX"/>
    <s v="SAO LUIS"/>
    <s v="Additives"/>
    <s v="Domestic"/>
    <s v="09/2026"/>
    <s v="2026"/>
  </r>
  <r>
    <n v="11"/>
    <x v="8"/>
    <n v="252"/>
    <s v="FERTIPAR - PARANAGUA"/>
    <n v="12293"/>
    <s v="PR"/>
    <s v="COATMAX BMZ 366 - MICRONUTRIENTE LIQUIDO"/>
    <n v="14400"/>
    <n v="14400"/>
    <n v="118306.43470791297"/>
    <n v="-4608"/>
    <n v="113698.43470791297"/>
    <n v="-45991.9"/>
    <n v="-10498.551068753279"/>
    <n v="-78.886677364967582"/>
    <n v="57129.096961794727"/>
    <n v="0.50246159596266426"/>
    <n v="8.2157246324939557"/>
    <n v="8.2157246324939557"/>
    <n v="102300"/>
    <s v="COAT MAX"/>
    <s v="PARANAGUA"/>
    <s v="Additives"/>
    <s v="Domestic"/>
    <s v="09/2026"/>
    <s v="2026"/>
  </r>
  <r>
    <n v="11"/>
    <x v="8"/>
    <n v="97"/>
    <s v="FECOAGRO - SAO FRANCISCO DO SUL"/>
    <n v="13600"/>
    <s v="SC"/>
    <s v="COATMAX BMZC 3663 - MICRONUTRIENTE LIQUIDO"/>
    <n v="210000"/>
    <n v="210000"/>
    <n v="1940964.944426697"/>
    <n v="-75600"/>
    <n v="1865364.944426697"/>
    <n v="-1203510.33"/>
    <n v="-117654.67349999999"/>
    <n v="-884.06354439701568"/>
    <n v="543315.87738229986"/>
    <n v="0.29126519129975559"/>
    <n v="9.2426902115557006"/>
    <n v="9.2426902115557006"/>
    <n v="102300"/>
    <s v="COAT MAX"/>
    <s v="SAO FRANCISCO DO SUL"/>
    <s v="Additives"/>
    <s v="Domestic"/>
    <s v="09/2026"/>
    <s v="2026"/>
  </r>
  <r>
    <n v="11"/>
    <x v="8"/>
    <n v="5695"/>
    <s v="CAMPO RICO - SANTAREM"/>
    <n v="12813"/>
    <s v="PA"/>
    <s v="COATMAX BMZ 3313 - MICRONUTRIENTE LIQUIDO"/>
    <n v="70000"/>
    <n v="70000"/>
    <n v="718875.90534322115"/>
    <n v="-28000"/>
    <n v="690875.90534322115"/>
    <n v="-311891.49792099802"/>
    <n v="-70850.266905600001"/>
    <n v="-532.37271600638383"/>
    <n v="307601.7678006168"/>
    <n v="0.44523447036092961"/>
    <n v="10.269655790617445"/>
    <n v="10.269655790617445"/>
    <n v="102300"/>
    <s v="COAT MAX"/>
    <s v="SANTAREM"/>
    <s v="Additives"/>
    <s v="Domestic"/>
    <s v="09/2026"/>
    <s v="2026"/>
  </r>
  <r>
    <n v="11"/>
    <x v="8"/>
    <n v="2900"/>
    <s v="BIOSAFRA - MARUIM"/>
    <n v="12813"/>
    <s v="SE"/>
    <s v="COATMAX BMZ 3313 - MICRONUTRIENTE LIQUIDO"/>
    <n v="2400"/>
    <n v="2400"/>
    <n v="28048.483895334364"/>
    <n v="-1092.48"/>
    <n v="26956.003895334365"/>
    <n v="-10693.422785862789"/>
    <n v="-3897.0998277119998"/>
    <n v="-29.283017699726731"/>
    <n v="12336.198264059849"/>
    <n v="0.4576419528636082"/>
    <n v="11.686868289722652"/>
    <n v="11.686868289722652"/>
    <n v="102300"/>
    <s v="COAT MAX"/>
    <s v="MARUIM"/>
    <s v="Additives"/>
    <s v="Domestic"/>
    <s v="09/2026"/>
    <s v="2026"/>
  </r>
  <r>
    <n v="11"/>
    <x v="8"/>
    <n v="139"/>
    <s v="COMIGO - RIO VERDE"/>
    <n v="14190"/>
    <s v="GO"/>
    <s v="COATMAX BMZC 3662 IBC - MICRONUTRIENTE LIQUIDO"/>
    <n v="100000"/>
    <n v="100000"/>
    <n v="815410.6697750251"/>
    <n v="-31760"/>
    <n v="783650.6697750251"/>
    <n v="-444441.07999999996"/>
    <n v="-18962.657999999999"/>
    <n v="-142.48643206398788"/>
    <n v="320104.44534296117"/>
    <n v="0.40847849391216445"/>
    <n v="8.154106697750251"/>
    <n v="8.154106697750251"/>
    <n v="102300"/>
    <s v="COAT MAX"/>
    <s v="RIO VERDE"/>
    <s v="Additives"/>
    <s v="Domestic"/>
    <s v="09/2026"/>
    <s v="2026"/>
  </r>
  <r>
    <n v="11"/>
    <x v="8"/>
    <n v="139"/>
    <s v="COMIGO - RIO VERDE"/>
    <n v="14154"/>
    <s v="GO"/>
    <s v="SUPERSELEN IBC ADITIVO ANTI PO P/ FERTILIZANTES"/>
    <n v="30000"/>
    <n v="30000"/>
    <n v="48600"/>
    <n v="-3402.0000000000005"/>
    <n v="45198"/>
    <n v="-34437.57142857142"/>
    <n v="-5688.7973999999995"/>
    <n v="-42.74592961919636"/>
    <n v="5028.8852418093838"/>
    <n v="0.11126344621021692"/>
    <n v="1.62"/>
    <n v="1.62"/>
    <n v="102600"/>
    <s v="SUPERSELEN"/>
    <s v="RIO VERDE"/>
    <s v="Additives"/>
    <s v="Domestic"/>
    <s v="09/2026"/>
    <s v="2026"/>
  </r>
  <r>
    <n v="11"/>
    <x v="8"/>
    <n v="1953"/>
    <s v="AMAGGI - COMODORO"/>
    <n v="7398"/>
    <s v="MT"/>
    <s v="SUPERSELEN ADITIVO ANTI PO P/ FERTILIZANTES"/>
    <n v="60000"/>
    <n v="60000"/>
    <n v="125400"/>
    <n v="-8778"/>
    <n v="116622"/>
    <n v="-38256.432487309648"/>
    <n v="-41876.730604799995"/>
    <n v="-314.66400598390567"/>
    <n v="36174.172901906451"/>
    <n v="0.31018309497270197"/>
    <n v="2.09"/>
    <n v="2.09"/>
    <n v="102600"/>
    <s v="SUPERSELEN"/>
    <s v="COMODORO"/>
    <s v="Additives"/>
    <s v="Domestic"/>
    <s v="09/2026"/>
    <s v="2026"/>
  </r>
  <r>
    <n v="11"/>
    <x v="8"/>
    <n v="7745"/>
    <s v="LOUIS DREYFUS - NOVA MUTUM"/>
    <n v="14154"/>
    <s v="MT"/>
    <s v="SUPERSELEN IBC ADITIVO ANTI PO P/ FERTILIZANTES"/>
    <n v="12000"/>
    <n v="12000"/>
    <n v="34080"/>
    <n v="-2385.6000000000004"/>
    <n v="31694.400000000001"/>
    <n v="-13775.028571428567"/>
    <n v="-14860.45806336"/>
    <n v="-111.66228111505704"/>
    <n v="2947.2510840963773"/>
    <n v="9.2989647511748985E-2"/>
    <n v="2.84"/>
    <n v="2.84"/>
    <n v="102600"/>
    <s v="SUPERSELEN"/>
    <s v="NOVA MUTUM"/>
    <s v="Additives"/>
    <s v="Domestic"/>
    <s v="09/2026"/>
    <s v="2026"/>
  </r>
  <r>
    <n v="11"/>
    <x v="8"/>
    <n v="8855"/>
    <s v="TERMAG - GUARUJA"/>
    <n v="7398"/>
    <s v="SP"/>
    <s v="SUPERSELEN ADITIVO ANTI PO P/ FERTILIZANTES"/>
    <n v="60000"/>
    <n v="60000"/>
    <n v="147600"/>
    <n v="-17712"/>
    <n v="129888"/>
    <n v="-38256.432487309648"/>
    <n v="-26091.264326399996"/>
    <n v="-196.05116339213328"/>
    <n v="65344.252022898225"/>
    <n v="0.50308151655963773"/>
    <n v="2.46"/>
    <n v="2.46"/>
    <n v="102600"/>
    <s v="SUPERSELEN"/>
    <s v="GUARUJA"/>
    <s v="Additives"/>
    <s v="Domestic"/>
    <s v="09/2026"/>
    <s v="2026"/>
  </r>
  <r>
    <n v="11"/>
    <x v="8"/>
    <n v="8414"/>
    <s v="AMAGGI - PORTO VELHO"/>
    <n v="7398"/>
    <s v="RO"/>
    <s v="SUPERSELEN ADITIVO ANTI PO P/ FERTILIZANTES"/>
    <n v="30000"/>
    <n v="30000"/>
    <n v="70800"/>
    <n v="-4956.0000000000009"/>
    <n v="65844"/>
    <n v="-19128.216243654824"/>
    <n v="-24507.690479999997"/>
    <n v="-184.15210434232173"/>
    <n v="22023.941172002858"/>
    <n v="0.33448668325136471"/>
    <n v="2.36"/>
    <n v="2.36"/>
    <n v="102600"/>
    <s v="SUPERSELEN"/>
    <s v="PORTO VELHO"/>
    <s v="Additives"/>
    <s v="Domestic"/>
    <s v="09/2026"/>
    <s v="2026"/>
  </r>
  <r>
    <n v="11"/>
    <x v="8"/>
    <n v="3142"/>
    <s v="INTERFERTIL - SAO FRANCISCO DO SUL"/>
    <n v="7398"/>
    <s v="SC"/>
    <s v="SUPERSELEN ADITIVO ANTI PO P/ FERTILIZANTES"/>
    <n v="15000"/>
    <n v="15000"/>
    <n v="41400"/>
    <n v="-4968"/>
    <n v="36432"/>
    <n v="-9564.1081218274121"/>
    <n v="-12045.7338550185"/>
    <n v="-90.512292031737971"/>
    <n v="14731.645731122351"/>
    <n v="0.40436006069176417"/>
    <n v="2.76"/>
    <n v="2.76"/>
    <n v="102600"/>
    <s v="SUPERSELEN"/>
    <s v="SAO FRANCISCO DO SUL"/>
    <s v="Additives"/>
    <s v="Domestic"/>
    <s v="09/2026"/>
    <s v="2026"/>
  </r>
  <r>
    <n v="11"/>
    <x v="8"/>
    <n v="8413"/>
    <s v="AMAGGI - SINOP"/>
    <n v="7398"/>
    <s v="MT"/>
    <s v="SUPERSELEN ADITIVO ANTI PO P/ FERTILIZANTES"/>
    <n v="32000"/>
    <n v="32000"/>
    <n v="66240"/>
    <n v="-4636.8"/>
    <n v="61603.199999999997"/>
    <n v="-20403.430659898473"/>
    <n v="-23352.800640000001"/>
    <n v="-175.47419997213538"/>
    <n v="17671.494500129393"/>
    <n v="0.28686000889774221"/>
    <n v="2.0699999999999998"/>
    <n v="2.0699999999999998"/>
    <n v="102600"/>
    <s v="SUPERSELEN"/>
    <s v="SINOP"/>
    <s v="Additives"/>
    <s v="Domestic"/>
    <s v="09/2026"/>
    <s v="2026"/>
  </r>
  <r>
    <n v="11"/>
    <x v="9"/>
    <n v="2696"/>
    <s v="MOSAIC FERTILIZANTES PARAGUAY S.R.L."/>
    <n v="3245"/>
    <s v="EX"/>
    <s v="DUSTPROTEC SC - ADITIVO ANTI-PO P/ FERTILIZANTES GRANULADOS"/>
    <n v="29810"/>
    <n v="29810"/>
    <n v="93215.87"/>
    <n v="0"/>
    <n v="93215.87"/>
    <n v="-14267.5353"/>
    <n v="-26879.875733333341"/>
    <n v="-4439.6662443362493"/>
    <n v="47628.7927223304"/>
    <n v="0.51095154422021061"/>
    <n v="3.1269999999999998"/>
    <n v="3.1269999999999998"/>
    <n v="100100"/>
    <s v="START ANTIDUSTING"/>
    <s v="ASSUNCION"/>
    <s v="Additives"/>
    <s v="International"/>
    <s v="10/2026"/>
    <s v="2026"/>
  </r>
  <r>
    <n v="11"/>
    <x v="9"/>
    <n v="5209"/>
    <s v="NUTRISOYA - CATAL?O"/>
    <n v="1043"/>
    <s v="GO"/>
    <s v="START ANTIDUSTING SC AD ADITIVO ANTI PO P/ FERTILIZANTES"/>
    <n v="15000"/>
    <n v="15000"/>
    <n v="28500"/>
    <n v="-1995.0000000000002"/>
    <n v="26505"/>
    <n v="-5959.5895204262833"/>
    <n v="-2614.5482999999999"/>
    <n v="-1.3287536355973533"/>
    <n v="17929.53342593812"/>
    <n v="0.6764585333309987"/>
    <n v="1.9"/>
    <n v="1.9"/>
    <n v="100100"/>
    <s v="START ANTIDUSTING"/>
    <s v="CATALAO"/>
    <s v="Additives"/>
    <s v="Domestic"/>
    <s v="10/2026"/>
    <s v="2026"/>
  </r>
  <r>
    <n v="11"/>
    <x v="9"/>
    <n v="13861"/>
    <s v="ADUBOS ARAGUAIA - GUARANT? DO NORTE"/>
    <n v="1"/>
    <s v="MT"/>
    <s v="START ANTIDUSTING KG ADITIVO ANTI PO P/ FERTILIZANTES"/>
    <n v="30000"/>
    <n v="30000"/>
    <n v="85200"/>
    <n v="-5964.0000000000009"/>
    <n v="79236"/>
    <n v="-19725.684705882359"/>
    <n v="-22431.382390052997"/>
    <n v="-11.399973334689349"/>
    <n v="37067.532930729954"/>
    <n v="0.46781176398013474"/>
    <n v="2.84"/>
    <n v="2.84"/>
    <n v="100100"/>
    <s v="START ANTIDUSTING"/>
    <s v="GUARANT? DO NORTE"/>
    <s v="Additives"/>
    <s v="Domestic"/>
    <s v="10/2026"/>
    <s v="2026"/>
  </r>
  <r>
    <n v="11"/>
    <x v="9"/>
    <n v="11133"/>
    <s v="ADUBOS ARAGUAIA - PARANAGUA"/>
    <n v="1"/>
    <s v="PR"/>
    <s v="START ANTIDUSTING KG ADITIVO ANTI PO P/ FERTILIZANTES"/>
    <n v="15000"/>
    <n v="15000"/>
    <n v="38400"/>
    <n v="-4608"/>
    <n v="33792"/>
    <n v="-9862.8423529411793"/>
    <n v="-10935.990696618001"/>
    <n v="-5.5578385746363921"/>
    <n v="12987.609111866183"/>
    <n v="0.38433975828202482"/>
    <n v="2.56"/>
    <n v="2.56"/>
    <n v="100100"/>
    <s v="START ANTIDUSTING"/>
    <s v="PARANAGUA"/>
    <s v="Additives"/>
    <s v="Domestic"/>
    <s v="10/2026"/>
    <s v="2026"/>
  </r>
  <r>
    <n v="11"/>
    <x v="9"/>
    <n v="16652"/>
    <s v="FERTIPAR - ARCEBURGO"/>
    <n v="1042"/>
    <s v="MG"/>
    <s v="START ANTIDUSTING KG AD ADITIVO ANTI PO P/ FERTILIZANTES"/>
    <n v="45000"/>
    <n v="45000"/>
    <n v="76500"/>
    <n v="-13770"/>
    <n v="62730"/>
    <n v="-23241.774000000005"/>
    <n v="0"/>
    <n v="0"/>
    <n v="39488.225999999995"/>
    <n v="0.62949507412721173"/>
    <n v="1.7"/>
    <n v="1.7"/>
    <n v="100100"/>
    <s v="START ANTIDUSTING"/>
    <s v="ARCEBURGO"/>
    <s v="Additives"/>
    <s v="Domestic"/>
    <s v="10/2026"/>
    <s v="2026"/>
  </r>
  <r>
    <n v="11"/>
    <x v="9"/>
    <n v="7479"/>
    <s v="MOSAIC - CUBAT?O"/>
    <n v="1043"/>
    <s v="SP"/>
    <s v="START ANTIDUSTING SC AD ADITIVO ANTI PO P/ FERTILIZANTES"/>
    <n v="30000"/>
    <n v="30000"/>
    <n v="64800"/>
    <n v="-7776"/>
    <n v="57024"/>
    <n v="-11919.179040852567"/>
    <n v="0"/>
    <n v="0"/>
    <n v="45104.82095914743"/>
    <n v="0.79097960436215331"/>
    <n v="2.16"/>
    <n v="2.16"/>
    <n v="100100"/>
    <s v="START ANTIDUSTING"/>
    <s v="CUBATAO"/>
    <s v="Additives"/>
    <s v="Domestic"/>
    <s v="10/2026"/>
    <s v="2026"/>
  </r>
  <r>
    <n v="11"/>
    <x v="9"/>
    <n v="6124"/>
    <s v="MOSAIC - UBERABA II"/>
    <n v="1043"/>
    <s v="MG"/>
    <s v="START ANTIDUSTING SC AD ADITIVO ANTI PO P/ FERTILIZANTES"/>
    <n v="60000"/>
    <n v="60000"/>
    <n v="101400"/>
    <n v="0"/>
    <n v="101400"/>
    <n v="-23838.358081705133"/>
    <n v="-4884.3209999999999"/>
    <n v="-2.4822870115554956"/>
    <n v="72674.838631283303"/>
    <n v="0.7167143849238985"/>
    <n v="1.69"/>
    <n v="1.69"/>
    <n v="100100"/>
    <s v="START ANTIDUSTING"/>
    <s v="UBERABA"/>
    <s v="Additives"/>
    <s v="Domestic"/>
    <s v="10/2026"/>
    <s v="2026"/>
  </r>
  <r>
    <n v="11"/>
    <x v="9"/>
    <n v="7102"/>
    <s v="MOSAIC RONDONOPOLIS"/>
    <n v="1043"/>
    <s v="MT"/>
    <s v="START ANTIDUSTING SC AD ADITIVO ANTI PO P/ FERTILIZANTES"/>
    <n v="60000"/>
    <n v="60000"/>
    <n v="122400"/>
    <n v="-8568"/>
    <n v="113832"/>
    <n v="-23838.358081705133"/>
    <n v="-23961.904200000001"/>
    <n v="-12.177808044925195"/>
    <n v="66019.559910249925"/>
    <n v="0.57997364458368406"/>
    <n v="2.04"/>
    <n v="2.04"/>
    <n v="100100"/>
    <s v="START ANTIDUSTING"/>
    <s v="RONDONOPOLIS"/>
    <s v="Additives"/>
    <s v="Domestic"/>
    <s v="10/2026"/>
    <s v="2026"/>
  </r>
  <r>
    <n v="11"/>
    <x v="9"/>
    <n v="2645"/>
    <s v="ANAGRA - CHILE"/>
    <n v="14145"/>
    <s v="EX"/>
    <s v="DUSTPROTEC BLACK IBC ADITIVO ANTI-PO P/ FERTILIZANTES GRANULADOS"/>
    <n v="24000"/>
    <n v="24000"/>
    <n v="148824"/>
    <n v="0"/>
    <n v="148824"/>
    <n v="-38644.520000000004"/>
    <n v="-35277.834239999996"/>
    <n v="-3581.3011455276796"/>
    <n v="71320.344614472313"/>
    <n v="0.4792260966945675"/>
    <n v="6.2009999999999996"/>
    <n v="6.2009999999999996"/>
    <n v="100100"/>
    <s v="START ANTIDUSTING"/>
    <s v="SANTIAGO"/>
    <s v="Additives"/>
    <s v="International"/>
    <s v="10/2026"/>
    <s v="2026"/>
  </r>
  <r>
    <n v="11"/>
    <x v="9"/>
    <n v="7022"/>
    <s v="MOSAIC - ROSARIO DO CATETE"/>
    <n v="1043"/>
    <s v="SE"/>
    <s v="START ANTIDUSTING SC AD ADITIVO ANTI PO P/ FERTILIZANTES"/>
    <n v="180000"/>
    <n v="180000"/>
    <n v="433800"/>
    <n v="-30366.000000000004"/>
    <n v="403434"/>
    <n v="-71515.074245115393"/>
    <n v="-151269.0064704"/>
    <n v="-76.877234320262346"/>
    <n v="180573.04205016434"/>
    <n v="0.4475900445925835"/>
    <n v="2.41"/>
    <n v="2.41"/>
    <n v="100100"/>
    <s v="START ANTIDUSTING"/>
    <s v="ROSARIO DO CATETE"/>
    <s v="Additives"/>
    <s v="Domestic"/>
    <s v="10/2026"/>
    <s v="2026"/>
  </r>
  <r>
    <n v="11"/>
    <x v="9"/>
    <n v="6315"/>
    <s v="ONNO LOGISTICA  LTDA"/>
    <n v="13954"/>
    <s v="MT"/>
    <s v="DUSTPRO - ADITIVO ANTI PO P/ FERTILIZANTES"/>
    <n v="90000"/>
    <n v="90000"/>
    <n v="135000"/>
    <n v="0"/>
    <n v="135000"/>
    <n v="-31727.010000000002"/>
    <n v="-35942.856299999999"/>
    <n v="-18.266712067387793"/>
    <n v="67311.866987932604"/>
    <n v="0.49860642213283413"/>
    <n v="1.5"/>
    <n v="1.5"/>
    <n v="100100"/>
    <s v="START ANTIDUSTING"/>
    <s v="RONDONOPOLIS"/>
    <s v="Additives"/>
    <s v="Domestic"/>
    <s v="10/2026"/>
    <s v="2026"/>
  </r>
  <r>
    <n v="11"/>
    <x v="9"/>
    <n v="16073"/>
    <s v="IMEX SUL INSUMOS - RIO GRANDE"/>
    <n v="1"/>
    <s v="RS"/>
    <s v="START ANTIDUSTING KG ADITIVO ANTI PO P/ FERTILIZANTES"/>
    <n v="30000"/>
    <n v="30000"/>
    <n v="84000"/>
    <n v="-10080"/>
    <n v="73920"/>
    <n v="-19725.684705882359"/>
    <n v="-24421.605"/>
    <n v="-12.411435057777478"/>
    <n v="29760.298859059862"/>
    <n v="0.40260144560416478"/>
    <n v="2.8"/>
    <n v="2.8"/>
    <n v="100100"/>
    <s v="START ANTIDUSTING"/>
    <s v="RIO GRANDE"/>
    <s v="Additives"/>
    <s v="Domestic"/>
    <s v="10/2026"/>
    <s v="2026"/>
  </r>
  <r>
    <n v="11"/>
    <x v="9"/>
    <n v="1874"/>
    <s v="FERTILIZ. TOCANTINS - BARCARENA"/>
    <n v="148"/>
    <s v="PA"/>
    <s v="START ANTIDUSTING BLACK ADITIVO ANTI PO P/ FERTILIZANTES"/>
    <n v="60000"/>
    <n v="60000"/>
    <n v="168600"/>
    <n v="-11802.000000000002"/>
    <n v="156798"/>
    <n v="-40396.030188679251"/>
    <n v="-53957.381399999998"/>
    <n v="-27.421970633536588"/>
    <n v="62417.166440687208"/>
    <n v="0.39807374099597703"/>
    <n v="2.81"/>
    <n v="2.81"/>
    <n v="100100"/>
    <s v="START ANTIDUSTING"/>
    <s v="BARCARENA "/>
    <s v="Additives"/>
    <s v="Domestic"/>
    <s v="10/2026"/>
    <s v="2026"/>
  </r>
  <r>
    <n v="11"/>
    <x v="9"/>
    <n v="16099"/>
    <s v="MOSAIC - PALMEIRANTE"/>
    <n v="1043"/>
    <s v="TO"/>
    <s v="START ANTIDUSTING SC AD ADITIVO ANTI PO P/ FERTILIZANTES"/>
    <n v="30000"/>
    <n v="30000"/>
    <n v="65700"/>
    <n v="-4599"/>
    <n v="61101"/>
    <n v="-11919.179040852567"/>
    <n v="0"/>
    <n v="0"/>
    <n v="49181.82095914743"/>
    <n v="0.80492661264377718"/>
    <n v="2.19"/>
    <n v="2.19"/>
    <n v="100100"/>
    <s v="START ANTIDUSTING"/>
    <s v="PALMEIRANTE"/>
    <s v="Additives"/>
    <s v="Domestic"/>
    <s v="10/2026"/>
    <s v="2026"/>
  </r>
  <r>
    <n v="11"/>
    <x v="9"/>
    <n v="139"/>
    <s v="COMIGO - RIO VERDE"/>
    <n v="1043"/>
    <s v="GO"/>
    <s v="START ANTIDUSTING SC AD ADITIVO ANTI PO P/ FERTILIZANTES"/>
    <n v="90000"/>
    <n v="90000"/>
    <n v="61250.000000000036"/>
    <n v="-4287.5000000000027"/>
    <n v="56962.500000000036"/>
    <n v="-35757.537122557696"/>
    <n v="-17066.392199999998"/>
    <n v="-8.6734028521409652"/>
    <n v="4129.8972745902001"/>
    <n v="7.2502036859165203E-2"/>
    <n v="0.68055555555555591"/>
    <n v="0.68055555555555591"/>
    <n v="100100"/>
    <s v="START ANTIDUSTING"/>
    <s v="RIO VERDE"/>
    <s v="Additives"/>
    <s v="Domestic"/>
    <s v="10/2026"/>
    <s v="2026"/>
  </r>
  <r>
    <n v="11"/>
    <x v="9"/>
    <n v="15508"/>
    <s v="SOMAX - PARAGUAI"/>
    <n v="14141"/>
    <s v="EX"/>
    <s v="DUSTPROTEC SC IBC - ADITIVO ANTI-PO P/ FERTILIZANTES GRANULADOS"/>
    <n v="38400"/>
    <n v="38400"/>
    <n v="203520"/>
    <n v="0"/>
    <n v="203520"/>
    <n v="-37938.587999999996"/>
    <n v="0"/>
    <n v="-5701.3958526297165"/>
    <n v="159880.0161473703"/>
    <n v="0.78557397871152856"/>
    <n v="5.3"/>
    <n v="5.3"/>
    <n v="100100"/>
    <s v="START ANTIDUSTING"/>
    <s v="HERNANDARIAS "/>
    <s v="Additives"/>
    <s v="International"/>
    <s v="10/2026"/>
    <s v="2026"/>
  </r>
  <r>
    <n v="11"/>
    <x v="9"/>
    <n v="87"/>
    <s v="ADUBOS ARAGUAIA - CATALAO"/>
    <n v="14133"/>
    <s v="GO"/>
    <s v="START ANTIDUSTING SC AD IBC ADITIVO ANTI PO P/ FERTILIZANTES"/>
    <n v="9000"/>
    <n v="9000"/>
    <n v="24750"/>
    <n v="-1732.5000000000002"/>
    <n v="23017.5"/>
    <n v="-10967.948517350162"/>
    <n v="-1568.7289799999999"/>
    <n v="-0.79725218135841192"/>
    <n v="10480.025250468479"/>
    <n v="0.45530684264009902"/>
    <n v="2.75"/>
    <n v="2.75"/>
    <n v="100100"/>
    <s v="START ANTIDUSTING"/>
    <s v="CATALAO"/>
    <s v="Additives"/>
    <s v="Domestic"/>
    <s v="10/2026"/>
    <s v="2026"/>
  </r>
  <r>
    <n v="11"/>
    <x v="9"/>
    <n v="1023"/>
    <s v="ADUBOS ARAGUAIA - RONDONOPOLIS"/>
    <n v="1"/>
    <s v="MT"/>
    <s v="START ANTIDUSTING KG ADITIVO ANTI PO P/ FERTILIZANTES"/>
    <n v="30000"/>
    <n v="30000"/>
    <n v="72900"/>
    <n v="-5103.0000000000009"/>
    <n v="67797"/>
    <n v="-19725.684705882359"/>
    <n v="-11980.9521"/>
    <n v="-6.0889040224625974"/>
    <n v="36084.274290095171"/>
    <n v="0.53223998539898776"/>
    <n v="2.4300000000000002"/>
    <n v="2.4300000000000002"/>
    <n v="100100"/>
    <s v="START ANTIDUSTING"/>
    <s v="RONDONOPOLIS"/>
    <s v="Additives"/>
    <s v="Domestic"/>
    <s v="10/2026"/>
    <s v="2026"/>
  </r>
  <r>
    <n v="11"/>
    <x v="9"/>
    <n v="452"/>
    <s v="FERTIPAR - S?O LUIS DO MARANH?O"/>
    <n v="2"/>
    <s v="MA"/>
    <s v="START ANTIDUSTING SC ADITIVO ANTI PO P/ FERTILIZANTES"/>
    <n v="90000"/>
    <n v="90000"/>
    <n v="213300"/>
    <n v="-14931.000000000002"/>
    <n v="198369"/>
    <n v="-59440.402499999997"/>
    <n v="-79384.58189999999"/>
    <n v="-40.344464781928423"/>
    <n v="59503.671135218086"/>
    <n v="0.29996456671767308"/>
    <n v="2.37"/>
    <n v="2.37"/>
    <n v="100100"/>
    <s v="START ANTIDUSTING"/>
    <s v="SAO LUIS"/>
    <s v="Additives"/>
    <s v="Domestic"/>
    <s v="10/2026"/>
    <s v="2026"/>
  </r>
  <r>
    <n v="11"/>
    <x v="9"/>
    <n v="5657"/>
    <s v="FERTIPLANTA - VARGEM GRANDE DO SUL"/>
    <n v="14133"/>
    <s v="SP"/>
    <s v="START ANTIDUSTING SC AD IBC ADITIVO ANTI PO P/ FERTILIZANTES"/>
    <n v="7000"/>
    <n v="7000"/>
    <n v="24220"/>
    <n v="-2906.4"/>
    <n v="21313.599999999999"/>
    <n v="-8530.6266246056803"/>
    <n v="-3601.1642284799996"/>
    <n v="-1.8301670162207129"/>
    <n v="9179.9789798980983"/>
    <n v="0.43070992135998137"/>
    <n v="3.46"/>
    <n v="3.46"/>
    <n v="100100"/>
    <s v="START ANTIDUSTING"/>
    <s v="VARGEM GRANDE DO SUL"/>
    <s v="Additives"/>
    <s v="Domestic"/>
    <s v="10/2026"/>
    <s v="2026"/>
  </r>
  <r>
    <n v="11"/>
    <x v="9"/>
    <n v="16918"/>
    <s v="FERTZ FERTILIZANTES S/A"/>
    <n v="1043"/>
    <s v="PA"/>
    <s v="START ANTIDUSTING SC AD ADITIVO ANTI PO P/ FERTILIZANTES"/>
    <n v="30000"/>
    <n v="30000"/>
    <n v="66000"/>
    <n v="-4620"/>
    <n v="61380"/>
    <n v="-11919.179040852567"/>
    <n v="-26978.690699999999"/>
    <n v="-13.710985316768294"/>
    <n v="22468.419273830663"/>
    <n v="0.36605440328821542"/>
    <n v="2.2000000000000002"/>
    <n v="2.2000000000000002"/>
    <n v="100100"/>
    <s v="START ANTIDUSTING"/>
    <s v="BARCARENA "/>
    <s v="Additives"/>
    <s v="Domestic"/>
    <s v="10/2026"/>
    <s v="2026"/>
  </r>
  <r>
    <n v="11"/>
    <x v="9"/>
    <n v="12568"/>
    <s v="FRIBON FERTILIZANTES - BARCARENA"/>
    <n v="1043"/>
    <s v="PA"/>
    <s v="START ANTIDUSTING SC AD ADITIVO ANTI PO P/ FERTILIZANTES"/>
    <n v="10000"/>
    <n v="10000"/>
    <n v="23000"/>
    <n v="-1610.0000000000002"/>
    <n v="21390"/>
    <n v="-3973.0596802841887"/>
    <n v="-14525.944795830001"/>
    <n v="-7.3823084308465701"/>
    <n v="2883.6132154549628"/>
    <n v="0.13481127701986736"/>
    <n v="2.2999999999999998"/>
    <n v="2.2999999999999998"/>
    <n v="100100"/>
    <s v="START ANTIDUSTING"/>
    <s v="BARCARENA "/>
    <s v="Additives"/>
    <s v="Domestic"/>
    <s v="10/2026"/>
    <s v="2026"/>
  </r>
  <r>
    <n v="11"/>
    <x v="9"/>
    <n v="341"/>
    <s v="ADUBOS PARANAIBA - UBERLANDIA"/>
    <n v="1043"/>
    <s v="MG"/>
    <s v="START ANTIDUSTING SC AD ADITIVO ANTI PO P/ FERTILIZANTES"/>
    <n v="6000"/>
    <n v="6000"/>
    <n v="12000"/>
    <n v="-2160"/>
    <n v="9840"/>
    <n v="-2383.8358081705132"/>
    <n v="0"/>
    <n v="0"/>
    <n v="7456.1641918294863"/>
    <n v="0.75774026339730549"/>
    <n v="2"/>
    <n v="2"/>
    <n v="100100"/>
    <s v="START ANTIDUSTING"/>
    <s v="UBERLANDIA"/>
    <s v="Additives"/>
    <s v="Domestic"/>
    <s v="10/2026"/>
    <s v="2026"/>
  </r>
  <r>
    <n v="11"/>
    <x v="9"/>
    <n v="86"/>
    <s v="ADUBOS ARAGUAIA - ANAPOLIS"/>
    <n v="1"/>
    <s v="GO"/>
    <s v="START ANTIDUSTING KG ADITIVO ANTI PO P/ FERTILIZANTES"/>
    <n v="60000"/>
    <n v="60000"/>
    <n v="127200"/>
    <n v="-8904"/>
    <n v="118296"/>
    <n v="-39451.369411764717"/>
    <n v="-14940.276"/>
    <n v="-7.5928779176991625"/>
    <n v="63896.76171031758"/>
    <n v="0.54014304549872849"/>
    <n v="2.12"/>
    <n v="2.12"/>
    <n v="100100"/>
    <s v="START ANTIDUSTING"/>
    <s v="ANAPOLIS"/>
    <s v="Additives"/>
    <s v="Domestic"/>
    <s v="10/2026"/>
    <s v="2026"/>
  </r>
  <r>
    <n v="11"/>
    <x v="9"/>
    <n v="5053"/>
    <s v="ADUBOS ARAGUAIA - CONFRESA"/>
    <n v="14133"/>
    <s v="MT"/>
    <s v="START ANTIDUSTING SC AD IBC ADITIVO ANTI PO P/ FERTILIZANTES"/>
    <n v="7000"/>
    <n v="7000"/>
    <n v="19460"/>
    <n v="-1362.2"/>
    <n v="18097.8"/>
    <n v="-8530.6266246056803"/>
    <n v="-6291.4930277381"/>
    <n v="-3.1974334664012138"/>
    <n v="3272.4829141898176"/>
    <n v="0.18082213938654521"/>
    <n v="2.78"/>
    <n v="2.78"/>
    <n v="100100"/>
    <s v="START ANTIDUSTING"/>
    <s v="CONFRESA"/>
    <s v="Additives"/>
    <s v="Domestic"/>
    <s v="10/2026"/>
    <s v="2026"/>
  </r>
  <r>
    <n v="11"/>
    <x v="9"/>
    <n v="1936"/>
    <s v="CIBRA - PARANAGUA II"/>
    <n v="4"/>
    <s v="PR"/>
    <s v="START ANTIDUSTING G37 ADITIVO ANTI PO P/ FERTILIZANTES"/>
    <n v="35000"/>
    <n v="35000"/>
    <n v="139650"/>
    <n v="-16758"/>
    <n v="122892"/>
    <n v="-34256.254666666668"/>
    <n v="0"/>
    <n v="0"/>
    <n v="88635.745333333325"/>
    <n v="0.72124910761752858"/>
    <n v="3.99"/>
    <n v="3.99"/>
    <n v="100100"/>
    <s v="START ANTIDUSTING"/>
    <s v="PARANAGUA"/>
    <s v="Additives"/>
    <s v="Domestic"/>
    <s v="10/2026"/>
    <s v="2026"/>
  </r>
  <r>
    <n v="11"/>
    <x v="9"/>
    <n v="6477"/>
    <s v="MOSAIC - PARANAGUA II"/>
    <n v="1043"/>
    <s v="PR"/>
    <s v="START ANTIDUSTING SC AD ADITIVO ANTI PO P/ FERTILIZANTES"/>
    <n v="45000"/>
    <n v="45000"/>
    <n v="98550"/>
    <n v="-11826"/>
    <n v="86724"/>
    <n v="-17878.768561278848"/>
    <n v="-21074.40855"/>
    <n v="-10.710338370446799"/>
    <n v="47760.112550350706"/>
    <n v="0.55071390330647463"/>
    <n v="2.19"/>
    <n v="2.19"/>
    <n v="100100"/>
    <s v="START ANTIDUSTING"/>
    <s v="PARANAGUA"/>
    <s v="Additives"/>
    <s v="Domestic"/>
    <s v="10/2026"/>
    <s v="2026"/>
  </r>
  <r>
    <n v="11"/>
    <x v="9"/>
    <n v="2559"/>
    <s v="MOSAIC - RIO GRANDE"/>
    <n v="1043"/>
    <s v="RS"/>
    <s v="START ANTIDUSTING SC AD ADITIVO ANTI PO P/ FERTILIZANTES"/>
    <n v="120000"/>
    <n v="120000"/>
    <n v="301200"/>
    <n v="-36144"/>
    <n v="265056"/>
    <n v="-47676.716163410267"/>
    <n v="-97686.42"/>
    <n v="-49.645740231109912"/>
    <n v="119643.21809635861"/>
    <n v="0.45138845412425532"/>
    <n v="2.5099999999999998"/>
    <n v="2.5099999999999998"/>
    <n v="100100"/>
    <s v="START ANTIDUSTING"/>
    <s v="RIO GRANDE"/>
    <s v="Additives"/>
    <s v="Domestic"/>
    <s v="10/2026"/>
    <s v="2026"/>
  </r>
  <r>
    <n v="11"/>
    <x v="9"/>
    <n v="1462"/>
    <s v="AURORA MINERAC?O LTDA"/>
    <n v="1042"/>
    <s v="SP"/>
    <s v="START ANTIDUSTING KG AD ADITIVO ANTI PO P/ FERTILIZANTES"/>
    <n v="45000"/>
    <n v="45000"/>
    <n v="75150"/>
    <n v="-9018"/>
    <n v="66132"/>
    <n v="-23241.774000000005"/>
    <n v="0"/>
    <n v="0"/>
    <n v="42890.225999999995"/>
    <n v="0.64855479949192518"/>
    <n v="1.67"/>
    <n v="1.67"/>
    <n v="100100"/>
    <s v="START ANTIDUSTING"/>
    <s v="IPEUNA"/>
    <s v="Additives"/>
    <s v="Domestic"/>
    <s v="10/2026"/>
    <s v="2026"/>
  </r>
  <r>
    <n v="11"/>
    <x v="9"/>
    <n v="31"/>
    <s v="SUL GOIANA - GOIATUBA"/>
    <n v="1042"/>
    <s v="GO"/>
    <s v="START ANTIDUSTING KG AD ADITIVO ANTI PO P/ FERTILIZANTES"/>
    <n v="60000"/>
    <n v="60000"/>
    <n v="120000"/>
    <n v="-8400"/>
    <n v="111600"/>
    <n v="-30989.032000000007"/>
    <n v="-7010.4371999999994"/>
    <n v="-3.5628119459972987"/>
    <n v="73596.967988053992"/>
    <n v="0.65947103931948026"/>
    <n v="2"/>
    <n v="2"/>
    <n v="100100"/>
    <s v="START ANTIDUSTING"/>
    <s v="GOIATUBA"/>
    <s v="Additives"/>
    <s v="Domestic"/>
    <s v="10/2026"/>
    <s v="2026"/>
  </r>
  <r>
    <n v="11"/>
    <x v="9"/>
    <n v="2011"/>
    <s v="FERTGROW S.A"/>
    <n v="6654"/>
    <s v="MA"/>
    <s v="START ANTIDUSTING SC FG ADITIVO ANTI PO P/ FERTILIZANTES"/>
    <n v="150000"/>
    <n v="150000"/>
    <n v="405000"/>
    <n v="-28350.000000000004"/>
    <n v="376650"/>
    <n v="-58985.94"/>
    <n v="-132307.63649999999"/>
    <n v="-67.240774636547386"/>
    <n v="185289.18272536347"/>
    <n v="0.49193995148111902"/>
    <n v="2.7"/>
    <n v="2.7"/>
    <n v="100100"/>
    <s v="START ANTIDUSTING"/>
    <s v="SAO LUIS"/>
    <s v="Additives"/>
    <s v="Domestic"/>
    <s v="10/2026"/>
    <s v="2026"/>
  </r>
  <r>
    <n v="11"/>
    <x v="9"/>
    <n v="3273"/>
    <s v="FERTIMAXI - CONCEICAO DO JACUIPE"/>
    <n v="2"/>
    <s v="BA"/>
    <s v="START ANTIDUSTING SC ADITIVO ANTI PO P/ FERTILIZANTES"/>
    <n v="30000"/>
    <n v="30000"/>
    <n v="78900"/>
    <n v="-5523.0000000000009"/>
    <n v="73377"/>
    <n v="-19813.467499999999"/>
    <n v="-18675.345000000001"/>
    <n v="-9.4910973971239532"/>
    <n v="34878.696402602873"/>
    <n v="0.47533554659638405"/>
    <n v="2.63"/>
    <n v="2.63"/>
    <n v="100100"/>
    <s v="START ANTIDUSTING"/>
    <s v="CONCEICAO DO JACUIPE"/>
    <s v="Additives"/>
    <s v="Domestic"/>
    <s v="10/2026"/>
    <s v="2026"/>
  </r>
  <r>
    <n v="11"/>
    <x v="9"/>
    <n v="11212"/>
    <s v="INPEK FERTILIZANTES - PARANAGUA"/>
    <n v="1043"/>
    <s v="PR"/>
    <s v="START ANTIDUSTING SC AD ADITIVO ANTI PO P/ FERTILIZANTES"/>
    <n v="30000"/>
    <n v="30000"/>
    <n v="57000"/>
    <n v="-6840"/>
    <n v="50160"/>
    <n v="-11919.179040852567"/>
    <n v="-14049.6057"/>
    <n v="-7.1402255802978658"/>
    <n v="24184.075033567133"/>
    <n v="0.48213865696904173"/>
    <n v="1.9"/>
    <n v="1.9"/>
    <n v="100100"/>
    <s v="START ANTIDUSTING"/>
    <s v="PARANAGUA"/>
    <s v="Additives"/>
    <s v="Domestic"/>
    <s v="10/2026"/>
    <s v="2026"/>
  </r>
  <r>
    <n v="11"/>
    <x v="9"/>
    <n v="86"/>
    <s v="ADUBOS ARAGUAIA - ANAPOLIS"/>
    <n v="14133"/>
    <s v="GO"/>
    <s v="START ANTIDUSTING SC AD IBC ADITIVO ANTI PO P/ FERTILIZANTES"/>
    <n v="12000"/>
    <n v="12000"/>
    <n v="33000"/>
    <n v="-2310"/>
    <n v="30690"/>
    <n v="-14623.931356466881"/>
    <n v="-4650.7495518743999"/>
    <n v="-2.3635824112738217"/>
    <n v="11412.955509247446"/>
    <n v="0.3718786415525398"/>
    <n v="2.75"/>
    <n v="2.75"/>
    <n v="100100"/>
    <s v="START ANTIDUSTING"/>
    <s v="ANAPOLIS"/>
    <s v="Additives"/>
    <s v="Domestic"/>
    <s v="10/2026"/>
    <s v="2026"/>
  </r>
  <r>
    <n v="11"/>
    <x v="9"/>
    <n v="43"/>
    <s v="CIBRA - CAMACARI"/>
    <n v="148"/>
    <s v="BA"/>
    <s v="START ANTIDUSTING BLACK ADITIVO ANTI PO P/ FERTILIZANTES"/>
    <n v="120000"/>
    <n v="120000"/>
    <n v="284400"/>
    <n v="-19908.000000000004"/>
    <n v="264492"/>
    <n v="-80792.060377358503"/>
    <n v="-83049.650611200006"/>
    <n v="-42.20710903857541"/>
    <n v="100608.0819024029"/>
    <n v="0.38038232499433972"/>
    <n v="2.37"/>
    <n v="2.37"/>
    <n v="100100"/>
    <s v="START ANTIDUSTING"/>
    <s v="CAMACARI"/>
    <s v="Additives"/>
    <s v="Domestic"/>
    <s v="10/2026"/>
    <s v="2026"/>
  </r>
  <r>
    <n v="11"/>
    <x v="9"/>
    <n v="729"/>
    <s v="FERTILIZ. TOCANTINS - S?O LUIS"/>
    <n v="8061"/>
    <s v="MA"/>
    <s v="START ANTIDUSTING EURO SC ADITIVO ANTI PO P/ FERTILIZANTES"/>
    <n v="30000"/>
    <n v="30000"/>
    <n v="85500"/>
    <n v="-5985.0000000000009"/>
    <n v="79515"/>
    <n v="-16883.52"/>
    <n v="-26461.527299999998"/>
    <n v="-13.448154927309478"/>
    <n v="36156.504545072683"/>
    <n v="0.45471300440259932"/>
    <n v="2.85"/>
    <n v="2.85"/>
    <n v="100100"/>
    <s v="START ANTIDUSTING"/>
    <s v="SAO LUIS"/>
    <s v="Additives"/>
    <s v="Domestic"/>
    <s v="10/2026"/>
    <s v="2026"/>
  </r>
  <r>
    <n v="11"/>
    <x v="9"/>
    <n v="7097"/>
    <s v="MOSAIC - S?O FRANCISCO SUL"/>
    <n v="14133"/>
    <s v="SC"/>
    <s v="START ANTIDUSTING SC AD IBC ADITIVO ANTI PO P/ FERTILIZANTES"/>
    <n v="13200"/>
    <n v="13200"/>
    <n v="35640"/>
    <n v="-4276.8"/>
    <n v="31363.200000000001"/>
    <n v="-16086.32449211357"/>
    <n v="-10600.245792416279"/>
    <n v="-5.3872078534172338"/>
    <n v="4671.2425076167347"/>
    <n v="0.14894023912154164"/>
    <n v="2.7"/>
    <n v="2.7"/>
    <n v="100100"/>
    <s v="START ANTIDUSTING"/>
    <s v="SAO FRANCISCO DO SUL"/>
    <s v="Additives"/>
    <s v="Domestic"/>
    <s v="10/2026"/>
    <s v="2026"/>
  </r>
  <r>
    <n v="11"/>
    <x v="9"/>
    <n v="2997"/>
    <s v="AGROPLANTA - BATATAIS"/>
    <n v="1043"/>
    <s v="SP"/>
    <s v="START ANTIDUSTING SC AD ADITIVO ANTI PO P/ FERTILIZANTES"/>
    <n v="30000"/>
    <n v="30000"/>
    <n v="52200"/>
    <n v="-6264"/>
    <n v="45936"/>
    <n v="-11919.179040852567"/>
    <n v="-4800.9937247999997"/>
    <n v="-2.4399388094333845"/>
    <n v="29213.387295537999"/>
    <n v="0.63595844861411532"/>
    <n v="1.74"/>
    <n v="1.74"/>
    <n v="100100"/>
    <s v="START ANTIDUSTING"/>
    <s v="BATATAIS"/>
    <s v="Additives"/>
    <s v="Domestic"/>
    <s v="10/2026"/>
    <s v="2026"/>
  </r>
  <r>
    <n v="11"/>
    <x v="9"/>
    <n v="14632"/>
    <s v="BIGFERTIL - CANDEIAS"/>
    <n v="1043"/>
    <s v="BA"/>
    <s v="START ANTIDUSTING SC AD ADITIVO ANTI PO P/ FERTILIZANTES"/>
    <n v="30000"/>
    <n v="30000"/>
    <n v="96900"/>
    <n v="-6783.0000000000009"/>
    <n v="90117"/>
    <n v="-11919.179040852567"/>
    <n v="-21548.474999999999"/>
    <n v="-10.951266227450713"/>
    <n v="56638.394692919981"/>
    <n v="0.62849844860481352"/>
    <n v="3.23"/>
    <n v="3.23"/>
    <n v="100100"/>
    <s v="START ANTIDUSTING"/>
    <s v="CANDEIAS"/>
    <s v="Additives"/>
    <s v="Domestic"/>
    <s v="10/2026"/>
    <s v="2026"/>
  </r>
  <r>
    <n v="11"/>
    <x v="9"/>
    <n v="820"/>
    <s v="EMPRESA BRASILEIRA DE TEL S/A"/>
    <n v="1043"/>
    <s v="MG"/>
    <s v="START ANTIDUSTING SC AD ADITIVO ANTI PO P/ FERTILIZANTES"/>
    <n v="120000"/>
    <n v="120000"/>
    <n v="283200"/>
    <n v="-72456.72"/>
    <n v="210743.28"/>
    <n v="-47676.716163410267"/>
    <n v="0"/>
    <n v="0"/>
    <n v="163066.56383658975"/>
    <n v="0.77376874762787096"/>
    <n v="2.36"/>
    <n v="2.36"/>
    <n v="100100"/>
    <s v="START ANTIDUSTING"/>
    <s v="BELO HORIZONTE"/>
    <s v="Additives"/>
    <s v="Domestic"/>
    <s v="10/2026"/>
    <s v="2026"/>
  </r>
  <r>
    <n v="11"/>
    <x v="9"/>
    <n v="13836"/>
    <s v="FERTALVO FERTILIZANTES - RONDONOPOLIS"/>
    <n v="1043"/>
    <s v="MT"/>
    <s v="START ANTIDUSTING SC AD ADITIVO ANTI PO P/ FERTILIZANTES"/>
    <n v="30000"/>
    <n v="30000"/>
    <n v="60000"/>
    <n v="-10800"/>
    <n v="49200"/>
    <n v="-11919.179040852567"/>
    <n v="-11980.9521"/>
    <n v="-6.0889040224625974"/>
    <n v="25293.779955124966"/>
    <n v="0.51410121860010094"/>
    <n v="2"/>
    <n v="2"/>
    <n v="100100"/>
    <s v="START ANTIDUSTING"/>
    <s v="RONDONOPOLIS"/>
    <s v="Additives"/>
    <s v="Domestic"/>
    <s v="10/2026"/>
    <s v="2026"/>
  </r>
  <r>
    <n v="11"/>
    <x v="9"/>
    <n v="2975"/>
    <s v="COONAGRO COOPERATIVA - PARANAGUA"/>
    <n v="4"/>
    <s v="PR"/>
    <s v="START ANTIDUSTING G37 ADITIVO ANTI PO P/ FERTILIZANTES"/>
    <n v="40000"/>
    <n v="40000"/>
    <n v="159600"/>
    <n v="-19152"/>
    <n v="140448"/>
    <n v="-39150.005333333327"/>
    <n v="-18732.807599999996"/>
    <n v="-9.5203007737304866"/>
    <n v="82555.666765892936"/>
    <n v="0.58780236646939032"/>
    <n v="3.99"/>
    <n v="3.99"/>
    <n v="100100"/>
    <s v="START ANTIDUSTING"/>
    <s v="PARANAGUA"/>
    <s v="Additives"/>
    <s v="Domestic"/>
    <s v="10/2026"/>
    <s v="2026"/>
  </r>
  <r>
    <n v="11"/>
    <x v="9"/>
    <n v="16453"/>
    <s v="HIDROVIAS DO BRASIL ADMINISTRACAO PORTUA"/>
    <n v="1043"/>
    <s v="SP"/>
    <s v="START ANTIDUSTING SC AD ADITIVO ANTI PO P/ FERTILIZANTES"/>
    <n v="60000"/>
    <n v="60000"/>
    <n v="141600"/>
    <n v="-16992"/>
    <n v="124608"/>
    <n v="-23838.358081705133"/>
    <n v="0"/>
    <n v="0"/>
    <n v="100769.64191829486"/>
    <n v="0.80869319721281829"/>
    <n v="2.36"/>
    <n v="2.36"/>
    <n v="100100"/>
    <s v="START ANTIDUSTING"/>
    <s v="SANTOS"/>
    <s v="Additives"/>
    <s v="Domestic"/>
    <s v="10/2026"/>
    <s v="2026"/>
  </r>
  <r>
    <n v="11"/>
    <x v="9"/>
    <n v="2622"/>
    <s v="ADUFERTIL JUNDIAI"/>
    <n v="1043"/>
    <s v="SP"/>
    <s v="START ANTIDUSTING SC AD ADITIVO ANTI PO P/ FERTILIZANTES"/>
    <n v="30000"/>
    <n v="30000"/>
    <n v="79200"/>
    <n v="-9504"/>
    <n v="69696"/>
    <n v="-11919.179040852567"/>
    <n v="-9878.4844703999988"/>
    <n v="-5.0203976550121467"/>
    <n v="47893.31609109242"/>
    <n v="0.68717453069175305"/>
    <n v="2.64"/>
    <n v="2.64"/>
    <n v="100100"/>
    <s v="START ANTIDUSTING"/>
    <s v="JUNDIAI"/>
    <s v="Additives"/>
    <s v="Domestic"/>
    <s v="10/2026"/>
    <s v="2026"/>
  </r>
  <r>
    <n v="11"/>
    <x v="9"/>
    <n v="87"/>
    <s v="ADUBOS ARAGUAIA - CATALAO"/>
    <n v="1"/>
    <s v="GO"/>
    <s v="START ANTIDUSTING KG ADITIVO ANTI PO P/ FERTILIZANTES"/>
    <n v="60000"/>
    <n v="60000"/>
    <n v="129000"/>
    <n v="-9030"/>
    <n v="119970"/>
    <n v="-39451.369411764717"/>
    <n v="-4884.3209999999999"/>
    <n v="-2.4822870115554956"/>
    <n v="75631.827301223719"/>
    <n v="0.63042283321850223"/>
    <n v="2.15"/>
    <n v="2.15"/>
    <n v="100100"/>
    <s v="START ANTIDUSTING"/>
    <s v="CATALAO"/>
    <s v="Additives"/>
    <s v="Domestic"/>
    <s v="10/2026"/>
    <s v="2026"/>
  </r>
  <r>
    <n v="11"/>
    <x v="9"/>
    <n v="7024"/>
    <s v="MOSAIC - SORRISO"/>
    <n v="1043"/>
    <s v="MT"/>
    <s v="START ANTIDUSTING SC AD ADITIVO ANTI PO P/ FERTILIZANTES"/>
    <n v="30000"/>
    <n v="30000"/>
    <n v="68400"/>
    <n v="-4788.0000000000009"/>
    <n v="63612"/>
    <n v="-11919.179040852567"/>
    <n v="-21002.580299999998"/>
    <n v="-10.673834149688629"/>
    <n v="30679.566824997743"/>
    <n v="0.48229212766455609"/>
    <n v="2.2799999999999998"/>
    <n v="2.2799999999999998"/>
    <n v="100100"/>
    <s v="START ANTIDUSTING"/>
    <s v="SORRISO"/>
    <s v="Additives"/>
    <s v="Domestic"/>
    <s v="10/2026"/>
    <s v="2026"/>
  </r>
  <r>
    <n v="11"/>
    <x v="9"/>
    <n v="9295"/>
    <s v="TECNOMYL S.A. - PARAGUAY"/>
    <n v="14146"/>
    <s v="EX"/>
    <s v="DUSTPROTEC BLACK PLUS IBC ADITIVO ANTI PO P/ FERTILIZANTES"/>
    <n v="26400"/>
    <n v="26400"/>
    <n v="135722.4"/>
    <n v="0"/>
    <n v="135722.4"/>
    <n v="-53934.894999999997"/>
    <n v="-23805.056000000008"/>
    <n v="-3931.8077440616225"/>
    <n v="54050.641255938368"/>
    <n v="0.39824407213502244"/>
    <n v="5.141"/>
    <n v="5.141"/>
    <n v="100100"/>
    <s v="START ANTIDUSTING"/>
    <s v="ASSUNCION"/>
    <s v="Additives"/>
    <s v="International"/>
    <s v="10/2026"/>
    <s v="2026"/>
  </r>
  <r>
    <n v="11"/>
    <x v="9"/>
    <n v="210"/>
    <s v="SUPERFERTIL FERTILIZANTES - PATROCINIO"/>
    <n v="14133"/>
    <s v="MG"/>
    <s v="START ANTIDUSTING SC AD IBC ADITIVO ANTI PO P/ FERTILIZANTES"/>
    <n v="2000"/>
    <n v="2000"/>
    <n v="5800"/>
    <n v="-1044"/>
    <n v="4756"/>
    <n v="-2437.32189274448"/>
    <n v="-492.66741888000001"/>
    <n v="-0.25038115531358296"/>
    <n v="1825.7603072202064"/>
    <n v="0.38388568276286933"/>
    <n v="2.9"/>
    <n v="2.9"/>
    <n v="100100"/>
    <s v="START ANTIDUSTING"/>
    <s v="PATROCINIO"/>
    <s v="Additives"/>
    <s v="Domestic"/>
    <s v="10/2026"/>
    <s v="2026"/>
  </r>
  <r>
    <n v="11"/>
    <x v="9"/>
    <n v="97"/>
    <s v="FECOAGRO - SAO FRANCISCO DO SUL"/>
    <n v="148"/>
    <s v="SC"/>
    <s v="START ANTIDUSTING BLACK ADITIVO ANTI PO P/ FERTILIZANTES"/>
    <n v="32000"/>
    <n v="32000"/>
    <n v="112000"/>
    <n v="-13440"/>
    <n v="98560"/>
    <n v="-21544.549433962264"/>
    <n v="-17928.331200000001"/>
    <n v="-9.1114535012389961"/>
    <n v="59078.007912536494"/>
    <n v="0.59941160625544332"/>
    <n v="3.5"/>
    <n v="3.5"/>
    <n v="100100"/>
    <s v="START ANTIDUSTING"/>
    <s v="SAO FRANCISCO DO SUL"/>
    <s v="Additives"/>
    <s v="Domestic"/>
    <s v="10/2026"/>
    <s v="2026"/>
  </r>
  <r>
    <n v="11"/>
    <x v="9"/>
    <n v="3232"/>
    <s v="FERTILIZ. TOCANTINS - ARAGUARI"/>
    <n v="7384"/>
    <s v="MG"/>
    <s v="START ANTIDUSTING EURO KG ADITIVO ANTI PO P/ FERTILIZANTES"/>
    <n v="150000"/>
    <n v="150000"/>
    <n v="280500"/>
    <n v="-50490"/>
    <n v="230010"/>
    <n v="-103750.78"/>
    <n v="-8619.39"/>
    <n v="-4.3805064909802853"/>
    <n v="117635.44949350902"/>
    <n v="0.51143623970048702"/>
    <n v="1.87"/>
    <n v="1.87"/>
    <n v="100100"/>
    <s v="START ANTIDUSTING"/>
    <s v="ARAGUARI"/>
    <s v="Additives"/>
    <s v="Domestic"/>
    <s v="10/2026"/>
    <s v="2026"/>
  </r>
  <r>
    <n v="11"/>
    <x v="9"/>
    <n v="2949"/>
    <s v="MOSAIC - CANDEIAS"/>
    <n v="1043"/>
    <s v="BA"/>
    <s v="START ANTIDUSTING SC AD ADITIVO ANTI PO P/ FERTILIZANTES"/>
    <n v="30000"/>
    <n v="30000"/>
    <n v="69900"/>
    <n v="-4893.0000000000009"/>
    <n v="65007"/>
    <n v="-11919.179040852567"/>
    <n v="-21548.474999999999"/>
    <n v="-10.951266227450713"/>
    <n v="31528.394692919981"/>
    <n v="0.48499999527620075"/>
    <n v="2.33"/>
    <n v="2.33"/>
    <n v="100100"/>
    <s v="START ANTIDUSTING"/>
    <s v="CANDEIAS"/>
    <s v="Additives"/>
    <s v="Domestic"/>
    <s v="10/2026"/>
    <s v="2026"/>
  </r>
  <r>
    <n v="11"/>
    <x v="9"/>
    <n v="2603"/>
    <s v="MOSAIC - S?O LUIS"/>
    <n v="1043"/>
    <s v="MA"/>
    <s v="START ANTIDUSTING SC AD ADITIVO ANTI PO P/ FERTILIZANTES"/>
    <n v="60000"/>
    <n v="60000"/>
    <n v="147600"/>
    <n v="-10332.000000000002"/>
    <n v="137268"/>
    <n v="-23838.358081705133"/>
    <n v="0"/>
    <n v="0"/>
    <n v="113429.64191829486"/>
    <n v="0.82633710637799673"/>
    <n v="2.46"/>
    <n v="2.46"/>
    <n v="100100"/>
    <s v="START ANTIDUSTING"/>
    <s v="SAO LUIS"/>
    <s v="Additives"/>
    <s v="Domestic"/>
    <s v="10/2026"/>
    <s v="2026"/>
  </r>
  <r>
    <n v="11"/>
    <x v="9"/>
    <n v="214"/>
    <s v="UNIFERTIL - CANOAS UN1"/>
    <n v="3"/>
    <s v="RS"/>
    <s v="START ANTIDUSTING MH ADITIVO ANTI PO P/ FERTILIZANTES"/>
    <n v="64000"/>
    <n v="64000"/>
    <n v="165760"/>
    <n v="-19891.2"/>
    <n v="145868.79999999999"/>
    <n v="-50204.69"/>
    <n v="-51609.076479999996"/>
    <n v="-26.228525976216183"/>
    <n v="44028.804994023776"/>
    <n v="0.30183839857477252"/>
    <n v="2.59"/>
    <n v="2.59"/>
    <n v="100100"/>
    <s v="START ANTIDUSTING"/>
    <s v="CANOAS"/>
    <s v="Additives"/>
    <s v="Domestic"/>
    <s v="10/2026"/>
    <s v="2026"/>
  </r>
  <r>
    <n v="11"/>
    <x v="9"/>
    <n v="12596"/>
    <s v="DREYFUS SUICA"/>
    <n v="14146"/>
    <s v="EX"/>
    <s v="DUSTPROTEC BLACK PLUS IBC ADITIVO ANTI PO P/ FERTILIZANTES"/>
    <n v="26400"/>
    <n v="26400"/>
    <n v="138520.79999999999"/>
    <n v="0"/>
    <n v="138520.79999999999"/>
    <n v="-53934.894999999997"/>
    <n v="-32701.3632"/>
    <n v="-3936.3289841302767"/>
    <n v="47948.212815869723"/>
    <n v="0.34614449826935539"/>
    <n v="5.2469999999999999"/>
    <n v="5.2469999999999999"/>
    <n v="100100"/>
    <s v="START ANTIDUSTING"/>
    <s v="GENEBRA"/>
    <s v="Additives"/>
    <s v="International"/>
    <s v="10/2026"/>
    <s v="2026"/>
  </r>
  <r>
    <n v="11"/>
    <x v="9"/>
    <n v="2287"/>
    <s v="BUNGE PARAGUAY S.A"/>
    <n v="4067"/>
    <s v="EX"/>
    <s v="DUSTPROTEC BLACK PLUS ADITIVO ANTI PO P/ FERTILIZANTES"/>
    <n v="60000"/>
    <n v="60000"/>
    <n v="318000"/>
    <n v="0"/>
    <n v="318000"/>
    <n v="-92431.92"/>
    <n v="-71443.999999999796"/>
    <n v="-8944.7399587356012"/>
    <n v="145179.34004126463"/>
    <n v="0.45653880516120954"/>
    <n v="5.3"/>
    <n v="5.3"/>
    <n v="100100"/>
    <s v="START ANTIDUSTING"/>
    <s v="SAN JUAN DEL PARANA"/>
    <s v="Additives"/>
    <s v="International"/>
    <s v="10/2026"/>
    <s v="2026"/>
  </r>
  <r>
    <n v="11"/>
    <x v="9"/>
    <n v="12972"/>
    <s v="INVICTA FERTILIZER - RIO GRANDE"/>
    <n v="1"/>
    <s v="RS"/>
    <s v="START ANTIDUSTING KG ADITIVO ANTI PO P/ FERTILIZANTES"/>
    <n v="30000"/>
    <n v="30000"/>
    <n v="90000"/>
    <n v="-10800"/>
    <n v="79200"/>
    <n v="-19725.684705882359"/>
    <n v="-24421.605"/>
    <n v="-12.411435057777478"/>
    <n v="35040.298859059862"/>
    <n v="0.44242801589722047"/>
    <n v="3"/>
    <n v="3"/>
    <n v="100100"/>
    <s v="START ANTIDUSTING"/>
    <s v="RIO GRANDE"/>
    <s v="Additives"/>
    <s v="Domestic"/>
    <s v="10/2026"/>
    <s v="2026"/>
  </r>
  <r>
    <n v="11"/>
    <x v="9"/>
    <n v="3251"/>
    <s v="FERTIMAN - BOM JESUS"/>
    <n v="1107"/>
    <s v="GO"/>
    <s v="START ANTIDUSTING EM ADITIVO ANTI PO P/ FERTILIZANTES"/>
    <n v="15000"/>
    <n v="15000"/>
    <n v="34500"/>
    <n v="-2415.0000000000005"/>
    <n v="32085"/>
    <n v="-10625.030000000002"/>
    <n v="-3564.3074999999999"/>
    <n v="-1.8114358602638603"/>
    <n v="17893.851064139733"/>
    <n v="0.55770145127441895"/>
    <n v="2.2999999999999998"/>
    <n v="2.2999999999999998"/>
    <n v="100100"/>
    <s v="START ANTIDUSTING"/>
    <s v="BOM JESUS DE GOIAS"/>
    <s v="Additives"/>
    <s v="Domestic"/>
    <s v="10/2026"/>
    <s v="2026"/>
  </r>
  <r>
    <n v="11"/>
    <x v="9"/>
    <n v="7648"/>
    <s v="LOUIS DREYFUS - PARANAGUA"/>
    <n v="14133"/>
    <s v="PR"/>
    <s v="START ANTIDUSTING SC AD IBC ADITIVO ANTI PO P/ FERTILIZANTES"/>
    <n v="13200"/>
    <n v="13200"/>
    <n v="37092"/>
    <n v="-4451.04"/>
    <n v="32640.959999999999"/>
    <n v="-16086.32449211357"/>
    <n v="-9623.6718130238405"/>
    <n v="-4.8908979456800248"/>
    <n v="6926.0727969169084"/>
    <n v="0.21218961687759516"/>
    <n v="2.81"/>
    <n v="2.81"/>
    <n v="100100"/>
    <s v="START ANTIDUSTING"/>
    <s v="PARANAGUA"/>
    <s v="Additives"/>
    <s v="Domestic"/>
    <s v="10/2026"/>
    <s v="2026"/>
  </r>
  <r>
    <n v="11"/>
    <x v="9"/>
    <n v="10492"/>
    <s v="UNIFERTIL RIO GRANDE UN1"/>
    <n v="3"/>
    <s v="RS"/>
    <s v="START ANTIDUSTING MH ADITIVO ANTI PO P/ FERTILIZANTES"/>
    <n v="64000"/>
    <n v="64000"/>
    <n v="165760"/>
    <n v="-19891.2"/>
    <n v="145868.79999999999"/>
    <n v="-50204.69"/>
    <n v="-52099.423999999999"/>
    <n v="-26.477728123258618"/>
    <n v="43538.208271876727"/>
    <n v="0.29847512471396714"/>
    <n v="2.59"/>
    <n v="2.59"/>
    <n v="100100"/>
    <s v="START ANTIDUSTING"/>
    <s v="RIO GRANDE"/>
    <s v="Additives"/>
    <s v="Domestic"/>
    <s v="10/2026"/>
    <s v="2026"/>
  </r>
  <r>
    <n v="11"/>
    <x v="9"/>
    <n v="205"/>
    <s v="FERTIPAR - RONDONOPOLIS"/>
    <n v="6564"/>
    <s v="MT"/>
    <s v="MEGAMICRO PLUS ADITIVO P/ SUSPENS?O DE MICRONUTRIENTES"/>
    <n v="60000"/>
    <n v="60000"/>
    <n v="151200"/>
    <n v="-10584.000000000002"/>
    <n v="140616"/>
    <n v="-57544.515000000007"/>
    <n v="-23961.904200000001"/>
    <n v="-12.177808044925195"/>
    <n v="59097.402991955059"/>
    <n v="0.42027509666008889"/>
    <n v="2.52"/>
    <n v="2.52"/>
    <n v="100200"/>
    <s v="ADITIVO MEGAMICRO"/>
    <s v="RONDONOPOLIS"/>
    <s v="Additives"/>
    <s v="Domestic"/>
    <s v="10/2026"/>
    <s v="2026"/>
  </r>
  <r>
    <n v="11"/>
    <x v="9"/>
    <n v="14632"/>
    <s v="BIGFERTIL - CANDEIAS"/>
    <n v="113"/>
    <s v="BA"/>
    <s v="MEGAMICRO ADITIVO P/ SUSPENS?O DE MICRONUTRIENTES"/>
    <n v="30000"/>
    <n v="30000"/>
    <n v="109500"/>
    <n v="-7665.0000000000009"/>
    <n v="101835"/>
    <n v="-27044.233029197087"/>
    <n v="-21548.474999999999"/>
    <n v="-10.951266227450713"/>
    <n v="53231.340704575465"/>
    <n v="0.52272146810600939"/>
    <n v="3.65"/>
    <n v="3.65"/>
    <n v="100200"/>
    <s v="ADITIVO MEGAMICRO"/>
    <s v="CANDEIAS"/>
    <s v="Additives"/>
    <s v="Domestic"/>
    <s v="10/2026"/>
    <s v="2026"/>
  </r>
  <r>
    <n v="11"/>
    <x v="9"/>
    <n v="2588"/>
    <s v="FERTILIZ. TOCANTINS - SINOP"/>
    <n v="6564"/>
    <s v="MT"/>
    <s v="MEGAMICRO PLUS ADITIVO P/ SUSPENS?O DE MICRONUTRIENTES"/>
    <n v="60000"/>
    <n v="60000"/>
    <n v="187800"/>
    <n v="-13146.000000000002"/>
    <n v="174654"/>
    <n v="-57544.515000000007"/>
    <n v="-43786.501199999999"/>
    <n v="-22.252972974179851"/>
    <n v="73300.730827025807"/>
    <n v="0.41969110828853506"/>
    <n v="3.13"/>
    <n v="3.13"/>
    <n v="100200"/>
    <s v="ADITIVO MEGAMICRO"/>
    <s v="SINOP"/>
    <s v="Additives"/>
    <s v="Domestic"/>
    <s v="10/2026"/>
    <s v="2026"/>
  </r>
  <r>
    <n v="11"/>
    <x v="9"/>
    <n v="452"/>
    <s v="FERTIPAR - S?O LUIS DO MARANH?O"/>
    <n v="113"/>
    <s v="MA"/>
    <s v="MEGAMICRO ADITIVO P/ SUSPENS?O DE MICRONUTRIENTES"/>
    <n v="60000"/>
    <n v="60000"/>
    <n v="211200"/>
    <n v="-14784.000000000002"/>
    <n v="196416"/>
    <n v="-54088.466058394173"/>
    <n v="-52923.054599999996"/>
    <n v="-26.896309854618956"/>
    <n v="89377.583031751201"/>
    <n v="0.45504227268527614"/>
    <n v="3.52"/>
    <n v="3.52"/>
    <n v="100200"/>
    <s v="ADITIVO MEGAMICRO"/>
    <s v="SAO LUIS"/>
    <s v="Additives"/>
    <s v="Domestic"/>
    <s v="10/2026"/>
    <s v="2026"/>
  </r>
  <r>
    <n v="11"/>
    <x v="9"/>
    <n v="10492"/>
    <s v="UNIFERTIL RIO GRANDE UN1"/>
    <n v="113"/>
    <s v="RS"/>
    <s v="MEGAMICRO ADITIVO P/ SUSPENS?O DE MICRONUTRIENTES"/>
    <n v="96000"/>
    <n v="96000"/>
    <n v="296640"/>
    <n v="-35596.799999999996"/>
    <n v="261043.20000000001"/>
    <n v="-86541.545693430686"/>
    <n v="-78149.135999999999"/>
    <n v="-39.716592184887929"/>
    <n v="96312.801714384419"/>
    <n v="0.36895349779034431"/>
    <n v="3.09"/>
    <n v="3.09"/>
    <n v="100200"/>
    <s v="ADITIVO MEGAMICRO"/>
    <s v="RIO GRANDE"/>
    <s v="Additives"/>
    <s v="Domestic"/>
    <s v="10/2026"/>
    <s v="2026"/>
  </r>
  <r>
    <n v="11"/>
    <x v="9"/>
    <n v="1953"/>
    <s v="AMAGGI - COMODORO"/>
    <n v="113"/>
    <s v="MT"/>
    <s v="MEGAMICRO ADITIVO P/ SUSPENS?O DE MICRONUTRIENTES"/>
    <n v="30000"/>
    <n v="30000"/>
    <n v="87000"/>
    <n v="-6090.0000000000009"/>
    <n v="80910"/>
    <n v="-27044.233029197087"/>
    <n v="-20938.365302399998"/>
    <n v="-10.641199100827272"/>
    <n v="32916.760469302091"/>
    <n v="0.40683179420716958"/>
    <n v="2.9"/>
    <n v="2.9"/>
    <n v="100200"/>
    <s v="ADITIVO MEGAMICRO"/>
    <s v="COMODORO"/>
    <s v="Additives"/>
    <s v="Domestic"/>
    <s v="10/2026"/>
    <s v="2026"/>
  </r>
  <r>
    <n v="11"/>
    <x v="9"/>
    <n v="5182"/>
    <s v="FERTIPAR SINOP"/>
    <n v="113"/>
    <s v="MT"/>
    <s v="MEGAMICRO ADITIVO P/ SUSPENS?O DE MICRONUTRIENTES"/>
    <n v="30000"/>
    <n v="30000"/>
    <n v="80700"/>
    <n v="-5649.0000000000009"/>
    <n v="75051"/>
    <n v="-27044.233029197087"/>
    <n v="-21893.250599999999"/>
    <n v="-11.126486487089926"/>
    <n v="26102.389884315824"/>
    <n v="0.34779536427650298"/>
    <n v="2.69"/>
    <n v="2.69"/>
    <n v="100200"/>
    <s v="ADITIVO MEGAMICRO"/>
    <s v="SINOP"/>
    <s v="Additives"/>
    <s v="Domestic"/>
    <s v="10/2026"/>
    <s v="2026"/>
  </r>
  <r>
    <n v="11"/>
    <x v="9"/>
    <n v="252"/>
    <s v="FERTIPAR - PARANAGUA"/>
    <n v="10343"/>
    <s v="PR"/>
    <s v="MEGAMICRO BLACK ADITIVO P/ SUSPENS?O DE MICRONUTRIENTES"/>
    <n v="30000"/>
    <n v="30000"/>
    <n v="112800"/>
    <n v="-13536"/>
    <n v="99264"/>
    <n v="-52126.350000000006"/>
    <n v="-14049.6057"/>
    <n v="-7.1402255802978658"/>
    <n v="33080.904074419697"/>
    <n v="0.33326184794507269"/>
    <n v="3.76"/>
    <n v="3.76"/>
    <n v="100200"/>
    <s v="ADITIVO MEGAMICRO"/>
    <s v="PARANAGUA"/>
    <s v="Additives"/>
    <s v="Domestic"/>
    <s v="10/2026"/>
    <s v="2026"/>
  </r>
  <r>
    <n v="11"/>
    <x v="9"/>
    <n v="729"/>
    <s v="FERTILIZ. TOCANTINS - S?O LUIS"/>
    <n v="113"/>
    <s v="MA"/>
    <s v="MEGAMICRO ADITIVO P/ SUSPENS?O DE MICRONUTRIENTES"/>
    <n v="60000"/>
    <n v="60000"/>
    <n v="173400"/>
    <n v="-12138.000000000002"/>
    <n v="161262"/>
    <n v="-54088.466058394173"/>
    <n v="-52923.054599999996"/>
    <n v="-26.896309854618956"/>
    <n v="54223.583031751215"/>
    <n v="0.33624525946441947"/>
    <n v="2.89"/>
    <n v="2.89"/>
    <n v="100200"/>
    <s v="ADITIVO MEGAMICRO"/>
    <s v="SAO LUIS"/>
    <s v="Additives"/>
    <s v="Domestic"/>
    <s v="10/2026"/>
    <s v="2026"/>
  </r>
  <r>
    <n v="11"/>
    <x v="9"/>
    <n v="456"/>
    <s v="FERTIPAR - CANDEIAS"/>
    <n v="113"/>
    <s v="BA"/>
    <s v="MEGAMICRO ADITIVO P/ SUSPENS?O DE MICRONUTRIENTES"/>
    <n v="60000"/>
    <n v="60000"/>
    <n v="200400"/>
    <n v="-14028.000000000002"/>
    <n v="186372"/>
    <n v="-54088.466058394173"/>
    <n v="-43096.95"/>
    <n v="-21.902532454901426"/>
    <n v="89164.68140915093"/>
    <n v="0.47842316125357309"/>
    <n v="3.34"/>
    <n v="3.34"/>
    <n v="100200"/>
    <s v="ADITIVO MEGAMICRO"/>
    <s v="CANDEIAS"/>
    <s v="Additives"/>
    <s v="Domestic"/>
    <s v="10/2026"/>
    <s v="2026"/>
  </r>
  <r>
    <n v="11"/>
    <x v="9"/>
    <n v="8414"/>
    <s v="AMAGGI - PORTO VELHO"/>
    <n v="113"/>
    <s v="RO"/>
    <s v="MEGAMICRO ADITIVO P/ SUSPENS?O DE MICRONUTRIENTES"/>
    <n v="30000"/>
    <n v="30000"/>
    <n v="94500"/>
    <n v="-6615.0000000000009"/>
    <n v="87885"/>
    <n v="-27044.233029197087"/>
    <n v="-24507.690479999997"/>
    <n v="-12.4551850219767"/>
    <n v="36320.621305780936"/>
    <n v="0.41327440753007838"/>
    <n v="3.15"/>
    <n v="3.15"/>
    <n v="100200"/>
    <s v="ADITIVO MEGAMICRO"/>
    <s v="PORTO VELHO"/>
    <s v="Additives"/>
    <s v="Domestic"/>
    <s v="10/2026"/>
    <s v="2026"/>
  </r>
  <r>
    <n v="11"/>
    <x v="9"/>
    <n v="8413"/>
    <s v="AMAGGI - SINOP"/>
    <n v="113"/>
    <s v="MT"/>
    <s v="MEGAMICRO ADITIVO P/ SUSPENS?O DE MICRONUTRIENTES"/>
    <n v="32000"/>
    <n v="32000"/>
    <n v="92800"/>
    <n v="-6496.0000000000009"/>
    <n v="86304"/>
    <n v="-28847.181897810224"/>
    <n v="-23352.800640000001"/>
    <n v="-11.868252252895921"/>
    <n v="34092.149209936877"/>
    <n v="0.39502397582889409"/>
    <n v="2.9"/>
    <n v="2.9"/>
    <n v="100200"/>
    <s v="ADITIVO MEGAMICRO"/>
    <s v="SINOP"/>
    <s v="Additives"/>
    <s v="Domestic"/>
    <s v="10/2026"/>
    <s v="2026"/>
  </r>
  <r>
    <n v="11"/>
    <x v="9"/>
    <n v="214"/>
    <s v="UNIFERTIL - CANOAS UN1"/>
    <n v="113"/>
    <s v="RS"/>
    <s v="MEGAMICRO ADITIVO P/ SUSPENS?O DE MICRONUTRIENTES"/>
    <n v="120000"/>
    <n v="120000"/>
    <n v="370800"/>
    <n v="-44496"/>
    <n v="326304"/>
    <n v="-108176.93211678835"/>
    <n v="-96767.018399999986"/>
    <n v="-49.178486205405335"/>
    <n v="121310.87099700626"/>
    <n v="0.37177255257982206"/>
    <n v="3.09"/>
    <n v="3.09"/>
    <n v="100200"/>
    <s v="ADITIVO MEGAMICRO"/>
    <s v="CANOAS"/>
    <s v="Additives"/>
    <s v="Domestic"/>
    <s v="10/2026"/>
    <s v="2026"/>
  </r>
  <r>
    <n v="13"/>
    <x v="9"/>
    <n v="87"/>
    <s v="ADUBOS ARAGUAIA - CATALAO"/>
    <n v="8214"/>
    <s v="GO"/>
    <s v="UREMAX NBPT AZUL ADITIVO INIBIDOR DE UREASE P/ FERTILIZANTES"/>
    <n v="3000"/>
    <n v="3000"/>
    <n v="96110.130016931711"/>
    <n v="-6720.0000000000009"/>
    <n v="89390.130016931711"/>
    <n v="-27184.159830508481"/>
    <n v="-2121.6959999999981"/>
    <n v="-1.0782785208566847"/>
    <n v="60083.19590790238"/>
    <n v="0.67214574916181236"/>
    <n v="32.036710005643904"/>
    <n v="32.036710005643904"/>
    <n v="100300"/>
    <s v="UREMAX"/>
    <s v="CATALAO"/>
    <s v="Additives"/>
    <s v="Domestic"/>
    <s v="10/2026"/>
    <s v="2026"/>
  </r>
  <r>
    <n v="13"/>
    <x v="9"/>
    <n v="3232"/>
    <s v="FERTILIZ. TOCANTINS - ARAGUARI"/>
    <n v="8217"/>
    <s v="MG"/>
    <s v="UREMAX NBPT AMARELO ADITIVO INIBIDOR DE UREASE P/ FERTILIZANTES"/>
    <n v="20000"/>
    <n v="20000"/>
    <n v="840963.63764815254"/>
    <n v="-151200"/>
    <n v="689763.63764815254"/>
    <n v="-313211.5720000001"/>
    <n v="-3543.527"/>
    <n v="-1.8008748907363399"/>
    <n v="373006.73777326167"/>
    <n v="0.54077471964901092"/>
    <n v="42.048181882407626"/>
    <n v="42.048181882407626"/>
    <n v="100300"/>
    <s v="UREMAX"/>
    <s v="ARAGUARI"/>
    <s v="Additives"/>
    <s v="Domestic"/>
    <s v="10/2026"/>
    <s v="2026"/>
  </r>
  <r>
    <n v="13"/>
    <x v="9"/>
    <n v="2588"/>
    <s v="FERTILIZ. TOCANTINS - SINOP"/>
    <n v="8217"/>
    <s v="MT"/>
    <s v="UREMAX NBPT AMARELO ADITIVO INIBIDOR DE UREASE P/ FERTILIZANTES"/>
    <n v="18000"/>
    <n v="18000"/>
    <n v="665682.78802977328"/>
    <n v="-46544.4"/>
    <n v="619138.38802977325"/>
    <n v="-281890.41480000003"/>
    <n v="-19700.094700000001"/>
    <n v="-10.011890946607165"/>
    <n v="317537.86663882661"/>
    <n v="0.51287058398898178"/>
    <n v="36.982377112765185"/>
    <n v="36.982377112765185"/>
    <n v="100300"/>
    <s v="UREMAX"/>
    <s v="SINOP"/>
    <s v="Additives"/>
    <s v="Domestic"/>
    <s v="10/2026"/>
    <s v="2026"/>
  </r>
  <r>
    <n v="13"/>
    <x v="9"/>
    <n v="215"/>
    <s v="UNIFERTIL - CANOAS UN2"/>
    <n v="8216"/>
    <s v="RS"/>
    <s v="UREMAX NBPT ROXO ADITIVO INIBIDOR DE UREASE P/ FERTILIZANTES"/>
    <n v="24000"/>
    <n v="24000"/>
    <n v="746535.43490651704"/>
    <n v="-89481.599999999991"/>
    <n v="657053.83490651706"/>
    <n v="-228901.05"/>
    <n v="-18675.345000000001"/>
    <n v="-9.4910973971239532"/>
    <n v="409467.94880911993"/>
    <n v="0.62318782275637641"/>
    <n v="31.105643121104876"/>
    <n v="31.105643121104876"/>
    <n v="100300"/>
    <s v="UREMAX"/>
    <s v="CANOAS"/>
    <s v="Additives"/>
    <s v="Domestic"/>
    <s v="10/2026"/>
    <s v="2026"/>
  </r>
  <r>
    <n v="13"/>
    <x v="9"/>
    <n v="2925"/>
    <s v="COPEVAL - CHILE"/>
    <n v="8202"/>
    <s v="EX"/>
    <s v="NITROPROTEC PURPLE - ADITIVO INIBIDOR DE UREASE P/ FERTILIZANTE NITROGENADO"/>
    <n v="11000"/>
    <n v="11000"/>
    <n v="548648.68179040542"/>
    <n v="0"/>
    <n v="548648.68179040542"/>
    <n v="-240966.41"/>
    <n v="0"/>
    <n v="-1633.2123536178874"/>
    <n v="306049.0594367875"/>
    <n v="0.55782337512970503"/>
    <n v="49.877152890036854"/>
    <n v="49.877152890036854"/>
    <n v="100300"/>
    <s v="UREMAX"/>
    <s v="SAN FERNANDO"/>
    <s v="Additives"/>
    <s v="International"/>
    <s v="10/2026"/>
    <s v="2026"/>
  </r>
  <r>
    <n v="13"/>
    <x v="9"/>
    <n v="11212"/>
    <s v="INPEK FERTILIZANTES - PARANAGUA"/>
    <n v="8224"/>
    <s v="PR"/>
    <s v="UREMAX COAT VERDE ADITIVO INIBIDOR DE UREASE P/ FERTILIZANTES"/>
    <n v="2000"/>
    <n v="2000"/>
    <n v="48655.753321071679"/>
    <n v="-5832"/>
    <n v="42823.753321071679"/>
    <n v="-13388.967500000001"/>
    <n v="-9901.2479999999723"/>
    <n v="-5.0319664306645189"/>
    <n v="19528.505854641044"/>
    <n v="0.45602041717889141"/>
    <n v="24.327876660535839"/>
    <n v="24.327876660535839"/>
    <n v="100300"/>
    <s v="UREMAX"/>
    <s v="PARANAGUA"/>
    <s v="Additives"/>
    <s v="Domestic"/>
    <s v="10/2026"/>
    <s v="2026"/>
  </r>
  <r>
    <n v="13"/>
    <x v="9"/>
    <n v="10434"/>
    <s v="CIBRA - SINOP"/>
    <n v="8218"/>
    <s v="MT"/>
    <s v="UREMAX NBPT LARANJA ADITIVO INIBIDOR DE UREASE P/ FERTILIZANTES"/>
    <n v="22000"/>
    <n v="22000"/>
    <n v="568251.1437251087"/>
    <n v="-39732.000000000007"/>
    <n v="528519.1437251087"/>
    <n v="-234122.65904761909"/>
    <n v="-19700.094700000001"/>
    <n v="-10.011890946607165"/>
    <n v="274686.378086543"/>
    <n v="0.51972834162732207"/>
    <n v="25.829597442050396"/>
    <n v="25.829597442050396"/>
    <n v="100300"/>
    <s v="UREMAX"/>
    <s v="SINOP"/>
    <s v="Additives"/>
    <s v="Domestic"/>
    <s v="10/2026"/>
    <s v="2026"/>
  </r>
  <r>
    <n v="13"/>
    <x v="9"/>
    <n v="5657"/>
    <s v="FERTIPLANTA - VARGEM GRANDE DO SUL"/>
    <n v="8214"/>
    <s v="SP"/>
    <s v="UREMAX NBPT AZUL ADITIVO INIBIDOR DE UREASE P/ FERTILIZANTES"/>
    <n v="1000"/>
    <n v="1000"/>
    <n v="36792.159147106671"/>
    <n v="-4410"/>
    <n v="32382.159147106671"/>
    <n v="-9061.386610169493"/>
    <n v="-5039.0280000000012"/>
    <n v="-2.5609114870346295"/>
    <n v="18279.18362545014"/>
    <n v="0.56448316316434921"/>
    <n v="36.792159147106673"/>
    <n v="36.792159147106673"/>
    <n v="100300"/>
    <s v="UREMAX"/>
    <s v="VARGEM GRANDE DO SUL"/>
    <s v="Additives"/>
    <s v="Domestic"/>
    <s v="10/2026"/>
    <s v="2026"/>
  </r>
  <r>
    <n v="13"/>
    <x v="9"/>
    <n v="1705"/>
    <s v="ADUBOS SUDOESTE - PARANAGUA"/>
    <n v="8214"/>
    <s v="PR"/>
    <s v="UREMAX NBPT AZUL ADITIVO INIBIDOR DE UREASE P/ FERTILIZANTES"/>
    <n v="12000"/>
    <n v="12000"/>
    <n v="276316.62379867869"/>
    <n v="-33120"/>
    <n v="243196.62379867869"/>
    <n v="-108736.63932203392"/>
    <n v="-9901.2479999999723"/>
    <n v="-5.0319664306645189"/>
    <n v="124553.70451021414"/>
    <n v="0.51215227647782358"/>
    <n v="23.026385316556556"/>
    <n v="23.026385316556556"/>
    <n v="100300"/>
    <s v="UREMAX"/>
    <s v="PARANAGUA"/>
    <s v="Additives"/>
    <s v="Domestic"/>
    <s v="10/2026"/>
    <s v="2026"/>
  </r>
  <r>
    <n v="13"/>
    <x v="9"/>
    <n v="2622"/>
    <s v="ADUFERTIL JUNDIAI"/>
    <n v="8215"/>
    <s v="SP"/>
    <s v="UREMAX NBPT VERDE ADITIVO INIBIDOR DE UREASE P/ FERTILIZANTES"/>
    <n v="24000"/>
    <n v="24000"/>
    <n v="832073.45062158629"/>
    <n v="-99734.399999999994"/>
    <n v="732339.05062158627"/>
    <n v="-319811.46521739132"/>
    <n v="-8810.9319999999989"/>
    <n v="-4.4778510796687359"/>
    <n v="403712.17555311532"/>
    <n v="0.5512640288817825"/>
    <n v="34.66972710923276"/>
    <n v="34.66972710923276"/>
    <n v="100300"/>
    <s v="UREMAX"/>
    <s v="JUNDIAI"/>
    <s v="Additives"/>
    <s v="Domestic"/>
    <s v="10/2026"/>
    <s v="2026"/>
  </r>
  <r>
    <n v="13"/>
    <x v="9"/>
    <n v="14632"/>
    <s v="BIGFERTIL - CANDEIAS"/>
    <n v="8224"/>
    <s v="BA"/>
    <s v="UREMAX COAT VERDE ADITIVO INIBIDOR DE UREASE P/ FERTILIZANTES"/>
    <n v="6000"/>
    <n v="6000"/>
    <n v="145066.22749430631"/>
    <n v="-10143.000000000002"/>
    <n v="134923.22749430631"/>
    <n v="-40166.902500000004"/>
    <n v="-13083.792000000029"/>
    <n v="-6.6493842119495774"/>
    <n v="81665.88361009433"/>
    <n v="0.60527668309402538"/>
    <n v="24.177704582384386"/>
    <n v="24.177704582384386"/>
    <n v="100300"/>
    <s v="UREMAX"/>
    <s v="CANDEIAS"/>
    <s v="Additives"/>
    <s v="Domestic"/>
    <s v="10/2026"/>
    <s v="2026"/>
  </r>
  <r>
    <n v="13"/>
    <x v="9"/>
    <n v="210"/>
    <s v="SUPERFERTIL FERTILIZANTES - PATROCINIO"/>
    <n v="8214"/>
    <s v="MG"/>
    <s v="UREMAX NBPT AZUL ADITIVO INIBIDOR DE UREASE P/ FERTILIZANTES"/>
    <n v="1000"/>
    <n v="1000"/>
    <n v="36041.298756349395"/>
    <n v="-6480"/>
    <n v="29561.298756349395"/>
    <n v="-9061.386610169493"/>
    <n v="0"/>
    <n v="0"/>
    <n v="20499.9121461799"/>
    <n v="0.69347129553219566"/>
    <n v="36.041298756349399"/>
    <n v="36.041298756349399"/>
    <n v="100300"/>
    <s v="UREMAX"/>
    <s v="PATROCINIO"/>
    <s v="Additives"/>
    <s v="Domestic"/>
    <s v="10/2026"/>
    <s v="2026"/>
  </r>
  <r>
    <n v="13"/>
    <x v="9"/>
    <n v="16918"/>
    <s v="FERTZ FERTILIZANTES S/A"/>
    <n v="8225"/>
    <s v="PA"/>
    <s v="UREMAX COAT AZUL ADITIVO INIBIDOR DE UREASE P/ FERTILIZANTES"/>
    <n v="10000"/>
    <n v="10000"/>
    <n v="250286.796919093"/>
    <n v="-17500"/>
    <n v="232786.796919093"/>
    <n v="-62984.755102040814"/>
    <n v="-19714.091999999993"/>
    <n v="-10.019004589626702"/>
    <n v="150077.93081246255"/>
    <n v="0.64470121501187794"/>
    <n v="25.0286796919093"/>
    <n v="25.0286796919093"/>
    <n v="100300"/>
    <s v="UREMAX"/>
    <s v="BARCARENA "/>
    <s v="Additives"/>
    <s v="Domestic"/>
    <s v="10/2026"/>
    <s v="2026"/>
  </r>
  <r>
    <n v="13"/>
    <x v="9"/>
    <n v="139"/>
    <s v="COMIGO - RIO VERDE"/>
    <n v="8225"/>
    <s v="GO"/>
    <s v="UREMAX COAT AZUL ADITIVO INIBIDOR DE UREASE P/ FERTILIZANTES"/>
    <n v="27000"/>
    <n v="27000"/>
    <n v="696798.44262275554"/>
    <n v="-48720.000000000044"/>
    <n v="648078.44262275554"/>
    <n v="-170058.83877551017"/>
    <n v="-6320.8859999999995"/>
    <n v="-3.2123714267188759"/>
    <n v="471695.50547581865"/>
    <n v="0.72783705559913392"/>
    <n v="25.807349726768724"/>
    <n v="25.807349726768724"/>
    <n v="100300"/>
    <s v="UREMAX"/>
    <s v="RIO VERDE"/>
    <s v="Additives"/>
    <s v="Domestic"/>
    <s v="10/2026"/>
    <s v="2026"/>
  </r>
  <r>
    <n v="13"/>
    <x v="9"/>
    <n v="2975"/>
    <s v="COONAGRO COOPERATIVA - PARANAGUA"/>
    <n v="8218"/>
    <s v="PR"/>
    <s v="UREMAX NBPT LARANJA ADITIVO INIBIDOR DE UREASE P/ FERTILIZANTES"/>
    <n v="10000"/>
    <n v="10000"/>
    <n v="300143.9268653763"/>
    <n v="-35976"/>
    <n v="264167.9268653763"/>
    <n v="-106419.39047619049"/>
    <n v="-9901.2479999999723"/>
    <n v="-5.0319664306645189"/>
    <n v="147842.25642275519"/>
    <n v="0.55965255955579229"/>
    <n v="30.014392686537629"/>
    <n v="30.014392686537629"/>
    <n v="100300"/>
    <s v="UREMAX"/>
    <s v="PARANAGUA"/>
    <s v="Additives"/>
    <s v="Domestic"/>
    <s v="10/2026"/>
    <s v="2026"/>
  </r>
  <r>
    <n v="13"/>
    <x v="9"/>
    <n v="2352"/>
    <s v="BR FERTIL - PARANAGUA"/>
    <n v="8225"/>
    <s v="PR"/>
    <s v="UREMAX COAT AZUL ADITIVO INIBIDOR DE UREASE P/ FERTILIZANTES"/>
    <n v="12000"/>
    <n v="12000"/>
    <n v="288330.39005079516"/>
    <n v="-34560"/>
    <n v="253770.39005079516"/>
    <n v="-75581.706122448973"/>
    <n v="-9901.2479999999723"/>
    <n v="-5.0319664306645189"/>
    <n v="168282.40396191558"/>
    <n v="0.66312860191542389"/>
    <n v="24.02753250423293"/>
    <n v="24.02753250423293"/>
    <n v="100300"/>
    <s v="UREMAX"/>
    <s v="PARANAGUA"/>
    <s v="Additives"/>
    <s v="Domestic"/>
    <s v="10/2026"/>
    <s v="2026"/>
  </r>
  <r>
    <n v="13"/>
    <x v="9"/>
    <n v="3142"/>
    <s v="INTERFERTIL - SAO FRANCISCO DO SUL"/>
    <n v="8214"/>
    <s v="SC"/>
    <s v="UREMAX NBPT AZUL ADITIVO INIBIDOR DE UREASE P/ FERTILIZANTES"/>
    <n v="3000"/>
    <n v="3000"/>
    <n v="98452.814436094428"/>
    <n v="-11800.8"/>
    <n v="86652.014436094425"/>
    <n v="-27184.159830508481"/>
    <n v="-9901.2479999999723"/>
    <n v="-5.0319664306645189"/>
    <n v="49561.574639155311"/>
    <n v="0.57196102089128942"/>
    <n v="32.817604812031476"/>
    <n v="32.817604812031476"/>
    <n v="100300"/>
    <s v="UREMAX"/>
    <s v="SAO FRANCISCO DO SUL"/>
    <s v="Additives"/>
    <s v="Domestic"/>
    <s v="10/2026"/>
    <s v="2026"/>
  </r>
  <r>
    <n v="13"/>
    <x v="9"/>
    <n v="11133"/>
    <s v="ADUBOS ARAGUAIA - PARANAGUA"/>
    <n v="8214"/>
    <s v="PR"/>
    <s v="UREMAX NBPT AZUL ADITIVO INIBIDOR DE UREASE P/ FERTILIZANTES"/>
    <n v="4000"/>
    <n v="4000"/>
    <n v="152174.37252680855"/>
    <n v="-18240"/>
    <n v="133934.37252680855"/>
    <n v="-36245.546440677972"/>
    <n v="-9901.2479999999723"/>
    <n v="-5.0319664306645189"/>
    <n v="87782.546119699939"/>
    <n v="0.65541462183002519"/>
    <n v="38.043593131702139"/>
    <n v="38.043593131702139"/>
    <n v="100300"/>
    <s v="UREMAX"/>
    <s v="PARANAGUA"/>
    <s v="Additives"/>
    <s v="Domestic"/>
    <s v="10/2026"/>
    <s v="2026"/>
  </r>
  <r>
    <n v="13"/>
    <x v="9"/>
    <n v="729"/>
    <s v="FERTILIZ. TOCANTINS - S?O LUIS"/>
    <n v="8217"/>
    <s v="MA"/>
    <s v="UREMAX NBPT AMARELO ADITIVO INIBIDOR DE UREASE P/ FERTILIZANTES"/>
    <n v="12000"/>
    <n v="12000"/>
    <n v="475504.86825876962"/>
    <n v="-33247.200000000004"/>
    <n v="442257.66825876961"/>
    <n v="-187926.94320000004"/>
    <n v="-19802.496000000036"/>
    <n v="-10.063932861329086"/>
    <n v="234518.16512590821"/>
    <n v="0.53027495498097088"/>
    <n v="39.625405688230799"/>
    <n v="39.625405688230799"/>
    <n v="100300"/>
    <s v="UREMAX"/>
    <s v="SAO LUIS"/>
    <s v="Additives"/>
    <s v="Domestic"/>
    <s v="10/2026"/>
    <s v="2026"/>
  </r>
  <r>
    <n v="13"/>
    <x v="9"/>
    <n v="7662"/>
    <s v="BENTONIT UNIAO - BOA VISTA"/>
    <n v="7"/>
    <s v="PB"/>
    <s v="UREMAX NBPT ADITIVO INIBIDOR DE UREASE P/ FERTILIZANTES"/>
    <n v="4000"/>
    <n v="4000"/>
    <n v="156219.00716502109"/>
    <n v="-24346.141000000003"/>
    <n v="131872.86616502109"/>
    <n v="-35078.44"/>
    <n v="0"/>
    <n v="0"/>
    <n v="96794.426165021083"/>
    <n v="0.73399804660267209"/>
    <n v="39.054751791255271"/>
    <n v="39.054751791255271"/>
    <n v="100300"/>
    <s v="UREMAX"/>
    <s v="BOA VISTA "/>
    <s v="Additives"/>
    <s v="Domestic"/>
    <s v="10/2026"/>
    <s v="2026"/>
  </r>
  <r>
    <n v="13"/>
    <x v="9"/>
    <n v="943"/>
    <s v="FORTGREEN - PAICANDU"/>
    <n v="8214"/>
    <s v="PR"/>
    <s v="UREMAX NBPT AZUL ADITIVO INIBIDOR DE UREASE P/ FERTILIZANTES"/>
    <n v="2000"/>
    <n v="2000"/>
    <n v="72102.620456452307"/>
    <n v="-8642.4"/>
    <n v="63460.220456452305"/>
    <n v="-18122.773220338986"/>
    <n v="0"/>
    <n v="0"/>
    <n v="45337.447236113323"/>
    <n v="0.71442309702067297"/>
    <n v="36.05131022822615"/>
    <n v="36.05131022822615"/>
    <n v="100300"/>
    <s v="UREMAX"/>
    <s v="PAICANDU"/>
    <s v="Additives"/>
    <s v="Domestic"/>
    <s v="10/2026"/>
    <s v="2026"/>
  </r>
  <r>
    <n v="13"/>
    <x v="9"/>
    <n v="9355"/>
    <s v="NITROFERT SAS - COLOMBIA"/>
    <n v="8206"/>
    <s v="EX"/>
    <s v="NITROPROTEC DUO PURPLE - ADITIVO P/ INIBIR A NITRIFICACAO E VOLATIZACAO PARA FERTILIZANTES"/>
    <n v="24000"/>
    <n v="24000"/>
    <n v="1260724.6304971017"/>
    <n v="0"/>
    <n v="1260724.6304971017"/>
    <n v="-335009.89"/>
    <n v="0"/>
    <n v="-3563.3724078935725"/>
    <n v="922151.36808920815"/>
    <n v="0.73144550822776055"/>
    <n v="52.53019293737924"/>
    <n v="52.53019293737924"/>
    <n v="100300"/>
    <s v="UREMAX"/>
    <s v="BARRANQUILLA"/>
    <s v="Additives"/>
    <s v="International"/>
    <s v="10/2026"/>
    <s v="2026"/>
  </r>
  <r>
    <n v="13"/>
    <x v="9"/>
    <n v="5053"/>
    <s v="ADUBOS ARAGUAIA - CONFRESA"/>
    <n v="8214"/>
    <s v="MT"/>
    <s v="UREMAX NBPT AZUL ADITIVO INIBIDOR DE UREASE P/ FERTILIZANTES"/>
    <n v="5000"/>
    <n v="5000"/>
    <n v="199178.23298821421"/>
    <n v="-13926.500000000002"/>
    <n v="185251.73298821421"/>
    <n v="-45306.93305084746"/>
    <n v="-11315.712000000007"/>
    <n v="-5.7508187779023272"/>
    <n v="128623.33711858884"/>
    <n v="0.69431651215253087"/>
    <n v="39.835646597642842"/>
    <n v="39.835646597642842"/>
    <n v="100300"/>
    <s v="UREMAX"/>
    <s v="CONFRESA"/>
    <s v="Additives"/>
    <s v="Domestic"/>
    <s v="10/2026"/>
    <s v="2026"/>
  </r>
  <r>
    <n v="13"/>
    <x v="9"/>
    <n v="5695"/>
    <s v="CAMPO RICO - SANTAREM"/>
    <n v="8215"/>
    <s v="PA"/>
    <s v="UREMAX NBPT VERDE ADITIVO INIBIDOR DE UREASE P/ FERTILIZANTES"/>
    <n v="12000"/>
    <n v="12000"/>
    <n v="360412.98756349389"/>
    <n v="-25200.000000000004"/>
    <n v="335212.98756349389"/>
    <n v="-159905.73260869566"/>
    <n v="-19714.091999999993"/>
    <n v="-10.019004589626702"/>
    <n v="155583.14395020861"/>
    <n v="0.46413220764824648"/>
    <n v="30.034415630291157"/>
    <n v="30.034415630291157"/>
    <n v="100300"/>
    <s v="UREMAX"/>
    <s v="SANTAREM"/>
    <s v="Additives"/>
    <s v="Domestic"/>
    <s v="10/2026"/>
    <s v="2026"/>
  </r>
  <r>
    <n v="13"/>
    <x v="9"/>
    <n v="10891"/>
    <s v="HINOVE - RIO BRILHANTE"/>
    <n v="8214"/>
    <s v="MS"/>
    <s v="UREMAX NBPT AZUL ADITIVO INIBIDOR DE UREASE P/ FERTILIZANTES"/>
    <n v="4000"/>
    <n v="4000"/>
    <n v="124542.71014694068"/>
    <n v="-8708"/>
    <n v="115834.71014694068"/>
    <n v="-36245.546440677972"/>
    <n v="-7691.1480000000047"/>
    <n v="-3.9087596381054888"/>
    <n v="71894.106946624612"/>
    <n v="0.62066117190110148"/>
    <n v="31.135677536735169"/>
    <n v="31.135677536735169"/>
    <n v="100300"/>
    <s v="UREMAX"/>
    <s v="RIO BRILHANTE"/>
    <s v="Additives"/>
    <s v="Domestic"/>
    <s v="10/2026"/>
    <s v="2026"/>
  </r>
  <r>
    <n v="13"/>
    <x v="9"/>
    <n v="7648"/>
    <s v="LOUIS DREYFUS - PARANAGUA"/>
    <n v="8215"/>
    <s v="PR"/>
    <s v="UREMAX NBPT VERDE ADITIVO INIBIDOR DE UREASE P/ FERTILIZANTES"/>
    <n v="8000"/>
    <n v="8000"/>
    <n v="270710.19954769098"/>
    <n v="-32448"/>
    <n v="238262.19954769098"/>
    <n v="-106603.82173913045"/>
    <n v="-9901.2479999999723"/>
    <n v="-5.0319664306645189"/>
    <n v="121752.09784212989"/>
    <n v="0.51100047793254666"/>
    <n v="33.838774943461374"/>
    <n v="33.838774943461374"/>
    <n v="100300"/>
    <s v="UREMAX"/>
    <s v="PARANAGUA"/>
    <s v="Additives"/>
    <s v="Domestic"/>
    <s v="10/2026"/>
    <s v="2026"/>
  </r>
  <r>
    <n v="13"/>
    <x v="9"/>
    <n v="6124"/>
    <s v="MOSAIC - UBERABA II"/>
    <n v="8215"/>
    <s v="MG"/>
    <s v="UREMAX NBPT VERDE ADITIVO INIBIDOR DE UREASE P/ FERTILIZANTES"/>
    <n v="24000"/>
    <n v="24000"/>
    <n v="870517.50262835901"/>
    <n v="0"/>
    <n v="870517.50262835901"/>
    <n v="-319811.46521739132"/>
    <n v="-4003.2278000000001"/>
    <n v="-2.0345019035886218"/>
    <n v="546700.77510906418"/>
    <n v="0.62801813112132387"/>
    <n v="36.271562609514959"/>
    <n v="36.271562609514959"/>
    <n v="100300"/>
    <s v="UREMAX"/>
    <s v="UBERABA"/>
    <s v="Additives"/>
    <s v="Domestic"/>
    <s v="10/2026"/>
    <s v="2026"/>
  </r>
  <r>
    <n v="13"/>
    <x v="9"/>
    <n v="97"/>
    <s v="FECOAGRO - SAO FRANCISCO DO SUL"/>
    <n v="8223"/>
    <s v="SC"/>
    <s v="UREMAX PLUS AZUL ADITIVO P/ INIBIR A NITRIFICACAO E VOLATIZACAO P/ FERTILIZANTES"/>
    <n v="12000"/>
    <n v="12000"/>
    <n v="456523.11758042563"/>
    <n v="-54720"/>
    <n v="401803.11758042563"/>
    <n v="-138830.76999999999"/>
    <n v="-9901.2479999999723"/>
    <n v="-5.0319664306645189"/>
    <n v="253066.06761399505"/>
    <n v="0.62982604300809308"/>
    <n v="38.043593131702139"/>
    <n v="38.043593131702139"/>
    <n v="100300"/>
    <s v="UREMAX"/>
    <s v="SAO FRANCISCO DO SUL"/>
    <s v="Additives"/>
    <s v="Domestic"/>
    <s v="10/2026"/>
    <s v="2026"/>
  </r>
  <r>
    <n v="13"/>
    <x v="9"/>
    <n v="3426"/>
    <s v="C I ACEPALMA SA - COLOMBIA"/>
    <n v="8204"/>
    <s v="EX"/>
    <s v="NITROPROTEC BLUE - ADITIVO INIBIDOR DE UREASE P/ FERTILIZANTE NITROGENADO"/>
    <n v="11000"/>
    <n v="11000"/>
    <n v="519465.24126963917"/>
    <n v="0"/>
    <n v="519465.24126963917"/>
    <n v="-217431"/>
    <n v="0"/>
    <n v="-1633.2123536178874"/>
    <n v="300401.02891602129"/>
    <n v="0.57828898846398835"/>
    <n v="47.224112842694467"/>
    <n v="47.224112842694467"/>
    <n v="100300"/>
    <s v="UREMAX"/>
    <s v="SANTA MARTA"/>
    <s v="Additives"/>
    <s v="International"/>
    <s v="10/2026"/>
    <s v="2026"/>
  </r>
  <r>
    <n v="13"/>
    <x v="9"/>
    <n v="8413"/>
    <s v="AMAGGI - SINOP"/>
    <n v="8214"/>
    <s v="MT"/>
    <s v="UREMAX NBPT AZUL ADITIVO INIBIDOR DE UREASE P/ FERTILIZANTES"/>
    <n v="24000"/>
    <n v="24000"/>
    <n v="747496.5362066864"/>
    <n v="-52264.800000000003"/>
    <n v="695231.73620668636"/>
    <n v="-217473.27864406785"/>
    <n v="-19700.094700000001"/>
    <n v="-10.011890946607165"/>
    <n v="458048.35097167193"/>
    <n v="0.65884269534481976"/>
    <n v="31.145689008611935"/>
    <n v="31.145689008611935"/>
    <n v="100300"/>
    <s v="UREMAX"/>
    <s v="SINOP"/>
    <s v="Additives"/>
    <s v="Domestic"/>
    <s v="10/2026"/>
    <s v="2026"/>
  </r>
  <r>
    <n v="13"/>
    <x v="9"/>
    <n v="1936"/>
    <s v="CIBRA - PARANAGUA II"/>
    <n v="8218"/>
    <s v="PR"/>
    <s v="UREMAX NBPT LARANJA ADITIVO INIBIDOR DE UREASE P/ FERTILIZANTES"/>
    <n v="10000"/>
    <n v="10000"/>
    <n v="300143.9268653763"/>
    <n v="-35976"/>
    <n v="264167.9268653763"/>
    <n v="-106419.39047619049"/>
    <n v="0"/>
    <n v="0"/>
    <n v="157748.53638918581"/>
    <n v="0.59715249410113547"/>
    <n v="30.014392686537629"/>
    <n v="30.014392686537629"/>
    <n v="100300"/>
    <s v="UREMAX"/>
    <s v="PARANAGUA"/>
    <s v="Additives"/>
    <s v="Domestic"/>
    <s v="10/2026"/>
    <s v="2026"/>
  </r>
  <r>
    <n v="13"/>
    <x v="9"/>
    <n v="7745"/>
    <s v="LOUIS DREYFUS - NOVA MUTUM"/>
    <n v="8215"/>
    <s v="MT"/>
    <s v="UREMAX NBPT VERDE ADITIVO INIBIDOR DE UREASE P/ FERTILIZANTES"/>
    <n v="4000"/>
    <n v="4000"/>
    <n v="137557.62358673351"/>
    <n v="-9618.0000000000018"/>
    <n v="127939.62358673351"/>
    <n v="-53301.910869565225"/>
    <n v="-11138.904000000013"/>
    <n v="-5.6609622344976067"/>
    <n v="63493.147754933772"/>
    <n v="0.49627430482387003"/>
    <n v="34.389405896683378"/>
    <n v="34.389405896683378"/>
    <n v="100300"/>
    <s v="UREMAX"/>
    <s v="NOVA MUTUM"/>
    <s v="Additives"/>
    <s v="Domestic"/>
    <s v="10/2026"/>
    <s v="2026"/>
  </r>
  <r>
    <n v="13"/>
    <x v="9"/>
    <n v="7102"/>
    <s v="MOSAIC RONDONOPOLIS"/>
    <n v="8215"/>
    <s v="MT"/>
    <s v="UREMAX NBPT VERDE ADITIVO INIBIDOR DE UREASE P/ FERTILIZANTES"/>
    <n v="20000"/>
    <n v="20000"/>
    <n v="740848.91888051527"/>
    <n v="-51800.000000000007"/>
    <n v="689048.91888051527"/>
    <n v="-266509.55434782611"/>
    <n v="-11071.1276"/>
    <n v="-5.6265172261924556"/>
    <n v="411462.61041546293"/>
    <n v="0.59714571656822046"/>
    <n v="37.042445944025765"/>
    <n v="37.042445944025765"/>
    <n v="100300"/>
    <s v="UREMAX"/>
    <s v="RONDONOPOLIS"/>
    <s v="Additives"/>
    <s v="Domestic"/>
    <s v="10/2026"/>
    <s v="2026"/>
  </r>
  <r>
    <n v="13"/>
    <x v="9"/>
    <n v="10492"/>
    <s v="UNIFERTIL RIO GRANDE UN1"/>
    <n v="8216"/>
    <s v="RS"/>
    <s v="UREMAX NBPT ROXO ADITIVO INIBIDOR DE UREASE P/ FERTILIZANTES"/>
    <n v="24000"/>
    <n v="24000"/>
    <n v="746535.43490651704"/>
    <n v="-89481.599999999991"/>
    <n v="657053.83490651706"/>
    <n v="-228901.05"/>
    <n v="-25187.772999999997"/>
    <n v="-12.800813412531278"/>
    <n v="402952.21109310456"/>
    <n v="0.61327122632262687"/>
    <n v="31.105643121104876"/>
    <n v="31.105643121104876"/>
    <n v="100300"/>
    <s v="UREMAX"/>
    <s v="RIO GRANDE"/>
    <s v="Additives"/>
    <s v="Domestic"/>
    <s v="10/2026"/>
    <s v="2026"/>
  </r>
  <r>
    <n v="11"/>
    <x v="9"/>
    <n v="5300"/>
    <s v="FOSNOR - LUIS EDUARDO MAGALHAES"/>
    <n v="4246"/>
    <s v="BA"/>
    <s v="MAX OIL GRGL ADITIVO ANTI-PO P/ FERTILIZANTES"/>
    <n v="120000"/>
    <n v="120000"/>
    <n v="702000"/>
    <n v="-49140.000000000007"/>
    <n v="652860"/>
    <n v="-316524.59999999998"/>
    <n v="-61935.332659199994"/>
    <n v="-31.476488096564708"/>
    <n v="274368.59085270343"/>
    <n v="0.42025639624529521"/>
    <n v="5.85"/>
    <n v="5.85"/>
    <n v="100700"/>
    <s v="MAX OIL"/>
    <s v="LUIS EDUARDO MAGALHAES"/>
    <s v="Additives"/>
    <s v="Domestic"/>
    <s v="10/2026"/>
    <s v="2026"/>
  </r>
  <r>
    <n v="11"/>
    <x v="9"/>
    <n v="6370"/>
    <s v="YTL S.A. - PARAGUAI"/>
    <n v="7010"/>
    <s v="EX"/>
    <s v="MAX OIL GRI ADITIVO ANTI-PO P/ FERTILIZANTES"/>
    <n v="28000"/>
    <n v="28000"/>
    <n v="189840"/>
    <n v="0"/>
    <n v="189840"/>
    <n v="-75852"/>
    <n v="-28440.27648"/>
    <n v="-4171.721594886103"/>
    <n v="81376.001925113902"/>
    <n v="0.42865572021235726"/>
    <n v="6.78"/>
    <n v="6.78"/>
    <n v="100700"/>
    <s v="MAX OIL"/>
    <s v="ITAPUA"/>
    <s v="Additives"/>
    <s v="International"/>
    <s v="10/2026"/>
    <s v="2026"/>
  </r>
  <r>
    <n v="11"/>
    <x v="9"/>
    <n v="1792"/>
    <s v="MOSAIC - CATAL?O (CMC3)"/>
    <n v="3359"/>
    <s v="GO"/>
    <s v="MAX OIL GRV ADITIVO ANTI-PO P/ FERTILIZANTES"/>
    <n v="90000"/>
    <n v="90000"/>
    <n v="351000"/>
    <n v="-24570.000000000004"/>
    <n v="326430"/>
    <n v="-220579.35576923078"/>
    <n v="-7326.4814999999999"/>
    <n v="-3.7234305173332429"/>
    <n v="98520.439300251892"/>
    <n v="0.3018118411305698"/>
    <n v="3.9"/>
    <n v="3.9"/>
    <n v="100700"/>
    <s v="MAX OIL"/>
    <s v="CATALAO"/>
    <s v="Additives"/>
    <s v="Domestic"/>
    <s v="10/2026"/>
    <s v="2026"/>
  </r>
  <r>
    <n v="11"/>
    <x v="9"/>
    <n v="2225"/>
    <s v="ITAFOS"/>
    <n v="3351"/>
    <s v="TO"/>
    <s v="MAX OIL MT ADITIVO ANTI-PO P/ FERTILIZANTES"/>
    <n v="60000"/>
    <n v="60000"/>
    <n v="324000"/>
    <n v="-22680.000000000004"/>
    <n v="301320"/>
    <n v="-190887.73500000002"/>
    <n v="-27549.157708799998"/>
    <n v="-14.00090541957586"/>
    <n v="82869.106385780426"/>
    <n v="0.27502026545128244"/>
    <n v="5.4"/>
    <n v="5.4"/>
    <n v="100700"/>
    <s v="MAX OIL"/>
    <s v="ARRAIAS"/>
    <s v="Additives"/>
    <s v="Domestic"/>
    <s v="10/2026"/>
    <s v="2026"/>
  </r>
  <r>
    <n v="11"/>
    <x v="9"/>
    <n v="456"/>
    <s v="FERTIPAR - CANDEIAS"/>
    <n v="3353"/>
    <s v="BA"/>
    <s v="MAX OIL MTF ADITIVO ANTI-PO P/ FERTILIZANTES"/>
    <n v="30000"/>
    <n v="30000"/>
    <n v="185400"/>
    <n v="-12978.000000000002"/>
    <n v="172422"/>
    <n v="-97302.37"/>
    <n v="-21548.474999999999"/>
    <n v="-10.951266227450713"/>
    <n v="53560.203733772556"/>
    <n v="0.31063439545865701"/>
    <n v="6.18"/>
    <n v="6.18"/>
    <n v="100700"/>
    <s v="MAX OIL"/>
    <s v="CANDEIAS"/>
    <s v="Additives"/>
    <s v="Domestic"/>
    <s v="10/2026"/>
    <s v="2026"/>
  </r>
  <r>
    <n v="11"/>
    <x v="9"/>
    <n v="1787"/>
    <s v="MOSAIC - UBERABA (CIU1)"/>
    <n v="3359"/>
    <s v="MG"/>
    <s v="MAX OIL GRV ADITIVO ANTI-PO P/ FERTILIZANTES"/>
    <n v="270000"/>
    <n v="270000"/>
    <n v="1047600"/>
    <n v="0"/>
    <n v="1047600"/>
    <n v="-661738.06730769225"/>
    <n v="-21979.444499999998"/>
    <n v="-11.170291551999728"/>
    <n v="363871.31790075579"/>
    <n v="0.3473380277784992"/>
    <n v="3.88"/>
    <n v="3.88"/>
    <n v="100700"/>
    <s v="MAX OIL"/>
    <s v="UBERABA"/>
    <s v="Additives"/>
    <s v="Domestic"/>
    <s v="10/2026"/>
    <s v="2026"/>
  </r>
  <r>
    <n v="11"/>
    <x v="9"/>
    <n v="6477"/>
    <s v="MOSAIC - PARANAGUA II"/>
    <n v="3362"/>
    <s v="PR"/>
    <s v="MAX OIL M-NPK ADITIVO ANTI-PO P/ FERTILIZANTES"/>
    <n v="300000"/>
    <n v="300000"/>
    <n v="1839000"/>
    <n v="-220680"/>
    <n v="1618320"/>
    <n v="-953316"/>
    <n v="-140496.057"/>
    <n v="-71.402255802978658"/>
    <n v="524436.54074419697"/>
    <n v="0.32406232435130072"/>
    <n v="6.13"/>
    <n v="6.13"/>
    <n v="100700"/>
    <s v="MAX OIL"/>
    <s v="PARANAGUA"/>
    <s v="Additives"/>
    <s v="Domestic"/>
    <s v="10/2026"/>
    <s v="2026"/>
  </r>
  <r>
    <n v="11"/>
    <x v="9"/>
    <n v="2603"/>
    <s v="MOSAIC - S?O LUIS"/>
    <n v="3362"/>
    <s v="MA"/>
    <s v="MAX OIL M-NPK ADITIVO ANTI-PO P/ FERTILIZANTES"/>
    <n v="60000"/>
    <n v="60000"/>
    <n v="386400"/>
    <n v="-27048.000000000004"/>
    <n v="359352"/>
    <n v="-190663.19999999998"/>
    <n v="0"/>
    <n v="0"/>
    <n v="168688.80000000002"/>
    <n v="0.46942496493688646"/>
    <n v="6.44"/>
    <n v="6.44"/>
    <n v="100700"/>
    <s v="MAX OIL"/>
    <s v="SAO LUIS"/>
    <s v="Additives"/>
    <s v="Domestic"/>
    <s v="10/2026"/>
    <s v="2026"/>
  </r>
  <r>
    <n v="11"/>
    <x v="9"/>
    <n v="14382"/>
    <s v="GECAL - PAINS-MG"/>
    <n v="3351"/>
    <s v="MG"/>
    <s v="MAX OIL MT ADITIVO ANTI-PO P/ FERTILIZANTES"/>
    <n v="15000"/>
    <n v="15000"/>
    <n v="102900"/>
    <n v="-18522"/>
    <n v="84378"/>
    <n v="-47721.933750000004"/>
    <n v="-6648.4965456"/>
    <n v="-3.3788681418593205"/>
    <n v="30004.190836258138"/>
    <n v="0.35559258143423805"/>
    <n v="6.86"/>
    <n v="6.86"/>
    <n v="100700"/>
    <s v="MAX OIL"/>
    <s v="PAINS"/>
    <s v="Additives"/>
    <s v="Domestic"/>
    <s v="10/2026"/>
    <s v="2026"/>
  </r>
  <r>
    <n v="11"/>
    <x v="9"/>
    <n v="11724"/>
    <s v="HINOVE - REGISTRO/SP"/>
    <n v="14142"/>
    <s v="SP"/>
    <s v="MAX OIL MT IBC ADITIVO ANTI-PO P/ FERTILIZANTES"/>
    <n v="45600"/>
    <n v="45600"/>
    <n v="275880"/>
    <n v="-33105.599999999999"/>
    <n v="242774.39999999999"/>
    <n v="-141211.20554455445"/>
    <n v="-17919.017835264"/>
    <n v="-9.1067203061197439"/>
    <n v="83635.069899875409"/>
    <n v="0.3444970717665265"/>
    <n v="6.05"/>
    <n v="6.05"/>
    <n v="100700"/>
    <s v="MAX OIL"/>
    <s v="REGISTRO"/>
    <s v="Additives"/>
    <s v="Domestic"/>
    <s v="10/2026"/>
    <s v="2026"/>
  </r>
  <r>
    <n v="11"/>
    <x v="9"/>
    <n v="1788"/>
    <s v="MOSAIC - UBERABA (CIU2)"/>
    <n v="3359"/>
    <s v="MG"/>
    <s v="MAX OIL GRV ADITIVO ANTI-PO P/ FERTILIZANTES"/>
    <n v="30000"/>
    <n v="30000"/>
    <n v="116400"/>
    <n v="0"/>
    <n v="116400"/>
    <n v="-73526.451923076922"/>
    <n v="-2442.1605"/>
    <n v="-1.2411435057777478"/>
    <n v="40430.1464334173"/>
    <n v="0.34733802777849915"/>
    <n v="3.88"/>
    <n v="3.88"/>
    <n v="100700"/>
    <s v="MAX OIL"/>
    <s v="UBERABA"/>
    <s v="Additives"/>
    <s v="Domestic"/>
    <s v="10/2026"/>
    <s v="2026"/>
  </r>
  <r>
    <n v="11"/>
    <x v="9"/>
    <n v="8995"/>
    <s v="FERTIPOL - DOURADOS"/>
    <n v="3351"/>
    <s v="MS"/>
    <s v="MAX OIL MT ADITIVO ANTI-PO P/ FERTILIZANTES"/>
    <n v="30000"/>
    <n v="30000"/>
    <n v="160200"/>
    <n v="-11214.000000000002"/>
    <n v="148986"/>
    <n v="-95443.867500000008"/>
    <n v="-11914.507987199999"/>
    <n v="-6.0551361029917494"/>
    <n v="41621.569376697"/>
    <n v="0.27936564091053523"/>
    <n v="5.34"/>
    <n v="5.34"/>
    <n v="100700"/>
    <s v="MAX OIL"/>
    <s v="DOURADOS"/>
    <s v="Additives"/>
    <s v="Domestic"/>
    <s v="10/2026"/>
    <s v="2026"/>
  </r>
  <r>
    <n v="11"/>
    <x v="9"/>
    <n v="2133"/>
    <s v="FERTIPAR - CANITAR"/>
    <n v="3353"/>
    <s v="SP"/>
    <s v="MAX OIL MTF ADITIVO ANTI-PO P/ FERTILIZANTES"/>
    <n v="30000"/>
    <n v="30000"/>
    <n v="179700"/>
    <n v="-21564"/>
    <n v="158136"/>
    <n v="-97302.37"/>
    <n v="-11663.147059199999"/>
    <n v="-5.9273906155868605"/>
    <n v="49164.555550184421"/>
    <n v="0.31090046257768261"/>
    <n v="5.99"/>
    <n v="5.99"/>
    <n v="100700"/>
    <s v="MAX OIL"/>
    <s v="CANITAR"/>
    <s v="Additives"/>
    <s v="Domestic"/>
    <s v="10/2026"/>
    <s v="2026"/>
  </r>
  <r>
    <n v="11"/>
    <x v="9"/>
    <n v="2619"/>
    <s v="FOSPAR - PARANAGUA"/>
    <n v="4552"/>
    <s v="PR"/>
    <s v="MAX OIL GRMO ADITIVO ANTI-PO P/ FERTILIZANTES"/>
    <n v="60000"/>
    <n v="60000"/>
    <n v="384000"/>
    <n v="-46080"/>
    <n v="337920"/>
    <n v="-180941.22"/>
    <n v="-28099.2114"/>
    <n v="-14.280451160595732"/>
    <n v="128865.28814883941"/>
    <n v="0.38134850896318478"/>
    <n v="6.4"/>
    <n v="6.4"/>
    <n v="100700"/>
    <s v="MAX OIL"/>
    <s v="PARANAGUA"/>
    <s v="Additives"/>
    <s v="Domestic"/>
    <s v="10/2026"/>
    <s v="2026"/>
  </r>
  <r>
    <n v="11"/>
    <x v="9"/>
    <n v="12629"/>
    <s v="EUROCHEM SERRA DO SALITRE"/>
    <n v="3359"/>
    <s v="MG"/>
    <s v="MAX OIL GRV ADITIVO ANTI-PO P/ FERTILIZANTES"/>
    <n v="120000"/>
    <n v="120000"/>
    <n v="654000"/>
    <n v="-117720"/>
    <n v="536280"/>
    <n v="-294105.80769230769"/>
    <n v="-16891.454361600001"/>
    <n v="-8.5844967536085584"/>
    <n v="225274.15344933872"/>
    <n v="0.42006816112728185"/>
    <n v="5.45"/>
    <n v="5.45"/>
    <n v="100700"/>
    <s v="MAX OIL"/>
    <s v="SERRA DO SALITRE"/>
    <s v="Additives"/>
    <s v="Domestic"/>
    <s v="10/2026"/>
    <s v="2026"/>
  </r>
  <r>
    <n v="11"/>
    <x v="9"/>
    <n v="5519"/>
    <s v="GRANUPAR - RIO BRANCO DO SUL"/>
    <n v="3351"/>
    <s v="PR"/>
    <s v="MAX OIL MT ADITIVO ANTI-PO P/ FERTILIZANTES"/>
    <n v="15000"/>
    <n v="15000"/>
    <n v="92250"/>
    <n v="-11070"/>
    <n v="81180"/>
    <n v="-47721.933750000004"/>
    <n v="-12630.886632"/>
    <n v="-6.4192107420956841"/>
    <n v="20820.760407257898"/>
    <n v="0.25647647705417465"/>
    <n v="6.15"/>
    <n v="6.15"/>
    <n v="100700"/>
    <s v="MAX OIL"/>
    <s v="RIO BRANCO DO SUL"/>
    <s v="Additives"/>
    <s v="Domestic"/>
    <s v="10/2026"/>
    <s v="2026"/>
  </r>
  <r>
    <n v="11"/>
    <x v="9"/>
    <n v="506"/>
    <s v="FERTINOR - MARUIM"/>
    <n v="14142"/>
    <s v="SE"/>
    <s v="MAX OIL MT IBC ADITIVO ANTI-PO P/ FERTILIZANTES"/>
    <n v="15000"/>
    <n v="15000"/>
    <n v="94800"/>
    <n v="-6636.0000000000009"/>
    <n v="88164"/>
    <n v="-46451.054455445548"/>
    <n v="-24356.873923200001"/>
    <n v="-12.378537729533768"/>
    <n v="17343.693083624916"/>
    <n v="0.19672080535847869"/>
    <n v="6.32"/>
    <n v="6.32"/>
    <n v="100700"/>
    <s v="MAX OIL"/>
    <s v="MARUIM"/>
    <s v="Additives"/>
    <s v="Domestic"/>
    <s v="10/2026"/>
    <s v="2026"/>
  </r>
  <r>
    <n v="11"/>
    <x v="9"/>
    <n v="1789"/>
    <s v="MOSAIC - ARAXA (CMA)"/>
    <n v="3359"/>
    <s v="MG"/>
    <s v="MAX OIL GRV ADITIVO ANTI-PO P/ FERTILIZANTES"/>
    <n v="270000"/>
    <n v="270000"/>
    <n v="1047600"/>
    <n v="0"/>
    <n v="1047600"/>
    <n v="-661738.06730769225"/>
    <n v="-28504.329235199999"/>
    <n v="-14.486338271714439"/>
    <n v="357343.11711883603"/>
    <n v="0.3411064500943452"/>
    <n v="3.88"/>
    <n v="3.88"/>
    <n v="100700"/>
    <s v="MAX OIL"/>
    <s v="ARAXA"/>
    <s v="Additives"/>
    <s v="Domestic"/>
    <s v="10/2026"/>
    <s v="2026"/>
  </r>
  <r>
    <n v="13"/>
    <x v="9"/>
    <n v="2"/>
    <s v="CARGILL - UBERLANDIA"/>
    <n v="3700"/>
    <s v="MG"/>
    <s v="CICOAT 41175"/>
    <n v="84000"/>
    <n v="84000"/>
    <n v="92400"/>
    <n v="-23640.539999999997"/>
    <n v="68759.460000000006"/>
    <n v="-15542.5"/>
    <n v="0"/>
    <n v="0"/>
    <n v="53216.960000000006"/>
    <n v="0.77395837605472761"/>
    <n v="1.1000000000000001"/>
    <n v="1.1000000000000001"/>
    <n v="100900"/>
    <s v="PA TERCEIROS"/>
    <s v="UBERLANDIA"/>
    <s v="Fertilizers"/>
    <s v="Domestic"/>
    <s v="10/2026"/>
    <s v="2026"/>
  </r>
  <r>
    <n v="11"/>
    <x v="9"/>
    <n v="3273"/>
    <s v="FERTIMAXI - CONCEICAO DO JACUIPE"/>
    <n v="7305"/>
    <s v="BA"/>
    <s v="PHYTOHUMUS BIO PRODUTO A BASE DE EXTRATO DE ALGAS E ACIDOS HUMICOS"/>
    <n v="3000"/>
    <n v="3000"/>
    <n v="75471.223335214207"/>
    <n v="-2812.8"/>
    <n v="72658.423335214204"/>
    <n v="-19540.41"/>
    <n v="-12906.984000000033"/>
    <n v="-6.5595276685448551"/>
    <n v="40204.469807545625"/>
    <n v="0.55333529083145361"/>
    <n v="25.157074445071402"/>
    <n v="25.157074445071402"/>
    <n v="101000"/>
    <s v="PHYTOHUMUS"/>
    <s v="CONCEICAO DO JACUIPE"/>
    <s v="Additives"/>
    <s v="Domestic"/>
    <s v="10/2026"/>
    <s v="2026"/>
  </r>
  <r>
    <n v="11"/>
    <x v="9"/>
    <n v="2900"/>
    <s v="BIOSAFRA - MARUIM"/>
    <n v="7305"/>
    <s v="SE"/>
    <s v="PHYTOHUMUS BIO PRODUTO A BASE DE EXTRATO DE ALGAS E ACIDOS HUMICOS"/>
    <n v="2000"/>
    <n v="2000"/>
    <n v="46879.735996617703"/>
    <n v="-1747.2"/>
    <n v="45132.535996617706"/>
    <n v="-13026.94"/>
    <n v="-14851.871999999958"/>
    <n v="-7.5479496459967796"/>
    <n v="17246.176046971748"/>
    <n v="0.38212291124664921"/>
    <n v="23.439867998308852"/>
    <n v="23.439867998308852"/>
    <n v="101000"/>
    <s v="PHYTOHUMUS"/>
    <s v="MARUIM"/>
    <s v="Additives"/>
    <s v="Domestic"/>
    <s v="10/2026"/>
    <s v="2026"/>
  </r>
  <r>
    <n v="11"/>
    <x v="9"/>
    <n v="16645"/>
    <s v="OPCAO AGRONEGOCIOS"/>
    <n v="8301"/>
    <s v="MG"/>
    <s v="BIOSINERGIC - BB - 20L PRODUTO A BASE DE EXTRATO DE ALGAS E ACIDOS HUMICOS"/>
    <n v="15"/>
    <n v="344.98449599462646"/>
    <n v="9124.8399190578693"/>
    <n v="-900.06114429538013"/>
    <n v="8224.7787747624898"/>
    <n v="-2527.6817645736251"/>
    <n v="-83.27211972284087"/>
    <n v="-1933.839930662115"/>
    <n v="3679.9849598039091"/>
    <n v="0.44742661907160869"/>
    <n v="608.32266127052458"/>
    <n v="26.45"/>
    <n v="101602"/>
    <s v="FERTILIZANTE LIQUIDOS"/>
    <s v="UBERLANDIA"/>
    <s v="Fertilizers"/>
    <s v="Domestic"/>
    <s v="10/2026"/>
    <s v="2026"/>
  </r>
  <r>
    <n v="11"/>
    <x v="9"/>
    <n v="13773"/>
    <s v="FERTLIZE AGRO"/>
    <n v="8368"/>
    <s v="MG"/>
    <s v="SULFORCE - BB - 18 L SOLUC?O ALTAMENTE CONCENTRADA EM ENXOFRE (60%)"/>
    <n v="445"/>
    <n v="7316.7061419009315"/>
    <n v="74219.153302172315"/>
    <n v="-6679.4517670320802"/>
    <n v="67539.701535140237"/>
    <n v="-25581.21546679379"/>
    <n v="0"/>
    <n v="-17345.112123553936"/>
    <n v="24613.373944792515"/>
    <n v="0.36442823088263754"/>
    <n v="166.78461416218497"/>
    <n v="10.143793103448276"/>
    <n v="101602"/>
    <s v="FERTILIZANTE LIQUIDOS"/>
    <s v="CRUZEIRO DA FORTALEZA"/>
    <s v="Fertilizers"/>
    <s v="Domestic"/>
    <s v="10/2026"/>
    <s v="2026"/>
  </r>
  <r>
    <n v="11"/>
    <x v="9"/>
    <n v="15905"/>
    <s v="CAMPEVO - ITAPETININGA"/>
    <n v="8368"/>
    <s v="SP"/>
    <s v="SULFORCE - BB - 18 L SOLUC?O ALTAMENTE CONCENTRADA EM ENXOFRE (60%)"/>
    <n v="170"/>
    <n v="2795.1461665688953"/>
    <n v="29129.278429670743"/>
    <n v="-2621.528293205939"/>
    <n v="26507.750136464805"/>
    <n v="-9772.5991670897638"/>
    <n v="-755.63618576813087"/>
    <n v="-6786.2739683474447"/>
    <n v="9193.2408152594653"/>
    <n v="0.34681331942287269"/>
    <n v="171.34869664512203"/>
    <n v="10.421379310344827"/>
    <n v="101602"/>
    <s v="FERTILIZANTE LIQUIDOS"/>
    <s v="ITAPETININGA"/>
    <s v="Fertilizers"/>
    <s v="Domestic"/>
    <s v="10/2026"/>
    <s v="2026"/>
  </r>
  <r>
    <n v="11"/>
    <x v="9"/>
    <n v="15908"/>
    <s v="CAMPEVO - S?O JOSE DO RIO PRETO"/>
    <n v="8368"/>
    <s v="SP"/>
    <s v="SULFORCE - BB - 18 L SOLUC?O ALTAMENTE CONCENTRADA EM ENXOFRE (60%)"/>
    <n v="500"/>
    <n v="8221.0181369673392"/>
    <n v="85674.348322561011"/>
    <n v="-7710.3773329586438"/>
    <n v="77963.970989602371"/>
    <n v="-28742.938726734596"/>
    <n v="-2222.4593699062671"/>
    <n v="-19950.5590934641"/>
    <n v="27048.013799497407"/>
    <n v="0.34692965809943999"/>
    <n v="171.34869664512203"/>
    <n v="10.421379310344827"/>
    <n v="101602"/>
    <s v="FERTILIZANTE LIQUIDOS"/>
    <s v="SAO JOSE DO RIO PRETO"/>
    <s v="Fertilizers"/>
    <s v="Domestic"/>
    <s v="10/2026"/>
    <s v="2026"/>
  </r>
  <r>
    <n v="11"/>
    <x v="9"/>
    <n v="15908"/>
    <s v="CAMPEVO - S?O JOSE DO RIO PRETO"/>
    <n v="13004"/>
    <s v="SP"/>
    <s v="BIOSINERGIC K - BB - 20L PRODUTO A BASE DE EXTRATO DE ALGAS E ACIDOS HUMICOS"/>
    <n v="63"/>
    <n v="1448.9348831774312"/>
    <n v="38324.327660043054"/>
    <n v="-3627.6857650550473"/>
    <n v="34696.64189498801"/>
    <n v="-10245.14613524024"/>
    <n v="-391.70317518477435"/>
    <n v="-8121.7432113953691"/>
    <n v="15938.049373167625"/>
    <n v="0.45935423437822392"/>
    <n v="608.32266127052469"/>
    <n v="26.45"/>
    <n v="101602"/>
    <s v="FERTILIZANTE LIQUIDOS"/>
    <s v="SAO JOSE DO RIO PRETO"/>
    <s v="Fertilizers"/>
    <s v="Domestic"/>
    <s v="10/2026"/>
    <s v="2026"/>
  </r>
  <r>
    <n v="11"/>
    <x v="9"/>
    <n v="14298"/>
    <s v="SAGRA - BAMBUI"/>
    <n v="8416"/>
    <s v="MG"/>
    <s v="BIOSINERGIC N - BB - 5L PRODUTO A BASE DE EXTRATO DE ALGAS E ACIDOS HUMICOS"/>
    <n v="25"/>
    <n v="143.74353999776102"/>
    <n v="3802.0166329407789"/>
    <n v="-401.61577511680275"/>
    <n v="3400.4008578239764"/>
    <n v="-1215.6870322743976"/>
    <n v="0"/>
    <n v="-803.96413756503307"/>
    <n v="1380.7496879845457"/>
    <n v="0.40605497578545224"/>
    <n v="152.08066531763114"/>
    <n v="26.45"/>
    <n v="101602"/>
    <s v="FERTILIZANTE LIQUIDOS"/>
    <s v="BAMBUI "/>
    <s v="Fertilizers"/>
    <s v="Domestic"/>
    <s v="10/2026"/>
    <s v="2026"/>
  </r>
  <r>
    <n v="11"/>
    <x v="9"/>
    <n v="7060"/>
    <s v="AGROVIVA"/>
    <n v="8417"/>
    <s v="MG"/>
    <s v="BIOSINERGIC N - BB - 20L PRODUTO A BASE DE EXTRATO DE ALGAS E ACIDOS HUMICOS"/>
    <n v="20"/>
    <n v="459.97932799283524"/>
    <n v="12166.453225410492"/>
    <n v="-1220.6992339684639"/>
    <n v="10945.753991442029"/>
    <n v="-3559.1632288740161"/>
    <n v="0"/>
    <n v="-2575.0681522081059"/>
    <n v="4811.5226103599061"/>
    <n v="0.43957891015290584"/>
    <n v="608.32266127052458"/>
    <n v="26.45"/>
    <n v="101602"/>
    <s v="FERTILIZANTE LIQUIDOS"/>
    <s v="TRES PONTAS"/>
    <s v="Fertilizers"/>
    <s v="Domestic"/>
    <s v="10/2026"/>
    <s v="2026"/>
  </r>
  <r>
    <n v="11"/>
    <x v="9"/>
    <n v="15904"/>
    <s v="CAMPEVO - JALES"/>
    <n v="13004"/>
    <s v="SP"/>
    <s v="BIOSINERGIC K - BB - 20L PRODUTO A BASE DE EXTRATO DE ALGAS E ACIDOS HUMICOS"/>
    <n v="71"/>
    <n v="1632.9266143745651"/>
    <n v="43190.908950207246"/>
    <n v="-4088.3442749033075"/>
    <n v="39102.56467530394"/>
    <n v="-11546.117073048525"/>
    <n v="-441.44326092252351"/>
    <n v="-9152.7913746786107"/>
    <n v="17962.212966654282"/>
    <n v="0.45936150520578772"/>
    <n v="608.32266127052458"/>
    <n v="26.45"/>
    <n v="101602"/>
    <s v="FERTILIZANTE LIQUIDOS"/>
    <s v="JALES"/>
    <s v="Fertilizers"/>
    <s v="Domestic"/>
    <s v="10/2026"/>
    <s v="2026"/>
  </r>
  <r>
    <n v="11"/>
    <x v="9"/>
    <n v="15917"/>
    <s v="MINAS FARM"/>
    <n v="8301"/>
    <s v="MG"/>
    <s v="BIOSINERGIC - BB - 20L PRODUTO A BASE DE EXTRATO DE ALGAS E ACIDOS HUMICOS"/>
    <n v="25"/>
    <n v="574.97415999104408"/>
    <n v="15208.066531763116"/>
    <n v="-1500.1019071589667"/>
    <n v="13707.964624604148"/>
    <n v="-4212.8029409560413"/>
    <n v="-138.78686620473479"/>
    <n v="-3221.7550307661677"/>
    <n v="6134.6197866772054"/>
    <n v="0.44752229486106931"/>
    <n v="608.32266127052458"/>
    <n v="26.45"/>
    <n v="101602"/>
    <s v="FERTILIZANTE LIQUIDOS"/>
    <s v="UBERLANDIA"/>
    <s v="Fertilizers"/>
    <s v="Domestic"/>
    <s v="10/2026"/>
    <s v="2026"/>
  </r>
  <r>
    <n v="11"/>
    <x v="9"/>
    <n v="15858"/>
    <s v="SAGRA - SANTA JULIANA"/>
    <n v="8368"/>
    <s v="MG"/>
    <s v="SULFORCE - BB - 18 L SOLUC?O ALTAMENTE CONCENTRADA EM ENXOFRE (60%)"/>
    <n v="530"/>
    <n v="8714.2792251853789"/>
    <n v="88395.84550595803"/>
    <n v="-7955.3021045550631"/>
    <n v="80440.543401402974"/>
    <n v="-30467.515050338669"/>
    <n v="0"/>
    <n v="-20658.223428052999"/>
    <n v="29314.804923011307"/>
    <n v="0.36442823088263754"/>
    <n v="166.78461416218497"/>
    <n v="10.143793103448276"/>
    <n v="101602"/>
    <s v="FERTILIZANTE LIQUIDOS"/>
    <s v="SANTA JULIANA"/>
    <s v="Fertilizers"/>
    <s v="Domestic"/>
    <s v="10/2026"/>
    <s v="2026"/>
  </r>
  <r>
    <n v="11"/>
    <x v="9"/>
    <n v="14166"/>
    <s v="TAKI AGRO - TRES CORAC?ES"/>
    <n v="8368"/>
    <s v="MG"/>
    <s v="SULFORCE - BB - 18 L SOLUC?O ALTAMENTE CONCENTRADA EM ENXOFRE (60%)"/>
    <n v="1000"/>
    <n v="16442.036273934678"/>
    <n v="171348.69664512202"/>
    <n v="-15420.754665917288"/>
    <n v="155927.94197920474"/>
    <n v="-57485.877453469191"/>
    <n v="-3968.7673764669912"/>
    <n v="-39900.631463984755"/>
    <n v="54572.665685283806"/>
    <n v="0.34998644240787752"/>
    <n v="171.34869664512203"/>
    <n v="10.421379310344827"/>
    <n v="101602"/>
    <s v="FERTILIZANTE LIQUIDOS"/>
    <s v="TRES CORACOES"/>
    <s v="Fertilizers"/>
    <s v="Domestic"/>
    <s v="10/2026"/>
    <s v="2026"/>
  </r>
  <r>
    <n v="11"/>
    <x v="9"/>
    <n v="12653"/>
    <s v="APROVAR AGROPECUARIA COMERCIO"/>
    <n v="8368"/>
    <s v="MG"/>
    <s v="SULFORCE - BB - 18 L SOLUC?O ALTAMENTE CONCENTRADA EM ENXOFRE (60%)"/>
    <n v="1000"/>
    <n v="16442.036273934678"/>
    <n v="171348.69664512202"/>
    <n v="-15420.754665917288"/>
    <n v="155927.94197920474"/>
    <n v="-57485.877453469191"/>
    <n v="-3968.7673764669912"/>
    <n v="-39900.242085630001"/>
    <n v="54573.05506363856"/>
    <n v="0.34998893957644017"/>
    <n v="171.34869664512203"/>
    <n v="10.421379310344827"/>
    <n v="101602"/>
    <s v="FERTILIZANTE LIQUIDOS"/>
    <s v="VARGINHA"/>
    <s v="Fertilizers"/>
    <s v="Domestic"/>
    <s v="10/2026"/>
    <s v="2026"/>
  </r>
  <r>
    <n v="11"/>
    <x v="9"/>
    <n v="11326"/>
    <s v="VEGA AGRO"/>
    <n v="8368"/>
    <s v="MG"/>
    <s v="SULFORCE - BB - 18 L SOLUC?O ALTAMENTE CONCENTRADA EM ENXOFRE (60%)"/>
    <n v="380"/>
    <n v="6247.9737840951775"/>
    <n v="63378.153381630284"/>
    <n v="-5703.8015089262717"/>
    <n v="57674.351872704014"/>
    <n v="-21844.633432318293"/>
    <n v="0"/>
    <n v="-14811.556420113473"/>
    <n v="21018.162020272252"/>
    <n v="0.36442823088263743"/>
    <n v="166.78461416218497"/>
    <n v="10.143793103448274"/>
    <n v="101602"/>
    <s v="FERTILIZANTE LIQUIDOS"/>
    <s v="PATOS DE MINAS"/>
    <s v="Fertilizers"/>
    <s v="Domestic"/>
    <s v="10/2026"/>
    <s v="2026"/>
  </r>
  <r>
    <n v="11"/>
    <x v="9"/>
    <n v="11326"/>
    <s v="VEGA AGRO"/>
    <n v="8369"/>
    <s v="MG"/>
    <s v="SULFORCE IBC - 700 L - SOLUC?O ALTAMENTE CONCENTRADA EM ENXOFRE (60%) "/>
    <n v="6300"/>
    <n v="5754.7126958771369"/>
    <n v="53308.483400704623"/>
    <n v="-4797.5681182853787"/>
    <n v="48510.915282419242"/>
    <n v="-19718.958588562869"/>
    <n v="0"/>
    <n v="-12622.28810448621"/>
    <n v="16169.668589370163"/>
    <n v="0.33332021247659671"/>
    <n v="8.4616640318578771"/>
    <n v="9.2634482758620695"/>
    <n v="101602"/>
    <s v="FERTILIZANTE LIQUIDOS"/>
    <s v="PATOS DE MINAS"/>
    <s v="Fertilizers"/>
    <s v="Domestic"/>
    <s v="10/2026"/>
    <s v="2026"/>
  </r>
  <r>
    <n v="11"/>
    <x v="9"/>
    <n v="15906"/>
    <s v="CAMPEVO - JAU"/>
    <n v="8369"/>
    <s v="SP"/>
    <s v="SULFORCE IBC - 700 L - SOLUC?O ALTAMENTE CONCENTRADA EM ENXOFRE (60%) "/>
    <n v="4900"/>
    <n v="4475.8876523488843"/>
    <n v="42704.598432014238"/>
    <n v="-3843.2573367657128"/>
    <n v="38861.341095248528"/>
    <n v="-15336.967791104453"/>
    <n v="-1210.005656948968"/>
    <n v="-10070.292373577899"/>
    <n v="12244.075273617209"/>
    <n v="0.31507083720057871"/>
    <n v="8.7152241697988249"/>
    <n v="9.5410344827586222"/>
    <n v="101602"/>
    <s v="FERTILIZANTE LIQUIDOS"/>
    <s v="JAU"/>
    <s v="Fertilizers"/>
    <s v="Domestic"/>
    <s v="10/2026"/>
    <s v="2026"/>
  </r>
  <r>
    <n v="11"/>
    <x v="9"/>
    <n v="15906"/>
    <s v="CAMPEVO - JAU"/>
    <n v="13004"/>
    <s v="SP"/>
    <s v="BIOSINERGIC K - BB - 20L PRODUTO A BASE DE EXTRATO DE ALGAS E ACIDOS HUMICOS"/>
    <n v="63"/>
    <n v="1448.9348831774312"/>
    <n v="38324.327660043054"/>
    <n v="-3627.6857650550473"/>
    <n v="34696.64189498801"/>
    <n v="-10245.14613524024"/>
    <n v="-391.70317518477435"/>
    <n v="-8122.3272789274997"/>
    <n v="15937.465305635495"/>
    <n v="0.45933740083179891"/>
    <n v="608.32266127052469"/>
    <n v="26.45"/>
    <n v="101602"/>
    <s v="FERTILIZANTE LIQUIDOS"/>
    <s v="JAU"/>
    <s v="Fertilizers"/>
    <s v="Domestic"/>
    <s v="10/2026"/>
    <s v="2026"/>
  </r>
  <r>
    <n v="11"/>
    <x v="9"/>
    <n v="14166"/>
    <s v="TAKI AGRO - TRES CORAC?ES"/>
    <n v="8416"/>
    <s v="MG"/>
    <s v="BIOSINERGIC N - BB - 5L PRODUTO A BASE DE EXTRATO DE ALGAS E ACIDOS HUMICOS"/>
    <n v="50"/>
    <n v="287.48707999552204"/>
    <n v="7604.0332658815578"/>
    <n v="-810.39047670627565"/>
    <n v="6793.6427891752819"/>
    <n v="-2431.3740645487951"/>
    <n v="-69.393433102367396"/>
    <n v="-1611.6548032662927"/>
    <n v="2681.2204882578267"/>
    <n v="0.39466609762438143"/>
    <n v="152.08066531763114"/>
    <n v="26.45"/>
    <n v="101602"/>
    <s v="FERTILIZANTE LIQUIDOS"/>
    <s v="TRES CORACOES"/>
    <s v="Fertilizers"/>
    <s v="Domestic"/>
    <s v="10/2026"/>
    <s v="2026"/>
  </r>
  <r>
    <n v="11"/>
    <x v="9"/>
    <n v="15917"/>
    <s v="MINAS FARM"/>
    <n v="8368"/>
    <s v="MG"/>
    <s v="SULFORCE - BB - 18 L SOLUC?O ALTAMENTE CONCENTRADA EM ENXOFRE (60%)"/>
    <n v="694"/>
    <n v="11410.773174110667"/>
    <n v="115748.52222855637"/>
    <n v="-10416.942755775874"/>
    <n v="105331.57947278049"/>
    <n v="-39895.198952707622"/>
    <n v="0"/>
    <n v="-27050.57935673355"/>
    <n v="38385.801163339318"/>
    <n v="0.36442823088263737"/>
    <n v="166.78461416218497"/>
    <n v="10.143793103448274"/>
    <n v="101602"/>
    <s v="FERTILIZANTE LIQUIDOS"/>
    <s v="UBERLANDIA"/>
    <s v="Fertilizers"/>
    <s v="Domestic"/>
    <s v="10/2026"/>
    <s v="2026"/>
  </r>
  <r>
    <n v="11"/>
    <x v="9"/>
    <n v="16645"/>
    <s v="OPCAO AGRONEGOCIOS"/>
    <n v="8369"/>
    <s v="MG"/>
    <s v="SULFORCE IBC - 700 L - SOLUC?O ALTAMENTE CONCENTRADA EM ENXOFRE (60%) "/>
    <n v="9800"/>
    <n v="8951.7753046977687"/>
    <n v="85409.196864028476"/>
    <n v="-7686.5146735314256"/>
    <n v="77722.682190497057"/>
    <n v="-30673.935582208906"/>
    <n v="-2160.7733494098061"/>
    <n v="-20136.906041517901"/>
    <n v="24751.067217360443"/>
    <n v="0.31845359063517614"/>
    <n v="8.7152241697988249"/>
    <n v="9.5410344827586222"/>
    <n v="101602"/>
    <s v="FERTILIZANTE LIQUIDOS"/>
    <s v="UBERLANDIA"/>
    <s v="Fertilizers"/>
    <s v="Domestic"/>
    <s v="10/2026"/>
    <s v="2026"/>
  </r>
  <r>
    <n v="11"/>
    <x v="9"/>
    <n v="15905"/>
    <s v="CAMPEVO - ITAPETININGA"/>
    <n v="13004"/>
    <s v="SP"/>
    <s v="BIOSINERGIC K - BB - 20L PRODUTO A BASE DE EXTRATO DE ALGAS E ACIDOS HUMICOS"/>
    <n v="23"/>
    <n v="528.97622719176059"/>
    <n v="13991.421209222068"/>
    <n v="-1324.3932158137472"/>
    <n v="12667.027993408321"/>
    <n v="-3740.291446198818"/>
    <n v="-143.00274649602875"/>
    <n v="-2968.1085806925162"/>
    <n v="5815.6252200209565"/>
    <n v="0.45911521021721091"/>
    <n v="608.32266127052469"/>
    <n v="26.45"/>
    <n v="101602"/>
    <s v="FERTILIZANTE LIQUIDOS"/>
    <s v="ITAPETININGA"/>
    <s v="Fertilizers"/>
    <s v="Domestic"/>
    <s v="10/2026"/>
    <s v="2026"/>
  </r>
  <r>
    <n v="11"/>
    <x v="9"/>
    <n v="15906"/>
    <s v="CAMPEVO - JAU"/>
    <n v="8368"/>
    <s v="SP"/>
    <s v="SULFORCE - BB - 18 L SOLUC?O ALTAMENTE CONCENTRADA EM ENXOFRE (60%)"/>
    <n v="500"/>
    <n v="8221.0181369673392"/>
    <n v="85674.348322561011"/>
    <n v="-7710.3773329586438"/>
    <n v="77963.970989602371"/>
    <n v="-28742.938726734596"/>
    <n v="-2222.4593699062671"/>
    <n v="-19951.143160996231"/>
    <n v="27047.429731965276"/>
    <n v="0.34692216659375191"/>
    <n v="171.34869664512203"/>
    <n v="10.421379310344827"/>
    <n v="101602"/>
    <s v="FERTILIZANTE LIQUIDOS"/>
    <s v="JAU"/>
    <s v="Fertilizers"/>
    <s v="Domestic"/>
    <s v="10/2026"/>
    <s v="2026"/>
  </r>
  <r>
    <n v="11"/>
    <x v="9"/>
    <n v="8187"/>
    <s v="AGROREP. REPRESENTACOES AGRICOLAS"/>
    <n v="8301"/>
    <s v="MT"/>
    <s v="BIOSINERGIC - BB - 20L PRODUTO A BASE DE EXTRATO DE ALGAS E ACIDOS HUMICOS"/>
    <n v="180"/>
    <n v="4139.8139519355173"/>
    <n v="109498.07902869442"/>
    <n v="-10800.733731544562"/>
    <n v="98697.345297149863"/>
    <n v="-30332.181174883499"/>
    <n v="-3728.2198145227417"/>
    <n v="-23190.600075028437"/>
    <n v="41446.344232715179"/>
    <n v="0.41993372879414265"/>
    <n v="608.32266127052458"/>
    <n v="26.45"/>
    <n v="101602"/>
    <s v="FERTILIZANTE LIQUIDOS"/>
    <s v="SORRISO"/>
    <s v="Fertilizers"/>
    <s v="Domestic"/>
    <s v="10/2026"/>
    <s v="2026"/>
  </r>
  <r>
    <n v="11"/>
    <x v="9"/>
    <n v="11326"/>
    <s v="VEGA AGRO"/>
    <n v="8301"/>
    <s v="MG"/>
    <s v="BIOSINERGIC - BB - 20L PRODUTO A BASE DE EXTRATO DE ALGAS E ACIDOS HUMICOS"/>
    <n v="10"/>
    <n v="229.98966399641762"/>
    <n v="6083.2266127052462"/>
    <n v="-594.31362168545047"/>
    <n v="5488.9129910197953"/>
    <n v="-1685.1211763824167"/>
    <n v="0"/>
    <n v="-1288.1267801040528"/>
    <n v="2515.6650345333255"/>
    <n v="0.45831752819713317"/>
    <n v="608.32266127052458"/>
    <n v="26.45"/>
    <n v="101602"/>
    <s v="FERTILIZANTE LIQUIDOS"/>
    <s v="PATOS DE MINAS"/>
    <s v="Fertilizers"/>
    <s v="Domestic"/>
    <s v="10/2026"/>
    <s v="2026"/>
  </r>
  <r>
    <n v="11"/>
    <x v="9"/>
    <n v="15904"/>
    <s v="CAMPEVO - JALES"/>
    <n v="8368"/>
    <s v="SP"/>
    <s v="SULFORCE - BB - 18 L SOLUC?O ALTAMENTE CONCENTRADA EM ENXOFRE (60%)"/>
    <n v="500"/>
    <n v="8221.0181369673392"/>
    <n v="85674.348322561011"/>
    <n v="-7710.3773329586438"/>
    <n v="77963.970989602371"/>
    <n v="-28742.938726734596"/>
    <n v="-2222.4593699062671"/>
    <n v="-19950.5590934641"/>
    <n v="27048.013799497407"/>
    <n v="0.34692965809943999"/>
    <n v="171.34869664512203"/>
    <n v="10.421379310344827"/>
    <n v="101602"/>
    <s v="FERTILIZANTE LIQUIDOS"/>
    <s v="JALES"/>
    <s v="Fertilizers"/>
    <s v="Domestic"/>
    <s v="10/2026"/>
    <s v="2026"/>
  </r>
  <r>
    <n v="11"/>
    <x v="9"/>
    <n v="15917"/>
    <s v="MINAS FARM"/>
    <n v="8369"/>
    <s v="MG"/>
    <s v="SULFORCE IBC - 700 L - SOLUC?O ALTAMENTE CONCENTRADA EM ENXOFRE (60%) "/>
    <n v="23000"/>
    <n v="21009.268572249865"/>
    <n v="194618.27273273116"/>
    <n v="-17514.931225486303"/>
    <n v="177103.34150724486"/>
    <n v="-71989.848815388235"/>
    <n v="0"/>
    <n v="-46081.369270346477"/>
    <n v="59032.123421510143"/>
    <n v="0.33332021247659682"/>
    <n v="8.4616640318578771"/>
    <n v="9.2634482758620695"/>
    <n v="101602"/>
    <s v="FERTILIZANTE LIQUIDOS"/>
    <s v="UBERLANDIA"/>
    <s v="Fertilizers"/>
    <s v="Domestic"/>
    <s v="10/2026"/>
    <s v="2026"/>
  </r>
  <r>
    <n v="11"/>
    <x v="9"/>
    <n v="12653"/>
    <s v="APROVAR AGROPECUARIA COMERCIO"/>
    <n v="8301"/>
    <s v="MG"/>
    <s v="BIOSINERGIC - BB - 20L PRODUTO A BASE DE EXTRATO DE ALGAS E ACIDOS HUMICOS"/>
    <n v="90"/>
    <n v="2069.9069759677586"/>
    <n v="54749.039514347212"/>
    <n v="-5400.366865772281"/>
    <n v="49348.672648574931"/>
    <n v="-15166.090587441749"/>
    <n v="-499.63271833704522"/>
    <n v="-11594.837650717949"/>
    <n v="22088.111692078186"/>
    <n v="0.44759282279735313"/>
    <n v="608.32266127052458"/>
    <n v="26.45"/>
    <n v="101602"/>
    <s v="FERTILIZANTE LIQUIDOS"/>
    <s v="VARGINHA"/>
    <s v="Fertilizers"/>
    <s v="Domestic"/>
    <s v="10/2026"/>
    <s v="2026"/>
  </r>
  <r>
    <n v="11"/>
    <x v="9"/>
    <n v="16645"/>
    <s v="OPCAO AGRONEGOCIOS"/>
    <n v="8368"/>
    <s v="MG"/>
    <s v="SULFORCE - BB - 18 L SOLUC?O ALTAMENTE CONCENTRADA EM ENXOFRE (60%)"/>
    <n v="500"/>
    <n v="8221.0181369673392"/>
    <n v="85674.348322561011"/>
    <n v="-7710.3773329586438"/>
    <n v="77963.970989602371"/>
    <n v="-28742.938726734596"/>
    <n v="-1984.3836882334956"/>
    <n v="-19950.287448430303"/>
    <n v="27286.361126203978"/>
    <n v="0.3499868051852183"/>
    <n v="171.34869664512203"/>
    <n v="10.421379310344827"/>
    <n v="101602"/>
    <s v="FERTILIZANTE LIQUIDOS"/>
    <s v="UBERLANDIA"/>
    <s v="Fertilizers"/>
    <s v="Domestic"/>
    <s v="10/2026"/>
    <s v="2026"/>
  </r>
  <r>
    <n v="11"/>
    <x v="9"/>
    <n v="13773"/>
    <s v="FERTLIZE AGRO"/>
    <n v="8301"/>
    <s v="MG"/>
    <s v="BIOSINERGIC - BB - 20L PRODUTO A BASE DE EXTRATO DE ALGAS E ACIDOS HUMICOS"/>
    <n v="5"/>
    <n v="114.99483199820881"/>
    <n v="3041.6133063526231"/>
    <n v="-297.15681084272524"/>
    <n v="2744.4564955098976"/>
    <n v="-842.56058819120835"/>
    <n v="0"/>
    <n v="-644.06339005202642"/>
    <n v="1257.8325172666628"/>
    <n v="0.45831752819713317"/>
    <n v="608.32266127052458"/>
    <n v="26.45"/>
    <n v="101602"/>
    <s v="FERTILIZANTE LIQUIDOS"/>
    <s v="CRUZEIRO DA FORTALEZA"/>
    <s v="Fertilizers"/>
    <s v="Domestic"/>
    <s v="10/2026"/>
    <s v="2026"/>
  </r>
  <r>
    <n v="11"/>
    <x v="9"/>
    <n v="6477"/>
    <s v="MOSAIC - PARANAGUA II"/>
    <n v="4676"/>
    <s v="PR"/>
    <s v="R-COAT ADITIVO ANTIEMBLOCANTE P/ FERTILIZANTES"/>
    <n v="60000"/>
    <n v="60000"/>
    <n v="689453.02220322529"/>
    <n v="-80640"/>
    <n v="608813.02220322529"/>
    <n v="-343791"/>
    <n v="-28099.2114"/>
    <n v="-14.280451160595732"/>
    <n v="236908.5303520647"/>
    <n v="0.38913183803907414"/>
    <n v="11.490883703387087"/>
    <n v="11.490883703387087"/>
    <n v="101900"/>
    <s v="HIGROSCOPICIDADE"/>
    <s v="PARANAGUA"/>
    <s v="Additives"/>
    <s v="Domestic"/>
    <s v="10/2026"/>
    <s v="2026"/>
  </r>
  <r>
    <n v="11"/>
    <x v="9"/>
    <n v="2696"/>
    <s v="MOSAIC FERTILIZANTES PARAGUAY S.R.L."/>
    <n v="4676"/>
    <s v="EX"/>
    <s v="R-COAT ADITIVO ANTIEMBLOCANTE P/ FERTILIZANTES"/>
    <n v="60000"/>
    <n v="60000"/>
    <n v="677141.36109245347"/>
    <n v="0"/>
    <n v="677141.36109245347"/>
    <n v="-343791"/>
    <n v="-54102.400000000023"/>
    <n v="-8935.9266910491424"/>
    <n v="270312.03440140432"/>
    <n v="0.39919586947886537"/>
    <n v="11.285689351540892"/>
    <n v="11.285689351540892"/>
    <n v="101900"/>
    <s v="HIGROSCOPICIDADE"/>
    <s v="ASSUNCION"/>
    <s v="Additives"/>
    <s v="International"/>
    <s v="10/2026"/>
    <s v="2026"/>
  </r>
  <r>
    <n v="11"/>
    <x v="9"/>
    <n v="903"/>
    <s v="YARA - PONTA GROSSA"/>
    <n v="4627"/>
    <s v="PR"/>
    <s v="COAT BIO GR ADITIVO ANTI-PO P/ FERTILIZANTES"/>
    <n v="45000"/>
    <n v="45000"/>
    <n v="386029.5564195044"/>
    <n v="-46170"/>
    <n v="339859.5564195044"/>
    <n v="-232645.55857142858"/>
    <n v="-17720.945424000001"/>
    <n v="-9.0060568620446926"/>
    <n v="89484.04636721377"/>
    <n v="0.26329713164445923"/>
    <n v="8.578434587100098"/>
    <n v="8.578434587100098"/>
    <n v="102200"/>
    <s v="COAT BIO"/>
    <s v="PONTA GROSSA"/>
    <s v="Additives"/>
    <s v="Domestic"/>
    <s v="10/2026"/>
    <s v="2026"/>
  </r>
  <r>
    <n v="11"/>
    <x v="9"/>
    <n v="1159"/>
    <s v="YARA - RIO GRANDE"/>
    <n v="4627"/>
    <s v="RS"/>
    <s v="COAT BIO GR ADITIVO ANTI-PO P/ FERTILIZANTES"/>
    <n v="270000"/>
    <n v="270000"/>
    <n v="2451626.3056817646"/>
    <n v="-293220"/>
    <n v="2158406.3056817646"/>
    <n v="-1395873.3514285714"/>
    <n v="-219794.44500000001"/>
    <n v="-111.70291551999729"/>
    <n v="542626.80633767322"/>
    <n v="0.25140160353927271"/>
    <n v="9.0800974284509799"/>
    <n v="9.0800974284509799"/>
    <n v="102200"/>
    <s v="COAT BIO"/>
    <s v="RIO GRANDE"/>
    <s v="Additives"/>
    <s v="Domestic"/>
    <s v="10/2026"/>
    <s v="2026"/>
  </r>
  <r>
    <n v="11"/>
    <x v="9"/>
    <n v="3273"/>
    <s v="FERTIMAXI - CONCEICAO DO JACUIPE"/>
    <n v="12293"/>
    <s v="BA"/>
    <s v="COATMAX BMZ 366 - MICRONUTRIENTE LIQUIDO"/>
    <n v="9000"/>
    <n v="9000"/>
    <n v="63312.427949156547"/>
    <n v="-2466"/>
    <n v="60846.427949156547"/>
    <n v="-28972.550000000003"/>
    <n v="-9271.4684019750002"/>
    <n v="-4.7119027582891722"/>
    <n v="22597.697644423257"/>
    <n v="0.37138905940881128"/>
    <n v="7.0347142165729499"/>
    <n v="7.0347142165729499"/>
    <n v="102300"/>
    <s v="COAT MAX"/>
    <s v="CONCEICAO DO JACUIPE"/>
    <s v="Additives"/>
    <s v="Domestic"/>
    <s v="10/2026"/>
    <s v="2026"/>
  </r>
  <r>
    <n v="11"/>
    <x v="9"/>
    <n v="139"/>
    <s v="COMIGO - RIO VERDE"/>
    <n v="14190"/>
    <s v="GO"/>
    <s v="COATMAX BMZC 3662 IBC - MICRONUTRIENTE LIQUIDO"/>
    <n v="100000"/>
    <n v="100000"/>
    <n v="815410.6697750251"/>
    <n v="-31760"/>
    <n v="783650.6697750251"/>
    <n v="-446918.00000000006"/>
    <n v="-18962.657999999999"/>
    <n v="-9.637114280156629"/>
    <n v="317760.37466074491"/>
    <n v="0.40548727502774851"/>
    <n v="8.154106697750251"/>
    <n v="8.154106697750251"/>
    <n v="102300"/>
    <s v="COAT MAX"/>
    <s v="RIO VERDE"/>
    <s v="Additives"/>
    <s v="Domestic"/>
    <s v="10/2026"/>
    <s v="2026"/>
  </r>
  <r>
    <n v="11"/>
    <x v="9"/>
    <n v="97"/>
    <s v="FECOAGRO - SAO FRANCISCO DO SUL"/>
    <n v="13600"/>
    <s v="SC"/>
    <s v="COATMAX BMZC 3663 - MICRONUTRIENTE LIQUIDO"/>
    <n v="210000"/>
    <n v="210000"/>
    <n v="1940964.944426697"/>
    <n v="-75600"/>
    <n v="1865364.944426697"/>
    <n v="-1208441.8099999998"/>
    <n v="-117654.67349999999"/>
    <n v="-59.793913601880895"/>
    <n v="539208.66701309523"/>
    <n v="0.28906336458403648"/>
    <n v="9.2426902115557006"/>
    <n v="9.2426902115557006"/>
    <n v="102300"/>
    <s v="COAT MAX"/>
    <s v="SAO FRANCISCO DO SUL"/>
    <s v="Additives"/>
    <s v="Domestic"/>
    <s v="10/2026"/>
    <s v="2026"/>
  </r>
  <r>
    <n v="11"/>
    <x v="9"/>
    <n v="5695"/>
    <s v="CAMPO RICO - SANTAREM"/>
    <n v="12813"/>
    <s v="PA"/>
    <s v="COATMAX BMZ 3313 - MICRONUTRIENTE LIQUIDO"/>
    <n v="70000"/>
    <n v="70000"/>
    <n v="718875.90534322115"/>
    <n v="-28000"/>
    <n v="690875.90534322115"/>
    <n v="-313669.56687500002"/>
    <n v="-70850.266905600001"/>
    <n v="-36.007194716524786"/>
    <n v="306320.06436790462"/>
    <n v="0.44337928417944678"/>
    <n v="10.269655790617445"/>
    <n v="10.269655790617445"/>
    <n v="102300"/>
    <s v="COAT MAX"/>
    <s v="SANTAREM"/>
    <s v="Additives"/>
    <s v="Domestic"/>
    <s v="10/2026"/>
    <s v="2026"/>
  </r>
  <r>
    <n v="11"/>
    <x v="9"/>
    <n v="2011"/>
    <s v="FERTGROW S.A"/>
    <n v="12813"/>
    <s v="MA"/>
    <s v="COATMAX BMZ 3313 - MICRONUTRIENTE LIQUIDO"/>
    <n v="90000"/>
    <n v="90000"/>
    <n v="1011150.3091441935"/>
    <n v="-39384"/>
    <n v="971766.30914419354"/>
    <n v="-403289.44312499999"/>
    <n v="-79384.58189999999"/>
    <n v="-40.344464781928423"/>
    <n v="489051.93965441163"/>
    <n v="0.50326085093967243"/>
    <n v="11.235003434935484"/>
    <n v="11.235003434935484"/>
    <n v="102300"/>
    <s v="COAT MAX"/>
    <s v="SAO LUIS"/>
    <s v="Additives"/>
    <s v="Domestic"/>
    <s v="10/2026"/>
    <s v="2026"/>
  </r>
  <r>
    <n v="11"/>
    <x v="9"/>
    <n v="139"/>
    <s v="COMIGO - RIO VERDE"/>
    <n v="14154"/>
    <s v="GO"/>
    <s v="SUPERSELEN IBC ADITIVO ANTI PO P/ FERTILIZANTES"/>
    <n v="30000"/>
    <n v="30000"/>
    <n v="48600"/>
    <n v="-3402.0000000000005"/>
    <n v="45198"/>
    <n v="-34555.701086956527"/>
    <n v="-5688.7973999999995"/>
    <n v="-2.8911342840469882"/>
    <n v="4950.6103787594257"/>
    <n v="0.10953162482320956"/>
    <n v="1.62"/>
    <n v="1.62"/>
    <n v="102600"/>
    <s v="SUPERSELEN"/>
    <s v="RIO VERDE"/>
    <s v="Additives"/>
    <s v="Domestic"/>
    <s v="10/2026"/>
    <s v="2026"/>
  </r>
  <r>
    <n v="11"/>
    <x v="9"/>
    <n v="8855"/>
    <s v="TERMAG - GUARUJA"/>
    <n v="7398"/>
    <s v="SP"/>
    <s v="SUPERSELEN ADITIVO ANTI PO P/ FERTILIZANTES"/>
    <n v="30000"/>
    <n v="30000"/>
    <n v="73800"/>
    <n v="-8856"/>
    <n v="64944"/>
    <n v="-19353.792660550458"/>
    <n v="-13045.632163199998"/>
    <n v="-6.6299907963137503"/>
    <n v="32537.945185453227"/>
    <n v="0.50101541613471956"/>
    <n v="2.46"/>
    <n v="2.46"/>
    <n v="102600"/>
    <s v="SUPERSELEN"/>
    <s v="GUARUJA"/>
    <s v="Additives"/>
    <s v="Domestic"/>
    <s v="10/2026"/>
    <s v="2026"/>
  </r>
  <r>
    <n v="11"/>
    <x v="9"/>
    <n v="3142"/>
    <s v="INTERFERTIL - SAO FRANCISCO DO SUL"/>
    <n v="7398"/>
    <s v="SC"/>
    <s v="SUPERSELEN ADITIVO ANTI PO P/ FERTILIZANTES"/>
    <n v="15000"/>
    <n v="15000"/>
    <n v="41400"/>
    <n v="-4968"/>
    <n v="36432"/>
    <n v="-9676.896330275229"/>
    <n v="-12045.7338550185"/>
    <n v="-6.1218271061559477"/>
    <n v="14703.247987600114"/>
    <n v="0.40358058815327497"/>
    <n v="2.76"/>
    <n v="2.76"/>
    <n v="102600"/>
    <s v="SUPERSELEN"/>
    <s v="SAO FRANCISCO DO SUL"/>
    <s v="Additives"/>
    <s v="Domestic"/>
    <s v="10/2026"/>
    <s v="2026"/>
  </r>
  <r>
    <n v="11"/>
    <x v="9"/>
    <n v="7745"/>
    <s v="LOUIS DREYFUS - NOVA MUTUM"/>
    <n v="14154"/>
    <s v="MT"/>
    <s v="SUPERSELEN IBC ADITIVO ANTI PO P/ FERTILIZANTES"/>
    <n v="12000"/>
    <n v="12000"/>
    <n v="34080"/>
    <n v="-2385.6000000000004"/>
    <n v="31694.400000000001"/>
    <n v="-13822.280434782611"/>
    <n v="-14860.45806336"/>
    <n v="-7.552313215377052"/>
    <n v="3004.1091886420149"/>
    <n v="9.4783595481915256E-2"/>
    <n v="2.84"/>
    <n v="2.84"/>
    <n v="102600"/>
    <s v="SUPERSELEN"/>
    <s v="NOVA MUTUM"/>
    <s v="Additives"/>
    <s v="Domestic"/>
    <s v="10/2026"/>
    <s v="2026"/>
  </r>
  <r>
    <n v="11"/>
    <x v="9"/>
    <n v="8413"/>
    <s v="AMAGGI - SINOP"/>
    <n v="7398"/>
    <s v="MT"/>
    <s v="SUPERSELEN ADITIVO ANTI PO P/ FERTILIZANTES"/>
    <n v="64000"/>
    <n v="64000"/>
    <n v="132480"/>
    <n v="-9273.6"/>
    <n v="123206.39999999999"/>
    <n v="-41288.091009174314"/>
    <n v="-46705.601280000003"/>
    <n v="-23.736504505791842"/>
    <n v="35188.971206319889"/>
    <n v="0.28560992940561442"/>
    <n v="2.0699999999999998"/>
    <n v="2.0699999999999998"/>
    <n v="102600"/>
    <s v="SUPERSELEN"/>
    <s v="SINOP"/>
    <s v="Additives"/>
    <s v="Domestic"/>
    <s v="10/2026"/>
    <s v="2026"/>
  </r>
  <r>
    <n v="11"/>
    <x v="9"/>
    <n v="7648"/>
    <s v="LOUIS DREYFUS - PARANAGUA"/>
    <n v="14154"/>
    <s v="PR"/>
    <s v="SUPERSELEN IBC ADITIVO ANTI PO P/ FERTILIZANTES"/>
    <n v="13200"/>
    <n v="13200"/>
    <n v="47916"/>
    <n v="-5749.92"/>
    <n v="42166.080000000002"/>
    <n v="-15204.508478260874"/>
    <n v="-9623.6718130238405"/>
    <n v="-4.8908979456800248"/>
    <n v="17333.008810769606"/>
    <n v="0.41106521665683898"/>
    <n v="3.63"/>
    <n v="3.63"/>
    <n v="102600"/>
    <s v="SUPERSELEN"/>
    <s v="PARANAGUA"/>
    <s v="Additives"/>
    <s v="Domestic"/>
    <s v="10/2026"/>
    <s v="2026"/>
  </r>
  <r>
    <n v="11"/>
    <x v="10"/>
    <n v="2651"/>
    <s v="AGROBROKERS - COLOMBIA"/>
    <n v="14146"/>
    <s v="EX"/>
    <s v="DUSTPROTEC BLACK PLUS IBC ADITIVO ANTI PO P/ FERTILIZANTES"/>
    <n v="2400"/>
    <n v="2400"/>
    <n v="23913.599999999999"/>
    <n v="0"/>
    <n v="23913.599999999999"/>
    <n v="-4820.3269565217388"/>
    <n v="-4558.3718399999998"/>
    <n v="-858.283438223546"/>
    <n v="13676.617765254716"/>
    <n v="0.57191797827406654"/>
    <n v="9.9639999999999986"/>
    <n v="9.9639999999999986"/>
    <n v="100100"/>
    <s v="START ANTIDUSTING"/>
    <s v="SANTA MARTA"/>
    <s v="Additives"/>
    <s v="International"/>
    <s v="11/2026"/>
    <s v="2026"/>
  </r>
  <r>
    <n v="11"/>
    <x v="10"/>
    <n v="2011"/>
    <s v="FERTGROW S.A"/>
    <n v="6654"/>
    <s v="MA"/>
    <s v="START ANTIDUSTING SC FG ADITIVO ANTI PO P/ FERTILIZANTES"/>
    <n v="60000"/>
    <n v="60000"/>
    <n v="162000"/>
    <n v="-11340.000000000002"/>
    <n v="150660"/>
    <n v="-23594.379999999997"/>
    <n v="-52923.054599999996"/>
    <n v="-26.344299013428788"/>
    <n v="74116.221100986557"/>
    <n v="0.49194358888216222"/>
    <n v="2.7"/>
    <n v="2.7"/>
    <n v="100100"/>
    <s v="START ANTIDUSTING"/>
    <s v="SAO LUIS"/>
    <s v="Additives"/>
    <s v="Domestic"/>
    <s v="11/2026"/>
    <s v="2026"/>
  </r>
  <r>
    <n v="11"/>
    <x v="10"/>
    <n v="11212"/>
    <s v="INPEK FERTILIZANTES - PARANAGUA"/>
    <n v="1043"/>
    <s v="PR"/>
    <s v="START ANTIDUSTING SC AD ADITIVO ANTI PO P/ FERTILIZANTES"/>
    <n v="30000"/>
    <n v="30000"/>
    <n v="57000"/>
    <n v="-6840"/>
    <n v="50160"/>
    <n v="-12050.881176470586"/>
    <n v="-14049.6057"/>
    <n v="-6.9936819856496619"/>
    <n v="24052.519441543762"/>
    <n v="0.47951593782981983"/>
    <n v="1.9"/>
    <n v="1.9"/>
    <n v="100100"/>
    <s v="START ANTIDUSTING"/>
    <s v="PARANAGUA"/>
    <s v="Additives"/>
    <s v="Domestic"/>
    <s v="11/2026"/>
    <s v="2026"/>
  </r>
  <r>
    <n v="11"/>
    <x v="10"/>
    <n v="5053"/>
    <s v="ADUBOS ARAGUAIA - CONFRESA"/>
    <n v="14133"/>
    <s v="MT"/>
    <s v="START ANTIDUSTING SC AD IBC ADITIVO ANTI PO P/ FERTILIZANTES"/>
    <n v="7000"/>
    <n v="7000"/>
    <n v="19460"/>
    <n v="-1362.2"/>
    <n v="18097.8"/>
    <n v="-8111.5756886227582"/>
    <n v="-6291.4930277381"/>
    <n v="-3.1318104145038319"/>
    <n v="3691.5994732246381"/>
    <n v="0.20398056521923319"/>
    <n v="2.78"/>
    <n v="2.78"/>
    <n v="100100"/>
    <s v="START ANTIDUSTING"/>
    <s v="CONFRESA"/>
    <s v="Additives"/>
    <s v="Domestic"/>
    <s v="11/2026"/>
    <s v="2026"/>
  </r>
  <r>
    <n v="11"/>
    <x v="10"/>
    <n v="205"/>
    <s v="FERTIPAR - RONDONOPOLIS"/>
    <n v="1043"/>
    <s v="MT"/>
    <s v="START ANTIDUSTING SC AD ADITIVO ANTI PO P/ FERTILIZANTES"/>
    <n v="30000"/>
    <n v="30000"/>
    <n v="54300"/>
    <n v="-3801.0000000000005"/>
    <n v="50499"/>
    <n v="-12050.881176470586"/>
    <n v="-11980.9521"/>
    <n v="-5.9639373988055402"/>
    <n v="26461.202786130601"/>
    <n v="0.52399458971723401"/>
    <n v="1.81"/>
    <n v="1.81"/>
    <n v="100100"/>
    <s v="START ANTIDUSTING"/>
    <s v="RONDONOPOLIS"/>
    <s v="Additives"/>
    <s v="Domestic"/>
    <s v="11/2026"/>
    <s v="2026"/>
  </r>
  <r>
    <n v="11"/>
    <x v="10"/>
    <n v="812"/>
    <s v="FERTIPAR - VARGINHA"/>
    <n v="1042"/>
    <s v="MG"/>
    <s v="START ANTIDUSTING KG AD ADITIVO ANTI PO P/ FERTILIZANTES"/>
    <n v="30000"/>
    <n v="30000"/>
    <n v="51000"/>
    <n v="-9180"/>
    <n v="41820"/>
    <n v="-16216.018000000004"/>
    <n v="-6895.5119999999997"/>
    <n v="-3.4324819561470732"/>
    <n v="18705.03751804385"/>
    <n v="0.4472749286954531"/>
    <n v="1.7"/>
    <n v="1.7"/>
    <n v="100100"/>
    <s v="START ANTIDUSTING"/>
    <s v="VARGINHA"/>
    <s v="Additives"/>
    <s v="Domestic"/>
    <s v="11/2026"/>
    <s v="2026"/>
  </r>
  <r>
    <n v="11"/>
    <x v="10"/>
    <n v="6477"/>
    <s v="MOSAIC - PARANAGUA II"/>
    <n v="1043"/>
    <s v="PR"/>
    <s v="START ANTIDUSTING SC AD ADITIVO ANTI PO P/ FERTILIZANTES"/>
    <n v="30000"/>
    <n v="30000"/>
    <n v="65700"/>
    <n v="-7884"/>
    <n v="57816"/>
    <n v="-12050.881176470586"/>
    <n v="-14049.6057"/>
    <n v="-6.9936819856496619"/>
    <n v="31708.519441543762"/>
    <n v="0.54843848487518609"/>
    <n v="2.19"/>
    <n v="2.19"/>
    <n v="100100"/>
    <s v="START ANTIDUSTING"/>
    <s v="PARANAGUA"/>
    <s v="Additives"/>
    <s v="Domestic"/>
    <s v="11/2026"/>
    <s v="2026"/>
  </r>
  <r>
    <n v="11"/>
    <x v="10"/>
    <n v="214"/>
    <s v="UNIFERTIL - CANOAS UN1"/>
    <n v="3"/>
    <s v="RS"/>
    <s v="START ANTIDUSTING MH ADITIVO ANTI PO P/ FERTILIZANTES"/>
    <n v="32000"/>
    <n v="32000"/>
    <n v="82880"/>
    <n v="-9945.6"/>
    <n v="72934.399999999994"/>
    <n v="-25102.34"/>
    <n v="-25804.538239999998"/>
    <n v="-12.845110253670379"/>
    <n v="22014.676649746329"/>
    <n v="0.3018421574695388"/>
    <n v="2.59"/>
    <n v="2.59"/>
    <n v="100100"/>
    <s v="START ANTIDUSTING"/>
    <s v="CANOAS"/>
    <s v="Additives"/>
    <s v="Domestic"/>
    <s v="11/2026"/>
    <s v="2026"/>
  </r>
  <r>
    <n v="11"/>
    <x v="10"/>
    <n v="139"/>
    <s v="COMIGO - RIO VERDE"/>
    <n v="1043"/>
    <s v="GO"/>
    <s v="START ANTIDUSTING SC AD ADITIVO ANTI PO P/ FERTILIZANTES"/>
    <n v="90000"/>
    <n v="90000"/>
    <n v="61250.000000000036"/>
    <n v="-4287.5000000000027"/>
    <n v="56962.500000000036"/>
    <n v="-36152.643529411762"/>
    <n v="-17066.392199999998"/>
    <n v="-8.4953928414640068"/>
    <n v="3734.9688777468123"/>
    <n v="6.5568907223994902E-2"/>
    <n v="0.68055555555555591"/>
    <n v="0.68055555555555591"/>
    <n v="100100"/>
    <s v="START ANTIDUSTING"/>
    <s v="RIO VERDE"/>
    <s v="Additives"/>
    <s v="Domestic"/>
    <s v="11/2026"/>
    <s v="2026"/>
  </r>
  <r>
    <n v="11"/>
    <x v="10"/>
    <n v="3232"/>
    <s v="FERTILIZ. TOCANTINS - ARAGUARI"/>
    <n v="7384"/>
    <s v="MG"/>
    <s v="START ANTIDUSTING EURO KG ADITIVO ANTI PO P/ FERTILIZANTES"/>
    <n v="30000"/>
    <n v="30000"/>
    <n v="56100"/>
    <n v="-10098"/>
    <n v="46002"/>
    <n v="-20750.160674157301"/>
    <n v="-1723.8779999999999"/>
    <n v="-0.8581204890367683"/>
    <n v="23527.103205353662"/>
    <n v="0.51143652896295078"/>
    <n v="1.87"/>
    <n v="1.87"/>
    <n v="100100"/>
    <s v="START ANTIDUSTING"/>
    <s v="ARAGUARI"/>
    <s v="Additives"/>
    <s v="Domestic"/>
    <s v="11/2026"/>
    <s v="2026"/>
  </r>
  <r>
    <n v="11"/>
    <x v="10"/>
    <n v="2003"/>
    <s v="HERINGER - RIO GRANDE"/>
    <n v="7384"/>
    <s v="RS"/>
    <s v="START ANTIDUSTING EURO KG ADITIVO ANTI PO P/ FERTILIZANTES"/>
    <n v="20000"/>
    <n v="20000"/>
    <n v="70000"/>
    <n v="-8400"/>
    <n v="61600"/>
    <n v="-13833.440449438202"/>
    <n v="-16281.07"/>
    <n v="-8.1044712853472571"/>
    <n v="31477.38507927645"/>
    <n v="0.51099651102721511"/>
    <n v="3.5"/>
    <n v="3.5"/>
    <n v="100100"/>
    <s v="START ANTIDUSTING"/>
    <s v="RIO GRANDE"/>
    <s v="Additives"/>
    <s v="Domestic"/>
    <s v="11/2026"/>
    <s v="2026"/>
  </r>
  <r>
    <n v="11"/>
    <x v="10"/>
    <n v="7443"/>
    <s v="MOSAIC - CATAL?O"/>
    <n v="1043"/>
    <s v="GO"/>
    <s v="START ANTIDUSTING SC AD ADITIVO ANTI PO P/ FERTILIZANTES"/>
    <n v="30000"/>
    <n v="30000"/>
    <n v="72000"/>
    <n v="-5040.0000000000009"/>
    <n v="66960"/>
    <n v="-12050.881176470586"/>
    <n v="-2442.1605"/>
    <n v="-1.2156706928020884"/>
    <n v="52465.742652836612"/>
    <n v="0.78353857008417882"/>
    <n v="2.4"/>
    <n v="2.4"/>
    <n v="100100"/>
    <s v="START ANTIDUSTING"/>
    <s v="CATALAO"/>
    <s v="Additives"/>
    <s v="Domestic"/>
    <s v="11/2026"/>
    <s v="2026"/>
  </r>
  <r>
    <n v="11"/>
    <x v="10"/>
    <n v="2809"/>
    <s v="CISBRA QUIMICA - FORMOSA"/>
    <n v="1043"/>
    <s v="GO"/>
    <s v="START ANTIDUSTING SC AD ADITIVO ANTI PO P/ FERTILIZANTES"/>
    <n v="30000"/>
    <n v="30000"/>
    <n v="55500"/>
    <n v="-3885.0000000000005"/>
    <n v="51615"/>
    <n v="-12050.881176470586"/>
    <n v="-7786.1822999999995"/>
    <n v="-3.8758442088160701"/>
    <n v="31774.060679320595"/>
    <n v="0.61559741701677018"/>
    <n v="1.85"/>
    <n v="1.85"/>
    <n v="100100"/>
    <s v="START ANTIDUSTING"/>
    <s v="FORMOSA"/>
    <s v="Additives"/>
    <s v="Domestic"/>
    <s v="11/2026"/>
    <s v="2026"/>
  </r>
  <r>
    <n v="11"/>
    <x v="10"/>
    <n v="9294"/>
    <s v="SOLINAG CIA.LTDA - EQUADOR"/>
    <n v="14141"/>
    <s v="EX"/>
    <s v="DUSTPROTEC SC IBC - ADITIVO ANTI-PO P/ FERTILIZANTES GRANULADOS"/>
    <n v="2400"/>
    <n v="2400"/>
    <n v="18912"/>
    <n v="0"/>
    <n v="18912"/>
    <n v="-2371.1680000000001"/>
    <n v="0"/>
    <n v="-856.01434941763728"/>
    <n v="15684.817650582361"/>
    <n v="0.82935795529729073"/>
    <n v="7.88"/>
    <n v="7.88"/>
    <n v="100100"/>
    <s v="START ANTIDUSTING"/>
    <s v="CUENCA"/>
    <s v="Additives"/>
    <s v="International"/>
    <s v="11/2026"/>
    <s v="2026"/>
  </r>
  <r>
    <n v="11"/>
    <x v="10"/>
    <n v="97"/>
    <s v="FECOAGRO - SAO FRANCISCO DO SUL"/>
    <n v="148"/>
    <s v="SC"/>
    <s v="START ANTIDUSTING BLACK ADITIVO ANTI PO P/ FERTILIZANTES"/>
    <n v="32000"/>
    <n v="32000"/>
    <n v="112000"/>
    <n v="-13440"/>
    <n v="98560"/>
    <n v="-21502.766896551722"/>
    <n v="-17928.331200000001"/>
    <n v="-8.9244530859823907"/>
    <n v="59119.977450362298"/>
    <n v="0.59983743354669539"/>
    <n v="3.5"/>
    <n v="3.5"/>
    <n v="100100"/>
    <s v="START ANTIDUSTING"/>
    <s v="SAO FRANCISCO DO SUL"/>
    <s v="Additives"/>
    <s v="Domestic"/>
    <s v="11/2026"/>
    <s v="2026"/>
  </r>
  <r>
    <n v="11"/>
    <x v="10"/>
    <n v="2622"/>
    <s v="ADUFERTIL JUNDIAI"/>
    <n v="1043"/>
    <s v="SP"/>
    <s v="START ANTIDUSTING SC AD ADITIVO ANTI PO P/ FERTILIZANTES"/>
    <n v="30000"/>
    <n v="30000"/>
    <n v="79200"/>
    <n v="-9504"/>
    <n v="69696"/>
    <n v="-12050.881176470586"/>
    <n v="-9878.4844703999988"/>
    <n v="-4.9173606976141979"/>
    <n v="47761.7169924318"/>
    <n v="0.68528634344053896"/>
    <n v="2.64"/>
    <n v="2.64"/>
    <n v="100100"/>
    <s v="START ANTIDUSTING"/>
    <s v="JUNDIAI"/>
    <s v="Additives"/>
    <s v="Domestic"/>
    <s v="11/2026"/>
    <s v="2026"/>
  </r>
  <r>
    <n v="11"/>
    <x v="10"/>
    <n v="1936"/>
    <s v="CIBRA - PARANAGUA II"/>
    <n v="4"/>
    <s v="PR"/>
    <s v="START ANTIDUSTING G37 ADITIVO ANTI PO P/ FERTILIZANTES"/>
    <n v="30000"/>
    <n v="30000"/>
    <n v="119700"/>
    <n v="-14364"/>
    <n v="105336"/>
    <n v="-29362.500000000004"/>
    <n v="0"/>
    <n v="0"/>
    <n v="75973.5"/>
    <n v="0.72124914559125086"/>
    <n v="3.99"/>
    <n v="3.99"/>
    <n v="100100"/>
    <s v="START ANTIDUSTING"/>
    <s v="PARANAGUA"/>
    <s v="Additives"/>
    <s v="Domestic"/>
    <s v="11/2026"/>
    <s v="2026"/>
  </r>
  <r>
    <n v="11"/>
    <x v="10"/>
    <n v="1292"/>
    <s v="CIBRA - S?O FRANCISCO DO SUL"/>
    <n v="148"/>
    <s v="SC"/>
    <s v="START ANTIDUSTING BLACK ADITIVO ANTI PO P/ FERTILIZANTES"/>
    <n v="20000"/>
    <n v="20000"/>
    <n v="47000"/>
    <n v="-5640"/>
    <n v="41360"/>
    <n v="-13439.229310344828"/>
    <n v="-10207.092555894"/>
    <n v="-5.0809368503498025"/>
    <n v="17708.597196910821"/>
    <n v="0.42815757245915914"/>
    <n v="2.35"/>
    <n v="2.35"/>
    <n v="100100"/>
    <s v="START ANTIDUSTING"/>
    <s v="S?O FRANCISCO DO SUL"/>
    <s v="Additives"/>
    <s v="Domestic"/>
    <s v="11/2026"/>
    <s v="2026"/>
  </r>
  <r>
    <n v="11"/>
    <x v="10"/>
    <n v="33"/>
    <s v="HERINGER - PARANAGUA"/>
    <n v="7384"/>
    <s v="PR"/>
    <s v="START ANTIDUSTING EURO KG ADITIVO ANTI PO P/ FERTILIZANTES"/>
    <n v="15000"/>
    <n v="15000"/>
    <n v="49200"/>
    <n v="-5904"/>
    <n v="43296"/>
    <n v="-10375.080337078651"/>
    <n v="-10935.990696618001"/>
    <n v="-5.4437713600866111"/>
    <n v="21979.485194943263"/>
    <n v="0.50765625450256979"/>
    <n v="3.28"/>
    <n v="3.28"/>
    <n v="100100"/>
    <s v="START ANTIDUSTING"/>
    <s v="PARANAGUA"/>
    <s v="Additives"/>
    <s v="Domestic"/>
    <s v="11/2026"/>
    <s v="2026"/>
  </r>
  <r>
    <n v="11"/>
    <x v="10"/>
    <n v="2559"/>
    <s v="MOSAIC - RIO GRANDE"/>
    <n v="1043"/>
    <s v="RS"/>
    <s v="START ANTIDUSTING SC AD ADITIVO ANTI PO P/ FERTILIZANTES"/>
    <n v="60000"/>
    <n v="60000"/>
    <n v="150600"/>
    <n v="-18072"/>
    <n v="132528"/>
    <n v="-24101.762352941172"/>
    <n v="-48843.21"/>
    <n v="-24.31341385604177"/>
    <n v="59558.71423320278"/>
    <n v="0.44940476150853237"/>
    <n v="2.5099999999999998"/>
    <n v="2.5099999999999998"/>
    <n v="100100"/>
    <s v="START ANTIDUSTING"/>
    <s v="RIO GRANDE"/>
    <s v="Additives"/>
    <s v="Domestic"/>
    <s v="11/2026"/>
    <s v="2026"/>
  </r>
  <r>
    <n v="11"/>
    <x v="10"/>
    <n v="7103"/>
    <s v="MOSAIC - RIO VERDE"/>
    <n v="1043"/>
    <s v="GO"/>
    <s v="START ANTIDUSTING SC AD ADITIVO ANTI PO P/ FERTILIZANTES"/>
    <n v="60000"/>
    <n v="60000"/>
    <n v="114000"/>
    <n v="-7980.0000000000009"/>
    <n v="106020"/>
    <n v="-24101.762352941172"/>
    <n v="-11377.594799999999"/>
    <n v="-5.66359522764267"/>
    <n v="70534.979251831188"/>
    <n v="0.66529880448812662"/>
    <n v="1.9"/>
    <n v="1.9"/>
    <n v="100100"/>
    <s v="START ANTIDUSTING"/>
    <s v="RIO VERDE"/>
    <s v="Additives"/>
    <s v="Domestic"/>
    <s v="11/2026"/>
    <s v="2026"/>
  </r>
  <r>
    <n v="11"/>
    <x v="10"/>
    <n v="6124"/>
    <s v="MOSAIC - UBERABA II"/>
    <n v="1043"/>
    <s v="MG"/>
    <s v="START ANTIDUSTING SC AD ADITIVO ANTI PO P/ FERTILIZANTES"/>
    <n v="60000"/>
    <n v="60000"/>
    <n v="101400"/>
    <n v="0"/>
    <n v="101400"/>
    <n v="-24101.762352941172"/>
    <n v="-4884.3209999999999"/>
    <n v="-2.4313413856041768"/>
    <n v="72411.485305673225"/>
    <n v="0.71411721208750711"/>
    <n v="1.69"/>
    <n v="1.69"/>
    <n v="100100"/>
    <s v="START ANTIDUSTING"/>
    <s v="UBERABA"/>
    <s v="Additives"/>
    <s v="Domestic"/>
    <s v="11/2026"/>
    <s v="2026"/>
  </r>
  <r>
    <n v="11"/>
    <x v="10"/>
    <n v="1462"/>
    <s v="AURORA MINERAC?O LTDA"/>
    <n v="1042"/>
    <s v="SP"/>
    <s v="START ANTIDUSTING KG AD ADITIVO ANTI PO P/ FERTILIZANTES"/>
    <n v="90000"/>
    <n v="90000"/>
    <n v="150300"/>
    <n v="-18036"/>
    <n v="132264"/>
    <n v="-48648.054000000004"/>
    <n v="0"/>
    <n v="0"/>
    <n v="83615.945999999996"/>
    <n v="0.6321897568499365"/>
    <n v="1.67"/>
    <n v="1.67"/>
    <n v="100100"/>
    <s v="START ANTIDUSTING"/>
    <s v="IPEUNA"/>
    <s v="Additives"/>
    <s v="Domestic"/>
    <s v="11/2026"/>
    <s v="2026"/>
  </r>
  <r>
    <n v="11"/>
    <x v="10"/>
    <n v="9295"/>
    <s v="TECNOMYL S.A. - PARAGUAY"/>
    <n v="14146"/>
    <s v="EX"/>
    <s v="DUSTPROTEC BLACK PLUS IBC ADITIVO ANTI PO P/ FERTILIZANTES"/>
    <n v="52800"/>
    <n v="52800"/>
    <n v="271444.8"/>
    <n v="0"/>
    <n v="271444.8"/>
    <n v="-106047.19304347827"/>
    <n v="-47610.112000000016"/>
    <n v="-18856.015283442823"/>
    <n v="98931.479673078866"/>
    <n v="0.36446260776805772"/>
    <n v="5.141"/>
    <n v="5.141"/>
    <n v="100100"/>
    <s v="START ANTIDUSTING"/>
    <s v="ASSUNCION"/>
    <s v="Additives"/>
    <s v="International"/>
    <s v="11/2026"/>
    <s v="2026"/>
  </r>
  <r>
    <n v="11"/>
    <x v="10"/>
    <n v="16453"/>
    <s v="HIDROVIAS DO BRASIL ADMINISTRACAO PORTUA"/>
    <n v="1043"/>
    <s v="SP"/>
    <s v="START ANTIDUSTING SC AD ADITIVO ANTI PO P/ FERTILIZANTES"/>
    <n v="60000"/>
    <n v="60000"/>
    <n v="141600"/>
    <n v="-16992"/>
    <n v="124608"/>
    <n v="-24101.762352941172"/>
    <n v="0"/>
    <n v="0"/>
    <n v="100506.23764705882"/>
    <n v="0.80657933396779358"/>
    <n v="2.36"/>
    <n v="2.36"/>
    <n v="100100"/>
    <s v="START ANTIDUSTING"/>
    <s v="SANTOS"/>
    <s v="Additives"/>
    <s v="Domestic"/>
    <s v="11/2026"/>
    <s v="2026"/>
  </r>
  <r>
    <n v="11"/>
    <x v="10"/>
    <n v="2603"/>
    <s v="MOSAIC - S?O LUIS"/>
    <n v="1043"/>
    <s v="MA"/>
    <s v="START ANTIDUSTING SC AD ADITIVO ANTI PO P/ FERTILIZANTES"/>
    <n v="60000"/>
    <n v="60000"/>
    <n v="147600"/>
    <n v="-10332.000000000002"/>
    <n v="137268"/>
    <n v="-24101.762352941172"/>
    <n v="0"/>
    <n v="0"/>
    <n v="113166.23764705882"/>
    <n v="0.82441820123451071"/>
    <n v="2.46"/>
    <n v="2.46"/>
    <n v="100100"/>
    <s v="START ANTIDUSTING"/>
    <s v="SAO LUIS"/>
    <s v="Additives"/>
    <s v="Domestic"/>
    <s v="11/2026"/>
    <s v="2026"/>
  </r>
  <r>
    <n v="11"/>
    <x v="10"/>
    <n v="11637"/>
    <s v="AGROPECUARIA MARATA LTDA - MARUIM"/>
    <n v="14130"/>
    <s v="SE"/>
    <s v="START ANTIDUSTING BLACK IBC ADITIVO ANTI PO P/ FERTILIZANTES"/>
    <n v="10000"/>
    <n v="10000"/>
    <n v="29700"/>
    <n v="-2079"/>
    <n v="27621"/>
    <n v="-12674.32"/>
    <n v="0"/>
    <n v="0"/>
    <n v="14946.68"/>
    <n v="0.54113464393034283"/>
    <n v="2.97"/>
    <n v="2.97"/>
    <n v="100100"/>
    <s v="START ANTIDUSTING"/>
    <s v="MARUIM"/>
    <s v="Additives"/>
    <s v="Domestic"/>
    <s v="11/2026"/>
    <s v="2026"/>
  </r>
  <r>
    <n v="11"/>
    <x v="10"/>
    <n v="14632"/>
    <s v="BIGFERTIL - CANDEIAS"/>
    <n v="1043"/>
    <s v="BA"/>
    <s v="START ANTIDUSTING SC AD ADITIVO ANTI PO P/ FERTILIZANTES"/>
    <n v="30000"/>
    <n v="30000"/>
    <n v="96900"/>
    <n v="-6783.0000000000009"/>
    <n v="90117"/>
    <n v="-12050.881176470586"/>
    <n v="-21548.474999999999"/>
    <n v="-10.726506112959605"/>
    <n v="56506.917317416453"/>
    <n v="0.62703948552899513"/>
    <n v="3.23"/>
    <n v="3.23"/>
    <n v="100100"/>
    <s v="START ANTIDUSTING"/>
    <s v="CANDEIAS"/>
    <s v="Additives"/>
    <s v="Domestic"/>
    <s v="11/2026"/>
    <s v="2026"/>
  </r>
  <r>
    <n v="11"/>
    <x v="10"/>
    <n v="6370"/>
    <s v="YTL S.A. - PARAGUAI"/>
    <n v="4067"/>
    <s v="EX"/>
    <s v="DUSTPROTEC BLACK PLUS ADITIVO ANTI PO P/ FERTILIZANTES"/>
    <n v="30000"/>
    <n v="30000"/>
    <n v="154200"/>
    <n v="0"/>
    <n v="154200"/>
    <n v="-46215.96"/>
    <n v="-30471.7248"/>
    <n v="-10715.34773310779"/>
    <n v="66796.967466892223"/>
    <n v="0.43318396541434645"/>
    <n v="5.14"/>
    <n v="5.14"/>
    <n v="100100"/>
    <s v="START ANTIDUSTING"/>
    <s v="ITAPUA"/>
    <s v="Additives"/>
    <s v="International"/>
    <s v="11/2026"/>
    <s v="2026"/>
  </r>
  <r>
    <n v="11"/>
    <x v="10"/>
    <n v="3273"/>
    <s v="FERTIMAXI - CONCEICAO DO JACUIPE"/>
    <n v="2"/>
    <s v="BA"/>
    <s v="START ANTIDUSTING SC ADITIVO ANTI PO P/ FERTILIZANTES"/>
    <n v="60000"/>
    <n v="60000"/>
    <n v="157800"/>
    <n v="-11046.000000000002"/>
    <n v="146754"/>
    <n v="-38080.525531914893"/>
    <n v="-37350.69"/>
    <n v="-18.59261059579665"/>
    <n v="71304.191857489306"/>
    <n v="0.48587562763188263"/>
    <n v="2.63"/>
    <n v="2.63"/>
    <n v="100100"/>
    <s v="START ANTIDUSTING"/>
    <s v="CONCEICAO DO JACUIPE"/>
    <s v="Additives"/>
    <s v="Domestic"/>
    <s v="11/2026"/>
    <s v="2026"/>
  </r>
  <r>
    <n v="11"/>
    <x v="10"/>
    <n v="16073"/>
    <s v="IMEX SUL INSUMOS - RIO GRANDE"/>
    <n v="1"/>
    <s v="RS"/>
    <s v="START ANTIDUSTING KG ADITIVO ANTI PO P/ FERTILIZANTES"/>
    <n v="30000"/>
    <n v="30000"/>
    <n v="84000"/>
    <n v="-10080"/>
    <n v="73920"/>
    <n v="-21763.572000000004"/>
    <n v="-24421.605"/>
    <n v="-12.156706928020885"/>
    <n v="27722.666293071979"/>
    <n v="0.37503606998203437"/>
    <n v="2.8"/>
    <n v="2.8"/>
    <n v="100100"/>
    <s v="START ANTIDUSTING"/>
    <s v="RIO GRANDE"/>
    <s v="Additives"/>
    <s v="Domestic"/>
    <s v="11/2026"/>
    <s v="2026"/>
  </r>
  <r>
    <n v="11"/>
    <x v="10"/>
    <n v="4577"/>
    <s v="MICROSOLO INDUSTRIAL"/>
    <n v="1"/>
    <s v="MG"/>
    <s v="START ANTIDUSTING KG ADITIVO ANTI PO P/ FERTILIZANTES"/>
    <n v="30000"/>
    <n v="30000"/>
    <n v="69600"/>
    <n v="-6438"/>
    <n v="63162"/>
    <n v="-21763.572000000004"/>
    <n v="-10004.1649344"/>
    <n v="-4.9799225385507659"/>
    <n v="31389.28314306145"/>
    <n v="0.49696468039424735"/>
    <n v="2.3199999999999998"/>
    <n v="2.3199999999999998"/>
    <n v="100100"/>
    <s v="START ANTIDUSTING"/>
    <s v="SETE LAGOAS"/>
    <s v="Additives"/>
    <s v="Domestic"/>
    <s v="11/2026"/>
    <s v="2026"/>
  </r>
  <r>
    <n v="11"/>
    <x v="10"/>
    <n v="3142"/>
    <s v="INTERFERTIL - SAO FRANCISCO DO SUL"/>
    <n v="1"/>
    <s v="SC"/>
    <s v="START ANTIDUSTING KG ADITIVO ANTI PO P/ FERTILIZANTES"/>
    <n v="30000"/>
    <n v="30000"/>
    <n v="83100"/>
    <n v="-9972"/>
    <n v="73128"/>
    <n v="-21763.572000000004"/>
    <n v="-16807.8105"/>
    <n v="-8.3666747681084903"/>
    <n v="34548.250825231895"/>
    <n v="0.47243533017765965"/>
    <n v="2.77"/>
    <n v="2.77"/>
    <n v="100100"/>
    <s v="START ANTIDUSTING"/>
    <s v="SAO FRANCISCO DO SUL"/>
    <s v="Additives"/>
    <s v="Domestic"/>
    <s v="11/2026"/>
    <s v="2026"/>
  </r>
  <r>
    <n v="11"/>
    <x v="10"/>
    <n v="1874"/>
    <s v="FERTILIZ. TOCANTINS - BARCARENA"/>
    <n v="148"/>
    <s v="PA"/>
    <s v="START ANTIDUSTING BLACK ADITIVO ANTI PO P/ FERTILIZANTES"/>
    <n v="60000"/>
    <n v="60000"/>
    <n v="168600"/>
    <n v="-11802.000000000002"/>
    <n v="156798"/>
    <n v="-40317.687931034488"/>
    <n v="-53957.381399999998"/>
    <n v="-26.85917130685085"/>
    <n v="62496.071497658668"/>
    <n v="0.39857696844129814"/>
    <n v="2.81"/>
    <n v="2.81"/>
    <n v="100100"/>
    <s v="START ANTIDUSTING"/>
    <s v="BARCARENA "/>
    <s v="Additives"/>
    <s v="Domestic"/>
    <s v="11/2026"/>
    <s v="2026"/>
  </r>
  <r>
    <n v="11"/>
    <x v="10"/>
    <n v="205"/>
    <s v="FERTIPAR - RONDONOPOLIS"/>
    <n v="231"/>
    <s v="MT"/>
    <s v="START ANTIDUSTING RED ADITIVO ANTI PO P/ FERTILIZANTES"/>
    <n v="30000"/>
    <n v="30000"/>
    <n v="73800"/>
    <n v="-5166.0000000000009"/>
    <n v="68634"/>
    <n v="-33184.969999999994"/>
    <n v="-11980.9521"/>
    <n v="-5.9639373988055402"/>
    <n v="23462.113962601197"/>
    <n v="0.34184389606610716"/>
    <n v="2.46"/>
    <n v="2.46"/>
    <n v="100100"/>
    <s v="START ANTIDUSTING"/>
    <s v="RONDONOPOLIS"/>
    <s v="Additives"/>
    <s v="Domestic"/>
    <s v="11/2026"/>
    <s v="2026"/>
  </r>
  <r>
    <n v="11"/>
    <x v="10"/>
    <n v="1613"/>
    <s v="HERINGER - CANDEIAS"/>
    <n v="7384"/>
    <s v="BA"/>
    <s v="START ANTIDUSTING EURO KG ADITIVO ANTI PO P/ FERTILIZANTES"/>
    <n v="24000"/>
    <n v="24000"/>
    <n v="89760"/>
    <n v="-6283.2000000000007"/>
    <n v="83476.800000000003"/>
    <n v="-16600.12853932584"/>
    <n v="-17238.78"/>
    <n v="-8.5812048903676832"/>
    <n v="49629.310255783792"/>
    <n v="0.59452818334895197"/>
    <n v="3.74"/>
    <n v="3.74"/>
    <n v="100100"/>
    <s v="START ANTIDUSTING"/>
    <s v="CANDEIAS"/>
    <s v="Additives"/>
    <s v="Domestic"/>
    <s v="11/2026"/>
    <s v="2026"/>
  </r>
  <r>
    <n v="11"/>
    <x v="10"/>
    <n v="7097"/>
    <s v="MOSAIC - S?O FRANCISCO SUL"/>
    <n v="14133"/>
    <s v="SC"/>
    <s v="START ANTIDUSTING SC AD IBC ADITIVO ANTI PO P/ FERTILIZANTES"/>
    <n v="13200"/>
    <n v="13200"/>
    <n v="35640"/>
    <n v="-4276.8"/>
    <n v="31363.200000000001"/>
    <n v="-15296.11415568863"/>
    <n v="-10600.245792416279"/>
    <n v="-5.276642606552322"/>
    <n v="5461.5634092885384"/>
    <n v="0.17413922716076607"/>
    <n v="2.7"/>
    <n v="2.7"/>
    <n v="100100"/>
    <s v="START ANTIDUSTING"/>
    <s v="SAO FRANCISCO DO SUL"/>
    <s v="Additives"/>
    <s v="Domestic"/>
    <s v="11/2026"/>
    <s v="2026"/>
  </r>
  <r>
    <n v="11"/>
    <x v="10"/>
    <n v="16951"/>
    <s v="3 TENTOS - SANTA BARBARA DO SUL"/>
    <n v="1"/>
    <s v="RS"/>
    <s v="START ANTIDUSTING KG ADITIVO ANTI PO P/ FERTILIZANTES"/>
    <n v="30000"/>
    <n v="30000"/>
    <n v="90000"/>
    <n v="-10800"/>
    <n v="79200"/>
    <n v="-21763.572000000004"/>
    <n v="0"/>
    <n v="0"/>
    <n v="57436.428"/>
    <n v="0.72520742424242424"/>
    <n v="3"/>
    <n v="3"/>
    <n v="100100"/>
    <s v="START ANTIDUSTING"/>
    <s v="SANTA BARBARA DO SUL"/>
    <s v="Additives"/>
    <s v="Domestic"/>
    <s v="11/2026"/>
    <s v="2026"/>
  </r>
  <r>
    <n v="11"/>
    <x v="10"/>
    <n v="820"/>
    <s v="EMPRESA BRASILEIRA DE TEL S/A"/>
    <n v="1043"/>
    <s v="MG"/>
    <s v="START ANTIDUSTING SC AD ADITIVO ANTI PO P/ FERTILIZANTES"/>
    <n v="120000"/>
    <n v="120000"/>
    <n v="283200"/>
    <n v="-72456.72"/>
    <n v="210743.28"/>
    <n v="-48203.524705882344"/>
    <n v="0"/>
    <n v="0"/>
    <n v="162539.75529411767"/>
    <n v="0.77126898325829263"/>
    <n v="2.36"/>
    <n v="2.36"/>
    <n v="100100"/>
    <s v="START ANTIDUSTING"/>
    <s v="BELO HORIZONTE"/>
    <s v="Additives"/>
    <s v="Domestic"/>
    <s v="11/2026"/>
    <s v="2026"/>
  </r>
  <r>
    <n v="11"/>
    <x v="10"/>
    <n v="7022"/>
    <s v="MOSAIC - ROSARIO DO CATETE"/>
    <n v="1043"/>
    <s v="SE"/>
    <s v="START ANTIDUSTING SC AD ADITIVO ANTI PO P/ FERTILIZANTES"/>
    <n v="180000"/>
    <n v="180000"/>
    <n v="433800"/>
    <n v="-30366.000000000004"/>
    <n v="403434"/>
    <n v="-72305.287058823524"/>
    <n v="-151269.0064704"/>
    <n v="-75.299431751252541"/>
    <n v="179784.40703902525"/>
    <n v="0.44563523907014591"/>
    <n v="2.41"/>
    <n v="2.41"/>
    <n v="100100"/>
    <s v="START ANTIDUSTING"/>
    <s v="ROSARIO DO CATETE"/>
    <s v="Additives"/>
    <s v="Domestic"/>
    <s v="11/2026"/>
    <s v="2026"/>
  </r>
  <r>
    <n v="11"/>
    <x v="10"/>
    <n v="1152"/>
    <s v="ADUBOS BOA SAFRA - ITUMBIARA"/>
    <n v="1043"/>
    <s v="GO"/>
    <s v="START ANTIDUSTING SC AD ADITIVO ANTI PO P/ FERTILIZANTES"/>
    <n v="15000"/>
    <n v="15000"/>
    <n v="30000"/>
    <n v="-2100"/>
    <n v="27900"/>
    <n v="-6025.440588235293"/>
    <n v="-2873.13"/>
    <n v="-1.4302008150612806"/>
    <n v="18999.999210949642"/>
    <n v="0.68100355594801587"/>
    <n v="2"/>
    <n v="2"/>
    <n v="100100"/>
    <s v="START ANTIDUSTING"/>
    <s v="ITUMBIARA"/>
    <s v="Additives"/>
    <s v="Domestic"/>
    <s v="11/2026"/>
    <s v="2026"/>
  </r>
  <r>
    <n v="11"/>
    <x v="10"/>
    <n v="16652"/>
    <s v="FERTIPAR - ARCEBURGO"/>
    <n v="1042"/>
    <s v="MG"/>
    <s v="START ANTIDUSTING KG AD ADITIVO ANTI PO P/ FERTILIZANTES"/>
    <n v="30000"/>
    <n v="30000"/>
    <n v="51000"/>
    <n v="-9180"/>
    <n v="41820"/>
    <n v="-16216.018000000004"/>
    <n v="0"/>
    <n v="0"/>
    <n v="25603.981999999996"/>
    <n v="0.6122425155428024"/>
    <n v="1.7"/>
    <n v="1.7"/>
    <n v="100100"/>
    <s v="START ANTIDUSTING"/>
    <s v="ARCEBURGO"/>
    <s v="Additives"/>
    <s v="Domestic"/>
    <s v="11/2026"/>
    <s v="2026"/>
  </r>
  <r>
    <n v="11"/>
    <x v="10"/>
    <n v="2287"/>
    <s v="BUNGE PARAGUAY S.A"/>
    <n v="4067"/>
    <s v="EX"/>
    <s v="DUSTPROTEC BLACK PLUS ADITIVO ANTI PO P/ FERTILIZANTES"/>
    <n v="30000"/>
    <n v="30000"/>
    <n v="159000"/>
    <n v="0"/>
    <n v="159000"/>
    <n v="-46215.96"/>
    <n v="-35721.999999999898"/>
    <n v="-10717.961240979113"/>
    <n v="66344.078759020995"/>
    <n v="0.41725835697497482"/>
    <n v="5.3"/>
    <n v="5.3"/>
    <n v="100100"/>
    <s v="START ANTIDUSTING"/>
    <s v="SAN JUAN DEL PARANA"/>
    <s v="Additives"/>
    <s v="International"/>
    <s v="11/2026"/>
    <s v="2026"/>
  </r>
  <r>
    <n v="11"/>
    <x v="10"/>
    <n v="6315"/>
    <s v="ONNO LOGISTICA  LTDA"/>
    <n v="13954"/>
    <s v="MT"/>
    <s v="DUSTPRO - ADITIVO ANTI PO P/ FERTILIZANTES"/>
    <n v="120000"/>
    <n v="120000"/>
    <n v="180000"/>
    <n v="0"/>
    <n v="180000"/>
    <n v="-42302.680000000008"/>
    <n v="-47923.808400000002"/>
    <n v="-23.855749595222161"/>
    <n v="89749.655850404772"/>
    <n v="0.49860919916891538"/>
    <n v="1.5"/>
    <n v="1.5"/>
    <n v="100100"/>
    <s v="START ANTIDUSTING"/>
    <s v="RONDONOPOLIS"/>
    <s v="Additives"/>
    <s v="Domestic"/>
    <s v="11/2026"/>
    <s v="2026"/>
  </r>
  <r>
    <n v="11"/>
    <x v="10"/>
    <n v="7648"/>
    <s v="LOUIS DREYFUS - PARANAGUA"/>
    <n v="14133"/>
    <s v="PR"/>
    <s v="START ANTIDUSTING SC AD IBC ADITIVO ANTI PO P/ FERTILIZANTES"/>
    <n v="13200"/>
    <n v="13200"/>
    <n v="37092"/>
    <n v="-4451.04"/>
    <n v="32640.959999999999"/>
    <n v="-15296.11415568863"/>
    <n v="-9623.6718130238405"/>
    <n v="-4.790518796876218"/>
    <n v="7716.3835124906536"/>
    <n v="0.23640185559771079"/>
    <n v="2.81"/>
    <n v="2.81"/>
    <n v="100100"/>
    <s v="START ANTIDUSTING"/>
    <s v="PARANAGUA"/>
    <s v="Additives"/>
    <s v="Domestic"/>
    <s v="11/2026"/>
    <s v="2026"/>
  </r>
  <r>
    <n v="11"/>
    <x v="10"/>
    <n v="16099"/>
    <s v="MOSAIC - PALMEIRANTE"/>
    <n v="1043"/>
    <s v="TO"/>
    <s v="START ANTIDUSTING SC AD ADITIVO ANTI PO P/ FERTILIZANTES"/>
    <n v="30000"/>
    <n v="30000"/>
    <n v="65700"/>
    <n v="-4599"/>
    <n v="61101"/>
    <n v="-12050.881176470586"/>
    <n v="0"/>
    <n v="0"/>
    <n v="49050.11882352941"/>
    <n v="0.80277113015383395"/>
    <n v="2.19"/>
    <n v="2.19"/>
    <n v="100100"/>
    <s v="START ANTIDUSTING"/>
    <s v="PALMEIRANTE"/>
    <s v="Additives"/>
    <s v="Domestic"/>
    <s v="11/2026"/>
    <s v="2026"/>
  </r>
  <r>
    <n v="11"/>
    <x v="10"/>
    <n v="7102"/>
    <s v="MOSAIC RONDONOPOLIS"/>
    <n v="1043"/>
    <s v="MT"/>
    <s v="START ANTIDUSTING SC AD ADITIVO ANTI PO P/ FERTILIZANTES"/>
    <n v="30000"/>
    <n v="30000"/>
    <n v="61200"/>
    <n v="-4284"/>
    <n v="56916"/>
    <n v="-12050.881176470586"/>
    <n v="-11980.9521"/>
    <n v="-5.9639373988055402"/>
    <n v="32878.202786130605"/>
    <n v="0.57766186636676164"/>
    <n v="2.04"/>
    <n v="2.04"/>
    <n v="100100"/>
    <s v="START ANTIDUSTING"/>
    <s v="RONDONOPOLIS"/>
    <s v="Additives"/>
    <s v="Domestic"/>
    <s v="11/2026"/>
    <s v="2026"/>
  </r>
  <r>
    <n v="11"/>
    <x v="10"/>
    <n v="10492"/>
    <s v="UNIFERTIL RIO GRANDE UN1"/>
    <n v="3"/>
    <s v="RS"/>
    <s v="START ANTIDUSTING MH ADITIVO ANTI PO P/ FERTILIZANTES"/>
    <n v="64000"/>
    <n v="64000"/>
    <n v="165760"/>
    <n v="-19891.2"/>
    <n v="145868.79999999999"/>
    <n v="-50204.68"/>
    <n v="-52099.423999999999"/>
    <n v="-25.934308113111221"/>
    <n v="43538.761691886888"/>
    <n v="0.2984789186713464"/>
    <n v="2.59"/>
    <n v="2.59"/>
    <n v="100100"/>
    <s v="START ANTIDUSTING"/>
    <s v="RIO GRANDE"/>
    <s v="Additives"/>
    <s v="Domestic"/>
    <s v="11/2026"/>
    <s v="2026"/>
  </r>
  <r>
    <n v="11"/>
    <x v="10"/>
    <n v="2975"/>
    <s v="COONAGRO COOPERATIVA - PARANAGUA"/>
    <n v="4"/>
    <s v="PR"/>
    <s v="START ANTIDUSTING G37 ADITIVO ANTI PO P/ FERTILIZANTES"/>
    <n v="15000"/>
    <n v="15000"/>
    <n v="59850"/>
    <n v="-7182"/>
    <n v="52668"/>
    <n v="-14681.250000000002"/>
    <n v="-10935.990696618001"/>
    <n v="-5.4437713600866111"/>
    <n v="27045.315532021916"/>
    <n v="0.51350564919917052"/>
    <n v="3.99"/>
    <n v="3.99"/>
    <n v="100100"/>
    <s v="START ANTIDUSTING"/>
    <s v="PARANAGUA"/>
    <s v="Additives"/>
    <s v="Domestic"/>
    <s v="11/2026"/>
    <s v="2026"/>
  </r>
  <r>
    <n v="11"/>
    <x v="10"/>
    <n v="466"/>
    <s v="ADUBOS ARAGUAIA - SORRISO"/>
    <n v="1"/>
    <s v="MT"/>
    <s v="START ANTIDUSTING KG ADITIVO ANTI PO P/ FERTILIZANTES"/>
    <n v="30000"/>
    <n v="30000"/>
    <n v="72900"/>
    <n v="-5103.0000000000009"/>
    <n v="67797"/>
    <n v="-21763.572000000004"/>
    <n v="-21002.580299999998"/>
    <n v="-10.45476795809796"/>
    <n v="25020.392932041905"/>
    <n v="0.36904867371774419"/>
    <n v="2.4300000000000002"/>
    <n v="2.4300000000000002"/>
    <n v="100100"/>
    <s v="START ANTIDUSTING"/>
    <s v="SORRISO"/>
    <s v="Additives"/>
    <s v="Domestic"/>
    <s v="11/2026"/>
    <s v="2026"/>
  </r>
  <r>
    <n v="11"/>
    <x v="10"/>
    <n v="43"/>
    <s v="CIBRA - CAMACARI"/>
    <n v="148"/>
    <s v="BA"/>
    <s v="START ANTIDUSTING BLACK ADITIVO ANTI PO P/ FERTILIZANTES"/>
    <n v="120000"/>
    <n v="120000"/>
    <n v="284400"/>
    <n v="-19908.000000000004"/>
    <n v="264492"/>
    <n v="-80635.375862068977"/>
    <n v="-83049.650611200006"/>
    <n v="-41.340864490883753"/>
    <n v="100765.63266224015"/>
    <n v="0.38097799805756"/>
    <n v="2.37"/>
    <n v="2.37"/>
    <n v="100100"/>
    <s v="START ANTIDUSTING"/>
    <s v="CAMACARI"/>
    <s v="Additives"/>
    <s v="Domestic"/>
    <s v="11/2026"/>
    <s v="2026"/>
  </r>
  <r>
    <n v="11"/>
    <x v="10"/>
    <n v="452"/>
    <s v="FERTIPAR - S?O LUIS DO MARANH?O"/>
    <n v="2"/>
    <s v="MA"/>
    <s v="START ANTIDUSTING SC ADITIVO ANTI PO P/ FERTILIZANTES"/>
    <n v="128000"/>
    <n v="128000"/>
    <n v="303360"/>
    <n v="-21235.200000000001"/>
    <n v="282124.79999999999"/>
    <n v="-81238.454468085096"/>
    <n v="-112902.51647999999"/>
    <n v="-56.201171228648079"/>
    <n v="87927.627880686268"/>
    <n v="0.31166217177889455"/>
    <n v="2.37"/>
    <n v="2.37"/>
    <n v="100100"/>
    <s v="START ANTIDUSTING"/>
    <s v="SAO LUIS"/>
    <s v="Additives"/>
    <s v="Domestic"/>
    <s v="11/2026"/>
    <s v="2026"/>
  </r>
  <r>
    <n v="11"/>
    <x v="10"/>
    <n v="10598"/>
    <s v="GEN FERTILIZANTES - BOM JESUS 2"/>
    <n v="1043"/>
    <s v="GO"/>
    <s v="START ANTIDUSTING SC AD ADITIVO ANTI PO P/ FERTILIZANTES"/>
    <n v="15000"/>
    <n v="15000"/>
    <n v="22500"/>
    <n v="-1575.0000000000002"/>
    <n v="20925"/>
    <n v="-6025.440588235293"/>
    <n v="-3845.8221984000002"/>
    <n v="-1.9143923326589629"/>
    <n v="11051.822821032049"/>
    <n v="0.52816357567656147"/>
    <n v="1.5"/>
    <n v="1.5"/>
    <n v="100100"/>
    <s v="START ANTIDUSTING"/>
    <s v="BOM JESUS"/>
    <s v="Additives"/>
    <s v="Domestic"/>
    <s v="11/2026"/>
    <s v="2026"/>
  </r>
  <r>
    <n v="11"/>
    <x v="10"/>
    <n v="7479"/>
    <s v="MOSAIC - CUBAT?O"/>
    <n v="1043"/>
    <s v="SP"/>
    <s v="START ANTIDUSTING SC AD ADITIVO ANTI PO P/ FERTILIZANTES"/>
    <n v="30000"/>
    <n v="30000"/>
    <n v="64800"/>
    <n v="-7776"/>
    <n v="57024"/>
    <n v="-12050.881176470586"/>
    <n v="0"/>
    <n v="0"/>
    <n v="44973.11882352941"/>
    <n v="0.78867001303888551"/>
    <n v="2.16"/>
    <n v="2.16"/>
    <n v="100100"/>
    <s v="START ANTIDUSTING"/>
    <s v="CUBATAO"/>
    <s v="Additives"/>
    <s v="Domestic"/>
    <s v="11/2026"/>
    <s v="2026"/>
  </r>
  <r>
    <n v="11"/>
    <x v="10"/>
    <n v="729"/>
    <s v="FERTILIZ. TOCANTINS - S?O LUIS"/>
    <n v="113"/>
    <s v="MA"/>
    <s v="MEGAMICRO ADITIVO P/ SUSPENS?O DE MICRONUTRIENTES"/>
    <n v="30000"/>
    <n v="30000"/>
    <n v="86700"/>
    <n v="-6069.0000000000009"/>
    <n v="80631"/>
    <n v="-27044.233576642335"/>
    <n v="-26461.527299999998"/>
    <n v="-13.172149506714394"/>
    <n v="27112.066973850953"/>
    <n v="0.33624867574321232"/>
    <n v="2.89"/>
    <n v="2.89"/>
    <n v="100200"/>
    <s v="ADITIVO MEGAMICRO"/>
    <s v="SAO LUIS"/>
    <s v="Additives"/>
    <s v="Domestic"/>
    <s v="11/2026"/>
    <s v="2026"/>
  </r>
  <r>
    <n v="11"/>
    <x v="10"/>
    <n v="252"/>
    <s v="FERTIPAR - PARANAGUA"/>
    <n v="10343"/>
    <s v="PR"/>
    <s v="MEGAMICRO BLACK ADITIVO P/ SUSPENS?O DE MICRONUTRIENTES"/>
    <n v="30000"/>
    <n v="30000"/>
    <n v="112800"/>
    <n v="-13536"/>
    <n v="99264"/>
    <n v="-52126.35"/>
    <n v="-14049.6057"/>
    <n v="-6.9936819856496619"/>
    <n v="33081.050618014349"/>
    <n v="0.33326332424659844"/>
    <n v="3.76"/>
    <n v="3.76"/>
    <n v="100200"/>
    <s v="ADITIVO MEGAMICRO"/>
    <s v="PARANAGUA"/>
    <s v="Additives"/>
    <s v="Domestic"/>
    <s v="11/2026"/>
    <s v="2026"/>
  </r>
  <r>
    <n v="11"/>
    <x v="10"/>
    <n v="214"/>
    <s v="UNIFERTIL - CANOAS UN1"/>
    <n v="113"/>
    <s v="RS"/>
    <s v="MEGAMICRO ADITIVO P/ SUSPENS?O DE MICRONUTRIENTES"/>
    <n v="60000"/>
    <n v="60000"/>
    <n v="185400"/>
    <n v="-22248"/>
    <n v="163152"/>
    <n v="-54088.46715328467"/>
    <n v="-48383.509199999993"/>
    <n v="-24.08458172563196"/>
    <n v="60655.939064989703"/>
    <n v="0.37177563906657413"/>
    <n v="3.09"/>
    <n v="3.09"/>
    <n v="100200"/>
    <s v="ADITIVO MEGAMICRO"/>
    <s v="CANOAS"/>
    <s v="Additives"/>
    <s v="Domestic"/>
    <s v="11/2026"/>
    <s v="2026"/>
  </r>
  <r>
    <n v="11"/>
    <x v="10"/>
    <n v="456"/>
    <s v="FERTIPAR - CANDEIAS"/>
    <n v="113"/>
    <s v="BA"/>
    <s v="MEGAMICRO ADITIVO P/ SUSPENS?O DE MICRONUTRIENTES"/>
    <n v="30000"/>
    <n v="30000"/>
    <n v="100200"/>
    <n v="-7014.0000000000009"/>
    <n v="93186"/>
    <n v="-27044.233576642335"/>
    <n v="-21548.474999999999"/>
    <n v="-10.726506112959605"/>
    <n v="44582.564917244708"/>
    <n v="0.4784255673303362"/>
    <n v="3.34"/>
    <n v="3.34"/>
    <n v="100200"/>
    <s v="ADITIVO MEGAMICRO"/>
    <s v="CANDEIAS"/>
    <s v="Additives"/>
    <s v="Domestic"/>
    <s v="11/2026"/>
    <s v="2026"/>
  </r>
  <r>
    <n v="11"/>
    <x v="10"/>
    <n v="10492"/>
    <s v="UNIFERTIL RIO GRANDE UN1"/>
    <n v="113"/>
    <s v="RS"/>
    <s v="MEGAMICRO ADITIVO P/ SUSPENS?O DE MICRONUTRIENTES"/>
    <n v="64000"/>
    <n v="64000"/>
    <n v="197760"/>
    <n v="-23731.200000000001"/>
    <n v="174028.79999999999"/>
    <n v="-57694.364963503642"/>
    <n v="-52099.423999999999"/>
    <n v="-25.934308113111221"/>
    <n v="64209.076728383239"/>
    <n v="0.36895661366614746"/>
    <n v="3.09"/>
    <n v="3.09"/>
    <n v="100200"/>
    <s v="ADITIVO MEGAMICRO"/>
    <s v="RIO GRANDE"/>
    <s v="Additives"/>
    <s v="Domestic"/>
    <s v="11/2026"/>
    <s v="2026"/>
  </r>
  <r>
    <n v="11"/>
    <x v="10"/>
    <n v="14632"/>
    <s v="BIGFERTIL - CANDEIAS"/>
    <n v="113"/>
    <s v="BA"/>
    <s v="MEGAMICRO ADITIVO P/ SUSPENS?O DE MICRONUTRIENTES"/>
    <n v="30000"/>
    <n v="30000"/>
    <n v="109500"/>
    <n v="-7665.0000000000009"/>
    <n v="101835"/>
    <n v="-27044.233576642335"/>
    <n v="-21548.474999999999"/>
    <n v="-10.726506112959605"/>
    <n v="53231.564917244708"/>
    <n v="0.52272366983104734"/>
    <n v="3.65"/>
    <n v="3.65"/>
    <n v="100200"/>
    <s v="ADITIVO MEGAMICRO"/>
    <s v="CANDEIAS"/>
    <s v="Additives"/>
    <s v="Domestic"/>
    <s v="11/2026"/>
    <s v="2026"/>
  </r>
  <r>
    <n v="11"/>
    <x v="10"/>
    <n v="452"/>
    <s v="FERTIPAR - S?O LUIS DO MARANH?O"/>
    <n v="113"/>
    <s v="MA"/>
    <s v="MEGAMICRO ADITIVO P/ SUSPENS?O DE MICRONUTRIENTES"/>
    <n v="60000"/>
    <n v="60000"/>
    <n v="211200"/>
    <n v="-14784.000000000002"/>
    <n v="196416"/>
    <n v="-54088.46715328467"/>
    <n v="-52923.054599999996"/>
    <n v="-26.344299013428788"/>
    <n v="89378.133947701892"/>
    <n v="0.45504507752780776"/>
    <n v="3.52"/>
    <n v="3.52"/>
    <n v="100200"/>
    <s v="ADITIVO MEGAMICRO"/>
    <s v="SAO LUIS"/>
    <s v="Additives"/>
    <s v="Domestic"/>
    <s v="11/2026"/>
    <s v="2026"/>
  </r>
  <r>
    <n v="13"/>
    <x v="10"/>
    <n v="1705"/>
    <s v="ADUBOS SUDOESTE - PARANAGUA"/>
    <n v="8214"/>
    <s v="PR"/>
    <s v="UREMAX NBPT AZUL ADITIVO INIBIDOR DE UREASE P/ FERTILIZANTES"/>
    <n v="12000"/>
    <n v="12000"/>
    <n v="276316.62379867869"/>
    <n v="-33120"/>
    <n v="243196.62379867869"/>
    <n v="-132942.25787234041"/>
    <n v="-9901.2479999999723"/>
    <n v="-4.9286920395957834"/>
    <n v="100348.1892342987"/>
    <n v="0.41262163786191469"/>
    <n v="23.026385316556556"/>
    <n v="23.026385316556556"/>
    <n v="100300"/>
    <s v="UREMAX"/>
    <s v="PARANAGUA"/>
    <s v="Additives"/>
    <s v="Domestic"/>
    <s v="11/2026"/>
    <s v="2026"/>
  </r>
  <r>
    <n v="13"/>
    <x v="10"/>
    <n v="7662"/>
    <s v="BENTONIT UNIAO - BOA VISTA"/>
    <n v="7"/>
    <s v="PB"/>
    <s v="UREMAX NBPT ADITIVO INIBIDOR DE UREASE P/ FERTILIZANTES"/>
    <n v="3000"/>
    <n v="3000"/>
    <n v="117164.25537376582"/>
    <n v="-18259.605750000002"/>
    <n v="98904.649623765814"/>
    <n v="-26308.829999999998"/>
    <n v="0"/>
    <n v="0"/>
    <n v="72595.819623765812"/>
    <n v="0.73399804660267209"/>
    <n v="39.054751791255271"/>
    <n v="39.054751791255271"/>
    <n v="100300"/>
    <s v="UREMAX"/>
    <s v="BOA VISTA "/>
    <s v="Additives"/>
    <s v="Domestic"/>
    <s v="11/2026"/>
    <s v="2026"/>
  </r>
  <r>
    <n v="13"/>
    <x v="10"/>
    <n v="7420"/>
    <s v="SAFRA FERTILIZANTES - ALFENAS"/>
    <n v="8215"/>
    <s v="MG"/>
    <s v="UREMAX NBPT VERDE ADITIVO INIBIDOR DE UREASE P/ FERTILIZANTES"/>
    <n v="2000"/>
    <n v="2000"/>
    <n v="92485.977197543252"/>
    <n v="-16628.399999999998"/>
    <n v="75857.577197543258"/>
    <n v="-26744.649210526317"/>
    <n v="-6023.9958999999999"/>
    <n v="-2.9986543755784849"/>
    <n v="43085.933432641359"/>
    <n v="0.56798457088129561"/>
    <n v="46.242988598771625"/>
    <n v="46.242988598771625"/>
    <n v="100300"/>
    <s v="UREMAX"/>
    <s v="ALFENAS "/>
    <s v="Additives"/>
    <s v="Domestic"/>
    <s v="11/2026"/>
    <s v="2026"/>
  </r>
  <r>
    <n v="13"/>
    <x v="10"/>
    <n v="6382"/>
    <s v="FERTYMEND - EQUADOR"/>
    <n v="8201"/>
    <s v="EX"/>
    <s v="NITROPROTEC GREEN - ADITIVO INIBIDOR DE UREASE P/ FERTILIZANTE NITROGENADO"/>
    <n v="1100"/>
    <n v="1100"/>
    <n v="58366.881041532492"/>
    <n v="0"/>
    <n v="58366.881041532492"/>
    <n v="-22437.737500000003"/>
    <n v="-9409.0740480000004"/>
    <n v="-397.02360541325106"/>
    <n v="26123.045888119235"/>
    <n v="0.44756624685034468"/>
    <n v="53.060800946847721"/>
    <n v="53.060800946847721"/>
    <n v="100300"/>
    <s v="UREMAX"/>
    <s v="QUITO"/>
    <s v="Additives"/>
    <s v="International"/>
    <s v="11/2026"/>
    <s v="2026"/>
  </r>
  <r>
    <n v="13"/>
    <x v="10"/>
    <n v="2925"/>
    <s v="COPEVAL - CHILE"/>
    <n v="8208"/>
    <s v="EX"/>
    <s v="NITROPROTEC DUO BLUE - ADITIVO P/ INIBIR A NITRIFICACAO E VOLATIZACAO PARA FERTILIZANTES"/>
    <n v="1000"/>
    <n v="1000"/>
    <n v="58366.881041532492"/>
    <n v="0"/>
    <n v="58366.881041532492"/>
    <n v="-13114.6"/>
    <n v="0"/>
    <n v="-356.67264559068224"/>
    <n v="44895.60839594181"/>
    <n v="0.76919663334409039"/>
    <n v="58.366881041532494"/>
    <n v="58.366881041532494"/>
    <n v="100300"/>
    <s v="UREMAX"/>
    <s v="SAN FERNANDO"/>
    <s v="Additives"/>
    <s v="International"/>
    <s v="11/2026"/>
    <s v="2026"/>
  </r>
  <r>
    <n v="13"/>
    <x v="10"/>
    <n v="11212"/>
    <s v="INPEK FERTILIZANTES - PARANAGUA"/>
    <n v="8224"/>
    <s v="PR"/>
    <s v="UREMAX COAT VERDE ADITIVO INIBIDOR DE UREASE P/ FERTILIZANTES"/>
    <n v="4000"/>
    <n v="4000"/>
    <n v="97311.506642143358"/>
    <n v="-11664"/>
    <n v="85647.506642143358"/>
    <n v="-26791.885000000002"/>
    <n v="-9901.2479999999723"/>
    <n v="-4.9286920395957834"/>
    <n v="48949.444950103789"/>
    <n v="0.57152212445164086"/>
    <n v="24.327876660535839"/>
    <n v="24.327876660535839"/>
    <n v="100300"/>
    <s v="UREMAX"/>
    <s v="PARANAGUA"/>
    <s v="Additives"/>
    <s v="Domestic"/>
    <s v="11/2026"/>
    <s v="2026"/>
  </r>
  <r>
    <n v="13"/>
    <x v="10"/>
    <n v="12972"/>
    <s v="INVICTA FERTILIZER - RIO GRANDE"/>
    <n v="8217"/>
    <s v="RS"/>
    <s v="UREMAX NBPT AMARELO ADITIVO INIBIDOR DE UREASE P/ FERTILIZANTES"/>
    <n v="5000"/>
    <n v="5000"/>
    <n v="126094.48828783905"/>
    <n v="-15114"/>
    <n v="110980.48828783905"/>
    <n v="-79952.967605633821"/>
    <n v="-14498.255999999972"/>
    <n v="-7.2170133436938322"/>
    <n v="16522.047668861564"/>
    <n v="0.14887344544754544"/>
    <n v="25.218897657567808"/>
    <n v="25.218897657567808"/>
    <n v="100300"/>
    <s v="UREMAX"/>
    <s v="RIO GRANDE"/>
    <s v="Additives"/>
    <s v="Domestic"/>
    <s v="11/2026"/>
    <s v="2026"/>
  </r>
  <r>
    <n v="13"/>
    <x v="10"/>
    <n v="5053"/>
    <s v="ADUBOS ARAGUAIA - CONFRESA"/>
    <n v="8214"/>
    <s v="MT"/>
    <s v="UREMAX NBPT AZUL ADITIVO INIBIDOR DE UREASE P/ FERTILIZANTES"/>
    <n v="5000"/>
    <n v="5000"/>
    <n v="199178.23298821421"/>
    <n v="-13926.500000000002"/>
    <n v="185251.73298821421"/>
    <n v="-55392.607446808506"/>
    <n v="-11315.712000000007"/>
    <n v="-5.6327909023952012"/>
    <n v="118537.7807505033"/>
    <n v="0.63987407209866543"/>
    <n v="39.835646597642842"/>
    <n v="39.835646597642842"/>
    <n v="100300"/>
    <s v="UREMAX"/>
    <s v="CONFRESA"/>
    <s v="Additives"/>
    <s v="Domestic"/>
    <s v="11/2026"/>
    <s v="2026"/>
  </r>
  <r>
    <n v="13"/>
    <x v="10"/>
    <n v="11133"/>
    <s v="ADUBOS ARAGUAIA - PARANAGUA"/>
    <n v="8214"/>
    <s v="PR"/>
    <s v="UREMAX NBPT AZUL ADITIVO INIBIDOR DE UREASE P/ FERTILIZANTES"/>
    <n v="4000"/>
    <n v="4000"/>
    <n v="152174.37252680855"/>
    <n v="-18240"/>
    <n v="133934.37252680855"/>
    <n v="-44314.085957446805"/>
    <n v="-9901.2479999999723"/>
    <n v="-4.9286920395957834"/>
    <n v="79714.109877322175"/>
    <n v="0.59517290724878302"/>
    <n v="38.043593131702139"/>
    <n v="38.043593131702139"/>
    <n v="100300"/>
    <s v="UREMAX"/>
    <s v="PARANAGUA"/>
    <s v="Additives"/>
    <s v="Domestic"/>
    <s v="11/2026"/>
    <s v="2026"/>
  </r>
  <r>
    <n v="13"/>
    <x v="10"/>
    <n v="3232"/>
    <s v="FERTILIZ. TOCANTINS - ARAGUARI"/>
    <n v="8217"/>
    <s v="MG"/>
    <s v="UREMAX NBPT AMARELO ADITIVO INIBIDOR DE UREASE P/ FERTILIZANTES"/>
    <n v="12000"/>
    <n v="12000"/>
    <n v="504578.18258889148"/>
    <n v="-90720"/>
    <n v="413858.18258889148"/>
    <n v="-191887.12225352114"/>
    <n v="-1856.4839999999992"/>
    <n v="-0.92412975742421166"/>
    <n v="220113.65220561292"/>
    <n v="0.53185767846534071"/>
    <n v="42.048181882407626"/>
    <n v="42.048181882407626"/>
    <n v="100300"/>
    <s v="UREMAX"/>
    <s v="ARAGUARI"/>
    <s v="Additives"/>
    <s v="Domestic"/>
    <s v="11/2026"/>
    <s v="2026"/>
  </r>
  <r>
    <n v="13"/>
    <x v="10"/>
    <n v="10891"/>
    <s v="HINOVE - RIO BRILHANTE"/>
    <n v="8214"/>
    <s v="MS"/>
    <s v="UREMAX NBPT AZUL ADITIVO INIBIDOR DE UREASE P/ FERTILIZANTES"/>
    <n v="4000"/>
    <n v="4000"/>
    <n v="124542.71014694068"/>
    <n v="-8708"/>
    <n v="115834.71014694068"/>
    <n v="-44314.085957446805"/>
    <n v="-7691.1480000000047"/>
    <n v="-3.8285375664717378"/>
    <n v="63825.6476519274"/>
    <n v="0.5510062361356296"/>
    <n v="31.135677536735169"/>
    <n v="31.135677536735169"/>
    <n v="100300"/>
    <s v="UREMAX"/>
    <s v="RIO BRILHANTE"/>
    <s v="Additives"/>
    <s v="Domestic"/>
    <s v="11/2026"/>
    <s v="2026"/>
  </r>
  <r>
    <n v="13"/>
    <x v="10"/>
    <n v="7648"/>
    <s v="LOUIS DREYFUS - PARANAGUA"/>
    <n v="8215"/>
    <s v="PR"/>
    <s v="UREMAX NBPT VERDE ADITIVO INIBIDOR DE UREASE P/ FERTILIZANTES"/>
    <n v="6000"/>
    <n v="6000"/>
    <n v="203032.64966076825"/>
    <n v="-24336"/>
    <n v="178696.64966076825"/>
    <n v="-80233.947631578951"/>
    <n v="-9901.2479999999723"/>
    <n v="-4.9286920395957834"/>
    <n v="88556.525337149724"/>
    <n v="0.49556903000287061"/>
    <n v="33.838774943461374"/>
    <n v="33.838774943461374"/>
    <n v="100300"/>
    <s v="UREMAX"/>
    <s v="PARANAGUA"/>
    <s v="Additives"/>
    <s v="Domestic"/>
    <s v="11/2026"/>
    <s v="2026"/>
  </r>
  <r>
    <n v="13"/>
    <x v="10"/>
    <n v="10492"/>
    <s v="UNIFERTIL RIO GRANDE UN1"/>
    <n v="8216"/>
    <s v="RS"/>
    <s v="UREMAX NBPT ROXO ADITIVO INIBIDOR DE UREASE P/ FERTILIZANTES"/>
    <n v="24000"/>
    <n v="24000"/>
    <n v="746535.43490651704"/>
    <n v="-89481.599999999991"/>
    <n v="657053.83490651706"/>
    <n v="-228901.05"/>
    <n v="-25187.772999999997"/>
    <n v="-12.538093812037225"/>
    <n v="402952.47381270502"/>
    <n v="0.61327162616748965"/>
    <n v="31.105643121104876"/>
    <n v="31.105643121104876"/>
    <n v="100300"/>
    <s v="UREMAX"/>
    <s v="RIO GRANDE"/>
    <s v="Additives"/>
    <s v="Domestic"/>
    <s v="11/2026"/>
    <s v="2026"/>
  </r>
  <r>
    <n v="13"/>
    <x v="10"/>
    <n v="4254"/>
    <s v="GEES FERTILIZANTES - S?O LUIS"/>
    <n v="8218"/>
    <s v="MA"/>
    <s v="UREMAX NBPT LARANJA ADITIVO INIBIDOR DE UREASE P/ FERTILIZANTES"/>
    <n v="12000"/>
    <n v="12000"/>
    <n v="300344.15630291158"/>
    <n v="-21000.000000000004"/>
    <n v="279344.15630291158"/>
    <n v="-123530.67399999998"/>
    <n v="-19802.496000000036"/>
    <n v="-9.857384079191613"/>
    <n v="136001.12891883234"/>
    <n v="0.48685868614110978"/>
    <n v="25.0286796919093"/>
    <n v="25.0286796919093"/>
    <n v="100300"/>
    <s v="UREMAX"/>
    <s v="SAO LUIS"/>
    <s v="Additives"/>
    <s v="Domestic"/>
    <s v="11/2026"/>
    <s v="2026"/>
  </r>
  <r>
    <n v="13"/>
    <x v="10"/>
    <n v="2011"/>
    <s v="FERTGROW S.A"/>
    <n v="8224"/>
    <s v="MA"/>
    <s v="UREMAX COAT VERDE ADITIVO INIBIDOR DE UREASE P/ FERTILIZANTES"/>
    <n v="24000"/>
    <n v="24000"/>
    <n v="492804.69166181737"/>
    <n v="-34456.800000000003"/>
    <n v="458347.89166181738"/>
    <n v="-160751.31"/>
    <n v="-28539.757999999998"/>
    <n v="-14.206661429608721"/>
    <n v="269042.61700038781"/>
    <n v="0.58698342873342024"/>
    <n v="20.533528819242392"/>
    <n v="20.533528819242392"/>
    <n v="100300"/>
    <s v="UREMAX"/>
    <s v="SAO LUIS"/>
    <s v="Additives"/>
    <s v="Domestic"/>
    <s v="11/2026"/>
    <s v="2026"/>
  </r>
  <r>
    <n v="13"/>
    <x v="10"/>
    <n v="215"/>
    <s v="UNIFERTIL - CANOAS UN2"/>
    <n v="8216"/>
    <s v="RS"/>
    <s v="UREMAX NBPT ROXO ADITIVO INIBIDOR DE UREASE P/ FERTILIZANTES"/>
    <n v="24000"/>
    <n v="24000"/>
    <n v="746535.43490651704"/>
    <n v="-89481.599999999991"/>
    <n v="657053.83490651706"/>
    <n v="-228901.05"/>
    <n v="-18675.345000000001"/>
    <n v="-9.2963052978983249"/>
    <n v="409468.14360121917"/>
    <n v="0.62318811921929751"/>
    <n v="31.105643121104876"/>
    <n v="31.105643121104876"/>
    <n v="100300"/>
    <s v="UREMAX"/>
    <s v="CANOAS"/>
    <s v="Additives"/>
    <s v="Domestic"/>
    <s v="11/2026"/>
    <s v="2026"/>
  </r>
  <r>
    <n v="13"/>
    <x v="10"/>
    <n v="14632"/>
    <s v="BIGFERTIL - CANDEIAS"/>
    <n v="8224"/>
    <s v="BA"/>
    <s v="UREMAX COAT VERDE ADITIVO INIBIDOR DE UREASE P/ FERTILIZANTES"/>
    <n v="2000"/>
    <n v="2000"/>
    <n v="48355.409164768767"/>
    <n v="-3381.0000000000005"/>
    <n v="44974.409164768767"/>
    <n v="-13395.942500000001"/>
    <n v="-13083.792000000029"/>
    <n v="-6.5129144808944615"/>
    <n v="18488.161750287843"/>
    <n v="0.41108181505074143"/>
    <n v="24.177704582384383"/>
    <n v="24.177704582384383"/>
    <n v="100300"/>
    <s v="UREMAX"/>
    <s v="CANDEIAS"/>
    <s v="Additives"/>
    <s v="Domestic"/>
    <s v="11/2026"/>
    <s v="2026"/>
  </r>
  <r>
    <n v="13"/>
    <x v="10"/>
    <n v="15749"/>
    <s v="FASS AGRO FERTILIZANTES - SERTAOZINHO"/>
    <n v="8214"/>
    <s v="SP"/>
    <s v="UREMAX NBPT AZUL ADITIVO INIBIDOR DE UREASE P/ FERTILIZANTES"/>
    <n v="10000"/>
    <n v="10000"/>
    <n v="340390.04380996648"/>
    <n v="-40800"/>
    <n v="299590.04380996648"/>
    <n v="-110785.21489361701"/>
    <n v="-3270.947999999998"/>
    <n v="-1.6282286202236107"/>
    <n v="185532.25268772923"/>
    <n v="0.61928711090751243"/>
    <n v="34.039004380996644"/>
    <n v="34.039004380996644"/>
    <n v="100300"/>
    <s v="UREMAX"/>
    <s v="SERTAOZINHO"/>
    <s v="Additives"/>
    <s v="Domestic"/>
    <s v="11/2026"/>
    <s v="2026"/>
  </r>
  <r>
    <n v="13"/>
    <x v="10"/>
    <n v="2346"/>
    <s v="TEPEYAC - MEXICO"/>
    <n v="8214"/>
    <s v="EX"/>
    <s v="UREMAX NBPT AZUL ADITIVO INIBIDOR DE UREASE P/ FERTILIZANTES"/>
    <n v="11000"/>
    <n v="11000"/>
    <n v="525301.92937379237"/>
    <n v="0"/>
    <n v="525301.92937379237"/>
    <n v="-121863.73638297872"/>
    <n v="-13252.310015999999"/>
    <n v="-3929.995901707146"/>
    <n v="386255.88707310648"/>
    <n v="0.73530262402340418"/>
    <n v="47.75472085216294"/>
    <n v="47.75472085216294"/>
    <n v="100300"/>
    <s v="UREMAX"/>
    <s v="OBREGON - MEXICO"/>
    <s v="Additives"/>
    <s v="International"/>
    <s v="11/2026"/>
    <s v="2026"/>
  </r>
  <r>
    <n v="13"/>
    <x v="10"/>
    <n v="12287"/>
    <s v="GEN FERTILIZANTES - BARCARENA"/>
    <n v="8214"/>
    <s v="PA"/>
    <s v="UREMAX NBPT AZUL ADITIVO INIBIDOR DE UREASE P/ FERTILIZANTES"/>
    <n v="24000"/>
    <n v="24000"/>
    <n v="667965.40361767542"/>
    <n v="-46704.000000000007"/>
    <n v="621261.40361767542"/>
    <n v="-265884.51574468083"/>
    <n v="-31768.437837500001"/>
    <n v="-15.813849595533835"/>
    <n v="323592.63618589903"/>
    <n v="0.52086389771130559"/>
    <n v="27.831891817403143"/>
    <n v="27.831891817403143"/>
    <n v="100300"/>
    <s v="UREMAX"/>
    <s v="BARCARENA "/>
    <s v="Additives"/>
    <s v="Domestic"/>
    <s v="11/2026"/>
    <s v="2026"/>
  </r>
  <r>
    <n v="13"/>
    <x v="10"/>
    <n v="97"/>
    <s v="FECOAGRO - SAO FRANCISCO DO SUL"/>
    <n v="8223"/>
    <s v="SC"/>
    <s v="UREMAX PLUS AZUL ADITIVO P/ INIBIR A NITRIFICACAO E VOLATIZACAO P/ FERTILIZANTES"/>
    <n v="12000"/>
    <n v="12000"/>
    <n v="456523.11758042563"/>
    <n v="-54720"/>
    <n v="401803.11758042563"/>
    <n v="-138830.76999999999"/>
    <n v="-9901.2479999999723"/>
    <n v="-4.9286920395957834"/>
    <n v="253066.17088838611"/>
    <n v="0.62982630003544449"/>
    <n v="38.043593131702139"/>
    <n v="38.043593131702139"/>
    <n v="100300"/>
    <s v="UREMAX"/>
    <s v="SAO FRANCISCO DO SUL"/>
    <s v="Additives"/>
    <s v="Domestic"/>
    <s v="11/2026"/>
    <s v="2026"/>
  </r>
  <r>
    <n v="13"/>
    <x v="10"/>
    <n v="1023"/>
    <s v="ADUBOS ARAGUAIA - RONDONOPOLIS"/>
    <n v="8214"/>
    <s v="MT"/>
    <s v="UREMAX NBPT AZUL ADITIVO INIBIDOR DE UREASE P/ FERTILIZANTES"/>
    <n v="12000"/>
    <n v="12000"/>
    <n v="464332.06564430136"/>
    <n v="-32466.000000000004"/>
    <n v="431866.06564430136"/>
    <n v="-132942.25787234041"/>
    <n v="-7602.7439999999997"/>
    <n v="-3.7845313875467728"/>
    <n v="291317.27924057341"/>
    <n v="0.67455468816693642"/>
    <n v="38.694338803691778"/>
    <n v="38.694338803691778"/>
    <n v="100300"/>
    <s v="UREMAX"/>
    <s v="RONDONOPOLIS"/>
    <s v="Additives"/>
    <s v="Domestic"/>
    <s v="11/2026"/>
    <s v="2026"/>
  </r>
  <r>
    <n v="13"/>
    <x v="10"/>
    <n v="2645"/>
    <s v="ANAGRA - CHILE"/>
    <n v="8202"/>
    <s v="EX"/>
    <s v="NITROPROTEC PURPLE - ADITIVO INIBIDOR DE UREASE P/ FERTILIZANTE NITROGENADO"/>
    <n v="1000"/>
    <n v="1000"/>
    <n v="58366.881041532492"/>
    <n v="0"/>
    <n v="58366.881041532492"/>
    <n v="-21762.12"/>
    <n v="0"/>
    <n v="-356.67264559068224"/>
    <n v="36248.088395941806"/>
    <n v="0.62103863953512484"/>
    <n v="58.366881041532494"/>
    <n v="58.366881041532494"/>
    <n v="100300"/>
    <s v="UREMAX"/>
    <s v="SANTIAGO"/>
    <s v="Additives"/>
    <s v="International"/>
    <s v="11/2026"/>
    <s v="2026"/>
  </r>
  <r>
    <n v="13"/>
    <x v="10"/>
    <n v="16951"/>
    <s v="3 TENTOS - SANTA BARBARA DO SUL"/>
    <n v="8218"/>
    <s v="RS"/>
    <s v="UREMAX NBPT LARANJA ADITIVO INIBIDOR DE UREASE P/ FERTILIZANTES"/>
    <n v="12000"/>
    <n v="12000"/>
    <n v="348399.22131137748"/>
    <n v="-41760"/>
    <n v="306639.22131137748"/>
    <n v="-123530.67399999998"/>
    <n v="0"/>
    <n v="0"/>
    <n v="183108.54731137748"/>
    <n v="0.5971465311198384"/>
    <n v="29.033268442614791"/>
    <n v="29.033268442614791"/>
    <n v="100300"/>
    <s v="UREMAX"/>
    <s v="SANTA BARBARA DO SUL"/>
    <s v="Additives"/>
    <s v="Domestic"/>
    <s v="11/2026"/>
    <s v="2026"/>
  </r>
  <r>
    <n v="13"/>
    <x v="10"/>
    <n v="11637"/>
    <s v="AGROPECUARIA MARATA LTDA - MARUIM"/>
    <n v="8224"/>
    <s v="SE"/>
    <s v="UREMAX COAT VERDE ADITIVO INIBIDOR DE UREASE P/ FERTILIZANTES"/>
    <n v="2000"/>
    <n v="2000"/>
    <n v="46253.000070648384"/>
    <n v="-3234.0000000000005"/>
    <n v="43019.000070648384"/>
    <n v="-13395.942500000001"/>
    <n v="0"/>
    <n v="0"/>
    <n v="29623.057570648383"/>
    <n v="0.68860404756037141"/>
    <n v="23.126500035324192"/>
    <n v="23.126500035324192"/>
    <n v="100300"/>
    <s v="UREMAX"/>
    <s v="MARUIM"/>
    <s v="Additives"/>
    <s v="Domestic"/>
    <s v="11/2026"/>
    <s v="2026"/>
  </r>
  <r>
    <n v="13"/>
    <x v="10"/>
    <n v="2609"/>
    <s v="GEES FERTILIZANTES - URUCUI"/>
    <n v="8218"/>
    <s v="PI"/>
    <s v="UREMAX NBPT LARANJA ADITIVO INIBIDOR DE UREASE P/ FERTILIZANTES"/>
    <n v="12000"/>
    <n v="12000"/>
    <n v="300344.15630291158"/>
    <n v="-21000.000000000004"/>
    <n v="279344.15630291158"/>
    <n v="-123530.67399999998"/>
    <n v="-12188.49139872"/>
    <n v="-6.0672473340283073"/>
    <n v="143618.92365685754"/>
    <n v="0.51412897107867872"/>
    <n v="25.0286796919093"/>
    <n v="25.0286796919093"/>
    <n v="100300"/>
    <s v="UREMAX"/>
    <s v="URUCUI"/>
    <s v="Additives"/>
    <s v="Domestic"/>
    <s v="11/2026"/>
    <s v="2026"/>
  </r>
  <r>
    <n v="13"/>
    <x v="10"/>
    <n v="16918"/>
    <s v="FERTZ FERTILIZANTES S/A"/>
    <n v="8225"/>
    <s v="PA"/>
    <s v="UREMAX COAT AZUL ADITIVO INIBIDOR DE UREASE P/ FERTILIZANTES"/>
    <n v="10000"/>
    <n v="10000"/>
    <n v="250286.796919093"/>
    <n v="-17500"/>
    <n v="232786.796919093"/>
    <n v="-62984.756756756768"/>
    <n v="-19714.091999999993"/>
    <n v="-9.8133779002666301"/>
    <n v="150078.13478443597"/>
    <n v="0.64470209122984279"/>
    <n v="25.0286796919093"/>
    <n v="25.0286796919093"/>
    <n v="100300"/>
    <s v="UREMAX"/>
    <s v="BARCARENA "/>
    <s v="Additives"/>
    <s v="Domestic"/>
    <s v="11/2026"/>
    <s v="2026"/>
  </r>
  <r>
    <n v="13"/>
    <x v="10"/>
    <n v="7102"/>
    <s v="MOSAIC RONDONOPOLIS"/>
    <n v="8215"/>
    <s v="MT"/>
    <s v="UREMAX NBPT VERDE ADITIVO INIBIDOR DE UREASE P/ FERTILIZANTES"/>
    <n v="20000"/>
    <n v="20000"/>
    <n v="740848.91888051527"/>
    <n v="-51800.000000000007"/>
    <n v="689048.91888051527"/>
    <n v="-267446.49210526317"/>
    <n v="-11071.1276"/>
    <n v="-5.5110404740361343"/>
    <n v="410525.78813477803"/>
    <n v="0.59578612909189599"/>
    <n v="37.042445944025765"/>
    <n v="37.042445944025765"/>
    <n v="100300"/>
    <s v="UREMAX"/>
    <s v="RONDONOPOLIS"/>
    <s v="Additives"/>
    <s v="Domestic"/>
    <s v="11/2026"/>
    <s v="2026"/>
  </r>
  <r>
    <n v="13"/>
    <x v="10"/>
    <n v="2651"/>
    <s v="AGROBROKERS - COLOMBIA"/>
    <n v="8201"/>
    <s v="EX"/>
    <s v="NITROPROTEC GREEN - ADITIVO INIBIDOR DE UREASE P/ FERTILIZANTE NITROGENADO"/>
    <n v="3300"/>
    <n v="3300"/>
    <n v="182269.85813554795"/>
    <n v="0"/>
    <n v="182269.85813554795"/>
    <n v="-67313.212500000009"/>
    <n v="0"/>
    <n v="-1177.0197304492513"/>
    <n v="113779.6259050987"/>
    <n v="0.62423720009967099"/>
    <n v="55.233290344105441"/>
    <n v="55.233290344105441"/>
    <n v="100300"/>
    <s v="UREMAX"/>
    <s v="SANTA MARTA"/>
    <s v="Additives"/>
    <s v="International"/>
    <s v="11/2026"/>
    <s v="2026"/>
  </r>
  <r>
    <n v="13"/>
    <x v="10"/>
    <n v="2607"/>
    <s v="GEES FERTILIZANTES - BALSAS II"/>
    <n v="8218"/>
    <s v="MA"/>
    <s v="UREMAX NBPT LARANJA ADITIVO INIBIDOR DE UREASE P/ FERTILIZANTES"/>
    <n v="12000"/>
    <n v="12000"/>
    <n v="300344.15630291158"/>
    <n v="-21000.000000000004"/>
    <n v="279344.15630291158"/>
    <n v="-123530.67399999998"/>
    <n v="-14498.255999999972"/>
    <n v="-7.2170133436938322"/>
    <n v="141308.00928956791"/>
    <n v="0.50585632847940509"/>
    <n v="25.0286796919093"/>
    <n v="25.0286796919093"/>
    <n v="100300"/>
    <s v="UREMAX"/>
    <s v="BALSAS "/>
    <s v="Additives"/>
    <s v="Domestic"/>
    <s v="11/2026"/>
    <s v="2026"/>
  </r>
  <r>
    <n v="13"/>
    <x v="10"/>
    <n v="139"/>
    <s v="COMIGO - RIO VERDE"/>
    <n v="8225"/>
    <s v="GO"/>
    <s v="UREMAX COAT AZUL ADITIVO INIBIDOR DE UREASE P/ FERTILIZANTES"/>
    <n v="27000"/>
    <n v="27000"/>
    <n v="696798.44262275554"/>
    <n v="-48720.000000000044"/>
    <n v="648078.44262275554"/>
    <n v="-170058.84324324326"/>
    <n v="-6320.8859999999995"/>
    <n v="-3.1464417931348172"/>
    <n v="471695.56693771912"/>
    <n v="0.7278371504362654"/>
    <n v="25.807349726768724"/>
    <n v="25.807349726768724"/>
    <n v="100300"/>
    <s v="UREMAX"/>
    <s v="RIO VERDE"/>
    <s v="Additives"/>
    <s v="Domestic"/>
    <s v="11/2026"/>
    <s v="2026"/>
  </r>
  <r>
    <n v="13"/>
    <x v="10"/>
    <n v="2622"/>
    <s v="ADUFERTIL JUNDIAI"/>
    <n v="8215"/>
    <s v="SP"/>
    <s v="UREMAX NBPT VERDE ADITIVO INIBIDOR DE UREASE P/ FERTILIZANTES"/>
    <n v="24000"/>
    <n v="24000"/>
    <n v="832073.45062158629"/>
    <n v="-99734.399999999994"/>
    <n v="732339.05062158627"/>
    <n v="-320935.7905263158"/>
    <n v="-8810.9319999999989"/>
    <n v="-4.3859491661879266"/>
    <n v="402587.94214610429"/>
    <n v="0.54972890194016055"/>
    <n v="34.66972710923276"/>
    <n v="34.66972710923276"/>
    <n v="100300"/>
    <s v="UREMAX"/>
    <s v="JUNDIAI"/>
    <s v="Additives"/>
    <s v="Domestic"/>
    <s v="11/2026"/>
    <s v="2026"/>
  </r>
  <r>
    <n v="13"/>
    <x v="10"/>
    <n v="2003"/>
    <s v="HERINGER - RIO GRANDE"/>
    <n v="8217"/>
    <s v="RS"/>
    <s v="UREMAX NBPT AMARELO ADITIVO INIBIDOR DE UREASE P/ FERTILIZANTES"/>
    <n v="6000"/>
    <n v="6000"/>
    <n v="221894.26267659108"/>
    <n v="-26596.799999999999"/>
    <n v="195297.46267659109"/>
    <n v="-95943.561126760571"/>
    <n v="-14498.255999999972"/>
    <n v="-7.2170133436938322"/>
    <n v="84848.428536486856"/>
    <n v="0.43445740345840667"/>
    <n v="36.982377112765178"/>
    <n v="36.982377112765178"/>
    <n v="100300"/>
    <s v="UREMAX"/>
    <s v="RIO GRANDE"/>
    <s v="Additives"/>
    <s v="Domestic"/>
    <s v="11/2026"/>
    <s v="2026"/>
  </r>
  <r>
    <n v="13"/>
    <x v="10"/>
    <n v="10207"/>
    <s v="JOSAPAR - RIO GRANDE"/>
    <n v="8214"/>
    <s v="RS"/>
    <s v="UREMAX NBPT AZUL ADITIVO INIBIDOR DE UREASE P/ FERTILIZANTES"/>
    <n v="12000"/>
    <n v="12000"/>
    <n v="450996.78510445205"/>
    <n v="-54057.599999999999"/>
    <n v="396939.18510445207"/>
    <n v="-132942.25787234041"/>
    <n v="-14498.255999999972"/>
    <n v="-7.2170133436938322"/>
    <n v="249491.45421876802"/>
    <n v="0.62853823351583671"/>
    <n v="37.583065425371004"/>
    <n v="37.583065425371004"/>
    <n v="100300"/>
    <s v="UREMAX"/>
    <s v="RIO GRANDE"/>
    <s v="Additives"/>
    <s v="Domestic"/>
    <s v="11/2026"/>
    <s v="2026"/>
  </r>
  <r>
    <n v="13"/>
    <x v="10"/>
    <n v="2975"/>
    <s v="COONAGRO COOPERATIVA - PARANAGUA"/>
    <n v="8218"/>
    <s v="PR"/>
    <s v="UREMAX NBPT LARANJA ADITIVO INIBIDOR DE UREASE P/ FERTILIZANTES"/>
    <n v="6000"/>
    <n v="6000"/>
    <n v="180086.35611922579"/>
    <n v="-21585.599999999999"/>
    <n v="158500.75611922579"/>
    <n v="-61765.336999999992"/>
    <n v="-9901.2479999999723"/>
    <n v="-4.9286920395957834"/>
    <n v="86829.242427186211"/>
    <n v="0.54781595087074808"/>
    <n v="30.014392686537633"/>
    <n v="30.014392686537633"/>
    <n v="100300"/>
    <s v="UREMAX"/>
    <s v="PARANAGUA"/>
    <s v="Additives"/>
    <s v="Domestic"/>
    <s v="11/2026"/>
    <s v="2026"/>
  </r>
  <r>
    <n v="13"/>
    <x v="10"/>
    <n v="9294"/>
    <s v="SOLINAG CIA.LTDA - EQUADOR"/>
    <n v="8207"/>
    <s v="EX"/>
    <s v="NITROPROTEC DUO YELLOW - ADITIVO P/ INIBIR A NITRIFICACAO E VOLATIZACAO PARA FERTILIZANTES"/>
    <n v="1000"/>
    <n v="1000"/>
    <n v="58366.881041532492"/>
    <n v="0"/>
    <n v="58366.881041532492"/>
    <n v="-13792.929999999998"/>
    <n v="-8553.5535359999994"/>
    <n v="-360.93047563626232"/>
    <n v="35659.46702989623"/>
    <n v="0.61095378738024042"/>
    <n v="58.366881041532494"/>
    <n v="58.366881041532494"/>
    <n v="100300"/>
    <s v="UREMAX"/>
    <s v="CUENCA"/>
    <s v="Additives"/>
    <s v="International"/>
    <s v="11/2026"/>
    <s v="2026"/>
  </r>
  <r>
    <n v="13"/>
    <x v="10"/>
    <n v="1936"/>
    <s v="CIBRA - PARANAGUA II"/>
    <n v="8218"/>
    <s v="PR"/>
    <s v="UREMAX NBPT LARANJA ADITIVO INIBIDOR DE UREASE P/ FERTILIZANTES"/>
    <n v="6000"/>
    <n v="6000"/>
    <n v="180086.35611922579"/>
    <n v="-21585.599999999999"/>
    <n v="158500.75611922579"/>
    <n v="-61765.336999999992"/>
    <n v="0"/>
    <n v="0"/>
    <n v="96735.419119225786"/>
    <n v="0.61031519020931657"/>
    <n v="30.014392686537633"/>
    <n v="30.014392686537633"/>
    <n v="100300"/>
    <s v="UREMAX"/>
    <s v="PARANAGUA"/>
    <s v="Additives"/>
    <s v="Domestic"/>
    <s v="11/2026"/>
    <s v="2026"/>
  </r>
  <r>
    <n v="13"/>
    <x v="10"/>
    <n v="2588"/>
    <s v="FERTILIZ. TOCANTINS - SINOP"/>
    <n v="8217"/>
    <s v="MT"/>
    <s v="UREMAX NBPT AMARELO ADITIVO INIBIDOR DE UREASE P/ FERTILIZANTES"/>
    <n v="24000"/>
    <n v="24000"/>
    <n v="887577.05070636433"/>
    <n v="-62059.200000000004"/>
    <n v="825517.85070636438"/>
    <n v="-383774.24450704228"/>
    <n v="-19700.094700000001"/>
    <n v="-9.8064102552701815"/>
    <n v="422033.70508906682"/>
    <n v="0.51123510500463265"/>
    <n v="36.982377112765178"/>
    <n v="36.982377112765178"/>
    <n v="100300"/>
    <s v="UREMAX"/>
    <s v="SINOP"/>
    <s v="Additives"/>
    <s v="Domestic"/>
    <s v="11/2026"/>
    <s v="2026"/>
  </r>
  <r>
    <n v="13"/>
    <x v="10"/>
    <n v="729"/>
    <s v="FERTILIZ. TOCANTINS - S?O LUIS"/>
    <n v="8217"/>
    <s v="MA"/>
    <s v="UREMAX NBPT AMARELO ADITIVO INIBIDOR DE UREASE P/ FERTILIZANTES"/>
    <n v="12000"/>
    <n v="12000"/>
    <n v="475504.86825876962"/>
    <n v="-33247.200000000004"/>
    <n v="442257.66825876961"/>
    <n v="-191887.12225352114"/>
    <n v="-19802.496000000036"/>
    <n v="-9.857384079191613"/>
    <n v="230558.19262116923"/>
    <n v="0.52132096098844172"/>
    <n v="39.625405688230799"/>
    <n v="39.625405688230799"/>
    <n v="100300"/>
    <s v="UREMAX"/>
    <s v="SAO LUIS"/>
    <s v="Additives"/>
    <s v="Domestic"/>
    <s v="11/2026"/>
    <s v="2026"/>
  </r>
  <r>
    <n v="13"/>
    <x v="10"/>
    <n v="13390"/>
    <s v="HERINGER - VIANA"/>
    <n v="8217"/>
    <s v="ES"/>
    <s v="UREMAX NBPT AMARELO ADITIVO INIBIDOR DE UREASE P/ FERTILIZANTES"/>
    <n v="12000"/>
    <n v="12000"/>
    <n v="409309.01620960794"/>
    <n v="-28618.800000000003"/>
    <n v="380690.21620960796"/>
    <n v="-191887.12225352114"/>
    <n v="-10254.863999999958"/>
    <n v="-5.1047167552956267"/>
    <n v="178543.12523933154"/>
    <n v="0.46899846026257141"/>
    <n v="34.109084684133997"/>
    <n v="34.109084684133997"/>
    <n v="100300"/>
    <s v="UREMAX"/>
    <s v="VIANA"/>
    <s v="Additives"/>
    <s v="Domestic"/>
    <s v="11/2026"/>
    <s v="2026"/>
  </r>
  <r>
    <n v="13"/>
    <x v="10"/>
    <n v="6124"/>
    <s v="MOSAIC - UBERABA II"/>
    <n v="8215"/>
    <s v="MG"/>
    <s v="UREMAX NBPT VERDE ADITIVO INIBIDOR DE UREASE P/ FERTILIZANTES"/>
    <n v="24000"/>
    <n v="24000"/>
    <n v="870517.50262835901"/>
    <n v="0"/>
    <n v="870517.50262835901"/>
    <n v="-320935.7905263158"/>
    <n v="-4003.2278000000001"/>
    <n v="-1.9927464689853844"/>
    <n v="545576.49155557423"/>
    <n v="0.62672661940548202"/>
    <n v="36.271562609514959"/>
    <n v="36.271562609514959"/>
    <n v="100300"/>
    <s v="UREMAX"/>
    <s v="UBERABA"/>
    <s v="Additives"/>
    <s v="Domestic"/>
    <s v="11/2026"/>
    <s v="2026"/>
  </r>
  <r>
    <n v="11"/>
    <x v="10"/>
    <n v="5300"/>
    <s v="FOSNOR - LUIS EDUARDO MAGALHAES"/>
    <n v="4246"/>
    <s v="BA"/>
    <s v="MAX OIL GRGL ADITIVO ANTI-PO P/ FERTILIZANTES"/>
    <n v="150000"/>
    <n v="150000"/>
    <n v="877500"/>
    <n v="-61425.000000000007"/>
    <n v="816075"/>
    <n v="-395655.75"/>
    <n v="-77419.165823999996"/>
    <n v="-38.538094016925527"/>
    <n v="342961.54608198308"/>
    <n v="0.42025738575741578"/>
    <n v="5.85"/>
    <n v="5.85"/>
    <n v="100700"/>
    <s v="MAX OIL"/>
    <s v="LUIS EDUARDO MAGALHAES"/>
    <s v="Additives"/>
    <s v="Domestic"/>
    <s v="11/2026"/>
    <s v="2026"/>
  </r>
  <r>
    <n v="11"/>
    <x v="10"/>
    <n v="12629"/>
    <s v="EUROCHEM SERRA DO SALITRE"/>
    <n v="3359"/>
    <s v="MG"/>
    <s v="MAX OIL GRV ADITIVO ANTI-PO P/ FERTILIZANTES"/>
    <n v="120000"/>
    <n v="120000"/>
    <n v="654000"/>
    <n v="-117720"/>
    <n v="536280"/>
    <n v="-295121.07692307694"/>
    <n v="-16891.454361600001"/>
    <n v="-8.4083114218746609"/>
    <n v="224259.06040390121"/>
    <n v="0.41817531961643395"/>
    <n v="5.45"/>
    <n v="5.45"/>
    <n v="100700"/>
    <s v="MAX OIL"/>
    <s v="SERRA DO SALITRE"/>
    <s v="Additives"/>
    <s v="Domestic"/>
    <s v="11/2026"/>
    <s v="2026"/>
  </r>
  <r>
    <n v="11"/>
    <x v="10"/>
    <n v="6477"/>
    <s v="MOSAIC - PARANAGUA II"/>
    <n v="3362"/>
    <s v="PR"/>
    <s v="MAX OIL M-NPK ADITIVO ANTI-PO P/ FERTILIZANTES"/>
    <n v="200000"/>
    <n v="200000"/>
    <n v="1226000"/>
    <n v="-147120"/>
    <n v="1078880"/>
    <n v="-635544"/>
    <n v="-93664.038"/>
    <n v="-46.624546570997751"/>
    <n v="349625.33745342901"/>
    <n v="0.32406322988045844"/>
    <n v="6.13"/>
    <n v="6.13"/>
    <n v="100700"/>
    <s v="MAX OIL"/>
    <s v="PARANAGUA"/>
    <s v="Additives"/>
    <s v="Domestic"/>
    <s v="11/2026"/>
    <s v="2026"/>
  </r>
  <r>
    <n v="11"/>
    <x v="10"/>
    <n v="1787"/>
    <s v="MOSAIC - UBERABA (CIU1)"/>
    <n v="3359"/>
    <s v="MG"/>
    <s v="MAX OIL GRV ADITIVO ANTI-PO P/ FERTILIZANTES"/>
    <n v="240000"/>
    <n v="240000"/>
    <n v="931200"/>
    <n v="0"/>
    <n v="931200"/>
    <n v="-590242.15384615387"/>
    <n v="-19537.284"/>
    <n v="-9.7253655424167071"/>
    <n v="321410.83678830374"/>
    <n v="0.34515768555444992"/>
    <n v="3.88"/>
    <n v="3.88"/>
    <n v="100700"/>
    <s v="MAX OIL"/>
    <s v="UBERABA"/>
    <s v="Additives"/>
    <s v="Domestic"/>
    <s v="11/2026"/>
    <s v="2026"/>
  </r>
  <r>
    <n v="11"/>
    <x v="10"/>
    <n v="11724"/>
    <s v="HINOVE - REGISTRO/SP"/>
    <n v="14142"/>
    <s v="SP"/>
    <s v="MAX OIL MT IBC ADITIVO ANTI-PO P/ FERTILIZANTES"/>
    <n v="22400"/>
    <n v="22400"/>
    <n v="135520"/>
    <n v="-16262.4"/>
    <n v="119257.60000000001"/>
    <n v="-71746.477633136092"/>
    <n v="-8802.3245506559997"/>
    <n v="-4.381664507621351"/>
    <n v="38704.416151700294"/>
    <n v="0.32454465083734951"/>
    <n v="6.05"/>
    <n v="6.05"/>
    <n v="100700"/>
    <s v="MAX OIL"/>
    <s v="REGISTRO"/>
    <s v="Additives"/>
    <s v="Domestic"/>
    <s v="11/2026"/>
    <s v="2026"/>
  </r>
  <r>
    <n v="11"/>
    <x v="10"/>
    <n v="2949"/>
    <s v="MOSAIC - CANDEIAS"/>
    <n v="3362"/>
    <s v="BA"/>
    <s v="MAX OIL M-NPK ADITIVO ANTI-PO P/ FERTILIZANTES"/>
    <n v="30000"/>
    <n v="30000"/>
    <n v="160200"/>
    <n v="-11214.000000000002"/>
    <n v="148986"/>
    <n v="-95331.6"/>
    <n v="-21548.474999999999"/>
    <n v="-10.726506112959605"/>
    <n v="32095.198493887037"/>
    <n v="0.21542425794294121"/>
    <n v="5.34"/>
    <n v="5.34"/>
    <n v="100700"/>
    <s v="MAX OIL"/>
    <s v="CANDEIAS"/>
    <s v="Additives"/>
    <s v="Domestic"/>
    <s v="11/2026"/>
    <s v="2026"/>
  </r>
  <r>
    <n v="11"/>
    <x v="10"/>
    <n v="2603"/>
    <s v="MOSAIC - S?O LUIS"/>
    <n v="3362"/>
    <s v="MA"/>
    <s v="MAX OIL M-NPK ADITIVO ANTI-PO P/ FERTILIZANTES"/>
    <n v="30000"/>
    <n v="30000"/>
    <n v="193200"/>
    <n v="-13524.000000000002"/>
    <n v="179676"/>
    <n v="-95331.6"/>
    <n v="0"/>
    <n v="0"/>
    <n v="84344.4"/>
    <n v="0.46942496493688635"/>
    <n v="6.44"/>
    <n v="6.44"/>
    <n v="100700"/>
    <s v="MAX OIL"/>
    <s v="SAO LUIS"/>
    <s v="Additives"/>
    <s v="Domestic"/>
    <s v="11/2026"/>
    <s v="2026"/>
  </r>
  <r>
    <n v="11"/>
    <x v="10"/>
    <n v="2225"/>
    <s v="ITAFOS"/>
    <n v="3351"/>
    <s v="TO"/>
    <s v="MAX OIL MT ADITIVO ANTI-PO P/ FERTILIZANTES"/>
    <n v="60000"/>
    <n v="60000"/>
    <n v="324000"/>
    <n v="-22680.000000000004"/>
    <n v="301320"/>
    <n v="-190887.73714285716"/>
    <n v="-27549.157708799998"/>
    <n v="-13.713555533295576"/>
    <n v="82869.391592809552"/>
    <n v="0.27502121197666785"/>
    <n v="5.4"/>
    <n v="5.4"/>
    <n v="100700"/>
    <s v="MAX OIL"/>
    <s v="ARRAIAS"/>
    <s v="Additives"/>
    <s v="Domestic"/>
    <s v="11/2026"/>
    <s v="2026"/>
  </r>
  <r>
    <n v="11"/>
    <x v="10"/>
    <n v="456"/>
    <s v="FERTIPAR - CANDEIAS"/>
    <n v="3353"/>
    <s v="BA"/>
    <s v="MAX OIL MTF ADITIVO ANTI-PO P/ FERTILIZANTES"/>
    <n v="30000"/>
    <n v="30000"/>
    <n v="185400"/>
    <n v="-12978.000000000002"/>
    <n v="172422"/>
    <n v="-97302.37"/>
    <n v="-21548.474999999999"/>
    <n v="-10.726506112959605"/>
    <n v="53560.428493887048"/>
    <n v="0.31063569900527221"/>
    <n v="6.18"/>
    <n v="6.18"/>
    <n v="100700"/>
    <s v="MAX OIL"/>
    <s v="CANDEIAS"/>
    <s v="Additives"/>
    <s v="Domestic"/>
    <s v="11/2026"/>
    <s v="2026"/>
  </r>
  <r>
    <n v="11"/>
    <x v="10"/>
    <n v="1789"/>
    <s v="MOSAIC - ARAXA (CMA)"/>
    <n v="3359"/>
    <s v="MG"/>
    <s v="MAX OIL GRV ADITIVO ANTI-PO P/ FERTILIZANTES"/>
    <n v="240000"/>
    <n v="240000"/>
    <n v="931200"/>
    <n v="0"/>
    <n v="931200"/>
    <n v="-590242.15384615387"/>
    <n v="-25337.181542399998"/>
    <n v="-12.61246713281199"/>
    <n v="315608.05214431335"/>
    <n v="0.33892617283538806"/>
    <n v="3.88"/>
    <n v="3.88"/>
    <n v="100700"/>
    <s v="MAX OIL"/>
    <s v="ARAXA"/>
    <s v="Additives"/>
    <s v="Domestic"/>
    <s v="11/2026"/>
    <s v="2026"/>
  </r>
  <r>
    <n v="11"/>
    <x v="10"/>
    <n v="1792"/>
    <s v="MOSAIC - CATAL?O (CMC3)"/>
    <n v="3359"/>
    <s v="GO"/>
    <s v="MAX OIL GRV ADITIVO ANTI-PO P/ FERTILIZANTES"/>
    <n v="120000"/>
    <n v="120000"/>
    <n v="468000"/>
    <n v="-32760.000000000004"/>
    <n v="435240"/>
    <n v="-295121.07692307694"/>
    <n v="-9768.6419999999998"/>
    <n v="-4.8626827712083536"/>
    <n v="130345.41839415186"/>
    <n v="0.29947940996726369"/>
    <n v="3.9"/>
    <n v="3.9"/>
    <n v="100700"/>
    <s v="MAX OIL"/>
    <s v="CATALAO"/>
    <s v="Additives"/>
    <s v="Domestic"/>
    <s v="11/2026"/>
    <s v="2026"/>
  </r>
  <r>
    <n v="11"/>
    <x v="10"/>
    <n v="12741"/>
    <s v="HINOVE AGROCIENCIA - GUARA"/>
    <n v="3351"/>
    <s v="SP"/>
    <s v="MAX OIL MT ADITIVO ANTI-PO P/ FERTILIZANTES"/>
    <n v="30000"/>
    <n v="30000"/>
    <n v="175500"/>
    <n v="-21060"/>
    <n v="154440"/>
    <n v="-95443.868571428582"/>
    <n v="0"/>
    <n v="0"/>
    <n v="58996.131428571418"/>
    <n v="0.38200033300033293"/>
    <n v="5.85"/>
    <n v="5.85"/>
    <n v="100700"/>
    <s v="MAX OIL"/>
    <s v="GUARA"/>
    <s v="Additives"/>
    <s v="Domestic"/>
    <s v="11/2026"/>
    <s v="2026"/>
  </r>
  <r>
    <n v="11"/>
    <x v="10"/>
    <n v="201"/>
    <s v="JOSAPAR - PELOTAS"/>
    <n v="14142"/>
    <s v="RS"/>
    <s v="MAX OIL MT IBC ADITIVO ANTI-PO P/ FERTILIZANTES"/>
    <n v="11400"/>
    <n v="11400"/>
    <n v="87666"/>
    <n v="-10519.92"/>
    <n v="77146.080000000002"/>
    <n v="-36513.832366863906"/>
    <n v="-20182.774352831999"/>
    <n v="-10.046680912321488"/>
    <n v="20439.426599391776"/>
    <n v="0.26494446120129211"/>
    <n v="7.69"/>
    <n v="7.69"/>
    <n v="100700"/>
    <s v="MAX OIL"/>
    <s v="PELOTAS"/>
    <s v="Additives"/>
    <s v="Domestic"/>
    <s v="11/2026"/>
    <s v="2026"/>
  </r>
  <r>
    <n v="11"/>
    <x v="10"/>
    <n v="12365"/>
    <s v="INDORAMA - SENEGAL"/>
    <n v="7010"/>
    <s v="EX"/>
    <s v="MAX OIL GRI ADITIVO ANTI-PO P/ FERTILIZANTES"/>
    <n v="24300"/>
    <n v="24300"/>
    <n v="154548"/>
    <n v="0"/>
    <n v="154548"/>
    <n v="-65828.7"/>
    <n v="0"/>
    <n v="-8667.1452878535765"/>
    <n v="80052.154712146425"/>
    <n v="0.51797599912096193"/>
    <n v="6.36"/>
    <n v="6.36"/>
    <n v="100700"/>
    <s v="MAX OIL"/>
    <s v="EXTERIOR"/>
    <s v="Additives"/>
    <s v="International"/>
    <s v="11/2026"/>
    <s v="2026"/>
  </r>
  <r>
    <n v="11"/>
    <x v="10"/>
    <n v="1788"/>
    <s v="MOSAIC - UBERABA (CIU2)"/>
    <n v="3359"/>
    <s v="MG"/>
    <s v="MAX OIL GRV ADITIVO ANTI-PO P/ FERTILIZANTES"/>
    <n v="60000"/>
    <n v="60000"/>
    <n v="232800"/>
    <n v="0"/>
    <n v="232800"/>
    <n v="-147560.53846153847"/>
    <n v="-4884.3209999999999"/>
    <n v="-2.4313413856041768"/>
    <n v="80352.709197075936"/>
    <n v="0.34515768555444992"/>
    <n v="3.88"/>
    <n v="3.88"/>
    <n v="100700"/>
    <s v="MAX OIL"/>
    <s v="UBERABA"/>
    <s v="Additives"/>
    <s v="Domestic"/>
    <s v="11/2026"/>
    <s v="2026"/>
  </r>
  <r>
    <n v="11"/>
    <x v="10"/>
    <n v="14382"/>
    <s v="GECAL - PAINS-MG"/>
    <n v="3351"/>
    <s v="MG"/>
    <s v="MAX OIL MT ADITIVO ANTI-PO P/ FERTILIZANTES"/>
    <n v="15000"/>
    <n v="15000"/>
    <n v="102900"/>
    <n v="-18522"/>
    <n v="84378"/>
    <n v="-47721.934285714291"/>
    <n v="-6648.4965456"/>
    <n v="-3.3095213855444161"/>
    <n v="30004.259647300165"/>
    <n v="0.35559339694351805"/>
    <n v="6.86"/>
    <n v="6.86"/>
    <n v="100700"/>
    <s v="MAX OIL"/>
    <s v="PAINS"/>
    <s v="Additives"/>
    <s v="Domestic"/>
    <s v="11/2026"/>
    <s v="2026"/>
  </r>
  <r>
    <n v="11"/>
    <x v="10"/>
    <n v="2619"/>
    <s v="FOSPAR - PARANAGUA"/>
    <n v="4552"/>
    <s v="PR"/>
    <s v="MAX OIL GRMO ADITIVO ANTI-PO P/ FERTILIZANTES"/>
    <n v="60000"/>
    <n v="60000"/>
    <n v="384000"/>
    <n v="-46080"/>
    <n v="337920"/>
    <n v="-180941.22"/>
    <n v="-28099.2114"/>
    <n v="-13.987363971299324"/>
    <n v="128865.58123602869"/>
    <n v="0.38134937629033111"/>
    <n v="6.4"/>
    <n v="6.4"/>
    <n v="100700"/>
    <s v="MAX OIL"/>
    <s v="PARANAGUA"/>
    <s v="Additives"/>
    <s v="Domestic"/>
    <s v="11/2026"/>
    <s v="2026"/>
  </r>
  <r>
    <n v="11"/>
    <x v="10"/>
    <n v="6370"/>
    <s v="YTL S.A. - PARAGUAI"/>
    <n v="7010"/>
    <s v="EX"/>
    <s v="MAX OIL GRI ADITIVO ANTI-PO P/ FERTILIZANTES"/>
    <n v="28000"/>
    <n v="28000"/>
    <n v="189840"/>
    <n v="0"/>
    <n v="189840"/>
    <n v="-75852.000000000015"/>
    <n v="-28440.27648"/>
    <n v="-10000.991217567271"/>
    <n v="75546.73230243272"/>
    <n v="0.39794949590409145"/>
    <n v="6.78"/>
    <n v="6.78"/>
    <n v="100700"/>
    <s v="MAX OIL"/>
    <s v="ITAPUA"/>
    <s v="Additives"/>
    <s v="International"/>
    <s v="11/2026"/>
    <s v="2026"/>
  </r>
  <r>
    <n v="13"/>
    <x v="10"/>
    <n v="2"/>
    <s v="CARGILL - UBERLANDIA"/>
    <n v="3700"/>
    <s v="MG"/>
    <s v="CICOAT 41175"/>
    <n v="84000"/>
    <n v="84000"/>
    <n v="92400"/>
    <n v="-23640.539999999997"/>
    <n v="68759.460000000006"/>
    <n v="-15542.5"/>
    <n v="0"/>
    <n v="0"/>
    <n v="53216.960000000006"/>
    <n v="0.77395837605472761"/>
    <n v="1.1000000000000001"/>
    <n v="1.1000000000000001"/>
    <n v="100900"/>
    <s v="PA TERCEIROS"/>
    <s v="UBERLANDIA"/>
    <s v="Fertilizers"/>
    <s v="Domestic"/>
    <s v="11/2026"/>
    <s v="2026"/>
  </r>
  <r>
    <n v="11"/>
    <x v="10"/>
    <n v="2622"/>
    <s v="ADUFERTIL JUNDIAI"/>
    <n v="14150"/>
    <s v="SP"/>
    <s v="PHYTOHUMUS BIO IBC PRODUTO A BASE DE EXTRATO DE ALGAS E ACIDOS HUMICOS"/>
    <n v="12000"/>
    <n v="12000"/>
    <n v="270460.01536510215"/>
    <n v="-10080"/>
    <n v="260380.01536510215"/>
    <n v="-162138.43200000003"/>
    <n v="-5481.0480000000016"/>
    <n v="-2.7283830933476745"/>
    <n v="92757.806982008784"/>
    <n v="0.3562401164004263"/>
    <n v="22.538334613758511"/>
    <n v="22.538334613758511"/>
    <n v="101000"/>
    <s v="PHYTOHUMUS"/>
    <s v="JUNDIAI"/>
    <s v="Additives"/>
    <s v="Domestic"/>
    <s v="11/2026"/>
    <s v="2026"/>
  </r>
  <r>
    <n v="11"/>
    <x v="10"/>
    <n v="9294"/>
    <s v="SOLINAG CIA.LTDA - EQUADOR"/>
    <n v="14150"/>
    <s v="EX"/>
    <s v="PHYTOHUMUS BIO IBC PRODUTO A BASE DE EXTRATO DE ALGAS E ACIDOS HUMICOS"/>
    <n v="1000"/>
    <n v="1000"/>
    <n v="31114.707561308238"/>
    <n v="0"/>
    <n v="31114.707561308238"/>
    <n v="-13511.536"/>
    <n v="-8553.5535359999994"/>
    <n v="-360.93047563626232"/>
    <n v="8688.6875496719767"/>
    <n v="0.27924696166762414"/>
    <n v="31.114707561308236"/>
    <n v="31.114707561308236"/>
    <n v="101000"/>
    <s v="PHYTOHUMUS"/>
    <s v="CUENCA"/>
    <s v="Additives"/>
    <s v="International"/>
    <s v="11/2026"/>
    <s v="2026"/>
  </r>
  <r>
    <n v="11"/>
    <x v="10"/>
    <n v="2651"/>
    <s v="AGROBROKERS - COLOMBIA"/>
    <n v="14150"/>
    <s v="EX"/>
    <s v="PHYTOHUMUS BIO IBC PRODUTO A BASE DE EXTRATO DE ALGAS E ACIDOS HUMICOS"/>
    <n v="2000"/>
    <n v="2000"/>
    <n v="45505.970839207657"/>
    <n v="0"/>
    <n v="45505.970839207657"/>
    <n v="-27023.072"/>
    <n v="0"/>
    <n v="-713.34529118136447"/>
    <n v="17769.553548026292"/>
    <n v="0.39048839570556215"/>
    <n v="22.752985419603828"/>
    <n v="22.752985419603828"/>
    <n v="101000"/>
    <s v="PHYTOHUMUS"/>
    <s v="SANTA MARTA"/>
    <s v="Additives"/>
    <s v="International"/>
    <s v="11/2026"/>
    <s v="2026"/>
  </r>
  <r>
    <n v="11"/>
    <x v="10"/>
    <n v="2651"/>
    <s v="AGROBROKERS - COLOMBIA"/>
    <n v="14143"/>
    <s v="EX"/>
    <s v="RESIDEX BLUE IBC ADITIVO ANTI PO P/ FERTILIZANTES"/>
    <n v="2000"/>
    <n v="2000"/>
    <n v="19116"/>
    <n v="0"/>
    <n v="19116"/>
    <n v="-3186.7999999999997"/>
    <n v="0"/>
    <n v="-713.34529118136447"/>
    <n v="15215.854708818637"/>
    <n v="0.79597482259984498"/>
    <n v="9.5579999999999998"/>
    <n v="9.5579999999999998"/>
    <n v="101300"/>
    <s v="RESIDEX"/>
    <s v="SANTA MARTA"/>
    <s v="Additives"/>
    <s v="International"/>
    <s v="11/2026"/>
    <s v="2026"/>
  </r>
  <r>
    <n v="11"/>
    <x v="10"/>
    <n v="9294"/>
    <s v="SOLINAG CIA.LTDA - EQUADOR"/>
    <n v="14143"/>
    <s v="EX"/>
    <s v="RESIDEX BLUE IBC ADITIVO ANTI PO P/ FERTILIZANTES"/>
    <n v="2000"/>
    <n v="2000"/>
    <n v="17280"/>
    <n v="0"/>
    <n v="17280"/>
    <n v="-3186.7999999999997"/>
    <n v="-8553.5535359999994"/>
    <n v="-717.60312122694461"/>
    <n v="4822.0433427730568"/>
    <n v="0.27905343418825562"/>
    <n v="8.64"/>
    <n v="8.64"/>
    <n v="101300"/>
    <s v="RESIDEX"/>
    <s v="CUENCA"/>
    <s v="Additives"/>
    <s v="International"/>
    <s v="11/2026"/>
    <s v="2026"/>
  </r>
  <r>
    <n v="11"/>
    <x v="10"/>
    <n v="9294"/>
    <s v="SOLINAG CIA.LTDA - EQUADOR"/>
    <n v="4542"/>
    <s v="EX"/>
    <s v="RESIDEX GREEN ADITIVO ANTI PO P/ FERTILIZANTES"/>
    <n v="2000"/>
    <n v="2000"/>
    <n v="17280"/>
    <n v="0"/>
    <n v="17280"/>
    <n v="-5979.0699999999988"/>
    <n v="-8553.5535359999994"/>
    <n v="-717.60312122694461"/>
    <n v="2029.7733427730564"/>
    <n v="0.1174637351141815"/>
    <n v="8.64"/>
    <n v="8.64"/>
    <n v="101300"/>
    <s v="RESIDEX"/>
    <s v="CUENCA"/>
    <s v="Additives"/>
    <s v="International"/>
    <s v="11/2026"/>
    <s v="2026"/>
  </r>
  <r>
    <n v="11"/>
    <x v="10"/>
    <n v="15904"/>
    <s v="CAMPEVO - JALES"/>
    <n v="13004"/>
    <s v="SP"/>
    <s v="BIOSINERGIC K - BB - 20L PRODUTO A BASE DE EXTRATO DE ALGAS E ACIDOS HUMICOS"/>
    <n v="71"/>
    <n v="1632.9266143745651"/>
    <n v="43190.908950207246"/>
    <n v="-4088.3442749033075"/>
    <n v="39102.56467530394"/>
    <n v="-11546.117073048526"/>
    <n v="-441.44326092252351"/>
    <n v="-10103.569603217366"/>
    <n v="17011.434738115528"/>
    <n v="0.43504652135667876"/>
    <n v="608.32266127052458"/>
    <n v="26.45"/>
    <n v="101602"/>
    <s v="FERTILIZANTE LIQUIDOS"/>
    <s v="JALES"/>
    <s v="Fertilizers"/>
    <s v="Domestic"/>
    <s v="11/2026"/>
    <s v="2026"/>
  </r>
  <r>
    <n v="11"/>
    <x v="10"/>
    <n v="15858"/>
    <s v="SAGRA - SANTA JULIANA"/>
    <n v="8368"/>
    <s v="MG"/>
    <s v="SULFORCE - BB - 18 L SOLUC?O ALTAMENTE CONCENTRADA EM ENXOFRE (60%)"/>
    <n v="136"/>
    <n v="2236.1169332551162"/>
    <n v="22682.707526057155"/>
    <n v="-2041.3605400367705"/>
    <n v="20641.346986020384"/>
    <n v="-7818.0788780550965"/>
    <n v="0"/>
    <n v="-5800.3254567355416"/>
    <n v="7022.942651229745"/>
    <n v="0.34023664521439045"/>
    <n v="166.78461416218497"/>
    <n v="10.143793103448274"/>
    <n v="101602"/>
    <s v="FERTILIZANTE LIQUIDOS"/>
    <s v="SANTA JULIANA"/>
    <s v="Fertilizers"/>
    <s v="Domestic"/>
    <s v="11/2026"/>
    <s v="2026"/>
  </r>
  <r>
    <n v="11"/>
    <x v="10"/>
    <n v="15906"/>
    <s v="CAMPEVO - JAU"/>
    <n v="8368"/>
    <s v="SP"/>
    <s v="SULFORCE - BB - 18 L SOLUC?O ALTAMENTE CONCENTRADA EM ENXOFRE (60%)"/>
    <n v="500"/>
    <n v="8221.0181369673392"/>
    <n v="85674.348322561011"/>
    <n v="-7710.3773329586438"/>
    <n v="77963.970989602371"/>
    <n v="-28742.937051673147"/>
    <n v="-2222.4593699062671"/>
    <n v="-21837.159026964786"/>
    <n v="25161.415541058173"/>
    <n v="0.3227313234777871"/>
    <n v="171.34869664512203"/>
    <n v="10.421379310344827"/>
    <n v="101602"/>
    <s v="FERTILIZANTE LIQUIDOS"/>
    <s v="JAU"/>
    <s v="Fertilizers"/>
    <s v="Domestic"/>
    <s v="11/2026"/>
    <s v="2026"/>
  </r>
  <r>
    <n v="11"/>
    <x v="10"/>
    <n v="14298"/>
    <s v="SAGRA - BAMBUI"/>
    <n v="8416"/>
    <s v="MG"/>
    <s v="BIOSINERGIC N - BB - 5L PRODUTO A BASE DE EXTRATO DE ALGAS E ACIDOS HUMICOS"/>
    <n v="25"/>
    <n v="143.74353999776102"/>
    <n v="3802.0166329407789"/>
    <n v="-401.61577511680275"/>
    <n v="3400.4008578239764"/>
    <n v="-1215.688774620337"/>
    <n v="0"/>
    <n v="-887.66344914034084"/>
    <n v="1297.0486340632986"/>
    <n v="0.38143992084901451"/>
    <n v="152.08066531763114"/>
    <n v="26.45"/>
    <n v="101602"/>
    <s v="FERTILIZANTE LIQUIDOS"/>
    <s v="BAMBUI "/>
    <s v="Fertilizers"/>
    <s v="Domestic"/>
    <s v="11/2026"/>
    <s v="2026"/>
  </r>
  <r>
    <n v="11"/>
    <x v="10"/>
    <n v="13773"/>
    <s v="FERTLIZE AGRO"/>
    <n v="8368"/>
    <s v="MG"/>
    <s v="SULFORCE - BB - 18 L SOLUC?O ALTAMENTE CONCENTRADA EM ENXOFRE (60%)"/>
    <n v="55"/>
    <n v="904.31199506640723"/>
    <n v="9173.1537789201739"/>
    <n v="-825.55021839722349"/>
    <n v="8347.6035605229499"/>
    <n v="-3161.7230756840459"/>
    <n v="0"/>
    <n v="-2345.7198538268731"/>
    <n v="2840.1606310120314"/>
    <n v="0.34023664521439068"/>
    <n v="166.78461416218497"/>
    <n v="10.143793103448276"/>
    <n v="101602"/>
    <s v="FERTILIZANTE LIQUIDOS"/>
    <s v="CRUZEIRO DA FORTALEZA"/>
    <s v="Fertilizers"/>
    <s v="Domestic"/>
    <s v="11/2026"/>
    <s v="2026"/>
  </r>
  <r>
    <n v="11"/>
    <x v="10"/>
    <n v="15905"/>
    <s v="CAMPEVO - ITAPETININGA"/>
    <n v="13004"/>
    <s v="SP"/>
    <s v="BIOSINERGIC K - BB - 20L PRODUTO A BASE DE EXTRATO DE ALGAS E ACIDOS HUMICOS"/>
    <n v="23"/>
    <n v="528.97622719176059"/>
    <n v="13991.421209222068"/>
    <n v="-1324.3932158137472"/>
    <n v="12667.027993408321"/>
    <n v="-3740.2914461988189"/>
    <n v="-143.00274649602875"/>
    <n v="-3276.0431315161159"/>
    <n v="5507.6906691973572"/>
    <n v="0.43480528124382878"/>
    <n v="608.32266127052469"/>
    <n v="26.45"/>
    <n v="101602"/>
    <s v="FERTILIZANTE LIQUIDOS"/>
    <s v="ITAPETININGA"/>
    <s v="Fertilizers"/>
    <s v="Domestic"/>
    <s v="11/2026"/>
    <s v="2026"/>
  </r>
  <r>
    <n v="11"/>
    <x v="10"/>
    <n v="15908"/>
    <s v="CAMPEVO - S?O JOSE DO RIO PRETO"/>
    <n v="8368"/>
    <s v="SP"/>
    <s v="SULFORCE - BB - 18 L SOLUC?O ALTAMENTE CONCENTRADA EM ENXOFRE (60%)"/>
    <n v="500"/>
    <n v="8221.0181369673392"/>
    <n v="85674.348322561011"/>
    <n v="-7710.3773329586438"/>
    <n v="77963.970989602371"/>
    <n v="-28742.937051673147"/>
    <n v="-2222.4593699062671"/>
    <n v="-21836.586946638763"/>
    <n v="25161.987621384196"/>
    <n v="0.32273866123032541"/>
    <n v="171.34869664512203"/>
    <n v="10.421379310344827"/>
    <n v="101602"/>
    <s v="FERTILIZANTE LIQUIDOS"/>
    <s v="SAO JOSE DO RIO PRETO"/>
    <s v="Fertilizers"/>
    <s v="Domestic"/>
    <s v="11/2026"/>
    <s v="2026"/>
  </r>
  <r>
    <n v="11"/>
    <x v="10"/>
    <n v="16645"/>
    <s v="OPCAO AGRONEGOCIOS"/>
    <n v="8301"/>
    <s v="MG"/>
    <s v="BIOSINERGIC - BB - 20L PRODUTO A BASE DE EXTRATO DE ALGAS E ACIDOS HUMICOS"/>
    <n v="13"/>
    <n v="298.98656319534291"/>
    <n v="7908.1945965168206"/>
    <n v="-780.05299172266291"/>
    <n v="7128.1416047941575"/>
    <n v="-2190.6596841434825"/>
    <n v="-72.169170426462088"/>
    <n v="-1850.3111029127554"/>
    <n v="3015.001647311457"/>
    <n v="0.42297162633296514"/>
    <n v="608.32266127052469"/>
    <n v="26.450000000000003"/>
    <n v="101602"/>
    <s v="FERTILIZANTE LIQUIDOS"/>
    <s v="UBERLANDIA"/>
    <s v="Fertilizers"/>
    <s v="Domestic"/>
    <s v="11/2026"/>
    <s v="2026"/>
  </r>
  <r>
    <n v="11"/>
    <x v="10"/>
    <n v="11326"/>
    <s v="VEGA AGRO"/>
    <n v="8301"/>
    <s v="MG"/>
    <s v="BIOSINERGIC - BB - 20L PRODUTO A BASE DE EXTRATO DE ALGAS E ACIDOS HUMICOS"/>
    <n v="2"/>
    <n v="45.997932799283525"/>
    <n v="1216.6453225410494"/>
    <n v="-118.8627243370901"/>
    <n v="1097.7825982039592"/>
    <n v="-337.02456679130501"/>
    <n v="0"/>
    <n v="-284.40913572490911"/>
    <n v="476.34889568774508"/>
    <n v="0.43391915345267962"/>
    <n v="608.32266127052469"/>
    <n v="26.450000000000003"/>
    <n v="101602"/>
    <s v="FERTILIZANTE LIQUIDOS"/>
    <s v="PATOS DE MINAS"/>
    <s v="Fertilizers"/>
    <s v="Domestic"/>
    <s v="11/2026"/>
    <s v="2026"/>
  </r>
  <r>
    <n v="11"/>
    <x v="10"/>
    <n v="14259"/>
    <s v="FAZENDA SANTOS REIS II"/>
    <n v="8368"/>
    <s v="MG"/>
    <s v="SULFORCE - BB - 18 L SOLUC?O ALTAMENTE CONCENTRADA EM ENXOFRE (60%)"/>
    <n v="200"/>
    <n v="3288.4072547869355"/>
    <n v="34269.7393290244"/>
    <n v="-3084.1509331834577"/>
    <n v="31185.588395840943"/>
    <n v="-11497.174820669259"/>
    <n v="-793.7534752933982"/>
    <n v="-8736.0935834868651"/>
    <n v="10158.56651639142"/>
    <n v="0.32574554590562782"/>
    <n v="171.348696645122"/>
    <n v="10.421379310344827"/>
    <n v="101602"/>
    <s v="FERTILIZANTE LIQUIDOS"/>
    <s v="SAO SEBASTIAO DO PARAISO"/>
    <s v="Fertilizers"/>
    <s v="Domestic"/>
    <s v="11/2026"/>
    <s v="2026"/>
  </r>
  <r>
    <n v="11"/>
    <x v="10"/>
    <n v="15904"/>
    <s v="CAMPEVO - JALES"/>
    <n v="8368"/>
    <s v="SP"/>
    <s v="SULFORCE - BB - 18 L SOLUC?O ALTAMENTE CONCENTRADA EM ENXOFRE (60%)"/>
    <n v="500"/>
    <n v="8221.0181369673392"/>
    <n v="85674.348322561011"/>
    <n v="-7710.3773329586438"/>
    <n v="77963.970989602371"/>
    <n v="-28742.937051673147"/>
    <n v="-2222.4593699062671"/>
    <n v="-21836.586946638763"/>
    <n v="25161.987621384196"/>
    <n v="0.32273866123032541"/>
    <n v="171.34869664512203"/>
    <n v="10.421379310344827"/>
    <n v="101602"/>
    <s v="FERTILIZANTE LIQUIDOS"/>
    <s v="JALES"/>
    <s v="Fertilizers"/>
    <s v="Domestic"/>
    <s v="11/2026"/>
    <s v="2026"/>
  </r>
  <r>
    <n v="11"/>
    <x v="10"/>
    <n v="15908"/>
    <s v="CAMPEVO - S?O JOSE DO RIO PRETO"/>
    <n v="13004"/>
    <s v="SP"/>
    <s v="BIOSINERGIC K - BB - 20L PRODUTO A BASE DE EXTRATO DE ALGAS E ACIDOS HUMICOS"/>
    <n v="63"/>
    <n v="1448.9348831774312"/>
    <n v="38324.327660043054"/>
    <n v="-3627.6857650550473"/>
    <n v="34696.64189498801"/>
    <n v="-10245.146135240242"/>
    <n v="-391.70317518477435"/>
    <n v="-8965.3863211177304"/>
    <n v="15094.406263445264"/>
    <n v="0.43503939975314088"/>
    <n v="608.32266127052469"/>
    <n v="26.45"/>
    <n v="101602"/>
    <s v="FERTILIZANTE LIQUIDOS"/>
    <s v="SAO JOSE DO RIO PRETO"/>
    <s v="Fertilizers"/>
    <s v="Domestic"/>
    <s v="11/2026"/>
    <s v="2026"/>
  </r>
  <r>
    <n v="11"/>
    <x v="10"/>
    <n v="15917"/>
    <s v="MINAS FARM"/>
    <n v="8368"/>
    <s v="MG"/>
    <s v="SULFORCE - BB - 18 L SOLUC?O ALTAMENTE CONCENTRADA EM ENXOFRE (60%)"/>
    <n v="83"/>
    <n v="1364.6890107365784"/>
    <n v="13843.122975461352"/>
    <n v="-1245.8303295812643"/>
    <n v="12597.292645880088"/>
    <n v="-4771.3275505777428"/>
    <n v="0"/>
    <n v="-3539.9045066841909"/>
    <n v="4286.0605886181547"/>
    <n v="0.34023664521439057"/>
    <n v="166.78461416218497"/>
    <n v="10.143793103448274"/>
    <n v="101602"/>
    <s v="FERTILIZANTE LIQUIDOS"/>
    <s v="UBERLANDIA"/>
    <s v="Fertilizers"/>
    <s v="Domestic"/>
    <s v="11/2026"/>
    <s v="2026"/>
  </r>
  <r>
    <n v="11"/>
    <x v="10"/>
    <n v="15917"/>
    <s v="MINAS FARM"/>
    <n v="8301"/>
    <s v="MG"/>
    <s v="BIOSINERGIC - BB - 20L PRODUTO A BASE DE EXTRATO DE ALGAS E ACIDOS HUMICOS"/>
    <n v="17"/>
    <n v="390.98242879390995"/>
    <n v="10341.485241598917"/>
    <n v="-1020.0692968680974"/>
    <n v="9321.4159447308193"/>
    <n v="-2864.7088177260925"/>
    <n v="-94.375069019219652"/>
    <n v="-2419.0447023625729"/>
    <n v="3943.2873556229342"/>
    <n v="0.42303523187933517"/>
    <n v="608.32266127052458"/>
    <n v="26.45"/>
    <n v="101602"/>
    <s v="FERTILIZANTE LIQUIDOS"/>
    <s v="UBERLANDIA"/>
    <s v="Fertilizers"/>
    <s v="Domestic"/>
    <s v="11/2026"/>
    <s v="2026"/>
  </r>
  <r>
    <n v="11"/>
    <x v="10"/>
    <n v="16645"/>
    <s v="OPCAO AGRONEGOCIOS"/>
    <n v="8368"/>
    <s v="MG"/>
    <s v="SULFORCE - BB - 18 L SOLUC?O ALTAMENTE CONCENTRADA EM ENXOFRE (60%)"/>
    <n v="28"/>
    <n v="460.37701567017092"/>
    <n v="4797.7635060634166"/>
    <n v="-431.78113064568402"/>
    <n v="4365.9823754177323"/>
    <n v="-1609.6044748936961"/>
    <n v="-111.12548654107576"/>
    <n v="-1224.6529671359635"/>
    <n v="1420.5994468469971"/>
    <n v="0.32537910708150208"/>
    <n v="171.34869664512203"/>
    <n v="10.421379310344829"/>
    <n v="101602"/>
    <s v="FERTILIZANTE LIQUIDOS"/>
    <s v="UBERLANDIA"/>
    <s v="Fertilizers"/>
    <s v="Domestic"/>
    <s v="11/2026"/>
    <s v="2026"/>
  </r>
  <r>
    <n v="11"/>
    <x v="10"/>
    <n v="14259"/>
    <s v="FAZENDA SANTOS REIS II"/>
    <n v="8416"/>
    <s v="MG"/>
    <s v="BIOSINERGIC N - BB - 5L PRODUTO A BASE DE EXTRATO DE ALGAS E ACIDOS HUMICOS"/>
    <n v="25"/>
    <n v="143.74353999776102"/>
    <n v="3802.0166329407789"/>
    <n v="-401.61577511680275"/>
    <n v="3400.4008578239764"/>
    <n v="-1215.688774620337"/>
    <n v="0"/>
    <n v="-887.66344914034084"/>
    <n v="1297.0486340632986"/>
    <n v="0.38143992084901451"/>
    <n v="152.08066531763114"/>
    <n v="26.45"/>
    <n v="101602"/>
    <s v="FERTILIZANTE LIQUIDOS"/>
    <s v="SAO SEBASTIAO DO PARAISO"/>
    <s v="Fertilizers"/>
    <s v="Domestic"/>
    <s v="11/2026"/>
    <s v="2026"/>
  </r>
  <r>
    <n v="11"/>
    <x v="10"/>
    <n v="15905"/>
    <s v="CAMPEVO - ITAPETININGA"/>
    <n v="8368"/>
    <s v="SP"/>
    <s v="SULFORCE - BB - 18 L SOLUC?O ALTAMENTE CONCENTRADA EM ENXOFRE (60%)"/>
    <n v="170"/>
    <n v="2795.1461665688953"/>
    <n v="29129.278429670743"/>
    <n v="-2621.528293205939"/>
    <n v="26507.750136464805"/>
    <n v="-9772.5985975688691"/>
    <n v="-755.63618576813087"/>
    <n v="-7427.4601459785881"/>
    <n v="8552.0552071492184"/>
    <n v="0.32262471024973077"/>
    <n v="171.34869664512203"/>
    <n v="10.421379310344827"/>
    <n v="101602"/>
    <s v="FERTILIZANTE LIQUIDOS"/>
    <s v="ITAPETININGA"/>
    <s v="Fertilizers"/>
    <s v="Domestic"/>
    <s v="11/2026"/>
    <s v="2026"/>
  </r>
  <r>
    <n v="11"/>
    <x v="10"/>
    <n v="15906"/>
    <s v="CAMPEVO - JAU"/>
    <n v="13004"/>
    <s v="SP"/>
    <s v="BIOSINERGIC K - BB - 20L PRODUTO A BASE DE EXTRATO DE ALGAS E ACIDOS HUMICOS"/>
    <n v="63"/>
    <n v="1448.9348831774312"/>
    <n v="38324.327660043054"/>
    <n v="-3627.6857650550473"/>
    <n v="34696.64189498801"/>
    <n v="-10245.146135240242"/>
    <n v="-391.70317518477435"/>
    <n v="-8965.9584014437551"/>
    <n v="15093.834183119239"/>
    <n v="0.43502291169277596"/>
    <n v="608.32266127052469"/>
    <n v="26.45"/>
    <n v="101602"/>
    <s v="FERTILIZANTE LIQUIDOS"/>
    <s v="JAU"/>
    <s v="Fertilizers"/>
    <s v="Domestic"/>
    <s v="11/2026"/>
    <s v="2026"/>
  </r>
  <r>
    <n v="11"/>
    <x v="10"/>
    <n v="2559"/>
    <s v="MOSAIC - RIO GRANDE"/>
    <n v="4676"/>
    <s v="RS"/>
    <s v="R-COAT ADITIVO ANTIEMBLOCANTE P/ FERTILIZANTES"/>
    <n v="30000"/>
    <n v="30000"/>
    <n v="347496.63485153631"/>
    <n v="-40644"/>
    <n v="306852.63485153631"/>
    <n v="-171895.5"/>
    <n v="-24421.605"/>
    <n v="-12.156706928020885"/>
    <n v="110523.37314460828"/>
    <n v="0.36018388174532873"/>
    <n v="11.583221161717876"/>
    <n v="11.583221161717876"/>
    <n v="101900"/>
    <s v="HIGROSCOPICIDADE"/>
    <s v="RIO GRANDE"/>
    <s v="Additives"/>
    <s v="Domestic"/>
    <s v="11/2026"/>
    <s v="2026"/>
  </r>
  <r>
    <n v="11"/>
    <x v="10"/>
    <n v="2696"/>
    <s v="MOSAIC FERTILIZANTES PARAGUAY S.R.L."/>
    <n v="4676"/>
    <s v="EX"/>
    <s v="R-COAT ADITIVO ANTIEMBLOCANTE P/ FERTILIZANTES"/>
    <n v="60000"/>
    <n v="60000"/>
    <n v="677141.36109245347"/>
    <n v="0"/>
    <n v="677141.36109245347"/>
    <n v="-343791"/>
    <n v="-54102.400000000023"/>
    <n v="-21427.29009482139"/>
    <n v="257820.67099763206"/>
    <n v="0.3807486675775969"/>
    <n v="11.285689351540892"/>
    <n v="11.285689351540892"/>
    <n v="101900"/>
    <s v="HIGROSCOPICIDADE"/>
    <s v="ASSUNCION"/>
    <s v="Additives"/>
    <s v="International"/>
    <s v="11/2026"/>
    <s v="2026"/>
  </r>
  <r>
    <n v="11"/>
    <x v="10"/>
    <n v="9355"/>
    <s v="NITROFERT SAS - COLOMBIA"/>
    <n v="14147"/>
    <s v="EX"/>
    <s v="R-COAT IBC ADITIVO ANTIEMBLOCANTE P/ FERTILIZANTES"/>
    <n v="43200"/>
    <n v="43200"/>
    <n v="713229.30214034801"/>
    <n v="0"/>
    <n v="713229.30214034801"/>
    <n v="-228301.88199999998"/>
    <n v="-49587.158016000001"/>
    <n v="-15432.942029484357"/>
    <n v="419907.32009486365"/>
    <n v="0.58874098250696238"/>
    <n v="16.509937549545093"/>
    <n v="16.509937549545093"/>
    <n v="101900"/>
    <s v="HIGROSCOPICIDADE"/>
    <s v="BARRANQUILLA"/>
    <s v="Additives"/>
    <s v="International"/>
    <s v="11/2026"/>
    <s v="2026"/>
  </r>
  <r>
    <n v="11"/>
    <x v="10"/>
    <n v="6477"/>
    <s v="MOSAIC - PARANAGUA II"/>
    <n v="4676"/>
    <s v="PR"/>
    <s v="R-COAT ADITIVO ANTIEMBLOCANTE P/ FERTILIZANTES"/>
    <n v="60000"/>
    <n v="60000"/>
    <n v="689453.02220322529"/>
    <n v="-80640"/>
    <n v="608813.02220322529"/>
    <n v="-343791"/>
    <n v="-28099.2114"/>
    <n v="-13.987363971299324"/>
    <n v="236908.82343925399"/>
    <n v="0.38913231944663046"/>
    <n v="11.490883703387087"/>
    <n v="11.490883703387087"/>
    <n v="101900"/>
    <s v="HIGROSCOPICIDADE"/>
    <s v="PARANAGUA"/>
    <s v="Additives"/>
    <s v="Domestic"/>
    <s v="11/2026"/>
    <s v="2026"/>
  </r>
  <r>
    <n v="11"/>
    <x v="10"/>
    <n v="1159"/>
    <s v="YARA - RIO GRANDE"/>
    <n v="4627"/>
    <s v="RS"/>
    <s v="COAT BIO GR ADITIVO ANTI-PO P/ FERTILIZANTES"/>
    <n v="210000"/>
    <n v="210000"/>
    <n v="1906820.4599747059"/>
    <n v="-228060"/>
    <n v="1678760.4599747059"/>
    <n v="-1089499.425"/>
    <n v="-170951.23499999999"/>
    <n v="-85.096948496146183"/>
    <n v="418224.70302620978"/>
    <n v="0.24912708691775551"/>
    <n v="9.0800974284509799"/>
    <n v="9.0800974284509799"/>
    <n v="102200"/>
    <s v="COAT BIO"/>
    <s v="RIO GRANDE"/>
    <s v="Additives"/>
    <s v="Domestic"/>
    <s v="11/2026"/>
    <s v="2026"/>
  </r>
  <r>
    <n v="11"/>
    <x v="10"/>
    <n v="903"/>
    <s v="YARA - PONTA GROSSA"/>
    <n v="4627"/>
    <s v="PR"/>
    <s v="COAT BIO GR ADITIVO ANTI-PO P/ FERTILIZANTES"/>
    <n v="30000"/>
    <n v="30000"/>
    <n v="257353.03761300293"/>
    <n v="-30780"/>
    <n v="226573.03761300293"/>
    <n v="-155642.77499999999"/>
    <n v="-11813.963615999999"/>
    <n v="-5.8808130480373366"/>
    <n v="59110.418183954898"/>
    <n v="0.26088902195378688"/>
    <n v="8.578434587100098"/>
    <n v="8.578434587100098"/>
    <n v="102200"/>
    <s v="COAT BIO"/>
    <s v="PONTA GROSSA"/>
    <s v="Additives"/>
    <s v="Domestic"/>
    <s v="11/2026"/>
    <s v="2026"/>
  </r>
  <r>
    <n v="11"/>
    <x v="10"/>
    <n v="139"/>
    <s v="COMIGO - RIO VERDE"/>
    <n v="14190"/>
    <s v="GO"/>
    <s v="COATMAX BMZC 3662 IBC - MICRONUTRIENTE LIQUIDO"/>
    <n v="100000"/>
    <n v="100000"/>
    <n v="815410.6697750251"/>
    <n v="-31760"/>
    <n v="783650.6697750251"/>
    <n v="-446918"/>
    <n v="-18962.657999999999"/>
    <n v="-9.4393253794044512"/>
    <n v="317760.57244964573"/>
    <n v="0.40548752742197008"/>
    <n v="8.154106697750251"/>
    <n v="8.154106697750251"/>
    <n v="102300"/>
    <s v="COAT MAX"/>
    <s v="RIO VERDE"/>
    <s v="Additives"/>
    <s v="Domestic"/>
    <s v="11/2026"/>
    <s v="2026"/>
  </r>
  <r>
    <n v="11"/>
    <x v="10"/>
    <n v="97"/>
    <s v="FECOAGRO - SAO FRANCISCO DO SUL"/>
    <n v="13600"/>
    <s v="SC"/>
    <s v="COATMAX BMZC 3663 - MICRONUTRIENTE LIQUIDO"/>
    <n v="210000"/>
    <n v="210000"/>
    <n v="1940964.944426697"/>
    <n v="-75600"/>
    <n v="1865364.944426697"/>
    <n v="-1208441.81"/>
    <n v="-117654.67349999999"/>
    <n v="-58.566723376759441"/>
    <n v="539209.89420332015"/>
    <n v="0.2890640224661461"/>
    <n v="9.2426902115557006"/>
    <n v="9.2426902115557006"/>
    <n v="102300"/>
    <s v="COAT MAX"/>
    <s v="SAO FRANCISCO DO SUL"/>
    <s v="Additives"/>
    <s v="Domestic"/>
    <s v="11/2026"/>
    <s v="2026"/>
  </r>
  <r>
    <n v="11"/>
    <x v="10"/>
    <n v="2011"/>
    <s v="FERTGROW S.A"/>
    <n v="12813"/>
    <s v="MA"/>
    <s v="COATMAX BMZ 3313 - MICRONUTRIENTE LIQUIDO"/>
    <n v="90000"/>
    <n v="90000"/>
    <n v="1011150.3091441935"/>
    <n v="-39384"/>
    <n v="971766.30914419354"/>
    <n v="-403289.43"/>
    <n v="-79384.58189999999"/>
    <n v="-39.516448520143179"/>
    <n v="489052.78079567349"/>
    <n v="0.50326171651944607"/>
    <n v="11.235003434935484"/>
    <n v="11.235003434935484"/>
    <n v="102300"/>
    <s v="COAT MAX"/>
    <s v="SAO LUIS"/>
    <s v="Additives"/>
    <s v="Domestic"/>
    <s v="11/2026"/>
    <s v="2026"/>
  </r>
  <r>
    <n v="11"/>
    <x v="10"/>
    <n v="3142"/>
    <s v="INTERFERTIL - SAO FRANCISCO DO SUL"/>
    <n v="7398"/>
    <s v="SC"/>
    <s v="SUPERSELEN ADITIVO ANTI PO P/ FERTILIZANTES"/>
    <n v="15000"/>
    <n v="15000"/>
    <n v="41400"/>
    <n v="-4968"/>
    <n v="36432"/>
    <n v="-9467.4506493506506"/>
    <n v="-12045.7338550185"/>
    <n v="-5.9961847801730936"/>
    <n v="14912.819310850678"/>
    <n v="0.40933298503652499"/>
    <n v="2.76"/>
    <n v="2.76"/>
    <n v="102600"/>
    <s v="SUPERSELEN"/>
    <s v="SAO FRANCISCO DO SUL"/>
    <s v="Additives"/>
    <s v="Domestic"/>
    <s v="11/2026"/>
    <s v="2026"/>
  </r>
  <r>
    <n v="11"/>
    <x v="10"/>
    <n v="8855"/>
    <s v="TERMAG - GUARUJA"/>
    <n v="7398"/>
    <s v="SP"/>
    <s v="SUPERSELEN ADITIVO ANTI PO P/ FERTILIZANTES"/>
    <n v="30000"/>
    <n v="30000"/>
    <n v="73800"/>
    <n v="-8856"/>
    <n v="64944"/>
    <n v="-18934.901298701301"/>
    <n v="-13045.632163199998"/>
    <n v="-6.493919089215697"/>
    <n v="32956.972619009488"/>
    <n v="0.50746755079775629"/>
    <n v="2.46"/>
    <n v="2.46"/>
    <n v="102600"/>
    <s v="SUPERSELEN"/>
    <s v="GUARUJA"/>
    <s v="Additives"/>
    <s v="Domestic"/>
    <s v="11/2026"/>
    <s v="2026"/>
  </r>
  <r>
    <n v="11"/>
    <x v="10"/>
    <n v="7648"/>
    <s v="LOUIS DREYFUS - PARANAGUA"/>
    <n v="14154"/>
    <s v="PR"/>
    <s v="SUPERSELEN IBC ADITIVO ANTI PO P/ FERTILIZANTES"/>
    <n v="13200"/>
    <n v="13200"/>
    <n v="47916"/>
    <n v="-5749.92"/>
    <n v="42166.080000000002"/>
    <n v="-15204.505555555557"/>
    <n v="-9623.6718130238405"/>
    <n v="-4.790518796876218"/>
    <n v="17333.112112623727"/>
    <n v="0.41106766653726706"/>
    <n v="3.63"/>
    <n v="3.63"/>
    <n v="102600"/>
    <s v="SUPERSELEN"/>
    <s v="PARANAGUA"/>
    <s v="Additives"/>
    <s v="Domestic"/>
    <s v="11/2026"/>
    <s v="2026"/>
  </r>
  <r>
    <n v="11"/>
    <x v="10"/>
    <n v="139"/>
    <s v="COMIGO - RIO VERDE"/>
    <n v="14154"/>
    <s v="GO"/>
    <s v="SUPERSELEN IBC ADITIVO ANTI PO P/ FERTILIZANTES"/>
    <n v="30000"/>
    <n v="30000"/>
    <n v="48600"/>
    <n v="-3402.0000000000005"/>
    <n v="45198"/>
    <n v="-34555.694444444445"/>
    <n v="-5688.7973999999995"/>
    <n v="-2.831797613821335"/>
    <n v="4950.6763579417338"/>
    <n v="0.10953308460422438"/>
    <n v="1.62"/>
    <n v="1.62"/>
    <n v="102600"/>
    <s v="SUPERSELEN"/>
    <s v="RIO VERDE"/>
    <s v="Additives"/>
    <s v="Domestic"/>
    <s v="11/2026"/>
    <s v="2026"/>
  </r>
  <r>
    <n v="11"/>
    <x v="10"/>
    <n v="8413"/>
    <s v="AMAGGI - SINOP"/>
    <n v="7398"/>
    <s v="MT"/>
    <s v="SUPERSELEN ADITIVO ANTI PO P/ FERTILIZANTES"/>
    <n v="32000"/>
    <n v="32000"/>
    <n v="66240"/>
    <n v="-4636.8"/>
    <n v="61603.199999999997"/>
    <n v="-20197.228051948056"/>
    <n v="-23352.800640000001"/>
    <n v="-11.62467222481809"/>
    <n v="18041.546635827122"/>
    <n v="0.29286703670957226"/>
    <n v="2.0699999999999998"/>
    <n v="2.0699999999999998"/>
    <n v="102600"/>
    <s v="SUPERSELEN"/>
    <s v="SINOP"/>
    <s v="Additives"/>
    <s v="Domestic"/>
    <s v="11/2026"/>
    <s v="2026"/>
  </r>
  <r>
    <n v="11"/>
    <x v="11"/>
    <n v="6315"/>
    <s v="ONNO LOGISTICA  LTDA"/>
    <n v="13954"/>
    <s v="MT"/>
    <s v="DUSTPRO - ADITIVO ANTI PO P/ FERTILIZANTES"/>
    <n v="90000"/>
    <n v="90000"/>
    <n v="135000"/>
    <n v="0"/>
    <n v="135000"/>
    <n v="-31727.010000000002"/>
    <n v="-35942.856299999999"/>
    <n v="-26.498626589681365"/>
    <n v="67303.635073410303"/>
    <n v="0.49854544498822445"/>
    <n v="1.5"/>
    <n v="1.5"/>
    <n v="100100"/>
    <s v="START ANTIDUSTING"/>
    <s v="RONDONOPOLIS"/>
    <s v="Additives"/>
    <s v="Domestic"/>
    <s v="12/2026"/>
    <s v="2026"/>
  </r>
  <r>
    <n v="11"/>
    <x v="11"/>
    <n v="16660"/>
    <s v="INTER - TMI - CANDEIAS"/>
    <n v="2"/>
    <s v="BA"/>
    <s v="START ANTIDUSTING SC ADITIVO ANTI PO P/ FERTILIZANTES"/>
    <n v="12000"/>
    <n v="12000"/>
    <n v="34800"/>
    <n v="-2436.0000000000005"/>
    <n v="32364"/>
    <n v="-6434.4933333333329"/>
    <n v="-12649.853999764799"/>
    <n v="-9.3260189105715199"/>
    <n v="13270.326647991298"/>
    <n v="0.41003357582472183"/>
    <n v="2.9"/>
    <n v="2.9"/>
    <n v="100100"/>
    <s v="START ANTIDUSTING"/>
    <s v="CANDEIAS"/>
    <s v="Additives"/>
    <s v="Domestic"/>
    <s v="12/2026"/>
    <s v="2026"/>
  </r>
  <r>
    <n v="11"/>
    <x v="11"/>
    <n v="1292"/>
    <s v="CIBRA - S?O FRANCISCO DO SUL"/>
    <n v="148"/>
    <s v="SC"/>
    <s v="START ANTIDUSTING BLACK ADITIVO ANTI PO P/ FERTILIZANTES"/>
    <n v="20000"/>
    <n v="20000"/>
    <n v="47000"/>
    <n v="-5640"/>
    <n v="41360"/>
    <n v="-13162.405714285713"/>
    <n v="-10207.092555894"/>
    <n v="-7.5251096336757044"/>
    <n v="17982.976620186611"/>
    <n v="0.43479150435654285"/>
    <n v="2.35"/>
    <n v="2.35"/>
    <n v="100100"/>
    <s v="START ANTIDUSTING"/>
    <s v="S?O FRANCISCO DO SUL"/>
    <s v="Additives"/>
    <s v="Domestic"/>
    <s v="12/2026"/>
    <s v="2026"/>
  </r>
  <r>
    <n v="11"/>
    <x v="11"/>
    <n v="7102"/>
    <s v="MOSAIC RONDONOPOLIS"/>
    <n v="1043"/>
    <s v="MT"/>
    <s v="START ANTIDUSTING SC AD ADITIVO ANTI PO P/ FERTILIZANTES"/>
    <n v="90000"/>
    <n v="90000"/>
    <n v="183600"/>
    <n v="-12852.000000000002"/>
    <n v="170748"/>
    <n v="-36515.383248730963"/>
    <n v="-35942.856299999999"/>
    <n v="-26.498626589681365"/>
    <n v="98263.261824679343"/>
    <n v="0.5754870442094745"/>
    <n v="2.04"/>
    <n v="2.04"/>
    <n v="100100"/>
    <s v="START ANTIDUSTING"/>
    <s v="RONDONOPOLIS"/>
    <s v="Additives"/>
    <s v="Domestic"/>
    <s v="12/2026"/>
    <s v="2026"/>
  </r>
  <r>
    <n v="11"/>
    <x v="11"/>
    <n v="214"/>
    <s v="UNIFERTIL - CANOAS UN1"/>
    <n v="3"/>
    <s v="RS"/>
    <s v="START ANTIDUSTING MH ADITIVO ANTI PO P/ FERTILIZANTES"/>
    <n v="32000"/>
    <n v="32000"/>
    <n v="82880"/>
    <n v="-9945.6"/>
    <n v="72934.399999999994"/>
    <n v="-25102.34"/>
    <n v="-25804.538239999998"/>
    <n v="-19.024220485808012"/>
    <n v="22008.497539514192"/>
    <n v="0.30175743599061888"/>
    <n v="2.59"/>
    <n v="2.59"/>
    <n v="100100"/>
    <s v="START ANTIDUSTING"/>
    <s v="CANOAS"/>
    <s v="Additives"/>
    <s v="Domestic"/>
    <s v="12/2026"/>
    <s v="2026"/>
  </r>
  <r>
    <n v="11"/>
    <x v="11"/>
    <n v="2559"/>
    <s v="MOSAIC - RIO GRANDE"/>
    <n v="1043"/>
    <s v="RS"/>
    <s v="START ANTIDUSTING SC AD ADITIVO ANTI PO P/ FERTILIZANTES"/>
    <n v="30000"/>
    <n v="30000"/>
    <n v="75300"/>
    <n v="-9036"/>
    <n v="66264"/>
    <n v="-12171.794416243654"/>
    <n v="-24421.605"/>
    <n v="-18.004662351102446"/>
    <n v="29652.595921405245"/>
    <n v="0.44749178922801591"/>
    <n v="2.5099999999999998"/>
    <n v="2.5099999999999998"/>
    <n v="100100"/>
    <s v="START ANTIDUSTING"/>
    <s v="RIO GRANDE"/>
    <s v="Additives"/>
    <s v="Domestic"/>
    <s v="12/2026"/>
    <s v="2026"/>
  </r>
  <r>
    <n v="11"/>
    <x v="11"/>
    <n v="3297"/>
    <s v="MACROSOURCE PERU S.R.L."/>
    <n v="14141"/>
    <s v="EX"/>
    <s v="DUSTPROTEC SC IBC - ADITIVO ANTI-PO P/ FERTILIZANTES GRANULADOS"/>
    <n v="2400"/>
    <n v="2400"/>
    <n v="17044.8"/>
    <n v="0"/>
    <n v="17044.8"/>
    <n v="-2566.64"/>
    <n v="-4340.362752"/>
    <n v="-407.07284187916139"/>
    <n v="9730.7244061208366"/>
    <n v="0.57089108737684435"/>
    <n v="7.1019999999999994"/>
    <n v="7.1019999999999994"/>
    <n v="100100"/>
    <s v="START ANTIDUSTING"/>
    <s v="LIMA"/>
    <s v="Additives"/>
    <s v="International"/>
    <s v="12/2026"/>
    <s v="2026"/>
  </r>
  <r>
    <n v="11"/>
    <x v="11"/>
    <n v="452"/>
    <s v="FERTIPAR - S?O LUIS DO MARANH?O"/>
    <n v="2"/>
    <s v="MA"/>
    <s v="START ANTIDUSTING SC ADITIVO ANTI PO P/ FERTILIZANTES"/>
    <n v="30000"/>
    <n v="30000"/>
    <n v="71100"/>
    <n v="-4977.0000000000009"/>
    <n v="66123"/>
    <n v="-16086.233333333334"/>
    <n v="-26461.527299999998"/>
    <n v="-19.508581206312179"/>
    <n v="23555.730785460353"/>
    <n v="0.35624110801779035"/>
    <n v="2.37"/>
    <n v="2.37"/>
    <n v="100100"/>
    <s v="START ANTIDUSTING"/>
    <s v="SAO LUIS"/>
    <s v="Additives"/>
    <s v="Domestic"/>
    <s v="12/2026"/>
    <s v="2026"/>
  </r>
  <r>
    <n v="11"/>
    <x v="11"/>
    <n v="6124"/>
    <s v="MOSAIC - UBERABA II"/>
    <n v="1043"/>
    <s v="MG"/>
    <s v="START ANTIDUSTING SC AD ADITIVO ANTI PO P/ FERTILIZANTES"/>
    <n v="30000"/>
    <n v="30000"/>
    <n v="50700"/>
    <n v="0"/>
    <n v="50700"/>
    <n v="-12171.794416243654"/>
    <n v="-2442.1605"/>
    <n v="-1.800466235110245"/>
    <n v="36084.244617521239"/>
    <n v="0.71172080113454117"/>
    <n v="1.69"/>
    <n v="1.69"/>
    <n v="100100"/>
    <s v="START ANTIDUSTING"/>
    <s v="UBERABA"/>
    <s v="Additives"/>
    <s v="Domestic"/>
    <s v="12/2026"/>
    <s v="2026"/>
  </r>
  <r>
    <n v="11"/>
    <x v="11"/>
    <n v="139"/>
    <s v="COMIGO - RIO VERDE"/>
    <n v="1043"/>
    <s v="GO"/>
    <s v="START ANTIDUSTING SC AD ADITIVO ANTI PO P/ FERTILIZANTES"/>
    <n v="90000"/>
    <n v="90000"/>
    <n v="61250.000000000036"/>
    <n v="-4287.5000000000027"/>
    <n v="56962.500000000036"/>
    <n v="-36515.383248730963"/>
    <n v="-17066.392199999998"/>
    <n v="-12.582081690064532"/>
    <n v="3368.1424695790106"/>
    <n v="5.9129119501057863E-2"/>
    <n v="0.68055555555555591"/>
    <n v="0.68055555555555591"/>
    <n v="100100"/>
    <s v="START ANTIDUSTING"/>
    <s v="RIO VERDE"/>
    <s v="Additives"/>
    <s v="Domestic"/>
    <s v="12/2026"/>
    <s v="2026"/>
  </r>
  <r>
    <n v="11"/>
    <x v="11"/>
    <n v="1936"/>
    <s v="CIBRA - PARANAGUA II"/>
    <n v="4"/>
    <s v="PR"/>
    <s v="START ANTIDUSTING G37 ADITIVO ANTI PO P/ FERTILIZANTES"/>
    <n v="40000"/>
    <n v="40000"/>
    <n v="159600"/>
    <n v="-19152"/>
    <n v="140448"/>
    <n v="-39150.013333333329"/>
    <n v="0"/>
    <n v="0"/>
    <n v="101297.98666666666"/>
    <n v="0.72124905065694533"/>
    <n v="3.99"/>
    <n v="3.99"/>
    <n v="100100"/>
    <s v="START ANTIDUSTING"/>
    <s v="PARANAGUA"/>
    <s v="Additives"/>
    <s v="Domestic"/>
    <s v="12/2026"/>
    <s v="2026"/>
  </r>
  <r>
    <n v="11"/>
    <x v="11"/>
    <n v="1462"/>
    <s v="AURORA MINERAC?O LTDA"/>
    <n v="1042"/>
    <s v="SP"/>
    <s v="START ANTIDUSTING KG AD ADITIVO ANTI PO P/ FERTILIZANTES"/>
    <n v="45000"/>
    <n v="45000"/>
    <n v="75150"/>
    <n v="-9018"/>
    <n v="66132"/>
    <n v="-23252.559999999998"/>
    <n v="0"/>
    <n v="0"/>
    <n v="42879.44"/>
    <n v="0.64839170144559366"/>
    <n v="1.67"/>
    <n v="1.67"/>
    <n v="100100"/>
    <s v="START ANTIDUSTING"/>
    <s v="IPEUNA"/>
    <s v="Additives"/>
    <s v="Domestic"/>
    <s v="12/2026"/>
    <s v="2026"/>
  </r>
  <r>
    <n v="11"/>
    <x v="11"/>
    <n v="2287"/>
    <s v="BUNGE PARAGUAY S.A"/>
    <n v="4067"/>
    <s v="EX"/>
    <s v="DUSTPROTEC BLACK PLUS ADITIVO ANTI PO P/ FERTILIZANTES"/>
    <n v="30000"/>
    <n v="30000"/>
    <n v="159000"/>
    <n v="0"/>
    <n v="159000"/>
    <n v="-46215.959999999992"/>
    <n v="-35721.999999999898"/>
    <n v="-5074.7475384243589"/>
    <n v="71987.292461575751"/>
    <n v="0.45275026705393556"/>
    <n v="5.3"/>
    <n v="5.3"/>
    <n v="100100"/>
    <s v="START ANTIDUSTING"/>
    <s v="SAN JUAN DEL PARANA"/>
    <s v="Additives"/>
    <s v="International"/>
    <s v="12/2026"/>
    <s v="2026"/>
  </r>
  <r>
    <n v="11"/>
    <x v="11"/>
    <n v="3273"/>
    <s v="FERTIMAXI - CONCEICAO DO JACUIPE"/>
    <n v="2"/>
    <s v="BA"/>
    <s v="START ANTIDUSTING SC ADITIVO ANTI PO P/ FERTILIZANTES"/>
    <n v="30000"/>
    <n v="30000"/>
    <n v="78900"/>
    <n v="-5523.0000000000009"/>
    <n v="73377"/>
    <n v="-16086.233333333334"/>
    <n v="-18675.345000000001"/>
    <n v="-13.768271209666578"/>
    <n v="38601.653395456997"/>
    <n v="0.52607293014782552"/>
    <n v="2.63"/>
    <n v="2.63"/>
    <n v="100100"/>
    <s v="START ANTIDUSTING"/>
    <s v="CONCEICAO DO JACUIPE"/>
    <s v="Additives"/>
    <s v="Domestic"/>
    <s v="12/2026"/>
    <s v="2026"/>
  </r>
  <r>
    <n v="11"/>
    <x v="11"/>
    <n v="2680"/>
    <s v="FERMAGRI S.A - EQUADOR"/>
    <n v="14141"/>
    <s v="EX"/>
    <s v="DUSTPROTEC SC IBC - ADITIVO ANTI-PO P/ FERTILIZANTES GRANULADOS"/>
    <n v="12000"/>
    <n v="12000"/>
    <n v="69960"/>
    <n v="0"/>
    <n v="69960"/>
    <n v="-12833.2"/>
    <n v="0"/>
    <n v="-2019.3646946564884"/>
    <n v="55107.435305343512"/>
    <n v="0.78769918961325769"/>
    <n v="5.83"/>
    <n v="5.83"/>
    <n v="100100"/>
    <s v="START ANTIDUSTING"/>
    <s v="GUAYAQUIL"/>
    <s v="Additives"/>
    <s v="International"/>
    <s v="12/2026"/>
    <s v="2026"/>
  </r>
  <r>
    <n v="11"/>
    <x v="11"/>
    <n v="86"/>
    <s v="ADUBOS ARAGUAIA - ANAPOLIS"/>
    <n v="14133"/>
    <s v="GO"/>
    <s v="START ANTIDUSTING SC AD IBC ADITIVO ANTI PO P/ FERTILIZANTES"/>
    <n v="6000"/>
    <n v="6000"/>
    <n v="16500"/>
    <n v="-1155"/>
    <n v="15345"/>
    <n v="-7711.8600000000006"/>
    <n v="-2325.3747759372"/>
    <n v="-1.7143667535577531"/>
    <n v="5306.050857309242"/>
    <n v="0.34578369874938036"/>
    <n v="2.75"/>
    <n v="2.75"/>
    <n v="100100"/>
    <s v="START ANTIDUSTING"/>
    <s v="ANAPOLIS"/>
    <s v="Additives"/>
    <s v="Domestic"/>
    <s v="12/2026"/>
    <s v="2026"/>
  </r>
  <r>
    <n v="11"/>
    <x v="11"/>
    <n v="466"/>
    <s v="ADUBOS ARAGUAIA - SORRISO"/>
    <n v="1"/>
    <s v="MT"/>
    <s v="START ANTIDUSTING KG ADITIVO ANTI PO P/ FERTILIZANTES"/>
    <n v="30000"/>
    <n v="30000"/>
    <n v="72900"/>
    <n v="-5103.0000000000009"/>
    <n v="67797"/>
    <n v="-18834.93"/>
    <n v="-21002.580299999998"/>
    <n v="-15.484009621948102"/>
    <n v="27944.005690378053"/>
    <n v="0.41217171394572111"/>
    <n v="2.4300000000000002"/>
    <n v="2.4300000000000002"/>
    <n v="100100"/>
    <s v="START ANTIDUSTING"/>
    <s v="SORRISO"/>
    <s v="Additives"/>
    <s v="Domestic"/>
    <s v="12/2026"/>
    <s v="2026"/>
  </r>
  <r>
    <n v="11"/>
    <x v="11"/>
    <n v="43"/>
    <s v="CIBRA - CAMACARI"/>
    <n v="148"/>
    <s v="BA"/>
    <s v="START ANTIDUSTING BLACK ADITIVO ANTI PO P/ FERTILIZANTES"/>
    <n v="90000"/>
    <n v="90000"/>
    <n v="213300"/>
    <n v="-14931.000000000002"/>
    <n v="198369"/>
    <n v="-59230.825714285718"/>
    <n v="-62287.237958400001"/>
    <n v="-45.920842967682255"/>
    <n v="76805.015484346601"/>
    <n v="0.3871825511261669"/>
    <n v="2.37"/>
    <n v="2.37"/>
    <n v="100100"/>
    <s v="START ANTIDUSTING"/>
    <s v="CAMACARI"/>
    <s v="Additives"/>
    <s v="Domestic"/>
    <s v="12/2026"/>
    <s v="2026"/>
  </r>
  <r>
    <n v="11"/>
    <x v="11"/>
    <n v="3232"/>
    <s v="FERTILIZ. TOCANTINS - ARAGUARI"/>
    <n v="7384"/>
    <s v="MG"/>
    <s v="START ANTIDUSTING EURO KG ADITIVO ANTI PO P/ FERTILIZANTES"/>
    <n v="30000"/>
    <n v="30000"/>
    <n v="56100"/>
    <n v="-10098"/>
    <n v="46002"/>
    <n v="-20750.16"/>
    <n v="-1723.8779999999999"/>
    <n v="-1.2709173424307609"/>
    <n v="23526.691082657569"/>
    <n v="0.51142757016341833"/>
    <n v="1.87"/>
    <n v="1.87"/>
    <n v="100100"/>
    <s v="START ANTIDUSTING"/>
    <s v="ARAGUARI"/>
    <s v="Additives"/>
    <s v="Domestic"/>
    <s v="12/2026"/>
    <s v="2026"/>
  </r>
  <r>
    <n v="11"/>
    <x v="11"/>
    <n v="2696"/>
    <s v="MOSAIC FERTILIZANTES PARAGUAY S.R.L."/>
    <n v="3245"/>
    <s v="EX"/>
    <s v="DUSTPROTEC SC - ADITIVO ANTI-PO P/ FERTILIZANTES GRANULADOS"/>
    <n v="30000"/>
    <n v="30000"/>
    <n v="93810"/>
    <n v="0"/>
    <n v="93810"/>
    <n v="-14358.470000000001"/>
    <n v="-27051.200000000012"/>
    <n v="-5068.3550500390156"/>
    <n v="47331.974949960975"/>
    <n v="0.50455148651488091"/>
    <n v="3.1269999999999998"/>
    <n v="3.1269999999999998"/>
    <n v="100100"/>
    <s v="START ANTIDUSTING"/>
    <s v="ASSUNCION"/>
    <s v="Additives"/>
    <s v="International"/>
    <s v="12/2026"/>
    <s v="2026"/>
  </r>
  <r>
    <n v="11"/>
    <x v="11"/>
    <n v="10492"/>
    <s v="UNIFERTIL RIO GRANDE UN1"/>
    <n v="3"/>
    <s v="RS"/>
    <s v="START ANTIDUSTING MH ADITIVO ANTI PO P/ FERTILIZANTES"/>
    <n v="32000"/>
    <n v="32000"/>
    <n v="82880"/>
    <n v="-9945.6"/>
    <n v="72934.399999999994"/>
    <n v="-25102.34"/>
    <n v="-26049.712"/>
    <n v="-19.204973174509277"/>
    <n v="21763.143026825488"/>
    <n v="0.29839339223775735"/>
    <n v="2.59"/>
    <n v="2.59"/>
    <n v="100100"/>
    <s v="START ANTIDUSTING"/>
    <s v="RIO GRANDE"/>
    <s v="Additives"/>
    <s v="Domestic"/>
    <s v="12/2026"/>
    <s v="2026"/>
  </r>
  <r>
    <n v="11"/>
    <x v="11"/>
    <n v="9295"/>
    <s v="TECNOMYL S.A. - PARAGUAY"/>
    <n v="14146"/>
    <s v="EX"/>
    <s v="DUSTPROTEC BLACK PLUS IBC ADITIVO ANTI PO P/ FERTILIZANTES"/>
    <n v="26400"/>
    <n v="26400"/>
    <n v="135722.4"/>
    <n v="0"/>
    <n v="135722.4"/>
    <n v="-52936.790000000008"/>
    <n v="-23805.056000000008"/>
    <n v="-4460.1524440343337"/>
    <n v="54520.40155596564"/>
    <n v="0.40170525687701986"/>
    <n v="5.141"/>
    <n v="5.141"/>
    <n v="100100"/>
    <s v="START ANTIDUSTING"/>
    <s v="ASSUNCION"/>
    <s v="Additives"/>
    <s v="International"/>
    <s v="12/2026"/>
    <s v="2026"/>
  </r>
  <r>
    <n v="11"/>
    <x v="11"/>
    <n v="14632"/>
    <s v="BIGFERTIL - CANDEIAS"/>
    <n v="1043"/>
    <s v="BA"/>
    <s v="START ANTIDUSTING SC AD ADITIVO ANTI PO P/ FERTILIZANTES"/>
    <n v="30000"/>
    <n v="30000"/>
    <n v="96900"/>
    <n v="-6783.0000000000009"/>
    <n v="90117"/>
    <n v="-12171.794416243654"/>
    <n v="-21548.474999999999"/>
    <n v="-15.886466780384511"/>
    <n v="56380.844116975968"/>
    <n v="0.62564049088380624"/>
    <n v="3.23"/>
    <n v="3.23"/>
    <n v="100100"/>
    <s v="START ANTIDUSTING"/>
    <s v="CANDEIAS"/>
    <s v="Additives"/>
    <s v="Domestic"/>
    <s v="12/2026"/>
    <s v="2026"/>
  </r>
  <r>
    <n v="11"/>
    <x v="11"/>
    <n v="820"/>
    <s v="EMPRESA BRASILEIRA DE TEL S/A"/>
    <n v="1043"/>
    <s v="MG"/>
    <s v="START ANTIDUSTING SC AD ADITIVO ANTI PO P/ FERTILIZANTES"/>
    <n v="90000"/>
    <n v="90000"/>
    <n v="212400"/>
    <n v="-54342.539999999994"/>
    <n v="158057.46000000002"/>
    <n v="-36515.383248730963"/>
    <n v="0"/>
    <n v="0"/>
    <n v="121542.07675126905"/>
    <n v="0.7689739968696766"/>
    <n v="2.36"/>
    <n v="2.36"/>
    <n v="100100"/>
    <s v="START ANTIDUSTING"/>
    <s v="BELO HORIZONTE"/>
    <s v="Additives"/>
    <s v="Domestic"/>
    <s v="12/2026"/>
    <s v="2026"/>
  </r>
  <r>
    <n v="11"/>
    <x v="11"/>
    <n v="2975"/>
    <s v="COONAGRO COOPERATIVA - PARANAGUA"/>
    <n v="4"/>
    <s v="PR"/>
    <s v="START ANTIDUSTING G37 ADITIVO ANTI PO P/ FERTILIZANTES"/>
    <n v="20000"/>
    <n v="20000"/>
    <n v="79800"/>
    <n v="-9576"/>
    <n v="70224"/>
    <n v="-19575.006666666664"/>
    <n v="-9366.4037999999982"/>
    <n v="-6.9053175605404666"/>
    <n v="41275.684215772788"/>
    <n v="0.58777176201544756"/>
    <n v="3.99"/>
    <n v="3.99"/>
    <n v="100100"/>
    <s v="START ANTIDUSTING"/>
    <s v="PARANAGUA"/>
    <s v="Additives"/>
    <s v="Domestic"/>
    <s v="12/2026"/>
    <s v="2026"/>
  </r>
  <r>
    <n v="11"/>
    <x v="11"/>
    <n v="341"/>
    <s v="ADUBOS PARANAIBA - UBERLANDIA"/>
    <n v="1043"/>
    <s v="MG"/>
    <s v="START ANTIDUSTING SC AD ADITIVO ANTI PO P/ FERTILIZANTES"/>
    <n v="6000"/>
    <n v="6000"/>
    <n v="12000"/>
    <n v="-2160"/>
    <n v="9840"/>
    <n v="-2434.3588832487308"/>
    <n v="0"/>
    <n v="0"/>
    <n v="7405.6411167512688"/>
    <n v="0.75260580454789316"/>
    <n v="2"/>
    <n v="2"/>
    <n v="100100"/>
    <s v="START ANTIDUSTING"/>
    <s v="UBERLANDIA"/>
    <s v="Additives"/>
    <s v="Domestic"/>
    <s v="12/2026"/>
    <s v="2026"/>
  </r>
  <r>
    <n v="11"/>
    <x v="11"/>
    <n v="87"/>
    <s v="ADUBOS ARAGUAIA - CATALAO"/>
    <n v="14133"/>
    <s v="GO"/>
    <s v="START ANTIDUSTING SC AD IBC ADITIVO ANTI PO P/ FERTILIZANTES"/>
    <n v="12000"/>
    <n v="12000"/>
    <n v="33000"/>
    <n v="-2310"/>
    <n v="30690"/>
    <n v="-15423.720000000001"/>
    <n v="-2091.6386400000001"/>
    <n v="-1.5420463754826568"/>
    <n v="13173.099313624514"/>
    <n v="0.42923099751138855"/>
    <n v="2.75"/>
    <n v="2.75"/>
    <n v="100100"/>
    <s v="START ANTIDUSTING"/>
    <s v="CATALAO"/>
    <s v="Additives"/>
    <s v="Domestic"/>
    <s v="12/2026"/>
    <s v="2026"/>
  </r>
  <r>
    <n v="11"/>
    <x v="11"/>
    <n v="7022"/>
    <s v="MOSAIC - ROSARIO DO CATETE"/>
    <n v="1043"/>
    <s v="SE"/>
    <s v="START ANTIDUSTING SC AD ADITIVO ANTI PO P/ FERTILIZANTES"/>
    <n v="120000"/>
    <n v="120000"/>
    <n v="289200"/>
    <n v="-20244.000000000004"/>
    <n v="268956"/>
    <n v="-48687.177664974617"/>
    <n v="-100846.0043136"/>
    <n v="-74.348031471485555"/>
    <n v="119348.4699899539"/>
    <n v="0.44374719281203578"/>
    <n v="2.41"/>
    <n v="2.41"/>
    <n v="100100"/>
    <s v="START ANTIDUSTING"/>
    <s v="ROSARIO DO CATETE"/>
    <s v="Additives"/>
    <s v="Domestic"/>
    <s v="12/2026"/>
    <s v="2026"/>
  </r>
  <r>
    <n v="11"/>
    <x v="11"/>
    <n v="1874"/>
    <s v="FERTILIZ. TOCANTINS - BARCARENA"/>
    <n v="148"/>
    <s v="PA"/>
    <s v="START ANTIDUSTING BLACK ADITIVO ANTI PO P/ FERTILIZANTES"/>
    <n v="30000"/>
    <n v="30000"/>
    <n v="84300"/>
    <n v="-5901.0000000000009"/>
    <n v="78399"/>
    <n v="-19743.608571428569"/>
    <n v="-26978.690699999999"/>
    <n v="-19.889856409041411"/>
    <n v="31656.810872162387"/>
    <n v="0.40379100335670592"/>
    <n v="2.81"/>
    <n v="2.81"/>
    <n v="100100"/>
    <s v="START ANTIDUSTING"/>
    <s v="BARCARENA "/>
    <s v="Additives"/>
    <s v="Domestic"/>
    <s v="12/2026"/>
    <s v="2026"/>
  </r>
  <r>
    <n v="11"/>
    <x v="11"/>
    <n v="205"/>
    <s v="FERTIPAR - RONDONOPOLIS"/>
    <n v="231"/>
    <s v="MT"/>
    <s v="START ANTIDUSTING RED ADITIVO ANTI PO P/ FERTILIZANTES"/>
    <n v="30000"/>
    <n v="30000"/>
    <n v="73800"/>
    <n v="-5166.0000000000009"/>
    <n v="68634"/>
    <n v="-33184.97"/>
    <n v="-11980.9521"/>
    <n v="-8.8328755298937907"/>
    <n v="23459.245024470103"/>
    <n v="0.34180209552801971"/>
    <n v="2.46"/>
    <n v="2.46"/>
    <n v="100100"/>
    <s v="START ANTIDUSTING"/>
    <s v="RONDONOPOLIS"/>
    <s v="Additives"/>
    <s v="Domestic"/>
    <s v="12/2026"/>
    <s v="2026"/>
  </r>
  <r>
    <n v="11"/>
    <x v="11"/>
    <n v="205"/>
    <s v="FERTIPAR - RONDONOPOLIS"/>
    <n v="1043"/>
    <s v="MT"/>
    <s v="START ANTIDUSTING SC AD ADITIVO ANTI PO P/ FERTILIZANTES"/>
    <n v="30000"/>
    <n v="30000"/>
    <n v="54300"/>
    <n v="-3801.0000000000005"/>
    <n v="50499"/>
    <n v="-12171.794416243654"/>
    <n v="-11980.9521"/>
    <n v="-8.8328755298937907"/>
    <n v="26337.42060822645"/>
    <n v="0.52154340894327511"/>
    <n v="1.81"/>
    <n v="1.81"/>
    <n v="100100"/>
    <s v="START ANTIDUSTING"/>
    <s v="RONDONOPOLIS"/>
    <s v="Additives"/>
    <s v="Domestic"/>
    <s v="12/2026"/>
    <s v="2026"/>
  </r>
  <r>
    <n v="11"/>
    <x v="11"/>
    <n v="6477"/>
    <s v="MOSAIC - PARANAGUA II"/>
    <n v="1043"/>
    <s v="PR"/>
    <s v="START ANTIDUSTING SC AD ADITIVO ANTI PO P/ FERTILIZANTES"/>
    <n v="15000"/>
    <n v="15000"/>
    <n v="32850"/>
    <n v="-3942"/>
    <n v="28908"/>
    <n v="-6085.8972081218271"/>
    <n v="-10935.990696618001"/>
    <n v="-8.0624848353498777"/>
    <n v="11878.049610424823"/>
    <n v="0.41089143525753508"/>
    <n v="2.19"/>
    <n v="2.19"/>
    <n v="100100"/>
    <s v="START ANTIDUSTING"/>
    <s v="PARANAGUA"/>
    <s v="Additives"/>
    <s v="Domestic"/>
    <s v="12/2026"/>
    <s v="2026"/>
  </r>
  <r>
    <n v="11"/>
    <x v="11"/>
    <n v="2603"/>
    <s v="MOSAIC - S?O LUIS"/>
    <n v="1043"/>
    <s v="MA"/>
    <s v="START ANTIDUSTING SC AD ADITIVO ANTI PO P/ FERTILIZANTES"/>
    <n v="60000"/>
    <n v="60000"/>
    <n v="147600"/>
    <n v="-10332.000000000002"/>
    <n v="137268"/>
    <n v="-24343.588832487309"/>
    <n v="0"/>
    <n v="0"/>
    <n v="112924.41116751269"/>
    <n v="0.82265649071533564"/>
    <n v="2.46"/>
    <n v="2.46"/>
    <n v="100100"/>
    <s v="START ANTIDUSTING"/>
    <s v="SAO LUIS"/>
    <s v="Additives"/>
    <s v="Domestic"/>
    <s v="12/2026"/>
    <s v="2026"/>
  </r>
  <r>
    <n v="11"/>
    <x v="11"/>
    <n v="456"/>
    <s v="FERTIPAR - CANDEIAS"/>
    <n v="113"/>
    <s v="BA"/>
    <s v="MEGAMICRO ADITIVO P/ SUSPENS?O DE MICRONUTRIENTES"/>
    <n v="30000"/>
    <n v="30000"/>
    <n v="100200"/>
    <n v="-7014.0000000000009"/>
    <n v="93186"/>
    <n v="-27279.93934426229"/>
    <n v="-21548.474999999999"/>
    <n v="-15.886466780384511"/>
    <n v="44341.699188957318"/>
    <n v="0.47584078283172704"/>
    <n v="3.34"/>
    <n v="3.34"/>
    <n v="100200"/>
    <s v="ADITIVO MEGAMICRO"/>
    <s v="CANDEIAS"/>
    <s v="Additives"/>
    <s v="Domestic"/>
    <s v="12/2026"/>
    <s v="2026"/>
  </r>
  <r>
    <n v="11"/>
    <x v="11"/>
    <n v="252"/>
    <s v="FERTIPAR - PARANAGUA"/>
    <n v="10343"/>
    <s v="PR"/>
    <s v="MEGAMICRO BLACK ADITIVO P/ SUSPENS?O DE MICRONUTRIENTES"/>
    <n v="30000"/>
    <n v="30000"/>
    <n v="112800"/>
    <n v="-13536"/>
    <n v="99264"/>
    <n v="-52126.349999999991"/>
    <n v="-14049.6057"/>
    <n v="-10.357976340810701"/>
    <n v="33077.686323659196"/>
    <n v="0.33322943185504511"/>
    <n v="3.76"/>
    <n v="3.76"/>
    <n v="100200"/>
    <s v="ADITIVO MEGAMICRO"/>
    <s v="PARANAGUA"/>
    <s v="Additives"/>
    <s v="Domestic"/>
    <s v="12/2026"/>
    <s v="2026"/>
  </r>
  <r>
    <n v="11"/>
    <x v="11"/>
    <n v="214"/>
    <s v="UNIFERTIL - CANOAS UN1"/>
    <n v="113"/>
    <s v="RS"/>
    <s v="MEGAMICRO ADITIVO P/ SUSPENS?O DE MICRONUTRIENTES"/>
    <n v="30000"/>
    <n v="30000"/>
    <n v="92700"/>
    <n v="-11124"/>
    <n v="81576"/>
    <n v="-27279.93934426229"/>
    <n v="-24191.754599999997"/>
    <n v="-17.83520670544501"/>
    <n v="30086.47084903227"/>
    <n v="0.36881522566725838"/>
    <n v="3.09"/>
    <n v="3.09"/>
    <n v="100200"/>
    <s v="ADITIVO MEGAMICRO"/>
    <s v="CANOAS"/>
    <s v="Additives"/>
    <s v="Domestic"/>
    <s v="12/2026"/>
    <s v="2026"/>
  </r>
  <r>
    <n v="11"/>
    <x v="11"/>
    <n v="14632"/>
    <s v="BIGFERTIL - CANDEIAS"/>
    <n v="113"/>
    <s v="BA"/>
    <s v="MEGAMICRO ADITIVO P/ SUSPENS?O DE MICRONUTRIENTES"/>
    <n v="30000"/>
    <n v="30000"/>
    <n v="109500"/>
    <n v="-7665.0000000000009"/>
    <n v="101835"/>
    <n v="-27279.93934426229"/>
    <n v="-21548.474999999999"/>
    <n v="-15.886466780384511"/>
    <n v="52990.699188957318"/>
    <n v="0.52035841497478585"/>
    <n v="3.65"/>
    <n v="3.65"/>
    <n v="100200"/>
    <s v="ADITIVO MEGAMICRO"/>
    <s v="CANDEIAS"/>
    <s v="Additives"/>
    <s v="Domestic"/>
    <s v="12/2026"/>
    <s v="2026"/>
  </r>
  <r>
    <n v="11"/>
    <x v="11"/>
    <n v="10492"/>
    <s v="UNIFERTIL RIO GRANDE UN1"/>
    <n v="113"/>
    <s v="RS"/>
    <s v="MEGAMICRO ADITIVO P/ SUSPENS?O DE MICRONUTRIENTES"/>
    <n v="32000"/>
    <n v="32000"/>
    <n v="98880"/>
    <n v="-11865.6"/>
    <n v="87014.399999999994"/>
    <n v="-29098.601967213111"/>
    <n v="-26049.712"/>
    <n v="-19.204973174509277"/>
    <n v="31846.881059612377"/>
    <n v="0.36599552556372716"/>
    <n v="3.09"/>
    <n v="3.09"/>
    <n v="100200"/>
    <s v="ADITIVO MEGAMICRO"/>
    <s v="RIO GRANDE"/>
    <s v="Additives"/>
    <s v="Domestic"/>
    <s v="12/2026"/>
    <s v="2026"/>
  </r>
  <r>
    <n v="13"/>
    <x v="11"/>
    <n v="10676"/>
    <s v="LYCSA ARGENTINA"/>
    <n v="8208"/>
    <s v="EX"/>
    <s v="NITROPROTEC DUO BLUE - ADITIVO P/ INIBIR A NITRIFICACAO E VOLATIZACAO PARA FERTILIZANTES"/>
    <n v="5000"/>
    <n v="5000"/>
    <n v="234263.43618033268"/>
    <n v="0"/>
    <n v="234263.43618033268"/>
    <n v="-65364.939999999995"/>
    <n v="-20322.741119999999"/>
    <n v="-856.3847589126018"/>
    <n v="147719.37030142007"/>
    <n v="0.63056946790325308"/>
    <n v="46.852687236066537"/>
    <n v="46.852687236066537"/>
    <n v="100300"/>
    <s v="UREMAX"/>
    <s v="LA PAMPA"/>
    <s v="Additives"/>
    <s v="International"/>
    <s v="12/2026"/>
    <s v="2026"/>
  </r>
  <r>
    <n v="13"/>
    <x v="11"/>
    <n v="12323"/>
    <s v="TERA FERTILIZANTES - PATOS DE MINAS"/>
    <n v="8225"/>
    <s v="MG"/>
    <s v="UREMAX COAT AZUL ADITIVO INIBIDOR DE UREASE P/ FERTILIZANTES"/>
    <n v="3000"/>
    <n v="3000"/>
    <n v="69079.155949669672"/>
    <n v="-12420"/>
    <n v="56659.155949669672"/>
    <n v="-18895.426363636372"/>
    <n v="-3639.2979999999998"/>
    <n v="-2.6830477229093841"/>
    <n v="34121.748538310385"/>
    <n v="0.60222832420272432"/>
    <n v="23.026385316556556"/>
    <n v="23.026385316556556"/>
    <n v="100300"/>
    <s v="UREMAX"/>
    <s v="PATOS DE MINAS"/>
    <s v="Additives"/>
    <s v="Domestic"/>
    <s v="12/2026"/>
    <s v="2026"/>
  </r>
  <r>
    <n v="13"/>
    <x v="11"/>
    <n v="2352"/>
    <s v="BR FERTIL - PARANAGUA"/>
    <n v="8225"/>
    <s v="PR"/>
    <s v="UREMAX COAT AZUL ADITIVO INIBIDOR DE UREASE P/ FERTILIZANTES"/>
    <n v="12000"/>
    <n v="12000"/>
    <n v="288330.39005079516"/>
    <n v="-34560"/>
    <n v="253770.39005079516"/>
    <n v="-75581.705454545488"/>
    <n v="-9901.2479999999723"/>
    <n v="-7.2996278129356327"/>
    <n v="168280.13696843677"/>
    <n v="0.66311966866880523"/>
    <n v="24.02753250423293"/>
    <n v="24.02753250423293"/>
    <n v="100300"/>
    <s v="UREMAX"/>
    <s v="PARANAGUA"/>
    <s v="Additives"/>
    <s v="Domestic"/>
    <s v="12/2026"/>
    <s v="2026"/>
  </r>
  <r>
    <n v="13"/>
    <x v="11"/>
    <n v="7102"/>
    <s v="MOSAIC RONDONOPOLIS"/>
    <n v="8215"/>
    <s v="MT"/>
    <s v="UREMAX NBPT VERDE ADITIVO INIBIDOR DE UREASE P/ FERTILIZANTES"/>
    <n v="20000"/>
    <n v="20000"/>
    <n v="740848.91888051527"/>
    <n v="-51800.000000000007"/>
    <n v="689048.91888051527"/>
    <n v="-278624.18275862065"/>
    <n v="-11071.1276"/>
    <n v="-8.1621135991664424"/>
    <n v="399345.44640829542"/>
    <n v="0.57956037004905891"/>
    <n v="37.042445944025765"/>
    <n v="37.042445944025765"/>
    <n v="100300"/>
    <s v="UREMAX"/>
    <s v="RONDONOPOLIS"/>
    <s v="Additives"/>
    <s v="Domestic"/>
    <s v="12/2026"/>
    <s v="2026"/>
  </r>
  <r>
    <n v="13"/>
    <x v="11"/>
    <n v="7662"/>
    <s v="BENTONIT UNIAO - BOA VISTA"/>
    <n v="7"/>
    <s v="PB"/>
    <s v="UREMAX NBPT ADITIVO INIBIDOR DE UREASE P/ FERTILIZANTES"/>
    <n v="2000"/>
    <n v="2000"/>
    <n v="78109.503582510544"/>
    <n v="-12173.070500000002"/>
    <n v="65936.433082510543"/>
    <n v="-17539.219999999998"/>
    <n v="0"/>
    <n v="0"/>
    <n v="48397.213082510541"/>
    <n v="0.73399804660267209"/>
    <n v="39.054751791255271"/>
    <n v="39.054751791255271"/>
    <n v="100300"/>
    <s v="UREMAX"/>
    <s v="BOA VISTA "/>
    <s v="Additives"/>
    <s v="Domestic"/>
    <s v="12/2026"/>
    <s v="2026"/>
  </r>
  <r>
    <n v="13"/>
    <x v="11"/>
    <n v="9355"/>
    <s v="NITROFERT SAS - COLOMBIA"/>
    <n v="8206"/>
    <s v="EX"/>
    <s v="NITROPROTEC DUO PURPLE - ADITIVO P/ INIBIR A NITRIFICACAO E VOLATIZACAO PARA FERTILIZANTES"/>
    <n v="24000"/>
    <n v="24000"/>
    <n v="1260724.6304971017"/>
    <n v="0"/>
    <n v="1260724.6304971017"/>
    <n v="-335009.89"/>
    <n v="0"/>
    <n v="-4038.7293893129768"/>
    <n v="921676.01110778865"/>
    <n v="0.73106845762533668"/>
    <n v="52.53019293737924"/>
    <n v="52.53019293737924"/>
    <n v="100300"/>
    <s v="UREMAX"/>
    <s v="BARRANQUILLA"/>
    <s v="Additives"/>
    <s v="International"/>
    <s v="12/2026"/>
    <s v="2026"/>
  </r>
  <r>
    <n v="13"/>
    <x v="11"/>
    <n v="2975"/>
    <s v="COONAGRO COOPERATIVA - PARANAGUA"/>
    <n v="8218"/>
    <s v="PR"/>
    <s v="UREMAX NBPT LARANJA ADITIVO INIBIDOR DE UREASE P/ FERTILIZANTES"/>
    <n v="6000"/>
    <n v="6000"/>
    <n v="180086.35611922579"/>
    <n v="-21585.599999999999"/>
    <n v="158500.75611922579"/>
    <n v="-69358.465000000011"/>
    <n v="-9901.2479999999723"/>
    <n v="-7.2996278129356327"/>
    <n v="79233.743491412868"/>
    <n v="0.49989505054356009"/>
    <n v="30.014392686537633"/>
    <n v="30.014392686537633"/>
    <n v="100300"/>
    <s v="UREMAX"/>
    <s v="PARANAGUA"/>
    <s v="Additives"/>
    <s v="Domestic"/>
    <s v="12/2026"/>
    <s v="2026"/>
  </r>
  <r>
    <n v="13"/>
    <x v="11"/>
    <n v="1936"/>
    <s v="CIBRA - PARANAGUA II"/>
    <n v="8218"/>
    <s v="PR"/>
    <s v="UREMAX NBPT LARANJA ADITIVO INIBIDOR DE UREASE P/ FERTILIZANTES"/>
    <n v="6000"/>
    <n v="6000"/>
    <n v="180086.35611922579"/>
    <n v="-21585.599999999999"/>
    <n v="158500.75611922579"/>
    <n v="-69358.465000000011"/>
    <n v="0"/>
    <n v="0"/>
    <n v="89142.291119225774"/>
    <n v="0.56240924839609019"/>
    <n v="30.014392686537633"/>
    <n v="30.014392686537633"/>
    <n v="100300"/>
    <s v="UREMAX"/>
    <s v="PARANAGUA"/>
    <s v="Additives"/>
    <s v="Domestic"/>
    <s v="12/2026"/>
    <s v="2026"/>
  </r>
  <r>
    <n v="13"/>
    <x v="11"/>
    <n v="7103"/>
    <s v="MOSAIC - RIO VERDE"/>
    <n v="8215"/>
    <s v="GO"/>
    <s v="UREMAX NBPT VERDE ADITIVO INIBIDOR DE UREASE P/ FERTILIZANTES"/>
    <n v="12000"/>
    <n v="12000"/>
    <n v="480550.65008465858"/>
    <n v="-33600"/>
    <n v="446950.65008465858"/>
    <n v="-167174.50965517238"/>
    <n v="-3801.3720000000039"/>
    <n v="-2.8025356781806554"/>
    <n v="275971.96589380794"/>
    <n v="0.61745511689385635"/>
    <n v="40.045887507054879"/>
    <n v="40.045887507054879"/>
    <n v="100300"/>
    <s v="UREMAX"/>
    <s v="RIO VERDE"/>
    <s v="Additives"/>
    <s v="Domestic"/>
    <s v="12/2026"/>
    <s v="2026"/>
  </r>
  <r>
    <n v="13"/>
    <x v="11"/>
    <n v="1152"/>
    <s v="ADUBOS BOA SAFRA - ITUMBIARA"/>
    <n v="8225"/>
    <s v="GO"/>
    <s v="UREMAX COAT AZUL ADITIVO INIBIDOR DE UREASE P/ FERTILIZANTES"/>
    <n v="3000"/>
    <n v="3000"/>
    <n v="75086.039075727895"/>
    <n v="-5250.0000000000009"/>
    <n v="69836.039075727895"/>
    <n v="-18895.426363636372"/>
    <n v="-2565.0327775799997"/>
    <n v="-1.8910529868875678"/>
    <n v="48373.688881524635"/>
    <n v="0.69267515056330453"/>
    <n v="25.0286796919093"/>
    <n v="25.0286796919093"/>
    <n v="100300"/>
    <s v="UREMAX"/>
    <s v="ITUMBIARA"/>
    <s v="Additives"/>
    <s v="Domestic"/>
    <s v="12/2026"/>
    <s v="2026"/>
  </r>
  <r>
    <n v="13"/>
    <x v="11"/>
    <n v="8413"/>
    <s v="AMAGGI - SINOP"/>
    <n v="8214"/>
    <s v="MT"/>
    <s v="UREMAX NBPT AZUL ADITIVO INIBIDOR DE UREASE P/ FERTILIZANTES"/>
    <n v="12000"/>
    <n v="12000"/>
    <n v="373748.2681033432"/>
    <n v="-26132.400000000001"/>
    <n v="347615.86810334318"/>
    <n v="-109177.2676056338"/>
    <n v="-12906.984000000033"/>
    <n v="-9.5155862561482856"/>
    <n v="225522.10091145322"/>
    <n v="0.6487681420930056"/>
    <n v="31.145689008611935"/>
    <n v="31.145689008611935"/>
    <n v="100300"/>
    <s v="UREMAX"/>
    <s v="SINOP"/>
    <s v="Additives"/>
    <s v="Domestic"/>
    <s v="12/2026"/>
    <s v="2026"/>
  </r>
  <r>
    <n v="13"/>
    <x v="11"/>
    <n v="12287"/>
    <s v="GEN FERTILIZANTES - BARCARENA"/>
    <n v="8214"/>
    <s v="PA"/>
    <s v="UREMAX NBPT AZUL ADITIVO INIBIDOR DE UREASE P/ FERTILIZANTES"/>
    <n v="24000"/>
    <n v="24000"/>
    <n v="667965.40361767542"/>
    <n v="-46704.000000000007"/>
    <n v="621261.40361767542"/>
    <n v="-218354.53521126759"/>
    <n v="-31768.437837500001"/>
    <n v="-23.421064941725771"/>
    <n v="371115.00950396608"/>
    <n v="0.59735725950931673"/>
    <n v="27.831891817403143"/>
    <n v="27.831891817403143"/>
    <n v="100300"/>
    <s v="UREMAX"/>
    <s v="BARCARENA "/>
    <s v="Additives"/>
    <s v="Domestic"/>
    <s v="12/2026"/>
    <s v="2026"/>
  </r>
  <r>
    <n v="13"/>
    <x v="11"/>
    <n v="10891"/>
    <s v="HINOVE - RIO BRILHANTE"/>
    <n v="8214"/>
    <s v="MS"/>
    <s v="UREMAX NBPT AZUL ADITIVO INIBIDOR DE UREASE P/ FERTILIZANTES"/>
    <n v="4000"/>
    <n v="4000"/>
    <n v="124542.71014694068"/>
    <n v="-8708"/>
    <n v="115834.71014694068"/>
    <n v="-36392.42253521127"/>
    <n v="-7691.1480000000047"/>
    <n v="-5.6702466046910907"/>
    <n v="71745.469365124722"/>
    <n v="0.61937798501082186"/>
    <n v="31.135677536735169"/>
    <n v="31.135677536735169"/>
    <n v="100300"/>
    <s v="UREMAX"/>
    <s v="RIO BRILHANTE"/>
    <s v="Additives"/>
    <s v="Domestic"/>
    <s v="12/2026"/>
    <s v="2026"/>
  </r>
  <r>
    <n v="13"/>
    <x v="11"/>
    <n v="2622"/>
    <s v="ADUFERTIL JUNDIAI"/>
    <n v="8215"/>
    <s v="SP"/>
    <s v="UREMAX NBPT VERDE ADITIVO INIBIDOR DE UREASE P/ FERTILIZANTES"/>
    <n v="24000"/>
    <n v="24000"/>
    <n v="832073.45062158629"/>
    <n v="-99734.399999999994"/>
    <n v="732339.05062158627"/>
    <n v="-334349.01931034477"/>
    <n v="-8810.9319999999989"/>
    <n v="-6.495799750201666"/>
    <n v="389172.60351149132"/>
    <n v="0.53141042141774897"/>
    <n v="34.66972710923276"/>
    <n v="34.66972710923276"/>
    <n v="100300"/>
    <s v="UREMAX"/>
    <s v="JUNDIAI"/>
    <s v="Additives"/>
    <s v="Domestic"/>
    <s v="12/2026"/>
    <s v="2026"/>
  </r>
  <r>
    <n v="13"/>
    <x v="11"/>
    <n v="10598"/>
    <s v="GEN FERTILIZANTES - BOM JESUS 2"/>
    <n v="8214"/>
    <s v="GO"/>
    <s v="UREMAX NBPT AZUL ADITIVO INIBIDOR DE UREASE P/ FERTILIZANTES"/>
    <n v="12000"/>
    <n v="12000"/>
    <n v="312357.92255502805"/>
    <n v="-21840.000000000004"/>
    <n v="290517.92255502805"/>
    <n v="-109177.2676056338"/>
    <n v="0"/>
    <n v="0"/>
    <n v="181340.65494939426"/>
    <n v="0.62419782350965236"/>
    <n v="26.02982687958567"/>
    <n v="26.02982687958567"/>
    <n v="100300"/>
    <s v="UREMAX"/>
    <s v="BOM JESUS"/>
    <s v="Additives"/>
    <s v="Domestic"/>
    <s v="12/2026"/>
    <s v="2026"/>
  </r>
  <r>
    <n v="13"/>
    <x v="11"/>
    <n v="7648"/>
    <s v="LOUIS DREYFUS - PARANAGUA"/>
    <n v="8215"/>
    <s v="PR"/>
    <s v="UREMAX NBPT VERDE ADITIVO INIBIDOR DE UREASE P/ FERTILIZANTES"/>
    <n v="6000"/>
    <n v="6000"/>
    <n v="203032.64966076825"/>
    <n v="-24336"/>
    <n v="178696.64966076825"/>
    <n v="-83587.254827586192"/>
    <n v="-9901.2479999999723"/>
    <n v="-7.2996278129356327"/>
    <n v="85200.847205369151"/>
    <n v="0.47679040075519935"/>
    <n v="33.838774943461374"/>
    <n v="33.838774943461374"/>
    <n v="100300"/>
    <s v="UREMAX"/>
    <s v="PARANAGUA"/>
    <s v="Additives"/>
    <s v="Domestic"/>
    <s v="12/2026"/>
    <s v="2026"/>
  </r>
  <r>
    <n v="13"/>
    <x v="11"/>
    <n v="2809"/>
    <s v="CISBRA QUIMICA - FORMOSA"/>
    <n v="8214"/>
    <s v="GO"/>
    <s v="UREMAX NBPT AZUL ADITIVO INIBIDOR DE UREASE P/ FERTILIZANTES"/>
    <n v="3000"/>
    <n v="3000"/>
    <n v="87099.805327844369"/>
    <n v="-6090.0000000000009"/>
    <n v="81009.805327844369"/>
    <n v="-27294.316901408449"/>
    <n v="-4597.0079999999998"/>
    <n v="-3.3891129131486961"/>
    <n v="49115.091313522767"/>
    <n v="0.60628575904799908"/>
    <n v="29.033268442614791"/>
    <n v="29.033268442614791"/>
    <n v="100300"/>
    <s v="UREMAX"/>
    <s v="FORMOSA"/>
    <s v="Additives"/>
    <s v="Domestic"/>
    <s v="12/2026"/>
    <s v="2026"/>
  </r>
  <r>
    <n v="13"/>
    <x v="11"/>
    <n v="2011"/>
    <s v="FERTGROW S.A"/>
    <n v="8224"/>
    <s v="MA"/>
    <s v="UREMAX COAT VERDE ADITIVO INIBIDOR DE UREASE P/ FERTILIZANTES"/>
    <n v="44000"/>
    <n v="44000"/>
    <n v="903475.26804666512"/>
    <n v="-63170.8"/>
    <n v="840304.46804666508"/>
    <n v="-294864.14999999997"/>
    <n v="-28539.757999999998"/>
    <n v="-21.040742669131486"/>
    <n v="516879.51930399594"/>
    <n v="0.61510980716966956"/>
    <n v="20.533528819242388"/>
    <n v="20.533528819242388"/>
    <n v="100300"/>
    <s v="UREMAX"/>
    <s v="SAO LUIS"/>
    <s v="Additives"/>
    <s v="Domestic"/>
    <s v="12/2026"/>
    <s v="2026"/>
  </r>
  <r>
    <n v="13"/>
    <x v="11"/>
    <n v="16918"/>
    <s v="FERTZ FERTILIZANTES S/A"/>
    <n v="8225"/>
    <s v="PA"/>
    <s v="UREMAX COAT AZUL ADITIVO INIBIDOR DE UREASE P/ FERTILIZANTES"/>
    <n v="10000"/>
    <n v="10000"/>
    <n v="250286.796919093"/>
    <n v="-17500"/>
    <n v="232786.796919093"/>
    <n v="-62984.754545454576"/>
    <n v="-19714.091999999993"/>
    <n v="-14.534080377541517"/>
    <n v="150073.41629326087"/>
    <n v="0.64468182164738552"/>
    <n v="25.0286796919093"/>
    <n v="25.0286796919093"/>
    <n v="100300"/>
    <s v="UREMAX"/>
    <s v="BARCARENA "/>
    <s v="Additives"/>
    <s v="Domestic"/>
    <s v="12/2026"/>
    <s v="2026"/>
  </r>
  <r>
    <n v="13"/>
    <x v="11"/>
    <n v="97"/>
    <s v="FECOAGRO - SAO FRANCISCO DO SUL"/>
    <n v="8223"/>
    <s v="SC"/>
    <s v="UREMAX PLUS AZUL ADITIVO P/ INIBIR A NITRIFICACAO E VOLATIZACAO P/ FERTILIZANTES"/>
    <n v="12000"/>
    <n v="12000"/>
    <n v="456523.11758042563"/>
    <n v="-54720"/>
    <n v="401803.11758042563"/>
    <n v="-138830.76999999996"/>
    <n v="-9901.2479999999723"/>
    <n v="-7.2996278129356327"/>
    <n v="253063.79995261278"/>
    <n v="0.62982039929533173"/>
    <n v="38.043593131702139"/>
    <n v="38.043593131702139"/>
    <n v="100300"/>
    <s v="UREMAX"/>
    <s v="SAO FRANCISCO DO SUL"/>
    <s v="Additives"/>
    <s v="Domestic"/>
    <s v="12/2026"/>
    <s v="2026"/>
  </r>
  <r>
    <n v="13"/>
    <x v="11"/>
    <n v="13861"/>
    <s v="ADUBOS ARAGUAIA - GUARANT? DO NORTE"/>
    <n v="8214"/>
    <s v="MT"/>
    <s v="UREMAX NBPT AZUL ADITIVO INIBIDOR DE UREASE P/ FERTILIZANTES"/>
    <n v="10000"/>
    <n v="10000"/>
    <n v="392649.92700667313"/>
    <n v="-27454.000000000004"/>
    <n v="365195.92700667313"/>
    <n v="-90981.056338028167"/>
    <n v="-14435.831371883998"/>
    <n v="-10.642718593156486"/>
    <n v="259768.3965781678"/>
    <n v="0.71131241442739612"/>
    <n v="39.264992700667314"/>
    <n v="39.264992700667314"/>
    <n v="100300"/>
    <s v="UREMAX"/>
    <s v="GUARANT? DO NORTE"/>
    <s v="Additives"/>
    <s v="Domestic"/>
    <s v="12/2026"/>
    <s v="2026"/>
  </r>
  <r>
    <n v="13"/>
    <x v="11"/>
    <n v="6124"/>
    <s v="MOSAIC - UBERABA II"/>
    <n v="8215"/>
    <s v="MG"/>
    <s v="UREMAX NBPT VERDE ADITIVO INIBIDOR DE UREASE P/ FERTILIZANTES"/>
    <n v="24000"/>
    <n v="24000"/>
    <n v="870517.50262835901"/>
    <n v="0"/>
    <n v="870517.50262835901"/>
    <n v="-334349.01931034477"/>
    <n v="-4003.2278000000001"/>
    <n v="-2.9513524952003229"/>
    <n v="532162.30416551908"/>
    <n v="0.61131717921668205"/>
    <n v="36.271562609514959"/>
    <n v="36.271562609514959"/>
    <n v="100300"/>
    <s v="UREMAX"/>
    <s v="UBERABA"/>
    <s v="Additives"/>
    <s v="Domestic"/>
    <s v="12/2026"/>
    <s v="2026"/>
  </r>
  <r>
    <n v="13"/>
    <x v="11"/>
    <n v="215"/>
    <s v="UNIFERTIL - CANOAS UN2"/>
    <n v="8216"/>
    <s v="RS"/>
    <s v="UREMAX NBPT ROXO ADITIVO INIBIDOR DE UREASE P/ FERTILIZANTES"/>
    <n v="12000"/>
    <n v="12000"/>
    <n v="373267.71745325852"/>
    <n v="-44740.799999999996"/>
    <n v="328526.91745325853"/>
    <n v="-114450.51999999999"/>
    <n v="-14321.447999999978"/>
    <n v="-10.558390229424768"/>
    <n v="199744.39106302915"/>
    <n v="0.60800007686264546"/>
    <n v="31.105643121104876"/>
    <n v="31.105643121104876"/>
    <n v="100300"/>
    <s v="UREMAX"/>
    <s v="CANOAS"/>
    <s v="Additives"/>
    <s v="Domestic"/>
    <s v="12/2026"/>
    <s v="2026"/>
  </r>
  <r>
    <n v="13"/>
    <x v="11"/>
    <n v="833"/>
    <s v="TERRENA - PATOS DE MINAS"/>
    <n v="8215"/>
    <s v="MG"/>
    <s v="UREMAX NBPT VERDE ADITIVO INIBIDOR DE UREASE P/ FERTILIZANTES"/>
    <n v="6000"/>
    <n v="6000"/>
    <n v="162185.84440357226"/>
    <n v="0"/>
    <n v="162185.84440357226"/>
    <n v="-83587.254827586192"/>
    <n v="-3639.2979999999998"/>
    <n v="-2.6830477229093841"/>
    <n v="74956.608528263168"/>
    <n v="0.46216492446619584"/>
    <n v="27.030974067262044"/>
    <n v="27.030974067262044"/>
    <n v="100300"/>
    <s v="UREMAX"/>
    <s v="PATOS DE MINAS"/>
    <s v="Additives"/>
    <s v="Domestic"/>
    <s v="12/2026"/>
    <s v="2026"/>
  </r>
  <r>
    <n v="13"/>
    <x v="11"/>
    <n v="12972"/>
    <s v="INVICTA FERTILIZER - RIO GRANDE"/>
    <n v="8217"/>
    <s v="RS"/>
    <s v="UREMAX NBPT AMARELO ADITIVO INIBIDOR DE UREASE P/ FERTILIZANTES"/>
    <n v="5000"/>
    <n v="5000"/>
    <n v="126094.48828783905"/>
    <n v="-15114"/>
    <n v="110980.48828783905"/>
    <n v="-80711.780851063842"/>
    <n v="-14498.255999999972"/>
    <n v="-10.688740726084328"/>
    <n v="15759.762696049151"/>
    <n v="0.14200480588240541"/>
    <n v="25.218897657567808"/>
    <n v="25.218897657567808"/>
    <n v="100300"/>
    <s v="UREMAX"/>
    <s v="RIO GRANDE"/>
    <s v="Additives"/>
    <s v="Domestic"/>
    <s v="12/2026"/>
    <s v="2026"/>
  </r>
  <r>
    <n v="13"/>
    <x v="11"/>
    <n v="86"/>
    <s v="ADUBOS ARAGUAIA - ANAPOLIS"/>
    <n v="8214"/>
    <s v="GO"/>
    <s v="UREMAX NBPT AZUL ADITIVO INIBIDOR DE UREASE P/ FERTILIZANTES"/>
    <n v="6000"/>
    <n v="6000"/>
    <n v="192220.26003386342"/>
    <n v="-13440.000000000002"/>
    <n v="178780.26003386342"/>
    <n v="-54588.633802816898"/>
    <n v="-4066.5840000000026"/>
    <n v="-2.9980614231700025"/>
    <n v="120122.04416962335"/>
    <n v="0.67189769243467146"/>
    <n v="32.036710005643904"/>
    <n v="32.036710005643904"/>
    <n v="100300"/>
    <s v="UREMAX"/>
    <s v="ANAPOLIS"/>
    <s v="Additives"/>
    <s v="Domestic"/>
    <s v="12/2026"/>
    <s v="2026"/>
  </r>
  <r>
    <n v="13"/>
    <x v="11"/>
    <n v="12031"/>
    <s v="EVOAGRO NUTRICION S.A.S - COLOMBIA"/>
    <n v="8203"/>
    <s v="EX"/>
    <s v="NITROPROTEC YELLOW - ADITIVO INIBIDOR DE UREASE P/ FERTILIZANTE NITROGENADO"/>
    <n v="8800"/>
    <n v="8800"/>
    <n v="447323.77630230499"/>
    <n v="0"/>
    <n v="447323.77630230499"/>
    <n v="-181767.42"/>
    <n v="-9290.16"/>
    <n v="-1487.7165500851286"/>
    <n v="254778.47975221986"/>
    <n v="0.56956167601526853"/>
    <n v="50.83224730708011"/>
    <n v="50.83224730708011"/>
    <n v="100300"/>
    <s v="UREMAX"/>
    <s v="BARRANQUILLA"/>
    <s v="Additives"/>
    <s v="International"/>
    <s v="12/2026"/>
    <s v="2026"/>
  </r>
  <r>
    <n v="13"/>
    <x v="11"/>
    <n v="139"/>
    <s v="COMIGO - RIO VERDE"/>
    <n v="8225"/>
    <s v="GO"/>
    <s v="UREMAX COAT AZUL ADITIVO INIBIDOR DE UREASE P/ FERTILIZANTES"/>
    <n v="27000"/>
    <n v="27000"/>
    <n v="696798.44262275554"/>
    <n v="-48720.000000000044"/>
    <n v="648078.44262275554"/>
    <n v="-170058.83727272734"/>
    <n v="-6320.8859999999995"/>
    <n v="-4.660030255579457"/>
    <n v="471694.05931977264"/>
    <n v="0.72783482414696565"/>
    <n v="25.807349726768724"/>
    <n v="25.807349726768724"/>
    <n v="100300"/>
    <s v="UREMAX"/>
    <s v="RIO VERDE"/>
    <s v="Additives"/>
    <s v="Domestic"/>
    <s v="12/2026"/>
    <s v="2026"/>
  </r>
  <r>
    <n v="13"/>
    <x v="11"/>
    <n v="5695"/>
    <s v="CAMPO RICO - SANTAREM"/>
    <n v="8215"/>
    <s v="PA"/>
    <s v="UREMAX NBPT VERDE ADITIVO INIBIDOR DE UREASE P/ FERTILIZANTES"/>
    <n v="12000"/>
    <n v="12000"/>
    <n v="360412.98756349389"/>
    <n v="-25200.000000000004"/>
    <n v="335212.98756349389"/>
    <n v="-167174.50965517238"/>
    <n v="-19714.091999999993"/>
    <n v="-14.534080377541517"/>
    <n v="148309.85182794396"/>
    <n v="0.44243468281446602"/>
    <n v="30.034415630291157"/>
    <n v="30.034415630291157"/>
    <n v="100300"/>
    <s v="UREMAX"/>
    <s v="SANTAREM"/>
    <s v="Additives"/>
    <s v="Domestic"/>
    <s v="12/2026"/>
    <s v="2026"/>
  </r>
  <r>
    <n v="13"/>
    <x v="11"/>
    <n v="2588"/>
    <s v="FERTILIZ. TOCANTINS - SINOP"/>
    <n v="8217"/>
    <s v="MT"/>
    <s v="UREMAX NBPT AMARELO ADITIVO INIBIDOR DE UREASE P/ FERTILIZANTES"/>
    <n v="24000"/>
    <n v="24000"/>
    <n v="887577.05070636433"/>
    <n v="-62059.200000000004"/>
    <n v="825517.85070636438"/>
    <n v="-387416.54808510642"/>
    <n v="-19700.094700000001"/>
    <n v="-14.523760963222641"/>
    <n v="418386.68416029471"/>
    <n v="0.50681724665589856"/>
    <n v="36.982377112765178"/>
    <n v="36.982377112765178"/>
    <n v="100300"/>
    <s v="UREMAX"/>
    <s v="SINOP"/>
    <s v="Additives"/>
    <s v="Domestic"/>
    <s v="12/2026"/>
    <s v="2026"/>
  </r>
  <r>
    <n v="13"/>
    <x v="11"/>
    <n v="729"/>
    <s v="FERTILIZ. TOCANTINS - S?O LUIS"/>
    <n v="8217"/>
    <s v="MA"/>
    <s v="UREMAX NBPT AMARELO ADITIVO INIBIDOR DE UREASE P/ FERTILIZANTES"/>
    <n v="12000"/>
    <n v="12000"/>
    <n v="454120.36433000234"/>
    <n v="-31752.000000000004"/>
    <n v="422368.36433000234"/>
    <n v="-193708.27404255321"/>
    <n v="-19802.496000000036"/>
    <n v="-14.599255625871331"/>
    <n v="208842.99503182323"/>
    <n v="0.49445700168171514"/>
    <n v="37.843363694166861"/>
    <n v="37.843363694166861"/>
    <n v="100300"/>
    <s v="UREMAX"/>
    <s v="SAO LUIS"/>
    <s v="Additives"/>
    <s v="Domestic"/>
    <s v="12/2026"/>
    <s v="2026"/>
  </r>
  <r>
    <n v="13"/>
    <x v="11"/>
    <n v="7443"/>
    <s v="MOSAIC - CATAL?O"/>
    <n v="8215"/>
    <s v="GO"/>
    <s v="UREMAX NBPT VERDE ADITIVO INIBIDOR DE UREASE P/ FERTILIZANTES"/>
    <n v="12000"/>
    <n v="12000"/>
    <n v="444509.35132830916"/>
    <n v="-31080.000000000004"/>
    <n v="413429.35132830916"/>
    <n v="-167174.50965517238"/>
    <n v="-2121.6959999999981"/>
    <n v="-1.5642059599147815"/>
    <n v="244131.58146717687"/>
    <n v="0.59050374793856641"/>
    <n v="37.042445944025765"/>
    <n v="37.042445944025765"/>
    <n v="100300"/>
    <s v="UREMAX"/>
    <s v="CATALAO"/>
    <s v="Additives"/>
    <s v="Domestic"/>
    <s v="12/2026"/>
    <s v="2026"/>
  </r>
  <r>
    <n v="13"/>
    <x v="11"/>
    <n v="11580"/>
    <s v="AGRO MIL AGROS SAS - COLOMBIA"/>
    <n v="9680"/>
    <s v="EX"/>
    <s v="NITROPROTEC ORANGE - ADITIVO INIBIDOR DE UREASE P/ FERTILIZANTE NITROGENADO"/>
    <n v="2200"/>
    <n v="2200"/>
    <n v="91580.940139883809"/>
    <n v="0"/>
    <n v="91580.940139883809"/>
    <n v="-37826.949999999997"/>
    <n v="0"/>
    <n v="-370.21686068702292"/>
    <n v="53383.773279196786"/>
    <n v="0.58291357565948343"/>
    <n v="41.627700063583546"/>
    <n v="41.627700063583546"/>
    <n v="100300"/>
    <s v="UREMAX"/>
    <s v="SAN PEDRO DE LOS MILAGROS"/>
    <s v="Additives"/>
    <s v="International"/>
    <s v="12/2026"/>
    <s v="2026"/>
  </r>
  <r>
    <n v="13"/>
    <x v="11"/>
    <n v="2680"/>
    <s v="FERMAGRI S.A - EQUADOR"/>
    <n v="8202"/>
    <s v="EX"/>
    <s v="NITROPROTEC PURPLE - ADITIVO INIBIDOR DE UREASE P/ FERTILIZANTE NITROGENADO"/>
    <n v="8800"/>
    <n v="8800"/>
    <n v="420241.5434990339"/>
    <n v="0"/>
    <n v="420241.5434990339"/>
    <n v="-190120.63999999998"/>
    <n v="0"/>
    <n v="-1480.8674427480917"/>
    <n v="228640.03605628581"/>
    <n v="0.54406814269853698"/>
    <n v="47.75472085216294"/>
    <n v="47.75472085216294"/>
    <n v="100300"/>
    <s v="UREMAX"/>
    <s v="GUAYAQUIL"/>
    <s v="Additives"/>
    <s v="International"/>
    <s v="12/2026"/>
    <s v="2026"/>
  </r>
  <r>
    <n v="13"/>
    <x v="11"/>
    <n v="2003"/>
    <s v="HERINGER - RIO GRANDE"/>
    <n v="8217"/>
    <s v="RS"/>
    <s v="UREMAX NBPT AMARELO ADITIVO INIBIDOR DE UREASE P/ FERTILIZANTES"/>
    <n v="6000"/>
    <n v="6000"/>
    <n v="221894.26267659108"/>
    <n v="-26596.799999999999"/>
    <n v="195297.46267659109"/>
    <n v="-96854.137021276605"/>
    <n v="-14498.255999999972"/>
    <n v="-10.688740726084328"/>
    <n v="83934.380914588444"/>
    <n v="0.42977711929408008"/>
    <n v="36.982377112765178"/>
    <n v="36.982377112765178"/>
    <n v="100300"/>
    <s v="UREMAX"/>
    <s v="RIO GRANDE"/>
    <s v="Additives"/>
    <s v="Domestic"/>
    <s v="12/2026"/>
    <s v="2026"/>
  </r>
  <r>
    <n v="13"/>
    <x v="11"/>
    <n v="10492"/>
    <s v="UNIFERTIL RIO GRANDE UN1"/>
    <n v="8216"/>
    <s v="RS"/>
    <s v="UREMAX NBPT ROXO ADITIVO INIBIDOR DE UREASE P/ FERTILIZANTES"/>
    <n v="12000"/>
    <n v="12000"/>
    <n v="373267.71745325852"/>
    <n v="-44740.799999999996"/>
    <n v="328526.91745325853"/>
    <n v="-114450.51999999999"/>
    <n v="-14498.255999999972"/>
    <n v="-10.688740726084328"/>
    <n v="199567.45271253248"/>
    <n v="0.60746149587857168"/>
    <n v="31.105643121104876"/>
    <n v="31.105643121104876"/>
    <n v="100300"/>
    <s v="UREMAX"/>
    <s v="RIO GRANDE"/>
    <s v="Additives"/>
    <s v="Domestic"/>
    <s v="12/2026"/>
    <s v="2026"/>
  </r>
  <r>
    <n v="11"/>
    <x v="11"/>
    <n v="456"/>
    <s v="FERTIPAR - CANDEIAS"/>
    <n v="3353"/>
    <s v="BA"/>
    <s v="MAX OIL MTF ADITIVO ANTI-PO P/ FERTILIZANTES"/>
    <n v="30000"/>
    <n v="30000"/>
    <n v="185400"/>
    <n v="-12978.000000000002"/>
    <n v="172422"/>
    <n v="-97302.37"/>
    <n v="-21548.474999999999"/>
    <n v="-15.886466780384511"/>
    <n v="53555.26853321962"/>
    <n v="0.3106057726578953"/>
    <n v="6.18"/>
    <n v="6.18"/>
    <n v="100700"/>
    <s v="MAX OIL"/>
    <s v="CANDEIAS"/>
    <s v="Additives"/>
    <s v="Domestic"/>
    <s v="12/2026"/>
    <s v="2026"/>
  </r>
  <r>
    <n v="11"/>
    <x v="11"/>
    <n v="6477"/>
    <s v="MOSAIC - PARANAGUA II"/>
    <n v="3362"/>
    <s v="PR"/>
    <s v="MAX OIL M-NPK ADITIVO ANTI-PO P/ FERTILIZANTES"/>
    <n v="200000"/>
    <n v="200000"/>
    <n v="1226000"/>
    <n v="-147120"/>
    <n v="1078880"/>
    <n v="-635544"/>
    <n v="-93664.038"/>
    <n v="-69.053175605404689"/>
    <n v="349602.90882439457"/>
    <n v="0.32404244107258878"/>
    <n v="6.13"/>
    <n v="6.13"/>
    <n v="100700"/>
    <s v="MAX OIL"/>
    <s v="PARANAGUA"/>
    <s v="Additives"/>
    <s v="Domestic"/>
    <s v="12/2026"/>
    <s v="2026"/>
  </r>
  <r>
    <n v="11"/>
    <x v="11"/>
    <n v="6370"/>
    <s v="YTL S.A. - PARAGUAI"/>
    <n v="7010"/>
    <s v="EX"/>
    <s v="MAX OIL GRI ADITIVO ANTI-PO P/ FERTILIZANTES"/>
    <n v="28000"/>
    <n v="28000"/>
    <n v="189840"/>
    <n v="0"/>
    <n v="189840"/>
    <n v="-75852"/>
    <n v="-28440.27648"/>
    <n v="-4732.818354792922"/>
    <n v="80814.905165207078"/>
    <n v="0.42570009041933776"/>
    <n v="6.78"/>
    <n v="6.78"/>
    <n v="100700"/>
    <s v="MAX OIL"/>
    <s v="ITAPUA"/>
    <s v="Additives"/>
    <s v="International"/>
    <s v="12/2026"/>
    <s v="2026"/>
  </r>
  <r>
    <n v="11"/>
    <x v="11"/>
    <n v="12629"/>
    <s v="EUROCHEM SERRA DO SALITRE"/>
    <n v="3359"/>
    <s v="MG"/>
    <s v="MAX OIL GRV ADITIVO ANTI-PO P/ FERTILIZANTES"/>
    <n v="90000"/>
    <n v="90000"/>
    <n v="490500"/>
    <n v="-88290"/>
    <n v="402210"/>
    <n v="-222308.05743243246"/>
    <n v="-12668.590771199999"/>
    <n v="-9.3398324680031699"/>
    <n v="167224.01196389954"/>
    <n v="0.4157629396680827"/>
    <n v="5.45"/>
    <n v="5.45"/>
    <n v="100700"/>
    <s v="MAX OIL"/>
    <s v="SERRA DO SALITRE"/>
    <s v="Additives"/>
    <s v="Domestic"/>
    <s v="12/2026"/>
    <s v="2026"/>
  </r>
  <r>
    <n v="11"/>
    <x v="11"/>
    <n v="2949"/>
    <s v="MOSAIC - CANDEIAS"/>
    <n v="3362"/>
    <s v="BA"/>
    <s v="MAX OIL M-NPK ADITIVO ANTI-PO P/ FERTILIZANTES"/>
    <n v="30000"/>
    <n v="30000"/>
    <n v="160200"/>
    <n v="-11214.000000000002"/>
    <n v="148986"/>
    <n v="-95331.599999999991"/>
    <n v="-21548.474999999999"/>
    <n v="-15.886466780384511"/>
    <n v="32090.038533219627"/>
    <n v="0.21538962408024664"/>
    <n v="5.34"/>
    <n v="5.34"/>
    <n v="100700"/>
    <s v="MAX OIL"/>
    <s v="CANDEIAS"/>
    <s v="Additives"/>
    <s v="Domestic"/>
    <s v="12/2026"/>
    <s v="2026"/>
  </r>
  <r>
    <n v="11"/>
    <x v="11"/>
    <n v="1788"/>
    <s v="MOSAIC - UBERABA (CIU2)"/>
    <n v="3359"/>
    <s v="MG"/>
    <s v="MAX OIL GRV ADITIVO ANTI-PO P/ FERTILIZANTES"/>
    <n v="30000"/>
    <n v="30000"/>
    <n v="116400"/>
    <n v="0"/>
    <n v="116400"/>
    <n v="-74102.685810810814"/>
    <n v="-2442.1605"/>
    <n v="-1.800466235110245"/>
    <n v="39853.35322295408"/>
    <n v="0.3423827596473718"/>
    <n v="3.88"/>
    <n v="3.88"/>
    <n v="100700"/>
    <s v="MAX OIL"/>
    <s v="UBERABA"/>
    <s v="Additives"/>
    <s v="Domestic"/>
    <s v="12/2026"/>
    <s v="2026"/>
  </r>
  <r>
    <n v="11"/>
    <x v="11"/>
    <n v="2619"/>
    <s v="FOSPAR - PARANAGUA"/>
    <n v="4552"/>
    <s v="PR"/>
    <s v="MAX OIL GRMO ADITIVO ANTI-PO P/ FERTILIZANTES"/>
    <n v="60000"/>
    <n v="60000"/>
    <n v="384000"/>
    <n v="-46080"/>
    <n v="337920"/>
    <n v="-180941.22"/>
    <n v="-28099.2114"/>
    <n v="-20.715952681621403"/>
    <n v="128858.85264731837"/>
    <n v="0.38132946451029348"/>
    <n v="6.4"/>
    <n v="6.4"/>
    <n v="100700"/>
    <s v="MAX OIL"/>
    <s v="PARANAGUA"/>
    <s v="Additives"/>
    <s v="Domestic"/>
    <s v="12/2026"/>
    <s v="2026"/>
  </r>
  <r>
    <n v="11"/>
    <x v="11"/>
    <n v="2225"/>
    <s v="ITAFOS"/>
    <n v="3351"/>
    <s v="TO"/>
    <s v="MAX OIL MT ADITIVO ANTI-PO P/ FERTILIZANTES"/>
    <n v="30000"/>
    <n v="30000"/>
    <n v="162000"/>
    <n v="-11340.000000000002"/>
    <n v="150660"/>
    <n v="-95443.87"/>
    <n v="-13774.578854399999"/>
    <n v="-10.155214667590748"/>
    <n v="41431.39593093242"/>
    <n v="0.27499930924553578"/>
    <n v="5.4"/>
    <n v="5.4"/>
    <n v="100700"/>
    <s v="MAX OIL"/>
    <s v="ARRAIAS"/>
    <s v="Additives"/>
    <s v="Domestic"/>
    <s v="12/2026"/>
    <s v="2026"/>
  </r>
  <r>
    <n v="11"/>
    <x v="11"/>
    <n v="5300"/>
    <s v="FOSNOR - LUIS EDUARDO MAGALHAES"/>
    <n v="4246"/>
    <s v="BA"/>
    <s v="MAX OIL GRGL ADITIVO ANTI-PO P/ FERTILIZANTES"/>
    <n v="150000"/>
    <n v="150000"/>
    <n v="877500"/>
    <n v="-61425.000000000007"/>
    <n v="816075"/>
    <n v="-395655.75"/>
    <n v="-77419.165823999996"/>
    <n v="-57.076753971130479"/>
    <n v="342943.00742202887"/>
    <n v="0.42023466889933997"/>
    <n v="5.85"/>
    <n v="5.85"/>
    <n v="100700"/>
    <s v="MAX OIL"/>
    <s v="LUIS EDUARDO MAGALHAES"/>
    <s v="Additives"/>
    <s v="Domestic"/>
    <s v="12/2026"/>
    <s v="2026"/>
  </r>
  <r>
    <n v="11"/>
    <x v="11"/>
    <n v="11724"/>
    <s v="HINOVE - REGISTRO/SP"/>
    <n v="14142"/>
    <s v="SP"/>
    <s v="MAX OIL MT IBC ADITIVO ANTI-PO P/ FERTILIZANTES"/>
    <n v="22400"/>
    <n v="22400"/>
    <n v="135520"/>
    <n v="-16262.4"/>
    <n v="119257.60000000001"/>
    <n v="-69148.800000000003"/>
    <n v="-8802.3245506559997"/>
    <n v="-6.4894539666570168"/>
    <n v="41299.985995377348"/>
    <n v="0.34630904860887146"/>
    <n v="6.05"/>
    <n v="6.05"/>
    <n v="100700"/>
    <s v="MAX OIL"/>
    <s v="REGISTRO"/>
    <s v="Additives"/>
    <s v="Domestic"/>
    <s v="12/2026"/>
    <s v="2026"/>
  </r>
  <r>
    <n v="11"/>
    <x v="11"/>
    <n v="1789"/>
    <s v="MOSAIC - ARAXA (CMA)"/>
    <n v="3359"/>
    <s v="MG"/>
    <s v="MAX OIL GRV ADITIVO ANTI-PO P/ FERTILIZANTES"/>
    <n v="230000"/>
    <n v="230000"/>
    <n v="892400"/>
    <n v="0"/>
    <n v="892400"/>
    <n v="-568120.59121621621"/>
    <n v="-24281.465644799999"/>
    <n v="-17.901345563672741"/>
    <n v="299980.04179342015"/>
    <n v="0.33614975548343812"/>
    <n v="3.88"/>
    <n v="3.88"/>
    <n v="100700"/>
    <s v="MAX OIL"/>
    <s v="ARAXA"/>
    <s v="Additives"/>
    <s v="Domestic"/>
    <s v="12/2026"/>
    <s v="2026"/>
  </r>
  <r>
    <n v="11"/>
    <x v="11"/>
    <n v="1792"/>
    <s v="MOSAIC - CATAL?O (CMC3)"/>
    <n v="3359"/>
    <s v="GO"/>
    <s v="MAX OIL GRV ADITIVO ANTI-PO P/ FERTILIZANTES"/>
    <n v="150000"/>
    <n v="150000"/>
    <n v="585000"/>
    <n v="-40950.000000000007"/>
    <n v="544050"/>
    <n v="-370513.42905405408"/>
    <n v="-12210.8025"/>
    <n v="-9.0023311755512232"/>
    <n v="161316.76611477038"/>
    <n v="0.29651092016316583"/>
    <n v="3.9"/>
    <n v="3.9"/>
    <n v="100700"/>
    <s v="MAX OIL"/>
    <s v="CATALAO"/>
    <s v="Additives"/>
    <s v="Domestic"/>
    <s v="12/2026"/>
    <s v="2026"/>
  </r>
  <r>
    <n v="11"/>
    <x v="11"/>
    <n v="12741"/>
    <s v="HINOVE AGROCIENCIA - GUARA"/>
    <n v="3351"/>
    <s v="SP"/>
    <s v="MAX OIL MT ADITIVO ANTI-PO P/ FERTILIZANTES"/>
    <n v="30000"/>
    <n v="30000"/>
    <n v="175500"/>
    <n v="-21060"/>
    <n v="154440"/>
    <n v="-95443.87"/>
    <n v="0"/>
    <n v="0"/>
    <n v="58996.130000000005"/>
    <n v="0.38200032375032378"/>
    <n v="5.85"/>
    <n v="5.85"/>
    <n v="100700"/>
    <s v="MAX OIL"/>
    <s v="GUARA"/>
    <s v="Additives"/>
    <s v="Domestic"/>
    <s v="12/2026"/>
    <s v="2026"/>
  </r>
  <r>
    <n v="11"/>
    <x v="11"/>
    <n v="1787"/>
    <s v="MOSAIC - UBERABA (CIU1)"/>
    <n v="3359"/>
    <s v="MG"/>
    <s v="MAX OIL GRV ADITIVO ANTI-PO P/ FERTILIZANTES"/>
    <n v="240000"/>
    <n v="240000"/>
    <n v="931200"/>
    <n v="0"/>
    <n v="931200"/>
    <n v="-592821.48648648651"/>
    <n v="-19537.284"/>
    <n v="-14.40372988088196"/>
    <n v="318826.82578363264"/>
    <n v="0.3423827596473718"/>
    <n v="3.88"/>
    <n v="3.88"/>
    <n v="100700"/>
    <s v="MAX OIL"/>
    <s v="UBERABA"/>
    <s v="Additives"/>
    <s v="Domestic"/>
    <s v="12/2026"/>
    <s v="2026"/>
  </r>
  <r>
    <n v="13"/>
    <x v="11"/>
    <n v="2"/>
    <s v="CARGILL - UBERLANDIA"/>
    <n v="3700"/>
    <s v="MG"/>
    <s v="CICOAT 41175"/>
    <n v="72000"/>
    <n v="72000"/>
    <n v="79200"/>
    <n v="-20263.32"/>
    <n v="58936.68"/>
    <n v="-13322.13"/>
    <n v="0"/>
    <n v="0"/>
    <n v="45614.55"/>
    <n v="0.77395859420652813"/>
    <n v="1.1000000000000001"/>
    <n v="1.1000000000000001"/>
    <n v="100900"/>
    <s v="PA TERCEIROS"/>
    <s v="UBERLANDIA"/>
    <s v="Fertilizers"/>
    <s v="Domestic"/>
    <s v="12/2026"/>
    <s v="2026"/>
  </r>
  <r>
    <n v="11"/>
    <x v="11"/>
    <n v="3297"/>
    <s v="MACROSOURCE PERU S.R.L."/>
    <n v="14144"/>
    <s v="EX"/>
    <s v="RESIDEX YELLOW IBC ADITIVO ANTI PO P/ FERTILIZANTES"/>
    <n v="2000"/>
    <n v="2000"/>
    <n v="12402"/>
    <n v="0"/>
    <n v="12402"/>
    <n v="-3027.6099999999997"/>
    <n v="-9057.2866560000002"/>
    <n v="-343.23820548920332"/>
    <n v="-26.134861489204127"/>
    <n v="-2.1073102313501151E-3"/>
    <n v="6.2009999999999996"/>
    <n v="6.2009999999999996"/>
    <n v="101300"/>
    <s v="RESIDEX"/>
    <s v="LIMA"/>
    <s v="Additives"/>
    <s v="International"/>
    <s v="12/2026"/>
    <s v="2026"/>
  </r>
  <r>
    <n v="11"/>
    <x v="11"/>
    <n v="16645"/>
    <s v="OPCAO AGRONEGOCIOS"/>
    <n v="8301"/>
    <s v="MG"/>
    <s v="BIOSINERGIC - BB - 20L PRODUTO A BASE DE EXTRATO DE ALGAS E ACIDOS HUMICOS"/>
    <n v="4"/>
    <n v="91.99586559856705"/>
    <n v="2433.2906450820988"/>
    <n v="-240.01630514543467"/>
    <n v="2193.2743399366641"/>
    <n v="-674.04731180619387"/>
    <n v="-22.205898592757567"/>
    <n v="-672.09813132135525"/>
    <n v="824.92299821635731"/>
    <n v="0.37611482667516133"/>
    <n v="608.32266127052469"/>
    <n v="26.450000000000003"/>
    <n v="101602"/>
    <s v="FERTILIZANTE LIQUIDOS"/>
    <s v="UBERLANDIA"/>
    <s v="Fertilizers"/>
    <s v="Domestic"/>
    <s v="12/2026"/>
    <s v="2026"/>
  </r>
  <r>
    <n v="11"/>
    <x v="11"/>
    <n v="14259"/>
    <s v="FAZENDA SANTOS REIS II"/>
    <n v="8416"/>
    <s v="MG"/>
    <s v="BIOSINERGIC N - BB - 5L PRODUTO A BASE DE EXTRATO DE ALGAS E ACIDOS HUMICOS"/>
    <n v="25"/>
    <n v="143.74353999776102"/>
    <n v="3802.0166329407789"/>
    <n v="-401.61577511680275"/>
    <n v="3400.4008578239764"/>
    <n v="-1215.694001658155"/>
    <n v="0"/>
    <n v="-1044.7114087856228"/>
    <n v="1139.9954473801988"/>
    <n v="0.3352532524973299"/>
    <n v="152.08066531763114"/>
    <n v="26.45"/>
    <n v="101602"/>
    <s v="FERTILIZANTE LIQUIDOS"/>
    <s v="SAO SEBASTIAO DO PARAISO"/>
    <s v="Fertilizers"/>
    <s v="Domestic"/>
    <s v="12/2026"/>
    <s v="2026"/>
  </r>
  <r>
    <n v="11"/>
    <x v="11"/>
    <n v="15908"/>
    <s v="CAMPEVO - S?O JOSE DO RIO PRETO"/>
    <n v="13004"/>
    <s v="SP"/>
    <s v="BIOSINERGIC K - BB - 20L PRODUTO A BASE DE EXTRATO DE ALGAS E ACIDOS HUMICOS"/>
    <n v="22"/>
    <n v="505.97726079211878"/>
    <n v="13383.098547951542"/>
    <n v="-1266.8109020827151"/>
    <n v="12116.287645868826"/>
    <n v="-3577.6717152628817"/>
    <n v="-136.78523577881009"/>
    <n v="-3686.0607436004934"/>
    <n v="4715.7699512266408"/>
    <n v="0.38920914467019374"/>
    <n v="608.32266127052469"/>
    <n v="26.45"/>
    <n v="101602"/>
    <s v="FERTILIZANTE LIQUIDOS"/>
    <s v="SAO JOSE DO RIO PRETO"/>
    <s v="Fertilizers"/>
    <s v="Domestic"/>
    <s v="12/2026"/>
    <s v="2026"/>
  </r>
  <r>
    <n v="11"/>
    <x v="11"/>
    <n v="14259"/>
    <s v="FAZENDA SANTOS REIS II"/>
    <n v="8368"/>
    <s v="MG"/>
    <s v="SULFORCE - BB - 18 L SOLUC?O ALTAMENTE CONCENTRADA EM ENXOFRE (60%)"/>
    <n v="100"/>
    <n v="1644.2036273934677"/>
    <n v="456.40824829370405"/>
    <n v="-41.075069505867965"/>
    <n v="415.33317878783606"/>
    <n v="-5748.5880548640716"/>
    <n v="-396.8767376466991"/>
    <n v="-664.2459475251552"/>
    <n v="-6394.3775612480904"/>
    <n v="-15.39577834814521"/>
    <n v="4.5640824829370406"/>
    <n v="0.27758620689655178"/>
    <n v="101602"/>
    <s v="FERTILIZANTE LIQUIDOS"/>
    <s v="SAO SEBASTIAO DO PARAISO"/>
    <s v="Fertilizers"/>
    <s v="Domestic"/>
    <s v="12/2026"/>
    <s v="2026"/>
  </r>
  <r>
    <n v="11"/>
    <x v="11"/>
    <n v="15904"/>
    <s v="CAMPEVO - JALES"/>
    <n v="8368"/>
    <s v="SP"/>
    <s v="SULFORCE - BB - 18 L SOLUC?O ALTAMENTE CONCENTRADA EM ENXOFRE (60%)"/>
    <n v="170"/>
    <n v="2795.1461665688953"/>
    <n v="775.89402209929676"/>
    <n v="-69.827618159975543"/>
    <n v="706.06640393932116"/>
    <n v="-9772.5996932689213"/>
    <n v="-755.63618576813087"/>
    <n v="-1126.5844876331712"/>
    <n v="-10948.753962730902"/>
    <n v="-15.506691582611866"/>
    <n v="4.5640824829370397"/>
    <n v="0.27758620689655172"/>
    <n v="101602"/>
    <s v="FERTILIZANTE LIQUIDOS"/>
    <s v="JALES"/>
    <s v="Fertilizers"/>
    <s v="Domestic"/>
    <s v="12/2026"/>
    <s v="2026"/>
  </r>
  <r>
    <n v="11"/>
    <x v="11"/>
    <n v="15917"/>
    <s v="MINAS FARM"/>
    <n v="8301"/>
    <s v="MG"/>
    <s v="BIOSINERGIC - BB - 20L PRODUTO A BASE DE EXTRATO DE ALGAS E ACIDOS HUMICOS"/>
    <n v="13"/>
    <n v="298.98656319534291"/>
    <n v="7908.1945965168206"/>
    <n v="-780.05299172266291"/>
    <n v="7128.1416047941575"/>
    <n v="-2190.65376337013"/>
    <n v="-72.169170426462088"/>
    <n v="-2177.8977919726522"/>
    <n v="2687.4208790249131"/>
    <n v="0.37701564138645066"/>
    <n v="608.32266127052469"/>
    <n v="26.450000000000003"/>
    <n v="101602"/>
    <s v="FERTILIZANTE LIQUIDOS"/>
    <s v="UBERLANDIA"/>
    <s v="Fertilizers"/>
    <s v="Domestic"/>
    <s v="12/2026"/>
    <s v="2026"/>
  </r>
  <r>
    <n v="11"/>
    <x v="11"/>
    <n v="15905"/>
    <s v="CAMPEVO - ITAPETININGA"/>
    <n v="8368"/>
    <s v="SP"/>
    <s v="SULFORCE - BB - 18 L SOLUC?O ALTAMENTE CONCENTRADA EM ENXOFRE (60%)"/>
    <n v="170"/>
    <n v="2795.1461665688953"/>
    <n v="775.89402209929676"/>
    <n v="-69.827618159975543"/>
    <n v="706.06640393932116"/>
    <n v="-9772.5996932689213"/>
    <n v="-755.63618576813087"/>
    <n v="-1128.9145027609609"/>
    <n v="-10951.083977858692"/>
    <n v="-15.509991576939299"/>
    <n v="4.5640824829370397"/>
    <n v="0.27758620689655172"/>
    <n v="101602"/>
    <s v="FERTILIZANTE LIQUIDOS"/>
    <s v="ITAPETININGA"/>
    <s v="Fertilizers"/>
    <s v="Domestic"/>
    <s v="12/2026"/>
    <s v="2026"/>
  </r>
  <r>
    <n v="11"/>
    <x v="11"/>
    <n v="15905"/>
    <s v="CAMPEVO - ITAPETININGA"/>
    <n v="13004"/>
    <s v="SP"/>
    <s v="BIOSINERGIC K - BB - 20L PRODUTO A BASE DE EXTRATO DE ALGAS E ACIDOS HUMICOS"/>
    <n v="23"/>
    <n v="528.97622719176059"/>
    <n v="13991.421209222068"/>
    <n v="-1324.3932158137472"/>
    <n v="12667.027993408321"/>
    <n v="-3740.2931568657405"/>
    <n v="-143.00274649602875"/>
    <n v="-3855.7913425339834"/>
    <n v="4927.9407475125681"/>
    <n v="0.38903685616523259"/>
    <n v="608.32266127052469"/>
    <n v="26.45"/>
    <n v="101602"/>
    <s v="FERTILIZANTE LIQUIDOS"/>
    <s v="ITAPETININGA"/>
    <s v="Fertilizers"/>
    <s v="Domestic"/>
    <s v="12/2026"/>
    <s v="2026"/>
  </r>
  <r>
    <n v="11"/>
    <x v="11"/>
    <n v="15906"/>
    <s v="CAMPEVO - JAU"/>
    <n v="8368"/>
    <s v="SP"/>
    <s v="SULFORCE - BB - 18 L SOLUC?O ALTAMENTE CONCENTRADA EM ENXOFRE (60%)"/>
    <n v="170"/>
    <n v="2795.1461665688953"/>
    <n v="775.89402209929676"/>
    <n v="-69.827618159975543"/>
    <n v="706.06640393932116"/>
    <n v="-9772.5996932689213"/>
    <n v="-755.63618576813087"/>
    <n v="-1127.4317658614584"/>
    <n v="-10949.601240959189"/>
    <n v="-15.507891580549115"/>
    <n v="4.5640824829370397"/>
    <n v="0.27758620689655172"/>
    <n v="101602"/>
    <s v="FERTILIZANTE LIQUIDOS"/>
    <s v="JAU"/>
    <s v="Fertilizers"/>
    <s v="Domestic"/>
    <s v="12/2026"/>
    <s v="2026"/>
  </r>
  <r>
    <n v="11"/>
    <x v="11"/>
    <n v="15917"/>
    <s v="MINAS FARM"/>
    <n v="8368"/>
    <s v="MG"/>
    <s v="SULFORCE - BB - 18 L SOLUC?O ALTAMENTE CONCENTRADA EM ENXOFRE (60%)"/>
    <n v="56"/>
    <n v="920.75403134034184"/>
    <n v="9339.9383930823569"/>
    <n v="-840.56022236808212"/>
    <n v="8499.3781707142753"/>
    <n v="-3219.2093107238798"/>
    <n v="0"/>
    <n v="-2774.1693716947948"/>
    <n v="2505.9994882956007"/>
    <n v="0.29484503900889497"/>
    <n v="166.78461416218494"/>
    <n v="10.143793103448276"/>
    <n v="101602"/>
    <s v="FERTILIZANTE LIQUIDOS"/>
    <s v="UBERLANDIA"/>
    <s v="Fertilizers"/>
    <s v="Domestic"/>
    <s v="12/2026"/>
    <s v="2026"/>
  </r>
  <r>
    <n v="11"/>
    <x v="11"/>
    <n v="8187"/>
    <s v="AGROREP. REPRESENTACOES AGRICOLAS"/>
    <n v="8369"/>
    <s v="MT"/>
    <s v="SULFORCE IBC - 700 L - SOLUC?O ALTAMENTE CONCENTRADA EM ENXOFRE (60%) "/>
    <n v="16800"/>
    <n v="15345.900522339032"/>
    <n v="146415.76605262022"/>
    <n v="-13176.882297482443"/>
    <n v="133238.88375513779"/>
    <n v="-55837.343828725156"/>
    <n v="-13820.159809918538"/>
    <n v="-43805.308749832599"/>
    <n v="19776.071366661497"/>
    <n v="0.14842567581851959"/>
    <n v="8.7152241697988231"/>
    <n v="9.5410344827586204"/>
    <n v="101602"/>
    <s v="FERTILIZANTE LIQUIDOS"/>
    <s v="SORRISO"/>
    <s v="Fertilizers"/>
    <s v="Domestic"/>
    <s v="12/2026"/>
    <s v="2026"/>
  </r>
  <r>
    <n v="11"/>
    <x v="11"/>
    <n v="15904"/>
    <s v="CAMPEVO - JALES"/>
    <n v="13004"/>
    <s v="SP"/>
    <s v="BIOSINERGIC K - BB - 20L PRODUTO A BASE DE EXTRATO DE ALGAS E ACIDOS HUMICOS"/>
    <n v="25"/>
    <n v="574.97415999104408"/>
    <n v="15208.066531763116"/>
    <n v="-1439.5578432758125"/>
    <n v="13768.508688487304"/>
    <n v="-4065.5360400714567"/>
    <n v="-155.43776793046604"/>
    <n v="-4188.2624950175923"/>
    <n v="5359.2723854677897"/>
    <n v="0.38924131194753187"/>
    <n v="608.32266127052458"/>
    <n v="26.45"/>
    <n v="101602"/>
    <s v="FERTILIZANTE LIQUIDOS"/>
    <s v="JALES"/>
    <s v="Fertilizers"/>
    <s v="Domestic"/>
    <s v="12/2026"/>
    <s v="2026"/>
  </r>
  <r>
    <n v="11"/>
    <x v="11"/>
    <n v="15906"/>
    <s v="CAMPEVO - JAU"/>
    <n v="13004"/>
    <s v="SP"/>
    <s v="BIOSINERGIC K - BB - 20L PRODUTO A BASE DE EXTRATO DE ALGAS E ACIDOS HUMICOS"/>
    <n v="22"/>
    <n v="505.97726079211878"/>
    <n v="13383.098547951542"/>
    <n v="-1266.8109020827151"/>
    <n v="12116.287645868826"/>
    <n v="-3577.6717152628817"/>
    <n v="-136.78523577881009"/>
    <n v="-3686.9080218287809"/>
    <n v="4714.9226729983538"/>
    <n v="0.38913921580641542"/>
    <n v="608.32266127052469"/>
    <n v="26.45"/>
    <n v="101602"/>
    <s v="FERTILIZANTE LIQUIDOS"/>
    <s v="JAU"/>
    <s v="Fertilizers"/>
    <s v="Domestic"/>
    <s v="12/2026"/>
    <s v="2026"/>
  </r>
  <r>
    <n v="11"/>
    <x v="11"/>
    <n v="15908"/>
    <s v="CAMPEVO - S?O JOSE DO RIO PRETO"/>
    <n v="8368"/>
    <s v="SP"/>
    <s v="SULFORCE - BB - 18 L SOLUC?O ALTAMENTE CONCENTRADA EM ENXOFRE (60%)"/>
    <n v="170"/>
    <n v="2795.1461665688953"/>
    <n v="775.89402209929676"/>
    <n v="-69.827618159975543"/>
    <n v="706.06640393932116"/>
    <n v="-9772.5996932689213"/>
    <n v="-755.63618576813087"/>
    <n v="-1126.5844876331712"/>
    <n v="-10948.753962730902"/>
    <n v="-15.506691582611866"/>
    <n v="4.5640824829370397"/>
    <n v="0.27758620689655172"/>
    <n v="101602"/>
    <s v="FERTILIZANTE LIQUIDOS"/>
    <s v="SAO JOSE DO RIO PRETO"/>
    <s v="Fertilizers"/>
    <s v="Domestic"/>
    <s v="12/2026"/>
    <s v="2026"/>
  </r>
  <r>
    <n v="11"/>
    <x v="11"/>
    <n v="2696"/>
    <s v="MOSAIC FERTILIZANTES PARAGUAY S.R.L."/>
    <n v="4676"/>
    <s v="EX"/>
    <s v="R-COAT ADITIVO ANTIEMBLOCANTE P/ FERTILIZANTES"/>
    <n v="30000"/>
    <n v="30000"/>
    <n v="338570.68054622674"/>
    <n v="0"/>
    <n v="338570.68054622674"/>
    <n v="-171895.5"/>
    <n v="-27051.200000000012"/>
    <n v="-5068.3550500390156"/>
    <n v="134555.62549618771"/>
    <n v="0.397422556729085"/>
    <n v="11.285689351540892"/>
    <n v="11.285689351540892"/>
    <n v="101900"/>
    <s v="HIGROSCOPICIDADE"/>
    <s v="ASSUNCION"/>
    <s v="Additives"/>
    <s v="International"/>
    <s v="12/2026"/>
    <s v="2026"/>
  </r>
  <r>
    <n v="11"/>
    <x v="11"/>
    <n v="6477"/>
    <s v="MOSAIC - PARANAGUA II"/>
    <n v="4676"/>
    <s v="PR"/>
    <s v="R-COAT ADITIVO ANTIEMBLOCANTE P/ FERTILIZANTES"/>
    <n v="30000"/>
    <n v="30000"/>
    <n v="344726.51110161265"/>
    <n v="-40320"/>
    <n v="304406.51110161265"/>
    <n v="-171895.5"/>
    <n v="-14049.6057"/>
    <n v="-10.357976340810701"/>
    <n v="118451.04742527184"/>
    <n v="0.38912126746767317"/>
    <n v="11.490883703387087"/>
    <n v="11.490883703387087"/>
    <n v="101900"/>
    <s v="HIGROSCOPICIDADE"/>
    <s v="PARANAGUA"/>
    <s v="Additives"/>
    <s v="Domestic"/>
    <s v="12/2026"/>
    <s v="2026"/>
  </r>
  <r>
    <n v="11"/>
    <x v="11"/>
    <n v="2559"/>
    <s v="MOSAIC - RIO GRANDE"/>
    <n v="4676"/>
    <s v="RS"/>
    <s v="R-COAT ADITIVO ANTIEMBLOCANTE P/ FERTILIZANTES"/>
    <n v="30000"/>
    <n v="30000"/>
    <n v="347496.63485153631"/>
    <n v="-40644"/>
    <n v="306852.63485153631"/>
    <n v="-171895.5"/>
    <n v="-24421.605"/>
    <n v="-18.004662351102446"/>
    <n v="110517.52518918521"/>
    <n v="0.36016482388250182"/>
    <n v="11.583221161717876"/>
    <n v="11.583221161717876"/>
    <n v="101900"/>
    <s v="HIGROSCOPICIDADE"/>
    <s v="RIO GRANDE"/>
    <s v="Additives"/>
    <s v="Domestic"/>
    <s v="12/2026"/>
    <s v="2026"/>
  </r>
  <r>
    <n v="11"/>
    <x v="11"/>
    <n v="903"/>
    <s v="YARA - PONTA GROSSA"/>
    <n v="4627"/>
    <s v="PR"/>
    <s v="COAT BIO GR ADITIVO ANTI-PO P/ FERTILIZANTES"/>
    <n v="30000"/>
    <n v="30000"/>
    <n v="257353.03761300293"/>
    <n v="-30780"/>
    <n v="226573.03761300293"/>
    <n v="-157435.9142857143"/>
    <n v="-11813.963615999999"/>
    <n v="-8.7097644046854956"/>
    <n v="57314.449946883942"/>
    <n v="0.25296235841079923"/>
    <n v="8.578434587100098"/>
    <n v="8.578434587100098"/>
    <n v="102200"/>
    <s v="COAT BIO"/>
    <s v="PONTA GROSSA"/>
    <s v="Additives"/>
    <s v="Domestic"/>
    <s v="12/2026"/>
    <s v="2026"/>
  </r>
  <r>
    <n v="11"/>
    <x v="11"/>
    <n v="1159"/>
    <s v="YARA - RIO GRANDE"/>
    <n v="4627"/>
    <s v="RS"/>
    <s v="COAT BIO GR ADITIVO ANTI-PO P/ FERTILIZANTES"/>
    <n v="180000"/>
    <n v="180000"/>
    <n v="1634417.5371211765"/>
    <n v="-195480"/>
    <n v="1438937.5371211765"/>
    <n v="-944615.48571428575"/>
    <n v="-146529.63"/>
    <n v="-108.02797410661468"/>
    <n v="347684.39343278413"/>
    <n v="0.24162577211543323"/>
    <n v="9.0800974284509799"/>
    <n v="9.0800974284509799"/>
    <n v="102200"/>
    <s v="COAT BIO"/>
    <s v="RIO GRANDE"/>
    <s v="Additives"/>
    <s v="Domestic"/>
    <s v="12/2026"/>
    <s v="2026"/>
  </r>
  <r>
    <n v="11"/>
    <x v="11"/>
    <n v="2011"/>
    <s v="FERTGROW S.A"/>
    <n v="12813"/>
    <s v="MA"/>
    <s v="COATMAX BMZ 3313 - MICRONUTRIENTE LIQUIDO"/>
    <n v="90000"/>
    <n v="90000"/>
    <n v="1011150.3091441935"/>
    <n v="-39384"/>
    <n v="971766.30914419354"/>
    <n v="-403289.43000000005"/>
    <n v="-79384.58189999999"/>
    <n v="-58.525743618936538"/>
    <n v="489033.77150057454"/>
    <n v="0.50324215492843383"/>
    <n v="11.235003434935484"/>
    <n v="11.235003434935484"/>
    <n v="102300"/>
    <s v="COAT MAX"/>
    <s v="SAO LUIS"/>
    <s v="Additives"/>
    <s v="Domestic"/>
    <s v="12/2026"/>
    <s v="2026"/>
  </r>
  <r>
    <n v="11"/>
    <x v="11"/>
    <n v="139"/>
    <s v="COMIGO - RIO VERDE"/>
    <n v="14190"/>
    <s v="GO"/>
    <s v="COATMAX BMZC 3662 IBC - MICRONUTRIENTE LIQUIDO"/>
    <n v="100000"/>
    <n v="100000"/>
    <n v="815410.6697750251"/>
    <n v="-31760"/>
    <n v="783650.6697750251"/>
    <n v="-446917.99999999994"/>
    <n v="-18962.657999999999"/>
    <n v="-13.980090766738369"/>
    <n v="317756.03168425843"/>
    <n v="0.40548173304756013"/>
    <n v="8.154106697750251"/>
    <n v="8.154106697750251"/>
    <n v="102300"/>
    <s v="COAT MAX"/>
    <s v="RIO VERDE"/>
    <s v="Additives"/>
    <s v="Domestic"/>
    <s v="12/2026"/>
    <s v="2026"/>
  </r>
  <r>
    <n v="11"/>
    <x v="11"/>
    <n v="97"/>
    <s v="FECOAGRO - SAO FRANCISCO DO SUL"/>
    <n v="13600"/>
    <s v="SC"/>
    <s v="COATMAX BMZC 3663 - MICRONUTRIENTE LIQUIDO"/>
    <n v="210000"/>
    <n v="210000"/>
    <n v="1940964.944426697"/>
    <n v="-75600"/>
    <n v="1865364.944426697"/>
    <n v="-1208441.81"/>
    <n v="-117654.67349999999"/>
    <n v="-86.740108620899434"/>
    <n v="539181.72081807593"/>
    <n v="0.28904891904880764"/>
    <n v="9.2426902115557006"/>
    <n v="9.2426902115557006"/>
    <n v="102300"/>
    <s v="COAT MAX"/>
    <s v="SAO FRANCISCO DO SUL"/>
    <s v="Additives"/>
    <s v="Domestic"/>
    <s v="12/2026"/>
    <s v="2026"/>
  </r>
  <r>
    <n v="11"/>
    <x v="11"/>
    <n v="8855"/>
    <s v="TERMAG - GUARUJA"/>
    <n v="7398"/>
    <s v="SP"/>
    <s v="SUPERSELEN ADITIVO ANTI PO P/ FERTILIZANTES"/>
    <n v="30000"/>
    <n v="30000"/>
    <n v="73800"/>
    <n v="-8856"/>
    <n v="64944"/>
    <n v="-18589.698387096778"/>
    <n v="-13045.632163199998"/>
    <n v="-9.6178036724080247"/>
    <n v="33299.051646030814"/>
    <n v="0.51273484303447303"/>
    <n v="2.46"/>
    <n v="2.46"/>
    <n v="102600"/>
    <s v="SUPERSELEN"/>
    <s v="GUARUJA"/>
    <s v="Additives"/>
    <s v="Domestic"/>
    <s v="12/2026"/>
    <s v="2026"/>
  </r>
  <r>
    <n v="11"/>
    <x v="11"/>
    <n v="7648"/>
    <s v="LOUIS DREYFUS - PARANAGUA"/>
    <n v="14154"/>
    <s v="PR"/>
    <s v="SUPERSELEN IBC ADITIVO ANTI PO P/ FERTILIZANTES"/>
    <n v="13200"/>
    <n v="13200"/>
    <n v="47916"/>
    <n v="-5749.92"/>
    <n v="42166.080000000002"/>
    <n v="-15204.505555555557"/>
    <n v="-9623.6718130238405"/>
    <n v="-7.0949866551078919"/>
    <n v="17330.807644765493"/>
    <n v="0.4110130143652313"/>
    <n v="3.63"/>
    <n v="3.63"/>
    <n v="102600"/>
    <s v="SUPERSELEN"/>
    <s v="PARANAGUA"/>
    <s v="Additives"/>
    <s v="Domestic"/>
    <s v="12/2026"/>
    <s v="2026"/>
  </r>
  <r>
    <n v="11"/>
    <x v="11"/>
    <n v="139"/>
    <s v="COMIGO - RIO VERDE"/>
    <n v="14154"/>
    <s v="GO"/>
    <s v="SUPERSELEN IBC ADITIVO ANTI PO P/ FERTILIZANTES"/>
    <n v="30000"/>
    <n v="30000"/>
    <n v="48600"/>
    <n v="-3402.0000000000005"/>
    <n v="45198"/>
    <n v="-34555.694444444445"/>
    <n v="-5688.7973999999995"/>
    <n v="-4.1940272300215113"/>
    <n v="4949.3141283255336"/>
    <n v="0.1095029454472661"/>
    <n v="1.62"/>
    <n v="1.62"/>
    <n v="102600"/>
    <s v="SUPERSELEN"/>
    <s v="RIO VERDE"/>
    <s v="Additives"/>
    <s v="Domestic"/>
    <s v="12/2026"/>
    <s v="2026"/>
  </r>
  <r>
    <n v="11"/>
    <x v="11"/>
    <n v="8413"/>
    <s v="AMAGGI - SINOP"/>
    <n v="7398"/>
    <s v="MT"/>
    <s v="SUPERSELEN ADITIVO ANTI PO P/ FERTILIZANTES"/>
    <n v="32000"/>
    <n v="32000"/>
    <n v="66240"/>
    <n v="-4636.8"/>
    <n v="61603.199999999997"/>
    <n v="-19829.011612903229"/>
    <n v="-23352.800640000001"/>
    <n v="-17.216693598795377"/>
    <n v="18404.171053497976"/>
    <n v="0.29875349094686604"/>
    <n v="2.0699999999999998"/>
    <n v="2.0699999999999998"/>
    <n v="102600"/>
    <s v="SUPERSELEN"/>
    <s v="SINOP"/>
    <s v="Additives"/>
    <s v="Domestic"/>
    <s v="12/2026"/>
    <s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524245-93CB-467B-B1F9-597AEC29138B}"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G3:AT5" firstHeaderRow="1" firstDataRow="2" firstDataCol="1"/>
  <pivotFields count="26">
    <pivotField showAll="0"/>
    <pivotField axis="axisCol"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numFmtId="165" showAll="0"/>
    <pivotField dataField="1" showAll="0"/>
    <pivotField numFmtId="165" showAll="0"/>
    <pivotField numFmtId="165" showAll="0"/>
    <pivotField numFmtId="165" showAll="0"/>
    <pivotField numFmtId="165" showAll="0"/>
    <pivotField numFmtId="165" showAll="0"/>
    <pivotField numFmtId="165" showAll="0"/>
    <pivotField numFmtId="9" showAll="0"/>
    <pivotField numFmtId="164" showAll="0"/>
    <pivotField numFmtId="164" showAll="0"/>
    <pivotField showAll="0"/>
    <pivotField showAll="0"/>
    <pivotField showAll="0"/>
    <pivotField showAll="0"/>
    <pivotField showAll="0"/>
    <pivotField showAll="0"/>
    <pivotField showAll="0"/>
  </pivotFields>
  <rowItems count="1">
    <i/>
  </rowItems>
  <colFields count="1">
    <field x="1"/>
  </colFields>
  <colItems count="13">
    <i>
      <x/>
    </i>
    <i>
      <x v="1"/>
    </i>
    <i>
      <x v="2"/>
    </i>
    <i>
      <x v="3"/>
    </i>
    <i>
      <x v="4"/>
    </i>
    <i>
      <x v="5"/>
    </i>
    <i>
      <x v="6"/>
    </i>
    <i>
      <x v="7"/>
    </i>
    <i>
      <x v="8"/>
    </i>
    <i>
      <x v="9"/>
    </i>
    <i>
      <x v="10"/>
    </i>
    <i>
      <x v="11"/>
    </i>
    <i t="grand">
      <x/>
    </i>
  </colItems>
  <dataFields count="1">
    <dataField name="Soma de Gross Revenue" fld="9"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1"/>
  <sheetViews>
    <sheetView showGridLines="0" topLeftCell="A20" zoomScale="70" zoomScaleNormal="70" workbookViewId="0">
      <pane xSplit="4" ySplit="6" topLeftCell="E35" activePane="bottomRight" state="frozen"/>
      <selection activeCell="A9" sqref="A9:XFD9"/>
      <selection pane="topRight" activeCell="A9" sqref="A9:XFD9"/>
      <selection pane="bottomLeft" activeCell="A9" sqref="A9:XFD9"/>
      <selection pane="bottomRight" activeCell="P48" sqref="P48:P54"/>
    </sheetView>
  </sheetViews>
  <sheetFormatPr defaultColWidth="8.88671875" defaultRowHeight="14.4" outlineLevelRow="2" x14ac:dyDescent="0.25"/>
  <cols>
    <col min="1" max="1" width="2.109375" style="121" customWidth="1"/>
    <col min="2" max="2" width="45.44140625" style="121" bestFit="1" customWidth="1"/>
    <col min="3" max="3" width="0.88671875" style="123" customWidth="1"/>
    <col min="4" max="4" width="13.44140625" style="121" bestFit="1" customWidth="1"/>
    <col min="5" max="5" width="16.44140625" style="121" bestFit="1" customWidth="1"/>
    <col min="6" max="6" width="15" style="121" bestFit="1" customWidth="1"/>
    <col min="7" max="7" width="16.88671875" style="121" bestFit="1" customWidth="1"/>
    <col min="8" max="8" width="0.88671875" style="123" customWidth="1"/>
    <col min="9" max="9" width="19" style="121" bestFit="1" customWidth="1"/>
    <col min="10" max="10" width="13.33203125" style="121" customWidth="1"/>
    <col min="11" max="11" width="0.88671875" style="123" customWidth="1"/>
    <col min="12" max="12" width="16.33203125" style="121" bestFit="1" customWidth="1"/>
    <col min="13" max="13" width="16.109375" style="121" bestFit="1" customWidth="1"/>
    <col min="14" max="14" width="14.33203125" style="121" customWidth="1"/>
    <col min="15" max="15" width="0.88671875" style="123" customWidth="1"/>
    <col min="16" max="16" width="92.88671875" style="121" customWidth="1"/>
    <col min="17" max="17" width="16" style="121" bestFit="1" customWidth="1"/>
    <col min="18" max="18" width="13.6640625" style="121" customWidth="1"/>
    <col min="19" max="19" width="14" style="121" bestFit="1" customWidth="1"/>
    <col min="20" max="20" width="11.109375" style="121" bestFit="1" customWidth="1"/>
    <col min="21" max="21" width="9" style="121" customWidth="1"/>
    <col min="22" max="16384" width="8.88671875" style="121"/>
  </cols>
  <sheetData>
    <row r="1" spans="2:16" ht="15.6" hidden="1" x14ac:dyDescent="0.25">
      <c r="B1" s="121" t="s">
        <v>469</v>
      </c>
      <c r="C1" s="122"/>
    </row>
    <row r="2" spans="2:16" ht="15.6" hidden="1" x14ac:dyDescent="0.25">
      <c r="B2" s="326" t="s">
        <v>470</v>
      </c>
      <c r="C2" s="326"/>
      <c r="D2" s="326"/>
      <c r="E2" s="326"/>
      <c r="F2" s="326"/>
      <c r="G2" s="155"/>
      <c r="I2" s="124">
        <f>I22/1000</f>
        <v>64140.011459999994</v>
      </c>
      <c r="J2" s="124">
        <f>J22/1000</f>
        <v>105264.98884999999</v>
      </c>
    </row>
    <row r="3" spans="2:16" ht="14.4" hidden="1" customHeight="1" x14ac:dyDescent="0.25">
      <c r="C3" s="121"/>
    </row>
    <row r="4" spans="2:16" ht="15.6" hidden="1" x14ac:dyDescent="0.25">
      <c r="B4" s="327" t="s">
        <v>471</v>
      </c>
      <c r="C4" s="122"/>
      <c r="D4" s="327" t="s">
        <v>304</v>
      </c>
      <c r="E4" s="327" t="s">
        <v>22</v>
      </c>
      <c r="F4" s="327" t="s">
        <v>7</v>
      </c>
      <c r="G4" s="327" t="s">
        <v>7</v>
      </c>
      <c r="I4" s="327" t="s">
        <v>305</v>
      </c>
      <c r="J4" s="327" t="s">
        <v>305</v>
      </c>
      <c r="L4" s="327" t="s">
        <v>472</v>
      </c>
      <c r="M4" s="327"/>
      <c r="N4" s="327"/>
      <c r="P4" s="327" t="s">
        <v>303</v>
      </c>
    </row>
    <row r="5" spans="2:16" ht="15.6" hidden="1" x14ac:dyDescent="0.25">
      <c r="B5" s="328"/>
      <c r="C5" s="122"/>
      <c r="D5" s="328"/>
      <c r="E5" s="328"/>
      <c r="F5" s="328"/>
      <c r="G5" s="328"/>
      <c r="I5" s="328"/>
      <c r="J5" s="328"/>
      <c r="L5" s="42" t="s">
        <v>415</v>
      </c>
      <c r="M5" s="42" t="s">
        <v>416</v>
      </c>
      <c r="N5" s="42" t="s">
        <v>417</v>
      </c>
      <c r="P5" s="328"/>
    </row>
    <row r="6" spans="2:16" ht="46.8" hidden="1" x14ac:dyDescent="0.25">
      <c r="B6" s="74" t="s">
        <v>434</v>
      </c>
      <c r="C6" s="122"/>
      <c r="D6" s="74" t="s">
        <v>306</v>
      </c>
      <c r="E6" s="75">
        <f t="shared" ref="E6:I12" si="0">E26/1000</f>
        <v>7560.7277999999969</v>
      </c>
      <c r="F6" s="75">
        <f t="shared" si="0"/>
        <v>0</v>
      </c>
      <c r="G6" s="75">
        <f t="shared" ref="G6" si="1">G26/1000</f>
        <v>7560.7277999999969</v>
      </c>
      <c r="I6" s="75">
        <f t="shared" si="0"/>
        <v>0</v>
      </c>
      <c r="J6" s="75">
        <f t="shared" ref="J6" si="2">J26/1000</f>
        <v>0</v>
      </c>
      <c r="L6" s="75">
        <f t="shared" ref="L6:N12" si="3">L26/1000</f>
        <v>0</v>
      </c>
      <c r="M6" s="75">
        <f t="shared" si="3"/>
        <v>7560.7277999999969</v>
      </c>
      <c r="N6" s="75">
        <f t="shared" si="3"/>
        <v>0</v>
      </c>
      <c r="P6" s="125" t="s">
        <v>473</v>
      </c>
    </row>
    <row r="7" spans="2:16" ht="15.6" hidden="1" x14ac:dyDescent="0.25">
      <c r="B7" s="74" t="s">
        <v>435</v>
      </c>
      <c r="C7" s="122"/>
      <c r="D7" s="74" t="s">
        <v>306</v>
      </c>
      <c r="E7" s="75">
        <f t="shared" si="0"/>
        <v>3088.5310700000009</v>
      </c>
      <c r="F7" s="75">
        <f t="shared" si="0"/>
        <v>0</v>
      </c>
      <c r="G7" s="75">
        <f t="shared" ref="G7" si="4">G27/1000</f>
        <v>3088.5310700000009</v>
      </c>
      <c r="I7" s="75">
        <f t="shared" si="0"/>
        <v>3088.5310700000009</v>
      </c>
      <c r="J7" s="75">
        <f t="shared" ref="J7" si="5">J27/1000</f>
        <v>0</v>
      </c>
      <c r="L7" s="75">
        <f t="shared" si="3"/>
        <v>3088.5310700000009</v>
      </c>
      <c r="M7" s="75">
        <f t="shared" si="3"/>
        <v>0</v>
      </c>
      <c r="N7" s="75">
        <f t="shared" si="3"/>
        <v>0</v>
      </c>
      <c r="P7" s="125" t="s">
        <v>436</v>
      </c>
    </row>
    <row r="8" spans="2:16" ht="46.8" hidden="1" x14ac:dyDescent="0.25">
      <c r="B8" s="74" t="s">
        <v>437</v>
      </c>
      <c r="C8" s="122"/>
      <c r="D8" s="74" t="s">
        <v>306</v>
      </c>
      <c r="E8" s="75">
        <f t="shared" si="0"/>
        <v>3044.8509199999994</v>
      </c>
      <c r="F8" s="75">
        <f t="shared" si="0"/>
        <v>0</v>
      </c>
      <c r="G8" s="75">
        <f t="shared" ref="G8" si="6">G28/1000</f>
        <v>3044.8509199999994</v>
      </c>
      <c r="I8" s="75">
        <f t="shared" si="0"/>
        <v>3044.8509199999994</v>
      </c>
      <c r="J8" s="75">
        <f t="shared" ref="J8" si="7">J28/1000</f>
        <v>0</v>
      </c>
      <c r="L8" s="75">
        <f t="shared" si="3"/>
        <v>3044.8509199999994</v>
      </c>
      <c r="M8" s="75">
        <f t="shared" si="3"/>
        <v>0</v>
      </c>
      <c r="N8" s="75">
        <f t="shared" si="3"/>
        <v>0</v>
      </c>
      <c r="P8" s="125" t="s">
        <v>474</v>
      </c>
    </row>
    <row r="9" spans="2:16" ht="46.8" hidden="1" x14ac:dyDescent="0.25">
      <c r="B9" s="74" t="s">
        <v>438</v>
      </c>
      <c r="C9" s="122"/>
      <c r="D9" s="74" t="s">
        <v>306</v>
      </c>
      <c r="E9" s="75">
        <f t="shared" si="0"/>
        <v>2492.8420500000007</v>
      </c>
      <c r="F9" s="75">
        <f t="shared" si="0"/>
        <v>0</v>
      </c>
      <c r="G9" s="75">
        <f t="shared" ref="G9" si="8">G29/1000</f>
        <v>2492.8420500000007</v>
      </c>
      <c r="I9" s="75">
        <f t="shared" si="0"/>
        <v>0</v>
      </c>
      <c r="J9" s="75">
        <f t="shared" ref="J9" si="9">J29/1000</f>
        <v>0</v>
      </c>
      <c r="L9" s="75">
        <f t="shared" si="3"/>
        <v>0</v>
      </c>
      <c r="M9" s="75">
        <f t="shared" si="3"/>
        <v>2492.8420500000007</v>
      </c>
      <c r="N9" s="75">
        <f t="shared" si="3"/>
        <v>0</v>
      </c>
      <c r="P9" s="126" t="s">
        <v>439</v>
      </c>
    </row>
    <row r="10" spans="2:16" ht="15.6" hidden="1" x14ac:dyDescent="0.25">
      <c r="B10" s="74" t="s">
        <v>440</v>
      </c>
      <c r="C10" s="122"/>
      <c r="D10" s="74" t="s">
        <v>306</v>
      </c>
      <c r="E10" s="75">
        <f t="shared" si="0"/>
        <v>1863.2008999999998</v>
      </c>
      <c r="F10" s="75">
        <f t="shared" si="0"/>
        <v>0</v>
      </c>
      <c r="G10" s="75">
        <f t="shared" ref="G10" si="10">G30/1000</f>
        <v>1863.2008999999998</v>
      </c>
      <c r="I10" s="75">
        <f t="shared" si="0"/>
        <v>1863.2008999999998</v>
      </c>
      <c r="J10" s="75">
        <f t="shared" ref="J10" si="11">J30/1000</f>
        <v>0</v>
      </c>
      <c r="L10" s="75">
        <f t="shared" si="3"/>
        <v>1863.2008999999998</v>
      </c>
      <c r="M10" s="75">
        <f t="shared" si="3"/>
        <v>0</v>
      </c>
      <c r="N10" s="75">
        <f t="shared" si="3"/>
        <v>0</v>
      </c>
      <c r="P10" s="125" t="s">
        <v>441</v>
      </c>
    </row>
    <row r="11" spans="2:16" ht="31.2" hidden="1" x14ac:dyDescent="0.25">
      <c r="B11" s="74" t="s">
        <v>442</v>
      </c>
      <c r="C11" s="122"/>
      <c r="D11" s="74" t="s">
        <v>306</v>
      </c>
      <c r="E11" s="75">
        <f t="shared" si="0"/>
        <v>1702.8487400000001</v>
      </c>
      <c r="F11" s="75">
        <f t="shared" si="0"/>
        <v>0</v>
      </c>
      <c r="G11" s="75">
        <f t="shared" ref="G11" si="12">G31/1000</f>
        <v>1702.8487400000001</v>
      </c>
      <c r="I11" s="75">
        <f t="shared" si="0"/>
        <v>1702.8487400000001</v>
      </c>
      <c r="J11" s="75">
        <f t="shared" ref="J11" si="13">J31/1000</f>
        <v>0</v>
      </c>
      <c r="L11" s="75">
        <f t="shared" si="3"/>
        <v>1702.8487400000001</v>
      </c>
      <c r="M11" s="75">
        <f t="shared" si="3"/>
        <v>0</v>
      </c>
      <c r="N11" s="75">
        <f t="shared" si="3"/>
        <v>0</v>
      </c>
      <c r="P11" s="126" t="s">
        <v>443</v>
      </c>
    </row>
    <row r="12" spans="2:16" ht="15.6" hidden="1" x14ac:dyDescent="0.25">
      <c r="B12" s="74" t="s">
        <v>444</v>
      </c>
      <c r="C12" s="122"/>
      <c r="D12" s="74" t="s">
        <v>306</v>
      </c>
      <c r="E12" s="75">
        <f t="shared" si="0"/>
        <v>876.01175000000001</v>
      </c>
      <c r="F12" s="75">
        <f t="shared" si="0"/>
        <v>0</v>
      </c>
      <c r="G12" s="75">
        <f t="shared" ref="G12" si="14">G32/1000</f>
        <v>876.01175000000001</v>
      </c>
      <c r="I12" s="75">
        <f t="shared" si="0"/>
        <v>0</v>
      </c>
      <c r="J12" s="75">
        <f t="shared" ref="J12" si="15">J32/1000</f>
        <v>0</v>
      </c>
      <c r="L12" s="75">
        <f t="shared" si="3"/>
        <v>0</v>
      </c>
      <c r="M12" s="75">
        <f t="shared" si="3"/>
        <v>876.01175000000001</v>
      </c>
      <c r="N12" s="75">
        <f t="shared" si="3"/>
        <v>0</v>
      </c>
      <c r="P12" s="125" t="s">
        <v>436</v>
      </c>
    </row>
    <row r="13" spans="2:16" ht="15.6" hidden="1" x14ac:dyDescent="0.25">
      <c r="B13" s="74"/>
      <c r="C13" s="122"/>
      <c r="D13" s="74"/>
      <c r="E13" s="75"/>
      <c r="F13" s="75"/>
      <c r="G13" s="75"/>
      <c r="I13" s="75"/>
      <c r="J13" s="75"/>
      <c r="L13" s="76"/>
      <c r="M13" s="77"/>
      <c r="N13" s="75"/>
      <c r="P13" s="125"/>
    </row>
    <row r="14" spans="2:16" ht="15.6" hidden="1" x14ac:dyDescent="0.25">
      <c r="B14" s="127" t="s">
        <v>445</v>
      </c>
      <c r="C14" s="122"/>
      <c r="D14" s="127"/>
      <c r="E14" s="128">
        <f>E39/1000</f>
        <v>22315.752189999999</v>
      </c>
      <c r="F14" s="128">
        <v>0</v>
      </c>
      <c r="G14" s="128">
        <v>0</v>
      </c>
      <c r="I14" s="128">
        <f>I39/1000</f>
        <v>10937.332189999999</v>
      </c>
      <c r="J14" s="128">
        <f>J39/1000</f>
        <v>0</v>
      </c>
      <c r="L14" s="128">
        <f>L39/1000</f>
        <v>10937.332189999999</v>
      </c>
      <c r="M14" s="128">
        <f>M39/1000</f>
        <v>11378.419999999998</v>
      </c>
      <c r="N14" s="128">
        <v>0</v>
      </c>
      <c r="P14" s="128"/>
    </row>
    <row r="15" spans="2:16" ht="15.6" hidden="1" x14ac:dyDescent="0.25">
      <c r="B15" s="82" t="s">
        <v>307</v>
      </c>
      <c r="C15" s="122"/>
      <c r="D15" s="82"/>
      <c r="E15" s="83">
        <f>E45/1000</f>
        <v>6.0763199999999999</v>
      </c>
      <c r="F15" s="83">
        <v>0</v>
      </c>
      <c r="G15" s="83">
        <v>0</v>
      </c>
      <c r="I15" s="83">
        <f>I45/1000</f>
        <v>6.0763199999999999</v>
      </c>
      <c r="J15" s="83">
        <f>J45/1000</f>
        <v>0</v>
      </c>
      <c r="L15" s="83">
        <f>L45/1000</f>
        <v>6.0763199999999999</v>
      </c>
      <c r="M15" s="83">
        <f>M45/1000</f>
        <v>0</v>
      </c>
      <c r="N15" s="83">
        <v>0</v>
      </c>
      <c r="P15" s="83"/>
    </row>
    <row r="16" spans="2:16" ht="15.6" hidden="1" x14ac:dyDescent="0.25">
      <c r="B16" s="82" t="s">
        <v>308</v>
      </c>
      <c r="C16" s="122"/>
      <c r="D16" s="82"/>
      <c r="E16" s="83">
        <f>E46/1000</f>
        <v>693.2055600000001</v>
      </c>
      <c r="F16" s="83">
        <f>F46/1000</f>
        <v>0</v>
      </c>
      <c r="G16" s="83">
        <f>G46/1000</f>
        <v>693.2055600000001</v>
      </c>
      <c r="I16" s="83">
        <f>I46/1000</f>
        <v>163.97203490000001</v>
      </c>
      <c r="J16" s="83">
        <f>J46/1000</f>
        <v>0</v>
      </c>
      <c r="L16" s="83">
        <f>L46/1000</f>
        <v>0</v>
      </c>
      <c r="M16" s="83">
        <f>M46/1000</f>
        <v>0</v>
      </c>
      <c r="N16" s="83">
        <f>N46/1000</f>
        <v>693.2055600000001</v>
      </c>
      <c r="P16" s="83" t="s">
        <v>309</v>
      </c>
    </row>
    <row r="17" spans="2:19" ht="15.6" hidden="1" x14ac:dyDescent="0.25">
      <c r="B17" s="90" t="s">
        <v>310</v>
      </c>
      <c r="C17" s="122"/>
      <c r="D17" s="91"/>
      <c r="E17" s="92">
        <f>E16+E15+E14</f>
        <v>23015.034069999998</v>
      </c>
      <c r="F17" s="92">
        <f>F16+F15+F14</f>
        <v>0</v>
      </c>
      <c r="G17" s="92">
        <f>G16+G15+G14</f>
        <v>693.2055600000001</v>
      </c>
      <c r="I17" s="92">
        <f>I16+I15+I14</f>
        <v>11107.380544899999</v>
      </c>
      <c r="J17" s="92">
        <f>J16+J15+J14</f>
        <v>0</v>
      </c>
      <c r="L17" s="92">
        <f>L14+L15</f>
        <v>10943.408509999999</v>
      </c>
      <c r="M17" s="92">
        <f>M16+M14</f>
        <v>11378.419999999998</v>
      </c>
      <c r="N17" s="92">
        <f>N16+N14</f>
        <v>693.2055600000001</v>
      </c>
      <c r="P17" s="93"/>
    </row>
    <row r="18" spans="2:19" hidden="1" x14ac:dyDescent="0.25"/>
    <row r="19" spans="2:19" ht="15.6" hidden="1" x14ac:dyDescent="0.25">
      <c r="B19" s="73" t="s">
        <v>433</v>
      </c>
      <c r="I19" s="129"/>
      <c r="J19" s="129"/>
    </row>
    <row r="20" spans="2:19" ht="15.6" x14ac:dyDescent="0.25">
      <c r="B20" s="73"/>
      <c r="I20" s="130"/>
      <c r="J20" s="130"/>
    </row>
    <row r="21" spans="2:19" ht="15.6" x14ac:dyDescent="0.25">
      <c r="B21" s="73"/>
      <c r="I21" s="129"/>
      <c r="J21" s="129"/>
      <c r="P21" s="123"/>
    </row>
    <row r="22" spans="2:19" ht="15.6" hidden="1" x14ac:dyDescent="0.25">
      <c r="B22" s="42" t="s">
        <v>470</v>
      </c>
      <c r="C22" s="42"/>
      <c r="D22" s="42"/>
      <c r="E22" s="42"/>
      <c r="F22" s="42"/>
      <c r="G22" s="42"/>
      <c r="I22" s="124">
        <f>SUM(E124:F124)</f>
        <v>64140011.459999993</v>
      </c>
      <c r="J22" s="124">
        <f>SUM(F124:G124)</f>
        <v>105264988.84999999</v>
      </c>
    </row>
    <row r="23" spans="2:19" ht="15.6" hidden="1" x14ac:dyDescent="0.25">
      <c r="B23" s="73"/>
    </row>
    <row r="24" spans="2:19" ht="15.6" x14ac:dyDescent="0.25">
      <c r="B24" s="327" t="s">
        <v>15607</v>
      </c>
      <c r="C24" s="122"/>
      <c r="D24" s="327" t="s">
        <v>304</v>
      </c>
      <c r="E24" s="327" t="s">
        <v>22</v>
      </c>
      <c r="F24" s="327" t="s">
        <v>7</v>
      </c>
      <c r="G24" s="327" t="s">
        <v>310</v>
      </c>
      <c r="I24" s="327" t="s">
        <v>305</v>
      </c>
      <c r="J24" s="327" t="s">
        <v>524</v>
      </c>
      <c r="L24" s="327" t="s">
        <v>487</v>
      </c>
      <c r="M24" s="327"/>
      <c r="N24" s="327"/>
      <c r="P24" s="327" t="s">
        <v>303</v>
      </c>
    </row>
    <row r="25" spans="2:19" ht="15.6" x14ac:dyDescent="0.25">
      <c r="B25" s="328"/>
      <c r="C25" s="122"/>
      <c r="D25" s="328"/>
      <c r="E25" s="328"/>
      <c r="F25" s="328"/>
      <c r="G25" s="328"/>
      <c r="I25" s="328"/>
      <c r="J25" s="328"/>
      <c r="L25" s="42" t="s">
        <v>415</v>
      </c>
      <c r="M25" s="42" t="s">
        <v>416</v>
      </c>
      <c r="N25" s="42" t="s">
        <v>417</v>
      </c>
      <c r="P25" s="328"/>
    </row>
    <row r="26" spans="2:19" ht="116.4" customHeight="1" x14ac:dyDescent="0.25">
      <c r="B26" s="74" t="s">
        <v>160</v>
      </c>
      <c r="C26" s="122"/>
      <c r="D26" s="79" t="s">
        <v>157</v>
      </c>
      <c r="E26" s="75">
        <v>7560727.799999997</v>
      </c>
      <c r="F26" s="75">
        <v>0</v>
      </c>
      <c r="G26" s="176">
        <f>SUM(E26:F26)</f>
        <v>7560727.799999997</v>
      </c>
      <c r="H26" s="177"/>
      <c r="I26" s="75">
        <v>0</v>
      </c>
      <c r="J26" s="75"/>
      <c r="L26" s="43">
        <f>I26</f>
        <v>0</v>
      </c>
      <c r="M26" s="43">
        <f>E26-I26</f>
        <v>7560727.799999997</v>
      </c>
      <c r="N26" s="43"/>
      <c r="P26" s="147" t="s">
        <v>602</v>
      </c>
      <c r="S26" s="143"/>
    </row>
    <row r="27" spans="2:19" ht="72" customHeight="1" x14ac:dyDescent="0.25">
      <c r="B27" s="74" t="s">
        <v>368</v>
      </c>
      <c r="C27" s="122"/>
      <c r="D27" s="79" t="s">
        <v>157</v>
      </c>
      <c r="E27" s="75">
        <v>3088531.0700000008</v>
      </c>
      <c r="F27" s="75">
        <v>0</v>
      </c>
      <c r="G27" s="176">
        <f t="shared" ref="G27:G30" si="16">SUM(E27:F27)</f>
        <v>3088531.0700000008</v>
      </c>
      <c r="I27" s="75">
        <v>3088531.0700000008</v>
      </c>
      <c r="J27" s="75"/>
      <c r="L27" s="43">
        <f t="shared" ref="L27:L37" si="17">I27</f>
        <v>3088531.0700000008</v>
      </c>
      <c r="M27" s="43">
        <f t="shared" ref="M27:M37" si="18">E27-I27</f>
        <v>0</v>
      </c>
      <c r="N27" s="43"/>
      <c r="P27" s="147" t="s">
        <v>475</v>
      </c>
      <c r="S27" s="143"/>
    </row>
    <row r="28" spans="2:19" ht="57.6" customHeight="1" x14ac:dyDescent="0.25">
      <c r="B28" s="74" t="s">
        <v>192</v>
      </c>
      <c r="C28" s="122"/>
      <c r="D28" s="79" t="s">
        <v>157</v>
      </c>
      <c r="E28" s="75">
        <v>3044850.9199999995</v>
      </c>
      <c r="F28" s="75">
        <v>0</v>
      </c>
      <c r="G28" s="176">
        <f>SUM(E28:F28)</f>
        <v>3044850.9199999995</v>
      </c>
      <c r="I28" s="75">
        <v>3044850.9199999995</v>
      </c>
      <c r="J28" s="75"/>
      <c r="L28" s="43">
        <f t="shared" si="17"/>
        <v>3044850.9199999995</v>
      </c>
      <c r="M28" s="43">
        <f t="shared" si="18"/>
        <v>0</v>
      </c>
      <c r="N28" s="43"/>
      <c r="P28" s="147" t="s">
        <v>603</v>
      </c>
      <c r="S28" s="144"/>
    </row>
    <row r="29" spans="2:19" s="123" customFormat="1" ht="135.6" customHeight="1" x14ac:dyDescent="0.25">
      <c r="B29" s="79" t="s">
        <v>170</v>
      </c>
      <c r="C29" s="122"/>
      <c r="D29" s="79" t="s">
        <v>157</v>
      </c>
      <c r="E29" s="75">
        <v>2492842.0500000007</v>
      </c>
      <c r="F29" s="78">
        <v>0</v>
      </c>
      <c r="G29" s="211">
        <f>SUM(E29:F29)</f>
        <v>2492842.0500000007</v>
      </c>
      <c r="I29" s="75">
        <v>0</v>
      </c>
      <c r="J29" s="78"/>
      <c r="L29" s="43">
        <f t="shared" si="17"/>
        <v>0</v>
      </c>
      <c r="M29" s="43">
        <f t="shared" si="18"/>
        <v>2492842.0500000007</v>
      </c>
      <c r="N29" s="212"/>
      <c r="P29" s="148" t="s">
        <v>477</v>
      </c>
      <c r="Q29" s="213"/>
      <c r="S29" s="214"/>
    </row>
    <row r="30" spans="2:19" ht="181.95" customHeight="1" x14ac:dyDescent="0.25">
      <c r="B30" s="74" t="s">
        <v>177</v>
      </c>
      <c r="C30" s="122"/>
      <c r="D30" s="79" t="s">
        <v>157</v>
      </c>
      <c r="E30" s="75">
        <v>1863200.9</v>
      </c>
      <c r="F30" s="75">
        <v>0</v>
      </c>
      <c r="G30" s="176">
        <f t="shared" si="16"/>
        <v>1863200.9</v>
      </c>
      <c r="I30" s="75">
        <v>1863200.9</v>
      </c>
      <c r="J30" s="75"/>
      <c r="L30" s="43">
        <f t="shared" si="17"/>
        <v>1863200.9</v>
      </c>
      <c r="M30" s="43">
        <f t="shared" si="18"/>
        <v>0</v>
      </c>
      <c r="N30" s="43"/>
      <c r="P30" s="147" t="s">
        <v>604</v>
      </c>
      <c r="S30" s="144"/>
    </row>
    <row r="31" spans="2:19" ht="79.95" customHeight="1" x14ac:dyDescent="0.25">
      <c r="B31" s="74" t="s">
        <v>181</v>
      </c>
      <c r="C31" s="122"/>
      <c r="D31" s="79" t="s">
        <v>157</v>
      </c>
      <c r="E31" s="75">
        <v>1702848.7400000002</v>
      </c>
      <c r="F31" s="75">
        <v>0</v>
      </c>
      <c r="G31" s="176">
        <f t="shared" ref="G31:G37" si="19">SUM(E31:F31)</f>
        <v>1702848.7400000002</v>
      </c>
      <c r="I31" s="75">
        <v>1702848.7400000002</v>
      </c>
      <c r="J31" s="75"/>
      <c r="L31" s="43">
        <f t="shared" si="17"/>
        <v>1702848.7400000002</v>
      </c>
      <c r="M31" s="43">
        <f t="shared" si="18"/>
        <v>0</v>
      </c>
      <c r="N31" s="43"/>
      <c r="P31" s="148" t="s">
        <v>476</v>
      </c>
    </row>
    <row r="32" spans="2:19" ht="140.4" x14ac:dyDescent="0.25">
      <c r="B32" s="74" t="s">
        <v>189</v>
      </c>
      <c r="C32" s="122"/>
      <c r="D32" s="79" t="s">
        <v>157</v>
      </c>
      <c r="E32" s="75">
        <v>876011.75</v>
      </c>
      <c r="F32" s="75">
        <v>0</v>
      </c>
      <c r="G32" s="176">
        <f t="shared" si="19"/>
        <v>876011.75</v>
      </c>
      <c r="I32" s="75">
        <v>0</v>
      </c>
      <c r="J32" s="75"/>
      <c r="L32" s="43">
        <f t="shared" si="17"/>
        <v>0</v>
      </c>
      <c r="M32" s="43">
        <f t="shared" si="18"/>
        <v>876011.75</v>
      </c>
      <c r="N32" s="43"/>
      <c r="P32" s="147" t="s">
        <v>605</v>
      </c>
    </row>
    <row r="33" spans="2:19" ht="62.4" x14ac:dyDescent="0.25">
      <c r="B33" s="79" t="s">
        <v>366</v>
      </c>
      <c r="C33" s="225"/>
      <c r="D33" s="79" t="s">
        <v>157</v>
      </c>
      <c r="E33" s="75">
        <v>237309.12</v>
      </c>
      <c r="F33" s="78">
        <v>0</v>
      </c>
      <c r="G33" s="211">
        <f t="shared" si="19"/>
        <v>237309.12</v>
      </c>
      <c r="H33" s="226"/>
      <c r="I33" s="75">
        <v>237309.12</v>
      </c>
      <c r="J33" s="78"/>
      <c r="K33" s="226"/>
      <c r="L33" s="43">
        <f t="shared" si="17"/>
        <v>237309.12</v>
      </c>
      <c r="M33" s="43">
        <f t="shared" si="18"/>
        <v>0</v>
      </c>
      <c r="N33" s="78"/>
      <c r="O33" s="226"/>
      <c r="P33" s="148" t="s">
        <v>606</v>
      </c>
    </row>
    <row r="34" spans="2:19" ht="46.8" x14ac:dyDescent="0.25">
      <c r="B34" s="79" t="s">
        <v>44</v>
      </c>
      <c r="C34" s="122"/>
      <c r="D34" s="79" t="s">
        <v>446</v>
      </c>
      <c r="E34" s="78">
        <v>226233.60000000001</v>
      </c>
      <c r="F34" s="78">
        <v>0</v>
      </c>
      <c r="G34" s="211">
        <f t="shared" si="19"/>
        <v>226233.60000000001</v>
      </c>
      <c r="I34" s="75">
        <v>226233.60000000001</v>
      </c>
      <c r="J34" s="78"/>
      <c r="L34" s="43">
        <f t="shared" si="17"/>
        <v>226233.60000000001</v>
      </c>
      <c r="M34" s="43">
        <f t="shared" si="18"/>
        <v>0</v>
      </c>
      <c r="N34" s="212"/>
      <c r="P34" s="148" t="s">
        <v>523</v>
      </c>
    </row>
    <row r="35" spans="2:19" ht="33" customHeight="1" x14ac:dyDescent="0.25">
      <c r="B35" s="79" t="s">
        <v>242</v>
      </c>
      <c r="C35" s="122"/>
      <c r="D35" s="79" t="s">
        <v>157</v>
      </c>
      <c r="E35" s="78">
        <v>988506.24</v>
      </c>
      <c r="F35" s="78">
        <v>0</v>
      </c>
      <c r="G35" s="211">
        <f t="shared" si="19"/>
        <v>988506.24</v>
      </c>
      <c r="I35" s="75">
        <v>539667.84000000008</v>
      </c>
      <c r="J35" s="78"/>
      <c r="L35" s="43">
        <f t="shared" si="17"/>
        <v>539667.84000000008</v>
      </c>
      <c r="M35" s="43">
        <f t="shared" si="18"/>
        <v>448838.39999999991</v>
      </c>
      <c r="N35" s="212"/>
      <c r="P35" s="148" t="s">
        <v>662</v>
      </c>
    </row>
    <row r="36" spans="2:19" ht="45.6" customHeight="1" x14ac:dyDescent="0.25">
      <c r="B36" s="79" t="s">
        <v>263</v>
      </c>
      <c r="C36" s="122"/>
      <c r="D36" s="79" t="s">
        <v>446</v>
      </c>
      <c r="E36" s="78">
        <v>213750</v>
      </c>
      <c r="F36" s="78">
        <v>0</v>
      </c>
      <c r="G36" s="211">
        <f t="shared" si="19"/>
        <v>213750</v>
      </c>
      <c r="I36" s="75">
        <v>213750</v>
      </c>
      <c r="J36" s="78"/>
      <c r="L36" s="43">
        <f t="shared" si="17"/>
        <v>213750</v>
      </c>
      <c r="M36" s="43">
        <f t="shared" si="18"/>
        <v>0</v>
      </c>
      <c r="N36" s="212"/>
      <c r="P36" s="148" t="s">
        <v>601</v>
      </c>
    </row>
    <row r="37" spans="2:19" ht="51" customHeight="1" x14ac:dyDescent="0.25">
      <c r="B37" s="79" t="s">
        <v>80</v>
      </c>
      <c r="C37" s="122"/>
      <c r="D37" s="79" t="s">
        <v>446</v>
      </c>
      <c r="E37" s="78">
        <v>20940</v>
      </c>
      <c r="F37" s="78">
        <v>0</v>
      </c>
      <c r="G37" s="211">
        <f t="shared" si="19"/>
        <v>20940</v>
      </c>
      <c r="I37" s="75">
        <v>20940</v>
      </c>
      <c r="J37" s="78"/>
      <c r="L37" s="43">
        <f t="shared" si="17"/>
        <v>20940</v>
      </c>
      <c r="M37" s="43">
        <f t="shared" si="18"/>
        <v>0</v>
      </c>
      <c r="N37" s="212"/>
      <c r="P37" s="148" t="s">
        <v>518</v>
      </c>
    </row>
    <row r="38" spans="2:19" ht="15.6" x14ac:dyDescent="0.25">
      <c r="B38" s="74"/>
      <c r="C38" s="122"/>
      <c r="D38" s="74"/>
      <c r="E38" s="75"/>
      <c r="F38" s="75"/>
      <c r="G38" s="75"/>
      <c r="I38" s="75"/>
      <c r="J38" s="75"/>
      <c r="L38" s="43"/>
      <c r="M38" s="43"/>
      <c r="N38" s="75"/>
      <c r="P38" s="125"/>
    </row>
    <row r="39" spans="2:19" ht="13.95" customHeight="1" x14ac:dyDescent="0.25">
      <c r="B39" s="127" t="s">
        <v>765</v>
      </c>
      <c r="C39" s="122"/>
      <c r="D39" s="127"/>
      <c r="E39" s="128">
        <f>SUM(E26:E37)</f>
        <v>22315752.189999998</v>
      </c>
      <c r="F39" s="128">
        <f>SUM(F26:F37)</f>
        <v>0</v>
      </c>
      <c r="G39" s="128">
        <f>SUM(G26:G37)</f>
        <v>22315752.189999998</v>
      </c>
      <c r="I39" s="203">
        <f>SUM(I26:I37)</f>
        <v>10937332.189999999</v>
      </c>
      <c r="J39" s="128">
        <f>SUM(J26:J37)</f>
        <v>0</v>
      </c>
      <c r="L39" s="203">
        <f>SUM(L26:L37)</f>
        <v>10937332.189999999</v>
      </c>
      <c r="M39" s="128">
        <f>SUM(M26:M37)</f>
        <v>11378419.999999998</v>
      </c>
      <c r="N39" s="128">
        <f>SUM(N26:N37)</f>
        <v>0</v>
      </c>
      <c r="P39" s="128"/>
    </row>
    <row r="40" spans="2:19" ht="31.2" outlineLevel="1" x14ac:dyDescent="0.25">
      <c r="B40" s="142" t="s">
        <v>237</v>
      </c>
      <c r="C40" s="122"/>
      <c r="D40" s="79" t="s">
        <v>446</v>
      </c>
      <c r="E40" s="80">
        <v>100</v>
      </c>
      <c r="F40" s="75">
        <v>0</v>
      </c>
      <c r="G40" s="81">
        <f t="shared" ref="G40:G43" si="20">SUM(E40:F40)</f>
        <v>100</v>
      </c>
      <c r="I40" s="75">
        <v>100</v>
      </c>
      <c r="J40" s="78"/>
      <c r="L40" s="80">
        <f>I40</f>
        <v>100</v>
      </c>
      <c r="M40" s="80">
        <f t="shared" ref="M40:M43" si="21">E40-L40</f>
        <v>0</v>
      </c>
      <c r="N40" s="80"/>
      <c r="P40" s="227" t="s">
        <v>521</v>
      </c>
    </row>
    <row r="41" spans="2:19" ht="31.2" outlineLevel="1" x14ac:dyDescent="0.25">
      <c r="B41" s="142" t="s">
        <v>278</v>
      </c>
      <c r="C41" s="122"/>
      <c r="D41" s="79" t="s">
        <v>446</v>
      </c>
      <c r="E41" s="80">
        <v>50</v>
      </c>
      <c r="F41" s="75">
        <v>0</v>
      </c>
      <c r="G41" s="81">
        <f t="shared" si="20"/>
        <v>50</v>
      </c>
      <c r="I41" s="75">
        <v>50</v>
      </c>
      <c r="J41" s="78"/>
      <c r="L41" s="80">
        <f>I41</f>
        <v>50</v>
      </c>
      <c r="M41" s="80">
        <f t="shared" si="21"/>
        <v>0</v>
      </c>
      <c r="N41" s="80"/>
      <c r="P41" s="227" t="s">
        <v>522</v>
      </c>
    </row>
    <row r="42" spans="2:19" ht="15.6" outlineLevel="1" x14ac:dyDescent="0.25">
      <c r="B42" s="142" t="s">
        <v>359</v>
      </c>
      <c r="C42" s="122"/>
      <c r="D42" s="79" t="s">
        <v>446</v>
      </c>
      <c r="E42" s="80">
        <v>5626.32</v>
      </c>
      <c r="F42" s="75">
        <v>0</v>
      </c>
      <c r="G42" s="81">
        <f t="shared" si="20"/>
        <v>5626.32</v>
      </c>
      <c r="I42" s="75">
        <v>5626.32</v>
      </c>
      <c r="J42" s="78"/>
      <c r="L42" s="80">
        <f t="shared" ref="L42" si="22">I42</f>
        <v>5626.32</v>
      </c>
      <c r="M42" s="80">
        <f>E42-L42</f>
        <v>0</v>
      </c>
      <c r="N42" s="80"/>
      <c r="P42" s="227" t="s">
        <v>519</v>
      </c>
    </row>
    <row r="43" spans="2:19" ht="16.95" customHeight="1" outlineLevel="1" x14ac:dyDescent="0.25">
      <c r="B43" s="142" t="s">
        <v>334</v>
      </c>
      <c r="C43" s="122"/>
      <c r="D43" s="79" t="s">
        <v>446</v>
      </c>
      <c r="E43" s="80">
        <v>300</v>
      </c>
      <c r="F43" s="75">
        <v>0</v>
      </c>
      <c r="G43" s="81">
        <f t="shared" si="20"/>
        <v>300</v>
      </c>
      <c r="I43" s="75">
        <v>300</v>
      </c>
      <c r="J43" s="78"/>
      <c r="L43" s="80">
        <f>I43</f>
        <v>300</v>
      </c>
      <c r="M43" s="80">
        <f t="shared" si="21"/>
        <v>0</v>
      </c>
      <c r="N43" s="80"/>
      <c r="P43" s="145" t="s">
        <v>520</v>
      </c>
    </row>
    <row r="44" spans="2:19" ht="16.95" customHeight="1" outlineLevel="1" x14ac:dyDescent="0.25">
      <c r="B44" s="79"/>
      <c r="C44" s="122"/>
      <c r="D44" s="79"/>
      <c r="E44" s="184"/>
      <c r="F44" s="75"/>
      <c r="G44" s="81"/>
      <c r="I44" s="75"/>
      <c r="J44" s="75"/>
      <c r="L44" s="80"/>
      <c r="M44" s="80"/>
      <c r="N44" s="81"/>
      <c r="P44" s="149"/>
    </row>
    <row r="45" spans="2:19" ht="15.6" collapsed="1" x14ac:dyDescent="0.25">
      <c r="B45" s="82" t="s">
        <v>488</v>
      </c>
      <c r="C45" s="122"/>
      <c r="D45" s="82"/>
      <c r="E45" s="83">
        <f>SUM(E40:E44)</f>
        <v>6076.32</v>
      </c>
      <c r="F45" s="83">
        <f>SUM(F40:F44)</f>
        <v>0</v>
      </c>
      <c r="G45" s="83">
        <f>SUM(G40:G44)</f>
        <v>6076.32</v>
      </c>
      <c r="I45" s="202">
        <f>SUM(I40:I44)</f>
        <v>6076.32</v>
      </c>
      <c r="J45" s="83">
        <f>SUM(J40:J44)</f>
        <v>0</v>
      </c>
      <c r="L45" s="83">
        <f>SUM(L40:L44)</f>
        <v>6076.32</v>
      </c>
      <c r="M45" s="83">
        <f>SUM(M40:M44)</f>
        <v>0</v>
      </c>
      <c r="N45" s="83">
        <f>SUM(N40:N44)</f>
        <v>0</v>
      </c>
      <c r="P45" s="83"/>
    </row>
    <row r="46" spans="2:19" ht="15.6" x14ac:dyDescent="0.25">
      <c r="B46" s="82" t="s">
        <v>308</v>
      </c>
      <c r="C46" s="122"/>
      <c r="D46" s="82"/>
      <c r="E46" s="83">
        <f>SUM(E47:E54)</f>
        <v>693205.56</v>
      </c>
      <c r="F46" s="83">
        <f>F55+F56+F57</f>
        <v>0</v>
      </c>
      <c r="G46" s="83">
        <f>SUM(G47:G54)</f>
        <v>693205.56</v>
      </c>
      <c r="I46" s="202">
        <f>SUM(I47:I54)</f>
        <v>163972.0349</v>
      </c>
      <c r="J46" s="83">
        <f>SUM(J47:J54)</f>
        <v>0</v>
      </c>
      <c r="L46" s="83">
        <f>SUM(L47:L54)</f>
        <v>0</v>
      </c>
      <c r="M46" s="83">
        <f>SUM(M47:M54)</f>
        <v>0</v>
      </c>
      <c r="N46" s="83">
        <f>SUM(N47:N54)</f>
        <v>693205.56</v>
      </c>
      <c r="P46" s="83" t="s">
        <v>309</v>
      </c>
    </row>
    <row r="47" spans="2:19" s="123" customFormat="1" ht="15.6" outlineLevel="2" x14ac:dyDescent="0.3">
      <c r="B47" s="79" t="s">
        <v>330</v>
      </c>
      <c r="C47" s="122"/>
      <c r="D47" s="79" t="s">
        <v>157</v>
      </c>
      <c r="E47" s="80">
        <v>329327.90999999997</v>
      </c>
      <c r="F47" s="81"/>
      <c r="G47" s="81">
        <v>329327.90999999997</v>
      </c>
      <c r="I47" s="75">
        <v>0</v>
      </c>
      <c r="J47" s="75"/>
      <c r="L47" s="80"/>
      <c r="M47" s="80"/>
      <c r="N47" s="80">
        <f>E47</f>
        <v>329327.90999999997</v>
      </c>
      <c r="P47" s="227"/>
      <c r="S47" s="190"/>
    </row>
    <row r="48" spans="2:19" s="123" customFormat="1" ht="15.6" outlineLevel="2" x14ac:dyDescent="0.3">
      <c r="B48" s="79" t="s">
        <v>376</v>
      </c>
      <c r="C48" s="122"/>
      <c r="D48" s="79" t="s">
        <v>764</v>
      </c>
      <c r="E48" s="80">
        <v>14548.35</v>
      </c>
      <c r="F48" s="81"/>
      <c r="G48" s="81">
        <f>SUM(E48:F48)</f>
        <v>14548.35</v>
      </c>
      <c r="I48" s="75">
        <v>436.45049999999998</v>
      </c>
      <c r="J48" s="75"/>
      <c r="L48" s="80"/>
      <c r="M48" s="80"/>
      <c r="N48" s="80">
        <f t="shared" ref="N48:N54" si="23">E48</f>
        <v>14548.35</v>
      </c>
      <c r="P48" s="227"/>
      <c r="S48" s="190"/>
    </row>
    <row r="49" spans="2:19" s="123" customFormat="1" ht="15.6" outlineLevel="2" x14ac:dyDescent="0.3">
      <c r="B49" s="79" t="s">
        <v>274</v>
      </c>
      <c r="C49" s="122"/>
      <c r="D49" s="79" t="s">
        <v>764</v>
      </c>
      <c r="E49" s="80">
        <v>86689.1</v>
      </c>
      <c r="F49" s="81"/>
      <c r="G49" s="81">
        <f t="shared" ref="G49:G50" si="24">SUM(E49:F49)</f>
        <v>86689.1</v>
      </c>
      <c r="I49" s="75">
        <v>0</v>
      </c>
      <c r="J49" s="75"/>
      <c r="L49" s="80"/>
      <c r="M49" s="80"/>
      <c r="N49" s="80">
        <f t="shared" si="23"/>
        <v>86689.1</v>
      </c>
      <c r="P49" s="227"/>
      <c r="S49" s="190"/>
    </row>
    <row r="50" spans="2:19" s="123" customFormat="1" ht="15.6" outlineLevel="2" x14ac:dyDescent="0.25">
      <c r="B50" s="79" t="s">
        <v>318</v>
      </c>
      <c r="C50" s="122"/>
      <c r="D50" s="79" t="s">
        <v>764</v>
      </c>
      <c r="E50" s="80">
        <v>40017.64</v>
      </c>
      <c r="F50" s="81"/>
      <c r="G50" s="81">
        <f t="shared" si="24"/>
        <v>40017.64</v>
      </c>
      <c r="I50" s="75">
        <v>0</v>
      </c>
      <c r="J50" s="75"/>
      <c r="L50" s="80"/>
      <c r="M50" s="80"/>
      <c r="N50" s="80">
        <f t="shared" si="23"/>
        <v>40017.64</v>
      </c>
      <c r="P50" s="227"/>
    </row>
    <row r="51" spans="2:19" s="123" customFormat="1" ht="15.6" outlineLevel="2" x14ac:dyDescent="0.25">
      <c r="B51" s="79" t="s">
        <v>709</v>
      </c>
      <c r="C51" s="122"/>
      <c r="D51" s="79" t="s">
        <v>446</v>
      </c>
      <c r="E51" s="80">
        <v>49440</v>
      </c>
      <c r="F51" s="81"/>
      <c r="G51" s="81">
        <f t="shared" ref="G51:G53" si="25">SUM(E51:F51)</f>
        <v>49440</v>
      </c>
      <c r="I51" s="75">
        <v>0</v>
      </c>
      <c r="J51" s="75"/>
      <c r="L51" s="80"/>
      <c r="M51" s="80"/>
      <c r="N51" s="80">
        <f t="shared" si="23"/>
        <v>49440</v>
      </c>
      <c r="P51" s="227"/>
    </row>
    <row r="52" spans="2:19" s="123" customFormat="1" ht="15.6" outlineLevel="2" x14ac:dyDescent="0.25">
      <c r="B52" s="79" t="s">
        <v>431</v>
      </c>
      <c r="C52" s="122"/>
      <c r="D52" s="79" t="s">
        <v>446</v>
      </c>
      <c r="E52" s="80">
        <v>16818.920000000002</v>
      </c>
      <c r="F52" s="81"/>
      <c r="G52" s="81">
        <f t="shared" si="25"/>
        <v>16818.920000000002</v>
      </c>
      <c r="I52" s="75">
        <v>16756.646000000001</v>
      </c>
      <c r="J52" s="75"/>
      <c r="L52" s="80"/>
      <c r="M52" s="80"/>
      <c r="N52" s="80">
        <f t="shared" si="23"/>
        <v>16818.920000000002</v>
      </c>
      <c r="P52" s="227"/>
    </row>
    <row r="53" spans="2:19" s="123" customFormat="1" ht="15.6" outlineLevel="2" x14ac:dyDescent="0.25">
      <c r="B53" s="79" t="s">
        <v>579</v>
      </c>
      <c r="C53" s="122"/>
      <c r="D53" s="79" t="s">
        <v>764</v>
      </c>
      <c r="E53" s="80">
        <v>1380.52</v>
      </c>
      <c r="F53" s="81"/>
      <c r="G53" s="81">
        <f t="shared" si="25"/>
        <v>1380.52</v>
      </c>
      <c r="I53" s="75">
        <v>15.818399999999999</v>
      </c>
      <c r="J53" s="75"/>
      <c r="L53" s="80"/>
      <c r="M53" s="80"/>
      <c r="N53" s="80">
        <f t="shared" si="23"/>
        <v>1380.52</v>
      </c>
      <c r="P53" s="227"/>
    </row>
    <row r="54" spans="2:19" s="123" customFormat="1" ht="15.6" outlineLevel="2" x14ac:dyDescent="0.25">
      <c r="B54" s="79" t="s">
        <v>447</v>
      </c>
      <c r="C54" s="122"/>
      <c r="D54" s="79" t="s">
        <v>446</v>
      </c>
      <c r="E54" s="223">
        <v>154983.12</v>
      </c>
      <c r="F54" s="81"/>
      <c r="G54" s="81">
        <f>SUM(E54:F54)</f>
        <v>154983.12</v>
      </c>
      <c r="I54" s="75">
        <v>146763.12</v>
      </c>
      <c r="J54" s="80"/>
      <c r="L54" s="80"/>
      <c r="M54" s="80"/>
      <c r="N54" s="80">
        <f t="shared" si="23"/>
        <v>154983.12</v>
      </c>
      <c r="P54" s="227"/>
    </row>
    <row r="55" spans="2:19" ht="15.6" outlineLevel="1" x14ac:dyDescent="0.25">
      <c r="B55" s="329" t="s">
        <v>7</v>
      </c>
      <c r="C55" s="122"/>
      <c r="D55" s="82" t="s">
        <v>446</v>
      </c>
      <c r="E55" s="84"/>
      <c r="F55" s="83"/>
      <c r="G55" s="83"/>
      <c r="I55" s="83"/>
      <c r="J55" s="83"/>
      <c r="L55" s="83"/>
      <c r="M55" s="83"/>
      <c r="N55" s="83"/>
      <c r="P55" s="83"/>
    </row>
    <row r="56" spans="2:19" ht="15.6" outlineLevel="1" x14ac:dyDescent="0.25">
      <c r="B56" s="330"/>
      <c r="C56" s="122"/>
      <c r="D56" s="82" t="s">
        <v>764</v>
      </c>
      <c r="E56" s="84"/>
      <c r="F56" s="83"/>
      <c r="G56" s="83"/>
      <c r="I56" s="83"/>
      <c r="J56" s="83"/>
      <c r="L56" s="83"/>
      <c r="M56" s="83"/>
      <c r="N56" s="83"/>
      <c r="P56" s="83"/>
    </row>
    <row r="57" spans="2:19" ht="15.6" outlineLevel="1" x14ac:dyDescent="0.25">
      <c r="B57" s="331"/>
      <c r="C57" s="122"/>
      <c r="D57" s="82" t="s">
        <v>157</v>
      </c>
      <c r="E57" s="84"/>
      <c r="F57" s="83"/>
      <c r="G57" s="83"/>
      <c r="I57" s="83"/>
      <c r="J57" s="83"/>
      <c r="L57" s="83"/>
      <c r="M57" s="83"/>
      <c r="N57" s="83"/>
      <c r="P57" s="83"/>
    </row>
    <row r="58" spans="2:19" s="123" customFormat="1" ht="21" customHeight="1" outlineLevel="2" x14ac:dyDescent="0.25">
      <c r="B58" s="85" t="s">
        <v>431</v>
      </c>
      <c r="C58" s="131"/>
      <c r="D58" s="79" t="s">
        <v>446</v>
      </c>
      <c r="E58" s="86"/>
      <c r="F58" s="86">
        <v>4180139.9899999998</v>
      </c>
      <c r="G58" s="86">
        <f t="shared" ref="G58:G112" si="26">E58+F58</f>
        <v>4180139.9899999998</v>
      </c>
      <c r="I58" s="87"/>
      <c r="J58" s="87"/>
      <c r="L58" s="88"/>
      <c r="M58" s="88"/>
      <c r="N58" s="86"/>
      <c r="O58" s="86">
        <v>475235</v>
      </c>
      <c r="P58" s="151"/>
    </row>
    <row r="59" spans="2:19" s="123" customFormat="1" ht="15.6" outlineLevel="2" x14ac:dyDescent="0.25">
      <c r="B59" s="85" t="s">
        <v>359</v>
      </c>
      <c r="C59" s="122"/>
      <c r="D59" s="79" t="s">
        <v>446</v>
      </c>
      <c r="E59" s="80"/>
      <c r="F59" s="80">
        <v>5055164.71</v>
      </c>
      <c r="G59" s="86">
        <f t="shared" si="26"/>
        <v>5055164.71</v>
      </c>
      <c r="I59" s="80"/>
      <c r="J59" s="80"/>
      <c r="L59" s="80"/>
      <c r="M59" s="80"/>
      <c r="N59" s="80"/>
      <c r="O59" s="80">
        <v>3633158.100000001</v>
      </c>
      <c r="P59" s="150"/>
    </row>
    <row r="60" spans="2:19" s="123" customFormat="1" ht="15.6" outlineLevel="2" x14ac:dyDescent="0.25">
      <c r="B60" s="85" t="s">
        <v>449</v>
      </c>
      <c r="C60" s="122"/>
      <c r="D60" s="79" t="s">
        <v>446</v>
      </c>
      <c r="E60" s="80"/>
      <c r="F60" s="80">
        <v>7901397.5699999994</v>
      </c>
      <c r="G60" s="86">
        <f t="shared" si="26"/>
        <v>7901397.5699999994</v>
      </c>
      <c r="I60" s="80"/>
      <c r="J60" s="80"/>
      <c r="L60" s="80"/>
      <c r="M60" s="80"/>
      <c r="N60" s="80"/>
      <c r="O60" s="80"/>
      <c r="P60" s="150"/>
    </row>
    <row r="61" spans="2:19" s="123" customFormat="1" ht="15.6" outlineLevel="2" x14ac:dyDescent="0.25">
      <c r="B61" s="85" t="s">
        <v>616</v>
      </c>
      <c r="C61" s="122"/>
      <c r="D61" s="79" t="s">
        <v>446</v>
      </c>
      <c r="E61" s="80"/>
      <c r="F61" s="80">
        <v>1521434.1900000002</v>
      </c>
      <c r="G61" s="86">
        <f t="shared" si="26"/>
        <v>1521434.1900000002</v>
      </c>
      <c r="I61" s="80"/>
      <c r="J61" s="80"/>
      <c r="L61" s="80"/>
      <c r="M61" s="80"/>
      <c r="N61" s="80"/>
      <c r="O61" s="80"/>
      <c r="P61" s="150"/>
    </row>
    <row r="62" spans="2:19" s="123" customFormat="1" ht="15.6" outlineLevel="2" x14ac:dyDescent="0.25">
      <c r="B62" s="85" t="s">
        <v>490</v>
      </c>
      <c r="C62" s="122"/>
      <c r="D62" s="79" t="s">
        <v>446</v>
      </c>
      <c r="E62" s="80"/>
      <c r="F62" s="80">
        <v>1314321.8800000001</v>
      </c>
      <c r="G62" s="86">
        <f t="shared" si="26"/>
        <v>1314321.8800000001</v>
      </c>
      <c r="I62" s="80"/>
      <c r="J62" s="80"/>
      <c r="L62" s="80"/>
      <c r="M62" s="80"/>
      <c r="N62" s="80"/>
      <c r="O62" s="80"/>
      <c r="P62" s="150"/>
    </row>
    <row r="63" spans="2:19" s="123" customFormat="1" ht="15.6" outlineLevel="2" x14ac:dyDescent="0.25">
      <c r="B63" s="85" t="s">
        <v>450</v>
      </c>
      <c r="C63" s="122"/>
      <c r="D63" s="79" t="s">
        <v>446</v>
      </c>
      <c r="E63" s="80"/>
      <c r="F63" s="80">
        <v>921284.1</v>
      </c>
      <c r="G63" s="86">
        <f t="shared" si="26"/>
        <v>921284.1</v>
      </c>
      <c r="I63" s="80"/>
      <c r="J63" s="80"/>
      <c r="L63" s="80"/>
      <c r="M63" s="80"/>
      <c r="N63" s="80"/>
      <c r="O63" s="80">
        <v>3231664.82</v>
      </c>
      <c r="P63" s="150"/>
    </row>
    <row r="64" spans="2:19" s="123" customFormat="1" ht="15.6" outlineLevel="2" x14ac:dyDescent="0.25">
      <c r="B64" s="85" t="s">
        <v>25</v>
      </c>
      <c r="C64" s="122"/>
      <c r="D64" s="79" t="s">
        <v>446</v>
      </c>
      <c r="E64" s="80"/>
      <c r="F64" s="80">
        <v>864461.4</v>
      </c>
      <c r="G64" s="86">
        <f t="shared" si="26"/>
        <v>864461.4</v>
      </c>
      <c r="I64" s="80"/>
      <c r="J64" s="80"/>
      <c r="L64" s="80"/>
      <c r="M64" s="80"/>
      <c r="N64" s="80"/>
      <c r="O64" s="80">
        <v>225884.2</v>
      </c>
      <c r="P64" s="150"/>
    </row>
    <row r="65" spans="2:18" s="123" customFormat="1" ht="15.6" outlineLevel="2" x14ac:dyDescent="0.25">
      <c r="B65" s="85" t="s">
        <v>15419</v>
      </c>
      <c r="C65" s="122"/>
      <c r="D65" s="79" t="s">
        <v>446</v>
      </c>
      <c r="E65" s="80"/>
      <c r="F65" s="80">
        <v>850921.60000000009</v>
      </c>
      <c r="G65" s="86">
        <f t="shared" si="26"/>
        <v>850921.60000000009</v>
      </c>
      <c r="I65" s="80"/>
      <c r="J65" s="80"/>
      <c r="L65" s="80"/>
      <c r="M65" s="80"/>
      <c r="N65" s="80"/>
      <c r="O65" s="80">
        <v>6158350.8999999994</v>
      </c>
      <c r="P65" s="150"/>
    </row>
    <row r="66" spans="2:18" s="123" customFormat="1" ht="15.6" outlineLevel="2" x14ac:dyDescent="0.25">
      <c r="B66" s="85" t="s">
        <v>109</v>
      </c>
      <c r="C66" s="122"/>
      <c r="D66" s="79" t="s">
        <v>446</v>
      </c>
      <c r="E66" s="80"/>
      <c r="F66" s="80">
        <v>834367.10000000009</v>
      </c>
      <c r="G66" s="86">
        <f t="shared" si="26"/>
        <v>834367.10000000009</v>
      </c>
      <c r="I66" s="80"/>
      <c r="J66" s="80"/>
      <c r="L66" s="80"/>
      <c r="M66" s="80"/>
      <c r="N66" s="80"/>
      <c r="O66" s="80">
        <v>866804.7</v>
      </c>
      <c r="P66" s="150"/>
    </row>
    <row r="67" spans="2:18" s="123" customFormat="1" ht="15.6" outlineLevel="2" x14ac:dyDescent="0.25">
      <c r="B67" s="85" t="s">
        <v>73</v>
      </c>
      <c r="C67" s="122"/>
      <c r="D67" s="79" t="s">
        <v>446</v>
      </c>
      <c r="E67" s="80"/>
      <c r="F67" s="80">
        <v>793417.97</v>
      </c>
      <c r="G67" s="86">
        <f t="shared" si="26"/>
        <v>793417.97</v>
      </c>
      <c r="I67" s="80"/>
      <c r="J67" s="80"/>
      <c r="L67" s="80"/>
      <c r="M67" s="80"/>
      <c r="N67" s="80"/>
      <c r="O67" s="80">
        <v>158126.39999999999</v>
      </c>
      <c r="P67" s="150"/>
    </row>
    <row r="68" spans="2:18" s="123" customFormat="1" ht="15.6" outlineLevel="2" x14ac:dyDescent="0.25">
      <c r="B68" s="85" t="s">
        <v>583</v>
      </c>
      <c r="C68" s="122"/>
      <c r="D68" s="79" t="s">
        <v>446</v>
      </c>
      <c r="E68" s="80"/>
      <c r="F68" s="80">
        <v>586679.79999999993</v>
      </c>
      <c r="G68" s="86">
        <f t="shared" si="26"/>
        <v>586679.79999999993</v>
      </c>
      <c r="I68" s="80"/>
      <c r="J68" s="80"/>
      <c r="L68" s="80"/>
      <c r="M68" s="80"/>
      <c r="N68" s="80"/>
      <c r="O68" s="80">
        <v>1227102.3999999999</v>
      </c>
      <c r="P68" s="150"/>
    </row>
    <row r="69" spans="2:18" s="123" customFormat="1" ht="15.6" outlineLevel="2" x14ac:dyDescent="0.25">
      <c r="B69" s="85" t="s">
        <v>489</v>
      </c>
      <c r="C69" s="122"/>
      <c r="D69" s="79" t="s">
        <v>446</v>
      </c>
      <c r="E69" s="80"/>
      <c r="F69" s="80">
        <v>487086.6</v>
      </c>
      <c r="G69" s="86">
        <f t="shared" si="26"/>
        <v>487086.6</v>
      </c>
      <c r="I69" s="80"/>
      <c r="J69" s="80"/>
      <c r="L69" s="80"/>
      <c r="M69" s="80"/>
      <c r="N69" s="80"/>
      <c r="O69" s="80">
        <v>53489.3</v>
      </c>
      <c r="P69" s="150"/>
    </row>
    <row r="70" spans="2:18" s="123" customFormat="1" ht="15.6" outlineLevel="2" x14ac:dyDescent="0.25">
      <c r="B70" s="85" t="s">
        <v>526</v>
      </c>
      <c r="C70" s="122"/>
      <c r="D70" s="79" t="s">
        <v>446</v>
      </c>
      <c r="E70" s="80"/>
      <c r="F70" s="80">
        <v>486010</v>
      </c>
      <c r="G70" s="86">
        <f t="shared" si="26"/>
        <v>486010</v>
      </c>
      <c r="I70" s="80"/>
      <c r="J70" s="80"/>
      <c r="L70" s="80"/>
      <c r="M70" s="80"/>
      <c r="N70" s="80"/>
      <c r="O70" s="80"/>
      <c r="P70" s="150"/>
    </row>
    <row r="71" spans="2:18" s="123" customFormat="1" ht="15.6" outlineLevel="2" x14ac:dyDescent="0.25">
      <c r="B71" s="85" t="s">
        <v>355</v>
      </c>
      <c r="C71" s="122"/>
      <c r="D71" s="79" t="s">
        <v>446</v>
      </c>
      <c r="E71" s="80"/>
      <c r="F71" s="80">
        <v>359384.30000000005</v>
      </c>
      <c r="G71" s="86">
        <f t="shared" si="26"/>
        <v>359384.30000000005</v>
      </c>
      <c r="I71" s="80"/>
      <c r="J71" s="80"/>
      <c r="L71" s="80"/>
      <c r="M71" s="80"/>
      <c r="N71" s="80"/>
      <c r="O71" s="80">
        <v>528498.80000000005</v>
      </c>
      <c r="P71" s="150"/>
    </row>
    <row r="72" spans="2:18" s="123" customFormat="1" ht="15.6" outlineLevel="2" x14ac:dyDescent="0.25">
      <c r="B72" s="85" t="s">
        <v>356</v>
      </c>
      <c r="C72" s="122"/>
      <c r="D72" s="79" t="s">
        <v>446</v>
      </c>
      <c r="E72" s="80"/>
      <c r="F72" s="80">
        <v>348528.3</v>
      </c>
      <c r="G72" s="86">
        <f t="shared" si="26"/>
        <v>348528.3</v>
      </c>
      <c r="I72" s="80"/>
      <c r="J72" s="80"/>
      <c r="L72" s="80"/>
      <c r="M72" s="80"/>
      <c r="N72" s="80"/>
      <c r="O72" s="80">
        <v>417989.80000000005</v>
      </c>
      <c r="P72" s="150"/>
    </row>
    <row r="73" spans="2:18" s="123" customFormat="1" ht="15.6" outlineLevel="2" x14ac:dyDescent="0.25">
      <c r="B73" s="85" t="s">
        <v>727</v>
      </c>
      <c r="C73" s="122"/>
      <c r="D73" s="79" t="s">
        <v>446</v>
      </c>
      <c r="E73" s="80"/>
      <c r="F73" s="80">
        <v>333624.90000000002</v>
      </c>
      <c r="G73" s="86">
        <f t="shared" si="26"/>
        <v>333624.90000000002</v>
      </c>
      <c r="I73" s="80"/>
      <c r="J73" s="80"/>
      <c r="L73" s="80"/>
      <c r="M73" s="80"/>
      <c r="N73" s="80"/>
      <c r="O73" s="80">
        <v>1424871.4000000001</v>
      </c>
      <c r="P73" s="150"/>
    </row>
    <row r="74" spans="2:18" s="123" customFormat="1" ht="15.6" outlineLevel="2" x14ac:dyDescent="0.25">
      <c r="B74" s="85" t="s">
        <v>367</v>
      </c>
      <c r="C74" s="122"/>
      <c r="D74" s="79" t="s">
        <v>446</v>
      </c>
      <c r="E74" s="80"/>
      <c r="F74" s="80">
        <v>322885.90000000002</v>
      </c>
      <c r="G74" s="86">
        <f t="shared" si="26"/>
        <v>322885.90000000002</v>
      </c>
      <c r="I74" s="80"/>
      <c r="J74" s="80"/>
      <c r="L74" s="80"/>
      <c r="M74" s="80"/>
      <c r="N74" s="80"/>
      <c r="O74" s="80">
        <v>1708772</v>
      </c>
      <c r="P74" s="150"/>
    </row>
    <row r="75" spans="2:18" s="123" customFormat="1" ht="15.6" outlineLevel="2" x14ac:dyDescent="0.25">
      <c r="B75" s="85" t="s">
        <v>353</v>
      </c>
      <c r="C75" s="122"/>
      <c r="D75" s="79" t="s">
        <v>446</v>
      </c>
      <c r="E75" s="80"/>
      <c r="F75" s="80">
        <v>268136.7</v>
      </c>
      <c r="G75" s="86">
        <f t="shared" si="26"/>
        <v>268136.7</v>
      </c>
      <c r="I75" s="80"/>
      <c r="J75" s="80"/>
      <c r="L75" s="80"/>
      <c r="M75" s="80"/>
      <c r="N75" s="80"/>
      <c r="O75" s="80">
        <v>324729</v>
      </c>
      <c r="P75" s="150"/>
    </row>
    <row r="76" spans="2:18" s="123" customFormat="1" ht="15.6" outlineLevel="2" x14ac:dyDescent="0.25">
      <c r="B76" s="85" t="s">
        <v>399</v>
      </c>
      <c r="C76" s="122"/>
      <c r="D76" s="79" t="s">
        <v>446</v>
      </c>
      <c r="E76" s="80"/>
      <c r="F76" s="80">
        <v>242565.88</v>
      </c>
      <c r="G76" s="86">
        <f t="shared" si="26"/>
        <v>242565.88</v>
      </c>
      <c r="I76" s="80"/>
      <c r="J76" s="80"/>
      <c r="L76" s="80"/>
      <c r="M76" s="80"/>
      <c r="N76" s="80"/>
      <c r="O76" s="80">
        <v>1034572.5</v>
      </c>
      <c r="P76" s="150"/>
      <c r="R76" s="177"/>
    </row>
    <row r="77" spans="2:18" s="123" customFormat="1" ht="15.6" outlineLevel="2" x14ac:dyDescent="0.25">
      <c r="B77" s="85" t="s">
        <v>55</v>
      </c>
      <c r="C77" s="122"/>
      <c r="D77" s="79" t="s">
        <v>446</v>
      </c>
      <c r="E77" s="80"/>
      <c r="F77" s="80">
        <v>228927.4</v>
      </c>
      <c r="G77" s="86">
        <f t="shared" si="26"/>
        <v>228927.4</v>
      </c>
      <c r="I77" s="80"/>
      <c r="J77" s="80"/>
      <c r="L77" s="80"/>
      <c r="M77" s="80"/>
      <c r="N77" s="80"/>
      <c r="O77" s="80">
        <v>444240</v>
      </c>
      <c r="P77" s="150"/>
      <c r="R77" s="177"/>
    </row>
    <row r="78" spans="2:18" s="123" customFormat="1" ht="15.6" outlineLevel="2" x14ac:dyDescent="0.25">
      <c r="B78" s="85" t="s">
        <v>560</v>
      </c>
      <c r="C78" s="122"/>
      <c r="D78" s="79" t="s">
        <v>446</v>
      </c>
      <c r="E78" s="80"/>
      <c r="F78" s="80">
        <v>222928.82</v>
      </c>
      <c r="G78" s="86">
        <f t="shared" si="26"/>
        <v>222928.82</v>
      </c>
      <c r="I78" s="80"/>
      <c r="J78" s="80"/>
      <c r="L78" s="80"/>
      <c r="M78" s="80"/>
      <c r="N78" s="80"/>
      <c r="O78" s="80">
        <v>159679.79999999999</v>
      </c>
      <c r="P78" s="150"/>
    </row>
    <row r="79" spans="2:18" s="123" customFormat="1" ht="15.6" outlineLevel="2" x14ac:dyDescent="0.25">
      <c r="B79" s="85" t="s">
        <v>448</v>
      </c>
      <c r="C79" s="122"/>
      <c r="D79" s="79" t="s">
        <v>446</v>
      </c>
      <c r="E79" s="80"/>
      <c r="F79" s="80">
        <v>202028.01</v>
      </c>
      <c r="G79" s="86">
        <f t="shared" si="26"/>
        <v>202028.01</v>
      </c>
      <c r="I79" s="80"/>
      <c r="J79" s="80"/>
      <c r="L79" s="80"/>
      <c r="M79" s="80"/>
      <c r="N79" s="80"/>
      <c r="O79" s="80">
        <v>23451.75</v>
      </c>
      <c r="P79" s="150"/>
    </row>
    <row r="80" spans="2:18" s="123" customFormat="1" ht="15.6" outlineLevel="2" x14ac:dyDescent="0.25">
      <c r="B80" s="85" t="s">
        <v>369</v>
      </c>
      <c r="C80" s="122"/>
      <c r="D80" s="79" t="s">
        <v>446</v>
      </c>
      <c r="E80" s="80"/>
      <c r="F80" s="80">
        <v>185040</v>
      </c>
      <c r="G80" s="86">
        <f t="shared" si="26"/>
        <v>185040</v>
      </c>
      <c r="I80" s="80"/>
      <c r="J80" s="80"/>
      <c r="L80" s="80"/>
      <c r="M80" s="80"/>
      <c r="N80" s="80"/>
      <c r="O80" s="80"/>
      <c r="P80" s="150"/>
    </row>
    <row r="81" spans="2:16" s="123" customFormat="1" ht="15.6" outlineLevel="2" x14ac:dyDescent="0.25">
      <c r="B81" s="85" t="s">
        <v>420</v>
      </c>
      <c r="C81" s="122"/>
      <c r="D81" s="79" t="s">
        <v>446</v>
      </c>
      <c r="E81" s="80"/>
      <c r="F81" s="80">
        <v>179749.5</v>
      </c>
      <c r="G81" s="86">
        <f t="shared" si="26"/>
        <v>179749.5</v>
      </c>
      <c r="I81" s="80"/>
      <c r="J81" s="80"/>
      <c r="L81" s="80"/>
      <c r="M81" s="80"/>
      <c r="N81" s="80"/>
      <c r="O81" s="80"/>
      <c r="P81" s="150"/>
    </row>
    <row r="82" spans="2:16" s="123" customFormat="1" ht="15.6" outlineLevel="2" x14ac:dyDescent="0.25">
      <c r="B82" s="85" t="s">
        <v>364</v>
      </c>
      <c r="C82" s="122"/>
      <c r="D82" s="79" t="s">
        <v>446</v>
      </c>
      <c r="E82" s="80"/>
      <c r="F82" s="80">
        <v>132305.29999999999</v>
      </c>
      <c r="G82" s="86">
        <f t="shared" si="26"/>
        <v>132305.29999999999</v>
      </c>
      <c r="I82" s="80"/>
      <c r="J82" s="80"/>
      <c r="L82" s="80"/>
      <c r="M82" s="80"/>
      <c r="N82" s="80"/>
      <c r="O82" s="80"/>
      <c r="P82" s="150"/>
    </row>
    <row r="83" spans="2:16" s="123" customFormat="1" ht="15.6" outlineLevel="2" x14ac:dyDescent="0.25">
      <c r="B83" s="85" t="s">
        <v>633</v>
      </c>
      <c r="C83" s="122"/>
      <c r="D83" s="79" t="s">
        <v>446</v>
      </c>
      <c r="E83" s="80"/>
      <c r="F83" s="80">
        <v>122180</v>
      </c>
      <c r="G83" s="86">
        <f t="shared" si="26"/>
        <v>122180</v>
      </c>
      <c r="I83" s="80"/>
      <c r="J83" s="80"/>
      <c r="L83" s="80"/>
      <c r="M83" s="80"/>
      <c r="N83" s="80"/>
      <c r="O83" s="80"/>
      <c r="P83" s="150"/>
    </row>
    <row r="84" spans="2:16" s="123" customFormat="1" ht="15.6" outlineLevel="2" x14ac:dyDescent="0.25">
      <c r="B84" s="85" t="s">
        <v>15465</v>
      </c>
      <c r="C84" s="122"/>
      <c r="D84" s="79" t="s">
        <v>446</v>
      </c>
      <c r="E84" s="80"/>
      <c r="F84" s="80">
        <v>121141.8</v>
      </c>
      <c r="G84" s="86">
        <f t="shared" si="26"/>
        <v>121141.8</v>
      </c>
      <c r="I84" s="80"/>
      <c r="J84" s="80"/>
      <c r="L84" s="80"/>
      <c r="M84" s="80"/>
      <c r="N84" s="80"/>
      <c r="O84" s="80"/>
      <c r="P84" s="150"/>
    </row>
    <row r="85" spans="2:16" s="123" customFormat="1" ht="15.6" outlineLevel="2" x14ac:dyDescent="0.25">
      <c r="B85" s="85" t="s">
        <v>463</v>
      </c>
      <c r="C85" s="122"/>
      <c r="D85" s="79" t="s">
        <v>446</v>
      </c>
      <c r="E85" s="80"/>
      <c r="F85" s="80">
        <v>107851.43</v>
      </c>
      <c r="G85" s="86">
        <f t="shared" si="26"/>
        <v>107851.43</v>
      </c>
      <c r="I85" s="80"/>
      <c r="J85" s="80"/>
      <c r="L85" s="80"/>
      <c r="M85" s="80"/>
      <c r="N85" s="80"/>
      <c r="O85" s="80"/>
      <c r="P85" s="150"/>
    </row>
    <row r="86" spans="2:16" s="123" customFormat="1" ht="15.6" outlineLevel="2" x14ac:dyDescent="0.25">
      <c r="B86" s="85" t="s">
        <v>272</v>
      </c>
      <c r="C86" s="122"/>
      <c r="D86" s="79" t="s">
        <v>446</v>
      </c>
      <c r="E86" s="80"/>
      <c r="F86" s="80">
        <v>91432.8</v>
      </c>
      <c r="G86" s="86">
        <f t="shared" si="26"/>
        <v>91432.8</v>
      </c>
      <c r="I86" s="80"/>
      <c r="J86" s="80"/>
      <c r="L86" s="80"/>
      <c r="M86" s="80"/>
      <c r="N86" s="80"/>
      <c r="O86" s="80"/>
      <c r="P86" s="150"/>
    </row>
    <row r="87" spans="2:16" s="123" customFormat="1" ht="15.6" outlineLevel="2" x14ac:dyDescent="0.25">
      <c r="B87" s="85" t="s">
        <v>79</v>
      </c>
      <c r="C87" s="122"/>
      <c r="D87" s="79" t="s">
        <v>446</v>
      </c>
      <c r="E87" s="80"/>
      <c r="F87" s="80">
        <v>86601.42</v>
      </c>
      <c r="G87" s="86">
        <f t="shared" si="26"/>
        <v>86601.42</v>
      </c>
      <c r="I87" s="80"/>
      <c r="J87" s="80"/>
      <c r="L87" s="80"/>
      <c r="M87" s="80"/>
      <c r="N87" s="80"/>
      <c r="O87" s="80"/>
      <c r="P87" s="150"/>
    </row>
    <row r="88" spans="2:16" s="123" customFormat="1" ht="15.6" outlineLevel="2" x14ac:dyDescent="0.25">
      <c r="B88" s="85" t="s">
        <v>78</v>
      </c>
      <c r="C88" s="122"/>
      <c r="D88" s="79" t="s">
        <v>446</v>
      </c>
      <c r="E88" s="80"/>
      <c r="F88" s="80">
        <v>83895.3</v>
      </c>
      <c r="G88" s="86">
        <f t="shared" si="26"/>
        <v>83895.3</v>
      </c>
      <c r="I88" s="80"/>
      <c r="J88" s="80"/>
      <c r="L88" s="80"/>
      <c r="M88" s="80"/>
      <c r="N88" s="80"/>
      <c r="O88" s="80"/>
      <c r="P88" s="150"/>
    </row>
    <row r="89" spans="2:16" s="123" customFormat="1" ht="15.6" outlineLevel="2" x14ac:dyDescent="0.25">
      <c r="B89" s="85" t="s">
        <v>265</v>
      </c>
      <c r="C89" s="122"/>
      <c r="D89" s="79" t="s">
        <v>446</v>
      </c>
      <c r="E89" s="80"/>
      <c r="F89" s="80">
        <v>78835.8</v>
      </c>
      <c r="G89" s="86">
        <f t="shared" si="26"/>
        <v>78835.8</v>
      </c>
      <c r="I89" s="80"/>
      <c r="J89" s="80"/>
      <c r="L89" s="80"/>
      <c r="M89" s="80"/>
      <c r="N89" s="80"/>
      <c r="O89" s="80"/>
      <c r="P89" s="150"/>
    </row>
    <row r="90" spans="2:16" s="123" customFormat="1" ht="15.6" outlineLevel="2" x14ac:dyDescent="0.25">
      <c r="B90" s="85" t="s">
        <v>358</v>
      </c>
      <c r="C90" s="122"/>
      <c r="D90" s="79" t="s">
        <v>446</v>
      </c>
      <c r="E90" s="80"/>
      <c r="F90" s="80">
        <v>65330</v>
      </c>
      <c r="G90" s="86">
        <f t="shared" si="26"/>
        <v>65330</v>
      </c>
      <c r="I90" s="80"/>
      <c r="J90" s="80"/>
      <c r="L90" s="80"/>
      <c r="M90" s="80"/>
      <c r="N90" s="80"/>
      <c r="O90" s="80">
        <v>73440</v>
      </c>
      <c r="P90" s="150"/>
    </row>
    <row r="91" spans="2:16" s="123" customFormat="1" ht="15.6" outlineLevel="2" x14ac:dyDescent="0.25">
      <c r="B91" s="85" t="s">
        <v>357</v>
      </c>
      <c r="C91" s="122"/>
      <c r="D91" s="79" t="s">
        <v>446</v>
      </c>
      <c r="E91" s="80"/>
      <c r="F91" s="80">
        <v>62249</v>
      </c>
      <c r="G91" s="86">
        <f t="shared" si="26"/>
        <v>62249</v>
      </c>
      <c r="I91" s="80"/>
      <c r="J91" s="80"/>
      <c r="L91" s="80"/>
      <c r="M91" s="80"/>
      <c r="N91" s="80"/>
      <c r="O91" s="80">
        <v>112012.5</v>
      </c>
      <c r="P91" s="150"/>
    </row>
    <row r="92" spans="2:16" s="123" customFormat="1" ht="15.6" outlineLevel="2" x14ac:dyDescent="0.25">
      <c r="B92" s="85" t="s">
        <v>84</v>
      </c>
      <c r="C92" s="122"/>
      <c r="D92" s="79" t="s">
        <v>446</v>
      </c>
      <c r="E92" s="80"/>
      <c r="F92" s="80">
        <v>49880</v>
      </c>
      <c r="G92" s="86">
        <f t="shared" si="26"/>
        <v>49880</v>
      </c>
      <c r="I92" s="80"/>
      <c r="J92" s="80"/>
      <c r="L92" s="80"/>
      <c r="M92" s="80"/>
      <c r="N92" s="80"/>
      <c r="O92" s="80"/>
      <c r="P92" s="150"/>
    </row>
    <row r="93" spans="2:16" s="123" customFormat="1" ht="15.6" outlineLevel="2" x14ac:dyDescent="0.25">
      <c r="B93" s="85" t="s">
        <v>41</v>
      </c>
      <c r="C93" s="122"/>
      <c r="D93" s="79" t="s">
        <v>446</v>
      </c>
      <c r="E93" s="80"/>
      <c r="F93" s="80">
        <v>42720</v>
      </c>
      <c r="G93" s="86">
        <f t="shared" si="26"/>
        <v>42720</v>
      </c>
      <c r="I93" s="80"/>
      <c r="J93" s="80"/>
      <c r="L93" s="80"/>
      <c r="M93" s="80"/>
      <c r="N93" s="80"/>
      <c r="O93" s="80"/>
      <c r="P93" s="150"/>
    </row>
    <row r="94" spans="2:16" s="123" customFormat="1" ht="15.6" outlineLevel="2" x14ac:dyDescent="0.25">
      <c r="B94" s="85" t="s">
        <v>578</v>
      </c>
      <c r="C94" s="122"/>
      <c r="D94" s="79" t="s">
        <v>446</v>
      </c>
      <c r="E94" s="80"/>
      <c r="F94" s="80">
        <v>39789</v>
      </c>
      <c r="G94" s="86">
        <f t="shared" si="26"/>
        <v>39789</v>
      </c>
      <c r="I94" s="80"/>
      <c r="J94" s="80"/>
      <c r="L94" s="80"/>
      <c r="M94" s="80"/>
      <c r="N94" s="80"/>
      <c r="O94" s="80"/>
      <c r="P94" s="150"/>
    </row>
    <row r="95" spans="2:16" s="123" customFormat="1" ht="15.6" outlineLevel="2" x14ac:dyDescent="0.25">
      <c r="B95" s="85" t="s">
        <v>349</v>
      </c>
      <c r="C95" s="122"/>
      <c r="D95" s="79" t="s">
        <v>446</v>
      </c>
      <c r="E95" s="80"/>
      <c r="F95" s="80">
        <v>34250</v>
      </c>
      <c r="G95" s="86">
        <f t="shared" si="26"/>
        <v>34250</v>
      </c>
      <c r="I95" s="80"/>
      <c r="J95" s="80"/>
      <c r="L95" s="80"/>
      <c r="M95" s="80"/>
      <c r="N95" s="80"/>
      <c r="O95" s="80"/>
      <c r="P95" s="150"/>
    </row>
    <row r="96" spans="2:16" s="123" customFormat="1" ht="15.6" outlineLevel="2" x14ac:dyDescent="0.25">
      <c r="B96" s="85" t="s">
        <v>428</v>
      </c>
      <c r="C96" s="122"/>
      <c r="D96" s="79" t="s">
        <v>446</v>
      </c>
      <c r="E96" s="80"/>
      <c r="F96" s="80">
        <v>6853.28</v>
      </c>
      <c r="G96" s="86">
        <f t="shared" si="26"/>
        <v>6853.28</v>
      </c>
      <c r="I96" s="80"/>
      <c r="J96" s="80"/>
      <c r="L96" s="80"/>
      <c r="M96" s="80"/>
      <c r="N96" s="80"/>
      <c r="O96" s="80"/>
      <c r="P96" s="150"/>
    </row>
    <row r="97" spans="2:16" s="123" customFormat="1" ht="15.6" outlineLevel="2" x14ac:dyDescent="0.25">
      <c r="B97" s="85" t="s">
        <v>805</v>
      </c>
      <c r="C97" s="122"/>
      <c r="D97" s="79" t="s">
        <v>446</v>
      </c>
      <c r="E97" s="80"/>
      <c r="F97" s="80">
        <v>2243.4</v>
      </c>
      <c r="G97" s="86">
        <f t="shared" si="26"/>
        <v>2243.4</v>
      </c>
      <c r="I97" s="80"/>
      <c r="J97" s="80"/>
      <c r="L97" s="80"/>
      <c r="M97" s="80"/>
      <c r="N97" s="80"/>
      <c r="O97" s="80"/>
      <c r="P97" s="150"/>
    </row>
    <row r="98" spans="2:16" s="123" customFormat="1" ht="15.6" outlineLevel="2" x14ac:dyDescent="0.25">
      <c r="B98" s="85" t="s">
        <v>770</v>
      </c>
      <c r="C98" s="122"/>
      <c r="D98" s="79" t="s">
        <v>446</v>
      </c>
      <c r="E98" s="80"/>
      <c r="F98" s="80">
        <v>1743</v>
      </c>
      <c r="G98" s="86">
        <f t="shared" si="26"/>
        <v>1743</v>
      </c>
      <c r="I98" s="80"/>
      <c r="J98" s="80"/>
      <c r="L98" s="80"/>
      <c r="M98" s="80"/>
      <c r="N98" s="80"/>
      <c r="O98" s="80"/>
      <c r="P98" s="150"/>
    </row>
    <row r="99" spans="2:16" s="123" customFormat="1" ht="15.6" outlineLevel="2" x14ac:dyDescent="0.25">
      <c r="B99" s="85" t="s">
        <v>675</v>
      </c>
      <c r="C99" s="122"/>
      <c r="D99" s="79" t="s">
        <v>446</v>
      </c>
      <c r="E99" s="80"/>
      <c r="F99" s="80">
        <v>287.27999999999997</v>
      </c>
      <c r="G99" s="86">
        <f t="shared" si="26"/>
        <v>287.27999999999997</v>
      </c>
      <c r="I99" s="80"/>
      <c r="J99" s="80"/>
      <c r="L99" s="80"/>
      <c r="M99" s="80"/>
      <c r="N99" s="80"/>
      <c r="O99" s="80"/>
      <c r="P99" s="150"/>
    </row>
    <row r="100" spans="2:16" s="123" customFormat="1" ht="15.6" outlineLevel="2" x14ac:dyDescent="0.25">
      <c r="B100" s="85" t="s">
        <v>165</v>
      </c>
      <c r="C100" s="122"/>
      <c r="D100" s="79" t="s">
        <v>157</v>
      </c>
      <c r="E100" s="80"/>
      <c r="F100" s="80">
        <v>994249.15999999992</v>
      </c>
      <c r="G100" s="86">
        <f t="shared" si="26"/>
        <v>994249.15999999992</v>
      </c>
      <c r="I100" s="80"/>
      <c r="J100" s="80"/>
      <c r="L100" s="80"/>
      <c r="M100" s="80"/>
      <c r="N100" s="80"/>
      <c r="O100" s="80"/>
      <c r="P100" s="150"/>
    </row>
    <row r="101" spans="2:16" s="123" customFormat="1" ht="15.6" outlineLevel="2" x14ac:dyDescent="0.25">
      <c r="B101" s="85" t="s">
        <v>784</v>
      </c>
      <c r="C101" s="122"/>
      <c r="D101" s="79" t="s">
        <v>157</v>
      </c>
      <c r="E101" s="80"/>
      <c r="F101" s="80">
        <v>953390.54</v>
      </c>
      <c r="G101" s="86">
        <f t="shared" si="26"/>
        <v>953390.54</v>
      </c>
      <c r="I101" s="80"/>
      <c r="J101" s="80"/>
      <c r="L101" s="80"/>
      <c r="M101" s="80"/>
      <c r="N101" s="80"/>
      <c r="O101" s="80"/>
      <c r="P101" s="150"/>
    </row>
    <row r="102" spans="2:16" s="123" customFormat="1" ht="15.6" outlineLevel="2" x14ac:dyDescent="0.25">
      <c r="B102" s="85" t="s">
        <v>494</v>
      </c>
      <c r="C102" s="122"/>
      <c r="D102" s="79" t="s">
        <v>157</v>
      </c>
      <c r="E102" s="80"/>
      <c r="F102" s="80">
        <v>739540.06</v>
      </c>
      <c r="G102" s="86">
        <f t="shared" si="26"/>
        <v>739540.06</v>
      </c>
      <c r="I102" s="80"/>
      <c r="J102" s="80"/>
      <c r="L102" s="80"/>
      <c r="M102" s="80"/>
      <c r="N102" s="80"/>
      <c r="O102" s="80"/>
      <c r="P102" s="150"/>
    </row>
    <row r="103" spans="2:16" s="123" customFormat="1" ht="15.6" outlineLevel="2" x14ac:dyDescent="0.25">
      <c r="B103" s="85" t="s">
        <v>466</v>
      </c>
      <c r="C103" s="122"/>
      <c r="D103" s="79" t="s">
        <v>157</v>
      </c>
      <c r="E103" s="80"/>
      <c r="F103" s="80">
        <v>299642.08</v>
      </c>
      <c r="G103" s="86">
        <f t="shared" si="26"/>
        <v>299642.08</v>
      </c>
      <c r="I103" s="80"/>
      <c r="J103" s="80"/>
      <c r="L103" s="80"/>
      <c r="M103" s="80"/>
      <c r="N103" s="80"/>
      <c r="O103" s="80"/>
      <c r="P103" s="150"/>
    </row>
    <row r="104" spans="2:16" s="123" customFormat="1" ht="15.6" outlineLevel="2" x14ac:dyDescent="0.25">
      <c r="B104" s="85" t="s">
        <v>179</v>
      </c>
      <c r="C104" s="122"/>
      <c r="D104" s="79" t="s">
        <v>157</v>
      </c>
      <c r="E104" s="80"/>
      <c r="F104" s="80">
        <v>131680</v>
      </c>
      <c r="G104" s="86">
        <f t="shared" si="26"/>
        <v>131680</v>
      </c>
      <c r="I104" s="80"/>
      <c r="J104" s="80"/>
      <c r="L104" s="80"/>
      <c r="M104" s="80"/>
      <c r="N104" s="80"/>
      <c r="O104" s="80"/>
      <c r="P104" s="150"/>
    </row>
    <row r="105" spans="2:16" s="123" customFormat="1" ht="15.6" outlineLevel="2" x14ac:dyDescent="0.25">
      <c r="B105" s="85" t="s">
        <v>365</v>
      </c>
      <c r="C105" s="122"/>
      <c r="D105" s="79" t="s">
        <v>157</v>
      </c>
      <c r="E105" s="80"/>
      <c r="F105" s="80">
        <v>5030.5</v>
      </c>
      <c r="G105" s="86">
        <f t="shared" si="26"/>
        <v>5030.5</v>
      </c>
      <c r="I105" s="80"/>
      <c r="J105" s="80"/>
      <c r="L105" s="80"/>
      <c r="M105" s="80"/>
      <c r="N105" s="80"/>
      <c r="O105" s="80"/>
      <c r="P105" s="150"/>
    </row>
    <row r="106" spans="2:16" s="123" customFormat="1" ht="15.6" outlineLevel="2" x14ac:dyDescent="0.25">
      <c r="B106" s="85" t="s">
        <v>302</v>
      </c>
      <c r="C106" s="122"/>
      <c r="D106" s="79" t="s">
        <v>764</v>
      </c>
      <c r="E106" s="80"/>
      <c r="F106" s="80">
        <v>3090374.05</v>
      </c>
      <c r="G106" s="86">
        <f t="shared" si="26"/>
        <v>3090374.05</v>
      </c>
      <c r="I106" s="80"/>
      <c r="J106" s="80"/>
      <c r="L106" s="80"/>
      <c r="M106" s="80"/>
      <c r="N106" s="80"/>
      <c r="O106" s="80"/>
      <c r="P106" s="150"/>
    </row>
    <row r="107" spans="2:16" s="123" customFormat="1" ht="15.6" outlineLevel="2" x14ac:dyDescent="0.25">
      <c r="B107" s="85" t="s">
        <v>333</v>
      </c>
      <c r="C107" s="122"/>
      <c r="D107" s="79" t="s">
        <v>764</v>
      </c>
      <c r="E107" s="80"/>
      <c r="F107" s="80">
        <v>751704.85</v>
      </c>
      <c r="G107" s="86">
        <f t="shared" si="26"/>
        <v>751704.85</v>
      </c>
      <c r="I107" s="80"/>
      <c r="J107" s="80"/>
      <c r="L107" s="80"/>
      <c r="M107" s="80"/>
      <c r="N107" s="80"/>
      <c r="O107" s="80"/>
      <c r="P107" s="150"/>
    </row>
    <row r="108" spans="2:16" s="123" customFormat="1" ht="15.6" outlineLevel="2" x14ac:dyDescent="0.25">
      <c r="B108" s="85" t="s">
        <v>114</v>
      </c>
      <c r="C108" s="122"/>
      <c r="D108" s="79" t="s">
        <v>764</v>
      </c>
      <c r="E108" s="80"/>
      <c r="F108" s="80">
        <v>746974.52</v>
      </c>
      <c r="G108" s="86">
        <f t="shared" si="26"/>
        <v>746974.52</v>
      </c>
      <c r="I108" s="80"/>
      <c r="J108" s="80"/>
      <c r="L108" s="80"/>
      <c r="M108" s="80"/>
      <c r="N108" s="80"/>
      <c r="O108" s="80"/>
      <c r="P108" s="150"/>
    </row>
    <row r="109" spans="2:16" s="123" customFormat="1" ht="15.6" outlineLevel="2" x14ac:dyDescent="0.25">
      <c r="B109" s="85" t="s">
        <v>538</v>
      </c>
      <c r="C109" s="122"/>
      <c r="D109" s="79" t="s">
        <v>764</v>
      </c>
      <c r="E109" s="80"/>
      <c r="F109" s="80">
        <v>687688.91</v>
      </c>
      <c r="G109" s="86">
        <f t="shared" si="26"/>
        <v>687688.91</v>
      </c>
      <c r="I109" s="80"/>
      <c r="J109" s="80"/>
      <c r="L109" s="80"/>
      <c r="M109" s="80"/>
      <c r="N109" s="80"/>
      <c r="O109" s="80"/>
      <c r="P109" s="150"/>
    </row>
    <row r="110" spans="2:16" s="123" customFormat="1" ht="15.6" outlineLevel="2" x14ac:dyDescent="0.25">
      <c r="B110" s="85" t="s">
        <v>118</v>
      </c>
      <c r="C110" s="122"/>
      <c r="D110" s="79" t="s">
        <v>764</v>
      </c>
      <c r="E110" s="80"/>
      <c r="F110" s="80">
        <v>443929.79000000004</v>
      </c>
      <c r="G110" s="86">
        <f t="shared" si="26"/>
        <v>443929.79000000004</v>
      </c>
      <c r="I110" s="80"/>
      <c r="J110" s="80"/>
      <c r="L110" s="80"/>
      <c r="M110" s="80"/>
      <c r="N110" s="80"/>
      <c r="O110" s="80"/>
      <c r="P110" s="150"/>
    </row>
    <row r="111" spans="2:16" s="123" customFormat="1" ht="15.6" outlineLevel="2" x14ac:dyDescent="0.25">
      <c r="B111" s="85" t="s">
        <v>419</v>
      </c>
      <c r="C111" s="122"/>
      <c r="D111" s="79" t="s">
        <v>764</v>
      </c>
      <c r="E111" s="80"/>
      <c r="F111" s="80">
        <v>413134.59</v>
      </c>
      <c r="G111" s="86">
        <f t="shared" si="26"/>
        <v>413134.59</v>
      </c>
      <c r="I111" s="80"/>
      <c r="J111" s="80"/>
      <c r="L111" s="80"/>
      <c r="M111" s="80"/>
      <c r="N111" s="80"/>
      <c r="O111" s="80"/>
      <c r="P111" s="150"/>
    </row>
    <row r="112" spans="2:16" s="123" customFormat="1" ht="15.6" outlineLevel="2" x14ac:dyDescent="0.25">
      <c r="B112" s="85" t="s">
        <v>264</v>
      </c>
      <c r="C112" s="122"/>
      <c r="D112" s="79" t="s">
        <v>764</v>
      </c>
      <c r="E112" s="80"/>
      <c r="F112" s="80">
        <v>377674.26</v>
      </c>
      <c r="G112" s="86">
        <f t="shared" si="26"/>
        <v>377674.26</v>
      </c>
      <c r="I112" s="80"/>
      <c r="J112" s="80"/>
      <c r="L112" s="80"/>
      <c r="M112" s="80"/>
      <c r="N112" s="80"/>
      <c r="O112" s="80"/>
      <c r="P112" s="150"/>
    </row>
    <row r="113" spans="2:16" s="123" customFormat="1" ht="15.6" outlineLevel="2" x14ac:dyDescent="0.25">
      <c r="B113" s="85" t="s">
        <v>162</v>
      </c>
      <c r="C113" s="122"/>
      <c r="D113" s="79" t="s">
        <v>764</v>
      </c>
      <c r="E113" s="80"/>
      <c r="F113" s="80">
        <v>264834.83999999997</v>
      </c>
      <c r="G113" s="86">
        <f t="shared" ref="G113:G123" si="27">E113+F113</f>
        <v>264834.83999999997</v>
      </c>
      <c r="I113" s="80"/>
      <c r="J113" s="80"/>
      <c r="L113" s="80"/>
      <c r="M113" s="80"/>
      <c r="N113" s="80"/>
      <c r="O113" s="80"/>
      <c r="P113" s="150"/>
    </row>
    <row r="114" spans="2:16" s="123" customFormat="1" ht="15.6" outlineLevel="2" x14ac:dyDescent="0.25">
      <c r="B114" s="85" t="s">
        <v>350</v>
      </c>
      <c r="C114" s="122"/>
      <c r="D114" s="79" t="s">
        <v>764</v>
      </c>
      <c r="E114" s="80"/>
      <c r="F114" s="80">
        <v>250261.53</v>
      </c>
      <c r="G114" s="86">
        <f t="shared" si="27"/>
        <v>250261.53</v>
      </c>
      <c r="I114" s="80"/>
      <c r="J114" s="80"/>
      <c r="L114" s="80"/>
      <c r="M114" s="80"/>
      <c r="N114" s="80"/>
      <c r="O114" s="89"/>
      <c r="P114" s="150"/>
    </row>
    <row r="115" spans="2:16" s="123" customFormat="1" ht="15.6" outlineLevel="2" x14ac:dyDescent="0.25">
      <c r="B115" s="85" t="s">
        <v>119</v>
      </c>
      <c r="C115" s="122"/>
      <c r="D115" s="79" t="s">
        <v>764</v>
      </c>
      <c r="E115" s="80"/>
      <c r="F115" s="80">
        <v>208503.72</v>
      </c>
      <c r="G115" s="86">
        <f t="shared" si="27"/>
        <v>208503.72</v>
      </c>
      <c r="I115" s="80"/>
      <c r="J115" s="80"/>
      <c r="L115" s="80"/>
      <c r="M115" s="80"/>
      <c r="N115" s="80"/>
      <c r="P115" s="150"/>
    </row>
    <row r="116" spans="2:16" s="123" customFormat="1" ht="15.6" outlineLevel="2" x14ac:dyDescent="0.25">
      <c r="B116" s="85" t="s">
        <v>716</v>
      </c>
      <c r="C116" s="122"/>
      <c r="D116" s="79" t="s">
        <v>764</v>
      </c>
      <c r="E116" s="80"/>
      <c r="F116" s="80">
        <v>179474.58</v>
      </c>
      <c r="G116" s="86">
        <f t="shared" si="27"/>
        <v>179474.58</v>
      </c>
      <c r="I116" s="80"/>
      <c r="J116" s="80"/>
      <c r="L116" s="80"/>
      <c r="M116" s="80"/>
      <c r="N116" s="80"/>
      <c r="P116" s="150"/>
    </row>
    <row r="117" spans="2:16" s="123" customFormat="1" ht="15.6" outlineLevel="2" x14ac:dyDescent="0.25">
      <c r="B117" s="85" t="s">
        <v>313</v>
      </c>
      <c r="C117" s="122"/>
      <c r="D117" s="79" t="s">
        <v>764</v>
      </c>
      <c r="E117" s="80"/>
      <c r="F117" s="80">
        <v>175275.24</v>
      </c>
      <c r="G117" s="86">
        <f t="shared" si="27"/>
        <v>175275.24</v>
      </c>
      <c r="I117" s="80"/>
      <c r="J117" s="80"/>
      <c r="L117" s="80"/>
      <c r="M117" s="80"/>
      <c r="N117" s="80"/>
      <c r="P117" s="150"/>
    </row>
    <row r="118" spans="2:16" s="123" customFormat="1" ht="15.6" outlineLevel="2" x14ac:dyDescent="0.25">
      <c r="B118" s="85" t="s">
        <v>296</v>
      </c>
      <c r="C118" s="122"/>
      <c r="D118" s="79" t="s">
        <v>764</v>
      </c>
      <c r="E118" s="80"/>
      <c r="F118" s="80">
        <v>164297.04999999999</v>
      </c>
      <c r="G118" s="86">
        <f t="shared" si="27"/>
        <v>164297.04999999999</v>
      </c>
      <c r="I118" s="80"/>
      <c r="J118" s="80"/>
      <c r="L118" s="80"/>
      <c r="M118" s="80"/>
      <c r="N118" s="80"/>
      <c r="P118" s="150"/>
    </row>
    <row r="119" spans="2:16" s="123" customFormat="1" ht="15.6" outlineLevel="2" x14ac:dyDescent="0.25">
      <c r="B119" s="85" t="s">
        <v>117</v>
      </c>
      <c r="C119" s="122"/>
      <c r="D119" s="79" t="s">
        <v>764</v>
      </c>
      <c r="E119" s="80"/>
      <c r="F119" s="80">
        <v>157582.04</v>
      </c>
      <c r="G119" s="86">
        <f t="shared" si="27"/>
        <v>157582.04</v>
      </c>
      <c r="I119" s="80"/>
      <c r="J119" s="80"/>
      <c r="L119" s="80"/>
      <c r="M119" s="80"/>
      <c r="N119" s="80"/>
      <c r="P119" s="150"/>
    </row>
    <row r="120" spans="2:16" s="123" customFormat="1" ht="15.6" outlineLevel="2" x14ac:dyDescent="0.25">
      <c r="B120" s="85" t="s">
        <v>342</v>
      </c>
      <c r="C120" s="122"/>
      <c r="D120" s="79" t="s">
        <v>764</v>
      </c>
      <c r="E120" s="80"/>
      <c r="F120" s="80">
        <v>143222.74</v>
      </c>
      <c r="G120" s="86">
        <f t="shared" si="27"/>
        <v>143222.74</v>
      </c>
      <c r="I120" s="80"/>
      <c r="J120" s="80"/>
      <c r="L120" s="80"/>
      <c r="M120" s="80"/>
      <c r="N120" s="80"/>
      <c r="P120" s="150"/>
    </row>
    <row r="121" spans="2:16" s="123" customFormat="1" ht="15.6" outlineLevel="2" x14ac:dyDescent="0.25">
      <c r="B121" s="85" t="s">
        <v>424</v>
      </c>
      <c r="C121" s="122"/>
      <c r="D121" s="79" t="s">
        <v>764</v>
      </c>
      <c r="E121" s="80"/>
      <c r="F121" s="80">
        <v>76480.23</v>
      </c>
      <c r="G121" s="86">
        <f t="shared" si="27"/>
        <v>76480.23</v>
      </c>
      <c r="I121" s="80"/>
      <c r="J121" s="80"/>
      <c r="L121" s="80"/>
      <c r="M121" s="80"/>
      <c r="N121" s="80"/>
      <c r="P121" s="150"/>
    </row>
    <row r="122" spans="2:16" s="123" customFormat="1" ht="15.6" outlineLevel="2" x14ac:dyDescent="0.25">
      <c r="B122" s="85" t="s">
        <v>550</v>
      </c>
      <c r="C122" s="122"/>
      <c r="D122" s="79" t="s">
        <v>764</v>
      </c>
      <c r="E122" s="80"/>
      <c r="F122" s="80">
        <v>49956.68</v>
      </c>
      <c r="G122" s="86">
        <f t="shared" si="27"/>
        <v>49956.68</v>
      </c>
      <c r="I122" s="80"/>
      <c r="J122" s="80"/>
      <c r="L122" s="80"/>
      <c r="M122" s="80"/>
      <c r="N122" s="80"/>
      <c r="P122" s="150"/>
    </row>
    <row r="123" spans="2:16" s="123" customFormat="1" ht="15.6" outlineLevel="2" x14ac:dyDescent="0.25">
      <c r="B123" s="85"/>
      <c r="C123" s="122"/>
      <c r="D123" s="79"/>
      <c r="E123" s="80"/>
      <c r="F123" s="80"/>
      <c r="G123" s="86">
        <f t="shared" si="27"/>
        <v>0</v>
      </c>
      <c r="I123" s="80"/>
      <c r="J123" s="80"/>
      <c r="L123" s="80"/>
      <c r="M123" s="80"/>
      <c r="N123" s="80"/>
      <c r="P123" s="150"/>
    </row>
    <row r="124" spans="2:16" ht="15.6" x14ac:dyDescent="0.25">
      <c r="B124" s="90" t="s">
        <v>310</v>
      </c>
      <c r="C124" s="122"/>
      <c r="D124" s="91"/>
      <c r="E124" s="92">
        <f>E46+E45+E39+SUM(E58:E123)</f>
        <v>23015034.069999997</v>
      </c>
      <c r="F124" s="92">
        <f>F46+F45+F39+SUM(F58:F123)</f>
        <v>41124977.390000001</v>
      </c>
      <c r="G124" s="92">
        <f>G46+G45+G39+SUM(G58:G123)</f>
        <v>64140011.459999993</v>
      </c>
      <c r="I124" s="92">
        <f>I46+I45+I39+SUM(I58:I123)</f>
        <v>11107380.5449</v>
      </c>
      <c r="J124" s="92">
        <f>J46+J45+J39+SUM(J58:J123)</f>
        <v>0</v>
      </c>
      <c r="L124" s="92">
        <f>L46+L45+L39+SUM(L58:L123)</f>
        <v>10943408.51</v>
      </c>
      <c r="M124" s="92">
        <f>M46+M45+M39+SUM(M58:M123)</f>
        <v>11378419.999999998</v>
      </c>
      <c r="N124" s="92">
        <f>N46+N45+N39+SUM(N58:N123)</f>
        <v>693205.56</v>
      </c>
      <c r="P124" s="93"/>
    </row>
    <row r="125" spans="2:16" ht="15.6" x14ac:dyDescent="0.25">
      <c r="C125" s="122"/>
    </row>
    <row r="126" spans="2:16" ht="15.6" x14ac:dyDescent="0.25">
      <c r="B126" s="90"/>
      <c r="C126" s="122"/>
      <c r="D126" s="91" t="s">
        <v>764</v>
      </c>
      <c r="E126" s="92">
        <f t="shared" ref="E126:N128" si="28">SUMIF($D$26:$D$124,$D126,E$26:E$124)</f>
        <v>142635.61000000002</v>
      </c>
      <c r="F126" s="92">
        <f t="shared" si="28"/>
        <v>8181369.6200000001</v>
      </c>
      <c r="G126" s="92">
        <f t="shared" si="28"/>
        <v>8324005.2299999995</v>
      </c>
      <c r="H126" s="123">
        <f t="shared" si="28"/>
        <v>0</v>
      </c>
      <c r="I126" s="92">
        <f t="shared" si="28"/>
        <v>452.26889999999997</v>
      </c>
      <c r="J126" s="92">
        <f t="shared" si="28"/>
        <v>0</v>
      </c>
      <c r="K126" s="123">
        <f t="shared" si="28"/>
        <v>0</v>
      </c>
      <c r="L126" s="92">
        <f t="shared" si="28"/>
        <v>0</v>
      </c>
      <c r="M126" s="92">
        <f t="shared" si="28"/>
        <v>0</v>
      </c>
      <c r="N126" s="92">
        <f t="shared" si="28"/>
        <v>142635.61000000002</v>
      </c>
      <c r="P126" s="93"/>
    </row>
    <row r="127" spans="2:16" ht="15.6" x14ac:dyDescent="0.25">
      <c r="B127" s="90"/>
      <c r="C127" s="122"/>
      <c r="D127" s="91" t="s">
        <v>157</v>
      </c>
      <c r="E127" s="92">
        <f t="shared" si="28"/>
        <v>22184156.499999996</v>
      </c>
      <c r="F127" s="92">
        <f t="shared" si="28"/>
        <v>3123532.34</v>
      </c>
      <c r="G127" s="92">
        <f t="shared" si="28"/>
        <v>25307688.839999992</v>
      </c>
      <c r="H127" s="123">
        <f t="shared" si="28"/>
        <v>0</v>
      </c>
      <c r="I127" s="92">
        <f t="shared" si="28"/>
        <v>10476408.59</v>
      </c>
      <c r="J127" s="92">
        <f t="shared" si="28"/>
        <v>0</v>
      </c>
      <c r="K127" s="123">
        <f t="shared" si="28"/>
        <v>0</v>
      </c>
      <c r="L127" s="92">
        <f t="shared" si="28"/>
        <v>10476408.59</v>
      </c>
      <c r="M127" s="92">
        <f t="shared" si="28"/>
        <v>11378419.999999998</v>
      </c>
      <c r="N127" s="92">
        <f t="shared" si="28"/>
        <v>329327.90999999997</v>
      </c>
      <c r="P127" s="93"/>
    </row>
    <row r="128" spans="2:16" ht="15.6" x14ac:dyDescent="0.25">
      <c r="B128" s="90"/>
      <c r="C128" s="122"/>
      <c r="D128" s="91" t="s">
        <v>446</v>
      </c>
      <c r="E128" s="92">
        <f t="shared" si="28"/>
        <v>688241.96</v>
      </c>
      <c r="F128" s="92">
        <f t="shared" si="28"/>
        <v>29820075.430000007</v>
      </c>
      <c r="G128" s="92">
        <f t="shared" si="28"/>
        <v>30508317.390000008</v>
      </c>
      <c r="H128" s="123">
        <f t="shared" si="28"/>
        <v>0</v>
      </c>
      <c r="I128" s="92">
        <f t="shared" si="28"/>
        <v>630519.68599999999</v>
      </c>
      <c r="J128" s="92">
        <f t="shared" si="28"/>
        <v>0</v>
      </c>
      <c r="K128" s="123">
        <f t="shared" si="28"/>
        <v>0</v>
      </c>
      <c r="L128" s="92">
        <f t="shared" si="28"/>
        <v>466999.92</v>
      </c>
      <c r="M128" s="92">
        <f t="shared" si="28"/>
        <v>0</v>
      </c>
      <c r="N128" s="92">
        <f t="shared" si="28"/>
        <v>221242.03999999998</v>
      </c>
      <c r="P128" s="93"/>
    </row>
    <row r="129" spans="2:16" ht="15.6" x14ac:dyDescent="0.25">
      <c r="B129" s="90"/>
      <c r="C129" s="122"/>
      <c r="D129" s="91" t="s">
        <v>310</v>
      </c>
      <c r="E129" s="92">
        <f>SUM(E126:E128)</f>
        <v>23015034.069999997</v>
      </c>
      <c r="F129" s="92">
        <f t="shared" ref="F129:N129" si="29">SUM(F126:F128)</f>
        <v>41124977.390000008</v>
      </c>
      <c r="G129" s="92">
        <f>SUM(G126:G128)</f>
        <v>64140011.460000001</v>
      </c>
      <c r="H129" s="123">
        <f t="shared" si="29"/>
        <v>0</v>
      </c>
      <c r="I129" s="201">
        <f>SUM(I126:I128)</f>
        <v>11107380.5449</v>
      </c>
      <c r="J129" s="92">
        <f t="shared" si="29"/>
        <v>0</v>
      </c>
      <c r="K129" s="123">
        <f t="shared" si="29"/>
        <v>0</v>
      </c>
      <c r="L129" s="92">
        <f t="shared" si="29"/>
        <v>10943408.51</v>
      </c>
      <c r="M129" s="92">
        <f t="shared" si="29"/>
        <v>11378419.999999998</v>
      </c>
      <c r="N129" s="92">
        <f t="shared" si="29"/>
        <v>693205.56</v>
      </c>
      <c r="P129" s="93"/>
    </row>
    <row r="130" spans="2:16" x14ac:dyDescent="0.25">
      <c r="E130" s="146">
        <f>+E129-E124</f>
        <v>0</v>
      </c>
      <c r="F130" s="146">
        <f>+F129-F124</f>
        <v>0</v>
      </c>
      <c r="G130" s="146">
        <f>+G129-G124</f>
        <v>0</v>
      </c>
      <c r="H130" s="146">
        <f t="shared" ref="H130:K130" si="30">+H129-H124</f>
        <v>0</v>
      </c>
      <c r="I130" s="146">
        <f>+I129-I124</f>
        <v>0</v>
      </c>
      <c r="J130" s="146">
        <f>+J129-J124</f>
        <v>0</v>
      </c>
      <c r="K130" s="146">
        <f t="shared" si="30"/>
        <v>0</v>
      </c>
      <c r="L130" s="146">
        <f>+L129-L124</f>
        <v>0</v>
      </c>
      <c r="M130" s="146">
        <f>+M129-M124</f>
        <v>0</v>
      </c>
      <c r="N130" s="146">
        <f>+N129-N124</f>
        <v>0</v>
      </c>
    </row>
    <row r="131" spans="2:16" x14ac:dyDescent="0.25">
      <c r="I131" s="146"/>
      <c r="J131" s="146"/>
      <c r="M131" s="146"/>
    </row>
    <row r="132" spans="2:16" x14ac:dyDescent="0.25">
      <c r="I132" s="144"/>
      <c r="J132" s="144"/>
    </row>
    <row r="133" spans="2:16" x14ac:dyDescent="0.25">
      <c r="E133" s="224">
        <f>22860050.95+154983.12</f>
        <v>23015034.07</v>
      </c>
      <c r="F133" s="244">
        <f>41124977.39</f>
        <v>41124977.390000001</v>
      </c>
      <c r="G133" s="224">
        <f>63985028.34+154983.12</f>
        <v>64140011.460000001</v>
      </c>
      <c r="I133" s="183">
        <v>11107380.5449</v>
      </c>
    </row>
    <row r="134" spans="2:16" x14ac:dyDescent="0.25">
      <c r="E134" s="146">
        <f>E133-E124</f>
        <v>0</v>
      </c>
      <c r="F134" s="146">
        <f>F133-F124</f>
        <v>0</v>
      </c>
      <c r="G134" s="146">
        <f>G124-G133</f>
        <v>0</v>
      </c>
      <c r="H134" s="146">
        <f t="shared" ref="H134" si="31">H124-H133</f>
        <v>0</v>
      </c>
      <c r="I134" s="183">
        <f>I124-I133</f>
        <v>0</v>
      </c>
    </row>
    <row r="137" spans="2:16" x14ac:dyDescent="0.25">
      <c r="E137" s="146"/>
      <c r="F137" s="146"/>
    </row>
    <row r="138" spans="2:16" x14ac:dyDescent="0.25">
      <c r="E138" s="143"/>
      <c r="F138" s="146"/>
    </row>
    <row r="139" spans="2:16" x14ac:dyDescent="0.25">
      <c r="E139" s="143"/>
    </row>
    <row r="140" spans="2:16" x14ac:dyDescent="0.25">
      <c r="E140" s="144"/>
      <c r="G140" s="146"/>
    </row>
    <row r="141" spans="2:16" x14ac:dyDescent="0.25">
      <c r="E141" s="144"/>
    </row>
  </sheetData>
  <autoFilter ref="A21:T130" xr:uid="{4E0151F4-2778-4E4A-BE26-75C4E309E92D}"/>
  <mergeCells count="21">
    <mergeCell ref="B55:B57"/>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 ref="B2:D2"/>
    <mergeCell ref="E2:F2"/>
    <mergeCell ref="B4:B5"/>
    <mergeCell ref="D4:D5"/>
    <mergeCell ref="E4:E5"/>
    <mergeCell ref="F4:F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4"/>
  <sheetViews>
    <sheetView zoomScale="80" zoomScaleNormal="80" workbookViewId="0">
      <selection activeCell="R1" sqref="R1"/>
    </sheetView>
  </sheetViews>
  <sheetFormatPr defaultRowHeight="13.2" x14ac:dyDescent="0.25"/>
  <cols>
    <col min="1" max="1" width="12.6640625" bestFit="1" customWidth="1"/>
    <col min="2" max="2" width="37.109375" bestFit="1" customWidth="1"/>
    <col min="3" max="3" width="18.33203125" bestFit="1" customWidth="1"/>
    <col min="4" max="4" width="12.6640625" style="30"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0">
        <f>SUBTOTAL(9,D3:D999)</f>
        <v>154983.12</v>
      </c>
      <c r="Q1" s="3">
        <v>46197</v>
      </c>
    </row>
    <row r="2" spans="1:17" x14ac:dyDescent="0.25">
      <c r="A2" s="2" t="s">
        <v>4</v>
      </c>
      <c r="B2" s="2" t="s">
        <v>3</v>
      </c>
      <c r="C2" s="2" t="s">
        <v>0</v>
      </c>
      <c r="D2" s="141" t="s">
        <v>6</v>
      </c>
      <c r="E2" s="2" t="s">
        <v>199</v>
      </c>
      <c r="F2" s="140" t="s">
        <v>2</v>
      </c>
      <c r="G2" s="2" t="s">
        <v>198</v>
      </c>
      <c r="H2" s="2" t="s">
        <v>200</v>
      </c>
      <c r="I2" s="2" t="s">
        <v>201</v>
      </c>
      <c r="J2" s="2" t="s">
        <v>1</v>
      </c>
      <c r="K2" s="140" t="s">
        <v>202</v>
      </c>
      <c r="L2" s="2" t="s">
        <v>203</v>
      </c>
      <c r="M2" s="2" t="s">
        <v>204</v>
      </c>
      <c r="N2" s="2" t="s">
        <v>205</v>
      </c>
      <c r="O2" s="2" t="s">
        <v>206</v>
      </c>
      <c r="P2" s="2" t="s">
        <v>352</v>
      </c>
      <c r="Q2" s="4" t="s">
        <v>5</v>
      </c>
    </row>
    <row r="3" spans="1:17" x14ac:dyDescent="0.25">
      <c r="A3">
        <v>1787</v>
      </c>
      <c r="B3" t="s">
        <v>57</v>
      </c>
      <c r="C3" t="s">
        <v>58</v>
      </c>
      <c r="D3" s="32">
        <v>3600</v>
      </c>
      <c r="E3">
        <v>1246031589</v>
      </c>
      <c r="F3" s="28">
        <v>44784</v>
      </c>
      <c r="H3" t="s">
        <v>23</v>
      </c>
      <c r="I3" t="s">
        <v>24</v>
      </c>
      <c r="J3">
        <v>1246031589</v>
      </c>
      <c r="K3" s="28">
        <v>44769</v>
      </c>
      <c r="L3">
        <v>3041000</v>
      </c>
      <c r="M3" t="s">
        <v>124</v>
      </c>
      <c r="N3">
        <v>46</v>
      </c>
      <c r="O3" t="s">
        <v>147</v>
      </c>
      <c r="P3" t="s">
        <v>449</v>
      </c>
      <c r="Q3">
        <f>$Q$1-F3</f>
        <v>1413</v>
      </c>
    </row>
    <row r="4" spans="1:17" x14ac:dyDescent="0.25">
      <c r="A4">
        <v>1787</v>
      </c>
      <c r="B4" t="s">
        <v>57</v>
      </c>
      <c r="C4" t="s">
        <v>58</v>
      </c>
      <c r="D4" s="32">
        <v>2700</v>
      </c>
      <c r="E4">
        <v>1246055596</v>
      </c>
      <c r="F4" s="28">
        <v>44889</v>
      </c>
      <c r="H4" t="s">
        <v>23</v>
      </c>
      <c r="I4" t="s">
        <v>24</v>
      </c>
      <c r="J4">
        <v>1246055596</v>
      </c>
      <c r="K4" s="28">
        <v>44889</v>
      </c>
      <c r="L4">
        <v>3041000</v>
      </c>
      <c r="M4" t="s">
        <v>124</v>
      </c>
      <c r="N4">
        <v>46</v>
      </c>
      <c r="O4" t="s">
        <v>147</v>
      </c>
      <c r="P4" t="s">
        <v>449</v>
      </c>
      <c r="Q4">
        <f t="shared" ref="Q4:Q54" si="0">$Q$1-F4</f>
        <v>1308</v>
      </c>
    </row>
    <row r="5" spans="1:17" x14ac:dyDescent="0.25">
      <c r="A5">
        <v>1788</v>
      </c>
      <c r="B5" t="s">
        <v>59</v>
      </c>
      <c r="C5" t="s">
        <v>60</v>
      </c>
      <c r="D5" s="32">
        <v>5400</v>
      </c>
      <c r="E5">
        <v>1246055599</v>
      </c>
      <c r="F5" s="28">
        <v>44889</v>
      </c>
      <c r="H5" t="s">
        <v>23</v>
      </c>
      <c r="I5" t="s">
        <v>24</v>
      </c>
      <c r="J5">
        <v>1246055599</v>
      </c>
      <c r="K5" s="28">
        <v>44889</v>
      </c>
      <c r="L5">
        <v>3041000</v>
      </c>
      <c r="M5" t="s">
        <v>124</v>
      </c>
      <c r="N5">
        <v>46</v>
      </c>
      <c r="O5" t="s">
        <v>147</v>
      </c>
      <c r="P5" t="s">
        <v>449</v>
      </c>
      <c r="Q5">
        <f t="shared" si="0"/>
        <v>1308</v>
      </c>
    </row>
    <row r="6" spans="1:17" x14ac:dyDescent="0.25">
      <c r="A6">
        <v>1788</v>
      </c>
      <c r="B6" t="s">
        <v>59</v>
      </c>
      <c r="C6" t="s">
        <v>60</v>
      </c>
      <c r="D6" s="32">
        <v>1200</v>
      </c>
      <c r="E6">
        <v>1246190701</v>
      </c>
      <c r="F6" s="28">
        <v>45674</v>
      </c>
      <c r="H6" t="s">
        <v>23</v>
      </c>
      <c r="I6" t="s">
        <v>24</v>
      </c>
      <c r="J6">
        <v>1246190701</v>
      </c>
      <c r="K6" s="28">
        <v>45659</v>
      </c>
      <c r="L6">
        <v>3041000</v>
      </c>
      <c r="M6" t="s">
        <v>124</v>
      </c>
      <c r="N6">
        <v>46</v>
      </c>
      <c r="O6" t="s">
        <v>147</v>
      </c>
      <c r="P6" t="s">
        <v>449</v>
      </c>
      <c r="Q6">
        <f t="shared" si="0"/>
        <v>523</v>
      </c>
    </row>
    <row r="7" spans="1:17" x14ac:dyDescent="0.25">
      <c r="A7">
        <v>1789</v>
      </c>
      <c r="B7" t="s">
        <v>61</v>
      </c>
      <c r="C7" t="s">
        <v>62</v>
      </c>
      <c r="D7" s="32">
        <v>2700</v>
      </c>
      <c r="E7">
        <v>1246120461</v>
      </c>
      <c r="F7" s="28">
        <v>45294</v>
      </c>
      <c r="H7" t="s">
        <v>23</v>
      </c>
      <c r="I7" t="s">
        <v>24</v>
      </c>
      <c r="J7">
        <v>191223</v>
      </c>
      <c r="K7" s="28">
        <v>45279</v>
      </c>
      <c r="L7">
        <v>3041000</v>
      </c>
      <c r="M7" t="s">
        <v>124</v>
      </c>
      <c r="N7">
        <v>46</v>
      </c>
      <c r="O7" t="s">
        <v>147</v>
      </c>
      <c r="P7" t="s">
        <v>449</v>
      </c>
      <c r="Q7">
        <f t="shared" si="0"/>
        <v>903</v>
      </c>
    </row>
    <row r="8" spans="1:17" x14ac:dyDescent="0.25">
      <c r="A8">
        <v>1789</v>
      </c>
      <c r="B8" t="s">
        <v>61</v>
      </c>
      <c r="C8" t="s">
        <v>62</v>
      </c>
      <c r="D8" s="32">
        <v>900</v>
      </c>
      <c r="E8">
        <v>1246146095</v>
      </c>
      <c r="F8" s="28">
        <v>45428</v>
      </c>
      <c r="H8" t="s">
        <v>23</v>
      </c>
      <c r="I8" t="s">
        <v>24</v>
      </c>
      <c r="J8">
        <v>1246120461</v>
      </c>
      <c r="K8" s="28">
        <v>45428</v>
      </c>
      <c r="L8">
        <v>3041000</v>
      </c>
      <c r="M8" t="s">
        <v>124</v>
      </c>
      <c r="N8">
        <v>46</v>
      </c>
      <c r="O8" t="s">
        <v>147</v>
      </c>
      <c r="P8" t="s">
        <v>449</v>
      </c>
      <c r="Q8">
        <f t="shared" si="0"/>
        <v>769</v>
      </c>
    </row>
    <row r="9" spans="1:17" x14ac:dyDescent="0.25">
      <c r="A9">
        <v>43</v>
      </c>
      <c r="B9" t="s">
        <v>674</v>
      </c>
      <c r="C9" t="s">
        <v>30</v>
      </c>
      <c r="D9" s="32">
        <v>2400</v>
      </c>
      <c r="E9">
        <v>1246271921</v>
      </c>
      <c r="F9" s="28">
        <v>46147</v>
      </c>
      <c r="H9" t="s">
        <v>23</v>
      </c>
      <c r="I9" t="s">
        <v>24</v>
      </c>
      <c r="J9">
        <v>1246271921</v>
      </c>
      <c r="K9" s="28">
        <v>46132</v>
      </c>
      <c r="L9">
        <v>3042200</v>
      </c>
      <c r="M9" t="s">
        <v>719</v>
      </c>
      <c r="N9">
        <v>46</v>
      </c>
      <c r="O9" t="s">
        <v>147</v>
      </c>
      <c r="P9" t="s">
        <v>355</v>
      </c>
      <c r="Q9">
        <f>$Q$1-F9</f>
        <v>50</v>
      </c>
    </row>
    <row r="10" spans="1:17" x14ac:dyDescent="0.25">
      <c r="A10">
        <v>1159</v>
      </c>
      <c r="B10" t="s">
        <v>50</v>
      </c>
      <c r="C10" t="s">
        <v>51</v>
      </c>
      <c r="D10" s="32">
        <v>1800</v>
      </c>
      <c r="E10">
        <v>1246087936</v>
      </c>
      <c r="F10" s="28">
        <v>45112</v>
      </c>
      <c r="H10" t="s">
        <v>23</v>
      </c>
      <c r="I10" t="s">
        <v>24</v>
      </c>
      <c r="J10">
        <v>1246087936</v>
      </c>
      <c r="K10" s="28">
        <v>45097</v>
      </c>
      <c r="L10">
        <v>3041000</v>
      </c>
      <c r="M10" t="s">
        <v>124</v>
      </c>
      <c r="N10">
        <v>46</v>
      </c>
      <c r="O10" t="s">
        <v>147</v>
      </c>
      <c r="P10" t="s">
        <v>359</v>
      </c>
      <c r="Q10">
        <f t="shared" si="0"/>
        <v>1085</v>
      </c>
    </row>
    <row r="11" spans="1:17" x14ac:dyDescent="0.25">
      <c r="A11">
        <v>1159</v>
      </c>
      <c r="B11" t="s">
        <v>50</v>
      </c>
      <c r="C11" t="s">
        <v>51</v>
      </c>
      <c r="D11" s="32">
        <v>2700</v>
      </c>
      <c r="E11">
        <v>1246087941</v>
      </c>
      <c r="F11" s="28">
        <v>45112</v>
      </c>
      <c r="H11" t="s">
        <v>23</v>
      </c>
      <c r="I11" t="s">
        <v>24</v>
      </c>
      <c r="J11">
        <v>1246087941</v>
      </c>
      <c r="K11" s="28">
        <v>45097</v>
      </c>
      <c r="L11">
        <v>3041000</v>
      </c>
      <c r="M11" t="s">
        <v>124</v>
      </c>
      <c r="N11">
        <v>46</v>
      </c>
      <c r="O11" t="s">
        <v>147</v>
      </c>
      <c r="P11" t="s">
        <v>359</v>
      </c>
      <c r="Q11">
        <f t="shared" si="0"/>
        <v>1085</v>
      </c>
    </row>
    <row r="12" spans="1:17" x14ac:dyDescent="0.25">
      <c r="A12">
        <v>1159</v>
      </c>
      <c r="B12" t="s">
        <v>50</v>
      </c>
      <c r="C12" t="s">
        <v>51</v>
      </c>
      <c r="D12" s="32">
        <v>1800</v>
      </c>
      <c r="E12">
        <v>1246087939</v>
      </c>
      <c r="F12" s="28">
        <v>45112</v>
      </c>
      <c r="H12" t="s">
        <v>23</v>
      </c>
      <c r="I12" t="s">
        <v>24</v>
      </c>
      <c r="J12">
        <v>1246087939</v>
      </c>
      <c r="K12" s="28">
        <v>45097</v>
      </c>
      <c r="L12">
        <v>3041000</v>
      </c>
      <c r="M12" t="s">
        <v>124</v>
      </c>
      <c r="N12">
        <v>46</v>
      </c>
      <c r="O12" t="s">
        <v>147</v>
      </c>
      <c r="P12" t="s">
        <v>359</v>
      </c>
      <c r="Q12">
        <f t="shared" si="0"/>
        <v>1085</v>
      </c>
    </row>
    <row r="13" spans="1:17" x14ac:dyDescent="0.25">
      <c r="A13">
        <v>1159</v>
      </c>
      <c r="B13" t="s">
        <v>50</v>
      </c>
      <c r="C13" t="s">
        <v>51</v>
      </c>
      <c r="D13" s="32">
        <v>1800</v>
      </c>
      <c r="E13">
        <v>1246087937</v>
      </c>
      <c r="F13" s="28">
        <v>45112</v>
      </c>
      <c r="H13" t="s">
        <v>23</v>
      </c>
      <c r="I13" t="s">
        <v>24</v>
      </c>
      <c r="J13">
        <v>1246087937</v>
      </c>
      <c r="K13" s="28">
        <v>45097</v>
      </c>
      <c r="L13">
        <v>3041000</v>
      </c>
      <c r="M13" t="s">
        <v>124</v>
      </c>
      <c r="N13">
        <v>46</v>
      </c>
      <c r="O13" t="s">
        <v>147</v>
      </c>
      <c r="P13" t="s">
        <v>359</v>
      </c>
      <c r="Q13">
        <f t="shared" si="0"/>
        <v>1085</v>
      </c>
    </row>
    <row r="14" spans="1:17" x14ac:dyDescent="0.25">
      <c r="A14">
        <v>1159</v>
      </c>
      <c r="B14" t="s">
        <v>50</v>
      </c>
      <c r="C14" t="s">
        <v>51</v>
      </c>
      <c r="D14" s="32">
        <v>1800</v>
      </c>
      <c r="E14">
        <v>1246087943</v>
      </c>
      <c r="F14" s="28">
        <v>45112</v>
      </c>
      <c r="H14" t="s">
        <v>23</v>
      </c>
      <c r="I14" t="s">
        <v>24</v>
      </c>
      <c r="J14">
        <v>1246087943</v>
      </c>
      <c r="K14" s="28">
        <v>45097</v>
      </c>
      <c r="L14">
        <v>3041000</v>
      </c>
      <c r="M14" t="s">
        <v>124</v>
      </c>
      <c r="N14">
        <v>46</v>
      </c>
      <c r="O14" t="s">
        <v>147</v>
      </c>
      <c r="P14" t="s">
        <v>359</v>
      </c>
      <c r="Q14">
        <f t="shared" si="0"/>
        <v>1085</v>
      </c>
    </row>
    <row r="15" spans="1:17" x14ac:dyDescent="0.25">
      <c r="A15">
        <v>1159</v>
      </c>
      <c r="B15" t="s">
        <v>50</v>
      </c>
      <c r="C15" t="s">
        <v>51</v>
      </c>
      <c r="D15" s="32">
        <v>2700</v>
      </c>
      <c r="E15">
        <v>1246121301</v>
      </c>
      <c r="F15" s="28">
        <v>45297</v>
      </c>
      <c r="H15" t="s">
        <v>23</v>
      </c>
      <c r="I15" t="s">
        <v>24</v>
      </c>
      <c r="J15">
        <v>1246121301</v>
      </c>
      <c r="K15" s="28">
        <v>45282</v>
      </c>
      <c r="L15">
        <v>3041000</v>
      </c>
      <c r="M15" t="s">
        <v>124</v>
      </c>
      <c r="N15">
        <v>46</v>
      </c>
      <c r="O15" t="s">
        <v>147</v>
      </c>
      <c r="P15" t="s">
        <v>359</v>
      </c>
      <c r="Q15">
        <f t="shared" si="0"/>
        <v>900</v>
      </c>
    </row>
    <row r="16" spans="1:17" x14ac:dyDescent="0.25">
      <c r="A16">
        <v>1159</v>
      </c>
      <c r="B16" t="s">
        <v>50</v>
      </c>
      <c r="C16" t="s">
        <v>51</v>
      </c>
      <c r="D16" s="32">
        <v>4800</v>
      </c>
      <c r="E16">
        <v>1246121285</v>
      </c>
      <c r="F16" s="28">
        <v>45297</v>
      </c>
      <c r="H16" t="s">
        <v>23</v>
      </c>
      <c r="I16" t="s">
        <v>24</v>
      </c>
      <c r="J16">
        <v>1246121285</v>
      </c>
      <c r="K16" s="28">
        <v>45282</v>
      </c>
      <c r="L16">
        <v>3041000</v>
      </c>
      <c r="M16" t="s">
        <v>124</v>
      </c>
      <c r="N16">
        <v>46</v>
      </c>
      <c r="O16" t="s">
        <v>147</v>
      </c>
      <c r="P16" t="s">
        <v>359</v>
      </c>
      <c r="Q16">
        <f t="shared" si="0"/>
        <v>900</v>
      </c>
    </row>
    <row r="17" spans="1:17" x14ac:dyDescent="0.25">
      <c r="A17">
        <v>1159</v>
      </c>
      <c r="B17" t="s">
        <v>50</v>
      </c>
      <c r="C17" t="s">
        <v>51</v>
      </c>
      <c r="D17" s="32">
        <v>2700</v>
      </c>
      <c r="E17">
        <v>1246121300</v>
      </c>
      <c r="F17" s="28">
        <v>45297</v>
      </c>
      <c r="H17" t="s">
        <v>23</v>
      </c>
      <c r="I17" t="s">
        <v>24</v>
      </c>
      <c r="J17">
        <v>1246121300</v>
      </c>
      <c r="K17" s="28">
        <v>45282</v>
      </c>
      <c r="L17">
        <v>3041000</v>
      </c>
      <c r="M17" t="s">
        <v>124</v>
      </c>
      <c r="N17">
        <v>46</v>
      </c>
      <c r="O17" t="s">
        <v>147</v>
      </c>
      <c r="P17" t="s">
        <v>359</v>
      </c>
      <c r="Q17">
        <f t="shared" si="0"/>
        <v>900</v>
      </c>
    </row>
    <row r="18" spans="1:17" x14ac:dyDescent="0.25">
      <c r="A18">
        <v>1159</v>
      </c>
      <c r="B18" t="s">
        <v>50</v>
      </c>
      <c r="C18" t="s">
        <v>51</v>
      </c>
      <c r="D18" s="32">
        <v>1800</v>
      </c>
      <c r="E18">
        <v>1246121298</v>
      </c>
      <c r="F18" s="28">
        <v>45297</v>
      </c>
      <c r="H18" t="s">
        <v>23</v>
      </c>
      <c r="I18" t="s">
        <v>24</v>
      </c>
      <c r="J18">
        <v>1246121298</v>
      </c>
      <c r="K18" s="28">
        <v>45282</v>
      </c>
      <c r="L18">
        <v>3041000</v>
      </c>
      <c r="M18" t="s">
        <v>124</v>
      </c>
      <c r="N18">
        <v>46</v>
      </c>
      <c r="O18" t="s">
        <v>147</v>
      </c>
      <c r="P18" t="s">
        <v>359</v>
      </c>
      <c r="Q18">
        <f t="shared" si="0"/>
        <v>900</v>
      </c>
    </row>
    <row r="19" spans="1:17" x14ac:dyDescent="0.25">
      <c r="A19">
        <v>1159</v>
      </c>
      <c r="B19" t="s">
        <v>50</v>
      </c>
      <c r="C19" t="s">
        <v>51</v>
      </c>
      <c r="D19" s="32">
        <v>2700</v>
      </c>
      <c r="E19">
        <v>1246121302</v>
      </c>
      <c r="F19" s="28">
        <v>45297</v>
      </c>
      <c r="H19" t="s">
        <v>23</v>
      </c>
      <c r="I19" t="s">
        <v>24</v>
      </c>
      <c r="J19">
        <v>1246121302</v>
      </c>
      <c r="K19" s="28">
        <v>45282</v>
      </c>
      <c r="L19">
        <v>3041000</v>
      </c>
      <c r="M19" t="s">
        <v>124</v>
      </c>
      <c r="N19">
        <v>46</v>
      </c>
      <c r="O19" t="s">
        <v>147</v>
      </c>
      <c r="P19" t="s">
        <v>359</v>
      </c>
      <c r="Q19">
        <f t="shared" si="0"/>
        <v>900</v>
      </c>
    </row>
    <row r="20" spans="1:17" x14ac:dyDescent="0.25">
      <c r="A20">
        <v>1159</v>
      </c>
      <c r="B20" t="s">
        <v>50</v>
      </c>
      <c r="C20" t="s">
        <v>51</v>
      </c>
      <c r="D20" s="32">
        <v>1200</v>
      </c>
      <c r="E20">
        <v>1246121295</v>
      </c>
      <c r="F20" s="28">
        <v>45297</v>
      </c>
      <c r="H20" t="s">
        <v>23</v>
      </c>
      <c r="I20" t="s">
        <v>24</v>
      </c>
      <c r="J20">
        <v>1246121295</v>
      </c>
      <c r="K20" s="28">
        <v>45282</v>
      </c>
      <c r="L20">
        <v>3041000</v>
      </c>
      <c r="M20" t="s">
        <v>124</v>
      </c>
      <c r="N20">
        <v>46</v>
      </c>
      <c r="O20" t="s">
        <v>147</v>
      </c>
      <c r="P20" t="s">
        <v>359</v>
      </c>
      <c r="Q20">
        <f t="shared" si="0"/>
        <v>900</v>
      </c>
    </row>
    <row r="21" spans="1:17" x14ac:dyDescent="0.25">
      <c r="A21">
        <v>1159</v>
      </c>
      <c r="B21" t="s">
        <v>50</v>
      </c>
      <c r="C21" t="s">
        <v>51</v>
      </c>
      <c r="D21" s="32">
        <v>2700</v>
      </c>
      <c r="E21">
        <v>1246121297</v>
      </c>
      <c r="F21" s="28">
        <v>45297</v>
      </c>
      <c r="H21" t="s">
        <v>23</v>
      </c>
      <c r="I21" t="s">
        <v>24</v>
      </c>
      <c r="J21">
        <v>1246121297</v>
      </c>
      <c r="K21" s="28">
        <v>45282</v>
      </c>
      <c r="L21">
        <v>3041000</v>
      </c>
      <c r="M21" t="s">
        <v>124</v>
      </c>
      <c r="N21">
        <v>46</v>
      </c>
      <c r="O21" t="s">
        <v>147</v>
      </c>
      <c r="P21" t="s">
        <v>359</v>
      </c>
      <c r="Q21">
        <f t="shared" si="0"/>
        <v>900</v>
      </c>
    </row>
    <row r="22" spans="1:17" x14ac:dyDescent="0.25">
      <c r="A22">
        <v>1159</v>
      </c>
      <c r="B22" t="s">
        <v>50</v>
      </c>
      <c r="C22" t="s">
        <v>51</v>
      </c>
      <c r="D22" s="32">
        <v>6300</v>
      </c>
      <c r="E22">
        <v>1246121299</v>
      </c>
      <c r="F22" s="28">
        <v>45297</v>
      </c>
      <c r="H22" t="s">
        <v>23</v>
      </c>
      <c r="I22" t="s">
        <v>24</v>
      </c>
      <c r="J22">
        <v>1246121299</v>
      </c>
      <c r="K22" s="28">
        <v>45282</v>
      </c>
      <c r="L22">
        <v>3041000</v>
      </c>
      <c r="M22" t="s">
        <v>124</v>
      </c>
      <c r="N22">
        <v>46</v>
      </c>
      <c r="O22" t="s">
        <v>147</v>
      </c>
      <c r="P22" t="s">
        <v>359</v>
      </c>
      <c r="Q22">
        <f t="shared" si="0"/>
        <v>900</v>
      </c>
    </row>
    <row r="23" spans="1:17" x14ac:dyDescent="0.25">
      <c r="A23">
        <v>1159</v>
      </c>
      <c r="B23" t="s">
        <v>50</v>
      </c>
      <c r="C23" t="s">
        <v>51</v>
      </c>
      <c r="D23" s="32">
        <v>3600</v>
      </c>
      <c r="E23">
        <v>1246121296</v>
      </c>
      <c r="F23" s="28">
        <v>45297</v>
      </c>
      <c r="H23" t="s">
        <v>23</v>
      </c>
      <c r="I23" t="s">
        <v>24</v>
      </c>
      <c r="J23">
        <v>1246121296</v>
      </c>
      <c r="K23" s="28">
        <v>45282</v>
      </c>
      <c r="L23">
        <v>3041000</v>
      </c>
      <c r="M23" t="s">
        <v>124</v>
      </c>
      <c r="N23">
        <v>46</v>
      </c>
      <c r="O23" t="s">
        <v>147</v>
      </c>
      <c r="P23" t="s">
        <v>359</v>
      </c>
      <c r="Q23">
        <f t="shared" si="0"/>
        <v>900</v>
      </c>
    </row>
    <row r="24" spans="1:17" x14ac:dyDescent="0.25">
      <c r="A24">
        <v>1159</v>
      </c>
      <c r="B24" t="s">
        <v>50</v>
      </c>
      <c r="C24" t="s">
        <v>51</v>
      </c>
      <c r="D24" s="32">
        <v>1200</v>
      </c>
      <c r="E24">
        <v>1246135390</v>
      </c>
      <c r="F24" s="28">
        <v>45388</v>
      </c>
      <c r="H24" t="s">
        <v>23</v>
      </c>
      <c r="I24" t="s">
        <v>24</v>
      </c>
      <c r="J24">
        <v>1246135390</v>
      </c>
      <c r="K24" s="28">
        <v>45373</v>
      </c>
      <c r="L24">
        <v>3041000</v>
      </c>
      <c r="M24" t="s">
        <v>124</v>
      </c>
      <c r="N24">
        <v>46</v>
      </c>
      <c r="O24" t="s">
        <v>147</v>
      </c>
      <c r="P24" t="s">
        <v>359</v>
      </c>
      <c r="Q24">
        <f t="shared" si="0"/>
        <v>809</v>
      </c>
    </row>
    <row r="25" spans="1:17" x14ac:dyDescent="0.25">
      <c r="A25">
        <v>1159</v>
      </c>
      <c r="B25" t="s">
        <v>50</v>
      </c>
      <c r="C25" t="s">
        <v>51</v>
      </c>
      <c r="D25" s="32">
        <v>2400</v>
      </c>
      <c r="E25">
        <v>1246135388</v>
      </c>
      <c r="F25" s="28">
        <v>45388</v>
      </c>
      <c r="H25" t="s">
        <v>23</v>
      </c>
      <c r="I25" t="s">
        <v>24</v>
      </c>
      <c r="J25">
        <v>1246135388</v>
      </c>
      <c r="K25" s="28">
        <v>45373</v>
      </c>
      <c r="L25">
        <v>3041000</v>
      </c>
      <c r="M25" t="s">
        <v>124</v>
      </c>
      <c r="N25">
        <v>46</v>
      </c>
      <c r="O25" t="s">
        <v>147</v>
      </c>
      <c r="P25" t="s">
        <v>359</v>
      </c>
      <c r="Q25">
        <f t="shared" si="0"/>
        <v>809</v>
      </c>
    </row>
    <row r="26" spans="1:17" x14ac:dyDescent="0.25">
      <c r="A26">
        <v>1159</v>
      </c>
      <c r="B26" t="s">
        <v>50</v>
      </c>
      <c r="C26" t="s">
        <v>51</v>
      </c>
      <c r="D26" s="32">
        <v>1200</v>
      </c>
      <c r="E26">
        <v>1246135385</v>
      </c>
      <c r="F26" s="28">
        <v>45388</v>
      </c>
      <c r="H26" t="s">
        <v>23</v>
      </c>
      <c r="I26" t="s">
        <v>24</v>
      </c>
      <c r="J26">
        <v>1246135385</v>
      </c>
      <c r="K26" s="28">
        <v>45373</v>
      </c>
      <c r="L26">
        <v>3041000</v>
      </c>
      <c r="M26" t="s">
        <v>124</v>
      </c>
      <c r="N26">
        <v>46</v>
      </c>
      <c r="O26" t="s">
        <v>147</v>
      </c>
      <c r="P26" t="s">
        <v>359</v>
      </c>
      <c r="Q26">
        <f t="shared" si="0"/>
        <v>809</v>
      </c>
    </row>
    <row r="27" spans="1:17" x14ac:dyDescent="0.25">
      <c r="A27">
        <v>1159</v>
      </c>
      <c r="B27" t="s">
        <v>50</v>
      </c>
      <c r="C27" t="s">
        <v>51</v>
      </c>
      <c r="D27" s="32">
        <v>3600</v>
      </c>
      <c r="E27">
        <v>1246135391</v>
      </c>
      <c r="F27" s="28">
        <v>45388</v>
      </c>
      <c r="H27" t="s">
        <v>23</v>
      </c>
      <c r="I27" t="s">
        <v>24</v>
      </c>
      <c r="J27">
        <v>1246135391</v>
      </c>
      <c r="K27" s="28">
        <v>45373</v>
      </c>
      <c r="L27">
        <v>3041000</v>
      </c>
      <c r="M27" t="s">
        <v>124</v>
      </c>
      <c r="N27">
        <v>46</v>
      </c>
      <c r="O27" t="s">
        <v>147</v>
      </c>
      <c r="P27" t="s">
        <v>359</v>
      </c>
      <c r="Q27">
        <f t="shared" si="0"/>
        <v>809</v>
      </c>
    </row>
    <row r="28" spans="1:17" x14ac:dyDescent="0.25">
      <c r="A28">
        <v>1159</v>
      </c>
      <c r="B28" t="s">
        <v>50</v>
      </c>
      <c r="C28" t="s">
        <v>51</v>
      </c>
      <c r="D28" s="32">
        <v>2400</v>
      </c>
      <c r="E28">
        <v>1246135382</v>
      </c>
      <c r="F28" s="28">
        <v>45388</v>
      </c>
      <c r="H28" t="s">
        <v>23</v>
      </c>
      <c r="I28" t="s">
        <v>24</v>
      </c>
      <c r="J28">
        <v>1246135382</v>
      </c>
      <c r="K28" s="28">
        <v>45373</v>
      </c>
      <c r="L28">
        <v>3041000</v>
      </c>
      <c r="M28" t="s">
        <v>124</v>
      </c>
      <c r="N28">
        <v>46</v>
      </c>
      <c r="O28" t="s">
        <v>147</v>
      </c>
      <c r="P28" t="s">
        <v>359</v>
      </c>
      <c r="Q28">
        <f t="shared" si="0"/>
        <v>809</v>
      </c>
    </row>
    <row r="29" spans="1:17" x14ac:dyDescent="0.25">
      <c r="A29">
        <v>1159</v>
      </c>
      <c r="B29" t="s">
        <v>50</v>
      </c>
      <c r="C29" t="s">
        <v>51</v>
      </c>
      <c r="D29" s="32">
        <v>3600</v>
      </c>
      <c r="E29">
        <v>1246173258</v>
      </c>
      <c r="F29" s="28">
        <v>45575</v>
      </c>
      <c r="H29" t="s">
        <v>23</v>
      </c>
      <c r="I29" t="s">
        <v>24</v>
      </c>
      <c r="J29">
        <v>1246173258</v>
      </c>
      <c r="K29" s="28">
        <v>45560</v>
      </c>
      <c r="L29">
        <v>3041000</v>
      </c>
      <c r="M29" t="s">
        <v>124</v>
      </c>
      <c r="N29">
        <v>46</v>
      </c>
      <c r="O29" t="s">
        <v>147</v>
      </c>
      <c r="P29" t="s">
        <v>359</v>
      </c>
      <c r="Q29">
        <f t="shared" si="0"/>
        <v>622</v>
      </c>
    </row>
    <row r="30" spans="1:17" x14ac:dyDescent="0.25">
      <c r="A30">
        <v>1159</v>
      </c>
      <c r="B30" t="s">
        <v>50</v>
      </c>
      <c r="C30" t="s">
        <v>51</v>
      </c>
      <c r="D30" s="32">
        <v>1200</v>
      </c>
      <c r="E30">
        <v>1246173256</v>
      </c>
      <c r="F30" s="28">
        <v>45575</v>
      </c>
      <c r="H30" t="s">
        <v>23</v>
      </c>
      <c r="I30" t="s">
        <v>24</v>
      </c>
      <c r="J30">
        <v>1246173256</v>
      </c>
      <c r="K30" s="28">
        <v>45560</v>
      </c>
      <c r="L30">
        <v>3041000</v>
      </c>
      <c r="M30" t="s">
        <v>124</v>
      </c>
      <c r="N30">
        <v>46</v>
      </c>
      <c r="O30" t="s">
        <v>147</v>
      </c>
      <c r="P30" t="s">
        <v>359</v>
      </c>
      <c r="Q30">
        <f t="shared" si="0"/>
        <v>622</v>
      </c>
    </row>
    <row r="31" spans="1:17" x14ac:dyDescent="0.25">
      <c r="A31">
        <v>1159</v>
      </c>
      <c r="B31" t="s">
        <v>50</v>
      </c>
      <c r="C31" t="s">
        <v>51</v>
      </c>
      <c r="D31" s="32">
        <v>2400</v>
      </c>
      <c r="E31">
        <v>1246173253</v>
      </c>
      <c r="F31" s="28">
        <v>45575</v>
      </c>
      <c r="H31" t="s">
        <v>23</v>
      </c>
      <c r="I31" t="s">
        <v>24</v>
      </c>
      <c r="J31">
        <v>1246173253</v>
      </c>
      <c r="K31" s="28">
        <v>45560</v>
      </c>
      <c r="L31">
        <v>3041000</v>
      </c>
      <c r="M31" t="s">
        <v>124</v>
      </c>
      <c r="N31">
        <v>46</v>
      </c>
      <c r="O31" t="s">
        <v>147</v>
      </c>
      <c r="P31" t="s">
        <v>359</v>
      </c>
      <c r="Q31">
        <f t="shared" si="0"/>
        <v>622</v>
      </c>
    </row>
    <row r="32" spans="1:17" x14ac:dyDescent="0.25">
      <c r="A32">
        <v>1159</v>
      </c>
      <c r="B32" t="s">
        <v>50</v>
      </c>
      <c r="C32" t="s">
        <v>51</v>
      </c>
      <c r="D32" s="32">
        <v>1200</v>
      </c>
      <c r="E32">
        <v>1246173257</v>
      </c>
      <c r="F32" s="28">
        <v>45575</v>
      </c>
      <c r="H32" t="s">
        <v>23</v>
      </c>
      <c r="I32" t="s">
        <v>24</v>
      </c>
      <c r="J32">
        <v>1246173257</v>
      </c>
      <c r="K32" s="28">
        <v>45560</v>
      </c>
      <c r="L32">
        <v>3041000</v>
      </c>
      <c r="M32" t="s">
        <v>124</v>
      </c>
      <c r="N32">
        <v>46</v>
      </c>
      <c r="O32" t="s">
        <v>147</v>
      </c>
      <c r="P32" t="s">
        <v>359</v>
      </c>
      <c r="Q32">
        <f t="shared" si="0"/>
        <v>622</v>
      </c>
    </row>
    <row r="33" spans="1:17" x14ac:dyDescent="0.25">
      <c r="A33">
        <v>452</v>
      </c>
      <c r="B33" t="s">
        <v>38</v>
      </c>
      <c r="C33" t="s">
        <v>39</v>
      </c>
      <c r="D33" s="32">
        <v>1800</v>
      </c>
      <c r="E33">
        <v>1246055195</v>
      </c>
      <c r="F33" s="28">
        <v>44902</v>
      </c>
      <c r="H33" t="s">
        <v>23</v>
      </c>
      <c r="I33" t="s">
        <v>24</v>
      </c>
      <c r="J33">
        <v>1246055195</v>
      </c>
      <c r="K33" s="28">
        <v>44887</v>
      </c>
      <c r="L33">
        <v>3041000</v>
      </c>
      <c r="M33" t="s">
        <v>124</v>
      </c>
      <c r="N33">
        <v>46</v>
      </c>
      <c r="O33" t="s">
        <v>147</v>
      </c>
      <c r="P33" t="s">
        <v>491</v>
      </c>
      <c r="Q33">
        <f t="shared" si="0"/>
        <v>1295</v>
      </c>
    </row>
    <row r="34" spans="1:17" x14ac:dyDescent="0.25">
      <c r="A34">
        <v>2559</v>
      </c>
      <c r="B34" t="s">
        <v>451</v>
      </c>
      <c r="C34" t="s">
        <v>69</v>
      </c>
      <c r="D34" s="32">
        <v>1200</v>
      </c>
      <c r="E34">
        <v>1246203587</v>
      </c>
      <c r="F34" s="28">
        <v>45750</v>
      </c>
      <c r="H34" t="s">
        <v>23</v>
      </c>
      <c r="I34" t="s">
        <v>24</v>
      </c>
      <c r="J34">
        <v>1246203587</v>
      </c>
      <c r="K34" s="28">
        <v>45735</v>
      </c>
      <c r="L34">
        <v>3041000</v>
      </c>
      <c r="M34" t="s">
        <v>124</v>
      </c>
      <c r="N34">
        <v>46</v>
      </c>
      <c r="O34" t="s">
        <v>147</v>
      </c>
      <c r="P34" t="s">
        <v>431</v>
      </c>
      <c r="Q34">
        <f t="shared" si="0"/>
        <v>447</v>
      </c>
    </row>
    <row r="35" spans="1:17" x14ac:dyDescent="0.25">
      <c r="A35">
        <v>2559</v>
      </c>
      <c r="B35" t="s">
        <v>451</v>
      </c>
      <c r="C35" t="s">
        <v>69</v>
      </c>
      <c r="D35" s="32">
        <v>7200</v>
      </c>
      <c r="E35">
        <v>1246203586</v>
      </c>
      <c r="F35" s="28">
        <v>45750</v>
      </c>
      <c r="H35" t="s">
        <v>23</v>
      </c>
      <c r="I35" t="s">
        <v>24</v>
      </c>
      <c r="J35">
        <v>1246203586</v>
      </c>
      <c r="K35" s="28">
        <v>45735</v>
      </c>
      <c r="L35">
        <v>3041000</v>
      </c>
      <c r="M35" t="s">
        <v>124</v>
      </c>
      <c r="N35">
        <v>46</v>
      </c>
      <c r="O35" t="s">
        <v>147</v>
      </c>
      <c r="P35" t="s">
        <v>431</v>
      </c>
      <c r="Q35">
        <f t="shared" si="0"/>
        <v>447</v>
      </c>
    </row>
    <row r="36" spans="1:17" x14ac:dyDescent="0.25">
      <c r="A36">
        <v>2559</v>
      </c>
      <c r="B36" t="s">
        <v>451</v>
      </c>
      <c r="C36" t="s">
        <v>69</v>
      </c>
      <c r="D36" s="32">
        <v>1200</v>
      </c>
      <c r="E36">
        <v>1246203585</v>
      </c>
      <c r="F36" s="28">
        <v>45750</v>
      </c>
      <c r="H36" t="s">
        <v>23</v>
      </c>
      <c r="I36" t="s">
        <v>24</v>
      </c>
      <c r="J36">
        <v>1246203585</v>
      </c>
      <c r="K36" s="28">
        <v>45735</v>
      </c>
      <c r="L36">
        <v>3041000</v>
      </c>
      <c r="M36" t="s">
        <v>124</v>
      </c>
      <c r="N36">
        <v>46</v>
      </c>
      <c r="O36" t="s">
        <v>147</v>
      </c>
      <c r="P36" t="s">
        <v>431</v>
      </c>
      <c r="Q36">
        <f t="shared" si="0"/>
        <v>447</v>
      </c>
    </row>
    <row r="37" spans="1:17" x14ac:dyDescent="0.25">
      <c r="A37">
        <v>2559</v>
      </c>
      <c r="B37" t="s">
        <v>451</v>
      </c>
      <c r="C37" t="s">
        <v>69</v>
      </c>
      <c r="D37" s="32">
        <v>6000</v>
      </c>
      <c r="E37">
        <v>1246244748</v>
      </c>
      <c r="F37" s="28">
        <v>45968</v>
      </c>
      <c r="H37" t="s">
        <v>23</v>
      </c>
      <c r="I37" t="s">
        <v>24</v>
      </c>
      <c r="J37">
        <v>1246244748</v>
      </c>
      <c r="K37" s="28">
        <v>45953</v>
      </c>
      <c r="L37">
        <v>3041000</v>
      </c>
      <c r="M37" t="s">
        <v>124</v>
      </c>
      <c r="N37">
        <v>46</v>
      </c>
      <c r="O37" t="s">
        <v>147</v>
      </c>
      <c r="P37" t="s">
        <v>431</v>
      </c>
      <c r="Q37">
        <f>$Q$1-F37</f>
        <v>229</v>
      </c>
    </row>
    <row r="38" spans="1:17" x14ac:dyDescent="0.25">
      <c r="A38">
        <v>6477</v>
      </c>
      <c r="B38" t="s">
        <v>87</v>
      </c>
      <c r="C38" t="s">
        <v>88</v>
      </c>
      <c r="D38" s="32">
        <v>5400</v>
      </c>
      <c r="E38">
        <v>1246054441</v>
      </c>
      <c r="F38" s="28">
        <v>44897</v>
      </c>
      <c r="H38" t="s">
        <v>23</v>
      </c>
      <c r="I38" t="s">
        <v>24</v>
      </c>
      <c r="J38">
        <v>1246054441</v>
      </c>
      <c r="K38" s="28">
        <v>44882</v>
      </c>
      <c r="L38">
        <v>3041000</v>
      </c>
      <c r="M38" t="s">
        <v>124</v>
      </c>
      <c r="N38">
        <v>46</v>
      </c>
      <c r="O38" t="s">
        <v>147</v>
      </c>
      <c r="P38" t="s">
        <v>431</v>
      </c>
      <c r="Q38">
        <f t="shared" si="0"/>
        <v>1300</v>
      </c>
    </row>
    <row r="39" spans="1:17" x14ac:dyDescent="0.25">
      <c r="A39">
        <v>7097</v>
      </c>
      <c r="B39" t="s">
        <v>91</v>
      </c>
      <c r="C39" t="s">
        <v>92</v>
      </c>
      <c r="D39" s="32">
        <v>11300</v>
      </c>
      <c r="E39">
        <v>1246058687</v>
      </c>
      <c r="F39" s="28">
        <v>44925</v>
      </c>
      <c r="H39" t="s">
        <v>23</v>
      </c>
      <c r="I39" t="s">
        <v>24</v>
      </c>
      <c r="J39">
        <v>1246058687</v>
      </c>
      <c r="K39" s="28">
        <v>44910</v>
      </c>
      <c r="L39">
        <v>3041000</v>
      </c>
      <c r="M39" t="s">
        <v>124</v>
      </c>
      <c r="N39">
        <v>46</v>
      </c>
      <c r="O39" t="s">
        <v>147</v>
      </c>
      <c r="P39" t="s">
        <v>431</v>
      </c>
      <c r="Q39">
        <f t="shared" si="0"/>
        <v>1272</v>
      </c>
    </row>
    <row r="40" spans="1:17" x14ac:dyDescent="0.25">
      <c r="A40">
        <v>7097</v>
      </c>
      <c r="B40" t="s">
        <v>91</v>
      </c>
      <c r="C40" t="s">
        <v>92</v>
      </c>
      <c r="D40" s="32">
        <v>10183.120000000001</v>
      </c>
      <c r="E40">
        <v>1246057240</v>
      </c>
      <c r="F40" s="28">
        <v>44922</v>
      </c>
      <c r="H40" t="s">
        <v>23</v>
      </c>
      <c r="I40" t="s">
        <v>24</v>
      </c>
      <c r="J40">
        <v>71222</v>
      </c>
      <c r="K40" s="28">
        <v>44902</v>
      </c>
      <c r="L40">
        <v>3041000</v>
      </c>
      <c r="M40" t="s">
        <v>124</v>
      </c>
      <c r="N40">
        <v>46</v>
      </c>
      <c r="O40" t="s">
        <v>147</v>
      </c>
      <c r="P40" t="s">
        <v>431</v>
      </c>
      <c r="Q40">
        <f t="shared" si="0"/>
        <v>1275</v>
      </c>
    </row>
    <row r="41" spans="1:17" x14ac:dyDescent="0.25">
      <c r="A41">
        <v>7443</v>
      </c>
      <c r="B41" t="s">
        <v>696</v>
      </c>
      <c r="C41" t="s">
        <v>225</v>
      </c>
      <c r="D41" s="32">
        <v>1200</v>
      </c>
      <c r="E41">
        <v>1246156403</v>
      </c>
      <c r="F41" s="28">
        <v>45496</v>
      </c>
      <c r="H41" t="s">
        <v>23</v>
      </c>
      <c r="I41" t="s">
        <v>24</v>
      </c>
      <c r="J41">
        <v>1246156403</v>
      </c>
      <c r="K41" s="28">
        <v>45481</v>
      </c>
      <c r="L41">
        <v>3041000</v>
      </c>
      <c r="M41" t="s">
        <v>124</v>
      </c>
      <c r="N41">
        <v>46</v>
      </c>
      <c r="O41" t="s">
        <v>147</v>
      </c>
      <c r="P41" t="s">
        <v>431</v>
      </c>
      <c r="Q41">
        <f t="shared" si="0"/>
        <v>701</v>
      </c>
    </row>
    <row r="42" spans="1:17" x14ac:dyDescent="0.25">
      <c r="A42">
        <v>7443</v>
      </c>
      <c r="B42" t="s">
        <v>696</v>
      </c>
      <c r="C42" t="s">
        <v>225</v>
      </c>
      <c r="D42" s="32">
        <v>1200</v>
      </c>
      <c r="E42">
        <v>1246156396</v>
      </c>
      <c r="F42" s="28">
        <v>45496</v>
      </c>
      <c r="H42" t="s">
        <v>23</v>
      </c>
      <c r="I42" t="s">
        <v>24</v>
      </c>
      <c r="J42">
        <v>1246156396</v>
      </c>
      <c r="K42" s="28">
        <v>45481</v>
      </c>
      <c r="L42">
        <v>3041000</v>
      </c>
      <c r="M42" t="s">
        <v>124</v>
      </c>
      <c r="N42">
        <v>46</v>
      </c>
      <c r="O42" t="s">
        <v>147</v>
      </c>
      <c r="P42" t="s">
        <v>431</v>
      </c>
      <c r="Q42">
        <f t="shared" si="0"/>
        <v>701</v>
      </c>
    </row>
    <row r="43" spans="1:17" x14ac:dyDescent="0.25">
      <c r="A43">
        <v>7302</v>
      </c>
      <c r="B43" t="s">
        <v>93</v>
      </c>
      <c r="C43" t="s">
        <v>94</v>
      </c>
      <c r="D43" s="32">
        <v>1800</v>
      </c>
      <c r="E43">
        <v>1246045752</v>
      </c>
      <c r="F43" s="28">
        <v>44848</v>
      </c>
      <c r="H43" t="s">
        <v>23</v>
      </c>
      <c r="I43" t="s">
        <v>24</v>
      </c>
      <c r="J43">
        <v>290922</v>
      </c>
      <c r="K43" s="28">
        <v>44833</v>
      </c>
      <c r="L43">
        <v>3041000</v>
      </c>
      <c r="M43" t="s">
        <v>124</v>
      </c>
      <c r="N43">
        <v>46</v>
      </c>
      <c r="O43" t="s">
        <v>147</v>
      </c>
      <c r="P43" t="s">
        <v>431</v>
      </c>
      <c r="Q43">
        <f t="shared" si="0"/>
        <v>1349</v>
      </c>
    </row>
    <row r="44" spans="1:17" x14ac:dyDescent="0.25">
      <c r="A44">
        <v>7302</v>
      </c>
      <c r="B44" t="s">
        <v>93</v>
      </c>
      <c r="C44" t="s">
        <v>94</v>
      </c>
      <c r="D44" s="32">
        <v>7200</v>
      </c>
      <c r="E44">
        <v>1246033417</v>
      </c>
      <c r="F44" s="28">
        <v>44792</v>
      </c>
      <c r="H44" t="s">
        <v>23</v>
      </c>
      <c r="I44" t="s">
        <v>24</v>
      </c>
      <c r="J44">
        <v>1246033417</v>
      </c>
      <c r="K44" s="28">
        <v>44777</v>
      </c>
      <c r="L44">
        <v>3041000</v>
      </c>
      <c r="M44" t="s">
        <v>124</v>
      </c>
      <c r="N44">
        <v>46</v>
      </c>
      <c r="O44" t="s">
        <v>147</v>
      </c>
      <c r="P44" t="s">
        <v>431</v>
      </c>
      <c r="Q44">
        <f t="shared" si="0"/>
        <v>1405</v>
      </c>
    </row>
    <row r="45" spans="1:17" x14ac:dyDescent="0.25">
      <c r="A45">
        <v>7302</v>
      </c>
      <c r="B45" t="s">
        <v>93</v>
      </c>
      <c r="C45" t="s">
        <v>94</v>
      </c>
      <c r="D45" s="32">
        <v>9000</v>
      </c>
      <c r="E45">
        <v>1246054438</v>
      </c>
      <c r="F45" s="28">
        <v>44897</v>
      </c>
      <c r="H45" t="s">
        <v>23</v>
      </c>
      <c r="I45" t="s">
        <v>24</v>
      </c>
      <c r="J45">
        <v>1246054438</v>
      </c>
      <c r="K45" s="28">
        <v>44882</v>
      </c>
      <c r="L45">
        <v>3041000</v>
      </c>
      <c r="M45" t="s">
        <v>124</v>
      </c>
      <c r="N45">
        <v>46</v>
      </c>
      <c r="O45" t="s">
        <v>147</v>
      </c>
      <c r="P45" t="s">
        <v>431</v>
      </c>
      <c r="Q45">
        <f t="shared" si="0"/>
        <v>1300</v>
      </c>
    </row>
    <row r="46" spans="1:17" x14ac:dyDescent="0.25">
      <c r="A46">
        <v>7302</v>
      </c>
      <c r="B46" t="s">
        <v>93</v>
      </c>
      <c r="C46" t="s">
        <v>94</v>
      </c>
      <c r="D46" s="32">
        <v>7200</v>
      </c>
      <c r="E46">
        <v>1246057914</v>
      </c>
      <c r="F46" s="28">
        <v>44922</v>
      </c>
      <c r="H46" t="s">
        <v>23</v>
      </c>
      <c r="I46" t="s">
        <v>24</v>
      </c>
      <c r="J46">
        <v>1246057914</v>
      </c>
      <c r="K46" s="28">
        <v>44907</v>
      </c>
      <c r="L46">
        <v>3041000</v>
      </c>
      <c r="M46" t="s">
        <v>124</v>
      </c>
      <c r="N46">
        <v>46</v>
      </c>
      <c r="O46" t="s">
        <v>147</v>
      </c>
      <c r="P46" t="s">
        <v>431</v>
      </c>
      <c r="Q46">
        <f t="shared" si="0"/>
        <v>1275</v>
      </c>
    </row>
    <row r="47" spans="1:17" x14ac:dyDescent="0.25">
      <c r="A47">
        <v>6415</v>
      </c>
      <c r="B47" t="s">
        <v>125</v>
      </c>
      <c r="C47" t="s">
        <v>126</v>
      </c>
      <c r="D47" s="32">
        <v>3600</v>
      </c>
      <c r="E47">
        <v>1245985693</v>
      </c>
      <c r="F47" s="28">
        <v>44692</v>
      </c>
      <c r="H47" t="s">
        <v>23</v>
      </c>
      <c r="I47" t="s">
        <v>24</v>
      </c>
      <c r="J47">
        <v>1245985693</v>
      </c>
      <c r="K47" s="28">
        <v>44531</v>
      </c>
      <c r="L47">
        <v>3041000</v>
      </c>
      <c r="M47" t="s">
        <v>124</v>
      </c>
      <c r="N47">
        <v>46</v>
      </c>
      <c r="O47" t="s">
        <v>147</v>
      </c>
      <c r="P47" t="s">
        <v>431</v>
      </c>
      <c r="Q47">
        <f t="shared" si="0"/>
        <v>1505</v>
      </c>
    </row>
    <row r="48" spans="1:17" x14ac:dyDescent="0.25">
      <c r="A48">
        <v>10434</v>
      </c>
      <c r="B48" t="s">
        <v>99</v>
      </c>
      <c r="C48" t="s">
        <v>100</v>
      </c>
      <c r="D48" s="32">
        <v>1200</v>
      </c>
      <c r="E48">
        <v>1246180341</v>
      </c>
      <c r="F48" s="28">
        <v>45615</v>
      </c>
      <c r="H48" t="s">
        <v>23</v>
      </c>
      <c r="I48" t="s">
        <v>24</v>
      </c>
      <c r="J48">
        <v>1246180341</v>
      </c>
      <c r="K48" s="28">
        <v>45600</v>
      </c>
      <c r="L48">
        <v>3041000</v>
      </c>
      <c r="M48" t="s">
        <v>124</v>
      </c>
      <c r="N48">
        <v>46</v>
      </c>
      <c r="O48" t="s">
        <v>147</v>
      </c>
      <c r="P48" t="s">
        <v>355</v>
      </c>
      <c r="Q48">
        <f t="shared" si="0"/>
        <v>582</v>
      </c>
    </row>
    <row r="49" spans="1:17" x14ac:dyDescent="0.25">
      <c r="A49">
        <v>7022</v>
      </c>
      <c r="B49" t="s">
        <v>15419</v>
      </c>
      <c r="C49" t="s">
        <v>90</v>
      </c>
      <c r="D49" s="32">
        <v>1800</v>
      </c>
      <c r="E49">
        <v>1246054442</v>
      </c>
      <c r="F49" s="28">
        <v>44897</v>
      </c>
      <c r="H49" t="s">
        <v>23</v>
      </c>
      <c r="I49" t="s">
        <v>24</v>
      </c>
      <c r="J49">
        <v>1246054442</v>
      </c>
      <c r="K49" s="28">
        <v>44882</v>
      </c>
      <c r="L49">
        <v>3041000</v>
      </c>
      <c r="M49" t="s">
        <v>124</v>
      </c>
      <c r="N49">
        <v>46</v>
      </c>
      <c r="O49" t="s">
        <v>147</v>
      </c>
      <c r="P49" t="s">
        <v>15419</v>
      </c>
      <c r="Q49">
        <f t="shared" si="0"/>
        <v>1300</v>
      </c>
    </row>
    <row r="50" spans="1:17" x14ac:dyDescent="0.25">
      <c r="D50" s="32"/>
      <c r="F50" s="28"/>
      <c r="K50" s="28"/>
      <c r="Q50">
        <f t="shared" si="0"/>
        <v>46197</v>
      </c>
    </row>
    <row r="51" spans="1:17" x14ac:dyDescent="0.25">
      <c r="D51" s="32"/>
      <c r="F51" s="28"/>
      <c r="K51" s="28"/>
      <c r="Q51">
        <f t="shared" si="0"/>
        <v>46197</v>
      </c>
    </row>
    <row r="52" spans="1:17" x14ac:dyDescent="0.25">
      <c r="D52" s="32"/>
      <c r="F52" s="28"/>
      <c r="K52" s="28"/>
      <c r="Q52">
        <f t="shared" si="0"/>
        <v>46197</v>
      </c>
    </row>
    <row r="53" spans="1:17" x14ac:dyDescent="0.25">
      <c r="D53" s="32"/>
      <c r="F53" s="28"/>
      <c r="K53" s="28"/>
      <c r="Q53">
        <f t="shared" si="0"/>
        <v>46197</v>
      </c>
    </row>
    <row r="54" spans="1:17" x14ac:dyDescent="0.25">
      <c r="D54" s="32"/>
      <c r="F54" s="28"/>
      <c r="K54" s="28"/>
      <c r="Q54">
        <f t="shared" si="0"/>
        <v>46197</v>
      </c>
    </row>
  </sheetData>
  <autoFilter ref="A2:Q2" xr:uid="{94AC235F-CE9F-483F-87A4-731E61A01D1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23"/>
  <sheetViews>
    <sheetView zoomScale="80" zoomScaleNormal="80" workbookViewId="0">
      <pane xSplit="3" ySplit="2" topLeftCell="D3" activePane="bottomRight" state="frozen"/>
      <selection activeCell="A3" sqref="A3:P649"/>
      <selection pane="topRight" activeCell="A3" sqref="A3:P649"/>
      <selection pane="bottomLeft" activeCell="A3" sqref="A3:P649"/>
      <selection pane="bottomRight" activeCell="A3" sqref="A3:P649"/>
    </sheetView>
  </sheetViews>
  <sheetFormatPr defaultRowHeight="13.2" x14ac:dyDescent="0.25"/>
  <cols>
    <col min="1" max="1" width="12.6640625" bestFit="1" customWidth="1"/>
    <col min="2" max="2" width="47.109375" bestFit="1" customWidth="1"/>
    <col min="3" max="3" width="18.33203125" bestFit="1" customWidth="1"/>
    <col min="4" max="4" width="15.44140625" style="23"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77734375" customWidth="1"/>
    <col min="18" max="18" width="11.6640625" bestFit="1" customWidth="1"/>
  </cols>
  <sheetData>
    <row r="1" spans="1:18" x14ac:dyDescent="0.25">
      <c r="D1" s="1">
        <f>SUBTOTAL(9,D3:D1079)</f>
        <v>64126237.190000005</v>
      </c>
      <c r="E1" s="1">
        <f>'Data Additive'!D1+'Data Fertilizers'!D1+'Data International'!D1</f>
        <v>63971254.069999985</v>
      </c>
      <c r="F1" s="33">
        <f>'Data Additive'!D1+'Data Fertilizers'!D1+'Data International'!D1+'freight debit notes'!D1</f>
        <v>64126237.189999983</v>
      </c>
      <c r="G1" s="23">
        <f>D1-F1</f>
        <v>0</v>
      </c>
      <c r="H1" s="23"/>
      <c r="R1" s="3">
        <v>46197</v>
      </c>
    </row>
    <row r="2" spans="1:18" x14ac:dyDescent="0.25">
      <c r="A2" s="2" t="s">
        <v>4</v>
      </c>
      <c r="B2" s="2" t="s">
        <v>3</v>
      </c>
      <c r="C2" s="2" t="s">
        <v>0</v>
      </c>
      <c r="D2" s="29" t="s">
        <v>6</v>
      </c>
      <c r="E2" s="2" t="s">
        <v>199</v>
      </c>
      <c r="F2" s="2" t="s">
        <v>2</v>
      </c>
      <c r="G2" s="2" t="s">
        <v>198</v>
      </c>
      <c r="H2" s="2" t="s">
        <v>200</v>
      </c>
      <c r="I2" s="2" t="s">
        <v>201</v>
      </c>
      <c r="J2" s="2" t="s">
        <v>1</v>
      </c>
      <c r="K2" s="2" t="s">
        <v>202</v>
      </c>
      <c r="L2" s="2" t="s">
        <v>203</v>
      </c>
      <c r="M2" s="2" t="s">
        <v>204</v>
      </c>
      <c r="N2" s="2" t="s">
        <v>205</v>
      </c>
      <c r="O2" s="2" t="s">
        <v>206</v>
      </c>
      <c r="P2" s="2" t="s">
        <v>352</v>
      </c>
      <c r="Q2" s="4" t="s">
        <v>5</v>
      </c>
    </row>
    <row r="3" spans="1:18" ht="12.6" customHeight="1" x14ac:dyDescent="0.25">
      <c r="A3">
        <v>1787</v>
      </c>
      <c r="B3" t="s">
        <v>57</v>
      </c>
      <c r="C3" t="s">
        <v>58</v>
      </c>
      <c r="D3" s="32">
        <v>3600</v>
      </c>
      <c r="E3">
        <v>1246031589</v>
      </c>
      <c r="F3" s="28">
        <v>44784</v>
      </c>
      <c r="H3" t="s">
        <v>23</v>
      </c>
      <c r="I3" t="s">
        <v>24</v>
      </c>
      <c r="J3">
        <v>1246031589</v>
      </c>
      <c r="K3" s="28">
        <v>44769</v>
      </c>
      <c r="L3">
        <v>3041000</v>
      </c>
      <c r="M3" t="s">
        <v>124</v>
      </c>
      <c r="N3">
        <v>46</v>
      </c>
      <c r="O3" t="s">
        <v>147</v>
      </c>
      <c r="P3" t="s">
        <v>449</v>
      </c>
      <c r="Q3">
        <f>$R$1-F3</f>
        <v>1413</v>
      </c>
      <c r="R3">
        <f>_xlfn.XLOOKUP(E3,'Data Additive'!E:E,'Data Additive'!E:E,0)</f>
        <v>0</v>
      </c>
    </row>
    <row r="4" spans="1:18" x14ac:dyDescent="0.25">
      <c r="A4">
        <v>1787</v>
      </c>
      <c r="B4" t="s">
        <v>57</v>
      </c>
      <c r="C4" t="s">
        <v>58</v>
      </c>
      <c r="D4" s="32">
        <v>2700</v>
      </c>
      <c r="E4">
        <v>1246055596</v>
      </c>
      <c r="F4" s="28">
        <v>44889</v>
      </c>
      <c r="H4" t="s">
        <v>23</v>
      </c>
      <c r="I4" t="s">
        <v>24</v>
      </c>
      <c r="J4">
        <v>1246055596</v>
      </c>
      <c r="K4" s="28">
        <v>44889</v>
      </c>
      <c r="L4">
        <v>3041000</v>
      </c>
      <c r="M4" t="s">
        <v>124</v>
      </c>
      <c r="N4">
        <v>46</v>
      </c>
      <c r="O4" t="s">
        <v>147</v>
      </c>
      <c r="P4" t="s">
        <v>449</v>
      </c>
      <c r="Q4">
        <f t="shared" ref="Q4:Q59" si="0">$R$1-F4</f>
        <v>1308</v>
      </c>
      <c r="R4">
        <f>_xlfn.XLOOKUP(E4,'Data Additive'!E:E,'Data Additive'!E:E,0)</f>
        <v>0</v>
      </c>
    </row>
    <row r="5" spans="1:18" x14ac:dyDescent="0.25">
      <c r="A5">
        <v>1788</v>
      </c>
      <c r="B5" t="s">
        <v>59</v>
      </c>
      <c r="C5" t="s">
        <v>60</v>
      </c>
      <c r="D5" s="32">
        <v>5400</v>
      </c>
      <c r="E5">
        <v>1246055599</v>
      </c>
      <c r="F5" s="28">
        <v>44889</v>
      </c>
      <c r="H5" t="s">
        <v>23</v>
      </c>
      <c r="I5" t="s">
        <v>24</v>
      </c>
      <c r="J5">
        <v>1246055599</v>
      </c>
      <c r="K5" s="28">
        <v>44889</v>
      </c>
      <c r="L5">
        <v>3041000</v>
      </c>
      <c r="M5" t="s">
        <v>124</v>
      </c>
      <c r="N5">
        <v>46</v>
      </c>
      <c r="O5" t="s">
        <v>147</v>
      </c>
      <c r="P5" t="s">
        <v>449</v>
      </c>
      <c r="Q5">
        <f t="shared" si="0"/>
        <v>1308</v>
      </c>
      <c r="R5">
        <f>_xlfn.XLOOKUP(E5,'Data Additive'!E:E,'Data Additive'!E:E,0)</f>
        <v>0</v>
      </c>
    </row>
    <row r="6" spans="1:18" x14ac:dyDescent="0.25">
      <c r="A6">
        <v>1788</v>
      </c>
      <c r="B6" t="s">
        <v>59</v>
      </c>
      <c r="C6" t="s">
        <v>60</v>
      </c>
      <c r="D6" s="32">
        <v>1200</v>
      </c>
      <c r="E6">
        <v>1246190701</v>
      </c>
      <c r="F6" s="28">
        <v>45674</v>
      </c>
      <c r="H6" t="s">
        <v>23</v>
      </c>
      <c r="I6" t="s">
        <v>24</v>
      </c>
      <c r="J6">
        <v>1246190701</v>
      </c>
      <c r="K6" s="28">
        <v>45659</v>
      </c>
      <c r="L6">
        <v>3041000</v>
      </c>
      <c r="M6" t="s">
        <v>124</v>
      </c>
      <c r="N6">
        <v>46</v>
      </c>
      <c r="O6" t="s">
        <v>147</v>
      </c>
      <c r="P6" t="s">
        <v>449</v>
      </c>
      <c r="Q6">
        <f t="shared" si="0"/>
        <v>523</v>
      </c>
      <c r="R6">
        <f>_xlfn.XLOOKUP(E6,'Data Additive'!E:E,'Data Additive'!E:E,0)</f>
        <v>0</v>
      </c>
    </row>
    <row r="7" spans="1:18" x14ac:dyDescent="0.25">
      <c r="A7">
        <v>1789</v>
      </c>
      <c r="B7" t="s">
        <v>61</v>
      </c>
      <c r="C7" t="s">
        <v>62</v>
      </c>
      <c r="D7" s="32">
        <v>2700</v>
      </c>
      <c r="E7">
        <v>1246120461</v>
      </c>
      <c r="F7" s="28">
        <v>45294</v>
      </c>
      <c r="H7" t="s">
        <v>23</v>
      </c>
      <c r="I7" t="s">
        <v>24</v>
      </c>
      <c r="J7">
        <v>191223</v>
      </c>
      <c r="K7" s="28">
        <v>45279</v>
      </c>
      <c r="L7">
        <v>3041000</v>
      </c>
      <c r="M7" t="s">
        <v>124</v>
      </c>
      <c r="N7">
        <v>46</v>
      </c>
      <c r="O7" t="s">
        <v>147</v>
      </c>
      <c r="P7" t="s">
        <v>449</v>
      </c>
      <c r="Q7">
        <f t="shared" si="0"/>
        <v>903</v>
      </c>
      <c r="R7">
        <f>_xlfn.XLOOKUP(E7,'Data Additive'!E:E,'Data Additive'!E:E,0)</f>
        <v>0</v>
      </c>
    </row>
    <row r="8" spans="1:18" x14ac:dyDescent="0.25">
      <c r="A8">
        <v>1789</v>
      </c>
      <c r="B8" t="s">
        <v>61</v>
      </c>
      <c r="C8" t="s">
        <v>62</v>
      </c>
      <c r="D8" s="32">
        <v>900</v>
      </c>
      <c r="E8">
        <v>1246146095</v>
      </c>
      <c r="F8" s="28">
        <v>45428</v>
      </c>
      <c r="H8" t="s">
        <v>23</v>
      </c>
      <c r="I8" t="s">
        <v>24</v>
      </c>
      <c r="J8">
        <v>1246120461</v>
      </c>
      <c r="K8" s="28">
        <v>45428</v>
      </c>
      <c r="L8">
        <v>3041000</v>
      </c>
      <c r="M8" t="s">
        <v>124</v>
      </c>
      <c r="N8">
        <v>46</v>
      </c>
      <c r="O8" t="s">
        <v>147</v>
      </c>
      <c r="P8" t="s">
        <v>449</v>
      </c>
      <c r="Q8">
        <f t="shared" si="0"/>
        <v>769</v>
      </c>
      <c r="R8">
        <f>_xlfn.XLOOKUP(E8,'Data Additive'!E:E,'Data Additive'!E:E,0)</f>
        <v>0</v>
      </c>
    </row>
    <row r="9" spans="1:18" x14ac:dyDescent="0.25">
      <c r="A9">
        <v>43</v>
      </c>
      <c r="B9" t="s">
        <v>674</v>
      </c>
      <c r="C9" t="s">
        <v>30</v>
      </c>
      <c r="D9" s="32">
        <v>2400</v>
      </c>
      <c r="E9">
        <v>1246271921</v>
      </c>
      <c r="F9" s="28">
        <v>46147</v>
      </c>
      <c r="H9" t="s">
        <v>23</v>
      </c>
      <c r="I9" t="s">
        <v>24</v>
      </c>
      <c r="J9">
        <v>1246271921</v>
      </c>
      <c r="K9" s="28">
        <v>46132</v>
      </c>
      <c r="L9">
        <v>3042200</v>
      </c>
      <c r="M9" t="s">
        <v>719</v>
      </c>
      <c r="N9">
        <v>46</v>
      </c>
      <c r="O9" t="s">
        <v>147</v>
      </c>
      <c r="P9" t="s">
        <v>355</v>
      </c>
      <c r="Q9">
        <f t="shared" si="0"/>
        <v>50</v>
      </c>
      <c r="R9">
        <f>_xlfn.XLOOKUP(E9,'Data Additive'!E:E,'Data Additive'!E:E,0)</f>
        <v>0</v>
      </c>
    </row>
    <row r="10" spans="1:18" x14ac:dyDescent="0.25">
      <c r="A10">
        <v>1159</v>
      </c>
      <c r="B10" t="s">
        <v>50</v>
      </c>
      <c r="C10" t="s">
        <v>51</v>
      </c>
      <c r="D10" s="32">
        <v>1800</v>
      </c>
      <c r="E10">
        <v>1246087936</v>
      </c>
      <c r="F10" s="28">
        <v>45112</v>
      </c>
      <c r="H10" t="s">
        <v>23</v>
      </c>
      <c r="I10" t="s">
        <v>24</v>
      </c>
      <c r="J10">
        <v>1246087936</v>
      </c>
      <c r="K10" s="28">
        <v>45097</v>
      </c>
      <c r="L10">
        <v>3041000</v>
      </c>
      <c r="M10" t="s">
        <v>124</v>
      </c>
      <c r="N10">
        <v>46</v>
      </c>
      <c r="O10" t="s">
        <v>147</v>
      </c>
      <c r="P10" t="s">
        <v>359</v>
      </c>
      <c r="Q10">
        <f t="shared" si="0"/>
        <v>1085</v>
      </c>
      <c r="R10">
        <f>_xlfn.XLOOKUP(E10,'Data Additive'!E:E,'Data Additive'!E:E,0)</f>
        <v>0</v>
      </c>
    </row>
    <row r="11" spans="1:18" x14ac:dyDescent="0.25">
      <c r="A11">
        <v>1159</v>
      </c>
      <c r="B11" t="s">
        <v>50</v>
      </c>
      <c r="C11" t="s">
        <v>51</v>
      </c>
      <c r="D11" s="32">
        <v>2700</v>
      </c>
      <c r="E11">
        <v>1246087941</v>
      </c>
      <c r="F11" s="28">
        <v>45112</v>
      </c>
      <c r="H11" t="s">
        <v>23</v>
      </c>
      <c r="I11" t="s">
        <v>24</v>
      </c>
      <c r="J11">
        <v>1246087941</v>
      </c>
      <c r="K11" s="28">
        <v>45097</v>
      </c>
      <c r="L11">
        <v>3041000</v>
      </c>
      <c r="M11" t="s">
        <v>124</v>
      </c>
      <c r="N11">
        <v>46</v>
      </c>
      <c r="O11" t="s">
        <v>147</v>
      </c>
      <c r="P11" t="s">
        <v>359</v>
      </c>
      <c r="Q11">
        <f t="shared" si="0"/>
        <v>1085</v>
      </c>
      <c r="R11">
        <f>_xlfn.XLOOKUP(E11,'Data Additive'!E:E,'Data Additive'!E:E,0)</f>
        <v>0</v>
      </c>
    </row>
    <row r="12" spans="1:18" x14ac:dyDescent="0.25">
      <c r="A12">
        <v>1159</v>
      </c>
      <c r="B12" t="s">
        <v>50</v>
      </c>
      <c r="C12" t="s">
        <v>51</v>
      </c>
      <c r="D12" s="32">
        <v>1800</v>
      </c>
      <c r="E12">
        <v>1246087939</v>
      </c>
      <c r="F12" s="28">
        <v>45112</v>
      </c>
      <c r="H12" t="s">
        <v>23</v>
      </c>
      <c r="I12" t="s">
        <v>24</v>
      </c>
      <c r="J12">
        <v>1246087939</v>
      </c>
      <c r="K12" s="28">
        <v>45097</v>
      </c>
      <c r="L12">
        <v>3041000</v>
      </c>
      <c r="M12" t="s">
        <v>124</v>
      </c>
      <c r="N12">
        <v>46</v>
      </c>
      <c r="O12" t="s">
        <v>147</v>
      </c>
      <c r="P12" t="s">
        <v>359</v>
      </c>
      <c r="Q12">
        <f t="shared" si="0"/>
        <v>1085</v>
      </c>
      <c r="R12">
        <f>_xlfn.XLOOKUP(E12,'Data Additive'!E:E,'Data Additive'!E:E,0)</f>
        <v>0</v>
      </c>
    </row>
    <row r="13" spans="1:18" x14ac:dyDescent="0.25">
      <c r="A13">
        <v>1159</v>
      </c>
      <c r="B13" t="s">
        <v>50</v>
      </c>
      <c r="C13" t="s">
        <v>51</v>
      </c>
      <c r="D13" s="32">
        <v>1800</v>
      </c>
      <c r="E13">
        <v>1246087937</v>
      </c>
      <c r="F13" s="28">
        <v>45112</v>
      </c>
      <c r="H13" t="s">
        <v>23</v>
      </c>
      <c r="I13" t="s">
        <v>24</v>
      </c>
      <c r="J13">
        <v>1246087937</v>
      </c>
      <c r="K13" s="28">
        <v>45097</v>
      </c>
      <c r="L13">
        <v>3041000</v>
      </c>
      <c r="M13" t="s">
        <v>124</v>
      </c>
      <c r="N13">
        <v>46</v>
      </c>
      <c r="O13" t="s">
        <v>147</v>
      </c>
      <c r="P13" t="s">
        <v>359</v>
      </c>
      <c r="Q13">
        <f t="shared" si="0"/>
        <v>1085</v>
      </c>
      <c r="R13">
        <f>_xlfn.XLOOKUP(E13,'Data Additive'!E:E,'Data Additive'!E:E,0)</f>
        <v>0</v>
      </c>
    </row>
    <row r="14" spans="1:18" x14ac:dyDescent="0.25">
      <c r="A14">
        <v>1159</v>
      </c>
      <c r="B14" t="s">
        <v>50</v>
      </c>
      <c r="C14" t="s">
        <v>51</v>
      </c>
      <c r="D14" s="32">
        <v>1800</v>
      </c>
      <c r="E14">
        <v>1246087943</v>
      </c>
      <c r="F14" s="28">
        <v>45112</v>
      </c>
      <c r="H14" t="s">
        <v>23</v>
      </c>
      <c r="I14" t="s">
        <v>24</v>
      </c>
      <c r="J14">
        <v>1246087943</v>
      </c>
      <c r="K14" s="28">
        <v>45097</v>
      </c>
      <c r="L14">
        <v>3041000</v>
      </c>
      <c r="M14" t="s">
        <v>124</v>
      </c>
      <c r="N14">
        <v>46</v>
      </c>
      <c r="O14" t="s">
        <v>147</v>
      </c>
      <c r="P14" t="s">
        <v>359</v>
      </c>
      <c r="Q14">
        <f t="shared" si="0"/>
        <v>1085</v>
      </c>
      <c r="R14">
        <f>_xlfn.XLOOKUP(E14,'Data Additive'!E:E,'Data Additive'!E:E,0)</f>
        <v>0</v>
      </c>
    </row>
    <row r="15" spans="1:18" x14ac:dyDescent="0.25">
      <c r="A15">
        <v>1159</v>
      </c>
      <c r="B15" t="s">
        <v>50</v>
      </c>
      <c r="C15" t="s">
        <v>51</v>
      </c>
      <c r="D15" s="32">
        <v>2700</v>
      </c>
      <c r="E15">
        <v>1246121301</v>
      </c>
      <c r="F15" s="28">
        <v>45297</v>
      </c>
      <c r="H15" t="s">
        <v>23</v>
      </c>
      <c r="I15" t="s">
        <v>24</v>
      </c>
      <c r="J15">
        <v>1246121301</v>
      </c>
      <c r="K15" s="28">
        <v>45282</v>
      </c>
      <c r="L15">
        <v>3041000</v>
      </c>
      <c r="M15" t="s">
        <v>124</v>
      </c>
      <c r="N15">
        <v>46</v>
      </c>
      <c r="O15" t="s">
        <v>147</v>
      </c>
      <c r="P15" t="s">
        <v>359</v>
      </c>
      <c r="Q15">
        <f t="shared" si="0"/>
        <v>900</v>
      </c>
      <c r="R15">
        <f>_xlfn.XLOOKUP(E15,'Data Additive'!E:E,'Data Additive'!E:E,0)</f>
        <v>0</v>
      </c>
    </row>
    <row r="16" spans="1:18" x14ac:dyDescent="0.25">
      <c r="A16">
        <v>1159</v>
      </c>
      <c r="B16" t="s">
        <v>50</v>
      </c>
      <c r="C16" t="s">
        <v>51</v>
      </c>
      <c r="D16" s="32">
        <v>4800</v>
      </c>
      <c r="E16">
        <v>1246121285</v>
      </c>
      <c r="F16" s="28">
        <v>45297</v>
      </c>
      <c r="H16" t="s">
        <v>23</v>
      </c>
      <c r="I16" t="s">
        <v>24</v>
      </c>
      <c r="J16">
        <v>1246121285</v>
      </c>
      <c r="K16" s="28">
        <v>45282</v>
      </c>
      <c r="L16">
        <v>3041000</v>
      </c>
      <c r="M16" t="s">
        <v>124</v>
      </c>
      <c r="N16">
        <v>46</v>
      </c>
      <c r="O16" t="s">
        <v>147</v>
      </c>
      <c r="P16" t="s">
        <v>359</v>
      </c>
      <c r="Q16">
        <f t="shared" si="0"/>
        <v>900</v>
      </c>
      <c r="R16">
        <f>_xlfn.XLOOKUP(E16,'Data Additive'!E:E,'Data Additive'!E:E,0)</f>
        <v>0</v>
      </c>
    </row>
    <row r="17" spans="1:18" x14ac:dyDescent="0.25">
      <c r="A17">
        <v>1159</v>
      </c>
      <c r="B17" t="s">
        <v>50</v>
      </c>
      <c r="C17" t="s">
        <v>51</v>
      </c>
      <c r="D17" s="32">
        <v>2700</v>
      </c>
      <c r="E17">
        <v>1246121300</v>
      </c>
      <c r="F17" s="28">
        <v>45297</v>
      </c>
      <c r="H17" t="s">
        <v>23</v>
      </c>
      <c r="I17" t="s">
        <v>24</v>
      </c>
      <c r="J17">
        <v>1246121300</v>
      </c>
      <c r="K17" s="28">
        <v>45282</v>
      </c>
      <c r="L17">
        <v>3041000</v>
      </c>
      <c r="M17" t="s">
        <v>124</v>
      </c>
      <c r="N17">
        <v>46</v>
      </c>
      <c r="O17" t="s">
        <v>147</v>
      </c>
      <c r="P17" t="s">
        <v>359</v>
      </c>
      <c r="Q17">
        <f t="shared" si="0"/>
        <v>900</v>
      </c>
      <c r="R17">
        <f>_xlfn.XLOOKUP(E17,'Data Additive'!E:E,'Data Additive'!E:E,0)</f>
        <v>0</v>
      </c>
    </row>
    <row r="18" spans="1:18" x14ac:dyDescent="0.25">
      <c r="A18">
        <v>1159</v>
      </c>
      <c r="B18" t="s">
        <v>50</v>
      </c>
      <c r="C18" t="s">
        <v>51</v>
      </c>
      <c r="D18" s="32">
        <v>1800</v>
      </c>
      <c r="E18">
        <v>1246121298</v>
      </c>
      <c r="F18" s="28">
        <v>45297</v>
      </c>
      <c r="H18" t="s">
        <v>23</v>
      </c>
      <c r="I18" t="s">
        <v>24</v>
      </c>
      <c r="J18">
        <v>1246121298</v>
      </c>
      <c r="K18" s="28">
        <v>45282</v>
      </c>
      <c r="L18">
        <v>3041000</v>
      </c>
      <c r="M18" t="s">
        <v>124</v>
      </c>
      <c r="N18">
        <v>46</v>
      </c>
      <c r="O18" t="s">
        <v>147</v>
      </c>
      <c r="P18" t="s">
        <v>359</v>
      </c>
      <c r="Q18">
        <f t="shared" si="0"/>
        <v>900</v>
      </c>
      <c r="R18">
        <f>_xlfn.XLOOKUP(E18,'Data Additive'!E:E,'Data Additive'!E:E,0)</f>
        <v>0</v>
      </c>
    </row>
    <row r="19" spans="1:18" x14ac:dyDescent="0.25">
      <c r="A19">
        <v>1159</v>
      </c>
      <c r="B19" t="s">
        <v>50</v>
      </c>
      <c r="C19" t="s">
        <v>51</v>
      </c>
      <c r="D19" s="32">
        <v>2700</v>
      </c>
      <c r="E19">
        <v>1246121302</v>
      </c>
      <c r="F19" s="28">
        <v>45297</v>
      </c>
      <c r="H19" t="s">
        <v>23</v>
      </c>
      <c r="I19" t="s">
        <v>24</v>
      </c>
      <c r="J19">
        <v>1246121302</v>
      </c>
      <c r="K19" s="28">
        <v>45282</v>
      </c>
      <c r="L19">
        <v>3041000</v>
      </c>
      <c r="M19" t="s">
        <v>124</v>
      </c>
      <c r="N19">
        <v>46</v>
      </c>
      <c r="O19" t="s">
        <v>147</v>
      </c>
      <c r="P19" t="s">
        <v>359</v>
      </c>
      <c r="Q19">
        <f t="shared" si="0"/>
        <v>900</v>
      </c>
      <c r="R19">
        <f>_xlfn.XLOOKUP(E19,'Data Additive'!E:E,'Data Additive'!E:E,0)</f>
        <v>0</v>
      </c>
    </row>
    <row r="20" spans="1:18" x14ac:dyDescent="0.25">
      <c r="A20">
        <v>1159</v>
      </c>
      <c r="B20" t="s">
        <v>50</v>
      </c>
      <c r="C20" t="s">
        <v>51</v>
      </c>
      <c r="D20" s="32">
        <v>1200</v>
      </c>
      <c r="E20">
        <v>1246121295</v>
      </c>
      <c r="F20" s="28">
        <v>45297</v>
      </c>
      <c r="H20" t="s">
        <v>23</v>
      </c>
      <c r="I20" t="s">
        <v>24</v>
      </c>
      <c r="J20">
        <v>1246121295</v>
      </c>
      <c r="K20" s="28">
        <v>45282</v>
      </c>
      <c r="L20">
        <v>3041000</v>
      </c>
      <c r="M20" t="s">
        <v>124</v>
      </c>
      <c r="N20">
        <v>46</v>
      </c>
      <c r="O20" t="s">
        <v>147</v>
      </c>
      <c r="P20" t="s">
        <v>359</v>
      </c>
      <c r="Q20">
        <f t="shared" si="0"/>
        <v>900</v>
      </c>
      <c r="R20">
        <f>_xlfn.XLOOKUP(E20,'Data Additive'!E:E,'Data Additive'!E:E,0)</f>
        <v>0</v>
      </c>
    </row>
    <row r="21" spans="1:18" x14ac:dyDescent="0.25">
      <c r="A21">
        <v>1159</v>
      </c>
      <c r="B21" t="s">
        <v>50</v>
      </c>
      <c r="C21" t="s">
        <v>51</v>
      </c>
      <c r="D21" s="32">
        <v>2700</v>
      </c>
      <c r="E21">
        <v>1246121297</v>
      </c>
      <c r="F21" s="28">
        <v>45297</v>
      </c>
      <c r="H21" t="s">
        <v>23</v>
      </c>
      <c r="I21" t="s">
        <v>24</v>
      </c>
      <c r="J21">
        <v>1246121297</v>
      </c>
      <c r="K21" s="28">
        <v>45282</v>
      </c>
      <c r="L21">
        <v>3041000</v>
      </c>
      <c r="M21" t="s">
        <v>124</v>
      </c>
      <c r="N21">
        <v>46</v>
      </c>
      <c r="O21" t="s">
        <v>147</v>
      </c>
      <c r="P21" t="s">
        <v>359</v>
      </c>
      <c r="Q21">
        <f t="shared" si="0"/>
        <v>900</v>
      </c>
      <c r="R21">
        <f>_xlfn.XLOOKUP(E21,'Data Additive'!E:E,'Data Additive'!E:E,0)</f>
        <v>0</v>
      </c>
    </row>
    <row r="22" spans="1:18" x14ac:dyDescent="0.25">
      <c r="A22">
        <v>1159</v>
      </c>
      <c r="B22" t="s">
        <v>50</v>
      </c>
      <c r="C22" t="s">
        <v>51</v>
      </c>
      <c r="D22" s="32">
        <v>6300</v>
      </c>
      <c r="E22">
        <v>1246121299</v>
      </c>
      <c r="F22" s="28">
        <v>45297</v>
      </c>
      <c r="H22" t="s">
        <v>23</v>
      </c>
      <c r="I22" t="s">
        <v>24</v>
      </c>
      <c r="J22">
        <v>1246121299</v>
      </c>
      <c r="K22" s="28">
        <v>45282</v>
      </c>
      <c r="L22">
        <v>3041000</v>
      </c>
      <c r="M22" t="s">
        <v>124</v>
      </c>
      <c r="N22">
        <v>46</v>
      </c>
      <c r="O22" t="s">
        <v>147</v>
      </c>
      <c r="P22" t="s">
        <v>359</v>
      </c>
      <c r="Q22">
        <f t="shared" si="0"/>
        <v>900</v>
      </c>
      <c r="R22">
        <f>_xlfn.XLOOKUP(E22,'Data Additive'!E:E,'Data Additive'!E:E,0)</f>
        <v>0</v>
      </c>
    </row>
    <row r="23" spans="1:18" x14ac:dyDescent="0.25">
      <c r="A23">
        <v>1159</v>
      </c>
      <c r="B23" t="s">
        <v>50</v>
      </c>
      <c r="C23" t="s">
        <v>51</v>
      </c>
      <c r="D23" s="32">
        <v>3600</v>
      </c>
      <c r="E23">
        <v>1246121296</v>
      </c>
      <c r="F23" s="28">
        <v>45297</v>
      </c>
      <c r="H23" t="s">
        <v>23</v>
      </c>
      <c r="I23" t="s">
        <v>24</v>
      </c>
      <c r="J23">
        <v>1246121296</v>
      </c>
      <c r="K23" s="28">
        <v>45282</v>
      </c>
      <c r="L23">
        <v>3041000</v>
      </c>
      <c r="M23" t="s">
        <v>124</v>
      </c>
      <c r="N23">
        <v>46</v>
      </c>
      <c r="O23" t="s">
        <v>147</v>
      </c>
      <c r="P23" t="s">
        <v>359</v>
      </c>
      <c r="Q23">
        <f t="shared" si="0"/>
        <v>900</v>
      </c>
      <c r="R23">
        <f>_xlfn.XLOOKUP(E23,'Data Additive'!E:E,'Data Additive'!E:E,0)</f>
        <v>0</v>
      </c>
    </row>
    <row r="24" spans="1:18" x14ac:dyDescent="0.25">
      <c r="A24">
        <v>1159</v>
      </c>
      <c r="B24" t="s">
        <v>50</v>
      </c>
      <c r="C24" t="s">
        <v>51</v>
      </c>
      <c r="D24" s="32">
        <v>1200</v>
      </c>
      <c r="E24">
        <v>1246135390</v>
      </c>
      <c r="F24" s="28">
        <v>45388</v>
      </c>
      <c r="H24" t="s">
        <v>23</v>
      </c>
      <c r="I24" t="s">
        <v>24</v>
      </c>
      <c r="J24">
        <v>1246135390</v>
      </c>
      <c r="K24" s="28">
        <v>45373</v>
      </c>
      <c r="L24">
        <v>3041000</v>
      </c>
      <c r="M24" t="s">
        <v>124</v>
      </c>
      <c r="N24">
        <v>46</v>
      </c>
      <c r="O24" t="s">
        <v>147</v>
      </c>
      <c r="P24" t="s">
        <v>359</v>
      </c>
      <c r="Q24">
        <f t="shared" si="0"/>
        <v>809</v>
      </c>
      <c r="R24">
        <f>_xlfn.XLOOKUP(E24,'Data Additive'!E:E,'Data Additive'!E:E,0)</f>
        <v>0</v>
      </c>
    </row>
    <row r="25" spans="1:18" x14ac:dyDescent="0.25">
      <c r="A25">
        <v>1159</v>
      </c>
      <c r="B25" t="s">
        <v>50</v>
      </c>
      <c r="C25" t="s">
        <v>51</v>
      </c>
      <c r="D25" s="32">
        <v>2400</v>
      </c>
      <c r="E25">
        <v>1246135388</v>
      </c>
      <c r="F25" s="28">
        <v>45388</v>
      </c>
      <c r="H25" t="s">
        <v>23</v>
      </c>
      <c r="I25" t="s">
        <v>24</v>
      </c>
      <c r="J25">
        <v>1246135388</v>
      </c>
      <c r="K25" s="28">
        <v>45373</v>
      </c>
      <c r="L25">
        <v>3041000</v>
      </c>
      <c r="M25" t="s">
        <v>124</v>
      </c>
      <c r="N25">
        <v>46</v>
      </c>
      <c r="O25" t="s">
        <v>147</v>
      </c>
      <c r="P25" t="s">
        <v>359</v>
      </c>
      <c r="Q25">
        <f t="shared" si="0"/>
        <v>809</v>
      </c>
      <c r="R25">
        <f>_xlfn.XLOOKUP(E25,'Data Additive'!E:E,'Data Additive'!E:E,0)</f>
        <v>0</v>
      </c>
    </row>
    <row r="26" spans="1:18" x14ac:dyDescent="0.25">
      <c r="A26">
        <v>1159</v>
      </c>
      <c r="B26" t="s">
        <v>50</v>
      </c>
      <c r="C26" t="s">
        <v>51</v>
      </c>
      <c r="D26" s="32">
        <v>1200</v>
      </c>
      <c r="E26">
        <v>1246135385</v>
      </c>
      <c r="F26" s="28">
        <v>45388</v>
      </c>
      <c r="H26" t="s">
        <v>23</v>
      </c>
      <c r="I26" t="s">
        <v>24</v>
      </c>
      <c r="J26">
        <v>1246135385</v>
      </c>
      <c r="K26" s="28">
        <v>45373</v>
      </c>
      <c r="L26">
        <v>3041000</v>
      </c>
      <c r="M26" t="s">
        <v>124</v>
      </c>
      <c r="N26">
        <v>46</v>
      </c>
      <c r="O26" t="s">
        <v>147</v>
      </c>
      <c r="P26" t="s">
        <v>359</v>
      </c>
      <c r="Q26">
        <f t="shared" si="0"/>
        <v>809</v>
      </c>
      <c r="R26">
        <f>_xlfn.XLOOKUP(E26,'Data Additive'!E:E,'Data Additive'!E:E,0)</f>
        <v>0</v>
      </c>
    </row>
    <row r="27" spans="1:18" x14ac:dyDescent="0.25">
      <c r="A27">
        <v>1159</v>
      </c>
      <c r="B27" t="s">
        <v>50</v>
      </c>
      <c r="C27" t="s">
        <v>51</v>
      </c>
      <c r="D27" s="32">
        <v>3600</v>
      </c>
      <c r="E27">
        <v>1246135391</v>
      </c>
      <c r="F27" s="28">
        <v>45388</v>
      </c>
      <c r="H27" t="s">
        <v>23</v>
      </c>
      <c r="I27" t="s">
        <v>24</v>
      </c>
      <c r="J27">
        <v>1246135391</v>
      </c>
      <c r="K27" s="28">
        <v>45373</v>
      </c>
      <c r="L27">
        <v>3041000</v>
      </c>
      <c r="M27" t="s">
        <v>124</v>
      </c>
      <c r="N27">
        <v>46</v>
      </c>
      <c r="O27" t="s">
        <v>147</v>
      </c>
      <c r="P27" t="s">
        <v>359</v>
      </c>
      <c r="Q27">
        <f t="shared" si="0"/>
        <v>809</v>
      </c>
      <c r="R27">
        <f>_xlfn.XLOOKUP(E27,'Data Additive'!E:E,'Data Additive'!E:E,0)</f>
        <v>0</v>
      </c>
    </row>
    <row r="28" spans="1:18" x14ac:dyDescent="0.25">
      <c r="A28">
        <v>1159</v>
      </c>
      <c r="B28" t="s">
        <v>50</v>
      </c>
      <c r="C28" t="s">
        <v>51</v>
      </c>
      <c r="D28" s="32">
        <v>2400</v>
      </c>
      <c r="E28">
        <v>1246135382</v>
      </c>
      <c r="F28" s="28">
        <v>45388</v>
      </c>
      <c r="H28" t="s">
        <v>23</v>
      </c>
      <c r="I28" t="s">
        <v>24</v>
      </c>
      <c r="J28">
        <v>1246135382</v>
      </c>
      <c r="K28" s="28">
        <v>45373</v>
      </c>
      <c r="L28">
        <v>3041000</v>
      </c>
      <c r="M28" t="s">
        <v>124</v>
      </c>
      <c r="N28">
        <v>46</v>
      </c>
      <c r="O28" t="s">
        <v>147</v>
      </c>
      <c r="P28" t="s">
        <v>359</v>
      </c>
      <c r="Q28">
        <f t="shared" si="0"/>
        <v>809</v>
      </c>
      <c r="R28">
        <f>_xlfn.XLOOKUP(E28,'Data Additive'!E:E,'Data Additive'!E:E,0)</f>
        <v>0</v>
      </c>
    </row>
    <row r="29" spans="1:18" x14ac:dyDescent="0.25">
      <c r="A29">
        <v>1159</v>
      </c>
      <c r="B29" t="s">
        <v>50</v>
      </c>
      <c r="C29" t="s">
        <v>51</v>
      </c>
      <c r="D29" s="32">
        <v>3600</v>
      </c>
      <c r="E29">
        <v>1246173258</v>
      </c>
      <c r="F29" s="28">
        <v>45575</v>
      </c>
      <c r="H29" t="s">
        <v>23</v>
      </c>
      <c r="I29" t="s">
        <v>24</v>
      </c>
      <c r="J29">
        <v>1246173258</v>
      </c>
      <c r="K29" s="28">
        <v>45560</v>
      </c>
      <c r="L29">
        <v>3041000</v>
      </c>
      <c r="M29" t="s">
        <v>124</v>
      </c>
      <c r="N29">
        <v>46</v>
      </c>
      <c r="O29" t="s">
        <v>147</v>
      </c>
      <c r="P29" t="s">
        <v>359</v>
      </c>
      <c r="Q29">
        <f t="shared" si="0"/>
        <v>622</v>
      </c>
      <c r="R29">
        <f>_xlfn.XLOOKUP(E29,'Data Additive'!E:E,'Data Additive'!E:E,0)</f>
        <v>0</v>
      </c>
    </row>
    <row r="30" spans="1:18" x14ac:dyDescent="0.25">
      <c r="A30">
        <v>1159</v>
      </c>
      <c r="B30" t="s">
        <v>50</v>
      </c>
      <c r="C30" t="s">
        <v>51</v>
      </c>
      <c r="D30" s="32">
        <v>1200</v>
      </c>
      <c r="E30">
        <v>1246173256</v>
      </c>
      <c r="F30" s="28">
        <v>45575</v>
      </c>
      <c r="H30" t="s">
        <v>23</v>
      </c>
      <c r="I30" t="s">
        <v>24</v>
      </c>
      <c r="J30">
        <v>1246173256</v>
      </c>
      <c r="K30" s="28">
        <v>45560</v>
      </c>
      <c r="L30">
        <v>3041000</v>
      </c>
      <c r="M30" t="s">
        <v>124</v>
      </c>
      <c r="N30">
        <v>46</v>
      </c>
      <c r="O30" t="s">
        <v>147</v>
      </c>
      <c r="P30" t="s">
        <v>359</v>
      </c>
      <c r="Q30">
        <f t="shared" si="0"/>
        <v>622</v>
      </c>
      <c r="R30">
        <f>_xlfn.XLOOKUP(E30,'Data Additive'!E:E,'Data Additive'!E:E,0)</f>
        <v>0</v>
      </c>
    </row>
    <row r="31" spans="1:18" x14ac:dyDescent="0.25">
      <c r="A31">
        <v>1159</v>
      </c>
      <c r="B31" t="s">
        <v>50</v>
      </c>
      <c r="C31" t="s">
        <v>51</v>
      </c>
      <c r="D31" s="32">
        <v>2400</v>
      </c>
      <c r="E31">
        <v>1246173253</v>
      </c>
      <c r="F31" s="28">
        <v>45575</v>
      </c>
      <c r="H31" t="s">
        <v>23</v>
      </c>
      <c r="I31" t="s">
        <v>24</v>
      </c>
      <c r="J31">
        <v>1246173253</v>
      </c>
      <c r="K31" s="28">
        <v>45560</v>
      </c>
      <c r="L31">
        <v>3041000</v>
      </c>
      <c r="M31" t="s">
        <v>124</v>
      </c>
      <c r="N31">
        <v>46</v>
      </c>
      <c r="O31" t="s">
        <v>147</v>
      </c>
      <c r="P31" t="s">
        <v>359</v>
      </c>
      <c r="Q31">
        <f t="shared" si="0"/>
        <v>622</v>
      </c>
      <c r="R31">
        <f>_xlfn.XLOOKUP(E31,'Data Additive'!E:E,'Data Additive'!E:E,0)</f>
        <v>0</v>
      </c>
    </row>
    <row r="32" spans="1:18" x14ac:dyDescent="0.25">
      <c r="A32">
        <v>1159</v>
      </c>
      <c r="B32" t="s">
        <v>50</v>
      </c>
      <c r="C32" t="s">
        <v>51</v>
      </c>
      <c r="D32" s="32">
        <v>1200</v>
      </c>
      <c r="E32">
        <v>1246173257</v>
      </c>
      <c r="F32" s="28">
        <v>45575</v>
      </c>
      <c r="H32" t="s">
        <v>23</v>
      </c>
      <c r="I32" t="s">
        <v>24</v>
      </c>
      <c r="J32">
        <v>1246173257</v>
      </c>
      <c r="K32" s="28">
        <v>45560</v>
      </c>
      <c r="L32">
        <v>3041000</v>
      </c>
      <c r="M32" t="s">
        <v>124</v>
      </c>
      <c r="N32">
        <v>46</v>
      </c>
      <c r="O32" t="s">
        <v>147</v>
      </c>
      <c r="P32" t="s">
        <v>359</v>
      </c>
      <c r="Q32">
        <f t="shared" si="0"/>
        <v>622</v>
      </c>
      <c r="R32">
        <f>_xlfn.XLOOKUP(E32,'Data Additive'!E:E,'Data Additive'!E:E,0)</f>
        <v>0</v>
      </c>
    </row>
    <row r="33" spans="1:18" x14ac:dyDescent="0.25">
      <c r="A33">
        <v>452</v>
      </c>
      <c r="B33" t="s">
        <v>38</v>
      </c>
      <c r="C33" t="s">
        <v>39</v>
      </c>
      <c r="D33" s="32">
        <v>1800</v>
      </c>
      <c r="E33">
        <v>1246055195</v>
      </c>
      <c r="F33" s="28">
        <v>44902</v>
      </c>
      <c r="H33" t="s">
        <v>23</v>
      </c>
      <c r="I33" t="s">
        <v>24</v>
      </c>
      <c r="J33">
        <v>1246055195</v>
      </c>
      <c r="K33" s="28">
        <v>44887</v>
      </c>
      <c r="L33">
        <v>3041000</v>
      </c>
      <c r="M33" t="s">
        <v>124</v>
      </c>
      <c r="N33">
        <v>46</v>
      </c>
      <c r="O33" t="s">
        <v>147</v>
      </c>
      <c r="P33" t="s">
        <v>491</v>
      </c>
      <c r="Q33">
        <f t="shared" si="0"/>
        <v>1295</v>
      </c>
      <c r="R33">
        <f>_xlfn.XLOOKUP(E33,'Data Additive'!E:E,'Data Additive'!E:E,0)</f>
        <v>0</v>
      </c>
    </row>
    <row r="34" spans="1:18" x14ac:dyDescent="0.25">
      <c r="A34">
        <v>2559</v>
      </c>
      <c r="B34" t="s">
        <v>451</v>
      </c>
      <c r="C34" t="s">
        <v>69</v>
      </c>
      <c r="D34" s="32">
        <v>1200</v>
      </c>
      <c r="E34">
        <v>1246203587</v>
      </c>
      <c r="F34" s="28">
        <v>45750</v>
      </c>
      <c r="H34" t="s">
        <v>23</v>
      </c>
      <c r="I34" t="s">
        <v>24</v>
      </c>
      <c r="J34">
        <v>1246203587</v>
      </c>
      <c r="K34" s="28">
        <v>45735</v>
      </c>
      <c r="L34">
        <v>3041000</v>
      </c>
      <c r="M34" t="s">
        <v>124</v>
      </c>
      <c r="N34">
        <v>46</v>
      </c>
      <c r="O34" t="s">
        <v>147</v>
      </c>
      <c r="P34" t="s">
        <v>431</v>
      </c>
      <c r="Q34">
        <f t="shared" si="0"/>
        <v>447</v>
      </c>
      <c r="R34">
        <f>_xlfn.XLOOKUP(E34,'Data Additive'!E:E,'Data Additive'!E:E,0)</f>
        <v>0</v>
      </c>
    </row>
    <row r="35" spans="1:18" x14ac:dyDescent="0.25">
      <c r="A35">
        <v>2559</v>
      </c>
      <c r="B35" t="s">
        <v>451</v>
      </c>
      <c r="C35" t="s">
        <v>69</v>
      </c>
      <c r="D35" s="32">
        <v>7200</v>
      </c>
      <c r="E35">
        <v>1246203586</v>
      </c>
      <c r="F35" s="28">
        <v>45750</v>
      </c>
      <c r="H35" t="s">
        <v>23</v>
      </c>
      <c r="I35" t="s">
        <v>24</v>
      </c>
      <c r="J35">
        <v>1246203586</v>
      </c>
      <c r="K35" s="28">
        <v>45735</v>
      </c>
      <c r="L35">
        <v>3041000</v>
      </c>
      <c r="M35" t="s">
        <v>124</v>
      </c>
      <c r="N35">
        <v>46</v>
      </c>
      <c r="O35" t="s">
        <v>147</v>
      </c>
      <c r="P35" t="s">
        <v>431</v>
      </c>
      <c r="Q35">
        <f t="shared" si="0"/>
        <v>447</v>
      </c>
      <c r="R35">
        <f>_xlfn.XLOOKUP(E35,'Data Additive'!E:E,'Data Additive'!E:E,0)</f>
        <v>0</v>
      </c>
    </row>
    <row r="36" spans="1:18" x14ac:dyDescent="0.25">
      <c r="A36">
        <v>2559</v>
      </c>
      <c r="B36" t="s">
        <v>451</v>
      </c>
      <c r="C36" t="s">
        <v>69</v>
      </c>
      <c r="D36" s="32">
        <v>1200</v>
      </c>
      <c r="E36">
        <v>1246203585</v>
      </c>
      <c r="F36" s="28">
        <v>45750</v>
      </c>
      <c r="H36" t="s">
        <v>23</v>
      </c>
      <c r="I36" t="s">
        <v>24</v>
      </c>
      <c r="J36">
        <v>1246203585</v>
      </c>
      <c r="K36" s="28">
        <v>45735</v>
      </c>
      <c r="L36">
        <v>3041000</v>
      </c>
      <c r="M36" t="s">
        <v>124</v>
      </c>
      <c r="N36">
        <v>46</v>
      </c>
      <c r="O36" t="s">
        <v>147</v>
      </c>
      <c r="P36" t="s">
        <v>431</v>
      </c>
      <c r="Q36">
        <f t="shared" si="0"/>
        <v>447</v>
      </c>
      <c r="R36">
        <f>_xlfn.XLOOKUP(E36,'Data Additive'!E:E,'Data Additive'!E:E,0)</f>
        <v>0</v>
      </c>
    </row>
    <row r="37" spans="1:18" x14ac:dyDescent="0.25">
      <c r="A37">
        <v>2559</v>
      </c>
      <c r="B37" t="s">
        <v>451</v>
      </c>
      <c r="C37" t="s">
        <v>69</v>
      </c>
      <c r="D37" s="32">
        <v>6000</v>
      </c>
      <c r="E37">
        <v>1246244748</v>
      </c>
      <c r="F37" s="28">
        <v>45968</v>
      </c>
      <c r="H37" t="s">
        <v>23</v>
      </c>
      <c r="I37" t="s">
        <v>24</v>
      </c>
      <c r="J37">
        <v>1246244748</v>
      </c>
      <c r="K37" s="28">
        <v>45953</v>
      </c>
      <c r="L37">
        <v>3041000</v>
      </c>
      <c r="M37" t="s">
        <v>124</v>
      </c>
      <c r="N37">
        <v>46</v>
      </c>
      <c r="O37" t="s">
        <v>147</v>
      </c>
      <c r="P37" t="s">
        <v>431</v>
      </c>
      <c r="Q37">
        <f t="shared" si="0"/>
        <v>229</v>
      </c>
      <c r="R37">
        <f>_xlfn.XLOOKUP(E37,'Data Additive'!E:E,'Data Additive'!E:E,0)</f>
        <v>0</v>
      </c>
    </row>
    <row r="38" spans="1:18" x14ac:dyDescent="0.25">
      <c r="A38">
        <v>6477</v>
      </c>
      <c r="B38" t="s">
        <v>87</v>
      </c>
      <c r="C38" t="s">
        <v>88</v>
      </c>
      <c r="D38" s="32">
        <v>5400</v>
      </c>
      <c r="E38">
        <v>1246054441</v>
      </c>
      <c r="F38" s="28">
        <v>44897</v>
      </c>
      <c r="H38" t="s">
        <v>23</v>
      </c>
      <c r="I38" t="s">
        <v>24</v>
      </c>
      <c r="J38">
        <v>1246054441</v>
      </c>
      <c r="K38" s="28">
        <v>44882</v>
      </c>
      <c r="L38">
        <v>3041000</v>
      </c>
      <c r="M38" t="s">
        <v>124</v>
      </c>
      <c r="N38">
        <v>46</v>
      </c>
      <c r="O38" t="s">
        <v>147</v>
      </c>
      <c r="P38" t="s">
        <v>431</v>
      </c>
      <c r="Q38">
        <f t="shared" si="0"/>
        <v>1300</v>
      </c>
      <c r="R38">
        <f>_xlfn.XLOOKUP(E38,'Data Additive'!E:E,'Data Additive'!E:E,0)</f>
        <v>0</v>
      </c>
    </row>
    <row r="39" spans="1:18" x14ac:dyDescent="0.25">
      <c r="A39">
        <v>7097</v>
      </c>
      <c r="B39" t="s">
        <v>91</v>
      </c>
      <c r="C39" t="s">
        <v>92</v>
      </c>
      <c r="D39" s="32">
        <v>11300</v>
      </c>
      <c r="E39">
        <v>1246058687</v>
      </c>
      <c r="F39" s="28">
        <v>44925</v>
      </c>
      <c r="H39" t="s">
        <v>23</v>
      </c>
      <c r="I39" t="s">
        <v>24</v>
      </c>
      <c r="J39">
        <v>1246058687</v>
      </c>
      <c r="K39" s="28">
        <v>44910</v>
      </c>
      <c r="L39">
        <v>3041000</v>
      </c>
      <c r="M39" t="s">
        <v>124</v>
      </c>
      <c r="N39">
        <v>46</v>
      </c>
      <c r="O39" t="s">
        <v>147</v>
      </c>
      <c r="P39" t="s">
        <v>431</v>
      </c>
      <c r="Q39">
        <f t="shared" si="0"/>
        <v>1272</v>
      </c>
      <c r="R39">
        <f>_xlfn.XLOOKUP(E39,'Data Additive'!E:E,'Data Additive'!E:E,0)</f>
        <v>0</v>
      </c>
    </row>
    <row r="40" spans="1:18" x14ac:dyDescent="0.25">
      <c r="A40">
        <v>7097</v>
      </c>
      <c r="B40" t="s">
        <v>91</v>
      </c>
      <c r="C40" t="s">
        <v>92</v>
      </c>
      <c r="D40" s="32">
        <v>10183.120000000001</v>
      </c>
      <c r="E40">
        <v>1246057240</v>
      </c>
      <c r="F40" s="28">
        <v>44922</v>
      </c>
      <c r="H40" t="s">
        <v>23</v>
      </c>
      <c r="I40" t="s">
        <v>24</v>
      </c>
      <c r="J40">
        <v>71222</v>
      </c>
      <c r="K40" s="28">
        <v>44902</v>
      </c>
      <c r="L40">
        <v>3041000</v>
      </c>
      <c r="M40" t="s">
        <v>124</v>
      </c>
      <c r="N40">
        <v>46</v>
      </c>
      <c r="O40" t="s">
        <v>147</v>
      </c>
      <c r="P40" t="s">
        <v>431</v>
      </c>
      <c r="Q40">
        <f t="shared" si="0"/>
        <v>1275</v>
      </c>
      <c r="R40">
        <f>_xlfn.XLOOKUP(E40,'Data Additive'!E:E,'Data Additive'!E:E,0)</f>
        <v>0</v>
      </c>
    </row>
    <row r="41" spans="1:18" x14ac:dyDescent="0.25">
      <c r="A41">
        <v>7443</v>
      </c>
      <c r="B41" t="s">
        <v>696</v>
      </c>
      <c r="C41" t="s">
        <v>225</v>
      </c>
      <c r="D41" s="32">
        <v>1200</v>
      </c>
      <c r="E41">
        <v>1246156403</v>
      </c>
      <c r="F41" s="28">
        <v>45496</v>
      </c>
      <c r="H41" t="s">
        <v>23</v>
      </c>
      <c r="I41" t="s">
        <v>24</v>
      </c>
      <c r="J41">
        <v>1246156403</v>
      </c>
      <c r="K41" s="28">
        <v>45481</v>
      </c>
      <c r="L41">
        <v>3041000</v>
      </c>
      <c r="M41" t="s">
        <v>124</v>
      </c>
      <c r="N41">
        <v>46</v>
      </c>
      <c r="O41" t="s">
        <v>147</v>
      </c>
      <c r="P41" t="s">
        <v>431</v>
      </c>
      <c r="Q41">
        <f t="shared" si="0"/>
        <v>701</v>
      </c>
      <c r="R41">
        <f>_xlfn.XLOOKUP(E41,'Data Additive'!E:E,'Data Additive'!E:E,0)</f>
        <v>0</v>
      </c>
    </row>
    <row r="42" spans="1:18" x14ac:dyDescent="0.25">
      <c r="A42">
        <v>7443</v>
      </c>
      <c r="B42" t="s">
        <v>696</v>
      </c>
      <c r="C42" t="s">
        <v>225</v>
      </c>
      <c r="D42" s="32">
        <v>1200</v>
      </c>
      <c r="E42">
        <v>1246156396</v>
      </c>
      <c r="F42" s="28">
        <v>45496</v>
      </c>
      <c r="H42" t="s">
        <v>23</v>
      </c>
      <c r="I42" t="s">
        <v>24</v>
      </c>
      <c r="J42">
        <v>1246156396</v>
      </c>
      <c r="K42" s="28">
        <v>45481</v>
      </c>
      <c r="L42">
        <v>3041000</v>
      </c>
      <c r="M42" t="s">
        <v>124</v>
      </c>
      <c r="N42">
        <v>46</v>
      </c>
      <c r="O42" t="s">
        <v>147</v>
      </c>
      <c r="P42" t="s">
        <v>431</v>
      </c>
      <c r="Q42">
        <f t="shared" si="0"/>
        <v>701</v>
      </c>
      <c r="R42">
        <f>_xlfn.XLOOKUP(E42,'Data Additive'!E:E,'Data Additive'!E:E,0)</f>
        <v>0</v>
      </c>
    </row>
    <row r="43" spans="1:18" x14ac:dyDescent="0.25">
      <c r="A43">
        <v>7302</v>
      </c>
      <c r="B43" t="s">
        <v>93</v>
      </c>
      <c r="C43" t="s">
        <v>94</v>
      </c>
      <c r="D43" s="32">
        <v>1800</v>
      </c>
      <c r="E43">
        <v>1246045752</v>
      </c>
      <c r="F43" s="28">
        <v>44848</v>
      </c>
      <c r="H43" t="s">
        <v>23</v>
      </c>
      <c r="I43" t="s">
        <v>24</v>
      </c>
      <c r="J43">
        <v>290922</v>
      </c>
      <c r="K43" s="28">
        <v>44833</v>
      </c>
      <c r="L43">
        <v>3041000</v>
      </c>
      <c r="M43" t="s">
        <v>124</v>
      </c>
      <c r="N43">
        <v>46</v>
      </c>
      <c r="O43" t="s">
        <v>147</v>
      </c>
      <c r="P43" t="s">
        <v>431</v>
      </c>
      <c r="Q43">
        <f t="shared" si="0"/>
        <v>1349</v>
      </c>
      <c r="R43">
        <f>_xlfn.XLOOKUP(E43,'Data Additive'!E:E,'Data Additive'!E:E,0)</f>
        <v>0</v>
      </c>
    </row>
    <row r="44" spans="1:18" x14ac:dyDescent="0.25">
      <c r="A44">
        <v>7302</v>
      </c>
      <c r="B44" t="s">
        <v>93</v>
      </c>
      <c r="C44" t="s">
        <v>94</v>
      </c>
      <c r="D44" s="32">
        <v>7200</v>
      </c>
      <c r="E44">
        <v>1246033417</v>
      </c>
      <c r="F44" s="28">
        <v>44792</v>
      </c>
      <c r="H44" t="s">
        <v>23</v>
      </c>
      <c r="I44" t="s">
        <v>24</v>
      </c>
      <c r="J44">
        <v>1246033417</v>
      </c>
      <c r="K44" s="28">
        <v>44777</v>
      </c>
      <c r="L44">
        <v>3041000</v>
      </c>
      <c r="M44" t="s">
        <v>124</v>
      </c>
      <c r="N44">
        <v>46</v>
      </c>
      <c r="O44" t="s">
        <v>147</v>
      </c>
      <c r="P44" t="s">
        <v>431</v>
      </c>
      <c r="Q44">
        <f t="shared" si="0"/>
        <v>1405</v>
      </c>
      <c r="R44">
        <f>_xlfn.XLOOKUP(E44,'Data Additive'!E:E,'Data Additive'!E:E,0)</f>
        <v>0</v>
      </c>
    </row>
    <row r="45" spans="1:18" x14ac:dyDescent="0.25">
      <c r="A45">
        <v>7302</v>
      </c>
      <c r="B45" t="s">
        <v>93</v>
      </c>
      <c r="C45" t="s">
        <v>94</v>
      </c>
      <c r="D45" s="32">
        <v>9000</v>
      </c>
      <c r="E45">
        <v>1246054438</v>
      </c>
      <c r="F45" s="28">
        <v>44897</v>
      </c>
      <c r="H45" t="s">
        <v>23</v>
      </c>
      <c r="I45" t="s">
        <v>24</v>
      </c>
      <c r="J45">
        <v>1246054438</v>
      </c>
      <c r="K45" s="28">
        <v>44882</v>
      </c>
      <c r="L45">
        <v>3041000</v>
      </c>
      <c r="M45" t="s">
        <v>124</v>
      </c>
      <c r="N45">
        <v>46</v>
      </c>
      <c r="O45" t="s">
        <v>147</v>
      </c>
      <c r="P45" t="s">
        <v>431</v>
      </c>
      <c r="Q45">
        <f t="shared" si="0"/>
        <v>1300</v>
      </c>
      <c r="R45">
        <f>_xlfn.XLOOKUP(E45,'Data Additive'!E:E,'Data Additive'!E:E,0)</f>
        <v>0</v>
      </c>
    </row>
    <row r="46" spans="1:18" x14ac:dyDescent="0.25">
      <c r="A46">
        <v>7302</v>
      </c>
      <c r="B46" t="s">
        <v>93</v>
      </c>
      <c r="C46" t="s">
        <v>94</v>
      </c>
      <c r="D46" s="32">
        <v>7200</v>
      </c>
      <c r="E46">
        <v>1246057914</v>
      </c>
      <c r="F46" s="28">
        <v>44922</v>
      </c>
      <c r="H46" t="s">
        <v>23</v>
      </c>
      <c r="I46" t="s">
        <v>24</v>
      </c>
      <c r="J46">
        <v>1246057914</v>
      </c>
      <c r="K46" s="28">
        <v>44907</v>
      </c>
      <c r="L46">
        <v>3041000</v>
      </c>
      <c r="M46" t="s">
        <v>124</v>
      </c>
      <c r="N46">
        <v>46</v>
      </c>
      <c r="O46" t="s">
        <v>147</v>
      </c>
      <c r="P46" t="s">
        <v>431</v>
      </c>
      <c r="Q46">
        <f t="shared" si="0"/>
        <v>1275</v>
      </c>
      <c r="R46">
        <f>_xlfn.XLOOKUP(E46,'Data Additive'!E:E,'Data Additive'!E:E,0)</f>
        <v>0</v>
      </c>
    </row>
    <row r="47" spans="1:18" x14ac:dyDescent="0.25">
      <c r="A47">
        <v>6415</v>
      </c>
      <c r="B47" t="s">
        <v>125</v>
      </c>
      <c r="C47" t="s">
        <v>126</v>
      </c>
      <c r="D47" s="32">
        <v>3600</v>
      </c>
      <c r="E47">
        <v>1245985693</v>
      </c>
      <c r="F47" s="28">
        <v>44692</v>
      </c>
      <c r="H47" t="s">
        <v>23</v>
      </c>
      <c r="I47" t="s">
        <v>24</v>
      </c>
      <c r="J47">
        <v>1245985693</v>
      </c>
      <c r="K47" s="28">
        <v>44531</v>
      </c>
      <c r="L47">
        <v>3041000</v>
      </c>
      <c r="M47" t="s">
        <v>124</v>
      </c>
      <c r="N47">
        <v>46</v>
      </c>
      <c r="O47" t="s">
        <v>147</v>
      </c>
      <c r="P47" t="s">
        <v>431</v>
      </c>
      <c r="Q47">
        <f t="shared" si="0"/>
        <v>1505</v>
      </c>
      <c r="R47">
        <f>_xlfn.XLOOKUP(E47,'Data Additive'!E:E,'Data Additive'!E:E,0)</f>
        <v>0</v>
      </c>
    </row>
    <row r="48" spans="1:18" x14ac:dyDescent="0.25">
      <c r="A48">
        <v>10434</v>
      </c>
      <c r="B48" t="s">
        <v>99</v>
      </c>
      <c r="C48" t="s">
        <v>100</v>
      </c>
      <c r="D48" s="32">
        <v>1200</v>
      </c>
      <c r="E48">
        <v>1246180341</v>
      </c>
      <c r="F48" s="28">
        <v>45615</v>
      </c>
      <c r="H48" t="s">
        <v>23</v>
      </c>
      <c r="I48" t="s">
        <v>24</v>
      </c>
      <c r="J48">
        <v>1246180341</v>
      </c>
      <c r="K48" s="28">
        <v>45600</v>
      </c>
      <c r="L48">
        <v>3041000</v>
      </c>
      <c r="M48" t="s">
        <v>124</v>
      </c>
      <c r="N48">
        <v>46</v>
      </c>
      <c r="O48" t="s">
        <v>147</v>
      </c>
      <c r="P48" t="s">
        <v>355</v>
      </c>
      <c r="Q48">
        <f t="shared" si="0"/>
        <v>582</v>
      </c>
      <c r="R48">
        <f>_xlfn.XLOOKUP(E48,'Data Additive'!E:E,'Data Additive'!E:E,0)</f>
        <v>0</v>
      </c>
    </row>
    <row r="49" spans="1:18" x14ac:dyDescent="0.25">
      <c r="A49">
        <v>1257</v>
      </c>
      <c r="B49" t="s">
        <v>52</v>
      </c>
      <c r="C49" t="s">
        <v>53</v>
      </c>
      <c r="D49" s="32">
        <v>1980.8</v>
      </c>
      <c r="E49">
        <v>1246032946</v>
      </c>
      <c r="F49" s="28">
        <v>44774</v>
      </c>
      <c r="H49" t="s">
        <v>23</v>
      </c>
      <c r="I49" t="s">
        <v>24</v>
      </c>
      <c r="J49">
        <v>17935</v>
      </c>
      <c r="K49" s="28">
        <v>44714</v>
      </c>
      <c r="L49">
        <v>1010100</v>
      </c>
      <c r="M49" t="s">
        <v>29</v>
      </c>
      <c r="N49">
        <v>56</v>
      </c>
      <c r="O49" t="s">
        <v>146</v>
      </c>
      <c r="P49" t="s">
        <v>431</v>
      </c>
      <c r="Q49">
        <f t="shared" si="0"/>
        <v>1423</v>
      </c>
      <c r="R49">
        <f>_xlfn.XLOOKUP(E49,'Data Additive'!E:E,'Data Additive'!E:E,0)</f>
        <v>1246032946</v>
      </c>
    </row>
    <row r="50" spans="1:18" x14ac:dyDescent="0.25">
      <c r="A50">
        <v>1936</v>
      </c>
      <c r="B50" t="s">
        <v>64</v>
      </c>
      <c r="C50" t="s">
        <v>65</v>
      </c>
      <c r="D50" s="32">
        <v>40300</v>
      </c>
      <c r="E50">
        <v>1246280425</v>
      </c>
      <c r="F50" s="28">
        <v>46223</v>
      </c>
      <c r="H50" t="s">
        <v>23</v>
      </c>
      <c r="I50" t="s">
        <v>24</v>
      </c>
      <c r="J50">
        <v>11779</v>
      </c>
      <c r="K50" s="28">
        <v>46195</v>
      </c>
      <c r="L50">
        <v>1010100</v>
      </c>
      <c r="M50" t="s">
        <v>29</v>
      </c>
      <c r="N50">
        <v>56</v>
      </c>
      <c r="O50" t="s">
        <v>146</v>
      </c>
      <c r="P50" t="s">
        <v>15465</v>
      </c>
      <c r="Q50">
        <f t="shared" si="0"/>
        <v>-26</v>
      </c>
      <c r="R50">
        <f>_xlfn.XLOOKUP(E50,'Data Additive'!E:E,'Data Additive'!E:E,0)</f>
        <v>1246280425</v>
      </c>
    </row>
    <row r="51" spans="1:18" x14ac:dyDescent="0.25">
      <c r="A51">
        <v>1936</v>
      </c>
      <c r="B51" t="s">
        <v>64</v>
      </c>
      <c r="C51" t="s">
        <v>65</v>
      </c>
      <c r="D51" s="32">
        <v>40300</v>
      </c>
      <c r="E51">
        <v>1246278386</v>
      </c>
      <c r="F51" s="28">
        <v>46206</v>
      </c>
      <c r="H51" t="s">
        <v>23</v>
      </c>
      <c r="I51" t="s">
        <v>24</v>
      </c>
      <c r="J51">
        <v>11615</v>
      </c>
      <c r="K51" s="28">
        <v>46178</v>
      </c>
      <c r="L51">
        <v>1010100</v>
      </c>
      <c r="M51" t="s">
        <v>29</v>
      </c>
      <c r="N51">
        <v>56</v>
      </c>
      <c r="O51" t="s">
        <v>146</v>
      </c>
      <c r="P51" t="s">
        <v>15465</v>
      </c>
      <c r="Q51">
        <f t="shared" si="0"/>
        <v>-9</v>
      </c>
      <c r="R51">
        <f>_xlfn.XLOOKUP(E51,'Data Additive'!E:E,'Data Additive'!E:E,0)</f>
        <v>1246278386</v>
      </c>
    </row>
    <row r="52" spans="1:18" x14ac:dyDescent="0.25">
      <c r="A52">
        <v>2603</v>
      </c>
      <c r="B52" t="s">
        <v>71</v>
      </c>
      <c r="C52" t="s">
        <v>72</v>
      </c>
      <c r="D52" s="32">
        <v>4522.16</v>
      </c>
      <c r="E52">
        <v>1246097965</v>
      </c>
      <c r="F52" s="28">
        <v>45152</v>
      </c>
      <c r="H52" t="s">
        <v>23</v>
      </c>
      <c r="I52" t="s">
        <v>24</v>
      </c>
      <c r="J52">
        <v>21713</v>
      </c>
      <c r="K52" s="28">
        <v>45092</v>
      </c>
      <c r="L52">
        <v>1010100</v>
      </c>
      <c r="M52" t="s">
        <v>29</v>
      </c>
      <c r="N52">
        <v>56</v>
      </c>
      <c r="O52" t="s">
        <v>146</v>
      </c>
      <c r="P52" t="s">
        <v>431</v>
      </c>
      <c r="Q52">
        <f t="shared" si="0"/>
        <v>1045</v>
      </c>
      <c r="R52">
        <f>_xlfn.XLOOKUP(E52,'Data Additive'!E:E,'Data Additive'!E:E,0)</f>
        <v>1246097965</v>
      </c>
    </row>
    <row r="53" spans="1:18" x14ac:dyDescent="0.25">
      <c r="A53">
        <v>2603</v>
      </c>
      <c r="B53" t="s">
        <v>71</v>
      </c>
      <c r="C53" t="s">
        <v>72</v>
      </c>
      <c r="D53" s="32">
        <v>241850</v>
      </c>
      <c r="E53">
        <v>1246273467</v>
      </c>
      <c r="F53" s="28">
        <v>46236</v>
      </c>
      <c r="H53" t="s">
        <v>23</v>
      </c>
      <c r="I53" t="s">
        <v>24</v>
      </c>
      <c r="J53">
        <v>2903</v>
      </c>
      <c r="K53" s="28">
        <v>46146</v>
      </c>
      <c r="L53">
        <v>1010100</v>
      </c>
      <c r="M53" t="s">
        <v>29</v>
      </c>
      <c r="N53">
        <v>56</v>
      </c>
      <c r="O53" t="s">
        <v>146</v>
      </c>
      <c r="P53" t="s">
        <v>431</v>
      </c>
      <c r="Q53">
        <f t="shared" si="0"/>
        <v>-39</v>
      </c>
      <c r="R53">
        <f>_xlfn.XLOOKUP(E53,'Data Additive'!E:E,'Data Additive'!E:E,0)</f>
        <v>1246273467</v>
      </c>
    </row>
    <row r="54" spans="1:18" x14ac:dyDescent="0.25">
      <c r="A54">
        <v>6124</v>
      </c>
      <c r="B54" t="s">
        <v>695</v>
      </c>
      <c r="C54" t="s">
        <v>85</v>
      </c>
      <c r="D54" s="32">
        <v>384000</v>
      </c>
      <c r="E54">
        <v>1246277044</v>
      </c>
      <c r="F54" s="28">
        <v>46259</v>
      </c>
      <c r="H54" t="s">
        <v>23</v>
      </c>
      <c r="I54" t="s">
        <v>24</v>
      </c>
      <c r="J54">
        <v>2971</v>
      </c>
      <c r="K54" s="28">
        <v>46169</v>
      </c>
      <c r="L54">
        <v>1010100</v>
      </c>
      <c r="M54" t="s">
        <v>29</v>
      </c>
      <c r="N54">
        <v>56</v>
      </c>
      <c r="O54" t="s">
        <v>146</v>
      </c>
      <c r="P54" t="s">
        <v>431</v>
      </c>
      <c r="Q54">
        <f t="shared" si="0"/>
        <v>-62</v>
      </c>
      <c r="R54">
        <f>_xlfn.XLOOKUP(E54,'Data Additive'!E:E,'Data Additive'!E:E,0)</f>
        <v>1246277044</v>
      </c>
    </row>
    <row r="55" spans="1:18" x14ac:dyDescent="0.25">
      <c r="A55">
        <v>6124</v>
      </c>
      <c r="B55" t="s">
        <v>695</v>
      </c>
      <c r="C55" t="s">
        <v>85</v>
      </c>
      <c r="D55" s="32">
        <v>384000</v>
      </c>
      <c r="E55">
        <v>1246279317</v>
      </c>
      <c r="F55" s="28">
        <v>46275</v>
      </c>
      <c r="H55" t="s">
        <v>23</v>
      </c>
      <c r="I55" t="s">
        <v>24</v>
      </c>
      <c r="J55">
        <v>3012</v>
      </c>
      <c r="K55" s="28">
        <v>46185</v>
      </c>
      <c r="L55">
        <v>1010100</v>
      </c>
      <c r="M55" t="s">
        <v>29</v>
      </c>
      <c r="N55">
        <v>56</v>
      </c>
      <c r="O55" t="s">
        <v>146</v>
      </c>
      <c r="P55" t="s">
        <v>431</v>
      </c>
      <c r="Q55">
        <f t="shared" si="0"/>
        <v>-78</v>
      </c>
      <c r="R55">
        <f>_xlfn.XLOOKUP(E55,'Data Additive'!E:E,'Data Additive'!E:E,0)</f>
        <v>1246279317</v>
      </c>
    </row>
    <row r="56" spans="1:18" x14ac:dyDescent="0.25">
      <c r="A56">
        <v>7479</v>
      </c>
      <c r="B56" t="s">
        <v>714</v>
      </c>
      <c r="C56" t="s">
        <v>715</v>
      </c>
      <c r="D56" s="32">
        <v>167211.9</v>
      </c>
      <c r="E56">
        <v>1246274162</v>
      </c>
      <c r="F56" s="28">
        <v>46240</v>
      </c>
      <c r="H56" t="s">
        <v>23</v>
      </c>
      <c r="I56" t="s">
        <v>24</v>
      </c>
      <c r="J56">
        <v>11335</v>
      </c>
      <c r="K56" s="28">
        <v>46150</v>
      </c>
      <c r="L56">
        <v>1010100</v>
      </c>
      <c r="M56" t="s">
        <v>29</v>
      </c>
      <c r="N56">
        <v>56</v>
      </c>
      <c r="O56" t="s">
        <v>146</v>
      </c>
      <c r="P56" t="s">
        <v>431</v>
      </c>
      <c r="Q56">
        <f t="shared" si="0"/>
        <v>-43</v>
      </c>
      <c r="R56">
        <f>_xlfn.XLOOKUP(E56,'Data Additive'!E:E,'Data Additive'!E:E,0)</f>
        <v>1246274162</v>
      </c>
    </row>
    <row r="57" spans="1:18" x14ac:dyDescent="0.25">
      <c r="A57">
        <v>7479</v>
      </c>
      <c r="B57" t="s">
        <v>714</v>
      </c>
      <c r="C57" t="s">
        <v>715</v>
      </c>
      <c r="D57" s="32">
        <v>768000</v>
      </c>
      <c r="E57">
        <v>1246280565</v>
      </c>
      <c r="F57" s="28">
        <v>46286</v>
      </c>
      <c r="H57" t="s">
        <v>23</v>
      </c>
      <c r="I57" t="s">
        <v>24</v>
      </c>
      <c r="J57">
        <v>3029</v>
      </c>
      <c r="K57" s="28">
        <v>46196</v>
      </c>
      <c r="L57">
        <v>1010100</v>
      </c>
      <c r="M57" t="s">
        <v>29</v>
      </c>
      <c r="N57">
        <v>56</v>
      </c>
      <c r="O57" t="s">
        <v>146</v>
      </c>
      <c r="P57" t="s">
        <v>431</v>
      </c>
      <c r="Q57">
        <f t="shared" si="0"/>
        <v>-89</v>
      </c>
      <c r="R57">
        <f>_xlfn.XLOOKUP(E57,'Data Additive'!E:E,'Data Additive'!E:E,0)</f>
        <v>1246280565</v>
      </c>
    </row>
    <row r="58" spans="1:18" x14ac:dyDescent="0.25">
      <c r="A58">
        <v>7479</v>
      </c>
      <c r="B58" t="s">
        <v>714</v>
      </c>
      <c r="C58" t="s">
        <v>715</v>
      </c>
      <c r="D58" s="32">
        <v>64239.64</v>
      </c>
      <c r="E58">
        <v>1246275302</v>
      </c>
      <c r="F58" s="28">
        <v>46247</v>
      </c>
      <c r="H58" t="s">
        <v>23</v>
      </c>
      <c r="I58" t="s">
        <v>24</v>
      </c>
      <c r="J58">
        <v>11401</v>
      </c>
      <c r="K58" s="28">
        <v>46157</v>
      </c>
      <c r="L58">
        <v>1010100</v>
      </c>
      <c r="M58" t="s">
        <v>29</v>
      </c>
      <c r="N58">
        <v>56</v>
      </c>
      <c r="O58" t="s">
        <v>146</v>
      </c>
      <c r="P58" t="s">
        <v>431</v>
      </c>
      <c r="Q58">
        <f t="shared" si="0"/>
        <v>-50</v>
      </c>
      <c r="R58">
        <f>_xlfn.XLOOKUP(E58,'Data Additive'!E:E,'Data Additive'!E:E,0)</f>
        <v>1246275302</v>
      </c>
    </row>
    <row r="59" spans="1:18" x14ac:dyDescent="0.25">
      <c r="A59">
        <v>7479</v>
      </c>
      <c r="B59" t="s">
        <v>714</v>
      </c>
      <c r="C59" t="s">
        <v>715</v>
      </c>
      <c r="D59" s="32">
        <v>384000</v>
      </c>
      <c r="E59">
        <v>1246277126</v>
      </c>
      <c r="F59" s="28">
        <v>46259</v>
      </c>
      <c r="H59" t="s">
        <v>23</v>
      </c>
      <c r="I59" t="s">
        <v>24</v>
      </c>
      <c r="J59">
        <v>2974</v>
      </c>
      <c r="K59" s="28">
        <v>46169</v>
      </c>
      <c r="L59">
        <v>1010100</v>
      </c>
      <c r="M59" t="s">
        <v>29</v>
      </c>
      <c r="N59">
        <v>56</v>
      </c>
      <c r="O59" t="s">
        <v>146</v>
      </c>
      <c r="P59" t="s">
        <v>431</v>
      </c>
      <c r="Q59">
        <f t="shared" si="0"/>
        <v>-62</v>
      </c>
      <c r="R59">
        <f>_xlfn.XLOOKUP(E59,'Data Additive'!E:E,'Data Additive'!E:E,0)</f>
        <v>1246277126</v>
      </c>
    </row>
    <row r="60" spans="1:18" x14ac:dyDescent="0.25">
      <c r="A60">
        <v>7302</v>
      </c>
      <c r="B60" t="s">
        <v>93</v>
      </c>
      <c r="C60" t="s">
        <v>94</v>
      </c>
      <c r="D60" s="32">
        <v>61000</v>
      </c>
      <c r="E60">
        <v>1246278404</v>
      </c>
      <c r="F60" s="28">
        <v>46268</v>
      </c>
      <c r="H60" t="s">
        <v>23</v>
      </c>
      <c r="I60" t="s">
        <v>24</v>
      </c>
      <c r="J60">
        <v>11618</v>
      </c>
      <c r="K60" s="28">
        <v>46178</v>
      </c>
      <c r="L60">
        <v>1010100</v>
      </c>
      <c r="M60" t="s">
        <v>29</v>
      </c>
      <c r="N60">
        <v>56</v>
      </c>
      <c r="O60" t="s">
        <v>146</v>
      </c>
      <c r="P60" t="s">
        <v>431</v>
      </c>
      <c r="Q60">
        <f t="shared" ref="Q60:Q116" si="1">$R$1-F60</f>
        <v>-71</v>
      </c>
      <c r="R60">
        <f>_xlfn.XLOOKUP(E60,'Data Additive'!E:E,'Data Additive'!E:E,0)</f>
        <v>1246278404</v>
      </c>
    </row>
    <row r="61" spans="1:18" x14ac:dyDescent="0.25">
      <c r="A61">
        <v>2</v>
      </c>
      <c r="B61" t="s">
        <v>28</v>
      </c>
      <c r="C61" t="s">
        <v>705</v>
      </c>
      <c r="D61" s="32">
        <v>31163</v>
      </c>
      <c r="E61">
        <v>1246278732</v>
      </c>
      <c r="F61" s="28">
        <v>46210</v>
      </c>
      <c r="H61" t="s">
        <v>706</v>
      </c>
      <c r="I61" t="s">
        <v>707</v>
      </c>
      <c r="J61">
        <v>3005</v>
      </c>
      <c r="K61" s="28">
        <v>46182</v>
      </c>
      <c r="L61">
        <v>1010100</v>
      </c>
      <c r="M61" t="s">
        <v>29</v>
      </c>
      <c r="N61">
        <v>199</v>
      </c>
      <c r="O61" t="s">
        <v>738</v>
      </c>
      <c r="P61" t="s">
        <v>357</v>
      </c>
      <c r="Q61">
        <f t="shared" si="1"/>
        <v>-13</v>
      </c>
      <c r="R61">
        <f>_xlfn.XLOOKUP(E61,'Data Additive'!E:E,'Data Additive'!E:E,0)</f>
        <v>1246278732</v>
      </c>
    </row>
    <row r="62" spans="1:18" x14ac:dyDescent="0.25">
      <c r="A62">
        <v>2</v>
      </c>
      <c r="B62" t="s">
        <v>28</v>
      </c>
      <c r="C62" t="s">
        <v>705</v>
      </c>
      <c r="D62" s="32">
        <v>31427</v>
      </c>
      <c r="E62">
        <v>1246281215</v>
      </c>
      <c r="F62" s="28">
        <v>46226</v>
      </c>
      <c r="H62" t="s">
        <v>706</v>
      </c>
      <c r="I62" t="s">
        <v>707</v>
      </c>
      <c r="J62">
        <v>3033</v>
      </c>
      <c r="K62" s="28">
        <v>46198</v>
      </c>
      <c r="L62">
        <v>1010100</v>
      </c>
      <c r="M62" t="s">
        <v>29</v>
      </c>
      <c r="N62">
        <v>199</v>
      </c>
      <c r="O62" t="s">
        <v>738</v>
      </c>
      <c r="P62" t="s">
        <v>357</v>
      </c>
      <c r="Q62">
        <f t="shared" si="1"/>
        <v>-29</v>
      </c>
      <c r="R62">
        <f>_xlfn.XLOOKUP(E62,'Data Additive'!E:E,'Data Additive'!E:E,0)</f>
        <v>1246281215</v>
      </c>
    </row>
    <row r="63" spans="1:18" x14ac:dyDescent="0.25">
      <c r="A63">
        <v>7302</v>
      </c>
      <c r="B63" t="s">
        <v>93</v>
      </c>
      <c r="C63" t="s">
        <v>94</v>
      </c>
      <c r="D63" s="32">
        <v>1431.76</v>
      </c>
      <c r="E63">
        <v>1246062794</v>
      </c>
      <c r="F63" s="28">
        <v>44939</v>
      </c>
      <c r="H63" t="s">
        <v>23</v>
      </c>
      <c r="I63" t="s">
        <v>24</v>
      </c>
      <c r="J63">
        <v>19884</v>
      </c>
      <c r="K63" s="28">
        <v>44879</v>
      </c>
      <c r="L63">
        <v>1010100</v>
      </c>
      <c r="M63" t="s">
        <v>29</v>
      </c>
      <c r="N63">
        <v>80</v>
      </c>
      <c r="O63" t="s">
        <v>164</v>
      </c>
      <c r="P63" t="s">
        <v>431</v>
      </c>
      <c r="Q63">
        <f t="shared" si="1"/>
        <v>1258</v>
      </c>
      <c r="R63">
        <f>_xlfn.XLOOKUP(E63,'Data Additive'!E:E,'Data Additive'!E:E,0)</f>
        <v>1246062794</v>
      </c>
    </row>
    <row r="64" spans="1:18" x14ac:dyDescent="0.25">
      <c r="A64">
        <v>205</v>
      </c>
      <c r="B64" t="s">
        <v>35</v>
      </c>
      <c r="C64" t="s">
        <v>461</v>
      </c>
      <c r="D64" s="32">
        <v>81407</v>
      </c>
      <c r="E64">
        <v>1246279521</v>
      </c>
      <c r="F64" s="28">
        <v>46216</v>
      </c>
      <c r="H64" t="s">
        <v>23</v>
      </c>
      <c r="I64" t="s">
        <v>24</v>
      </c>
      <c r="J64">
        <v>11713</v>
      </c>
      <c r="K64" s="28">
        <v>46188</v>
      </c>
      <c r="L64">
        <v>1010100</v>
      </c>
      <c r="M64" t="s">
        <v>29</v>
      </c>
      <c r="N64">
        <v>161</v>
      </c>
      <c r="O64" t="s">
        <v>145</v>
      </c>
      <c r="P64" t="s">
        <v>489</v>
      </c>
      <c r="Q64">
        <f t="shared" si="1"/>
        <v>-19</v>
      </c>
      <c r="R64">
        <f>_xlfn.XLOOKUP(E64,'Data Additive'!E:E,'Data Additive'!E:E,0)</f>
        <v>1246279521</v>
      </c>
    </row>
    <row r="65" spans="1:18" x14ac:dyDescent="0.25">
      <c r="A65">
        <v>205</v>
      </c>
      <c r="B65" t="s">
        <v>35</v>
      </c>
      <c r="C65" t="s">
        <v>461</v>
      </c>
      <c r="D65" s="32">
        <v>81026</v>
      </c>
      <c r="E65">
        <v>1246279653</v>
      </c>
      <c r="F65" s="28">
        <v>46217</v>
      </c>
      <c r="H65" t="s">
        <v>23</v>
      </c>
      <c r="I65" t="s">
        <v>24</v>
      </c>
      <c r="J65">
        <v>11721</v>
      </c>
      <c r="K65" s="28">
        <v>46189</v>
      </c>
      <c r="L65">
        <v>1010100</v>
      </c>
      <c r="M65" t="s">
        <v>29</v>
      </c>
      <c r="N65">
        <v>161</v>
      </c>
      <c r="O65" t="s">
        <v>145</v>
      </c>
      <c r="P65" t="s">
        <v>489</v>
      </c>
      <c r="Q65">
        <f t="shared" si="1"/>
        <v>-20</v>
      </c>
      <c r="R65">
        <f>_xlfn.XLOOKUP(E65,'Data Additive'!E:E,'Data Additive'!E:E,0)</f>
        <v>1246279653</v>
      </c>
    </row>
    <row r="66" spans="1:18" x14ac:dyDescent="0.25">
      <c r="A66">
        <v>205</v>
      </c>
      <c r="B66" t="s">
        <v>35</v>
      </c>
      <c r="C66" t="s">
        <v>461</v>
      </c>
      <c r="D66" s="32">
        <v>81559.399999999994</v>
      </c>
      <c r="E66">
        <v>1246279229</v>
      </c>
      <c r="F66" s="28">
        <v>46212</v>
      </c>
      <c r="H66" t="s">
        <v>23</v>
      </c>
      <c r="I66" t="s">
        <v>24</v>
      </c>
      <c r="J66">
        <v>11684</v>
      </c>
      <c r="K66" s="28">
        <v>46184</v>
      </c>
      <c r="L66">
        <v>1010100</v>
      </c>
      <c r="M66" t="s">
        <v>29</v>
      </c>
      <c r="N66">
        <v>161</v>
      </c>
      <c r="O66" t="s">
        <v>145</v>
      </c>
      <c r="P66" t="s">
        <v>489</v>
      </c>
      <c r="Q66">
        <f t="shared" si="1"/>
        <v>-15</v>
      </c>
      <c r="R66">
        <f>_xlfn.XLOOKUP(E66,'Data Additive'!E:E,'Data Additive'!E:E,0)</f>
        <v>1246279229</v>
      </c>
    </row>
    <row r="67" spans="1:18" x14ac:dyDescent="0.25">
      <c r="A67">
        <v>205</v>
      </c>
      <c r="B67" t="s">
        <v>35</v>
      </c>
      <c r="C67" t="s">
        <v>461</v>
      </c>
      <c r="D67" s="32">
        <v>81584.800000000003</v>
      </c>
      <c r="E67">
        <v>1246278693</v>
      </c>
      <c r="F67" s="28">
        <v>46210</v>
      </c>
      <c r="H67" t="s">
        <v>23</v>
      </c>
      <c r="I67" t="s">
        <v>24</v>
      </c>
      <c r="J67">
        <v>11654</v>
      </c>
      <c r="K67" s="28">
        <v>46182</v>
      </c>
      <c r="L67">
        <v>1010100</v>
      </c>
      <c r="M67" t="s">
        <v>29</v>
      </c>
      <c r="N67">
        <v>161</v>
      </c>
      <c r="O67" t="s">
        <v>145</v>
      </c>
      <c r="P67" t="s">
        <v>489</v>
      </c>
      <c r="Q67">
        <f t="shared" si="1"/>
        <v>-13</v>
      </c>
      <c r="R67">
        <f>_xlfn.XLOOKUP(E67,'Data Additive'!E:E,'Data Additive'!E:E,0)</f>
        <v>1246278693</v>
      </c>
    </row>
    <row r="68" spans="1:18" x14ac:dyDescent="0.25">
      <c r="A68">
        <v>205</v>
      </c>
      <c r="B68" t="s">
        <v>35</v>
      </c>
      <c r="C68" t="s">
        <v>461</v>
      </c>
      <c r="D68" s="32">
        <v>81635.600000000006</v>
      </c>
      <c r="E68">
        <v>1246280561</v>
      </c>
      <c r="F68" s="28">
        <v>46224</v>
      </c>
      <c r="H68" t="s">
        <v>23</v>
      </c>
      <c r="I68" t="s">
        <v>24</v>
      </c>
      <c r="J68">
        <v>11794</v>
      </c>
      <c r="K68" s="28">
        <v>46196</v>
      </c>
      <c r="L68">
        <v>1010100</v>
      </c>
      <c r="M68" t="s">
        <v>29</v>
      </c>
      <c r="N68">
        <v>161</v>
      </c>
      <c r="O68" t="s">
        <v>145</v>
      </c>
      <c r="P68" t="s">
        <v>489</v>
      </c>
      <c r="Q68">
        <f t="shared" si="1"/>
        <v>-27</v>
      </c>
      <c r="R68">
        <f>_xlfn.XLOOKUP(E68,'Data Additive'!E:E,'Data Additive'!E:E,0)</f>
        <v>1246280561</v>
      </c>
    </row>
    <row r="69" spans="1:18" x14ac:dyDescent="0.25">
      <c r="A69">
        <v>205</v>
      </c>
      <c r="B69" t="s">
        <v>35</v>
      </c>
      <c r="C69" t="s">
        <v>461</v>
      </c>
      <c r="D69" s="32">
        <v>81229.2</v>
      </c>
      <c r="E69">
        <v>1246281084</v>
      </c>
      <c r="F69" s="28">
        <v>46226</v>
      </c>
      <c r="H69" t="s">
        <v>23</v>
      </c>
      <c r="I69" t="s">
        <v>24</v>
      </c>
      <c r="J69">
        <v>11820</v>
      </c>
      <c r="K69" s="28">
        <v>46198</v>
      </c>
      <c r="L69">
        <v>1010100</v>
      </c>
      <c r="M69" t="s">
        <v>29</v>
      </c>
      <c r="N69">
        <v>161</v>
      </c>
      <c r="O69" t="s">
        <v>145</v>
      </c>
      <c r="P69" t="s">
        <v>489</v>
      </c>
      <c r="Q69">
        <f t="shared" si="1"/>
        <v>-29</v>
      </c>
      <c r="R69">
        <f>_xlfn.XLOOKUP(E69,'Data Additive'!E:E,'Data Additive'!E:E,0)</f>
        <v>1246281084</v>
      </c>
    </row>
    <row r="70" spans="1:18" x14ac:dyDescent="0.25">
      <c r="A70">
        <v>205</v>
      </c>
      <c r="B70" t="s">
        <v>35</v>
      </c>
      <c r="C70" t="s">
        <v>461</v>
      </c>
      <c r="D70" s="32">
        <v>81661</v>
      </c>
      <c r="E70">
        <v>1246279022</v>
      </c>
      <c r="F70" s="28">
        <v>46211</v>
      </c>
      <c r="H70" t="s">
        <v>23</v>
      </c>
      <c r="I70" t="s">
        <v>24</v>
      </c>
      <c r="J70">
        <v>11669</v>
      </c>
      <c r="K70" s="28">
        <v>46183</v>
      </c>
      <c r="L70">
        <v>1010100</v>
      </c>
      <c r="M70" t="s">
        <v>29</v>
      </c>
      <c r="N70">
        <v>161</v>
      </c>
      <c r="O70" t="s">
        <v>145</v>
      </c>
      <c r="P70" t="s">
        <v>489</v>
      </c>
      <c r="Q70">
        <f t="shared" si="1"/>
        <v>-14</v>
      </c>
      <c r="R70">
        <f>_xlfn.XLOOKUP(E70,'Data Additive'!E:E,'Data Additive'!E:E,0)</f>
        <v>1246279022</v>
      </c>
    </row>
    <row r="71" spans="1:18" x14ac:dyDescent="0.25">
      <c r="A71">
        <v>205</v>
      </c>
      <c r="B71" t="s">
        <v>35</v>
      </c>
      <c r="C71" t="s">
        <v>461</v>
      </c>
      <c r="D71" s="32">
        <v>41274.199999999997</v>
      </c>
      <c r="E71">
        <v>1246278602</v>
      </c>
      <c r="F71" s="28">
        <v>46209</v>
      </c>
      <c r="H71" t="s">
        <v>23</v>
      </c>
      <c r="I71" t="s">
        <v>24</v>
      </c>
      <c r="J71">
        <v>11644</v>
      </c>
      <c r="K71" s="28">
        <v>46181</v>
      </c>
      <c r="L71">
        <v>1010100</v>
      </c>
      <c r="M71" t="s">
        <v>29</v>
      </c>
      <c r="N71">
        <v>161</v>
      </c>
      <c r="O71" t="s">
        <v>145</v>
      </c>
      <c r="P71" t="s">
        <v>489</v>
      </c>
      <c r="Q71">
        <f t="shared" si="1"/>
        <v>-12</v>
      </c>
      <c r="R71">
        <f>_xlfn.XLOOKUP(E71,'Data Additive'!E:E,'Data Additive'!E:E,0)</f>
        <v>1246278602</v>
      </c>
    </row>
    <row r="72" spans="1:18" x14ac:dyDescent="0.25">
      <c r="A72">
        <v>205</v>
      </c>
      <c r="B72" t="s">
        <v>35</v>
      </c>
      <c r="C72" t="s">
        <v>461</v>
      </c>
      <c r="D72" s="32">
        <v>40843.199999999997</v>
      </c>
      <c r="E72">
        <v>1246278565</v>
      </c>
      <c r="F72" s="28">
        <v>46209</v>
      </c>
      <c r="H72" t="s">
        <v>23</v>
      </c>
      <c r="I72" t="s">
        <v>24</v>
      </c>
      <c r="J72">
        <v>11640</v>
      </c>
      <c r="K72" s="28">
        <v>46181</v>
      </c>
      <c r="L72">
        <v>1010100</v>
      </c>
      <c r="M72" t="s">
        <v>29</v>
      </c>
      <c r="N72">
        <v>161</v>
      </c>
      <c r="O72" t="s">
        <v>145</v>
      </c>
      <c r="P72" t="s">
        <v>489</v>
      </c>
      <c r="Q72">
        <f t="shared" si="1"/>
        <v>-12</v>
      </c>
      <c r="R72">
        <f>_xlfn.XLOOKUP(E72,'Data Additive'!E:E,'Data Additive'!E:E,0)</f>
        <v>1246278565</v>
      </c>
    </row>
    <row r="73" spans="1:18" x14ac:dyDescent="0.25">
      <c r="A73">
        <v>205</v>
      </c>
      <c r="B73" t="s">
        <v>35</v>
      </c>
      <c r="C73" t="s">
        <v>461</v>
      </c>
      <c r="D73" s="32">
        <v>81330.8</v>
      </c>
      <c r="E73">
        <v>1246280383</v>
      </c>
      <c r="F73" s="28">
        <v>46223</v>
      </c>
      <c r="H73" t="s">
        <v>23</v>
      </c>
      <c r="I73" t="s">
        <v>24</v>
      </c>
      <c r="J73">
        <v>11772</v>
      </c>
      <c r="K73" s="28">
        <v>46195</v>
      </c>
      <c r="L73">
        <v>1010100</v>
      </c>
      <c r="M73" t="s">
        <v>29</v>
      </c>
      <c r="N73">
        <v>161</v>
      </c>
      <c r="O73" t="s">
        <v>145</v>
      </c>
      <c r="P73" t="s">
        <v>489</v>
      </c>
      <c r="Q73">
        <f t="shared" si="1"/>
        <v>-26</v>
      </c>
      <c r="R73">
        <f>_xlfn.XLOOKUP(E73,'Data Additive'!E:E,'Data Additive'!E:E,0)</f>
        <v>1246280383</v>
      </c>
    </row>
    <row r="74" spans="1:18" x14ac:dyDescent="0.25">
      <c r="A74">
        <v>27</v>
      </c>
      <c r="B74" t="s">
        <v>209</v>
      </c>
      <c r="C74" t="s">
        <v>15619</v>
      </c>
      <c r="D74" s="32">
        <v>403800</v>
      </c>
      <c r="E74">
        <v>1246280556</v>
      </c>
      <c r="F74" s="28">
        <v>46226</v>
      </c>
      <c r="H74" t="s">
        <v>23</v>
      </c>
      <c r="I74" t="s">
        <v>24</v>
      </c>
      <c r="J74">
        <v>3028</v>
      </c>
      <c r="K74" s="28">
        <v>46196</v>
      </c>
      <c r="L74">
        <v>1010100</v>
      </c>
      <c r="M74" t="s">
        <v>29</v>
      </c>
      <c r="N74">
        <v>161</v>
      </c>
      <c r="O74" t="s">
        <v>145</v>
      </c>
      <c r="P74" t="s">
        <v>448</v>
      </c>
      <c r="Q74">
        <f t="shared" si="1"/>
        <v>-29</v>
      </c>
      <c r="R74">
        <f>_xlfn.XLOOKUP(E74,'Data Additive'!E:E,'Data Additive'!E:E,0)</f>
        <v>1246280556</v>
      </c>
    </row>
    <row r="75" spans="1:18" x14ac:dyDescent="0.25">
      <c r="A75">
        <v>1953</v>
      </c>
      <c r="B75" t="s">
        <v>66</v>
      </c>
      <c r="C75" t="s">
        <v>736</v>
      </c>
      <c r="D75" s="32">
        <v>93906.5</v>
      </c>
      <c r="E75">
        <v>1246274539</v>
      </c>
      <c r="F75" s="28">
        <v>46214</v>
      </c>
      <c r="H75" t="s">
        <v>23</v>
      </c>
      <c r="I75" t="s">
        <v>24</v>
      </c>
      <c r="J75">
        <v>11359</v>
      </c>
      <c r="K75" s="28">
        <v>46154</v>
      </c>
      <c r="L75">
        <v>1010100</v>
      </c>
      <c r="M75" t="s">
        <v>29</v>
      </c>
      <c r="N75">
        <v>161</v>
      </c>
      <c r="O75" t="s">
        <v>145</v>
      </c>
      <c r="P75" t="s">
        <v>353</v>
      </c>
      <c r="Q75">
        <f t="shared" si="1"/>
        <v>-17</v>
      </c>
      <c r="R75">
        <f>_xlfn.XLOOKUP(E75,'Data Additive'!E:E,'Data Additive'!E:E,0)</f>
        <v>1246274539</v>
      </c>
    </row>
    <row r="76" spans="1:18" x14ac:dyDescent="0.25">
      <c r="A76">
        <v>1953</v>
      </c>
      <c r="B76" t="s">
        <v>66</v>
      </c>
      <c r="C76" t="s">
        <v>736</v>
      </c>
      <c r="D76" s="32">
        <v>32896.199999999997</v>
      </c>
      <c r="E76">
        <v>1246280131</v>
      </c>
      <c r="F76" s="28">
        <v>46251</v>
      </c>
      <c r="H76" t="s">
        <v>23</v>
      </c>
      <c r="I76" t="s">
        <v>24</v>
      </c>
      <c r="J76">
        <v>11751</v>
      </c>
      <c r="K76" s="28">
        <v>46191</v>
      </c>
      <c r="L76">
        <v>1010100</v>
      </c>
      <c r="M76" t="s">
        <v>29</v>
      </c>
      <c r="N76">
        <v>161</v>
      </c>
      <c r="O76" t="s">
        <v>145</v>
      </c>
      <c r="P76" t="s">
        <v>353</v>
      </c>
      <c r="Q76">
        <f t="shared" si="1"/>
        <v>-54</v>
      </c>
      <c r="R76">
        <f>_xlfn.XLOOKUP(E76,'Data Additive'!E:E,'Data Additive'!E:E,0)</f>
        <v>1246280131</v>
      </c>
    </row>
    <row r="77" spans="1:18" x14ac:dyDescent="0.25">
      <c r="A77">
        <v>1787</v>
      </c>
      <c r="B77" t="s">
        <v>57</v>
      </c>
      <c r="C77" t="s">
        <v>58</v>
      </c>
      <c r="D77" s="32">
        <v>109862.39999999999</v>
      </c>
      <c r="E77">
        <v>1246271310</v>
      </c>
      <c r="F77" s="28">
        <v>46216</v>
      </c>
      <c r="H77" t="s">
        <v>23</v>
      </c>
      <c r="I77" t="s">
        <v>24</v>
      </c>
      <c r="J77">
        <v>11116</v>
      </c>
      <c r="K77" s="28">
        <v>46126</v>
      </c>
      <c r="L77">
        <v>1010100</v>
      </c>
      <c r="M77" t="s">
        <v>29</v>
      </c>
      <c r="N77">
        <v>161</v>
      </c>
      <c r="O77" t="s">
        <v>145</v>
      </c>
      <c r="P77" t="s">
        <v>449</v>
      </c>
      <c r="Q77">
        <f t="shared" si="1"/>
        <v>-19</v>
      </c>
      <c r="R77">
        <f>_xlfn.XLOOKUP(E77,'Data Additive'!E:E,'Data Additive'!E:E,0)</f>
        <v>1246271310</v>
      </c>
    </row>
    <row r="78" spans="1:18" x14ac:dyDescent="0.25">
      <c r="A78">
        <v>1787</v>
      </c>
      <c r="B78" t="s">
        <v>57</v>
      </c>
      <c r="C78" t="s">
        <v>58</v>
      </c>
      <c r="D78" s="32">
        <v>122912.86</v>
      </c>
      <c r="E78">
        <v>1246279732</v>
      </c>
      <c r="F78" s="28">
        <v>46279</v>
      </c>
      <c r="H78" t="s">
        <v>23</v>
      </c>
      <c r="I78" t="s">
        <v>24</v>
      </c>
      <c r="J78">
        <v>11730</v>
      </c>
      <c r="K78" s="28">
        <v>46189</v>
      </c>
      <c r="L78">
        <v>1010100</v>
      </c>
      <c r="M78" t="s">
        <v>29</v>
      </c>
      <c r="N78">
        <v>161</v>
      </c>
      <c r="O78" t="s">
        <v>145</v>
      </c>
      <c r="P78" t="s">
        <v>449</v>
      </c>
      <c r="Q78">
        <f t="shared" si="1"/>
        <v>-82</v>
      </c>
      <c r="R78">
        <f>_xlfn.XLOOKUP(E78,'Data Additive'!E:E,'Data Additive'!E:E,0)</f>
        <v>1246279732</v>
      </c>
    </row>
    <row r="79" spans="1:18" x14ac:dyDescent="0.25">
      <c r="A79">
        <v>1787</v>
      </c>
      <c r="B79" t="s">
        <v>57</v>
      </c>
      <c r="C79" t="s">
        <v>58</v>
      </c>
      <c r="D79" s="32">
        <v>107623.19</v>
      </c>
      <c r="E79">
        <v>1246274937</v>
      </c>
      <c r="F79" s="28">
        <v>46245</v>
      </c>
      <c r="H79" t="s">
        <v>23</v>
      </c>
      <c r="I79" t="s">
        <v>24</v>
      </c>
      <c r="J79">
        <v>11387</v>
      </c>
      <c r="K79" s="28">
        <v>46155</v>
      </c>
      <c r="L79">
        <v>1010100</v>
      </c>
      <c r="M79" t="s">
        <v>29</v>
      </c>
      <c r="N79">
        <v>161</v>
      </c>
      <c r="O79" t="s">
        <v>145</v>
      </c>
      <c r="P79" t="s">
        <v>449</v>
      </c>
      <c r="Q79">
        <f t="shared" si="1"/>
        <v>-48</v>
      </c>
      <c r="R79">
        <f>_xlfn.XLOOKUP(E79,'Data Additive'!E:E,'Data Additive'!E:E,0)</f>
        <v>1246274937</v>
      </c>
    </row>
    <row r="80" spans="1:18" x14ac:dyDescent="0.25">
      <c r="A80">
        <v>1787</v>
      </c>
      <c r="B80" t="s">
        <v>57</v>
      </c>
      <c r="C80" t="s">
        <v>58</v>
      </c>
      <c r="D80" s="32">
        <v>109094.39999999999</v>
      </c>
      <c r="E80">
        <v>1246273355</v>
      </c>
      <c r="F80" s="28">
        <v>46236</v>
      </c>
      <c r="H80" t="s">
        <v>23</v>
      </c>
      <c r="I80" t="s">
        <v>24</v>
      </c>
      <c r="J80">
        <v>11279</v>
      </c>
      <c r="K80" s="28">
        <v>46146</v>
      </c>
      <c r="L80">
        <v>1010100</v>
      </c>
      <c r="M80" t="s">
        <v>29</v>
      </c>
      <c r="N80">
        <v>161</v>
      </c>
      <c r="O80" t="s">
        <v>145</v>
      </c>
      <c r="P80" t="s">
        <v>449</v>
      </c>
      <c r="Q80">
        <f t="shared" si="1"/>
        <v>-39</v>
      </c>
      <c r="R80">
        <f>_xlfn.XLOOKUP(E80,'Data Additive'!E:E,'Data Additive'!E:E,0)</f>
        <v>1246273355</v>
      </c>
    </row>
    <row r="81" spans="1:18" x14ac:dyDescent="0.25">
      <c r="A81">
        <v>1787</v>
      </c>
      <c r="B81" t="s">
        <v>57</v>
      </c>
      <c r="C81" t="s">
        <v>58</v>
      </c>
      <c r="D81" s="32">
        <v>115852.8</v>
      </c>
      <c r="E81">
        <v>1246270635</v>
      </c>
      <c r="F81" s="28">
        <v>46210</v>
      </c>
      <c r="H81" t="s">
        <v>23</v>
      </c>
      <c r="I81" t="s">
        <v>24</v>
      </c>
      <c r="J81">
        <v>11072</v>
      </c>
      <c r="K81" s="28">
        <v>46120</v>
      </c>
      <c r="L81">
        <v>1010100</v>
      </c>
      <c r="M81" t="s">
        <v>29</v>
      </c>
      <c r="N81">
        <v>161</v>
      </c>
      <c r="O81" t="s">
        <v>145</v>
      </c>
      <c r="P81" t="s">
        <v>449</v>
      </c>
      <c r="Q81">
        <f t="shared" si="1"/>
        <v>-13</v>
      </c>
      <c r="R81">
        <f>_xlfn.XLOOKUP(E81,'Data Additive'!E:E,'Data Additive'!E:E,0)</f>
        <v>1246270635</v>
      </c>
    </row>
    <row r="82" spans="1:18" x14ac:dyDescent="0.25">
      <c r="A82">
        <v>1787</v>
      </c>
      <c r="B82" t="s">
        <v>57</v>
      </c>
      <c r="C82" t="s">
        <v>58</v>
      </c>
      <c r="D82" s="32">
        <v>114739.2</v>
      </c>
      <c r="E82">
        <v>1246271165</v>
      </c>
      <c r="F82" s="28">
        <v>46215</v>
      </c>
      <c r="H82" t="s">
        <v>23</v>
      </c>
      <c r="I82" t="s">
        <v>24</v>
      </c>
      <c r="J82">
        <v>11105</v>
      </c>
      <c r="K82" s="28">
        <v>46125</v>
      </c>
      <c r="L82">
        <v>1010100</v>
      </c>
      <c r="M82" t="s">
        <v>29</v>
      </c>
      <c r="N82">
        <v>161</v>
      </c>
      <c r="O82" t="s">
        <v>145</v>
      </c>
      <c r="P82" t="s">
        <v>449</v>
      </c>
      <c r="Q82">
        <f t="shared" si="1"/>
        <v>-18</v>
      </c>
      <c r="R82">
        <f>_xlfn.XLOOKUP(E82,'Data Additive'!E:E,'Data Additive'!E:E,0)</f>
        <v>1246271165</v>
      </c>
    </row>
    <row r="83" spans="1:18" x14ac:dyDescent="0.25">
      <c r="A83">
        <v>1787</v>
      </c>
      <c r="B83" t="s">
        <v>57</v>
      </c>
      <c r="C83" t="s">
        <v>58</v>
      </c>
      <c r="D83" s="32">
        <v>118009.58</v>
      </c>
      <c r="E83">
        <v>1246276399</v>
      </c>
      <c r="F83" s="28">
        <v>46254</v>
      </c>
      <c r="H83" t="s">
        <v>23</v>
      </c>
      <c r="I83" t="s">
        <v>24</v>
      </c>
      <c r="J83">
        <v>11478</v>
      </c>
      <c r="K83" s="28">
        <v>46164</v>
      </c>
      <c r="L83">
        <v>1010100</v>
      </c>
      <c r="M83" t="s">
        <v>29</v>
      </c>
      <c r="N83">
        <v>161</v>
      </c>
      <c r="O83" t="s">
        <v>145</v>
      </c>
      <c r="P83" t="s">
        <v>449</v>
      </c>
      <c r="Q83">
        <f t="shared" si="1"/>
        <v>-57</v>
      </c>
      <c r="R83">
        <f>_xlfn.XLOOKUP(E83,'Data Additive'!E:E,'Data Additive'!E:E,0)</f>
        <v>1246276399</v>
      </c>
    </row>
    <row r="84" spans="1:18" x14ac:dyDescent="0.25">
      <c r="A84">
        <v>1787</v>
      </c>
      <c r="B84" t="s">
        <v>57</v>
      </c>
      <c r="C84" t="s">
        <v>58</v>
      </c>
      <c r="D84" s="32">
        <v>110917.38</v>
      </c>
      <c r="E84">
        <v>1246277840</v>
      </c>
      <c r="F84" s="28">
        <v>46265</v>
      </c>
      <c r="H84" t="s">
        <v>23</v>
      </c>
      <c r="I84" t="s">
        <v>24</v>
      </c>
      <c r="J84">
        <v>11580</v>
      </c>
      <c r="K84" s="28">
        <v>46175</v>
      </c>
      <c r="L84">
        <v>1010100</v>
      </c>
      <c r="M84" t="s">
        <v>29</v>
      </c>
      <c r="N84">
        <v>161</v>
      </c>
      <c r="O84" t="s">
        <v>145</v>
      </c>
      <c r="P84" t="s">
        <v>449</v>
      </c>
      <c r="Q84">
        <f t="shared" si="1"/>
        <v>-68</v>
      </c>
      <c r="R84">
        <f>_xlfn.XLOOKUP(E84,'Data Additive'!E:E,'Data Additive'!E:E,0)</f>
        <v>1246277840</v>
      </c>
    </row>
    <row r="85" spans="1:18" x14ac:dyDescent="0.25">
      <c r="A85">
        <v>1787</v>
      </c>
      <c r="B85" t="s">
        <v>57</v>
      </c>
      <c r="C85" t="s">
        <v>58</v>
      </c>
      <c r="D85" s="32">
        <v>125295.53</v>
      </c>
      <c r="E85">
        <v>1246278306</v>
      </c>
      <c r="F85" s="28">
        <v>46268</v>
      </c>
      <c r="H85" t="s">
        <v>23</v>
      </c>
      <c r="I85" t="s">
        <v>24</v>
      </c>
      <c r="J85">
        <v>11604</v>
      </c>
      <c r="K85" s="28">
        <v>46178</v>
      </c>
      <c r="L85">
        <v>1010100</v>
      </c>
      <c r="M85" t="s">
        <v>29</v>
      </c>
      <c r="N85">
        <v>161</v>
      </c>
      <c r="O85" t="s">
        <v>145</v>
      </c>
      <c r="P85" t="s">
        <v>449</v>
      </c>
      <c r="Q85">
        <f t="shared" si="1"/>
        <v>-71</v>
      </c>
      <c r="R85">
        <f>_xlfn.XLOOKUP(E85,'Data Additive'!E:E,'Data Additive'!E:E,0)</f>
        <v>1246278306</v>
      </c>
    </row>
    <row r="86" spans="1:18" x14ac:dyDescent="0.25">
      <c r="A86">
        <v>1787</v>
      </c>
      <c r="B86" t="s">
        <v>57</v>
      </c>
      <c r="C86" t="s">
        <v>58</v>
      </c>
      <c r="D86" s="32">
        <v>113356.8</v>
      </c>
      <c r="E86">
        <v>1246269731</v>
      </c>
      <c r="F86" s="28">
        <v>46202</v>
      </c>
      <c r="H86" t="s">
        <v>23</v>
      </c>
      <c r="I86" t="s">
        <v>24</v>
      </c>
      <c r="J86">
        <v>11014</v>
      </c>
      <c r="K86" s="28">
        <v>46112</v>
      </c>
      <c r="L86">
        <v>1010100</v>
      </c>
      <c r="M86" t="s">
        <v>29</v>
      </c>
      <c r="N86">
        <v>161</v>
      </c>
      <c r="O86" t="s">
        <v>145</v>
      </c>
      <c r="P86" t="s">
        <v>449</v>
      </c>
      <c r="Q86">
        <f t="shared" si="1"/>
        <v>-5</v>
      </c>
      <c r="R86">
        <f>_xlfn.XLOOKUP(E86,'Data Additive'!E:E,'Data Additive'!E:E,0)</f>
        <v>1246269731</v>
      </c>
    </row>
    <row r="87" spans="1:18" x14ac:dyDescent="0.25">
      <c r="A87">
        <v>1787</v>
      </c>
      <c r="B87" t="s">
        <v>57</v>
      </c>
      <c r="C87" t="s">
        <v>58</v>
      </c>
      <c r="D87" s="32">
        <v>110246.39999999999</v>
      </c>
      <c r="E87">
        <v>1246272757</v>
      </c>
      <c r="F87" s="28">
        <v>46229</v>
      </c>
      <c r="H87" t="s">
        <v>23</v>
      </c>
      <c r="I87" t="s">
        <v>24</v>
      </c>
      <c r="J87">
        <v>11229</v>
      </c>
      <c r="K87" s="28">
        <v>46139</v>
      </c>
      <c r="L87">
        <v>1010100</v>
      </c>
      <c r="M87" t="s">
        <v>29</v>
      </c>
      <c r="N87">
        <v>161</v>
      </c>
      <c r="O87" t="s">
        <v>145</v>
      </c>
      <c r="P87" t="s">
        <v>449</v>
      </c>
      <c r="Q87">
        <f t="shared" si="1"/>
        <v>-32</v>
      </c>
      <c r="R87">
        <f>_xlfn.XLOOKUP(E87,'Data Additive'!E:E,'Data Additive'!E:E,0)</f>
        <v>1246272757</v>
      </c>
    </row>
    <row r="88" spans="1:18" x14ac:dyDescent="0.25">
      <c r="A88">
        <v>1787</v>
      </c>
      <c r="B88" t="s">
        <v>57</v>
      </c>
      <c r="C88" t="s">
        <v>58</v>
      </c>
      <c r="D88" s="32">
        <v>122871.78</v>
      </c>
      <c r="E88">
        <v>1246278729</v>
      </c>
      <c r="F88" s="28">
        <v>46272</v>
      </c>
      <c r="H88" t="s">
        <v>23</v>
      </c>
      <c r="I88" t="s">
        <v>24</v>
      </c>
      <c r="J88">
        <v>11657</v>
      </c>
      <c r="K88" s="28">
        <v>46182</v>
      </c>
      <c r="L88">
        <v>1010100</v>
      </c>
      <c r="M88" t="s">
        <v>29</v>
      </c>
      <c r="N88">
        <v>161</v>
      </c>
      <c r="O88" t="s">
        <v>145</v>
      </c>
      <c r="P88" t="s">
        <v>449</v>
      </c>
      <c r="Q88">
        <f t="shared" si="1"/>
        <v>-75</v>
      </c>
      <c r="R88">
        <f>_xlfn.XLOOKUP(E88,'Data Additive'!E:E,'Data Additive'!E:E,0)</f>
        <v>1246278729</v>
      </c>
    </row>
    <row r="89" spans="1:18" x14ac:dyDescent="0.25">
      <c r="A89">
        <v>1787</v>
      </c>
      <c r="B89" t="s">
        <v>57</v>
      </c>
      <c r="C89" t="s">
        <v>58</v>
      </c>
      <c r="D89" s="32">
        <v>118009.58</v>
      </c>
      <c r="E89">
        <v>1246277175</v>
      </c>
      <c r="F89" s="28">
        <v>46259</v>
      </c>
      <c r="H89" t="s">
        <v>23</v>
      </c>
      <c r="I89" t="s">
        <v>24</v>
      </c>
      <c r="J89">
        <v>11526</v>
      </c>
      <c r="K89" s="28">
        <v>46169</v>
      </c>
      <c r="L89">
        <v>1010100</v>
      </c>
      <c r="M89" t="s">
        <v>29</v>
      </c>
      <c r="N89">
        <v>161</v>
      </c>
      <c r="O89" t="s">
        <v>145</v>
      </c>
      <c r="P89" t="s">
        <v>449</v>
      </c>
      <c r="Q89">
        <f t="shared" si="1"/>
        <v>-62</v>
      </c>
      <c r="R89">
        <f>_xlfn.XLOOKUP(E89,'Data Additive'!E:E,'Data Additive'!E:E,0)</f>
        <v>1246277175</v>
      </c>
    </row>
    <row r="90" spans="1:18" x14ac:dyDescent="0.25">
      <c r="A90">
        <v>1787</v>
      </c>
      <c r="B90" t="s">
        <v>57</v>
      </c>
      <c r="C90" t="s">
        <v>58</v>
      </c>
      <c r="D90" s="32">
        <v>115968</v>
      </c>
      <c r="E90">
        <v>1246270152</v>
      </c>
      <c r="F90" s="28">
        <v>46204</v>
      </c>
      <c r="H90" t="s">
        <v>23</v>
      </c>
      <c r="I90" t="s">
        <v>24</v>
      </c>
      <c r="J90">
        <v>11043</v>
      </c>
      <c r="K90" s="28">
        <v>46114</v>
      </c>
      <c r="L90">
        <v>1010100</v>
      </c>
      <c r="M90" t="s">
        <v>29</v>
      </c>
      <c r="N90">
        <v>161</v>
      </c>
      <c r="O90" t="s">
        <v>145</v>
      </c>
      <c r="P90" t="s">
        <v>449</v>
      </c>
      <c r="Q90">
        <f t="shared" si="1"/>
        <v>-7</v>
      </c>
      <c r="R90">
        <f>_xlfn.XLOOKUP(E90,'Data Additive'!E:E,'Data Additive'!E:E,0)</f>
        <v>1246270152</v>
      </c>
    </row>
    <row r="91" spans="1:18" x14ac:dyDescent="0.25">
      <c r="A91">
        <v>1787</v>
      </c>
      <c r="B91" t="s">
        <v>57</v>
      </c>
      <c r="C91" t="s">
        <v>58</v>
      </c>
      <c r="D91" s="32">
        <v>123529.06</v>
      </c>
      <c r="E91">
        <v>1246280417</v>
      </c>
      <c r="F91" s="28">
        <v>46285</v>
      </c>
      <c r="H91" t="s">
        <v>23</v>
      </c>
      <c r="I91" t="s">
        <v>24</v>
      </c>
      <c r="J91">
        <v>11777</v>
      </c>
      <c r="K91" s="28">
        <v>46195</v>
      </c>
      <c r="L91">
        <v>1010100</v>
      </c>
      <c r="M91" t="s">
        <v>29</v>
      </c>
      <c r="N91">
        <v>161</v>
      </c>
      <c r="O91" t="s">
        <v>145</v>
      </c>
      <c r="P91" t="s">
        <v>449</v>
      </c>
      <c r="Q91">
        <f t="shared" si="1"/>
        <v>-88</v>
      </c>
      <c r="R91">
        <f>_xlfn.XLOOKUP(E91,'Data Additive'!E:E,'Data Additive'!E:E,0)</f>
        <v>1246280417</v>
      </c>
    </row>
    <row r="92" spans="1:18" x14ac:dyDescent="0.25">
      <c r="A92">
        <v>1787</v>
      </c>
      <c r="B92" t="s">
        <v>57</v>
      </c>
      <c r="C92" t="s">
        <v>58</v>
      </c>
      <c r="D92" s="32">
        <v>116889.60000000001</v>
      </c>
      <c r="E92">
        <v>1246271830</v>
      </c>
      <c r="F92" s="28">
        <v>46222</v>
      </c>
      <c r="H92" t="s">
        <v>23</v>
      </c>
      <c r="I92" t="s">
        <v>24</v>
      </c>
      <c r="J92">
        <v>11172</v>
      </c>
      <c r="K92" s="28">
        <v>46132</v>
      </c>
      <c r="L92">
        <v>1010100</v>
      </c>
      <c r="M92" t="s">
        <v>29</v>
      </c>
      <c r="N92">
        <v>161</v>
      </c>
      <c r="O92" t="s">
        <v>145</v>
      </c>
      <c r="P92" t="s">
        <v>449</v>
      </c>
      <c r="Q92">
        <f t="shared" si="1"/>
        <v>-25</v>
      </c>
      <c r="R92">
        <f>_xlfn.XLOOKUP(E92,'Data Additive'!E:E,'Data Additive'!E:E,0)</f>
        <v>1246271830</v>
      </c>
    </row>
    <row r="93" spans="1:18" x14ac:dyDescent="0.25">
      <c r="A93">
        <v>1787</v>
      </c>
      <c r="B93" t="s">
        <v>57</v>
      </c>
      <c r="C93" t="s">
        <v>58</v>
      </c>
      <c r="D93" s="32">
        <v>114676.64</v>
      </c>
      <c r="E93">
        <v>1246277004</v>
      </c>
      <c r="F93" s="28">
        <v>46258</v>
      </c>
      <c r="H93" t="s">
        <v>23</v>
      </c>
      <c r="I93" t="s">
        <v>24</v>
      </c>
      <c r="J93">
        <v>11512</v>
      </c>
      <c r="K93" s="28">
        <v>46168</v>
      </c>
      <c r="L93">
        <v>1010100</v>
      </c>
      <c r="M93" t="s">
        <v>29</v>
      </c>
      <c r="N93">
        <v>161</v>
      </c>
      <c r="O93" t="s">
        <v>145</v>
      </c>
      <c r="P93" t="s">
        <v>449</v>
      </c>
      <c r="Q93">
        <f t="shared" si="1"/>
        <v>-61</v>
      </c>
      <c r="R93">
        <f>_xlfn.XLOOKUP(E93,'Data Additive'!E:E,'Data Additive'!E:E,0)</f>
        <v>1246277004</v>
      </c>
    </row>
    <row r="94" spans="1:18" x14ac:dyDescent="0.25">
      <c r="A94">
        <v>1787</v>
      </c>
      <c r="B94" t="s">
        <v>57</v>
      </c>
      <c r="C94" t="s">
        <v>58</v>
      </c>
      <c r="D94" s="32">
        <v>109444.68</v>
      </c>
      <c r="E94">
        <v>1246275965</v>
      </c>
      <c r="F94" s="28">
        <v>46252</v>
      </c>
      <c r="H94" t="s">
        <v>23</v>
      </c>
      <c r="I94" t="s">
        <v>24</v>
      </c>
      <c r="J94">
        <v>11453</v>
      </c>
      <c r="K94" s="28">
        <v>46162</v>
      </c>
      <c r="L94">
        <v>1010100</v>
      </c>
      <c r="M94" t="s">
        <v>29</v>
      </c>
      <c r="N94">
        <v>161</v>
      </c>
      <c r="O94" t="s">
        <v>145</v>
      </c>
      <c r="P94" t="s">
        <v>449</v>
      </c>
      <c r="Q94">
        <f t="shared" si="1"/>
        <v>-55</v>
      </c>
      <c r="R94">
        <f>_xlfn.XLOOKUP(E94,'Data Additive'!E:E,'Data Additive'!E:E,0)</f>
        <v>1246275965</v>
      </c>
    </row>
    <row r="95" spans="1:18" x14ac:dyDescent="0.25">
      <c r="A95">
        <v>1787</v>
      </c>
      <c r="B95" t="s">
        <v>57</v>
      </c>
      <c r="C95" t="s">
        <v>58</v>
      </c>
      <c r="D95" s="32">
        <v>86385.46</v>
      </c>
      <c r="E95">
        <v>1246275507</v>
      </c>
      <c r="F95" s="28">
        <v>46247</v>
      </c>
      <c r="H95" t="s">
        <v>23</v>
      </c>
      <c r="I95" t="s">
        <v>24</v>
      </c>
      <c r="J95">
        <v>11416</v>
      </c>
      <c r="K95" s="28">
        <v>46157</v>
      </c>
      <c r="L95">
        <v>1010100</v>
      </c>
      <c r="M95" t="s">
        <v>29</v>
      </c>
      <c r="N95">
        <v>161</v>
      </c>
      <c r="O95" t="s">
        <v>145</v>
      </c>
      <c r="P95" t="s">
        <v>449</v>
      </c>
      <c r="Q95">
        <f t="shared" si="1"/>
        <v>-50</v>
      </c>
      <c r="R95">
        <f>_xlfn.XLOOKUP(E95,'Data Additive'!E:E,'Data Additive'!E:E,0)</f>
        <v>1246275507</v>
      </c>
    </row>
    <row r="96" spans="1:18" x14ac:dyDescent="0.25">
      <c r="A96">
        <v>1787</v>
      </c>
      <c r="B96" t="s">
        <v>57</v>
      </c>
      <c r="C96" t="s">
        <v>58</v>
      </c>
      <c r="D96" s="32">
        <v>116889.60000000001</v>
      </c>
      <c r="E96">
        <v>1246271678</v>
      </c>
      <c r="F96" s="28">
        <v>46219</v>
      </c>
      <c r="H96" t="s">
        <v>23</v>
      </c>
      <c r="I96" t="s">
        <v>24</v>
      </c>
      <c r="J96">
        <v>11157</v>
      </c>
      <c r="K96" s="28">
        <v>46129</v>
      </c>
      <c r="L96">
        <v>1010100</v>
      </c>
      <c r="M96" t="s">
        <v>29</v>
      </c>
      <c r="N96">
        <v>161</v>
      </c>
      <c r="O96" t="s">
        <v>145</v>
      </c>
      <c r="P96" t="s">
        <v>449</v>
      </c>
      <c r="Q96">
        <f t="shared" si="1"/>
        <v>-22</v>
      </c>
      <c r="R96">
        <f>_xlfn.XLOOKUP(E96,'Data Additive'!E:E,'Data Additive'!E:E,0)</f>
        <v>1246271678</v>
      </c>
    </row>
    <row r="97" spans="1:18" x14ac:dyDescent="0.25">
      <c r="A97">
        <v>1787</v>
      </c>
      <c r="B97" t="s">
        <v>57</v>
      </c>
      <c r="C97" t="s">
        <v>58</v>
      </c>
      <c r="D97" s="32">
        <v>118707.18</v>
      </c>
      <c r="E97">
        <v>1246276536</v>
      </c>
      <c r="F97" s="28">
        <v>46257</v>
      </c>
      <c r="H97" t="s">
        <v>23</v>
      </c>
      <c r="I97" t="s">
        <v>24</v>
      </c>
      <c r="J97">
        <v>11489</v>
      </c>
      <c r="K97" s="28">
        <v>46167</v>
      </c>
      <c r="L97">
        <v>1010100</v>
      </c>
      <c r="M97" t="s">
        <v>29</v>
      </c>
      <c r="N97">
        <v>161</v>
      </c>
      <c r="O97" t="s">
        <v>145</v>
      </c>
      <c r="P97" t="s">
        <v>449</v>
      </c>
      <c r="Q97">
        <f t="shared" si="1"/>
        <v>-60</v>
      </c>
      <c r="R97">
        <f>_xlfn.XLOOKUP(E97,'Data Additive'!E:E,'Data Additive'!E:E,0)</f>
        <v>1246276536</v>
      </c>
    </row>
    <row r="98" spans="1:18" x14ac:dyDescent="0.25">
      <c r="A98">
        <v>1787</v>
      </c>
      <c r="B98" t="s">
        <v>57</v>
      </c>
      <c r="C98" t="s">
        <v>58</v>
      </c>
      <c r="D98" s="32">
        <v>122748.53</v>
      </c>
      <c r="E98">
        <v>1246281211</v>
      </c>
      <c r="F98" s="28">
        <v>46288</v>
      </c>
      <c r="H98" t="s">
        <v>23</v>
      </c>
      <c r="I98" t="s">
        <v>24</v>
      </c>
      <c r="J98">
        <v>11823</v>
      </c>
      <c r="K98" s="28">
        <v>46198</v>
      </c>
      <c r="L98">
        <v>1010100</v>
      </c>
      <c r="M98" t="s">
        <v>29</v>
      </c>
      <c r="N98">
        <v>161</v>
      </c>
      <c r="O98" t="s">
        <v>145</v>
      </c>
      <c r="P98" t="s">
        <v>449</v>
      </c>
      <c r="Q98">
        <f t="shared" si="1"/>
        <v>-91</v>
      </c>
      <c r="R98">
        <f>_xlfn.XLOOKUP(E98,'Data Additive'!E:E,'Data Additive'!E:E,0)</f>
        <v>1246281211</v>
      </c>
    </row>
    <row r="99" spans="1:18" x14ac:dyDescent="0.25">
      <c r="A99">
        <v>1787</v>
      </c>
      <c r="B99" t="s">
        <v>57</v>
      </c>
      <c r="C99" t="s">
        <v>58</v>
      </c>
      <c r="D99" s="32">
        <v>110131.2</v>
      </c>
      <c r="E99">
        <v>1246272134</v>
      </c>
      <c r="F99" s="28">
        <v>46224</v>
      </c>
      <c r="H99" t="s">
        <v>23</v>
      </c>
      <c r="I99" t="s">
        <v>24</v>
      </c>
      <c r="J99">
        <v>11192</v>
      </c>
      <c r="K99" s="28">
        <v>46134</v>
      </c>
      <c r="L99">
        <v>1010100</v>
      </c>
      <c r="M99" t="s">
        <v>29</v>
      </c>
      <c r="N99">
        <v>161</v>
      </c>
      <c r="O99" t="s">
        <v>145</v>
      </c>
      <c r="P99" t="s">
        <v>449</v>
      </c>
      <c r="Q99">
        <f t="shared" si="1"/>
        <v>-27</v>
      </c>
      <c r="R99">
        <f>_xlfn.XLOOKUP(E99,'Data Additive'!E:E,'Data Additive'!E:E,0)</f>
        <v>1246272134</v>
      </c>
    </row>
    <row r="100" spans="1:18" x14ac:dyDescent="0.25">
      <c r="A100">
        <v>1787</v>
      </c>
      <c r="B100" t="s">
        <v>57</v>
      </c>
      <c r="C100" t="s">
        <v>58</v>
      </c>
      <c r="D100" s="32">
        <v>112358.39999999999</v>
      </c>
      <c r="E100">
        <v>1246272202</v>
      </c>
      <c r="F100" s="28">
        <v>46225</v>
      </c>
      <c r="H100" t="s">
        <v>23</v>
      </c>
      <c r="I100" t="s">
        <v>24</v>
      </c>
      <c r="J100">
        <v>11197</v>
      </c>
      <c r="K100" s="28">
        <v>46135</v>
      </c>
      <c r="L100">
        <v>1010100</v>
      </c>
      <c r="M100" t="s">
        <v>29</v>
      </c>
      <c r="N100">
        <v>161</v>
      </c>
      <c r="O100" t="s">
        <v>145</v>
      </c>
      <c r="P100" t="s">
        <v>449</v>
      </c>
      <c r="Q100">
        <f t="shared" si="1"/>
        <v>-28</v>
      </c>
      <c r="R100">
        <f>_xlfn.XLOOKUP(E100,'Data Additive'!E:E,'Data Additive'!E:E,0)</f>
        <v>1246272202</v>
      </c>
    </row>
    <row r="101" spans="1:18" x14ac:dyDescent="0.25">
      <c r="A101">
        <v>1787</v>
      </c>
      <c r="B101" t="s">
        <v>57</v>
      </c>
      <c r="C101" t="s">
        <v>58</v>
      </c>
      <c r="D101" s="32">
        <v>110592</v>
      </c>
      <c r="E101">
        <v>1246269420</v>
      </c>
      <c r="F101" s="28">
        <v>46198</v>
      </c>
      <c r="H101" t="s">
        <v>23</v>
      </c>
      <c r="I101" t="s">
        <v>24</v>
      </c>
      <c r="J101">
        <v>10989</v>
      </c>
      <c r="K101" s="28">
        <v>46108</v>
      </c>
      <c r="L101">
        <v>1010100</v>
      </c>
      <c r="M101" t="s">
        <v>29</v>
      </c>
      <c r="N101">
        <v>161</v>
      </c>
      <c r="O101" t="s">
        <v>145</v>
      </c>
      <c r="P101" t="s">
        <v>449</v>
      </c>
      <c r="Q101">
        <f t="shared" si="1"/>
        <v>-1</v>
      </c>
      <c r="R101">
        <f>_xlfn.XLOOKUP(E101,'Data Additive'!E:E,'Data Additive'!E:E,0)</f>
        <v>1246269420</v>
      </c>
    </row>
    <row r="102" spans="1:18" x14ac:dyDescent="0.25">
      <c r="A102">
        <v>1787</v>
      </c>
      <c r="B102" t="s">
        <v>57</v>
      </c>
      <c r="C102" t="s">
        <v>58</v>
      </c>
      <c r="D102" s="32">
        <v>122419.88999999998</v>
      </c>
      <c r="E102">
        <v>1246279330</v>
      </c>
      <c r="F102" s="28">
        <v>46275</v>
      </c>
      <c r="H102" t="s">
        <v>23</v>
      </c>
      <c r="I102" t="s">
        <v>24</v>
      </c>
      <c r="J102">
        <v>11689</v>
      </c>
      <c r="K102" s="28">
        <v>46185</v>
      </c>
      <c r="L102">
        <v>1010100</v>
      </c>
      <c r="M102" t="s">
        <v>29</v>
      </c>
      <c r="N102">
        <v>161</v>
      </c>
      <c r="O102" t="s">
        <v>145</v>
      </c>
      <c r="P102" t="s">
        <v>449</v>
      </c>
      <c r="Q102">
        <f t="shared" si="1"/>
        <v>-78</v>
      </c>
      <c r="R102">
        <f>_xlfn.XLOOKUP(E102,'Data Additive'!E:E,'Data Additive'!E:E,0)</f>
        <v>1246279330</v>
      </c>
    </row>
    <row r="103" spans="1:18" x14ac:dyDescent="0.25">
      <c r="A103">
        <v>1787</v>
      </c>
      <c r="B103" t="s">
        <v>57</v>
      </c>
      <c r="C103" t="s">
        <v>58</v>
      </c>
      <c r="D103" s="32">
        <v>111552</v>
      </c>
      <c r="E103">
        <v>1246269890</v>
      </c>
      <c r="F103" s="28">
        <v>46203</v>
      </c>
      <c r="H103" t="s">
        <v>23</v>
      </c>
      <c r="I103" t="s">
        <v>24</v>
      </c>
      <c r="J103">
        <v>11025</v>
      </c>
      <c r="K103" s="28">
        <v>46113</v>
      </c>
      <c r="L103">
        <v>1010100</v>
      </c>
      <c r="M103" t="s">
        <v>29</v>
      </c>
      <c r="N103">
        <v>161</v>
      </c>
      <c r="O103" t="s">
        <v>145</v>
      </c>
      <c r="P103" t="s">
        <v>449</v>
      </c>
      <c r="Q103">
        <f t="shared" si="1"/>
        <v>-6</v>
      </c>
      <c r="R103">
        <f>_xlfn.XLOOKUP(E103,'Data Additive'!E:E,'Data Additive'!E:E,0)</f>
        <v>1246269890</v>
      </c>
    </row>
    <row r="104" spans="1:18" x14ac:dyDescent="0.25">
      <c r="A104">
        <v>1787</v>
      </c>
      <c r="B104" t="s">
        <v>57</v>
      </c>
      <c r="C104" t="s">
        <v>58</v>
      </c>
      <c r="D104" s="32">
        <v>112204.8</v>
      </c>
      <c r="E104">
        <v>1246269591</v>
      </c>
      <c r="F104" s="28">
        <v>46201</v>
      </c>
      <c r="H104" t="s">
        <v>23</v>
      </c>
      <c r="I104" t="s">
        <v>24</v>
      </c>
      <c r="J104">
        <v>11002</v>
      </c>
      <c r="K104" s="28">
        <v>46111</v>
      </c>
      <c r="L104">
        <v>1010100</v>
      </c>
      <c r="M104" t="s">
        <v>29</v>
      </c>
      <c r="N104">
        <v>161</v>
      </c>
      <c r="O104" t="s">
        <v>145</v>
      </c>
      <c r="P104" t="s">
        <v>449</v>
      </c>
      <c r="Q104">
        <f t="shared" si="1"/>
        <v>-4</v>
      </c>
      <c r="R104">
        <f>_xlfn.XLOOKUP(E104,'Data Additive'!E:E,'Data Additive'!E:E,0)</f>
        <v>1246269591</v>
      </c>
    </row>
    <row r="105" spans="1:18" x14ac:dyDescent="0.25">
      <c r="A105">
        <v>1787</v>
      </c>
      <c r="B105" t="s">
        <v>57</v>
      </c>
      <c r="C105" t="s">
        <v>58</v>
      </c>
      <c r="D105" s="32">
        <v>116121.60000000001</v>
      </c>
      <c r="E105">
        <v>1246270879</v>
      </c>
      <c r="F105" s="28">
        <v>46211</v>
      </c>
      <c r="H105" t="s">
        <v>23</v>
      </c>
      <c r="I105" t="s">
        <v>24</v>
      </c>
      <c r="J105">
        <v>11080</v>
      </c>
      <c r="K105" s="28">
        <v>46121</v>
      </c>
      <c r="L105">
        <v>1010100</v>
      </c>
      <c r="M105" t="s">
        <v>29</v>
      </c>
      <c r="N105">
        <v>161</v>
      </c>
      <c r="O105" t="s">
        <v>145</v>
      </c>
      <c r="P105" t="s">
        <v>449</v>
      </c>
      <c r="Q105">
        <f t="shared" si="1"/>
        <v>-14</v>
      </c>
      <c r="R105">
        <f>_xlfn.XLOOKUP(E105,'Data Additive'!E:E,'Data Additive'!E:E,0)</f>
        <v>1246270879</v>
      </c>
    </row>
    <row r="106" spans="1:18" x14ac:dyDescent="0.25">
      <c r="A106">
        <v>1787</v>
      </c>
      <c r="B106" t="s">
        <v>57</v>
      </c>
      <c r="C106" t="s">
        <v>58</v>
      </c>
      <c r="D106" s="32">
        <v>109250.91</v>
      </c>
      <c r="E106">
        <v>1246277425</v>
      </c>
      <c r="F106" s="28">
        <v>46261</v>
      </c>
      <c r="H106" t="s">
        <v>23</v>
      </c>
      <c r="I106" t="s">
        <v>24</v>
      </c>
      <c r="J106">
        <v>11555</v>
      </c>
      <c r="K106" s="28">
        <v>46171</v>
      </c>
      <c r="L106">
        <v>1010100</v>
      </c>
      <c r="M106" t="s">
        <v>29</v>
      </c>
      <c r="N106">
        <v>161</v>
      </c>
      <c r="O106" t="s">
        <v>145</v>
      </c>
      <c r="P106" t="s">
        <v>449</v>
      </c>
      <c r="Q106">
        <f t="shared" si="1"/>
        <v>-64</v>
      </c>
      <c r="R106">
        <f>_xlfn.XLOOKUP(E106,'Data Additive'!E:E,'Data Additive'!E:E,0)</f>
        <v>1246277425</v>
      </c>
    </row>
    <row r="107" spans="1:18" x14ac:dyDescent="0.25">
      <c r="A107">
        <v>1788</v>
      </c>
      <c r="B107" t="s">
        <v>59</v>
      </c>
      <c r="C107" t="s">
        <v>60</v>
      </c>
      <c r="D107" s="32">
        <v>124227.43</v>
      </c>
      <c r="E107">
        <v>1246280252</v>
      </c>
      <c r="F107" s="28">
        <v>46282</v>
      </c>
      <c r="H107" t="s">
        <v>23</v>
      </c>
      <c r="I107" t="s">
        <v>24</v>
      </c>
      <c r="J107">
        <v>11765</v>
      </c>
      <c r="K107" s="28">
        <v>46192</v>
      </c>
      <c r="L107">
        <v>1010100</v>
      </c>
      <c r="M107" t="s">
        <v>29</v>
      </c>
      <c r="N107">
        <v>161</v>
      </c>
      <c r="O107" t="s">
        <v>145</v>
      </c>
      <c r="P107" t="s">
        <v>449</v>
      </c>
      <c r="Q107">
        <f t="shared" si="1"/>
        <v>-85</v>
      </c>
      <c r="R107">
        <f>_xlfn.XLOOKUP(E107,'Data Additive'!E:E,'Data Additive'!E:E,0)</f>
        <v>1246280252</v>
      </c>
    </row>
    <row r="108" spans="1:18" x14ac:dyDescent="0.25">
      <c r="A108">
        <v>1788</v>
      </c>
      <c r="B108" t="s">
        <v>59</v>
      </c>
      <c r="C108" t="s">
        <v>60</v>
      </c>
      <c r="D108" s="32">
        <v>115839.29</v>
      </c>
      <c r="E108">
        <v>1246275638</v>
      </c>
      <c r="F108" s="28">
        <v>46250</v>
      </c>
      <c r="H108" t="s">
        <v>23</v>
      </c>
      <c r="I108" t="s">
        <v>24</v>
      </c>
      <c r="J108">
        <v>11428</v>
      </c>
      <c r="K108" s="28">
        <v>46160</v>
      </c>
      <c r="L108">
        <v>1010100</v>
      </c>
      <c r="M108" t="s">
        <v>29</v>
      </c>
      <c r="N108">
        <v>161</v>
      </c>
      <c r="O108" t="s">
        <v>145</v>
      </c>
      <c r="P108" t="s">
        <v>449</v>
      </c>
      <c r="Q108">
        <f t="shared" si="1"/>
        <v>-53</v>
      </c>
      <c r="R108">
        <f>_xlfn.XLOOKUP(E108,'Data Additive'!E:E,'Data Additive'!E:E,0)</f>
        <v>1246275638</v>
      </c>
    </row>
    <row r="109" spans="1:18" x14ac:dyDescent="0.25">
      <c r="A109">
        <v>1788</v>
      </c>
      <c r="B109" t="s">
        <v>59</v>
      </c>
      <c r="C109" t="s">
        <v>60</v>
      </c>
      <c r="D109" s="32">
        <v>117120</v>
      </c>
      <c r="E109">
        <v>1246270425</v>
      </c>
      <c r="F109" s="28">
        <v>46208</v>
      </c>
      <c r="H109" t="s">
        <v>23</v>
      </c>
      <c r="I109" t="s">
        <v>24</v>
      </c>
      <c r="J109">
        <v>11060</v>
      </c>
      <c r="K109" s="28">
        <v>46118</v>
      </c>
      <c r="L109">
        <v>1010100</v>
      </c>
      <c r="M109" t="s">
        <v>29</v>
      </c>
      <c r="N109">
        <v>161</v>
      </c>
      <c r="O109" t="s">
        <v>145</v>
      </c>
      <c r="P109" t="s">
        <v>449</v>
      </c>
      <c r="Q109">
        <f t="shared" si="1"/>
        <v>-11</v>
      </c>
      <c r="R109">
        <f>_xlfn.XLOOKUP(E109,'Data Additive'!E:E,'Data Additive'!E:E,0)</f>
        <v>1246270425</v>
      </c>
    </row>
    <row r="110" spans="1:18" x14ac:dyDescent="0.25">
      <c r="A110">
        <v>1789</v>
      </c>
      <c r="B110" t="s">
        <v>61</v>
      </c>
      <c r="C110" t="s">
        <v>62</v>
      </c>
      <c r="D110" s="32">
        <v>115507.2</v>
      </c>
      <c r="E110">
        <v>1246269759</v>
      </c>
      <c r="F110" s="28">
        <v>46202</v>
      </c>
      <c r="H110" t="s">
        <v>23</v>
      </c>
      <c r="I110" t="s">
        <v>24</v>
      </c>
      <c r="J110">
        <v>11017</v>
      </c>
      <c r="K110" s="28">
        <v>46112</v>
      </c>
      <c r="L110">
        <v>1010100</v>
      </c>
      <c r="M110" t="s">
        <v>29</v>
      </c>
      <c r="N110">
        <v>161</v>
      </c>
      <c r="O110" t="s">
        <v>145</v>
      </c>
      <c r="P110" t="s">
        <v>449</v>
      </c>
      <c r="Q110">
        <f t="shared" si="1"/>
        <v>-5</v>
      </c>
      <c r="R110">
        <f>_xlfn.XLOOKUP(E110,'Data Additive'!E:E,'Data Additive'!E:E,0)</f>
        <v>1246269759</v>
      </c>
    </row>
    <row r="111" spans="1:18" x14ac:dyDescent="0.25">
      <c r="A111">
        <v>1789</v>
      </c>
      <c r="B111" t="s">
        <v>61</v>
      </c>
      <c r="C111" t="s">
        <v>62</v>
      </c>
      <c r="D111" s="32">
        <v>114432</v>
      </c>
      <c r="E111">
        <v>1246270845</v>
      </c>
      <c r="F111" s="28">
        <v>46211</v>
      </c>
      <c r="H111" t="s">
        <v>23</v>
      </c>
      <c r="I111" t="s">
        <v>24</v>
      </c>
      <c r="J111">
        <v>11079</v>
      </c>
      <c r="K111" s="28">
        <v>46121</v>
      </c>
      <c r="L111">
        <v>1010100</v>
      </c>
      <c r="M111" t="s">
        <v>29</v>
      </c>
      <c r="N111">
        <v>161</v>
      </c>
      <c r="O111" t="s">
        <v>145</v>
      </c>
      <c r="P111" t="s">
        <v>449</v>
      </c>
      <c r="Q111">
        <f t="shared" si="1"/>
        <v>-14</v>
      </c>
      <c r="R111">
        <f>_xlfn.XLOOKUP(E111,'Data Additive'!E:E,'Data Additive'!E:E,0)</f>
        <v>1246270845</v>
      </c>
    </row>
    <row r="112" spans="1:18" x14ac:dyDescent="0.25">
      <c r="A112">
        <v>1789</v>
      </c>
      <c r="B112" t="s">
        <v>61</v>
      </c>
      <c r="C112" t="s">
        <v>62</v>
      </c>
      <c r="D112" s="32">
        <v>117311.99</v>
      </c>
      <c r="E112">
        <v>1246276632</v>
      </c>
      <c r="F112" s="28">
        <v>46257</v>
      </c>
      <c r="H112" t="s">
        <v>23</v>
      </c>
      <c r="I112" t="s">
        <v>24</v>
      </c>
      <c r="J112">
        <v>11493</v>
      </c>
      <c r="K112" s="28">
        <v>46167</v>
      </c>
      <c r="L112">
        <v>1010100</v>
      </c>
      <c r="M112" t="s">
        <v>29</v>
      </c>
      <c r="N112">
        <v>161</v>
      </c>
      <c r="O112" t="s">
        <v>145</v>
      </c>
      <c r="P112" t="s">
        <v>449</v>
      </c>
      <c r="Q112">
        <f t="shared" si="1"/>
        <v>-60</v>
      </c>
      <c r="R112">
        <f>_xlfn.XLOOKUP(E112,'Data Additive'!E:E,'Data Additive'!E:E,0)</f>
        <v>1246276632</v>
      </c>
    </row>
    <row r="113" spans="1:18" x14ac:dyDescent="0.25">
      <c r="A113">
        <v>1789</v>
      </c>
      <c r="B113" t="s">
        <v>61</v>
      </c>
      <c r="C113" t="s">
        <v>62</v>
      </c>
      <c r="D113" s="32">
        <v>115296.72</v>
      </c>
      <c r="E113">
        <v>1246277579</v>
      </c>
      <c r="F113" s="28">
        <v>46264</v>
      </c>
      <c r="H113" t="s">
        <v>23</v>
      </c>
      <c r="I113" t="s">
        <v>24</v>
      </c>
      <c r="J113">
        <v>11567</v>
      </c>
      <c r="K113" s="28">
        <v>46174</v>
      </c>
      <c r="L113">
        <v>1010100</v>
      </c>
      <c r="M113" t="s">
        <v>29</v>
      </c>
      <c r="N113">
        <v>161</v>
      </c>
      <c r="O113" t="s">
        <v>145</v>
      </c>
      <c r="P113" t="s">
        <v>449</v>
      </c>
      <c r="Q113">
        <f t="shared" si="1"/>
        <v>-67</v>
      </c>
      <c r="R113">
        <f>_xlfn.XLOOKUP(E113,'Data Additive'!E:E,'Data Additive'!E:E,0)</f>
        <v>1246277579</v>
      </c>
    </row>
    <row r="114" spans="1:18" x14ac:dyDescent="0.25">
      <c r="A114">
        <v>1789</v>
      </c>
      <c r="B114" t="s">
        <v>61</v>
      </c>
      <c r="C114" t="s">
        <v>62</v>
      </c>
      <c r="D114" s="32">
        <v>114470.39999999999</v>
      </c>
      <c r="E114">
        <v>1246273904</v>
      </c>
      <c r="F114" s="28">
        <v>46239</v>
      </c>
      <c r="H114" t="s">
        <v>23</v>
      </c>
      <c r="I114" t="s">
        <v>24</v>
      </c>
      <c r="J114">
        <v>11320</v>
      </c>
      <c r="K114" s="28">
        <v>46149</v>
      </c>
      <c r="L114">
        <v>1010100</v>
      </c>
      <c r="M114" t="s">
        <v>29</v>
      </c>
      <c r="N114">
        <v>161</v>
      </c>
      <c r="O114" t="s">
        <v>145</v>
      </c>
      <c r="P114" t="s">
        <v>449</v>
      </c>
      <c r="Q114">
        <f t="shared" si="1"/>
        <v>-42</v>
      </c>
      <c r="R114">
        <f>_xlfn.XLOOKUP(E114,'Data Additive'!E:E,'Data Additive'!E:E,0)</f>
        <v>1246273904</v>
      </c>
    </row>
    <row r="115" spans="1:18" x14ac:dyDescent="0.25">
      <c r="A115">
        <v>1789</v>
      </c>
      <c r="B115" t="s">
        <v>61</v>
      </c>
      <c r="C115" t="s">
        <v>62</v>
      </c>
      <c r="D115" s="32">
        <v>114662.39999999999</v>
      </c>
      <c r="E115">
        <v>1246271452</v>
      </c>
      <c r="F115" s="28">
        <v>46217</v>
      </c>
      <c r="H115" t="s">
        <v>23</v>
      </c>
      <c r="I115" t="s">
        <v>24</v>
      </c>
      <c r="J115">
        <v>11126</v>
      </c>
      <c r="K115" s="28">
        <v>46127</v>
      </c>
      <c r="L115">
        <v>1010100</v>
      </c>
      <c r="M115" t="s">
        <v>29</v>
      </c>
      <c r="N115">
        <v>161</v>
      </c>
      <c r="O115" t="s">
        <v>145</v>
      </c>
      <c r="P115" t="s">
        <v>449</v>
      </c>
      <c r="Q115">
        <f t="shared" si="1"/>
        <v>-20</v>
      </c>
      <c r="R115">
        <f>_xlfn.XLOOKUP(E115,'Data Additive'!E:E,'Data Additive'!E:E,0)</f>
        <v>1246271452</v>
      </c>
    </row>
    <row r="116" spans="1:18" x14ac:dyDescent="0.25">
      <c r="A116">
        <v>1789</v>
      </c>
      <c r="B116" t="s">
        <v>61</v>
      </c>
      <c r="C116" t="s">
        <v>62</v>
      </c>
      <c r="D116" s="32">
        <v>115123.2</v>
      </c>
      <c r="E116">
        <v>1246269430</v>
      </c>
      <c r="F116" s="28">
        <v>46198</v>
      </c>
      <c r="H116" t="s">
        <v>23</v>
      </c>
      <c r="I116" t="s">
        <v>24</v>
      </c>
      <c r="J116">
        <v>10992</v>
      </c>
      <c r="K116" s="28">
        <v>46108</v>
      </c>
      <c r="L116">
        <v>1010100</v>
      </c>
      <c r="M116" t="s">
        <v>29</v>
      </c>
      <c r="N116">
        <v>161</v>
      </c>
      <c r="O116" t="s">
        <v>145</v>
      </c>
      <c r="P116" t="s">
        <v>449</v>
      </c>
      <c r="Q116">
        <f t="shared" si="1"/>
        <v>-1</v>
      </c>
      <c r="R116">
        <f>_xlfn.XLOOKUP(E116,'Data Additive'!E:E,'Data Additive'!E:E,0)</f>
        <v>1246269430</v>
      </c>
    </row>
    <row r="117" spans="1:18" x14ac:dyDescent="0.25">
      <c r="A117">
        <v>1789</v>
      </c>
      <c r="B117" t="s">
        <v>61</v>
      </c>
      <c r="C117" t="s">
        <v>62</v>
      </c>
      <c r="D117" s="32">
        <v>115584</v>
      </c>
      <c r="E117">
        <v>1246272745</v>
      </c>
      <c r="F117" s="28">
        <v>46229</v>
      </c>
      <c r="H117" t="s">
        <v>23</v>
      </c>
      <c r="I117" t="s">
        <v>24</v>
      </c>
      <c r="J117">
        <v>11224</v>
      </c>
      <c r="K117" s="28">
        <v>46139</v>
      </c>
      <c r="L117">
        <v>1010100</v>
      </c>
      <c r="M117" t="s">
        <v>29</v>
      </c>
      <c r="N117">
        <v>161</v>
      </c>
      <c r="O117" t="s">
        <v>145</v>
      </c>
      <c r="P117" t="s">
        <v>449</v>
      </c>
      <c r="Q117">
        <f t="shared" ref="Q117:Q162" si="2">$R$1-F117</f>
        <v>-32</v>
      </c>
      <c r="R117">
        <f>_xlfn.XLOOKUP(E117,'Data Additive'!E:E,'Data Additive'!E:E,0)</f>
        <v>1246272745</v>
      </c>
    </row>
    <row r="118" spans="1:18" x14ac:dyDescent="0.25">
      <c r="A118">
        <v>1789</v>
      </c>
      <c r="B118" t="s">
        <v>61</v>
      </c>
      <c r="C118" t="s">
        <v>62</v>
      </c>
      <c r="D118" s="32">
        <v>117467.01</v>
      </c>
      <c r="E118">
        <v>1246275694</v>
      </c>
      <c r="F118" s="28">
        <v>46250</v>
      </c>
      <c r="H118" t="s">
        <v>23</v>
      </c>
      <c r="I118" t="s">
        <v>24</v>
      </c>
      <c r="J118">
        <v>11433</v>
      </c>
      <c r="K118" s="28">
        <v>46160</v>
      </c>
      <c r="L118">
        <v>1010100</v>
      </c>
      <c r="M118" t="s">
        <v>29</v>
      </c>
      <c r="N118">
        <v>161</v>
      </c>
      <c r="O118" t="s">
        <v>145</v>
      </c>
      <c r="P118" t="s">
        <v>449</v>
      </c>
      <c r="Q118">
        <f t="shared" si="2"/>
        <v>-53</v>
      </c>
      <c r="R118">
        <f>_xlfn.XLOOKUP(E118,'Data Additive'!E:E,'Data Additive'!E:E,0)</f>
        <v>1246275694</v>
      </c>
    </row>
    <row r="119" spans="1:18" x14ac:dyDescent="0.25">
      <c r="A119">
        <v>1789</v>
      </c>
      <c r="B119" t="s">
        <v>61</v>
      </c>
      <c r="C119" t="s">
        <v>62</v>
      </c>
      <c r="D119" s="32">
        <v>123980.95</v>
      </c>
      <c r="E119">
        <v>1246279506</v>
      </c>
      <c r="F119" s="28">
        <v>46278</v>
      </c>
      <c r="H119" t="s">
        <v>23</v>
      </c>
      <c r="I119" t="s">
        <v>24</v>
      </c>
      <c r="J119">
        <v>11708</v>
      </c>
      <c r="K119" s="28">
        <v>46188</v>
      </c>
      <c r="L119">
        <v>1010100</v>
      </c>
      <c r="M119" t="s">
        <v>29</v>
      </c>
      <c r="N119">
        <v>161</v>
      </c>
      <c r="O119" t="s">
        <v>145</v>
      </c>
      <c r="P119" t="s">
        <v>449</v>
      </c>
      <c r="Q119">
        <f t="shared" si="2"/>
        <v>-81</v>
      </c>
      <c r="R119">
        <f>_xlfn.XLOOKUP(E119,'Data Additive'!E:E,'Data Additive'!E:E,0)</f>
        <v>1246279506</v>
      </c>
    </row>
    <row r="120" spans="1:18" x14ac:dyDescent="0.25">
      <c r="A120">
        <v>1789</v>
      </c>
      <c r="B120" t="s">
        <v>61</v>
      </c>
      <c r="C120" t="s">
        <v>62</v>
      </c>
      <c r="D120" s="32">
        <v>123036.1</v>
      </c>
      <c r="E120">
        <v>1246279861</v>
      </c>
      <c r="F120" s="28">
        <v>46280</v>
      </c>
      <c r="H120" t="s">
        <v>23</v>
      </c>
      <c r="I120" t="s">
        <v>24</v>
      </c>
      <c r="J120">
        <v>11736</v>
      </c>
      <c r="K120" s="28">
        <v>46190</v>
      </c>
      <c r="L120">
        <v>1010100</v>
      </c>
      <c r="M120" t="s">
        <v>29</v>
      </c>
      <c r="N120">
        <v>161</v>
      </c>
      <c r="O120" t="s">
        <v>145</v>
      </c>
      <c r="P120" t="s">
        <v>449</v>
      </c>
      <c r="Q120">
        <f t="shared" si="2"/>
        <v>-83</v>
      </c>
      <c r="R120">
        <f>_xlfn.XLOOKUP(E120,'Data Additive'!E:E,'Data Additive'!E:E,0)</f>
        <v>1246279861</v>
      </c>
    </row>
    <row r="121" spans="1:18" x14ac:dyDescent="0.25">
      <c r="A121">
        <v>1789</v>
      </c>
      <c r="B121" t="s">
        <v>61</v>
      </c>
      <c r="C121" t="s">
        <v>62</v>
      </c>
      <c r="D121" s="32">
        <v>117001.95</v>
      </c>
      <c r="E121">
        <v>1246277902</v>
      </c>
      <c r="F121" s="28">
        <v>46265</v>
      </c>
      <c r="H121" t="s">
        <v>23</v>
      </c>
      <c r="I121" t="s">
        <v>24</v>
      </c>
      <c r="J121">
        <v>11583</v>
      </c>
      <c r="K121" s="28">
        <v>46175</v>
      </c>
      <c r="L121">
        <v>1010100</v>
      </c>
      <c r="M121" t="s">
        <v>29</v>
      </c>
      <c r="N121">
        <v>161</v>
      </c>
      <c r="O121" t="s">
        <v>145</v>
      </c>
      <c r="P121" t="s">
        <v>449</v>
      </c>
      <c r="Q121">
        <f t="shared" si="2"/>
        <v>-68</v>
      </c>
      <c r="R121">
        <f>_xlfn.XLOOKUP(E121,'Data Additive'!E:E,'Data Additive'!E:E,0)</f>
        <v>1246277902</v>
      </c>
    </row>
    <row r="122" spans="1:18" x14ac:dyDescent="0.25">
      <c r="A122">
        <v>1789</v>
      </c>
      <c r="B122" t="s">
        <v>61</v>
      </c>
      <c r="C122" t="s">
        <v>62</v>
      </c>
      <c r="D122" s="32">
        <v>124473.92</v>
      </c>
      <c r="E122">
        <v>1246280379</v>
      </c>
      <c r="F122" s="28">
        <v>46285</v>
      </c>
      <c r="H122" t="s">
        <v>23</v>
      </c>
      <c r="I122" t="s">
        <v>24</v>
      </c>
      <c r="J122">
        <v>11771</v>
      </c>
      <c r="K122" s="28">
        <v>46195</v>
      </c>
      <c r="L122">
        <v>1010100</v>
      </c>
      <c r="M122" t="s">
        <v>29</v>
      </c>
      <c r="N122">
        <v>161</v>
      </c>
      <c r="O122" t="s">
        <v>145</v>
      </c>
      <c r="P122" t="s">
        <v>449</v>
      </c>
      <c r="Q122">
        <f t="shared" si="2"/>
        <v>-88</v>
      </c>
      <c r="R122">
        <f>_xlfn.XLOOKUP(E122,'Data Additive'!E:E,'Data Additive'!E:E,0)</f>
        <v>1246280379</v>
      </c>
    </row>
    <row r="123" spans="1:18" x14ac:dyDescent="0.25">
      <c r="A123">
        <v>1789</v>
      </c>
      <c r="B123" t="s">
        <v>61</v>
      </c>
      <c r="C123" t="s">
        <v>62</v>
      </c>
      <c r="D123" s="32">
        <v>121228.56</v>
      </c>
      <c r="E123">
        <v>1246280845</v>
      </c>
      <c r="F123" s="28">
        <v>46287</v>
      </c>
      <c r="H123" t="s">
        <v>23</v>
      </c>
      <c r="I123" t="s">
        <v>24</v>
      </c>
      <c r="J123">
        <v>11806</v>
      </c>
      <c r="K123" s="28">
        <v>46197</v>
      </c>
      <c r="L123">
        <v>1010100</v>
      </c>
      <c r="M123" t="s">
        <v>29</v>
      </c>
      <c r="N123">
        <v>161</v>
      </c>
      <c r="O123" t="s">
        <v>145</v>
      </c>
      <c r="P123" t="s">
        <v>449</v>
      </c>
      <c r="Q123">
        <f t="shared" si="2"/>
        <v>-90</v>
      </c>
      <c r="R123">
        <f>_xlfn.XLOOKUP(E123,'Data Additive'!E:E,'Data Additive'!E:E,0)</f>
        <v>1246280845</v>
      </c>
    </row>
    <row r="124" spans="1:18" x14ac:dyDescent="0.25">
      <c r="A124">
        <v>1789</v>
      </c>
      <c r="B124" t="s">
        <v>61</v>
      </c>
      <c r="C124" t="s">
        <v>62</v>
      </c>
      <c r="D124" s="32">
        <v>115814.39999999999</v>
      </c>
      <c r="E124">
        <v>1246270360</v>
      </c>
      <c r="F124" s="28">
        <v>46208</v>
      </c>
      <c r="H124" t="s">
        <v>23</v>
      </c>
      <c r="I124" t="s">
        <v>24</v>
      </c>
      <c r="J124">
        <v>11053</v>
      </c>
      <c r="K124" s="28">
        <v>46118</v>
      </c>
      <c r="L124">
        <v>1010100</v>
      </c>
      <c r="M124" t="s">
        <v>29</v>
      </c>
      <c r="N124">
        <v>161</v>
      </c>
      <c r="O124" t="s">
        <v>145</v>
      </c>
      <c r="P124" t="s">
        <v>449</v>
      </c>
      <c r="Q124">
        <f t="shared" si="2"/>
        <v>-11</v>
      </c>
      <c r="R124">
        <f>_xlfn.XLOOKUP(E124,'Data Additive'!E:E,'Data Additive'!E:E,0)</f>
        <v>1246270360</v>
      </c>
    </row>
    <row r="125" spans="1:18" x14ac:dyDescent="0.25">
      <c r="A125">
        <v>1789</v>
      </c>
      <c r="B125" t="s">
        <v>61</v>
      </c>
      <c r="C125" t="s">
        <v>62</v>
      </c>
      <c r="D125" s="32">
        <v>115276.8</v>
      </c>
      <c r="E125">
        <v>1246273585</v>
      </c>
      <c r="F125" s="28">
        <v>46237</v>
      </c>
      <c r="H125" t="s">
        <v>23</v>
      </c>
      <c r="I125" t="s">
        <v>24</v>
      </c>
      <c r="J125">
        <v>11296</v>
      </c>
      <c r="K125" s="28">
        <v>46147</v>
      </c>
      <c r="L125">
        <v>1010100</v>
      </c>
      <c r="M125" t="s">
        <v>29</v>
      </c>
      <c r="N125">
        <v>161</v>
      </c>
      <c r="O125" t="s">
        <v>145</v>
      </c>
      <c r="P125" t="s">
        <v>449</v>
      </c>
      <c r="Q125">
        <f t="shared" si="2"/>
        <v>-40</v>
      </c>
      <c r="R125">
        <f>_xlfn.XLOOKUP(E125,'Data Additive'!E:E,'Data Additive'!E:E,0)</f>
        <v>1246273585</v>
      </c>
    </row>
    <row r="126" spans="1:18" x14ac:dyDescent="0.25">
      <c r="A126">
        <v>97</v>
      </c>
      <c r="B126" t="s">
        <v>300</v>
      </c>
      <c r="C126" t="s">
        <v>730</v>
      </c>
      <c r="D126" s="32">
        <v>95717.6</v>
      </c>
      <c r="E126">
        <v>1246277597</v>
      </c>
      <c r="F126" s="28">
        <v>46202</v>
      </c>
      <c r="H126" t="s">
        <v>23</v>
      </c>
      <c r="I126" t="s">
        <v>24</v>
      </c>
      <c r="J126">
        <v>11572</v>
      </c>
      <c r="K126" s="28">
        <v>46174</v>
      </c>
      <c r="L126">
        <v>1010100</v>
      </c>
      <c r="M126" t="s">
        <v>29</v>
      </c>
      <c r="N126">
        <v>161</v>
      </c>
      <c r="O126" t="s">
        <v>145</v>
      </c>
      <c r="P126" t="s">
        <v>490</v>
      </c>
      <c r="Q126">
        <f t="shared" si="2"/>
        <v>-5</v>
      </c>
      <c r="R126">
        <f>_xlfn.XLOOKUP(E126,'Data Additive'!E:E,'Data Additive'!E:E,0)</f>
        <v>1246277597</v>
      </c>
    </row>
    <row r="127" spans="1:18" x14ac:dyDescent="0.25">
      <c r="A127">
        <v>97</v>
      </c>
      <c r="B127" t="s">
        <v>300</v>
      </c>
      <c r="C127" t="s">
        <v>730</v>
      </c>
      <c r="D127" s="32">
        <v>95687.8</v>
      </c>
      <c r="E127">
        <v>1246279396</v>
      </c>
      <c r="F127" s="28">
        <v>46213</v>
      </c>
      <c r="H127" t="s">
        <v>23</v>
      </c>
      <c r="I127" t="s">
        <v>24</v>
      </c>
      <c r="J127">
        <v>11703</v>
      </c>
      <c r="K127" s="28">
        <v>46185</v>
      </c>
      <c r="L127">
        <v>1010100</v>
      </c>
      <c r="M127" t="s">
        <v>29</v>
      </c>
      <c r="N127">
        <v>161</v>
      </c>
      <c r="O127" t="s">
        <v>145</v>
      </c>
      <c r="P127" t="s">
        <v>490</v>
      </c>
      <c r="Q127">
        <f t="shared" si="2"/>
        <v>-16</v>
      </c>
      <c r="R127">
        <f>_xlfn.XLOOKUP(E127,'Data Additive'!E:E,'Data Additive'!E:E,0)</f>
        <v>1246279396</v>
      </c>
    </row>
    <row r="128" spans="1:18" x14ac:dyDescent="0.25">
      <c r="A128">
        <v>97</v>
      </c>
      <c r="B128" t="s">
        <v>300</v>
      </c>
      <c r="C128" t="s">
        <v>730</v>
      </c>
      <c r="D128" s="32">
        <v>95062</v>
      </c>
      <c r="E128">
        <v>1246280585</v>
      </c>
      <c r="F128" s="28">
        <v>46224</v>
      </c>
      <c r="H128" t="s">
        <v>23</v>
      </c>
      <c r="I128" t="s">
        <v>24</v>
      </c>
      <c r="J128">
        <v>11795</v>
      </c>
      <c r="K128" s="28">
        <v>46196</v>
      </c>
      <c r="L128">
        <v>1010100</v>
      </c>
      <c r="M128" t="s">
        <v>29</v>
      </c>
      <c r="N128">
        <v>161</v>
      </c>
      <c r="O128" t="s">
        <v>145</v>
      </c>
      <c r="P128" t="s">
        <v>490</v>
      </c>
      <c r="Q128">
        <f t="shared" si="2"/>
        <v>-27</v>
      </c>
      <c r="R128">
        <f>_xlfn.XLOOKUP(E128,'Data Additive'!E:E,'Data Additive'!E:E,0)</f>
        <v>1246280585</v>
      </c>
    </row>
    <row r="129" spans="1:18" x14ac:dyDescent="0.25">
      <c r="A129">
        <v>97</v>
      </c>
      <c r="B129" t="s">
        <v>300</v>
      </c>
      <c r="C129" t="s">
        <v>730</v>
      </c>
      <c r="D129" s="32">
        <v>95091.8</v>
      </c>
      <c r="E129">
        <v>1246278416</v>
      </c>
      <c r="F129" s="28">
        <v>46206</v>
      </c>
      <c r="H129" t="s">
        <v>23</v>
      </c>
      <c r="I129" t="s">
        <v>24</v>
      </c>
      <c r="J129">
        <v>11623</v>
      </c>
      <c r="K129" s="28">
        <v>46178</v>
      </c>
      <c r="L129">
        <v>1010100</v>
      </c>
      <c r="M129" t="s">
        <v>29</v>
      </c>
      <c r="N129">
        <v>161</v>
      </c>
      <c r="O129" t="s">
        <v>145</v>
      </c>
      <c r="P129" t="s">
        <v>490</v>
      </c>
      <c r="Q129">
        <f t="shared" si="2"/>
        <v>-9</v>
      </c>
      <c r="R129">
        <f>_xlfn.XLOOKUP(E129,'Data Additive'!E:E,'Data Additive'!E:E,0)</f>
        <v>1246278416</v>
      </c>
    </row>
    <row r="130" spans="1:18" x14ac:dyDescent="0.25">
      <c r="A130">
        <v>43</v>
      </c>
      <c r="B130" t="s">
        <v>674</v>
      </c>
      <c r="C130" t="s">
        <v>30</v>
      </c>
      <c r="D130" s="32">
        <v>72010.7</v>
      </c>
      <c r="E130">
        <v>1246279357</v>
      </c>
      <c r="F130" s="28">
        <v>46213</v>
      </c>
      <c r="H130" t="s">
        <v>23</v>
      </c>
      <c r="I130" t="s">
        <v>24</v>
      </c>
      <c r="J130">
        <v>11692</v>
      </c>
      <c r="K130" s="28">
        <v>46185</v>
      </c>
      <c r="L130">
        <v>1010100</v>
      </c>
      <c r="M130" t="s">
        <v>29</v>
      </c>
      <c r="N130">
        <v>161</v>
      </c>
      <c r="O130" t="s">
        <v>145</v>
      </c>
      <c r="P130" t="s">
        <v>355</v>
      </c>
      <c r="Q130">
        <f t="shared" si="2"/>
        <v>-16</v>
      </c>
      <c r="R130">
        <f>_xlfn.XLOOKUP(E130,'Data Additive'!E:E,'Data Additive'!E:E,0)</f>
        <v>1246279357</v>
      </c>
    </row>
    <row r="131" spans="1:18" x14ac:dyDescent="0.25">
      <c r="A131">
        <v>43</v>
      </c>
      <c r="B131" t="s">
        <v>674</v>
      </c>
      <c r="C131" t="s">
        <v>30</v>
      </c>
      <c r="D131" s="32">
        <v>71198.100000000006</v>
      </c>
      <c r="E131">
        <v>1246277595</v>
      </c>
      <c r="F131" s="28">
        <v>46202</v>
      </c>
      <c r="H131" t="s">
        <v>23</v>
      </c>
      <c r="I131" t="s">
        <v>24</v>
      </c>
      <c r="J131">
        <v>11571</v>
      </c>
      <c r="K131" s="28">
        <v>46174</v>
      </c>
      <c r="L131">
        <v>1010100</v>
      </c>
      <c r="M131" t="s">
        <v>29</v>
      </c>
      <c r="N131">
        <v>161</v>
      </c>
      <c r="O131" t="s">
        <v>145</v>
      </c>
      <c r="P131" t="s">
        <v>355</v>
      </c>
      <c r="Q131">
        <f t="shared" si="2"/>
        <v>-5</v>
      </c>
      <c r="R131">
        <f>_xlfn.XLOOKUP(E131,'Data Additive'!E:E,'Data Additive'!E:E,0)</f>
        <v>1246277595</v>
      </c>
    </row>
    <row r="132" spans="1:18" x14ac:dyDescent="0.25">
      <c r="A132">
        <v>43</v>
      </c>
      <c r="B132" t="s">
        <v>674</v>
      </c>
      <c r="C132" t="s">
        <v>30</v>
      </c>
      <c r="D132" s="32">
        <v>71915.100000000006</v>
      </c>
      <c r="E132">
        <v>1246278431</v>
      </c>
      <c r="F132" s="28">
        <v>46207</v>
      </c>
      <c r="H132" t="s">
        <v>23</v>
      </c>
      <c r="I132" t="s">
        <v>24</v>
      </c>
      <c r="J132">
        <v>11630</v>
      </c>
      <c r="K132" s="28">
        <v>46179</v>
      </c>
      <c r="L132">
        <v>1010100</v>
      </c>
      <c r="M132" t="s">
        <v>29</v>
      </c>
      <c r="N132">
        <v>161</v>
      </c>
      <c r="O132" t="s">
        <v>145</v>
      </c>
      <c r="P132" t="s">
        <v>355</v>
      </c>
      <c r="Q132">
        <f t="shared" si="2"/>
        <v>-10</v>
      </c>
      <c r="R132">
        <f>_xlfn.XLOOKUP(E132,'Data Additive'!E:E,'Data Additive'!E:E,0)</f>
        <v>1246278431</v>
      </c>
    </row>
    <row r="133" spans="1:18" x14ac:dyDescent="0.25">
      <c r="A133">
        <v>43</v>
      </c>
      <c r="B133" t="s">
        <v>674</v>
      </c>
      <c r="C133" t="s">
        <v>30</v>
      </c>
      <c r="D133" s="32">
        <v>71723.899999999994</v>
      </c>
      <c r="E133">
        <v>1246280177</v>
      </c>
      <c r="F133" s="28">
        <v>46220</v>
      </c>
      <c r="H133" t="s">
        <v>23</v>
      </c>
      <c r="I133" t="s">
        <v>24</v>
      </c>
      <c r="J133">
        <v>11756</v>
      </c>
      <c r="K133" s="28">
        <v>46192</v>
      </c>
      <c r="L133">
        <v>1010100</v>
      </c>
      <c r="M133" t="s">
        <v>29</v>
      </c>
      <c r="N133">
        <v>161</v>
      </c>
      <c r="O133" t="s">
        <v>145</v>
      </c>
      <c r="P133" t="s">
        <v>355</v>
      </c>
      <c r="Q133">
        <f t="shared" si="2"/>
        <v>-23</v>
      </c>
      <c r="R133">
        <f>_xlfn.XLOOKUP(E133,'Data Additive'!E:E,'Data Additive'!E:E,0)</f>
        <v>1246280177</v>
      </c>
    </row>
    <row r="134" spans="1:18" x14ac:dyDescent="0.25">
      <c r="A134">
        <v>33</v>
      </c>
      <c r="B134" t="s">
        <v>757</v>
      </c>
      <c r="C134" t="s">
        <v>575</v>
      </c>
      <c r="D134" s="32">
        <v>53158.6</v>
      </c>
      <c r="E134">
        <v>1246278608</v>
      </c>
      <c r="F134" s="28">
        <v>46211</v>
      </c>
      <c r="H134" t="s">
        <v>23</v>
      </c>
      <c r="I134" t="s">
        <v>24</v>
      </c>
      <c r="J134">
        <v>11647</v>
      </c>
      <c r="K134" s="28">
        <v>46181</v>
      </c>
      <c r="L134">
        <v>1010100</v>
      </c>
      <c r="M134" t="s">
        <v>29</v>
      </c>
      <c r="N134">
        <v>161</v>
      </c>
      <c r="O134" t="s">
        <v>145</v>
      </c>
      <c r="P134" t="s">
        <v>448</v>
      </c>
      <c r="Q134">
        <f t="shared" si="2"/>
        <v>-14</v>
      </c>
      <c r="R134">
        <f>_xlfn.XLOOKUP(E134,'Data Additive'!E:E,'Data Additive'!E:E,0)</f>
        <v>1246278608</v>
      </c>
    </row>
    <row r="135" spans="1:18" x14ac:dyDescent="0.25">
      <c r="A135">
        <v>2133</v>
      </c>
      <c r="B135" t="s">
        <v>260</v>
      </c>
      <c r="C135" t="s">
        <v>15608</v>
      </c>
      <c r="D135" s="32">
        <v>180359.2</v>
      </c>
      <c r="E135">
        <v>1246278378</v>
      </c>
      <c r="F135" s="28">
        <v>46206</v>
      </c>
      <c r="H135" t="s">
        <v>23</v>
      </c>
      <c r="I135" t="s">
        <v>24</v>
      </c>
      <c r="J135">
        <v>11612</v>
      </c>
      <c r="K135" s="28">
        <v>46178</v>
      </c>
      <c r="L135">
        <v>1010100</v>
      </c>
      <c r="M135" t="s">
        <v>29</v>
      </c>
      <c r="N135">
        <v>161</v>
      </c>
      <c r="O135" t="s">
        <v>145</v>
      </c>
      <c r="P135" t="s">
        <v>514</v>
      </c>
      <c r="Q135">
        <f t="shared" si="2"/>
        <v>-9</v>
      </c>
      <c r="R135">
        <f>_xlfn.XLOOKUP(E135,'Data Additive'!E:E,'Data Additive'!E:E,0)</f>
        <v>1246278378</v>
      </c>
    </row>
    <row r="136" spans="1:18" x14ac:dyDescent="0.25">
      <c r="A136">
        <v>214</v>
      </c>
      <c r="B136" t="s">
        <v>149</v>
      </c>
      <c r="C136" t="s">
        <v>708</v>
      </c>
      <c r="D136" s="32">
        <v>83475.7</v>
      </c>
      <c r="E136">
        <v>1246280241</v>
      </c>
      <c r="F136" s="28">
        <v>46220</v>
      </c>
      <c r="H136" t="s">
        <v>23</v>
      </c>
      <c r="I136" t="s">
        <v>24</v>
      </c>
      <c r="J136">
        <v>11760</v>
      </c>
      <c r="K136" s="28">
        <v>46192</v>
      </c>
      <c r="L136">
        <v>1010100</v>
      </c>
      <c r="M136" t="s">
        <v>29</v>
      </c>
      <c r="N136">
        <v>161</v>
      </c>
      <c r="O136" t="s">
        <v>145</v>
      </c>
      <c r="P136" t="s">
        <v>356</v>
      </c>
      <c r="Q136">
        <f t="shared" si="2"/>
        <v>-23</v>
      </c>
      <c r="R136">
        <f>_xlfn.XLOOKUP(E136,'Data Additive'!E:E,'Data Additive'!E:E,0)</f>
        <v>1246280241</v>
      </c>
    </row>
    <row r="137" spans="1:18" x14ac:dyDescent="0.25">
      <c r="A137">
        <v>214</v>
      </c>
      <c r="B137" t="s">
        <v>149</v>
      </c>
      <c r="C137" t="s">
        <v>708</v>
      </c>
      <c r="D137" s="32">
        <v>99003.6</v>
      </c>
      <c r="E137">
        <v>1246279725</v>
      </c>
      <c r="F137" s="28">
        <v>46217</v>
      </c>
      <c r="H137" t="s">
        <v>23</v>
      </c>
      <c r="I137" t="s">
        <v>24</v>
      </c>
      <c r="J137">
        <v>11729</v>
      </c>
      <c r="K137" s="28">
        <v>46189</v>
      </c>
      <c r="L137">
        <v>1010100</v>
      </c>
      <c r="M137" t="s">
        <v>29</v>
      </c>
      <c r="N137">
        <v>161</v>
      </c>
      <c r="O137" t="s">
        <v>145</v>
      </c>
      <c r="P137" t="s">
        <v>356</v>
      </c>
      <c r="Q137">
        <f t="shared" si="2"/>
        <v>-20</v>
      </c>
      <c r="R137">
        <f>_xlfn.XLOOKUP(E137,'Data Additive'!E:E,'Data Additive'!E:E,0)</f>
        <v>1246279725</v>
      </c>
    </row>
    <row r="138" spans="1:18" x14ac:dyDescent="0.25">
      <c r="A138">
        <v>183</v>
      </c>
      <c r="B138" t="s">
        <v>33</v>
      </c>
      <c r="C138" t="s">
        <v>34</v>
      </c>
      <c r="D138" s="32">
        <v>4231.96</v>
      </c>
      <c r="E138">
        <v>1246014155</v>
      </c>
      <c r="F138" s="28">
        <v>47847</v>
      </c>
      <c r="H138" t="s">
        <v>23</v>
      </c>
      <c r="I138" t="s">
        <v>24</v>
      </c>
      <c r="J138">
        <v>8361</v>
      </c>
      <c r="K138" s="28">
        <v>43384</v>
      </c>
      <c r="L138">
        <v>1010100</v>
      </c>
      <c r="M138" t="s">
        <v>29</v>
      </c>
      <c r="N138">
        <v>161</v>
      </c>
      <c r="O138" t="s">
        <v>145</v>
      </c>
      <c r="P138" t="s">
        <v>448</v>
      </c>
      <c r="Q138">
        <f t="shared" si="2"/>
        <v>-1650</v>
      </c>
      <c r="R138">
        <f>_xlfn.XLOOKUP(E138,'Data Additive'!E:E,'Data Additive'!E:E,0)</f>
        <v>1246014155</v>
      </c>
    </row>
    <row r="139" spans="1:18" x14ac:dyDescent="0.25">
      <c r="A139">
        <v>183</v>
      </c>
      <c r="B139" t="s">
        <v>33</v>
      </c>
      <c r="C139" t="s">
        <v>34</v>
      </c>
      <c r="D139" s="32">
        <v>4045.01</v>
      </c>
      <c r="E139">
        <v>1246014156</v>
      </c>
      <c r="F139" s="28">
        <v>48212</v>
      </c>
      <c r="H139" t="s">
        <v>23</v>
      </c>
      <c r="I139" t="s">
        <v>24</v>
      </c>
      <c r="J139">
        <v>8361</v>
      </c>
      <c r="K139" s="28">
        <v>43384</v>
      </c>
      <c r="L139">
        <v>1010100</v>
      </c>
      <c r="M139" t="s">
        <v>29</v>
      </c>
      <c r="N139">
        <v>161</v>
      </c>
      <c r="O139" t="s">
        <v>145</v>
      </c>
      <c r="P139" t="s">
        <v>448</v>
      </c>
      <c r="Q139">
        <f t="shared" si="2"/>
        <v>-2015</v>
      </c>
      <c r="R139">
        <f>_xlfn.XLOOKUP(E139,'Data Additive'!E:E,'Data Additive'!E:E,0)</f>
        <v>1246014156</v>
      </c>
    </row>
    <row r="140" spans="1:18" x14ac:dyDescent="0.25">
      <c r="A140">
        <v>183</v>
      </c>
      <c r="B140" t="s">
        <v>33</v>
      </c>
      <c r="C140" t="s">
        <v>34</v>
      </c>
      <c r="D140" s="32">
        <v>4339.6000000000004</v>
      </c>
      <c r="E140">
        <v>1246014157</v>
      </c>
      <c r="F140" s="28">
        <v>48578</v>
      </c>
      <c r="H140" t="s">
        <v>23</v>
      </c>
      <c r="I140" t="s">
        <v>24</v>
      </c>
      <c r="J140">
        <v>8361</v>
      </c>
      <c r="K140" s="28">
        <v>43384</v>
      </c>
      <c r="L140">
        <v>1010100</v>
      </c>
      <c r="M140" t="s">
        <v>29</v>
      </c>
      <c r="N140">
        <v>161</v>
      </c>
      <c r="O140" t="s">
        <v>145</v>
      </c>
      <c r="P140" t="s">
        <v>448</v>
      </c>
      <c r="Q140">
        <f t="shared" si="2"/>
        <v>-2381</v>
      </c>
      <c r="R140">
        <f>_xlfn.XLOOKUP(E140,'Data Additive'!E:E,'Data Additive'!E:E,0)</f>
        <v>1246014157</v>
      </c>
    </row>
    <row r="141" spans="1:18" x14ac:dyDescent="0.25">
      <c r="A141">
        <v>183</v>
      </c>
      <c r="B141" t="s">
        <v>33</v>
      </c>
      <c r="C141" t="s">
        <v>34</v>
      </c>
      <c r="D141" s="32">
        <v>7512.16</v>
      </c>
      <c r="E141">
        <v>1246014158</v>
      </c>
      <c r="F141" s="28">
        <v>48943</v>
      </c>
      <c r="H141" t="s">
        <v>23</v>
      </c>
      <c r="I141" t="s">
        <v>24</v>
      </c>
      <c r="J141">
        <v>8361</v>
      </c>
      <c r="K141" s="28">
        <v>43384</v>
      </c>
      <c r="L141">
        <v>1010100</v>
      </c>
      <c r="M141" t="s">
        <v>29</v>
      </c>
      <c r="N141">
        <v>161</v>
      </c>
      <c r="O141" t="s">
        <v>145</v>
      </c>
      <c r="P141" t="s">
        <v>448</v>
      </c>
      <c r="Q141">
        <f t="shared" si="2"/>
        <v>-2746</v>
      </c>
      <c r="R141">
        <f>_xlfn.XLOOKUP(E141,'Data Additive'!E:E,'Data Additive'!E:E,0)</f>
        <v>1246014158</v>
      </c>
    </row>
    <row r="142" spans="1:18" x14ac:dyDescent="0.25">
      <c r="A142">
        <v>183</v>
      </c>
      <c r="B142" t="s">
        <v>33</v>
      </c>
      <c r="C142" t="s">
        <v>34</v>
      </c>
      <c r="D142" s="32">
        <v>30552.86</v>
      </c>
      <c r="E142">
        <v>1246014159</v>
      </c>
      <c r="F142" s="28">
        <v>49308</v>
      </c>
      <c r="H142" t="s">
        <v>23</v>
      </c>
      <c r="I142" t="s">
        <v>24</v>
      </c>
      <c r="J142">
        <v>8361</v>
      </c>
      <c r="K142" s="28">
        <v>43384</v>
      </c>
      <c r="L142">
        <v>1010100</v>
      </c>
      <c r="M142" t="s">
        <v>29</v>
      </c>
      <c r="N142">
        <v>161</v>
      </c>
      <c r="O142" t="s">
        <v>145</v>
      </c>
      <c r="P142" t="s">
        <v>448</v>
      </c>
      <c r="Q142">
        <f t="shared" si="2"/>
        <v>-3111</v>
      </c>
      <c r="R142">
        <f>_xlfn.XLOOKUP(E142,'Data Additive'!E:E,'Data Additive'!E:E,0)</f>
        <v>1246014159</v>
      </c>
    </row>
    <row r="143" spans="1:18" x14ac:dyDescent="0.25">
      <c r="A143">
        <v>183</v>
      </c>
      <c r="B143" t="s">
        <v>33</v>
      </c>
      <c r="C143" t="s">
        <v>34</v>
      </c>
      <c r="D143" s="32">
        <v>1512.63</v>
      </c>
      <c r="E143">
        <v>1246014161</v>
      </c>
      <c r="F143" s="28">
        <v>50039</v>
      </c>
      <c r="H143" t="s">
        <v>23</v>
      </c>
      <c r="I143" t="s">
        <v>24</v>
      </c>
      <c r="J143">
        <v>8361</v>
      </c>
      <c r="K143" s="28">
        <v>43384</v>
      </c>
      <c r="L143">
        <v>1010100</v>
      </c>
      <c r="M143" t="s">
        <v>29</v>
      </c>
      <c r="N143">
        <v>161</v>
      </c>
      <c r="O143" t="s">
        <v>145</v>
      </c>
      <c r="P143" t="s">
        <v>448</v>
      </c>
      <c r="Q143">
        <f t="shared" si="2"/>
        <v>-3842</v>
      </c>
      <c r="R143">
        <f>_xlfn.XLOOKUP(E143,'Data Additive'!E:E,'Data Additive'!E:E,0)</f>
        <v>1246014161</v>
      </c>
    </row>
    <row r="144" spans="1:18" x14ac:dyDescent="0.25">
      <c r="A144">
        <v>183</v>
      </c>
      <c r="B144" t="s">
        <v>33</v>
      </c>
      <c r="C144" t="s">
        <v>34</v>
      </c>
      <c r="D144" s="32">
        <v>1982.85</v>
      </c>
      <c r="E144">
        <v>1246014162</v>
      </c>
      <c r="F144" s="28">
        <v>50404</v>
      </c>
      <c r="H144" t="s">
        <v>23</v>
      </c>
      <c r="I144" t="s">
        <v>24</v>
      </c>
      <c r="J144">
        <v>8361</v>
      </c>
      <c r="K144" s="28">
        <v>43384</v>
      </c>
      <c r="L144">
        <v>1010100</v>
      </c>
      <c r="M144" t="s">
        <v>29</v>
      </c>
      <c r="N144">
        <v>161</v>
      </c>
      <c r="O144" t="s">
        <v>145</v>
      </c>
      <c r="P144" t="s">
        <v>448</v>
      </c>
      <c r="Q144">
        <f t="shared" si="2"/>
        <v>-4207</v>
      </c>
      <c r="R144">
        <f>_xlfn.XLOOKUP(E144,'Data Additive'!E:E,'Data Additive'!E:E,0)</f>
        <v>1246014162</v>
      </c>
    </row>
    <row r="145" spans="1:18" x14ac:dyDescent="0.25">
      <c r="A145">
        <v>183</v>
      </c>
      <c r="B145" t="s">
        <v>33</v>
      </c>
      <c r="C145" t="s">
        <v>34</v>
      </c>
      <c r="D145" s="32">
        <v>2549.38</v>
      </c>
      <c r="E145">
        <v>1246014163</v>
      </c>
      <c r="F145" s="28">
        <v>50769</v>
      </c>
      <c r="H145" t="s">
        <v>23</v>
      </c>
      <c r="I145" t="s">
        <v>24</v>
      </c>
      <c r="J145">
        <v>8361</v>
      </c>
      <c r="K145" s="28">
        <v>43384</v>
      </c>
      <c r="L145">
        <v>1010100</v>
      </c>
      <c r="M145" t="s">
        <v>29</v>
      </c>
      <c r="N145">
        <v>161</v>
      </c>
      <c r="O145" t="s">
        <v>145</v>
      </c>
      <c r="P145" t="s">
        <v>448</v>
      </c>
      <c r="Q145">
        <f t="shared" si="2"/>
        <v>-4572</v>
      </c>
      <c r="R145">
        <f>_xlfn.XLOOKUP(E145,'Data Additive'!E:E,'Data Additive'!E:E,0)</f>
        <v>1246014163</v>
      </c>
    </row>
    <row r="146" spans="1:18" x14ac:dyDescent="0.25">
      <c r="A146">
        <v>183</v>
      </c>
      <c r="B146" t="s">
        <v>33</v>
      </c>
      <c r="C146" t="s">
        <v>34</v>
      </c>
      <c r="D146" s="32">
        <v>5546.31</v>
      </c>
      <c r="E146">
        <v>1246014165</v>
      </c>
      <c r="F146" s="28">
        <v>51500</v>
      </c>
      <c r="H146" t="s">
        <v>23</v>
      </c>
      <c r="I146" t="s">
        <v>24</v>
      </c>
      <c r="J146">
        <v>8361</v>
      </c>
      <c r="K146" s="28">
        <v>43384</v>
      </c>
      <c r="L146">
        <v>1010100</v>
      </c>
      <c r="M146" t="s">
        <v>29</v>
      </c>
      <c r="N146">
        <v>161</v>
      </c>
      <c r="O146" t="s">
        <v>145</v>
      </c>
      <c r="P146" t="s">
        <v>448</v>
      </c>
      <c r="Q146">
        <f t="shared" si="2"/>
        <v>-5303</v>
      </c>
      <c r="R146">
        <f>_xlfn.XLOOKUP(E146,'Data Additive'!E:E,'Data Additive'!E:E,0)</f>
        <v>1246014165</v>
      </c>
    </row>
    <row r="147" spans="1:18" x14ac:dyDescent="0.25">
      <c r="A147">
        <v>183</v>
      </c>
      <c r="B147" t="s">
        <v>33</v>
      </c>
      <c r="C147" t="s">
        <v>34</v>
      </c>
      <c r="D147" s="32">
        <v>5546.31</v>
      </c>
      <c r="E147">
        <v>1246014166</v>
      </c>
      <c r="F147" s="28">
        <v>51865</v>
      </c>
      <c r="H147" t="s">
        <v>23</v>
      </c>
      <c r="I147" t="s">
        <v>24</v>
      </c>
      <c r="J147">
        <v>8361</v>
      </c>
      <c r="K147" s="28">
        <v>43384</v>
      </c>
      <c r="L147">
        <v>1010100</v>
      </c>
      <c r="M147" t="s">
        <v>29</v>
      </c>
      <c r="N147">
        <v>161</v>
      </c>
      <c r="O147" t="s">
        <v>145</v>
      </c>
      <c r="P147" t="s">
        <v>448</v>
      </c>
      <c r="Q147">
        <f t="shared" si="2"/>
        <v>-5668</v>
      </c>
      <c r="R147">
        <f>_xlfn.XLOOKUP(E147,'Data Additive'!E:E,'Data Additive'!E:E,0)</f>
        <v>1246014166</v>
      </c>
    </row>
    <row r="148" spans="1:18" x14ac:dyDescent="0.25">
      <c r="A148">
        <v>183</v>
      </c>
      <c r="B148" t="s">
        <v>33</v>
      </c>
      <c r="C148" t="s">
        <v>34</v>
      </c>
      <c r="D148" s="32">
        <v>5546.31</v>
      </c>
      <c r="E148">
        <v>1246014167</v>
      </c>
      <c r="F148" s="28">
        <v>52230</v>
      </c>
      <c r="H148" t="s">
        <v>23</v>
      </c>
      <c r="I148" t="s">
        <v>24</v>
      </c>
      <c r="J148">
        <v>8361</v>
      </c>
      <c r="K148" s="28">
        <v>43384</v>
      </c>
      <c r="L148">
        <v>1010100</v>
      </c>
      <c r="M148" t="s">
        <v>29</v>
      </c>
      <c r="N148">
        <v>161</v>
      </c>
      <c r="O148" t="s">
        <v>145</v>
      </c>
      <c r="P148" t="s">
        <v>448</v>
      </c>
      <c r="Q148">
        <f t="shared" si="2"/>
        <v>-6033</v>
      </c>
      <c r="R148">
        <f>_xlfn.XLOOKUP(E148,'Data Additive'!E:E,'Data Additive'!E:E,0)</f>
        <v>1246014167</v>
      </c>
    </row>
    <row r="149" spans="1:18" x14ac:dyDescent="0.25">
      <c r="A149">
        <v>183</v>
      </c>
      <c r="B149" t="s">
        <v>33</v>
      </c>
      <c r="C149" t="s">
        <v>34</v>
      </c>
      <c r="D149" s="32">
        <v>5546.31</v>
      </c>
      <c r="E149">
        <v>1246014168</v>
      </c>
      <c r="F149" s="28">
        <v>52595</v>
      </c>
      <c r="H149" t="s">
        <v>23</v>
      </c>
      <c r="I149" t="s">
        <v>24</v>
      </c>
      <c r="J149">
        <v>8361</v>
      </c>
      <c r="K149" s="28">
        <v>43384</v>
      </c>
      <c r="L149">
        <v>1010100</v>
      </c>
      <c r="M149" t="s">
        <v>29</v>
      </c>
      <c r="N149">
        <v>161</v>
      </c>
      <c r="O149" t="s">
        <v>145</v>
      </c>
      <c r="P149" t="s">
        <v>448</v>
      </c>
      <c r="Q149">
        <f t="shared" si="2"/>
        <v>-6398</v>
      </c>
      <c r="R149">
        <f>_xlfn.XLOOKUP(E149,'Data Additive'!E:E,'Data Additive'!E:E,0)</f>
        <v>1246014168</v>
      </c>
    </row>
    <row r="150" spans="1:18" x14ac:dyDescent="0.25">
      <c r="A150">
        <v>183</v>
      </c>
      <c r="B150" t="s">
        <v>33</v>
      </c>
      <c r="C150" t="s">
        <v>34</v>
      </c>
      <c r="D150" s="32">
        <v>5546.31</v>
      </c>
      <c r="E150">
        <v>1246014169</v>
      </c>
      <c r="F150" s="28">
        <v>52961</v>
      </c>
      <c r="H150" t="s">
        <v>23</v>
      </c>
      <c r="I150" t="s">
        <v>24</v>
      </c>
      <c r="J150">
        <v>8361</v>
      </c>
      <c r="K150" s="28">
        <v>43384</v>
      </c>
      <c r="L150">
        <v>1010100</v>
      </c>
      <c r="M150" t="s">
        <v>29</v>
      </c>
      <c r="N150">
        <v>161</v>
      </c>
      <c r="O150" t="s">
        <v>145</v>
      </c>
      <c r="P150" t="s">
        <v>448</v>
      </c>
      <c r="Q150">
        <f t="shared" si="2"/>
        <v>-6764</v>
      </c>
      <c r="R150">
        <f>_xlfn.XLOOKUP(E150,'Data Additive'!E:E,'Data Additive'!E:E,0)</f>
        <v>1246014169</v>
      </c>
    </row>
    <row r="151" spans="1:18" x14ac:dyDescent="0.25">
      <c r="A151">
        <v>183</v>
      </c>
      <c r="B151" t="s">
        <v>33</v>
      </c>
      <c r="C151" t="s">
        <v>34</v>
      </c>
      <c r="D151" s="32">
        <v>5568.96</v>
      </c>
      <c r="E151">
        <v>1246014170</v>
      </c>
      <c r="F151" s="28">
        <v>53326</v>
      </c>
      <c r="H151" t="s">
        <v>23</v>
      </c>
      <c r="I151" t="s">
        <v>24</v>
      </c>
      <c r="J151">
        <v>8361</v>
      </c>
      <c r="K151" s="28">
        <v>43384</v>
      </c>
      <c r="L151">
        <v>1010100</v>
      </c>
      <c r="M151" t="s">
        <v>29</v>
      </c>
      <c r="N151">
        <v>161</v>
      </c>
      <c r="O151" t="s">
        <v>145</v>
      </c>
      <c r="P151" t="s">
        <v>448</v>
      </c>
      <c r="Q151">
        <f t="shared" si="2"/>
        <v>-7129</v>
      </c>
      <c r="R151">
        <f>_xlfn.XLOOKUP(E151,'Data Additive'!E:E,'Data Additive'!E:E,0)</f>
        <v>1246014170</v>
      </c>
    </row>
    <row r="152" spans="1:18" x14ac:dyDescent="0.25">
      <c r="A152">
        <v>183</v>
      </c>
      <c r="B152" t="s">
        <v>33</v>
      </c>
      <c r="C152" t="s">
        <v>34</v>
      </c>
      <c r="D152" s="32">
        <v>2487.06</v>
      </c>
      <c r="E152">
        <v>1246137877</v>
      </c>
      <c r="F152" s="28">
        <v>49673</v>
      </c>
      <c r="H152" t="s">
        <v>23</v>
      </c>
      <c r="I152" t="s">
        <v>24</v>
      </c>
      <c r="J152">
        <v>8361</v>
      </c>
      <c r="K152" s="28">
        <v>43384</v>
      </c>
      <c r="L152">
        <v>1010100</v>
      </c>
      <c r="M152" t="s">
        <v>29</v>
      </c>
      <c r="N152">
        <v>161</v>
      </c>
      <c r="O152" t="s">
        <v>145</v>
      </c>
      <c r="P152" t="s">
        <v>448</v>
      </c>
      <c r="Q152">
        <f t="shared" si="2"/>
        <v>-3476</v>
      </c>
      <c r="R152">
        <f>_xlfn.XLOOKUP(E152,'Data Additive'!E:E,'Data Additive'!E:E,0)</f>
        <v>1246137877</v>
      </c>
    </row>
    <row r="153" spans="1:18" x14ac:dyDescent="0.25">
      <c r="A153">
        <v>183</v>
      </c>
      <c r="B153" t="s">
        <v>33</v>
      </c>
      <c r="C153" t="s">
        <v>34</v>
      </c>
      <c r="D153" s="32">
        <v>2151.75</v>
      </c>
      <c r="E153">
        <v>1246265345</v>
      </c>
      <c r="F153" s="28">
        <v>47482</v>
      </c>
      <c r="H153" t="s">
        <v>23</v>
      </c>
      <c r="I153" t="s">
        <v>24</v>
      </c>
      <c r="J153">
        <v>8361</v>
      </c>
      <c r="K153" s="28">
        <v>43384</v>
      </c>
      <c r="L153">
        <v>1010100</v>
      </c>
      <c r="M153" t="s">
        <v>29</v>
      </c>
      <c r="N153">
        <v>161</v>
      </c>
      <c r="O153" t="s">
        <v>145</v>
      </c>
      <c r="P153" t="s">
        <v>448</v>
      </c>
      <c r="Q153">
        <f t="shared" si="2"/>
        <v>-1285</v>
      </c>
      <c r="R153">
        <f>_xlfn.XLOOKUP(E153,'Data Additive'!E:E,'Data Additive'!E:E,0)</f>
        <v>1246265345</v>
      </c>
    </row>
    <row r="154" spans="1:18" x14ac:dyDescent="0.25">
      <c r="A154">
        <v>183</v>
      </c>
      <c r="B154" t="s">
        <v>33</v>
      </c>
      <c r="C154" t="s">
        <v>34</v>
      </c>
      <c r="D154" s="32">
        <v>2104.2399999999998</v>
      </c>
      <c r="E154">
        <v>1246233818</v>
      </c>
      <c r="F154" s="28">
        <v>51134</v>
      </c>
      <c r="H154" t="s">
        <v>23</v>
      </c>
      <c r="I154" t="s">
        <v>24</v>
      </c>
      <c r="J154">
        <v>8361</v>
      </c>
      <c r="K154" s="28">
        <v>43384</v>
      </c>
      <c r="L154">
        <v>1010100</v>
      </c>
      <c r="M154" t="s">
        <v>29</v>
      </c>
      <c r="N154">
        <v>161</v>
      </c>
      <c r="O154" t="s">
        <v>145</v>
      </c>
      <c r="P154" t="s">
        <v>448</v>
      </c>
      <c r="Q154">
        <f t="shared" si="2"/>
        <v>-4937</v>
      </c>
      <c r="R154">
        <f>_xlfn.XLOOKUP(E154,'Data Additive'!E:E,'Data Additive'!E:E,0)</f>
        <v>1246233818</v>
      </c>
    </row>
    <row r="155" spans="1:18" x14ac:dyDescent="0.25">
      <c r="A155">
        <v>1023</v>
      </c>
      <c r="B155" t="s">
        <v>49</v>
      </c>
      <c r="C155" t="s">
        <v>772</v>
      </c>
      <c r="D155" s="32">
        <v>29520</v>
      </c>
      <c r="E155">
        <v>1246273185</v>
      </c>
      <c r="F155" s="28">
        <v>46202</v>
      </c>
      <c r="H155" t="s">
        <v>23</v>
      </c>
      <c r="I155" t="s">
        <v>24</v>
      </c>
      <c r="J155">
        <v>11269</v>
      </c>
      <c r="K155" s="28">
        <v>46142</v>
      </c>
      <c r="L155">
        <v>1010100</v>
      </c>
      <c r="M155" t="s">
        <v>29</v>
      </c>
      <c r="N155">
        <v>161</v>
      </c>
      <c r="O155" t="s">
        <v>145</v>
      </c>
      <c r="P155" t="s">
        <v>358</v>
      </c>
      <c r="Q155">
        <f t="shared" si="2"/>
        <v>-5</v>
      </c>
      <c r="R155">
        <f>_xlfn.XLOOKUP(E155,'Data Additive'!E:E,'Data Additive'!E:E,0)</f>
        <v>1246273185</v>
      </c>
    </row>
    <row r="156" spans="1:18" x14ac:dyDescent="0.25">
      <c r="A156">
        <v>1792</v>
      </c>
      <c r="B156" t="s">
        <v>697</v>
      </c>
      <c r="C156" t="s">
        <v>63</v>
      </c>
      <c r="D156" s="32">
        <v>116676.6</v>
      </c>
      <c r="E156">
        <v>1246272414</v>
      </c>
      <c r="F156" s="28">
        <v>46226</v>
      </c>
      <c r="H156" t="s">
        <v>23</v>
      </c>
      <c r="I156" t="s">
        <v>24</v>
      </c>
      <c r="J156">
        <v>11211</v>
      </c>
      <c r="K156" s="28">
        <v>46136</v>
      </c>
      <c r="L156">
        <v>1010100</v>
      </c>
      <c r="M156" t="s">
        <v>29</v>
      </c>
      <c r="N156">
        <v>161</v>
      </c>
      <c r="O156" t="s">
        <v>145</v>
      </c>
      <c r="P156" t="s">
        <v>449</v>
      </c>
      <c r="Q156">
        <f t="shared" si="2"/>
        <v>-29</v>
      </c>
      <c r="R156">
        <f>_xlfn.XLOOKUP(E156,'Data Additive'!E:E,'Data Additive'!E:E,0)</f>
        <v>1246272414</v>
      </c>
    </row>
    <row r="157" spans="1:18" x14ac:dyDescent="0.25">
      <c r="A157">
        <v>1792</v>
      </c>
      <c r="B157" t="s">
        <v>697</v>
      </c>
      <c r="C157" t="s">
        <v>63</v>
      </c>
      <c r="D157" s="32">
        <v>122099.76</v>
      </c>
      <c r="E157">
        <v>1246280065</v>
      </c>
      <c r="F157" s="28">
        <v>46281</v>
      </c>
      <c r="H157" t="s">
        <v>23</v>
      </c>
      <c r="I157" t="s">
        <v>24</v>
      </c>
      <c r="J157">
        <v>11744</v>
      </c>
      <c r="K157" s="28">
        <v>46191</v>
      </c>
      <c r="L157">
        <v>1010100</v>
      </c>
      <c r="M157" t="s">
        <v>29</v>
      </c>
      <c r="N157">
        <v>161</v>
      </c>
      <c r="O157" t="s">
        <v>145</v>
      </c>
      <c r="P157" t="s">
        <v>449</v>
      </c>
      <c r="Q157">
        <f t="shared" si="2"/>
        <v>-84</v>
      </c>
      <c r="R157">
        <f>_xlfn.XLOOKUP(E157,'Data Additive'!E:E,'Data Additive'!E:E,0)</f>
        <v>1246280065</v>
      </c>
    </row>
    <row r="158" spans="1:18" x14ac:dyDescent="0.25">
      <c r="A158">
        <v>1792</v>
      </c>
      <c r="B158" t="s">
        <v>697</v>
      </c>
      <c r="C158" t="s">
        <v>63</v>
      </c>
      <c r="D158" s="32">
        <v>118681.67</v>
      </c>
      <c r="E158">
        <v>1246275366</v>
      </c>
      <c r="F158" s="28">
        <v>46247</v>
      </c>
      <c r="H158" t="s">
        <v>23</v>
      </c>
      <c r="I158" t="s">
        <v>24</v>
      </c>
      <c r="J158">
        <v>11404</v>
      </c>
      <c r="K158" s="28">
        <v>46157</v>
      </c>
      <c r="L158">
        <v>1010100</v>
      </c>
      <c r="M158" t="s">
        <v>29</v>
      </c>
      <c r="N158">
        <v>161</v>
      </c>
      <c r="O158" t="s">
        <v>145</v>
      </c>
      <c r="P158" t="s">
        <v>449</v>
      </c>
      <c r="Q158">
        <f t="shared" si="2"/>
        <v>-50</v>
      </c>
      <c r="R158">
        <f>_xlfn.XLOOKUP(E158,'Data Additive'!E:E,'Data Additive'!E:E,0)</f>
        <v>1246275366</v>
      </c>
    </row>
    <row r="159" spans="1:18" x14ac:dyDescent="0.25">
      <c r="A159">
        <v>1792</v>
      </c>
      <c r="B159" t="s">
        <v>697</v>
      </c>
      <c r="C159" t="s">
        <v>63</v>
      </c>
      <c r="D159" s="32">
        <v>125133.29</v>
      </c>
      <c r="E159">
        <v>1246278374</v>
      </c>
      <c r="F159" s="28">
        <v>46268</v>
      </c>
      <c r="H159" t="s">
        <v>23</v>
      </c>
      <c r="I159" t="s">
        <v>24</v>
      </c>
      <c r="J159">
        <v>11610</v>
      </c>
      <c r="K159" s="28">
        <v>46178</v>
      </c>
      <c r="L159">
        <v>1010100</v>
      </c>
      <c r="M159" t="s">
        <v>29</v>
      </c>
      <c r="N159">
        <v>161</v>
      </c>
      <c r="O159" t="s">
        <v>145</v>
      </c>
      <c r="P159" t="s">
        <v>449</v>
      </c>
      <c r="Q159">
        <f t="shared" si="2"/>
        <v>-71</v>
      </c>
      <c r="R159">
        <f>_xlfn.XLOOKUP(E159,'Data Additive'!E:E,'Data Additive'!E:E,0)</f>
        <v>1246278374</v>
      </c>
    </row>
    <row r="160" spans="1:18" x14ac:dyDescent="0.25">
      <c r="A160">
        <v>1792</v>
      </c>
      <c r="B160" t="s">
        <v>697</v>
      </c>
      <c r="C160" t="s">
        <v>63</v>
      </c>
      <c r="D160" s="32">
        <v>118092.47</v>
      </c>
      <c r="E160">
        <v>1246277506</v>
      </c>
      <c r="F160" s="28">
        <v>46261</v>
      </c>
      <c r="H160" t="s">
        <v>23</v>
      </c>
      <c r="I160" t="s">
        <v>24</v>
      </c>
      <c r="J160">
        <v>11561</v>
      </c>
      <c r="K160" s="28">
        <v>46171</v>
      </c>
      <c r="L160">
        <v>1010100</v>
      </c>
      <c r="M160" t="s">
        <v>29</v>
      </c>
      <c r="N160">
        <v>161</v>
      </c>
      <c r="O160" t="s">
        <v>145</v>
      </c>
      <c r="P160" t="s">
        <v>449</v>
      </c>
      <c r="Q160">
        <f t="shared" si="2"/>
        <v>-64</v>
      </c>
      <c r="R160">
        <f>_xlfn.XLOOKUP(E160,'Data Additive'!E:E,'Data Additive'!E:E,0)</f>
        <v>1246277506</v>
      </c>
    </row>
    <row r="161" spans="1:18" x14ac:dyDescent="0.25">
      <c r="A161">
        <v>1792</v>
      </c>
      <c r="B161" t="s">
        <v>697</v>
      </c>
      <c r="C161" t="s">
        <v>63</v>
      </c>
      <c r="D161" s="32">
        <v>117260.4</v>
      </c>
      <c r="E161">
        <v>1246270521</v>
      </c>
      <c r="F161" s="28">
        <v>46209</v>
      </c>
      <c r="H161" t="s">
        <v>23</v>
      </c>
      <c r="I161" t="s">
        <v>24</v>
      </c>
      <c r="J161">
        <v>11066</v>
      </c>
      <c r="K161" s="28">
        <v>46119</v>
      </c>
      <c r="L161">
        <v>1010100</v>
      </c>
      <c r="M161" t="s">
        <v>29</v>
      </c>
      <c r="N161">
        <v>161</v>
      </c>
      <c r="O161" t="s">
        <v>145</v>
      </c>
      <c r="P161" t="s">
        <v>449</v>
      </c>
      <c r="Q161">
        <f t="shared" si="2"/>
        <v>-12</v>
      </c>
      <c r="R161">
        <f>_xlfn.XLOOKUP(E161,'Data Additive'!E:E,'Data Additive'!E:E,0)</f>
        <v>1246270521</v>
      </c>
    </row>
    <row r="162" spans="1:18" x14ac:dyDescent="0.25">
      <c r="A162">
        <v>1792</v>
      </c>
      <c r="B162" t="s">
        <v>697</v>
      </c>
      <c r="C162" t="s">
        <v>63</v>
      </c>
      <c r="D162" s="32">
        <v>118892.1</v>
      </c>
      <c r="E162">
        <v>1246276278</v>
      </c>
      <c r="F162" s="28">
        <v>46254</v>
      </c>
      <c r="H162" t="s">
        <v>23</v>
      </c>
      <c r="I162" t="s">
        <v>24</v>
      </c>
      <c r="J162">
        <v>11472</v>
      </c>
      <c r="K162" s="28">
        <v>46164</v>
      </c>
      <c r="L162">
        <v>1010100</v>
      </c>
      <c r="M162" t="s">
        <v>29</v>
      </c>
      <c r="N162">
        <v>161</v>
      </c>
      <c r="O162" t="s">
        <v>145</v>
      </c>
      <c r="P162" t="s">
        <v>449</v>
      </c>
      <c r="Q162">
        <f t="shared" si="2"/>
        <v>-57</v>
      </c>
      <c r="R162">
        <f>_xlfn.XLOOKUP(E162,'Data Additive'!E:E,'Data Additive'!E:E,0)</f>
        <v>1246276278</v>
      </c>
    </row>
    <row r="163" spans="1:18" x14ac:dyDescent="0.25">
      <c r="A163">
        <v>1792</v>
      </c>
      <c r="B163" t="s">
        <v>697</v>
      </c>
      <c r="C163" t="s">
        <v>63</v>
      </c>
      <c r="D163" s="32">
        <v>123661.14</v>
      </c>
      <c r="E163">
        <v>1246280265</v>
      </c>
      <c r="F163" s="28">
        <v>46282</v>
      </c>
      <c r="H163" t="s">
        <v>23</v>
      </c>
      <c r="I163" t="s">
        <v>24</v>
      </c>
      <c r="J163">
        <v>11766</v>
      </c>
      <c r="K163" s="28">
        <v>46192</v>
      </c>
      <c r="L163">
        <v>1010100</v>
      </c>
      <c r="M163" t="s">
        <v>29</v>
      </c>
      <c r="N163">
        <v>161</v>
      </c>
      <c r="O163" t="s">
        <v>145</v>
      </c>
      <c r="P163" t="s">
        <v>449</v>
      </c>
      <c r="Q163">
        <f t="shared" ref="Q163:Q205" si="3">$R$1-F163</f>
        <v>-85</v>
      </c>
      <c r="R163">
        <f>_xlfn.XLOOKUP(E163,'Data Additive'!E:E,'Data Additive'!E:E,0)</f>
        <v>1246280265</v>
      </c>
    </row>
    <row r="164" spans="1:18" x14ac:dyDescent="0.25">
      <c r="A164">
        <v>1792</v>
      </c>
      <c r="B164" t="s">
        <v>697</v>
      </c>
      <c r="C164" t="s">
        <v>63</v>
      </c>
      <c r="D164" s="32">
        <v>115675.8</v>
      </c>
      <c r="E164">
        <v>1246273463</v>
      </c>
      <c r="F164" s="28">
        <v>46236</v>
      </c>
      <c r="H164" t="s">
        <v>23</v>
      </c>
      <c r="I164" t="s">
        <v>24</v>
      </c>
      <c r="J164">
        <v>11288</v>
      </c>
      <c r="K164" s="28">
        <v>46146</v>
      </c>
      <c r="L164">
        <v>1010100</v>
      </c>
      <c r="M164" t="s">
        <v>29</v>
      </c>
      <c r="N164">
        <v>161</v>
      </c>
      <c r="O164" t="s">
        <v>145</v>
      </c>
      <c r="P164" t="s">
        <v>449</v>
      </c>
      <c r="Q164">
        <f t="shared" si="3"/>
        <v>-39</v>
      </c>
      <c r="R164">
        <f>_xlfn.XLOOKUP(E164,'Data Additive'!E:E,'Data Additive'!E:E,0)</f>
        <v>1246273463</v>
      </c>
    </row>
    <row r="165" spans="1:18" x14ac:dyDescent="0.25">
      <c r="A165">
        <v>1792</v>
      </c>
      <c r="B165" t="s">
        <v>697</v>
      </c>
      <c r="C165" t="s">
        <v>63</v>
      </c>
      <c r="D165" s="32">
        <v>127140.78</v>
      </c>
      <c r="E165">
        <v>1246278949</v>
      </c>
      <c r="F165" s="28">
        <v>46273</v>
      </c>
      <c r="H165" t="s">
        <v>23</v>
      </c>
      <c r="I165" t="s">
        <v>24</v>
      </c>
      <c r="J165">
        <v>11665</v>
      </c>
      <c r="K165" s="28">
        <v>46183</v>
      </c>
      <c r="L165">
        <v>1010100</v>
      </c>
      <c r="M165" t="s">
        <v>29</v>
      </c>
      <c r="N165">
        <v>161</v>
      </c>
      <c r="O165" t="s">
        <v>145</v>
      </c>
      <c r="P165" t="s">
        <v>449</v>
      </c>
      <c r="Q165">
        <f t="shared" si="3"/>
        <v>-76</v>
      </c>
      <c r="R165">
        <f>_xlfn.XLOOKUP(E165,'Data Additive'!E:E,'Data Additive'!E:E,0)</f>
        <v>1246278949</v>
      </c>
    </row>
    <row r="166" spans="1:18" x14ac:dyDescent="0.25">
      <c r="A166">
        <v>1792</v>
      </c>
      <c r="B166" t="s">
        <v>697</v>
      </c>
      <c r="C166" t="s">
        <v>63</v>
      </c>
      <c r="D166" s="32">
        <v>115314.82</v>
      </c>
      <c r="E166">
        <v>1246274283</v>
      </c>
      <c r="F166" s="28">
        <v>46243</v>
      </c>
      <c r="H166" t="s">
        <v>23</v>
      </c>
      <c r="I166" t="s">
        <v>24</v>
      </c>
      <c r="J166">
        <v>11341</v>
      </c>
      <c r="K166" s="28">
        <v>46153</v>
      </c>
      <c r="L166">
        <v>1010100</v>
      </c>
      <c r="M166" t="s">
        <v>29</v>
      </c>
      <c r="N166">
        <v>161</v>
      </c>
      <c r="O166" t="s">
        <v>145</v>
      </c>
      <c r="P166" t="s">
        <v>449</v>
      </c>
      <c r="Q166">
        <f t="shared" si="3"/>
        <v>-46</v>
      </c>
      <c r="R166">
        <f>_xlfn.XLOOKUP(E166,'Data Additive'!E:E,'Data Additive'!E:E,0)</f>
        <v>1246274283</v>
      </c>
    </row>
    <row r="167" spans="1:18" x14ac:dyDescent="0.25">
      <c r="A167">
        <v>1792</v>
      </c>
      <c r="B167" t="s">
        <v>697</v>
      </c>
      <c r="C167" t="s">
        <v>63</v>
      </c>
      <c r="D167" s="32">
        <v>116760</v>
      </c>
      <c r="E167">
        <v>1246270240</v>
      </c>
      <c r="F167" s="28">
        <v>46204</v>
      </c>
      <c r="H167" t="s">
        <v>23</v>
      </c>
      <c r="I167" t="s">
        <v>24</v>
      </c>
      <c r="J167">
        <v>11049</v>
      </c>
      <c r="K167" s="28">
        <v>46114</v>
      </c>
      <c r="L167">
        <v>1010100</v>
      </c>
      <c r="M167" t="s">
        <v>29</v>
      </c>
      <c r="N167">
        <v>161</v>
      </c>
      <c r="O167" t="s">
        <v>145</v>
      </c>
      <c r="P167" t="s">
        <v>449</v>
      </c>
      <c r="Q167">
        <f t="shared" si="3"/>
        <v>-7</v>
      </c>
      <c r="R167">
        <f>_xlfn.XLOOKUP(E167,'Data Additive'!E:E,'Data Additive'!E:E,0)</f>
        <v>1246270240</v>
      </c>
    </row>
    <row r="168" spans="1:18" x14ac:dyDescent="0.25">
      <c r="A168">
        <v>1792</v>
      </c>
      <c r="B168" t="s">
        <v>697</v>
      </c>
      <c r="C168" t="s">
        <v>63</v>
      </c>
      <c r="D168" s="32">
        <v>117051.9</v>
      </c>
      <c r="E168">
        <v>1246269741</v>
      </c>
      <c r="F168" s="28">
        <v>46202</v>
      </c>
      <c r="H168" t="s">
        <v>23</v>
      </c>
      <c r="I168" t="s">
        <v>24</v>
      </c>
      <c r="J168">
        <v>11015</v>
      </c>
      <c r="K168" s="28">
        <v>46112</v>
      </c>
      <c r="L168">
        <v>1010100</v>
      </c>
      <c r="M168" t="s">
        <v>29</v>
      </c>
      <c r="N168">
        <v>161</v>
      </c>
      <c r="O168" t="s">
        <v>145</v>
      </c>
      <c r="P168" t="s">
        <v>449</v>
      </c>
      <c r="Q168">
        <f t="shared" si="3"/>
        <v>-5</v>
      </c>
      <c r="R168">
        <f>_xlfn.XLOOKUP(E168,'Data Additive'!E:E,'Data Additive'!E:E,0)</f>
        <v>1246269741</v>
      </c>
    </row>
    <row r="169" spans="1:18" x14ac:dyDescent="0.25">
      <c r="A169">
        <v>1792</v>
      </c>
      <c r="B169" t="s">
        <v>697</v>
      </c>
      <c r="C169" t="s">
        <v>63</v>
      </c>
      <c r="D169" s="32">
        <v>125088.68</v>
      </c>
      <c r="E169">
        <v>1246281177</v>
      </c>
      <c r="F169" s="28">
        <v>46288</v>
      </c>
      <c r="H169" t="s">
        <v>23</v>
      </c>
      <c r="I169" t="s">
        <v>24</v>
      </c>
      <c r="J169">
        <v>11822</v>
      </c>
      <c r="K169" s="28">
        <v>46198</v>
      </c>
      <c r="L169">
        <v>1010100</v>
      </c>
      <c r="M169" t="s">
        <v>29</v>
      </c>
      <c r="N169">
        <v>161</v>
      </c>
      <c r="O169" t="s">
        <v>145</v>
      </c>
      <c r="P169" t="s">
        <v>449</v>
      </c>
      <c r="Q169">
        <f t="shared" si="3"/>
        <v>-91</v>
      </c>
      <c r="R169">
        <f>_xlfn.XLOOKUP(E169,'Data Additive'!E:E,'Data Additive'!E:E,0)</f>
        <v>1246281177</v>
      </c>
    </row>
    <row r="170" spans="1:18" x14ac:dyDescent="0.25">
      <c r="A170">
        <v>1792</v>
      </c>
      <c r="B170" t="s">
        <v>697</v>
      </c>
      <c r="C170" t="s">
        <v>63</v>
      </c>
      <c r="D170" s="32">
        <v>115842.6</v>
      </c>
      <c r="E170">
        <v>1246271433</v>
      </c>
      <c r="F170" s="28">
        <v>46217</v>
      </c>
      <c r="H170" t="s">
        <v>23</v>
      </c>
      <c r="I170" t="s">
        <v>24</v>
      </c>
      <c r="J170">
        <v>11125</v>
      </c>
      <c r="K170" s="28">
        <v>46127</v>
      </c>
      <c r="L170">
        <v>1010100</v>
      </c>
      <c r="M170" t="s">
        <v>29</v>
      </c>
      <c r="N170">
        <v>161</v>
      </c>
      <c r="O170" t="s">
        <v>145</v>
      </c>
      <c r="P170" t="s">
        <v>449</v>
      </c>
      <c r="Q170">
        <f t="shared" si="3"/>
        <v>-20</v>
      </c>
      <c r="R170">
        <f>_xlfn.XLOOKUP(E170,'Data Additive'!E:E,'Data Additive'!E:E,0)</f>
        <v>1246271433</v>
      </c>
    </row>
    <row r="171" spans="1:18" x14ac:dyDescent="0.25">
      <c r="A171">
        <v>1792</v>
      </c>
      <c r="B171" t="s">
        <v>697</v>
      </c>
      <c r="C171" t="s">
        <v>63</v>
      </c>
      <c r="D171" s="32">
        <v>116134.5</v>
      </c>
      <c r="E171">
        <v>1246271003</v>
      </c>
      <c r="F171" s="28">
        <v>46212</v>
      </c>
      <c r="H171" t="s">
        <v>23</v>
      </c>
      <c r="I171" t="s">
        <v>24</v>
      </c>
      <c r="J171">
        <v>11092</v>
      </c>
      <c r="K171" s="28">
        <v>46122</v>
      </c>
      <c r="L171">
        <v>1010100</v>
      </c>
      <c r="M171" t="s">
        <v>29</v>
      </c>
      <c r="N171">
        <v>161</v>
      </c>
      <c r="O171" t="s">
        <v>145</v>
      </c>
      <c r="P171" t="s">
        <v>449</v>
      </c>
      <c r="Q171">
        <f t="shared" si="3"/>
        <v>-15</v>
      </c>
      <c r="R171">
        <f>_xlfn.XLOOKUP(E171,'Data Additive'!E:E,'Data Additive'!E:E,0)</f>
        <v>1246271003</v>
      </c>
    </row>
    <row r="172" spans="1:18" x14ac:dyDescent="0.25">
      <c r="A172">
        <v>1792</v>
      </c>
      <c r="B172" t="s">
        <v>697</v>
      </c>
      <c r="C172" t="s">
        <v>63</v>
      </c>
      <c r="D172" s="32">
        <v>120471.3</v>
      </c>
      <c r="E172">
        <v>1246272043</v>
      </c>
      <c r="F172" s="28">
        <v>46224</v>
      </c>
      <c r="H172" t="s">
        <v>23</v>
      </c>
      <c r="I172" t="s">
        <v>24</v>
      </c>
      <c r="J172">
        <v>11190</v>
      </c>
      <c r="K172" s="28">
        <v>46134</v>
      </c>
      <c r="L172">
        <v>1010100</v>
      </c>
      <c r="M172" t="s">
        <v>29</v>
      </c>
      <c r="N172">
        <v>161</v>
      </c>
      <c r="O172" t="s">
        <v>145</v>
      </c>
      <c r="P172" t="s">
        <v>449</v>
      </c>
      <c r="Q172">
        <f t="shared" si="3"/>
        <v>-27</v>
      </c>
      <c r="R172">
        <f>_xlfn.XLOOKUP(E172,'Data Additive'!E:E,'Data Additive'!E:E,0)</f>
        <v>1246272043</v>
      </c>
    </row>
    <row r="173" spans="1:18" x14ac:dyDescent="0.25">
      <c r="A173">
        <v>506</v>
      </c>
      <c r="B173" t="s">
        <v>1039</v>
      </c>
      <c r="C173" t="s">
        <v>15620</v>
      </c>
      <c r="D173" s="32">
        <v>68500</v>
      </c>
      <c r="E173">
        <v>1246280475</v>
      </c>
      <c r="F173" s="28">
        <v>46223</v>
      </c>
      <c r="H173" t="s">
        <v>23</v>
      </c>
      <c r="I173" t="s">
        <v>24</v>
      </c>
      <c r="J173">
        <v>11786</v>
      </c>
      <c r="K173" s="28">
        <v>46195</v>
      </c>
      <c r="L173">
        <v>1010100</v>
      </c>
      <c r="M173" t="s">
        <v>29</v>
      </c>
      <c r="N173">
        <v>161</v>
      </c>
      <c r="O173" t="s">
        <v>145</v>
      </c>
      <c r="P173" t="s">
        <v>508</v>
      </c>
      <c r="Q173">
        <f t="shared" si="3"/>
        <v>-26</v>
      </c>
      <c r="R173">
        <f>_xlfn.XLOOKUP(E173,'Data Additive'!E:E,'Data Additive'!E:E,0)</f>
        <v>1246280475</v>
      </c>
    </row>
    <row r="174" spans="1:18" x14ac:dyDescent="0.25">
      <c r="A174">
        <v>201</v>
      </c>
      <c r="B174" t="s">
        <v>288</v>
      </c>
      <c r="C174" t="s">
        <v>758</v>
      </c>
      <c r="D174" s="32">
        <v>185040</v>
      </c>
      <c r="E174">
        <v>1246269671</v>
      </c>
      <c r="F174" s="28">
        <v>46231</v>
      </c>
      <c r="H174" t="s">
        <v>23</v>
      </c>
      <c r="I174" t="s">
        <v>24</v>
      </c>
      <c r="J174">
        <v>2855</v>
      </c>
      <c r="K174" s="28">
        <v>46111</v>
      </c>
      <c r="L174">
        <v>1010100</v>
      </c>
      <c r="M174" t="s">
        <v>29</v>
      </c>
      <c r="N174">
        <v>161</v>
      </c>
      <c r="O174" t="s">
        <v>145</v>
      </c>
      <c r="P174" t="s">
        <v>369</v>
      </c>
      <c r="Q174">
        <f t="shared" si="3"/>
        <v>-34</v>
      </c>
      <c r="R174">
        <f>_xlfn.XLOOKUP(E174,'Data Additive'!E:E,'Data Additive'!E:E,0)</f>
        <v>1246269671</v>
      </c>
    </row>
    <row r="175" spans="1:18" x14ac:dyDescent="0.25">
      <c r="A175">
        <v>903</v>
      </c>
      <c r="B175" t="s">
        <v>47</v>
      </c>
      <c r="C175" t="s">
        <v>48</v>
      </c>
      <c r="D175" s="32">
        <v>135585.18</v>
      </c>
      <c r="E175">
        <v>1246279165</v>
      </c>
      <c r="F175" s="28">
        <v>46224</v>
      </c>
      <c r="H175" t="s">
        <v>23</v>
      </c>
      <c r="I175" t="s">
        <v>24</v>
      </c>
      <c r="J175">
        <v>11676</v>
      </c>
      <c r="K175" s="28">
        <v>46184</v>
      </c>
      <c r="L175">
        <v>1010100</v>
      </c>
      <c r="M175" t="s">
        <v>29</v>
      </c>
      <c r="N175">
        <v>161</v>
      </c>
      <c r="O175" t="s">
        <v>145</v>
      </c>
      <c r="P175" t="s">
        <v>359</v>
      </c>
      <c r="Q175">
        <f t="shared" si="3"/>
        <v>-27</v>
      </c>
      <c r="R175">
        <f>_xlfn.XLOOKUP(E175,'Data Additive'!E:E,'Data Additive'!E:E,0)</f>
        <v>1246279165</v>
      </c>
    </row>
    <row r="176" spans="1:18" x14ac:dyDescent="0.25">
      <c r="A176">
        <v>903</v>
      </c>
      <c r="B176" t="s">
        <v>47</v>
      </c>
      <c r="C176" t="s">
        <v>48</v>
      </c>
      <c r="D176" s="32">
        <v>134144.70000000001</v>
      </c>
      <c r="E176">
        <v>1246275599</v>
      </c>
      <c r="F176" s="28">
        <v>46200</v>
      </c>
      <c r="H176" t="s">
        <v>23</v>
      </c>
      <c r="I176" t="s">
        <v>24</v>
      </c>
      <c r="J176">
        <v>11425</v>
      </c>
      <c r="K176" s="28">
        <v>46160</v>
      </c>
      <c r="L176">
        <v>1010100</v>
      </c>
      <c r="M176" t="s">
        <v>29</v>
      </c>
      <c r="N176">
        <v>161</v>
      </c>
      <c r="O176" t="s">
        <v>145</v>
      </c>
      <c r="P176" t="s">
        <v>359</v>
      </c>
      <c r="Q176">
        <f t="shared" si="3"/>
        <v>-3</v>
      </c>
      <c r="R176">
        <f>_xlfn.XLOOKUP(E176,'Data Additive'!E:E,'Data Additive'!E:E,0)</f>
        <v>1246275599</v>
      </c>
    </row>
    <row r="177" spans="1:18" x14ac:dyDescent="0.25">
      <c r="A177">
        <v>903</v>
      </c>
      <c r="B177" t="s">
        <v>47</v>
      </c>
      <c r="C177" t="s">
        <v>48</v>
      </c>
      <c r="D177" s="32">
        <v>134504.82</v>
      </c>
      <c r="E177">
        <v>1246280867</v>
      </c>
      <c r="F177" s="28">
        <v>46237</v>
      </c>
      <c r="H177" t="s">
        <v>23</v>
      </c>
      <c r="I177" t="s">
        <v>24</v>
      </c>
      <c r="J177">
        <v>11807</v>
      </c>
      <c r="K177" s="28">
        <v>46197</v>
      </c>
      <c r="L177">
        <v>1010100</v>
      </c>
      <c r="M177" t="s">
        <v>29</v>
      </c>
      <c r="N177">
        <v>161</v>
      </c>
      <c r="O177" t="s">
        <v>145</v>
      </c>
      <c r="P177" t="s">
        <v>359</v>
      </c>
      <c r="Q177">
        <f t="shared" si="3"/>
        <v>-40</v>
      </c>
      <c r="R177">
        <f>_xlfn.XLOOKUP(E177,'Data Additive'!E:E,'Data Additive'!E:E,0)</f>
        <v>1246280867</v>
      </c>
    </row>
    <row r="178" spans="1:18" x14ac:dyDescent="0.25">
      <c r="A178">
        <v>903</v>
      </c>
      <c r="B178" t="s">
        <v>47</v>
      </c>
      <c r="C178" t="s">
        <v>48</v>
      </c>
      <c r="D178" s="32">
        <v>134864.94</v>
      </c>
      <c r="E178">
        <v>1246277080</v>
      </c>
      <c r="F178" s="28">
        <v>46209</v>
      </c>
      <c r="H178" t="s">
        <v>23</v>
      </c>
      <c r="I178" t="s">
        <v>24</v>
      </c>
      <c r="J178">
        <v>11515</v>
      </c>
      <c r="K178" s="28">
        <v>46169</v>
      </c>
      <c r="L178">
        <v>1010100</v>
      </c>
      <c r="M178" t="s">
        <v>29</v>
      </c>
      <c r="N178">
        <v>161</v>
      </c>
      <c r="O178" t="s">
        <v>145</v>
      </c>
      <c r="P178" t="s">
        <v>359</v>
      </c>
      <c r="Q178">
        <f t="shared" si="3"/>
        <v>-12</v>
      </c>
      <c r="R178">
        <f>_xlfn.XLOOKUP(E178,'Data Additive'!E:E,'Data Additive'!E:E,0)</f>
        <v>1246277080</v>
      </c>
    </row>
    <row r="179" spans="1:18" x14ac:dyDescent="0.25">
      <c r="A179">
        <v>903</v>
      </c>
      <c r="B179" t="s">
        <v>47</v>
      </c>
      <c r="C179" t="s">
        <v>48</v>
      </c>
      <c r="D179" s="32">
        <v>136035.32999999999</v>
      </c>
      <c r="E179">
        <v>1246278330</v>
      </c>
      <c r="F179" s="28">
        <v>46218</v>
      </c>
      <c r="H179" t="s">
        <v>23</v>
      </c>
      <c r="I179" t="s">
        <v>24</v>
      </c>
      <c r="J179">
        <v>11606</v>
      </c>
      <c r="K179" s="28">
        <v>46178</v>
      </c>
      <c r="L179">
        <v>1010100</v>
      </c>
      <c r="M179" t="s">
        <v>29</v>
      </c>
      <c r="N179">
        <v>161</v>
      </c>
      <c r="O179" t="s">
        <v>145</v>
      </c>
      <c r="P179" t="s">
        <v>359</v>
      </c>
      <c r="Q179">
        <f t="shared" si="3"/>
        <v>-21</v>
      </c>
      <c r="R179">
        <f>_xlfn.XLOOKUP(E179,'Data Additive'!E:E,'Data Additive'!E:E,0)</f>
        <v>1246278330</v>
      </c>
    </row>
    <row r="180" spans="1:18" x14ac:dyDescent="0.25">
      <c r="A180">
        <v>903</v>
      </c>
      <c r="B180" t="s">
        <v>47</v>
      </c>
      <c r="C180" t="s">
        <v>48</v>
      </c>
      <c r="D180" s="32">
        <v>135405.12</v>
      </c>
      <c r="E180">
        <v>1246276406</v>
      </c>
      <c r="F180" s="28">
        <v>46204</v>
      </c>
      <c r="H180" t="s">
        <v>23</v>
      </c>
      <c r="I180" t="s">
        <v>24</v>
      </c>
      <c r="J180">
        <v>11479</v>
      </c>
      <c r="K180" s="28">
        <v>46164</v>
      </c>
      <c r="L180">
        <v>1010100</v>
      </c>
      <c r="M180" t="s">
        <v>29</v>
      </c>
      <c r="N180">
        <v>161</v>
      </c>
      <c r="O180" t="s">
        <v>145</v>
      </c>
      <c r="P180" t="s">
        <v>359</v>
      </c>
      <c r="Q180">
        <f t="shared" si="3"/>
        <v>-7</v>
      </c>
      <c r="R180">
        <f>_xlfn.XLOOKUP(E180,'Data Additive'!E:E,'Data Additive'!E:E,0)</f>
        <v>1246276406</v>
      </c>
    </row>
    <row r="181" spans="1:18" x14ac:dyDescent="0.25">
      <c r="A181">
        <v>903</v>
      </c>
      <c r="B181" t="s">
        <v>47</v>
      </c>
      <c r="C181" t="s">
        <v>48</v>
      </c>
      <c r="D181" s="32">
        <v>134594.85</v>
      </c>
      <c r="E181">
        <v>1246280145</v>
      </c>
      <c r="F181" s="28">
        <v>46231</v>
      </c>
      <c r="H181" t="s">
        <v>23</v>
      </c>
      <c r="I181" t="s">
        <v>24</v>
      </c>
      <c r="J181">
        <v>11754</v>
      </c>
      <c r="K181" s="28">
        <v>46191</v>
      </c>
      <c r="L181">
        <v>1010100</v>
      </c>
      <c r="M181" t="s">
        <v>29</v>
      </c>
      <c r="N181">
        <v>161</v>
      </c>
      <c r="O181" t="s">
        <v>145</v>
      </c>
      <c r="P181" t="s">
        <v>359</v>
      </c>
      <c r="Q181">
        <f t="shared" si="3"/>
        <v>-34</v>
      </c>
      <c r="R181">
        <f>_xlfn.XLOOKUP(E181,'Data Additive'!E:E,'Data Additive'!E:E,0)</f>
        <v>1246280145</v>
      </c>
    </row>
    <row r="182" spans="1:18" x14ac:dyDescent="0.25">
      <c r="A182">
        <v>86</v>
      </c>
      <c r="B182" t="s">
        <v>31</v>
      </c>
      <c r="C182" t="s">
        <v>773</v>
      </c>
      <c r="D182" s="32">
        <v>35810</v>
      </c>
      <c r="E182">
        <v>1246273225</v>
      </c>
      <c r="F182" s="28">
        <v>46202</v>
      </c>
      <c r="H182" t="s">
        <v>23</v>
      </c>
      <c r="I182" t="s">
        <v>24</v>
      </c>
      <c r="J182">
        <v>11271</v>
      </c>
      <c r="K182" s="28">
        <v>46142</v>
      </c>
      <c r="L182">
        <v>1010100</v>
      </c>
      <c r="M182" t="s">
        <v>29</v>
      </c>
      <c r="N182">
        <v>161</v>
      </c>
      <c r="O182" t="s">
        <v>145</v>
      </c>
      <c r="P182" t="s">
        <v>358</v>
      </c>
      <c r="Q182">
        <f t="shared" si="3"/>
        <v>-5</v>
      </c>
      <c r="R182">
        <f>_xlfn.XLOOKUP(E182,'Data Additive'!E:E,'Data Additive'!E:E,0)</f>
        <v>1246273225</v>
      </c>
    </row>
    <row r="183" spans="1:18" x14ac:dyDescent="0.25">
      <c r="A183">
        <v>86</v>
      </c>
      <c r="B183" t="s">
        <v>31</v>
      </c>
      <c r="C183" t="s">
        <v>773</v>
      </c>
      <c r="D183" s="32">
        <v>35810</v>
      </c>
      <c r="E183">
        <v>1246279195</v>
      </c>
      <c r="F183" s="28">
        <v>46244</v>
      </c>
      <c r="H183" t="s">
        <v>23</v>
      </c>
      <c r="I183" t="s">
        <v>24</v>
      </c>
      <c r="J183">
        <v>11680</v>
      </c>
      <c r="K183" s="28">
        <v>46184</v>
      </c>
      <c r="L183">
        <v>1010100</v>
      </c>
      <c r="M183" t="s">
        <v>29</v>
      </c>
      <c r="N183">
        <v>161</v>
      </c>
      <c r="O183" t="s">
        <v>145</v>
      </c>
      <c r="P183" t="s">
        <v>358</v>
      </c>
      <c r="Q183">
        <f t="shared" si="3"/>
        <v>-47</v>
      </c>
      <c r="R183">
        <f>_xlfn.XLOOKUP(E183,'Data Additive'!E:E,'Data Additive'!E:E,0)</f>
        <v>1246279195</v>
      </c>
    </row>
    <row r="184" spans="1:18" x14ac:dyDescent="0.25">
      <c r="A184">
        <v>1159</v>
      </c>
      <c r="B184" t="s">
        <v>50</v>
      </c>
      <c r="C184" t="s">
        <v>51</v>
      </c>
      <c r="D184" s="32">
        <v>1458</v>
      </c>
      <c r="E184">
        <v>1246148463</v>
      </c>
      <c r="F184" s="28">
        <v>45443</v>
      </c>
      <c r="H184" t="s">
        <v>23</v>
      </c>
      <c r="I184" t="s">
        <v>24</v>
      </c>
      <c r="J184">
        <v>3446</v>
      </c>
      <c r="K184" s="28">
        <v>45415</v>
      </c>
      <c r="L184">
        <v>1010100</v>
      </c>
      <c r="M184" t="s">
        <v>29</v>
      </c>
      <c r="N184">
        <v>161</v>
      </c>
      <c r="O184" t="s">
        <v>145</v>
      </c>
      <c r="P184" t="s">
        <v>359</v>
      </c>
      <c r="Q184">
        <f t="shared" si="3"/>
        <v>754</v>
      </c>
      <c r="R184">
        <f>_xlfn.XLOOKUP(E184,'Data Additive'!E:E,'Data Additive'!E:E,0)</f>
        <v>1246148463</v>
      </c>
    </row>
    <row r="185" spans="1:18" x14ac:dyDescent="0.25">
      <c r="A185">
        <v>1159</v>
      </c>
      <c r="B185" t="s">
        <v>50</v>
      </c>
      <c r="C185" t="s">
        <v>51</v>
      </c>
      <c r="D185" s="32">
        <v>272103.12</v>
      </c>
      <c r="E185">
        <v>1246279380</v>
      </c>
      <c r="F185" s="28">
        <v>46225</v>
      </c>
      <c r="H185" t="s">
        <v>23</v>
      </c>
      <c r="I185" t="s">
        <v>24</v>
      </c>
      <c r="J185">
        <v>11698</v>
      </c>
      <c r="K185" s="28">
        <v>46185</v>
      </c>
      <c r="L185">
        <v>1010100</v>
      </c>
      <c r="M185" t="s">
        <v>29</v>
      </c>
      <c r="N185">
        <v>161</v>
      </c>
      <c r="O185" t="s">
        <v>145</v>
      </c>
      <c r="P185" t="s">
        <v>359</v>
      </c>
      <c r="Q185">
        <f t="shared" si="3"/>
        <v>-28</v>
      </c>
      <c r="R185">
        <f>_xlfn.XLOOKUP(E185,'Data Additive'!E:E,'Data Additive'!E:E,0)</f>
        <v>1246279380</v>
      </c>
    </row>
    <row r="186" spans="1:18" x14ac:dyDescent="0.25">
      <c r="A186">
        <v>1159</v>
      </c>
      <c r="B186" t="s">
        <v>50</v>
      </c>
      <c r="C186" t="s">
        <v>51</v>
      </c>
      <c r="D186" s="32">
        <v>270111.68</v>
      </c>
      <c r="E186">
        <v>1246279519</v>
      </c>
      <c r="F186" s="28">
        <v>46228</v>
      </c>
      <c r="H186" t="s">
        <v>23</v>
      </c>
      <c r="I186" t="s">
        <v>24</v>
      </c>
      <c r="J186">
        <v>11711</v>
      </c>
      <c r="K186" s="28">
        <v>46188</v>
      </c>
      <c r="L186">
        <v>1010100</v>
      </c>
      <c r="M186" t="s">
        <v>29</v>
      </c>
      <c r="N186">
        <v>161</v>
      </c>
      <c r="O186" t="s">
        <v>145</v>
      </c>
      <c r="P186" t="s">
        <v>359</v>
      </c>
      <c r="Q186">
        <f t="shared" si="3"/>
        <v>-31</v>
      </c>
      <c r="R186">
        <f>_xlfn.XLOOKUP(E186,'Data Additive'!E:E,'Data Additive'!E:E,0)</f>
        <v>1246279519</v>
      </c>
    </row>
    <row r="187" spans="1:18" x14ac:dyDescent="0.25">
      <c r="A187">
        <v>1159</v>
      </c>
      <c r="B187" t="s">
        <v>50</v>
      </c>
      <c r="C187" t="s">
        <v>51</v>
      </c>
      <c r="D187" s="32">
        <v>272193.64</v>
      </c>
      <c r="E187">
        <v>1246280928</v>
      </c>
      <c r="F187" s="28">
        <v>46237</v>
      </c>
      <c r="H187" t="s">
        <v>23</v>
      </c>
      <c r="I187" t="s">
        <v>24</v>
      </c>
      <c r="J187">
        <v>11813</v>
      </c>
      <c r="K187" s="28">
        <v>46197</v>
      </c>
      <c r="L187">
        <v>1010100</v>
      </c>
      <c r="M187" t="s">
        <v>29</v>
      </c>
      <c r="N187">
        <v>161</v>
      </c>
      <c r="O187" t="s">
        <v>145</v>
      </c>
      <c r="P187" t="s">
        <v>359</v>
      </c>
      <c r="Q187">
        <f t="shared" si="3"/>
        <v>-40</v>
      </c>
      <c r="R187">
        <f>_xlfn.XLOOKUP(E187,'Data Additive'!E:E,'Data Additive'!E:E,0)</f>
        <v>1246280928</v>
      </c>
    </row>
    <row r="188" spans="1:18" x14ac:dyDescent="0.25">
      <c r="A188">
        <v>1159</v>
      </c>
      <c r="B188" t="s">
        <v>50</v>
      </c>
      <c r="C188" t="s">
        <v>51</v>
      </c>
      <c r="D188" s="32">
        <v>270021.15999999997</v>
      </c>
      <c r="E188">
        <v>1246278363</v>
      </c>
      <c r="F188" s="28">
        <v>46218</v>
      </c>
      <c r="H188" t="s">
        <v>23</v>
      </c>
      <c r="I188" t="s">
        <v>24</v>
      </c>
      <c r="J188">
        <v>11609</v>
      </c>
      <c r="K188" s="28">
        <v>46178</v>
      </c>
      <c r="L188">
        <v>1010100</v>
      </c>
      <c r="M188" t="s">
        <v>29</v>
      </c>
      <c r="N188">
        <v>161</v>
      </c>
      <c r="O188" t="s">
        <v>145</v>
      </c>
      <c r="P188" t="s">
        <v>359</v>
      </c>
      <c r="Q188">
        <f t="shared" si="3"/>
        <v>-21</v>
      </c>
      <c r="R188">
        <f>_xlfn.XLOOKUP(E188,'Data Additive'!E:E,'Data Additive'!E:E,0)</f>
        <v>1246278363</v>
      </c>
    </row>
    <row r="189" spans="1:18" x14ac:dyDescent="0.25">
      <c r="A189">
        <v>1159</v>
      </c>
      <c r="B189" t="s">
        <v>50</v>
      </c>
      <c r="C189" t="s">
        <v>51</v>
      </c>
      <c r="D189" s="32">
        <v>273189.36</v>
      </c>
      <c r="E189">
        <v>1246277455</v>
      </c>
      <c r="F189" s="28">
        <v>46211</v>
      </c>
      <c r="H189" t="s">
        <v>23</v>
      </c>
      <c r="I189" t="s">
        <v>24</v>
      </c>
      <c r="J189">
        <v>11557</v>
      </c>
      <c r="K189" s="28">
        <v>46171</v>
      </c>
      <c r="L189">
        <v>1010100</v>
      </c>
      <c r="M189" t="s">
        <v>29</v>
      </c>
      <c r="N189">
        <v>161</v>
      </c>
      <c r="O189" t="s">
        <v>145</v>
      </c>
      <c r="P189" t="s">
        <v>359</v>
      </c>
      <c r="Q189">
        <f t="shared" si="3"/>
        <v>-14</v>
      </c>
      <c r="R189">
        <f>_xlfn.XLOOKUP(E189,'Data Additive'!E:E,'Data Additive'!E:E,0)</f>
        <v>1246277455</v>
      </c>
    </row>
    <row r="190" spans="1:18" x14ac:dyDescent="0.25">
      <c r="A190">
        <v>1159</v>
      </c>
      <c r="B190" t="s">
        <v>50</v>
      </c>
      <c r="C190" t="s">
        <v>51</v>
      </c>
      <c r="D190" s="32">
        <v>272917.8</v>
      </c>
      <c r="E190">
        <v>1246278606</v>
      </c>
      <c r="F190" s="28">
        <v>46221</v>
      </c>
      <c r="H190" t="s">
        <v>23</v>
      </c>
      <c r="I190" t="s">
        <v>24</v>
      </c>
      <c r="J190">
        <v>11646</v>
      </c>
      <c r="K190" s="28">
        <v>46181</v>
      </c>
      <c r="L190">
        <v>1010100</v>
      </c>
      <c r="M190" t="s">
        <v>29</v>
      </c>
      <c r="N190">
        <v>161</v>
      </c>
      <c r="O190" t="s">
        <v>145</v>
      </c>
      <c r="P190" t="s">
        <v>359</v>
      </c>
      <c r="Q190">
        <f t="shared" si="3"/>
        <v>-24</v>
      </c>
      <c r="R190">
        <f>_xlfn.XLOOKUP(E190,'Data Additive'!E:E,'Data Additive'!E:E,0)</f>
        <v>1246278606</v>
      </c>
    </row>
    <row r="191" spans="1:18" x14ac:dyDescent="0.25">
      <c r="A191">
        <v>1159</v>
      </c>
      <c r="B191" t="s">
        <v>50</v>
      </c>
      <c r="C191" t="s">
        <v>51</v>
      </c>
      <c r="D191" s="32">
        <v>271016.88</v>
      </c>
      <c r="E191">
        <v>1246276527</v>
      </c>
      <c r="F191" s="28">
        <v>46207</v>
      </c>
      <c r="H191" t="s">
        <v>23</v>
      </c>
      <c r="I191" t="s">
        <v>24</v>
      </c>
      <c r="J191">
        <v>11488</v>
      </c>
      <c r="K191" s="28">
        <v>46167</v>
      </c>
      <c r="L191">
        <v>1010100</v>
      </c>
      <c r="M191" t="s">
        <v>29</v>
      </c>
      <c r="N191">
        <v>161</v>
      </c>
      <c r="O191" t="s">
        <v>145</v>
      </c>
      <c r="P191" t="s">
        <v>359</v>
      </c>
      <c r="Q191">
        <f t="shared" si="3"/>
        <v>-10</v>
      </c>
      <c r="R191">
        <f>_xlfn.XLOOKUP(E191,'Data Additive'!E:E,'Data Additive'!E:E,0)</f>
        <v>1246276527</v>
      </c>
    </row>
    <row r="192" spans="1:18" x14ac:dyDescent="0.25">
      <c r="A192">
        <v>1159</v>
      </c>
      <c r="B192" t="s">
        <v>50</v>
      </c>
      <c r="C192" t="s">
        <v>51</v>
      </c>
      <c r="D192" s="32">
        <v>273732.47999999998</v>
      </c>
      <c r="E192">
        <v>1246276263</v>
      </c>
      <c r="F192" s="28">
        <v>46204</v>
      </c>
      <c r="H192" t="s">
        <v>23</v>
      </c>
      <c r="I192" t="s">
        <v>24</v>
      </c>
      <c r="J192">
        <v>11471</v>
      </c>
      <c r="K192" s="28">
        <v>46164</v>
      </c>
      <c r="L192">
        <v>1010100</v>
      </c>
      <c r="M192" t="s">
        <v>29</v>
      </c>
      <c r="N192">
        <v>161</v>
      </c>
      <c r="O192" t="s">
        <v>145</v>
      </c>
      <c r="P192" t="s">
        <v>359</v>
      </c>
      <c r="Q192">
        <f t="shared" si="3"/>
        <v>-7</v>
      </c>
      <c r="R192">
        <f>_xlfn.XLOOKUP(E192,'Data Additive'!E:E,'Data Additive'!E:E,0)</f>
        <v>1246276263</v>
      </c>
    </row>
    <row r="193" spans="1:18" x14ac:dyDescent="0.25">
      <c r="A193">
        <v>1159</v>
      </c>
      <c r="B193" t="s">
        <v>50</v>
      </c>
      <c r="C193" t="s">
        <v>51</v>
      </c>
      <c r="D193" s="32">
        <v>273098.84000000003</v>
      </c>
      <c r="E193">
        <v>1246278820</v>
      </c>
      <c r="F193" s="28">
        <v>46222</v>
      </c>
      <c r="H193" t="s">
        <v>23</v>
      </c>
      <c r="I193" t="s">
        <v>24</v>
      </c>
      <c r="J193">
        <v>11659</v>
      </c>
      <c r="K193" s="28">
        <v>46182</v>
      </c>
      <c r="L193">
        <v>1010100</v>
      </c>
      <c r="M193" t="s">
        <v>29</v>
      </c>
      <c r="N193">
        <v>161</v>
      </c>
      <c r="O193" t="s">
        <v>145</v>
      </c>
      <c r="P193" t="s">
        <v>359</v>
      </c>
      <c r="Q193">
        <f t="shared" si="3"/>
        <v>-25</v>
      </c>
      <c r="R193">
        <f>_xlfn.XLOOKUP(E193,'Data Additive'!E:E,'Data Additive'!E:E,0)</f>
        <v>1246278820</v>
      </c>
    </row>
    <row r="194" spans="1:18" x14ac:dyDescent="0.25">
      <c r="A194">
        <v>1159</v>
      </c>
      <c r="B194" t="s">
        <v>50</v>
      </c>
      <c r="C194" t="s">
        <v>51</v>
      </c>
      <c r="D194" s="32">
        <v>294418.8</v>
      </c>
      <c r="E194">
        <v>1246277181</v>
      </c>
      <c r="F194" s="28">
        <v>46209</v>
      </c>
      <c r="H194" t="s">
        <v>23</v>
      </c>
      <c r="I194" t="s">
        <v>24</v>
      </c>
      <c r="J194">
        <v>11527</v>
      </c>
      <c r="K194" s="28">
        <v>46169</v>
      </c>
      <c r="L194">
        <v>1010100</v>
      </c>
      <c r="M194" t="s">
        <v>29</v>
      </c>
      <c r="N194">
        <v>161</v>
      </c>
      <c r="O194" t="s">
        <v>145</v>
      </c>
      <c r="P194" t="s">
        <v>359</v>
      </c>
      <c r="Q194">
        <f t="shared" si="3"/>
        <v>-12</v>
      </c>
      <c r="R194">
        <f>_xlfn.XLOOKUP(E194,'Data Additive'!E:E,'Data Additive'!E:E,0)</f>
        <v>1246277181</v>
      </c>
    </row>
    <row r="195" spans="1:18" x14ac:dyDescent="0.25">
      <c r="A195">
        <v>1159</v>
      </c>
      <c r="B195" t="s">
        <v>50</v>
      </c>
      <c r="C195" t="s">
        <v>51</v>
      </c>
      <c r="D195" s="32">
        <v>271288.44</v>
      </c>
      <c r="E195">
        <v>1246277294</v>
      </c>
      <c r="F195" s="28">
        <v>46210</v>
      </c>
      <c r="H195" t="s">
        <v>23</v>
      </c>
      <c r="I195" t="s">
        <v>24</v>
      </c>
      <c r="J195">
        <v>11539</v>
      </c>
      <c r="K195" s="28">
        <v>46170</v>
      </c>
      <c r="L195">
        <v>1010100</v>
      </c>
      <c r="M195" t="s">
        <v>29</v>
      </c>
      <c r="N195">
        <v>161</v>
      </c>
      <c r="O195" t="s">
        <v>145</v>
      </c>
      <c r="P195" t="s">
        <v>359</v>
      </c>
      <c r="Q195">
        <f t="shared" si="3"/>
        <v>-13</v>
      </c>
      <c r="R195">
        <f>_xlfn.XLOOKUP(E195,'Data Additive'!E:E,'Data Additive'!E:E,0)</f>
        <v>1246277294</v>
      </c>
    </row>
    <row r="196" spans="1:18" x14ac:dyDescent="0.25">
      <c r="A196">
        <v>1159</v>
      </c>
      <c r="B196" t="s">
        <v>50</v>
      </c>
      <c r="C196" t="s">
        <v>51</v>
      </c>
      <c r="D196" s="32">
        <v>273823</v>
      </c>
      <c r="E196">
        <v>1246279863</v>
      </c>
      <c r="F196" s="28">
        <v>46230</v>
      </c>
      <c r="H196" t="s">
        <v>23</v>
      </c>
      <c r="I196" t="s">
        <v>24</v>
      </c>
      <c r="J196">
        <v>11737</v>
      </c>
      <c r="K196" s="28">
        <v>46190</v>
      </c>
      <c r="L196">
        <v>1010100</v>
      </c>
      <c r="M196" t="s">
        <v>29</v>
      </c>
      <c r="N196">
        <v>161</v>
      </c>
      <c r="O196" t="s">
        <v>145</v>
      </c>
      <c r="P196" t="s">
        <v>359</v>
      </c>
      <c r="Q196">
        <f t="shared" si="3"/>
        <v>-33</v>
      </c>
      <c r="R196">
        <f>_xlfn.XLOOKUP(E196,'Data Additive'!E:E,'Data Additive'!E:E,0)</f>
        <v>1246279863</v>
      </c>
    </row>
    <row r="197" spans="1:18" x14ac:dyDescent="0.25">
      <c r="A197">
        <v>1159</v>
      </c>
      <c r="B197" t="s">
        <v>50</v>
      </c>
      <c r="C197" t="s">
        <v>51</v>
      </c>
      <c r="D197" s="32">
        <v>274094.56</v>
      </c>
      <c r="E197">
        <v>1246280197</v>
      </c>
      <c r="F197" s="28">
        <v>46232</v>
      </c>
      <c r="H197" t="s">
        <v>23</v>
      </c>
      <c r="I197" t="s">
        <v>24</v>
      </c>
      <c r="J197">
        <v>11757</v>
      </c>
      <c r="K197" s="28">
        <v>46192</v>
      </c>
      <c r="L197">
        <v>1010100</v>
      </c>
      <c r="M197" t="s">
        <v>29</v>
      </c>
      <c r="N197">
        <v>161</v>
      </c>
      <c r="O197" t="s">
        <v>145</v>
      </c>
      <c r="P197" t="s">
        <v>359</v>
      </c>
      <c r="Q197">
        <f t="shared" si="3"/>
        <v>-35</v>
      </c>
      <c r="R197">
        <f>_xlfn.XLOOKUP(E197,'Data Additive'!E:E,'Data Additive'!E:E,0)</f>
        <v>1246280197</v>
      </c>
    </row>
    <row r="198" spans="1:18" x14ac:dyDescent="0.25">
      <c r="A198">
        <v>1159</v>
      </c>
      <c r="B198" t="s">
        <v>50</v>
      </c>
      <c r="C198" t="s">
        <v>51</v>
      </c>
      <c r="D198" s="32">
        <v>271378.96000000002</v>
      </c>
      <c r="E198">
        <v>1246279255</v>
      </c>
      <c r="F198" s="28">
        <v>46224</v>
      </c>
      <c r="H198" t="s">
        <v>23</v>
      </c>
      <c r="I198" t="s">
        <v>24</v>
      </c>
      <c r="J198">
        <v>11687</v>
      </c>
      <c r="K198" s="28">
        <v>46184</v>
      </c>
      <c r="L198">
        <v>1010100</v>
      </c>
      <c r="M198" t="s">
        <v>29</v>
      </c>
      <c r="N198">
        <v>161</v>
      </c>
      <c r="O198" t="s">
        <v>145</v>
      </c>
      <c r="P198" t="s">
        <v>359</v>
      </c>
      <c r="Q198">
        <f t="shared" si="3"/>
        <v>-27</v>
      </c>
      <c r="R198">
        <f>_xlfn.XLOOKUP(E198,'Data Additive'!E:E,'Data Additive'!E:E,0)</f>
        <v>1246279255</v>
      </c>
    </row>
    <row r="199" spans="1:18" x14ac:dyDescent="0.25">
      <c r="A199">
        <v>456</v>
      </c>
      <c r="B199" t="s">
        <v>312</v>
      </c>
      <c r="C199" t="s">
        <v>15409</v>
      </c>
      <c r="D199" s="32">
        <v>103200.03</v>
      </c>
      <c r="E199">
        <v>1246278380</v>
      </c>
      <c r="F199" s="28">
        <v>46206</v>
      </c>
      <c r="H199" t="s">
        <v>23</v>
      </c>
      <c r="I199" t="s">
        <v>24</v>
      </c>
      <c r="J199">
        <v>11613</v>
      </c>
      <c r="K199" s="28">
        <v>46178</v>
      </c>
      <c r="L199">
        <v>1010100</v>
      </c>
      <c r="M199" t="s">
        <v>29</v>
      </c>
      <c r="N199">
        <v>161</v>
      </c>
      <c r="O199" t="s">
        <v>145</v>
      </c>
      <c r="P199" t="s">
        <v>560</v>
      </c>
      <c r="Q199">
        <f t="shared" si="3"/>
        <v>-9</v>
      </c>
      <c r="R199">
        <f>_xlfn.XLOOKUP(E199,'Data Additive'!E:E,'Data Additive'!E:E,0)</f>
        <v>1246278380</v>
      </c>
    </row>
    <row r="200" spans="1:18" x14ac:dyDescent="0.25">
      <c r="A200">
        <v>3232</v>
      </c>
      <c r="B200" t="s">
        <v>153</v>
      </c>
      <c r="C200" t="s">
        <v>409</v>
      </c>
      <c r="D200" s="32">
        <v>172186.49999999997</v>
      </c>
      <c r="E200">
        <v>1246274879</v>
      </c>
      <c r="F200" s="28">
        <v>46215</v>
      </c>
      <c r="H200" t="s">
        <v>23</v>
      </c>
      <c r="I200" t="s">
        <v>24</v>
      </c>
      <c r="J200">
        <v>11385</v>
      </c>
      <c r="K200" s="28">
        <v>46155</v>
      </c>
      <c r="L200">
        <v>1010100</v>
      </c>
      <c r="M200" t="s">
        <v>29</v>
      </c>
      <c r="N200">
        <v>161</v>
      </c>
      <c r="O200" t="s">
        <v>145</v>
      </c>
      <c r="P200" t="s">
        <v>450</v>
      </c>
      <c r="Q200">
        <f t="shared" si="3"/>
        <v>-18</v>
      </c>
      <c r="R200">
        <f>_xlfn.XLOOKUP(E200,'Data Additive'!E:E,'Data Additive'!E:E,0)</f>
        <v>1246274879</v>
      </c>
    </row>
    <row r="201" spans="1:18" x14ac:dyDescent="0.25">
      <c r="A201">
        <v>3232</v>
      </c>
      <c r="B201" t="s">
        <v>153</v>
      </c>
      <c r="C201" t="s">
        <v>409</v>
      </c>
      <c r="D201" s="32">
        <v>182408</v>
      </c>
      <c r="E201">
        <v>1246278725</v>
      </c>
      <c r="F201" s="28">
        <v>46242</v>
      </c>
      <c r="H201" t="s">
        <v>23</v>
      </c>
      <c r="I201" t="s">
        <v>24</v>
      </c>
      <c r="J201">
        <v>11656</v>
      </c>
      <c r="K201" s="28">
        <v>46182</v>
      </c>
      <c r="L201">
        <v>1010100</v>
      </c>
      <c r="M201" t="s">
        <v>29</v>
      </c>
      <c r="N201">
        <v>161</v>
      </c>
      <c r="O201" t="s">
        <v>145</v>
      </c>
      <c r="P201" t="s">
        <v>450</v>
      </c>
      <c r="Q201">
        <f t="shared" si="3"/>
        <v>-45</v>
      </c>
      <c r="R201">
        <f>_xlfn.XLOOKUP(E201,'Data Additive'!E:E,'Data Additive'!E:E,0)</f>
        <v>1246278725</v>
      </c>
    </row>
    <row r="202" spans="1:18" x14ac:dyDescent="0.25">
      <c r="A202">
        <v>3232</v>
      </c>
      <c r="B202" t="s">
        <v>153</v>
      </c>
      <c r="C202" t="s">
        <v>409</v>
      </c>
      <c r="D202" s="32">
        <v>158950.20000000001</v>
      </c>
      <c r="E202">
        <v>1246273469</v>
      </c>
      <c r="F202" s="28">
        <v>46206</v>
      </c>
      <c r="H202" t="s">
        <v>23</v>
      </c>
      <c r="I202" t="s">
        <v>24</v>
      </c>
      <c r="J202">
        <v>11289</v>
      </c>
      <c r="K202" s="28">
        <v>46146</v>
      </c>
      <c r="L202">
        <v>1010100</v>
      </c>
      <c r="M202" t="s">
        <v>29</v>
      </c>
      <c r="N202">
        <v>161</v>
      </c>
      <c r="O202" t="s">
        <v>145</v>
      </c>
      <c r="P202" t="s">
        <v>450</v>
      </c>
      <c r="Q202">
        <f t="shared" si="3"/>
        <v>-9</v>
      </c>
      <c r="R202">
        <f>_xlfn.XLOOKUP(E202,'Data Additive'!E:E,'Data Additive'!E:E,0)</f>
        <v>1246273469</v>
      </c>
    </row>
    <row r="203" spans="1:18" x14ac:dyDescent="0.25">
      <c r="A203">
        <v>3232</v>
      </c>
      <c r="B203" t="s">
        <v>153</v>
      </c>
      <c r="C203" t="s">
        <v>409</v>
      </c>
      <c r="D203" s="32">
        <v>180898</v>
      </c>
      <c r="E203">
        <v>1246279367</v>
      </c>
      <c r="F203" s="28">
        <v>46245</v>
      </c>
      <c r="H203" t="s">
        <v>23</v>
      </c>
      <c r="I203" t="s">
        <v>24</v>
      </c>
      <c r="J203">
        <v>11694</v>
      </c>
      <c r="K203" s="28">
        <v>46185</v>
      </c>
      <c r="L203">
        <v>1010100</v>
      </c>
      <c r="M203" t="s">
        <v>29</v>
      </c>
      <c r="N203">
        <v>161</v>
      </c>
      <c r="O203" t="s">
        <v>145</v>
      </c>
      <c r="P203" t="s">
        <v>450</v>
      </c>
      <c r="Q203">
        <f t="shared" si="3"/>
        <v>-48</v>
      </c>
      <c r="R203">
        <f>_xlfn.XLOOKUP(E203,'Data Additive'!E:E,'Data Additive'!E:E,0)</f>
        <v>1246279367</v>
      </c>
    </row>
    <row r="204" spans="1:18" x14ac:dyDescent="0.25">
      <c r="A204">
        <v>3232</v>
      </c>
      <c r="B204" t="s">
        <v>153</v>
      </c>
      <c r="C204" t="s">
        <v>409</v>
      </c>
      <c r="D204" s="32">
        <v>181502</v>
      </c>
      <c r="E204">
        <v>1246280558</v>
      </c>
      <c r="F204" s="28">
        <v>46256</v>
      </c>
      <c r="H204" t="s">
        <v>23</v>
      </c>
      <c r="I204" t="s">
        <v>24</v>
      </c>
      <c r="J204">
        <v>11793</v>
      </c>
      <c r="K204" s="28">
        <v>46196</v>
      </c>
      <c r="L204">
        <v>1010100</v>
      </c>
      <c r="M204" t="s">
        <v>29</v>
      </c>
      <c r="N204">
        <v>161</v>
      </c>
      <c r="O204" t="s">
        <v>145</v>
      </c>
      <c r="P204" t="s">
        <v>450</v>
      </c>
      <c r="Q204">
        <f t="shared" si="3"/>
        <v>-59</v>
      </c>
      <c r="R204">
        <f>_xlfn.XLOOKUP(E204,'Data Additive'!E:E,'Data Additive'!E:E,0)</f>
        <v>1246280558</v>
      </c>
    </row>
    <row r="205" spans="1:18" x14ac:dyDescent="0.25">
      <c r="A205">
        <v>3232</v>
      </c>
      <c r="B205" t="s">
        <v>153</v>
      </c>
      <c r="C205" t="s">
        <v>409</v>
      </c>
      <c r="D205" s="32">
        <v>180596</v>
      </c>
      <c r="E205">
        <v>1246277369</v>
      </c>
      <c r="F205" s="28">
        <v>46231</v>
      </c>
      <c r="H205" t="s">
        <v>23</v>
      </c>
      <c r="I205" t="s">
        <v>24</v>
      </c>
      <c r="J205">
        <v>11548</v>
      </c>
      <c r="K205" s="28">
        <v>46171</v>
      </c>
      <c r="L205">
        <v>1010100</v>
      </c>
      <c r="M205" t="s">
        <v>29</v>
      </c>
      <c r="N205">
        <v>161</v>
      </c>
      <c r="O205" t="s">
        <v>145</v>
      </c>
      <c r="P205" t="s">
        <v>450</v>
      </c>
      <c r="Q205">
        <f t="shared" si="3"/>
        <v>-34</v>
      </c>
      <c r="R205">
        <f>_xlfn.XLOOKUP(E205,'Data Additive'!E:E,'Data Additive'!E:E,0)</f>
        <v>1246277369</v>
      </c>
    </row>
    <row r="206" spans="1:18" x14ac:dyDescent="0.25">
      <c r="A206">
        <v>3232</v>
      </c>
      <c r="B206" t="s">
        <v>153</v>
      </c>
      <c r="C206" t="s">
        <v>409</v>
      </c>
      <c r="D206" s="32">
        <v>181079.2</v>
      </c>
      <c r="E206">
        <v>1246278422</v>
      </c>
      <c r="F206" s="28">
        <v>46238</v>
      </c>
      <c r="H206" t="s">
        <v>23</v>
      </c>
      <c r="I206" t="s">
        <v>24</v>
      </c>
      <c r="J206">
        <v>11625</v>
      </c>
      <c r="K206" s="28">
        <v>46178</v>
      </c>
      <c r="L206">
        <v>1010100</v>
      </c>
      <c r="M206" t="s">
        <v>29</v>
      </c>
      <c r="N206">
        <v>161</v>
      </c>
      <c r="O206" t="s">
        <v>145</v>
      </c>
      <c r="P206" t="s">
        <v>450</v>
      </c>
      <c r="Q206">
        <f t="shared" ref="Q206:Q267" si="4">$R$1-F206</f>
        <v>-41</v>
      </c>
      <c r="R206">
        <f>_xlfn.XLOOKUP(E206,'Data Additive'!E:E,'Data Additive'!E:E,0)</f>
        <v>1246278422</v>
      </c>
    </row>
    <row r="207" spans="1:18" x14ac:dyDescent="0.25">
      <c r="A207">
        <v>2559</v>
      </c>
      <c r="B207" t="s">
        <v>451</v>
      </c>
      <c r="C207" t="s">
        <v>69</v>
      </c>
      <c r="D207" s="32">
        <v>193644</v>
      </c>
      <c r="E207">
        <v>1246275400</v>
      </c>
      <c r="F207" s="28">
        <v>46247</v>
      </c>
      <c r="H207" t="s">
        <v>23</v>
      </c>
      <c r="I207" t="s">
        <v>24</v>
      </c>
      <c r="J207">
        <v>11409</v>
      </c>
      <c r="K207" s="28">
        <v>46157</v>
      </c>
      <c r="L207">
        <v>1010100</v>
      </c>
      <c r="M207" t="s">
        <v>29</v>
      </c>
      <c r="N207">
        <v>161</v>
      </c>
      <c r="O207" t="s">
        <v>145</v>
      </c>
      <c r="P207" t="s">
        <v>431</v>
      </c>
      <c r="Q207">
        <f t="shared" si="4"/>
        <v>-50</v>
      </c>
      <c r="R207">
        <f>_xlfn.XLOOKUP(E207,'Data Additive'!E:E,'Data Additive'!E:E,0)</f>
        <v>1246275400</v>
      </c>
    </row>
    <row r="208" spans="1:18" x14ac:dyDescent="0.25">
      <c r="A208">
        <v>2559</v>
      </c>
      <c r="B208" t="s">
        <v>451</v>
      </c>
      <c r="C208" t="s">
        <v>69</v>
      </c>
      <c r="D208" s="32">
        <v>78390</v>
      </c>
      <c r="E208">
        <v>1246270082</v>
      </c>
      <c r="F208" s="28">
        <v>46204</v>
      </c>
      <c r="H208" t="s">
        <v>23</v>
      </c>
      <c r="I208" t="s">
        <v>24</v>
      </c>
      <c r="J208">
        <v>11033</v>
      </c>
      <c r="K208" s="28">
        <v>46114</v>
      </c>
      <c r="L208">
        <v>1010100</v>
      </c>
      <c r="M208" t="s">
        <v>29</v>
      </c>
      <c r="N208">
        <v>161</v>
      </c>
      <c r="O208" t="s">
        <v>145</v>
      </c>
      <c r="P208" t="s">
        <v>431</v>
      </c>
      <c r="Q208">
        <f t="shared" si="4"/>
        <v>-7</v>
      </c>
      <c r="R208">
        <f>_xlfn.XLOOKUP(E208,'Data Additive'!E:E,'Data Additive'!E:E,0)</f>
        <v>1246270082</v>
      </c>
    </row>
    <row r="209" spans="1:18" x14ac:dyDescent="0.25">
      <c r="A209">
        <v>2559</v>
      </c>
      <c r="B209" t="s">
        <v>451</v>
      </c>
      <c r="C209" t="s">
        <v>69</v>
      </c>
      <c r="D209" s="32">
        <v>197816.8</v>
      </c>
      <c r="E209">
        <v>1246279656</v>
      </c>
      <c r="F209" s="28">
        <v>46279</v>
      </c>
      <c r="H209" t="s">
        <v>23</v>
      </c>
      <c r="I209" t="s">
        <v>24</v>
      </c>
      <c r="J209">
        <v>11722</v>
      </c>
      <c r="K209" s="28">
        <v>46189</v>
      </c>
      <c r="L209">
        <v>1010100</v>
      </c>
      <c r="M209" t="s">
        <v>29</v>
      </c>
      <c r="N209">
        <v>161</v>
      </c>
      <c r="O209" t="s">
        <v>145</v>
      </c>
      <c r="P209" t="s">
        <v>431</v>
      </c>
      <c r="Q209">
        <f t="shared" si="4"/>
        <v>-82</v>
      </c>
      <c r="R209">
        <f>_xlfn.XLOOKUP(E209,'Data Additive'!E:E,'Data Additive'!E:E,0)</f>
        <v>1246279656</v>
      </c>
    </row>
    <row r="210" spans="1:18" x14ac:dyDescent="0.25">
      <c r="A210">
        <v>2559</v>
      </c>
      <c r="B210" t="s">
        <v>451</v>
      </c>
      <c r="C210" t="s">
        <v>69</v>
      </c>
      <c r="D210" s="32">
        <v>195730.4</v>
      </c>
      <c r="E210">
        <v>1246271698</v>
      </c>
      <c r="F210" s="28">
        <v>46219</v>
      </c>
      <c r="H210" t="s">
        <v>23</v>
      </c>
      <c r="I210" t="s">
        <v>24</v>
      </c>
      <c r="J210">
        <v>11159</v>
      </c>
      <c r="K210" s="28">
        <v>46129</v>
      </c>
      <c r="L210">
        <v>1010100</v>
      </c>
      <c r="M210" t="s">
        <v>29</v>
      </c>
      <c r="N210">
        <v>161</v>
      </c>
      <c r="O210" t="s">
        <v>145</v>
      </c>
      <c r="P210" t="s">
        <v>431</v>
      </c>
      <c r="Q210">
        <f t="shared" si="4"/>
        <v>-22</v>
      </c>
      <c r="R210">
        <f>_xlfn.XLOOKUP(E210,'Data Additive'!E:E,'Data Additive'!E:E,0)</f>
        <v>1246271698</v>
      </c>
    </row>
    <row r="211" spans="1:18" x14ac:dyDescent="0.25">
      <c r="A211">
        <v>2559</v>
      </c>
      <c r="B211" t="s">
        <v>451</v>
      </c>
      <c r="C211" t="s">
        <v>69</v>
      </c>
      <c r="D211" s="32">
        <v>90758.399999999994</v>
      </c>
      <c r="E211">
        <v>1246272595</v>
      </c>
      <c r="F211" s="28">
        <v>46226</v>
      </c>
      <c r="H211" t="s">
        <v>23</v>
      </c>
      <c r="I211" t="s">
        <v>24</v>
      </c>
      <c r="J211">
        <v>11219</v>
      </c>
      <c r="K211" s="28">
        <v>46136</v>
      </c>
      <c r="L211">
        <v>1010100</v>
      </c>
      <c r="M211" t="s">
        <v>29</v>
      </c>
      <c r="N211">
        <v>161</v>
      </c>
      <c r="O211" t="s">
        <v>145</v>
      </c>
      <c r="P211" t="s">
        <v>431</v>
      </c>
      <c r="Q211">
        <f t="shared" si="4"/>
        <v>-29</v>
      </c>
      <c r="R211">
        <f>_xlfn.XLOOKUP(E211,'Data Additive'!E:E,'Data Additive'!E:E,0)</f>
        <v>1246272595</v>
      </c>
    </row>
    <row r="212" spans="1:18" x14ac:dyDescent="0.25">
      <c r="A212">
        <v>2559</v>
      </c>
      <c r="B212" t="s">
        <v>451</v>
      </c>
      <c r="C212" t="s">
        <v>69</v>
      </c>
      <c r="D212" s="32">
        <v>195339.2</v>
      </c>
      <c r="E212">
        <v>1246274052</v>
      </c>
      <c r="F212" s="28">
        <v>46240</v>
      </c>
      <c r="H212" t="s">
        <v>23</v>
      </c>
      <c r="I212" t="s">
        <v>24</v>
      </c>
      <c r="J212">
        <v>11328</v>
      </c>
      <c r="K212" s="28">
        <v>46150</v>
      </c>
      <c r="L212">
        <v>1010100</v>
      </c>
      <c r="M212" t="s">
        <v>29</v>
      </c>
      <c r="N212">
        <v>161</v>
      </c>
      <c r="O212" t="s">
        <v>145</v>
      </c>
      <c r="P212" t="s">
        <v>431</v>
      </c>
      <c r="Q212">
        <f t="shared" si="4"/>
        <v>-43</v>
      </c>
      <c r="R212">
        <f>_xlfn.XLOOKUP(E212,'Data Additive'!E:E,'Data Additive'!E:E,0)</f>
        <v>1246274052</v>
      </c>
    </row>
    <row r="213" spans="1:18" x14ac:dyDescent="0.25">
      <c r="A213">
        <v>2559</v>
      </c>
      <c r="B213" t="s">
        <v>451</v>
      </c>
      <c r="C213" t="s">
        <v>69</v>
      </c>
      <c r="D213" s="32">
        <v>191036</v>
      </c>
      <c r="E213">
        <v>1246277504</v>
      </c>
      <c r="F213" s="28">
        <v>46261</v>
      </c>
      <c r="H213" t="s">
        <v>23</v>
      </c>
      <c r="I213" t="s">
        <v>24</v>
      </c>
      <c r="J213">
        <v>11560</v>
      </c>
      <c r="K213" s="28">
        <v>46171</v>
      </c>
      <c r="L213">
        <v>1010100</v>
      </c>
      <c r="M213" t="s">
        <v>29</v>
      </c>
      <c r="N213">
        <v>161</v>
      </c>
      <c r="O213" t="s">
        <v>145</v>
      </c>
      <c r="P213" t="s">
        <v>431</v>
      </c>
      <c r="Q213">
        <f t="shared" si="4"/>
        <v>-64</v>
      </c>
      <c r="R213">
        <f>_xlfn.XLOOKUP(E213,'Data Additive'!E:E,'Data Additive'!E:E,0)</f>
        <v>1246277504</v>
      </c>
    </row>
    <row r="214" spans="1:18" x14ac:dyDescent="0.25">
      <c r="A214">
        <v>5182</v>
      </c>
      <c r="B214" t="s">
        <v>82</v>
      </c>
      <c r="C214" t="s">
        <v>15609</v>
      </c>
      <c r="D214" s="32">
        <v>82334.399999999994</v>
      </c>
      <c r="E214">
        <v>1246278207</v>
      </c>
      <c r="F214" s="28">
        <v>46204</v>
      </c>
      <c r="H214" t="s">
        <v>23</v>
      </c>
      <c r="I214" t="s">
        <v>24</v>
      </c>
      <c r="J214">
        <v>11595</v>
      </c>
      <c r="K214" s="28">
        <v>46176</v>
      </c>
      <c r="L214">
        <v>1010100</v>
      </c>
      <c r="M214" t="s">
        <v>29</v>
      </c>
      <c r="N214">
        <v>161</v>
      </c>
      <c r="O214" t="s">
        <v>145</v>
      </c>
      <c r="P214" t="s">
        <v>489</v>
      </c>
      <c r="Q214">
        <f t="shared" si="4"/>
        <v>-7</v>
      </c>
      <c r="R214">
        <f>_xlfn.XLOOKUP(E214,'Data Additive'!E:E,'Data Additive'!E:E,0)</f>
        <v>1246278207</v>
      </c>
    </row>
    <row r="215" spans="1:18" x14ac:dyDescent="0.25">
      <c r="A215">
        <v>6124</v>
      </c>
      <c r="B215" t="s">
        <v>695</v>
      </c>
      <c r="C215" t="s">
        <v>85</v>
      </c>
      <c r="D215" s="32">
        <v>54919.6</v>
      </c>
      <c r="E215">
        <v>1246273393</v>
      </c>
      <c r="F215" s="28">
        <v>46236</v>
      </c>
      <c r="H215" t="s">
        <v>23</v>
      </c>
      <c r="I215" t="s">
        <v>24</v>
      </c>
      <c r="J215">
        <v>11281</v>
      </c>
      <c r="K215" s="28">
        <v>46146</v>
      </c>
      <c r="L215">
        <v>1010100</v>
      </c>
      <c r="M215" t="s">
        <v>29</v>
      </c>
      <c r="N215">
        <v>161</v>
      </c>
      <c r="O215" t="s">
        <v>145</v>
      </c>
      <c r="P215" t="s">
        <v>431</v>
      </c>
      <c r="Q215">
        <f t="shared" si="4"/>
        <v>-39</v>
      </c>
      <c r="R215">
        <f>_xlfn.XLOOKUP(E215,'Data Additive'!E:E,'Data Additive'!E:E,0)</f>
        <v>1246273393</v>
      </c>
    </row>
    <row r="216" spans="1:18" x14ac:dyDescent="0.25">
      <c r="A216">
        <v>6124</v>
      </c>
      <c r="B216" t="s">
        <v>695</v>
      </c>
      <c r="C216" t="s">
        <v>85</v>
      </c>
      <c r="D216" s="32">
        <v>52493.62</v>
      </c>
      <c r="E216">
        <v>1246280894</v>
      </c>
      <c r="F216" s="28">
        <v>46287</v>
      </c>
      <c r="H216" t="s">
        <v>23</v>
      </c>
      <c r="I216" t="s">
        <v>24</v>
      </c>
      <c r="J216">
        <v>11812</v>
      </c>
      <c r="K216" s="28">
        <v>46197</v>
      </c>
      <c r="L216">
        <v>1010100</v>
      </c>
      <c r="M216" t="s">
        <v>29</v>
      </c>
      <c r="N216">
        <v>161</v>
      </c>
      <c r="O216" t="s">
        <v>145</v>
      </c>
      <c r="P216" t="s">
        <v>431</v>
      </c>
      <c r="Q216">
        <f t="shared" si="4"/>
        <v>-90</v>
      </c>
      <c r="R216">
        <f>_xlfn.XLOOKUP(E216,'Data Additive'!E:E,'Data Additive'!E:E,0)</f>
        <v>1246280894</v>
      </c>
    </row>
    <row r="217" spans="1:18" x14ac:dyDescent="0.25">
      <c r="A217">
        <v>6124</v>
      </c>
      <c r="B217" t="s">
        <v>695</v>
      </c>
      <c r="C217" t="s">
        <v>85</v>
      </c>
      <c r="D217" s="32">
        <v>51634.400000000001</v>
      </c>
      <c r="E217">
        <v>1246271329</v>
      </c>
      <c r="F217" s="28">
        <v>46216</v>
      </c>
      <c r="H217" t="s">
        <v>23</v>
      </c>
      <c r="I217" t="s">
        <v>24</v>
      </c>
      <c r="J217">
        <v>11119</v>
      </c>
      <c r="K217" s="28">
        <v>46126</v>
      </c>
      <c r="L217">
        <v>1010100</v>
      </c>
      <c r="M217" t="s">
        <v>29</v>
      </c>
      <c r="N217">
        <v>161</v>
      </c>
      <c r="O217" t="s">
        <v>145</v>
      </c>
      <c r="P217" t="s">
        <v>431</v>
      </c>
      <c r="Q217">
        <f t="shared" si="4"/>
        <v>-19</v>
      </c>
      <c r="R217">
        <f>_xlfn.XLOOKUP(E217,'Data Additive'!E:E,'Data Additive'!E:E,0)</f>
        <v>1246271329</v>
      </c>
    </row>
    <row r="218" spans="1:18" x14ac:dyDescent="0.25">
      <c r="A218">
        <v>6124</v>
      </c>
      <c r="B218" t="s">
        <v>695</v>
      </c>
      <c r="C218" t="s">
        <v>85</v>
      </c>
      <c r="D218" s="32">
        <v>52129.08</v>
      </c>
      <c r="E218">
        <v>1246277258</v>
      </c>
      <c r="F218" s="28">
        <v>46260</v>
      </c>
      <c r="H218" t="s">
        <v>23</v>
      </c>
      <c r="I218" t="s">
        <v>24</v>
      </c>
      <c r="J218">
        <v>11536</v>
      </c>
      <c r="K218" s="28">
        <v>46170</v>
      </c>
      <c r="L218">
        <v>1010100</v>
      </c>
      <c r="M218" t="s">
        <v>29</v>
      </c>
      <c r="N218">
        <v>161</v>
      </c>
      <c r="O218" t="s">
        <v>145</v>
      </c>
      <c r="P218" t="s">
        <v>431</v>
      </c>
      <c r="Q218">
        <f t="shared" si="4"/>
        <v>-63</v>
      </c>
      <c r="R218">
        <f>_xlfn.XLOOKUP(E218,'Data Additive'!E:E,'Data Additive'!E:E,0)</f>
        <v>1246277258</v>
      </c>
    </row>
    <row r="219" spans="1:18" x14ac:dyDescent="0.25">
      <c r="A219">
        <v>7102</v>
      </c>
      <c r="B219" t="s">
        <v>676</v>
      </c>
      <c r="C219" t="s">
        <v>480</v>
      </c>
      <c r="D219" s="32">
        <v>63616.49</v>
      </c>
      <c r="E219">
        <v>1246275577</v>
      </c>
      <c r="F219" s="28">
        <v>46250</v>
      </c>
      <c r="H219" t="s">
        <v>23</v>
      </c>
      <c r="I219" t="s">
        <v>24</v>
      </c>
      <c r="J219">
        <v>11421</v>
      </c>
      <c r="K219" s="28">
        <v>46160</v>
      </c>
      <c r="L219">
        <v>1010100</v>
      </c>
      <c r="M219" t="s">
        <v>29</v>
      </c>
      <c r="N219">
        <v>161</v>
      </c>
      <c r="O219" t="s">
        <v>145</v>
      </c>
      <c r="P219" t="s">
        <v>431</v>
      </c>
      <c r="Q219">
        <f t="shared" si="4"/>
        <v>-53</v>
      </c>
      <c r="R219">
        <f>_xlfn.XLOOKUP(E219,'Data Additive'!E:E,'Data Additive'!E:E,0)</f>
        <v>1246275577</v>
      </c>
    </row>
    <row r="220" spans="1:18" x14ac:dyDescent="0.25">
      <c r="A220">
        <v>7102</v>
      </c>
      <c r="B220" t="s">
        <v>676</v>
      </c>
      <c r="C220" t="s">
        <v>480</v>
      </c>
      <c r="D220" s="32">
        <v>63327</v>
      </c>
      <c r="E220">
        <v>1246270569</v>
      </c>
      <c r="F220" s="28">
        <v>46210</v>
      </c>
      <c r="H220" t="s">
        <v>23</v>
      </c>
      <c r="I220" t="s">
        <v>24</v>
      </c>
      <c r="J220">
        <v>11069</v>
      </c>
      <c r="K220" s="28">
        <v>46120</v>
      </c>
      <c r="L220">
        <v>1010100</v>
      </c>
      <c r="M220" t="s">
        <v>29</v>
      </c>
      <c r="N220">
        <v>161</v>
      </c>
      <c r="O220" t="s">
        <v>145</v>
      </c>
      <c r="P220" t="s">
        <v>431</v>
      </c>
      <c r="Q220">
        <f t="shared" si="4"/>
        <v>-13</v>
      </c>
      <c r="R220">
        <f>_xlfn.XLOOKUP(E220,'Data Additive'!E:E,'Data Additive'!E:E,0)</f>
        <v>1246270569</v>
      </c>
    </row>
    <row r="221" spans="1:18" x14ac:dyDescent="0.25">
      <c r="A221">
        <v>7102</v>
      </c>
      <c r="B221" t="s">
        <v>676</v>
      </c>
      <c r="C221" t="s">
        <v>480</v>
      </c>
      <c r="D221" s="32">
        <v>63152.44</v>
      </c>
      <c r="E221">
        <v>1246277905</v>
      </c>
      <c r="F221" s="28">
        <v>46265</v>
      </c>
      <c r="H221" t="s">
        <v>23</v>
      </c>
      <c r="I221" t="s">
        <v>24</v>
      </c>
      <c r="J221">
        <v>11585</v>
      </c>
      <c r="K221" s="28">
        <v>46175</v>
      </c>
      <c r="L221">
        <v>1010100</v>
      </c>
      <c r="M221" t="s">
        <v>29</v>
      </c>
      <c r="N221">
        <v>161</v>
      </c>
      <c r="O221" t="s">
        <v>145</v>
      </c>
      <c r="P221" t="s">
        <v>431</v>
      </c>
      <c r="Q221">
        <f t="shared" si="4"/>
        <v>-68</v>
      </c>
      <c r="R221">
        <f>_xlfn.XLOOKUP(E221,'Data Additive'!E:E,'Data Additive'!E:E,0)</f>
        <v>1246277905</v>
      </c>
    </row>
    <row r="222" spans="1:18" x14ac:dyDescent="0.25">
      <c r="A222">
        <v>7102</v>
      </c>
      <c r="B222" t="s">
        <v>676</v>
      </c>
      <c r="C222" t="s">
        <v>480</v>
      </c>
      <c r="D222" s="32">
        <v>63173.54</v>
      </c>
      <c r="E222">
        <v>1246279684</v>
      </c>
      <c r="F222" s="28">
        <v>46279</v>
      </c>
      <c r="H222" t="s">
        <v>23</v>
      </c>
      <c r="I222" t="s">
        <v>24</v>
      </c>
      <c r="J222">
        <v>11726</v>
      </c>
      <c r="K222" s="28">
        <v>46189</v>
      </c>
      <c r="L222">
        <v>1010100</v>
      </c>
      <c r="M222" t="s">
        <v>29</v>
      </c>
      <c r="N222">
        <v>161</v>
      </c>
      <c r="O222" t="s">
        <v>145</v>
      </c>
      <c r="P222" t="s">
        <v>431</v>
      </c>
      <c r="Q222">
        <f t="shared" si="4"/>
        <v>-82</v>
      </c>
      <c r="R222">
        <f>_xlfn.XLOOKUP(E222,'Data Additive'!E:E,'Data Additive'!E:E,0)</f>
        <v>1246279684</v>
      </c>
    </row>
    <row r="223" spans="1:18" x14ac:dyDescent="0.25">
      <c r="A223">
        <v>7102</v>
      </c>
      <c r="B223" t="s">
        <v>676</v>
      </c>
      <c r="C223" t="s">
        <v>480</v>
      </c>
      <c r="D223" s="32">
        <v>63257.91</v>
      </c>
      <c r="E223">
        <v>1246278476</v>
      </c>
      <c r="F223" s="28">
        <v>46271</v>
      </c>
      <c r="H223" t="s">
        <v>23</v>
      </c>
      <c r="I223" t="s">
        <v>24</v>
      </c>
      <c r="J223">
        <v>11631</v>
      </c>
      <c r="K223" s="28">
        <v>46181</v>
      </c>
      <c r="L223">
        <v>1010100</v>
      </c>
      <c r="M223" t="s">
        <v>29</v>
      </c>
      <c r="N223">
        <v>161</v>
      </c>
      <c r="O223" t="s">
        <v>145</v>
      </c>
      <c r="P223" t="s">
        <v>431</v>
      </c>
      <c r="Q223">
        <f t="shared" si="4"/>
        <v>-74</v>
      </c>
      <c r="R223">
        <f>_xlfn.XLOOKUP(E223,'Data Additive'!E:E,'Data Additive'!E:E,0)</f>
        <v>1246278476</v>
      </c>
    </row>
    <row r="224" spans="1:18" x14ac:dyDescent="0.25">
      <c r="A224">
        <v>7102</v>
      </c>
      <c r="B224" t="s">
        <v>676</v>
      </c>
      <c r="C224" t="s">
        <v>480</v>
      </c>
      <c r="D224" s="32">
        <v>63405.56</v>
      </c>
      <c r="E224">
        <v>1246281004</v>
      </c>
      <c r="F224" s="28">
        <v>46287</v>
      </c>
      <c r="H224" t="s">
        <v>23</v>
      </c>
      <c r="I224" t="s">
        <v>24</v>
      </c>
      <c r="J224">
        <v>11817</v>
      </c>
      <c r="K224" s="28">
        <v>46197</v>
      </c>
      <c r="L224">
        <v>1010100</v>
      </c>
      <c r="M224" t="s">
        <v>29</v>
      </c>
      <c r="N224">
        <v>161</v>
      </c>
      <c r="O224" t="s">
        <v>145</v>
      </c>
      <c r="P224" t="s">
        <v>431</v>
      </c>
      <c r="Q224">
        <f t="shared" si="4"/>
        <v>-90</v>
      </c>
      <c r="R224">
        <f>_xlfn.XLOOKUP(E224,'Data Additive'!E:E,'Data Additive'!E:E,0)</f>
        <v>1246281004</v>
      </c>
    </row>
    <row r="225" spans="1:18" x14ac:dyDescent="0.25">
      <c r="A225">
        <v>7102</v>
      </c>
      <c r="B225" t="s">
        <v>676</v>
      </c>
      <c r="C225" t="s">
        <v>480</v>
      </c>
      <c r="D225" s="32">
        <v>63785.23</v>
      </c>
      <c r="E225">
        <v>1246279378</v>
      </c>
      <c r="F225" s="28">
        <v>46275</v>
      </c>
      <c r="H225" t="s">
        <v>23</v>
      </c>
      <c r="I225" t="s">
        <v>24</v>
      </c>
      <c r="J225">
        <v>11696</v>
      </c>
      <c r="K225" s="28">
        <v>46185</v>
      </c>
      <c r="L225">
        <v>1010100</v>
      </c>
      <c r="M225" t="s">
        <v>29</v>
      </c>
      <c r="N225">
        <v>161</v>
      </c>
      <c r="O225" t="s">
        <v>145</v>
      </c>
      <c r="P225" t="s">
        <v>431</v>
      </c>
      <c r="Q225">
        <f t="shared" si="4"/>
        <v>-78</v>
      </c>
      <c r="R225">
        <f>_xlfn.XLOOKUP(E225,'Data Additive'!E:E,'Data Additive'!E:E,0)</f>
        <v>1246279378</v>
      </c>
    </row>
    <row r="226" spans="1:18" x14ac:dyDescent="0.25">
      <c r="A226">
        <v>7102</v>
      </c>
      <c r="B226" t="s">
        <v>676</v>
      </c>
      <c r="C226" t="s">
        <v>480</v>
      </c>
      <c r="D226" s="32">
        <v>63257.91</v>
      </c>
      <c r="E226">
        <v>1246277067</v>
      </c>
      <c r="F226" s="28">
        <v>46259</v>
      </c>
      <c r="H226" t="s">
        <v>23</v>
      </c>
      <c r="I226" t="s">
        <v>24</v>
      </c>
      <c r="J226">
        <v>11514</v>
      </c>
      <c r="K226" s="28">
        <v>46169</v>
      </c>
      <c r="L226">
        <v>1010100</v>
      </c>
      <c r="M226" t="s">
        <v>29</v>
      </c>
      <c r="N226">
        <v>161</v>
      </c>
      <c r="O226" t="s">
        <v>145</v>
      </c>
      <c r="P226" t="s">
        <v>431</v>
      </c>
      <c r="Q226">
        <f t="shared" si="4"/>
        <v>-62</v>
      </c>
      <c r="R226">
        <f>_xlfn.XLOOKUP(E226,'Data Additive'!E:E,'Data Additive'!E:E,0)</f>
        <v>1246277067</v>
      </c>
    </row>
    <row r="227" spans="1:18" x14ac:dyDescent="0.25">
      <c r="A227">
        <v>7102</v>
      </c>
      <c r="B227" t="s">
        <v>676</v>
      </c>
      <c r="C227" t="s">
        <v>480</v>
      </c>
      <c r="D227" s="32">
        <v>63616.49</v>
      </c>
      <c r="E227">
        <v>1246280441</v>
      </c>
      <c r="F227" s="28">
        <v>46285</v>
      </c>
      <c r="H227" t="s">
        <v>23</v>
      </c>
      <c r="I227" t="s">
        <v>24</v>
      </c>
      <c r="J227">
        <v>11782</v>
      </c>
      <c r="K227" s="28">
        <v>46195</v>
      </c>
      <c r="L227">
        <v>1010100</v>
      </c>
      <c r="M227" t="s">
        <v>29</v>
      </c>
      <c r="N227">
        <v>161</v>
      </c>
      <c r="O227" t="s">
        <v>145</v>
      </c>
      <c r="P227" t="s">
        <v>431</v>
      </c>
      <c r="Q227">
        <f t="shared" si="4"/>
        <v>-88</v>
      </c>
      <c r="R227">
        <f>_xlfn.XLOOKUP(E227,'Data Additive'!E:E,'Data Additive'!E:E,0)</f>
        <v>1246280441</v>
      </c>
    </row>
    <row r="228" spans="1:18" x14ac:dyDescent="0.25">
      <c r="A228">
        <v>7662</v>
      </c>
      <c r="B228" t="s">
        <v>95</v>
      </c>
      <c r="C228" t="s">
        <v>465</v>
      </c>
      <c r="D228" s="32">
        <v>112800</v>
      </c>
      <c r="E228">
        <v>1246276582</v>
      </c>
      <c r="F228" s="28">
        <v>46212</v>
      </c>
      <c r="H228" t="s">
        <v>23</v>
      </c>
      <c r="I228" t="s">
        <v>24</v>
      </c>
      <c r="J228">
        <v>2961</v>
      </c>
      <c r="K228" s="28">
        <v>46167</v>
      </c>
      <c r="L228">
        <v>1010100</v>
      </c>
      <c r="M228" t="s">
        <v>29</v>
      </c>
      <c r="N228">
        <v>161</v>
      </c>
      <c r="O228" t="s">
        <v>145</v>
      </c>
      <c r="P228" t="s">
        <v>526</v>
      </c>
      <c r="Q228">
        <f t="shared" si="4"/>
        <v>-15</v>
      </c>
      <c r="R228">
        <f>_xlfn.XLOOKUP(E228,'Data Additive'!E:E,'Data Additive'!E:E,0)</f>
        <v>1246276582</v>
      </c>
    </row>
    <row r="229" spans="1:18" x14ac:dyDescent="0.25">
      <c r="A229">
        <v>7662</v>
      </c>
      <c r="B229" t="s">
        <v>95</v>
      </c>
      <c r="C229" t="s">
        <v>465</v>
      </c>
      <c r="D229" s="32">
        <v>112800</v>
      </c>
      <c r="E229">
        <v>1246276583</v>
      </c>
      <c r="F229" s="28">
        <v>46227</v>
      </c>
      <c r="H229" t="s">
        <v>23</v>
      </c>
      <c r="I229" t="s">
        <v>24</v>
      </c>
      <c r="J229">
        <v>2961</v>
      </c>
      <c r="K229" s="28">
        <v>46167</v>
      </c>
      <c r="L229">
        <v>1010100</v>
      </c>
      <c r="M229" t="s">
        <v>29</v>
      </c>
      <c r="N229">
        <v>161</v>
      </c>
      <c r="O229" t="s">
        <v>145</v>
      </c>
      <c r="P229" t="s">
        <v>526</v>
      </c>
      <c r="Q229">
        <f t="shared" si="4"/>
        <v>-30</v>
      </c>
      <c r="R229">
        <f>_xlfn.XLOOKUP(E229,'Data Additive'!E:E,'Data Additive'!E:E,0)</f>
        <v>1246276583</v>
      </c>
    </row>
    <row r="230" spans="1:18" x14ac:dyDescent="0.25">
      <c r="A230">
        <v>7662</v>
      </c>
      <c r="B230" t="s">
        <v>95</v>
      </c>
      <c r="C230" t="s">
        <v>465</v>
      </c>
      <c r="D230" s="32">
        <v>91675</v>
      </c>
      <c r="E230">
        <v>1246273180</v>
      </c>
      <c r="F230" s="28">
        <v>46202</v>
      </c>
      <c r="H230" t="s">
        <v>23</v>
      </c>
      <c r="I230" t="s">
        <v>24</v>
      </c>
      <c r="J230">
        <v>2902</v>
      </c>
      <c r="K230" s="28">
        <v>46142</v>
      </c>
      <c r="L230">
        <v>1010100</v>
      </c>
      <c r="M230" t="s">
        <v>29</v>
      </c>
      <c r="N230">
        <v>161</v>
      </c>
      <c r="O230" t="s">
        <v>145</v>
      </c>
      <c r="P230" t="s">
        <v>526</v>
      </c>
      <c r="Q230">
        <f t="shared" si="4"/>
        <v>-5</v>
      </c>
      <c r="R230">
        <f>_xlfn.XLOOKUP(E230,'Data Additive'!E:E,'Data Additive'!E:E,0)</f>
        <v>1246273180</v>
      </c>
    </row>
    <row r="231" spans="1:18" x14ac:dyDescent="0.25">
      <c r="A231">
        <v>6477</v>
      </c>
      <c r="B231" t="s">
        <v>87</v>
      </c>
      <c r="C231" t="s">
        <v>88</v>
      </c>
      <c r="D231" s="32">
        <v>181536</v>
      </c>
      <c r="E231">
        <v>1246280462</v>
      </c>
      <c r="F231" s="28">
        <v>46285</v>
      </c>
      <c r="H231" t="s">
        <v>23</v>
      </c>
      <c r="I231" t="s">
        <v>24</v>
      </c>
      <c r="J231">
        <v>11785</v>
      </c>
      <c r="K231" s="28">
        <v>46195</v>
      </c>
      <c r="L231">
        <v>1010100</v>
      </c>
      <c r="M231" t="s">
        <v>29</v>
      </c>
      <c r="N231">
        <v>161</v>
      </c>
      <c r="O231" t="s">
        <v>145</v>
      </c>
      <c r="P231" t="s">
        <v>431</v>
      </c>
      <c r="Q231">
        <f t="shared" si="4"/>
        <v>-88</v>
      </c>
      <c r="R231">
        <f>_xlfn.XLOOKUP(E231,'Data Additive'!E:E,'Data Additive'!E:E,0)</f>
        <v>1246280462</v>
      </c>
    </row>
    <row r="232" spans="1:18" x14ac:dyDescent="0.25">
      <c r="A232">
        <v>6477</v>
      </c>
      <c r="B232" t="s">
        <v>87</v>
      </c>
      <c r="C232" t="s">
        <v>88</v>
      </c>
      <c r="D232" s="32">
        <v>120170</v>
      </c>
      <c r="E232">
        <v>1246277591</v>
      </c>
      <c r="F232" s="28">
        <v>46264</v>
      </c>
      <c r="H232" t="s">
        <v>23</v>
      </c>
      <c r="I232" t="s">
        <v>24</v>
      </c>
      <c r="J232">
        <v>11569</v>
      </c>
      <c r="K232" s="28">
        <v>46174</v>
      </c>
      <c r="L232">
        <v>1010100</v>
      </c>
      <c r="M232" t="s">
        <v>29</v>
      </c>
      <c r="N232">
        <v>161</v>
      </c>
      <c r="O232" t="s">
        <v>145</v>
      </c>
      <c r="P232" t="s">
        <v>431</v>
      </c>
      <c r="Q232">
        <f t="shared" si="4"/>
        <v>-67</v>
      </c>
      <c r="R232">
        <f>_xlfn.XLOOKUP(E232,'Data Additive'!E:E,'Data Additive'!E:E,0)</f>
        <v>1246277591</v>
      </c>
    </row>
    <row r="233" spans="1:18" x14ac:dyDescent="0.25">
      <c r="A233">
        <v>6477</v>
      </c>
      <c r="B233" t="s">
        <v>87</v>
      </c>
      <c r="C233" t="s">
        <v>88</v>
      </c>
      <c r="D233" s="32">
        <v>92903</v>
      </c>
      <c r="E233">
        <v>1246275478</v>
      </c>
      <c r="F233" s="28">
        <v>46247</v>
      </c>
      <c r="H233" t="s">
        <v>23</v>
      </c>
      <c r="I233" t="s">
        <v>24</v>
      </c>
      <c r="J233">
        <v>11413</v>
      </c>
      <c r="K233" s="28">
        <v>46157</v>
      </c>
      <c r="L233">
        <v>1010100</v>
      </c>
      <c r="M233" t="s">
        <v>29</v>
      </c>
      <c r="N233">
        <v>161</v>
      </c>
      <c r="O233" t="s">
        <v>145</v>
      </c>
      <c r="P233" t="s">
        <v>431</v>
      </c>
      <c r="Q233">
        <f t="shared" si="4"/>
        <v>-50</v>
      </c>
      <c r="R233">
        <f>_xlfn.XLOOKUP(E233,'Data Additive'!E:E,'Data Additive'!E:E,0)</f>
        <v>1246275478</v>
      </c>
    </row>
    <row r="234" spans="1:18" x14ac:dyDescent="0.25">
      <c r="A234">
        <v>6477</v>
      </c>
      <c r="B234" t="s">
        <v>87</v>
      </c>
      <c r="C234" t="s">
        <v>88</v>
      </c>
      <c r="D234" s="32">
        <v>181963</v>
      </c>
      <c r="E234">
        <v>1246279053</v>
      </c>
      <c r="F234" s="28">
        <v>46273</v>
      </c>
      <c r="H234" t="s">
        <v>23</v>
      </c>
      <c r="I234" t="s">
        <v>24</v>
      </c>
      <c r="J234">
        <v>11674</v>
      </c>
      <c r="K234" s="28">
        <v>46183</v>
      </c>
      <c r="L234">
        <v>1010100</v>
      </c>
      <c r="M234" t="s">
        <v>29</v>
      </c>
      <c r="N234">
        <v>161</v>
      </c>
      <c r="O234" t="s">
        <v>145</v>
      </c>
      <c r="P234" t="s">
        <v>431</v>
      </c>
      <c r="Q234">
        <f t="shared" si="4"/>
        <v>-76</v>
      </c>
      <c r="R234">
        <f>_xlfn.XLOOKUP(E234,'Data Additive'!E:E,'Data Additive'!E:E,0)</f>
        <v>1246279053</v>
      </c>
    </row>
    <row r="235" spans="1:18" x14ac:dyDescent="0.25">
      <c r="A235">
        <v>6477</v>
      </c>
      <c r="B235" t="s">
        <v>87</v>
      </c>
      <c r="C235" t="s">
        <v>88</v>
      </c>
      <c r="D235" s="32">
        <v>120475</v>
      </c>
      <c r="E235">
        <v>1246279407</v>
      </c>
      <c r="F235" s="28">
        <v>46275</v>
      </c>
      <c r="H235" t="s">
        <v>23</v>
      </c>
      <c r="I235" t="s">
        <v>24</v>
      </c>
      <c r="J235">
        <v>11705</v>
      </c>
      <c r="K235" s="28">
        <v>46185</v>
      </c>
      <c r="L235">
        <v>1010100</v>
      </c>
      <c r="M235" t="s">
        <v>29</v>
      </c>
      <c r="N235">
        <v>161</v>
      </c>
      <c r="O235" t="s">
        <v>145</v>
      </c>
      <c r="P235" t="s">
        <v>431</v>
      </c>
      <c r="Q235">
        <f t="shared" si="4"/>
        <v>-78</v>
      </c>
      <c r="R235">
        <f>_xlfn.XLOOKUP(E235,'Data Additive'!E:E,'Data Additive'!E:E,0)</f>
        <v>1246279407</v>
      </c>
    </row>
    <row r="236" spans="1:18" x14ac:dyDescent="0.25">
      <c r="A236">
        <v>6477</v>
      </c>
      <c r="B236" t="s">
        <v>87</v>
      </c>
      <c r="C236" t="s">
        <v>88</v>
      </c>
      <c r="D236" s="32">
        <v>184525</v>
      </c>
      <c r="E236">
        <v>1246275783</v>
      </c>
      <c r="F236" s="28">
        <v>46251</v>
      </c>
      <c r="H236" t="s">
        <v>23</v>
      </c>
      <c r="I236" t="s">
        <v>24</v>
      </c>
      <c r="J236">
        <v>11440</v>
      </c>
      <c r="K236" s="28">
        <v>46161</v>
      </c>
      <c r="L236">
        <v>1010100</v>
      </c>
      <c r="M236" t="s">
        <v>29</v>
      </c>
      <c r="N236">
        <v>161</v>
      </c>
      <c r="O236" t="s">
        <v>145</v>
      </c>
      <c r="P236" t="s">
        <v>431</v>
      </c>
      <c r="Q236">
        <f t="shared" si="4"/>
        <v>-54</v>
      </c>
      <c r="R236">
        <f>_xlfn.XLOOKUP(E236,'Data Additive'!E:E,'Data Additive'!E:E,0)</f>
        <v>1246275783</v>
      </c>
    </row>
    <row r="237" spans="1:18" x14ac:dyDescent="0.25">
      <c r="A237">
        <v>6477</v>
      </c>
      <c r="B237" t="s">
        <v>87</v>
      </c>
      <c r="C237" t="s">
        <v>88</v>
      </c>
      <c r="D237" s="32">
        <v>185135</v>
      </c>
      <c r="E237">
        <v>1246276345</v>
      </c>
      <c r="F237" s="28">
        <v>46254</v>
      </c>
      <c r="H237" t="s">
        <v>23</v>
      </c>
      <c r="I237" t="s">
        <v>24</v>
      </c>
      <c r="J237">
        <v>11476</v>
      </c>
      <c r="K237" s="28">
        <v>46164</v>
      </c>
      <c r="L237">
        <v>1010100</v>
      </c>
      <c r="M237" t="s">
        <v>29</v>
      </c>
      <c r="N237">
        <v>161</v>
      </c>
      <c r="O237" t="s">
        <v>145</v>
      </c>
      <c r="P237" t="s">
        <v>431</v>
      </c>
      <c r="Q237">
        <f t="shared" si="4"/>
        <v>-57</v>
      </c>
      <c r="R237">
        <f>_xlfn.XLOOKUP(E237,'Data Additive'!E:E,'Data Additive'!E:E,0)</f>
        <v>1246276345</v>
      </c>
    </row>
    <row r="238" spans="1:18" x14ac:dyDescent="0.25">
      <c r="A238">
        <v>6477</v>
      </c>
      <c r="B238" t="s">
        <v>87</v>
      </c>
      <c r="C238" t="s">
        <v>88</v>
      </c>
      <c r="D238" s="32">
        <v>122000</v>
      </c>
      <c r="E238">
        <v>1246280250</v>
      </c>
      <c r="F238" s="28">
        <v>46282</v>
      </c>
      <c r="H238" t="s">
        <v>23</v>
      </c>
      <c r="I238" t="s">
        <v>24</v>
      </c>
      <c r="J238">
        <v>11762</v>
      </c>
      <c r="K238" s="28">
        <v>46192</v>
      </c>
      <c r="L238">
        <v>1010100</v>
      </c>
      <c r="M238" t="s">
        <v>29</v>
      </c>
      <c r="N238">
        <v>161</v>
      </c>
      <c r="O238" t="s">
        <v>145</v>
      </c>
      <c r="P238" t="s">
        <v>431</v>
      </c>
      <c r="Q238">
        <f t="shared" si="4"/>
        <v>-85</v>
      </c>
      <c r="R238">
        <f>_xlfn.XLOOKUP(E238,'Data Additive'!E:E,'Data Additive'!E:E,0)</f>
        <v>1246280250</v>
      </c>
    </row>
    <row r="239" spans="1:18" x14ac:dyDescent="0.25">
      <c r="A239">
        <v>6477</v>
      </c>
      <c r="B239" t="s">
        <v>87</v>
      </c>
      <c r="C239" t="s">
        <v>88</v>
      </c>
      <c r="D239" s="32">
        <v>35057.43</v>
      </c>
      <c r="E239">
        <v>1246277377</v>
      </c>
      <c r="F239" s="28">
        <v>46261</v>
      </c>
      <c r="H239" t="s">
        <v>23</v>
      </c>
      <c r="I239" t="s">
        <v>24</v>
      </c>
      <c r="J239">
        <v>11552</v>
      </c>
      <c r="K239" s="28">
        <v>46171</v>
      </c>
      <c r="L239">
        <v>1010100</v>
      </c>
      <c r="M239" t="s">
        <v>29</v>
      </c>
      <c r="N239">
        <v>161</v>
      </c>
      <c r="O239" t="s">
        <v>145</v>
      </c>
      <c r="P239" t="s">
        <v>431</v>
      </c>
      <c r="Q239">
        <f t="shared" si="4"/>
        <v>-64</v>
      </c>
      <c r="R239">
        <f>_xlfn.XLOOKUP(E239,'Data Additive'!E:E,'Data Additive'!E:E,0)</f>
        <v>1246277377</v>
      </c>
    </row>
    <row r="240" spans="1:18" x14ac:dyDescent="0.25">
      <c r="A240">
        <v>6477</v>
      </c>
      <c r="B240" t="s">
        <v>87</v>
      </c>
      <c r="C240" t="s">
        <v>88</v>
      </c>
      <c r="D240" s="32">
        <v>34213.5</v>
      </c>
      <c r="E240">
        <v>1246274569</v>
      </c>
      <c r="F240" s="28">
        <v>46244</v>
      </c>
      <c r="H240" t="s">
        <v>23</v>
      </c>
      <c r="I240" t="s">
        <v>24</v>
      </c>
      <c r="J240">
        <v>11361</v>
      </c>
      <c r="K240" s="28">
        <v>46154</v>
      </c>
      <c r="L240">
        <v>1010100</v>
      </c>
      <c r="M240" t="s">
        <v>29</v>
      </c>
      <c r="N240">
        <v>161</v>
      </c>
      <c r="O240" t="s">
        <v>145</v>
      </c>
      <c r="P240" t="s">
        <v>431</v>
      </c>
      <c r="Q240">
        <f t="shared" si="4"/>
        <v>-47</v>
      </c>
      <c r="R240">
        <f>_xlfn.XLOOKUP(E240,'Data Additive'!E:E,'Data Additive'!E:E,0)</f>
        <v>1246274569</v>
      </c>
    </row>
    <row r="241" spans="1:18" x14ac:dyDescent="0.25">
      <c r="A241">
        <v>6477</v>
      </c>
      <c r="B241" t="s">
        <v>87</v>
      </c>
      <c r="C241" t="s">
        <v>88</v>
      </c>
      <c r="D241" s="32">
        <v>121878</v>
      </c>
      <c r="E241">
        <v>1246278399</v>
      </c>
      <c r="F241" s="28">
        <v>46268</v>
      </c>
      <c r="H241" t="s">
        <v>23</v>
      </c>
      <c r="I241" t="s">
        <v>24</v>
      </c>
      <c r="J241">
        <v>11617</v>
      </c>
      <c r="K241" s="28">
        <v>46178</v>
      </c>
      <c r="L241">
        <v>1010100</v>
      </c>
      <c r="M241" t="s">
        <v>29</v>
      </c>
      <c r="N241">
        <v>161</v>
      </c>
      <c r="O241" t="s">
        <v>145</v>
      </c>
      <c r="P241" t="s">
        <v>431</v>
      </c>
      <c r="Q241">
        <f t="shared" si="4"/>
        <v>-71</v>
      </c>
      <c r="R241">
        <f>_xlfn.XLOOKUP(E241,'Data Additive'!E:E,'Data Additive'!E:E,0)</f>
        <v>1246278399</v>
      </c>
    </row>
    <row r="242" spans="1:18" x14ac:dyDescent="0.25">
      <c r="A242">
        <v>6477</v>
      </c>
      <c r="B242" t="s">
        <v>87</v>
      </c>
      <c r="C242" t="s">
        <v>88</v>
      </c>
      <c r="D242" s="32">
        <v>68404.19</v>
      </c>
      <c r="E242">
        <v>1246280278</v>
      </c>
      <c r="F242" s="28">
        <v>46282</v>
      </c>
      <c r="H242" t="s">
        <v>23</v>
      </c>
      <c r="I242" t="s">
        <v>24</v>
      </c>
      <c r="J242">
        <v>11769</v>
      </c>
      <c r="K242" s="28">
        <v>46192</v>
      </c>
      <c r="L242">
        <v>1010100</v>
      </c>
      <c r="M242" t="s">
        <v>29</v>
      </c>
      <c r="N242">
        <v>161</v>
      </c>
      <c r="O242" t="s">
        <v>145</v>
      </c>
      <c r="P242" t="s">
        <v>431</v>
      </c>
      <c r="Q242">
        <f t="shared" si="4"/>
        <v>-85</v>
      </c>
      <c r="R242">
        <f>_xlfn.XLOOKUP(E242,'Data Additive'!E:E,'Data Additive'!E:E,0)</f>
        <v>1246280278</v>
      </c>
    </row>
    <row r="243" spans="1:18" x14ac:dyDescent="0.25">
      <c r="A243">
        <v>6477</v>
      </c>
      <c r="B243" t="s">
        <v>87</v>
      </c>
      <c r="C243" t="s">
        <v>88</v>
      </c>
      <c r="D243" s="32">
        <v>64184.53</v>
      </c>
      <c r="E243">
        <v>1246278952</v>
      </c>
      <c r="F243" s="28">
        <v>46273</v>
      </c>
      <c r="H243" t="s">
        <v>23</v>
      </c>
      <c r="I243" t="s">
        <v>24</v>
      </c>
      <c r="J243">
        <v>11666</v>
      </c>
      <c r="K243" s="28">
        <v>46183</v>
      </c>
      <c r="L243">
        <v>1010100</v>
      </c>
      <c r="M243" t="s">
        <v>29</v>
      </c>
      <c r="N243">
        <v>161</v>
      </c>
      <c r="O243" t="s">
        <v>145</v>
      </c>
      <c r="P243" t="s">
        <v>431</v>
      </c>
      <c r="Q243">
        <f t="shared" si="4"/>
        <v>-76</v>
      </c>
      <c r="R243">
        <f>_xlfn.XLOOKUP(E243,'Data Additive'!E:E,'Data Additive'!E:E,0)</f>
        <v>1246278952</v>
      </c>
    </row>
    <row r="244" spans="1:18" x14ac:dyDescent="0.25">
      <c r="A244">
        <v>6477</v>
      </c>
      <c r="B244" t="s">
        <v>87</v>
      </c>
      <c r="C244" t="s">
        <v>88</v>
      </c>
      <c r="D244" s="32">
        <v>183427</v>
      </c>
      <c r="E244">
        <v>1246273826</v>
      </c>
      <c r="F244" s="28">
        <v>46238</v>
      </c>
      <c r="H244" t="s">
        <v>23</v>
      </c>
      <c r="I244" t="s">
        <v>24</v>
      </c>
      <c r="J244">
        <v>11314</v>
      </c>
      <c r="K244" s="28">
        <v>46148</v>
      </c>
      <c r="L244">
        <v>1010100</v>
      </c>
      <c r="M244" t="s">
        <v>29</v>
      </c>
      <c r="N244">
        <v>161</v>
      </c>
      <c r="O244" t="s">
        <v>145</v>
      </c>
      <c r="P244" t="s">
        <v>431</v>
      </c>
      <c r="Q244">
        <f t="shared" si="4"/>
        <v>-41</v>
      </c>
      <c r="R244">
        <f>_xlfn.XLOOKUP(E244,'Data Additive'!E:E,'Data Additive'!E:E,0)</f>
        <v>1246273826</v>
      </c>
    </row>
    <row r="245" spans="1:18" x14ac:dyDescent="0.25">
      <c r="A245">
        <v>6477</v>
      </c>
      <c r="B245" t="s">
        <v>87</v>
      </c>
      <c r="C245" t="s">
        <v>88</v>
      </c>
      <c r="D245" s="32">
        <v>6302.6</v>
      </c>
      <c r="E245">
        <v>1246212732</v>
      </c>
      <c r="F245" s="28">
        <v>45682</v>
      </c>
      <c r="H245" t="s">
        <v>23</v>
      </c>
      <c r="I245" t="s">
        <v>24</v>
      </c>
      <c r="J245">
        <v>6197</v>
      </c>
      <c r="K245" s="28">
        <v>45622</v>
      </c>
      <c r="L245">
        <v>1010100</v>
      </c>
      <c r="M245" t="s">
        <v>29</v>
      </c>
      <c r="N245">
        <v>161</v>
      </c>
      <c r="O245" t="s">
        <v>145</v>
      </c>
      <c r="P245" t="s">
        <v>431</v>
      </c>
      <c r="Q245">
        <f t="shared" si="4"/>
        <v>515</v>
      </c>
      <c r="R245">
        <f>_xlfn.XLOOKUP(E245,'Data Additive'!E:E,'Data Additive'!E:E,0)</f>
        <v>1246212732</v>
      </c>
    </row>
    <row r="246" spans="1:18" x14ac:dyDescent="0.25">
      <c r="A246">
        <v>7097</v>
      </c>
      <c r="B246" t="s">
        <v>91</v>
      </c>
      <c r="C246" t="s">
        <v>92</v>
      </c>
      <c r="D246" s="32">
        <v>174501</v>
      </c>
      <c r="E246">
        <v>1246279050</v>
      </c>
      <c r="F246" s="28">
        <v>46273</v>
      </c>
      <c r="H246" t="s">
        <v>23</v>
      </c>
      <c r="I246" t="s">
        <v>24</v>
      </c>
      <c r="J246">
        <v>11673</v>
      </c>
      <c r="K246" s="28">
        <v>46183</v>
      </c>
      <c r="L246">
        <v>1010100</v>
      </c>
      <c r="M246" t="s">
        <v>29</v>
      </c>
      <c r="N246">
        <v>161</v>
      </c>
      <c r="O246" t="s">
        <v>145</v>
      </c>
      <c r="P246" t="s">
        <v>431</v>
      </c>
      <c r="Q246">
        <f t="shared" si="4"/>
        <v>-76</v>
      </c>
      <c r="R246">
        <f>_xlfn.XLOOKUP(E246,'Data Additive'!E:E,'Data Additive'!E:E,0)</f>
        <v>1246279050</v>
      </c>
    </row>
    <row r="247" spans="1:18" x14ac:dyDescent="0.25">
      <c r="A247">
        <v>7648</v>
      </c>
      <c r="B247" t="s">
        <v>273</v>
      </c>
      <c r="C247" t="s">
        <v>803</v>
      </c>
      <c r="D247" s="32">
        <v>69092.100000000006</v>
      </c>
      <c r="E247">
        <v>1246279181</v>
      </c>
      <c r="F247" s="28">
        <v>46219</v>
      </c>
      <c r="H247" t="s">
        <v>23</v>
      </c>
      <c r="I247" t="s">
        <v>24</v>
      </c>
      <c r="J247">
        <v>11678</v>
      </c>
      <c r="K247" s="28">
        <v>46184</v>
      </c>
      <c r="L247">
        <v>1010100</v>
      </c>
      <c r="M247" t="s">
        <v>29</v>
      </c>
      <c r="N247">
        <v>161</v>
      </c>
      <c r="O247" t="s">
        <v>145</v>
      </c>
      <c r="P247" t="s">
        <v>364</v>
      </c>
      <c r="Q247">
        <f t="shared" si="4"/>
        <v>-22</v>
      </c>
      <c r="R247">
        <f>_xlfn.XLOOKUP(E247,'Data Additive'!E:E,'Data Additive'!E:E,0)</f>
        <v>1246279181</v>
      </c>
    </row>
    <row r="248" spans="1:18" x14ac:dyDescent="0.25">
      <c r="A248">
        <v>7024</v>
      </c>
      <c r="B248" t="s">
        <v>721</v>
      </c>
      <c r="C248" t="s">
        <v>722</v>
      </c>
      <c r="D248" s="32">
        <v>70855.199999999997</v>
      </c>
      <c r="E248">
        <v>1246269662</v>
      </c>
      <c r="F248" s="28">
        <v>46201</v>
      </c>
      <c r="H248" t="s">
        <v>23</v>
      </c>
      <c r="I248" t="s">
        <v>24</v>
      </c>
      <c r="J248">
        <v>11011</v>
      </c>
      <c r="K248" s="28">
        <v>46111</v>
      </c>
      <c r="L248">
        <v>1010100</v>
      </c>
      <c r="M248" t="s">
        <v>29</v>
      </c>
      <c r="N248">
        <v>161</v>
      </c>
      <c r="O248" t="s">
        <v>145</v>
      </c>
      <c r="P248" t="s">
        <v>431</v>
      </c>
      <c r="Q248">
        <f t="shared" si="4"/>
        <v>-4</v>
      </c>
      <c r="R248">
        <f>_xlfn.XLOOKUP(E248,'Data Additive'!E:E,'Data Additive'!E:E,0)</f>
        <v>1246269662</v>
      </c>
    </row>
    <row r="249" spans="1:18" x14ac:dyDescent="0.25">
      <c r="A249">
        <v>7024</v>
      </c>
      <c r="B249" t="s">
        <v>721</v>
      </c>
      <c r="C249" t="s">
        <v>722</v>
      </c>
      <c r="D249" s="32">
        <v>70849.5</v>
      </c>
      <c r="E249">
        <v>1246278281</v>
      </c>
      <c r="F249" s="28">
        <v>46268</v>
      </c>
      <c r="H249" t="s">
        <v>23</v>
      </c>
      <c r="I249" t="s">
        <v>24</v>
      </c>
      <c r="J249">
        <v>11597</v>
      </c>
      <c r="K249" s="28">
        <v>46178</v>
      </c>
      <c r="L249">
        <v>1010100</v>
      </c>
      <c r="M249" t="s">
        <v>29</v>
      </c>
      <c r="N249">
        <v>161</v>
      </c>
      <c r="O249" t="s">
        <v>145</v>
      </c>
      <c r="P249" t="s">
        <v>431</v>
      </c>
      <c r="Q249">
        <f t="shared" si="4"/>
        <v>-71</v>
      </c>
      <c r="R249">
        <f>_xlfn.XLOOKUP(E249,'Data Additive'!E:E,'Data Additive'!E:E,0)</f>
        <v>1246278281</v>
      </c>
    </row>
    <row r="250" spans="1:18" x14ac:dyDescent="0.25">
      <c r="A250">
        <v>7024</v>
      </c>
      <c r="B250" t="s">
        <v>721</v>
      </c>
      <c r="C250" t="s">
        <v>722</v>
      </c>
      <c r="D250" s="32">
        <v>71323.199999999997</v>
      </c>
      <c r="E250">
        <v>1246270943</v>
      </c>
      <c r="F250" s="28">
        <v>46212</v>
      </c>
      <c r="H250" t="s">
        <v>23</v>
      </c>
      <c r="I250" t="s">
        <v>24</v>
      </c>
      <c r="J250">
        <v>11084</v>
      </c>
      <c r="K250" s="28">
        <v>46122</v>
      </c>
      <c r="L250">
        <v>1010100</v>
      </c>
      <c r="M250" t="s">
        <v>29</v>
      </c>
      <c r="N250">
        <v>161</v>
      </c>
      <c r="O250" t="s">
        <v>145</v>
      </c>
      <c r="P250" t="s">
        <v>431</v>
      </c>
      <c r="Q250">
        <f t="shared" si="4"/>
        <v>-15</v>
      </c>
      <c r="R250">
        <f>_xlfn.XLOOKUP(E250,'Data Additive'!E:E,'Data Additive'!E:E,0)</f>
        <v>1246270943</v>
      </c>
    </row>
    <row r="251" spans="1:18" x14ac:dyDescent="0.25">
      <c r="A251">
        <v>7024</v>
      </c>
      <c r="B251" t="s">
        <v>721</v>
      </c>
      <c r="C251" t="s">
        <v>722</v>
      </c>
      <c r="D251" s="32">
        <v>71038.429999999993</v>
      </c>
      <c r="E251">
        <v>1246279215</v>
      </c>
      <c r="F251" s="28">
        <v>46274</v>
      </c>
      <c r="H251" t="s">
        <v>23</v>
      </c>
      <c r="I251" t="s">
        <v>24</v>
      </c>
      <c r="J251">
        <v>11682</v>
      </c>
      <c r="K251" s="28">
        <v>46184</v>
      </c>
      <c r="L251">
        <v>1010100</v>
      </c>
      <c r="M251" t="s">
        <v>29</v>
      </c>
      <c r="N251">
        <v>161</v>
      </c>
      <c r="O251" t="s">
        <v>145</v>
      </c>
      <c r="P251" t="s">
        <v>431</v>
      </c>
      <c r="Q251">
        <f t="shared" si="4"/>
        <v>-77</v>
      </c>
      <c r="R251">
        <f>_xlfn.XLOOKUP(E251,'Data Additive'!E:E,'Data Additive'!E:E,0)</f>
        <v>1246279215</v>
      </c>
    </row>
    <row r="252" spans="1:18" x14ac:dyDescent="0.25">
      <c r="A252">
        <v>7024</v>
      </c>
      <c r="B252" t="s">
        <v>721</v>
      </c>
      <c r="C252" t="s">
        <v>722</v>
      </c>
      <c r="D252" s="32">
        <v>70518.87</v>
      </c>
      <c r="E252">
        <v>1246280696</v>
      </c>
      <c r="F252" s="28">
        <v>46286</v>
      </c>
      <c r="H252" t="s">
        <v>23</v>
      </c>
      <c r="I252" t="s">
        <v>24</v>
      </c>
      <c r="J252">
        <v>11801</v>
      </c>
      <c r="K252" s="28">
        <v>46196</v>
      </c>
      <c r="L252">
        <v>1010100</v>
      </c>
      <c r="M252" t="s">
        <v>29</v>
      </c>
      <c r="N252">
        <v>161</v>
      </c>
      <c r="O252" t="s">
        <v>145</v>
      </c>
      <c r="P252" t="s">
        <v>431</v>
      </c>
      <c r="Q252">
        <f t="shared" si="4"/>
        <v>-89</v>
      </c>
      <c r="R252">
        <f>_xlfn.XLOOKUP(E252,'Data Additive'!E:E,'Data Additive'!E:E,0)</f>
        <v>1246280696</v>
      </c>
    </row>
    <row r="253" spans="1:18" x14ac:dyDescent="0.25">
      <c r="A253">
        <v>7024</v>
      </c>
      <c r="B253" t="s">
        <v>721</v>
      </c>
      <c r="C253" t="s">
        <v>722</v>
      </c>
      <c r="D253" s="32">
        <v>71203.75</v>
      </c>
      <c r="E253">
        <v>1246275490</v>
      </c>
      <c r="F253" s="28">
        <v>46247</v>
      </c>
      <c r="H253" t="s">
        <v>23</v>
      </c>
      <c r="I253" t="s">
        <v>24</v>
      </c>
      <c r="J253">
        <v>11414</v>
      </c>
      <c r="K253" s="28">
        <v>46157</v>
      </c>
      <c r="L253">
        <v>1010100</v>
      </c>
      <c r="M253" t="s">
        <v>29</v>
      </c>
      <c r="N253">
        <v>161</v>
      </c>
      <c r="O253" t="s">
        <v>145</v>
      </c>
      <c r="P253" t="s">
        <v>431</v>
      </c>
      <c r="Q253">
        <f t="shared" si="4"/>
        <v>-50</v>
      </c>
      <c r="R253">
        <f>_xlfn.XLOOKUP(E253,'Data Additive'!E:E,'Data Additive'!E:E,0)</f>
        <v>1246275490</v>
      </c>
    </row>
    <row r="254" spans="1:18" x14ac:dyDescent="0.25">
      <c r="A254">
        <v>7302</v>
      </c>
      <c r="B254" t="s">
        <v>93</v>
      </c>
      <c r="C254" t="s">
        <v>94</v>
      </c>
      <c r="D254" s="32">
        <v>2517.4</v>
      </c>
      <c r="E254">
        <v>1246055324</v>
      </c>
      <c r="F254" s="28">
        <v>44887</v>
      </c>
      <c r="H254" t="s">
        <v>23</v>
      </c>
      <c r="I254" t="s">
        <v>24</v>
      </c>
      <c r="J254">
        <v>19314</v>
      </c>
      <c r="K254" s="28">
        <v>44827</v>
      </c>
      <c r="L254">
        <v>1010100</v>
      </c>
      <c r="M254" t="s">
        <v>29</v>
      </c>
      <c r="N254">
        <v>161</v>
      </c>
      <c r="O254" t="s">
        <v>145</v>
      </c>
      <c r="P254" t="s">
        <v>431</v>
      </c>
      <c r="Q254">
        <f t="shared" si="4"/>
        <v>1310</v>
      </c>
      <c r="R254">
        <f>_xlfn.XLOOKUP(E254,'Data Additive'!E:E,'Data Additive'!E:E,0)</f>
        <v>1246055324</v>
      </c>
    </row>
    <row r="255" spans="1:18" x14ac:dyDescent="0.25">
      <c r="A255">
        <v>7302</v>
      </c>
      <c r="B255" t="s">
        <v>93</v>
      </c>
      <c r="C255" t="s">
        <v>94</v>
      </c>
      <c r="D255" s="32">
        <v>36679.800000000003</v>
      </c>
      <c r="E255">
        <v>1246272740</v>
      </c>
      <c r="F255" s="28">
        <v>46229</v>
      </c>
      <c r="H255" t="s">
        <v>23</v>
      </c>
      <c r="I255" t="s">
        <v>24</v>
      </c>
      <c r="J255">
        <v>11223</v>
      </c>
      <c r="K255" s="28">
        <v>46139</v>
      </c>
      <c r="L255">
        <v>1010100</v>
      </c>
      <c r="M255" t="s">
        <v>29</v>
      </c>
      <c r="N255">
        <v>161</v>
      </c>
      <c r="O255" t="s">
        <v>145</v>
      </c>
      <c r="P255" t="s">
        <v>431</v>
      </c>
      <c r="Q255">
        <f t="shared" si="4"/>
        <v>-32</v>
      </c>
      <c r="R255">
        <f>_xlfn.XLOOKUP(E255,'Data Additive'!E:E,'Data Additive'!E:E,0)</f>
        <v>1246272740</v>
      </c>
    </row>
    <row r="256" spans="1:18" x14ac:dyDescent="0.25">
      <c r="A256">
        <v>7302</v>
      </c>
      <c r="B256" t="s">
        <v>93</v>
      </c>
      <c r="C256" t="s">
        <v>94</v>
      </c>
      <c r="D256" s="32">
        <v>62037</v>
      </c>
      <c r="E256">
        <v>1246280248</v>
      </c>
      <c r="F256" s="28">
        <v>46282</v>
      </c>
      <c r="H256" t="s">
        <v>23</v>
      </c>
      <c r="I256" t="s">
        <v>24</v>
      </c>
      <c r="J256">
        <v>11761</v>
      </c>
      <c r="K256" s="28">
        <v>46192</v>
      </c>
      <c r="L256">
        <v>1010100</v>
      </c>
      <c r="M256" t="s">
        <v>29</v>
      </c>
      <c r="N256">
        <v>161</v>
      </c>
      <c r="O256" t="s">
        <v>145</v>
      </c>
      <c r="P256" t="s">
        <v>431</v>
      </c>
      <c r="Q256">
        <f t="shared" si="4"/>
        <v>-85</v>
      </c>
      <c r="R256">
        <f>_xlfn.XLOOKUP(E256,'Data Additive'!E:E,'Data Additive'!E:E,0)</f>
        <v>1246280248</v>
      </c>
    </row>
    <row r="257" spans="1:18" x14ac:dyDescent="0.25">
      <c r="A257">
        <v>7302</v>
      </c>
      <c r="B257" t="s">
        <v>93</v>
      </c>
      <c r="C257" t="s">
        <v>94</v>
      </c>
      <c r="D257" s="32">
        <v>61000</v>
      </c>
      <c r="E257">
        <v>1246277590</v>
      </c>
      <c r="F257" s="28">
        <v>46264</v>
      </c>
      <c r="H257" t="s">
        <v>23</v>
      </c>
      <c r="I257" t="s">
        <v>24</v>
      </c>
      <c r="J257">
        <v>11570</v>
      </c>
      <c r="K257" s="28">
        <v>46174</v>
      </c>
      <c r="L257">
        <v>1010100</v>
      </c>
      <c r="M257" t="s">
        <v>29</v>
      </c>
      <c r="N257">
        <v>161</v>
      </c>
      <c r="O257" t="s">
        <v>145</v>
      </c>
      <c r="P257" t="s">
        <v>431</v>
      </c>
      <c r="Q257">
        <f t="shared" si="4"/>
        <v>-67</v>
      </c>
      <c r="R257">
        <f>_xlfn.XLOOKUP(E257,'Data Additive'!E:E,'Data Additive'!E:E,0)</f>
        <v>1246277590</v>
      </c>
    </row>
    <row r="258" spans="1:18" x14ac:dyDescent="0.25">
      <c r="A258">
        <v>7302</v>
      </c>
      <c r="B258" t="s">
        <v>93</v>
      </c>
      <c r="C258" t="s">
        <v>94</v>
      </c>
      <c r="D258" s="32">
        <v>67867.8</v>
      </c>
      <c r="E258">
        <v>1246270495</v>
      </c>
      <c r="F258" s="28">
        <v>46209</v>
      </c>
      <c r="H258" t="s">
        <v>23</v>
      </c>
      <c r="I258" t="s">
        <v>24</v>
      </c>
      <c r="J258">
        <v>11064</v>
      </c>
      <c r="K258" s="28">
        <v>46119</v>
      </c>
      <c r="L258">
        <v>1010100</v>
      </c>
      <c r="M258" t="s">
        <v>29</v>
      </c>
      <c r="N258">
        <v>161</v>
      </c>
      <c r="O258" t="s">
        <v>145</v>
      </c>
      <c r="P258" t="s">
        <v>431</v>
      </c>
      <c r="Q258">
        <f t="shared" si="4"/>
        <v>-12</v>
      </c>
      <c r="R258">
        <f>_xlfn.XLOOKUP(E258,'Data Additive'!E:E,'Data Additive'!E:E,0)</f>
        <v>1246270495</v>
      </c>
    </row>
    <row r="259" spans="1:18" x14ac:dyDescent="0.25">
      <c r="A259">
        <v>7302</v>
      </c>
      <c r="B259" t="s">
        <v>93</v>
      </c>
      <c r="C259" t="s">
        <v>94</v>
      </c>
      <c r="D259" s="32">
        <v>181231</v>
      </c>
      <c r="E259">
        <v>1246273299</v>
      </c>
      <c r="F259" s="28">
        <v>46232</v>
      </c>
      <c r="H259" t="s">
        <v>23</v>
      </c>
      <c r="I259" t="s">
        <v>24</v>
      </c>
      <c r="J259">
        <v>11276</v>
      </c>
      <c r="K259" s="28">
        <v>46142</v>
      </c>
      <c r="L259">
        <v>1010100</v>
      </c>
      <c r="M259" t="s">
        <v>29</v>
      </c>
      <c r="N259">
        <v>161</v>
      </c>
      <c r="O259" t="s">
        <v>145</v>
      </c>
      <c r="P259" t="s">
        <v>431</v>
      </c>
      <c r="Q259">
        <f t="shared" si="4"/>
        <v>-35</v>
      </c>
      <c r="R259">
        <f>_xlfn.XLOOKUP(E259,'Data Additive'!E:E,'Data Additive'!E:E,0)</f>
        <v>1246273299</v>
      </c>
    </row>
    <row r="260" spans="1:18" x14ac:dyDescent="0.25">
      <c r="A260">
        <v>7302</v>
      </c>
      <c r="B260" t="s">
        <v>93</v>
      </c>
      <c r="C260" t="s">
        <v>94</v>
      </c>
      <c r="D260" s="32">
        <v>34441.589999999997</v>
      </c>
      <c r="E260">
        <v>1246274568</v>
      </c>
      <c r="F260" s="28">
        <v>46244</v>
      </c>
      <c r="H260" t="s">
        <v>23</v>
      </c>
      <c r="I260" t="s">
        <v>24</v>
      </c>
      <c r="J260">
        <v>11362</v>
      </c>
      <c r="K260" s="28">
        <v>46154</v>
      </c>
      <c r="L260">
        <v>1010100</v>
      </c>
      <c r="M260" t="s">
        <v>29</v>
      </c>
      <c r="N260">
        <v>161</v>
      </c>
      <c r="O260" t="s">
        <v>145</v>
      </c>
      <c r="P260" t="s">
        <v>431</v>
      </c>
      <c r="Q260">
        <f t="shared" si="4"/>
        <v>-47</v>
      </c>
      <c r="R260">
        <f>_xlfn.XLOOKUP(E260,'Data Additive'!E:E,'Data Additive'!E:E,0)</f>
        <v>1246274568</v>
      </c>
    </row>
    <row r="261" spans="1:18" x14ac:dyDescent="0.25">
      <c r="A261">
        <v>7302</v>
      </c>
      <c r="B261" t="s">
        <v>93</v>
      </c>
      <c r="C261" t="s">
        <v>94</v>
      </c>
      <c r="D261" s="32">
        <v>91500</v>
      </c>
      <c r="E261">
        <v>1246275476</v>
      </c>
      <c r="F261" s="28">
        <v>46247</v>
      </c>
      <c r="H261" t="s">
        <v>23</v>
      </c>
      <c r="I261" t="s">
        <v>24</v>
      </c>
      <c r="J261">
        <v>11412</v>
      </c>
      <c r="K261" s="28">
        <v>46157</v>
      </c>
      <c r="L261">
        <v>1010100</v>
      </c>
      <c r="M261" t="s">
        <v>29</v>
      </c>
      <c r="N261">
        <v>161</v>
      </c>
      <c r="O261" t="s">
        <v>145</v>
      </c>
      <c r="P261" t="s">
        <v>431</v>
      </c>
      <c r="Q261">
        <f t="shared" si="4"/>
        <v>-50</v>
      </c>
      <c r="R261">
        <f>_xlfn.XLOOKUP(E261,'Data Additive'!E:E,'Data Additive'!E:E,0)</f>
        <v>1246275476</v>
      </c>
    </row>
    <row r="262" spans="1:18" x14ac:dyDescent="0.25">
      <c r="A262">
        <v>7302</v>
      </c>
      <c r="B262" t="s">
        <v>93</v>
      </c>
      <c r="C262" t="s">
        <v>94</v>
      </c>
      <c r="D262" s="32">
        <v>61000</v>
      </c>
      <c r="E262">
        <v>1246279400</v>
      </c>
      <c r="F262" s="28">
        <v>46275</v>
      </c>
      <c r="H262" t="s">
        <v>23</v>
      </c>
      <c r="I262" t="s">
        <v>24</v>
      </c>
      <c r="J262">
        <v>11704</v>
      </c>
      <c r="K262" s="28">
        <v>46185</v>
      </c>
      <c r="L262">
        <v>1010100</v>
      </c>
      <c r="M262" t="s">
        <v>29</v>
      </c>
      <c r="N262">
        <v>161</v>
      </c>
      <c r="O262" t="s">
        <v>145</v>
      </c>
      <c r="P262" t="s">
        <v>431</v>
      </c>
      <c r="Q262">
        <f t="shared" si="4"/>
        <v>-78</v>
      </c>
      <c r="R262">
        <f>_xlfn.XLOOKUP(E262,'Data Additive'!E:E,'Data Additive'!E:E,0)</f>
        <v>1246279400</v>
      </c>
    </row>
    <row r="263" spans="1:18" x14ac:dyDescent="0.25">
      <c r="A263">
        <v>7302</v>
      </c>
      <c r="B263" t="s">
        <v>93</v>
      </c>
      <c r="C263" t="s">
        <v>94</v>
      </c>
      <c r="D263" s="32">
        <v>64.2</v>
      </c>
      <c r="E263">
        <v>1246226087</v>
      </c>
      <c r="F263" s="28">
        <v>45919</v>
      </c>
      <c r="H263" t="s">
        <v>23</v>
      </c>
      <c r="I263" t="s">
        <v>24</v>
      </c>
      <c r="J263">
        <v>8559</v>
      </c>
      <c r="K263" s="28">
        <v>45859</v>
      </c>
      <c r="L263">
        <v>1010100</v>
      </c>
      <c r="M263" t="s">
        <v>29</v>
      </c>
      <c r="N263">
        <v>161</v>
      </c>
      <c r="O263" t="s">
        <v>145</v>
      </c>
      <c r="P263" t="s">
        <v>431</v>
      </c>
      <c r="Q263">
        <f t="shared" si="4"/>
        <v>278</v>
      </c>
      <c r="R263">
        <f>_xlfn.XLOOKUP(E263,'Data Additive'!E:E,'Data Additive'!E:E,0)</f>
        <v>1246226087</v>
      </c>
    </row>
    <row r="264" spans="1:18" x14ac:dyDescent="0.25">
      <c r="A264">
        <v>7103</v>
      </c>
      <c r="B264" t="s">
        <v>482</v>
      </c>
      <c r="C264" t="s">
        <v>483</v>
      </c>
      <c r="D264" s="32">
        <v>57019</v>
      </c>
      <c r="E264">
        <v>1246269403</v>
      </c>
      <c r="F264" s="28">
        <v>46198</v>
      </c>
      <c r="H264" t="s">
        <v>23</v>
      </c>
      <c r="I264" t="s">
        <v>24</v>
      </c>
      <c r="J264">
        <v>10985</v>
      </c>
      <c r="K264" s="28">
        <v>46108</v>
      </c>
      <c r="L264">
        <v>1010100</v>
      </c>
      <c r="M264" t="s">
        <v>29</v>
      </c>
      <c r="N264">
        <v>161</v>
      </c>
      <c r="O264" t="s">
        <v>145</v>
      </c>
      <c r="P264" t="s">
        <v>431</v>
      </c>
      <c r="Q264">
        <f t="shared" si="4"/>
        <v>-1</v>
      </c>
      <c r="R264">
        <f>_xlfn.XLOOKUP(E264,'Data Additive'!E:E,'Data Additive'!E:E,0)</f>
        <v>1246269403</v>
      </c>
    </row>
    <row r="265" spans="1:18" x14ac:dyDescent="0.25">
      <c r="A265">
        <v>7103</v>
      </c>
      <c r="B265" t="s">
        <v>482</v>
      </c>
      <c r="C265" t="s">
        <v>483</v>
      </c>
      <c r="D265" s="32">
        <v>57680.81</v>
      </c>
      <c r="E265">
        <v>1246280238</v>
      </c>
      <c r="F265" s="28">
        <v>46282</v>
      </c>
      <c r="H265" t="s">
        <v>23</v>
      </c>
      <c r="I265" t="s">
        <v>24</v>
      </c>
      <c r="J265">
        <v>11759</v>
      </c>
      <c r="K265" s="28">
        <v>46192</v>
      </c>
      <c r="L265">
        <v>1010100</v>
      </c>
      <c r="M265" t="s">
        <v>29</v>
      </c>
      <c r="N265">
        <v>161</v>
      </c>
      <c r="O265" t="s">
        <v>145</v>
      </c>
      <c r="P265" t="s">
        <v>431</v>
      </c>
      <c r="Q265">
        <f t="shared" si="4"/>
        <v>-85</v>
      </c>
      <c r="R265">
        <f>_xlfn.XLOOKUP(E265,'Data Additive'!E:E,'Data Additive'!E:E,0)</f>
        <v>1246280238</v>
      </c>
    </row>
    <row r="266" spans="1:18" x14ac:dyDescent="0.25">
      <c r="A266">
        <v>8413</v>
      </c>
      <c r="B266" t="s">
        <v>97</v>
      </c>
      <c r="C266" t="s">
        <v>774</v>
      </c>
      <c r="D266" s="32">
        <v>94346</v>
      </c>
      <c r="E266">
        <v>1246273107</v>
      </c>
      <c r="F266" s="28">
        <v>46201</v>
      </c>
      <c r="H266" t="s">
        <v>23</v>
      </c>
      <c r="I266" t="s">
        <v>24</v>
      </c>
      <c r="J266">
        <v>11262</v>
      </c>
      <c r="K266" s="28">
        <v>46141</v>
      </c>
      <c r="L266">
        <v>1010100</v>
      </c>
      <c r="M266" t="s">
        <v>29</v>
      </c>
      <c r="N266">
        <v>161</v>
      </c>
      <c r="O266" t="s">
        <v>145</v>
      </c>
      <c r="P266" t="s">
        <v>353</v>
      </c>
      <c r="Q266">
        <f t="shared" si="4"/>
        <v>-4</v>
      </c>
      <c r="R266">
        <f>_xlfn.XLOOKUP(E266,'Data Additive'!E:E,'Data Additive'!E:E,0)</f>
        <v>1246273107</v>
      </c>
    </row>
    <row r="267" spans="1:18" x14ac:dyDescent="0.25">
      <c r="A267">
        <v>8414</v>
      </c>
      <c r="B267" t="s">
        <v>98</v>
      </c>
      <c r="C267" t="s">
        <v>804</v>
      </c>
      <c r="D267" s="32">
        <v>52654.7</v>
      </c>
      <c r="E267">
        <v>1246278429</v>
      </c>
      <c r="F267" s="28">
        <v>46239</v>
      </c>
      <c r="H267" t="s">
        <v>23</v>
      </c>
      <c r="I267" t="s">
        <v>24</v>
      </c>
      <c r="J267">
        <v>11629</v>
      </c>
      <c r="K267" s="28">
        <v>46179</v>
      </c>
      <c r="L267">
        <v>1010100</v>
      </c>
      <c r="M267" t="s">
        <v>29</v>
      </c>
      <c r="N267">
        <v>161</v>
      </c>
      <c r="O267" t="s">
        <v>145</v>
      </c>
      <c r="P267" t="s">
        <v>353</v>
      </c>
      <c r="Q267">
        <f t="shared" si="4"/>
        <v>-42</v>
      </c>
      <c r="R267">
        <f>_xlfn.XLOOKUP(E267,'Data Additive'!E:E,'Data Additive'!E:E,0)</f>
        <v>1246278429</v>
      </c>
    </row>
    <row r="268" spans="1:18" x14ac:dyDescent="0.25">
      <c r="A268">
        <v>8414</v>
      </c>
      <c r="B268" t="s">
        <v>98</v>
      </c>
      <c r="C268" t="s">
        <v>804</v>
      </c>
      <c r="D268" s="32">
        <v>79884.2</v>
      </c>
      <c r="E268">
        <v>1246274298</v>
      </c>
      <c r="F268" s="28">
        <v>46213</v>
      </c>
      <c r="H268" t="s">
        <v>23</v>
      </c>
      <c r="I268" t="s">
        <v>24</v>
      </c>
      <c r="J268">
        <v>11344</v>
      </c>
      <c r="K268" s="28">
        <v>46153</v>
      </c>
      <c r="L268">
        <v>1010100</v>
      </c>
      <c r="M268" t="s">
        <v>29</v>
      </c>
      <c r="N268">
        <v>161</v>
      </c>
      <c r="O268" t="s">
        <v>145</v>
      </c>
      <c r="P268" t="s">
        <v>353</v>
      </c>
      <c r="Q268">
        <f t="shared" ref="Q268:Q311" si="5">$R$1-F268</f>
        <v>-16</v>
      </c>
      <c r="R268">
        <f>_xlfn.XLOOKUP(E268,'Data Additive'!E:E,'Data Additive'!E:E,0)</f>
        <v>1246274298</v>
      </c>
    </row>
    <row r="269" spans="1:18" x14ac:dyDescent="0.25">
      <c r="A269">
        <v>8414</v>
      </c>
      <c r="B269" t="s">
        <v>98</v>
      </c>
      <c r="C269" t="s">
        <v>804</v>
      </c>
      <c r="D269" s="32">
        <v>51452.4</v>
      </c>
      <c r="E269">
        <v>1246280126</v>
      </c>
      <c r="F269" s="28">
        <v>46251</v>
      </c>
      <c r="H269" t="s">
        <v>23</v>
      </c>
      <c r="I269" t="s">
        <v>24</v>
      </c>
      <c r="J269">
        <v>11749</v>
      </c>
      <c r="K269" s="28">
        <v>46191</v>
      </c>
      <c r="L269">
        <v>1010100</v>
      </c>
      <c r="M269" t="s">
        <v>29</v>
      </c>
      <c r="N269">
        <v>161</v>
      </c>
      <c r="O269" t="s">
        <v>145</v>
      </c>
      <c r="P269" t="s">
        <v>353</v>
      </c>
      <c r="Q269">
        <f t="shared" si="5"/>
        <v>-54</v>
      </c>
      <c r="R269">
        <f>_xlfn.XLOOKUP(E269,'Data Additive'!E:E,'Data Additive'!E:E,0)</f>
        <v>1246280126</v>
      </c>
    </row>
    <row r="270" spans="1:18" x14ac:dyDescent="0.25">
      <c r="A270">
        <v>9824</v>
      </c>
      <c r="B270" t="s">
        <v>618</v>
      </c>
      <c r="C270" t="s">
        <v>173</v>
      </c>
      <c r="D270" s="32">
        <v>69971.199999999997</v>
      </c>
      <c r="E270">
        <v>1246154720</v>
      </c>
      <c r="F270" s="28">
        <v>45738</v>
      </c>
      <c r="H270" t="s">
        <v>156</v>
      </c>
      <c r="I270" t="s">
        <v>157</v>
      </c>
      <c r="J270">
        <v>4113</v>
      </c>
      <c r="K270" s="28">
        <v>45475</v>
      </c>
      <c r="L270">
        <v>1010100</v>
      </c>
      <c r="M270" t="s">
        <v>29</v>
      </c>
      <c r="N270">
        <v>161</v>
      </c>
      <c r="O270" t="s">
        <v>145</v>
      </c>
      <c r="P270" t="s">
        <v>366</v>
      </c>
      <c r="Q270">
        <f t="shared" si="5"/>
        <v>459</v>
      </c>
      <c r="R270">
        <f>_xlfn.XLOOKUP(E270,'Data Additive'!E:E,'Data Additive'!E:E,0)</f>
        <v>0</v>
      </c>
    </row>
    <row r="271" spans="1:18" x14ac:dyDescent="0.25">
      <c r="A271">
        <v>9824</v>
      </c>
      <c r="B271" t="s">
        <v>618</v>
      </c>
      <c r="C271" t="s">
        <v>173</v>
      </c>
      <c r="D271" s="32">
        <v>60656</v>
      </c>
      <c r="E271">
        <v>1246154724</v>
      </c>
      <c r="F271" s="28">
        <v>45738</v>
      </c>
      <c r="H271" t="s">
        <v>156</v>
      </c>
      <c r="I271" t="s">
        <v>157</v>
      </c>
      <c r="J271">
        <v>4114</v>
      </c>
      <c r="K271" s="28">
        <v>45475</v>
      </c>
      <c r="L271">
        <v>1010100</v>
      </c>
      <c r="M271" t="s">
        <v>29</v>
      </c>
      <c r="N271">
        <v>161</v>
      </c>
      <c r="O271" t="s">
        <v>145</v>
      </c>
      <c r="P271" t="s">
        <v>366</v>
      </c>
      <c r="Q271">
        <f t="shared" si="5"/>
        <v>459</v>
      </c>
      <c r="R271">
        <f>_xlfn.XLOOKUP(E271,'Data Additive'!E:E,'Data Additive'!E:E,0)</f>
        <v>0</v>
      </c>
    </row>
    <row r="272" spans="1:18" x14ac:dyDescent="0.25">
      <c r="A272">
        <v>10473</v>
      </c>
      <c r="B272" t="s">
        <v>768</v>
      </c>
      <c r="C272" t="s">
        <v>769</v>
      </c>
      <c r="D272" s="32">
        <v>62670.400000000001</v>
      </c>
      <c r="E272">
        <v>1246278206</v>
      </c>
      <c r="F272" s="28">
        <v>46211</v>
      </c>
      <c r="H272" t="s">
        <v>23</v>
      </c>
      <c r="I272" t="s">
        <v>24</v>
      </c>
      <c r="J272">
        <v>11594</v>
      </c>
      <c r="K272" s="28">
        <v>46176</v>
      </c>
      <c r="L272">
        <v>1010100</v>
      </c>
      <c r="M272" t="s">
        <v>29</v>
      </c>
      <c r="N272">
        <v>161</v>
      </c>
      <c r="O272" t="s">
        <v>145</v>
      </c>
      <c r="P272" t="s">
        <v>364</v>
      </c>
      <c r="Q272">
        <f t="shared" si="5"/>
        <v>-14</v>
      </c>
      <c r="R272">
        <f>_xlfn.XLOOKUP(E272,'Data Additive'!E:E,'Data Additive'!E:E,0)</f>
        <v>1246278206</v>
      </c>
    </row>
    <row r="273" spans="1:18" x14ac:dyDescent="0.25">
      <c r="A273">
        <v>11133</v>
      </c>
      <c r="B273" t="s">
        <v>105</v>
      </c>
      <c r="C273" t="s">
        <v>15613</v>
      </c>
      <c r="D273" s="32">
        <v>33000</v>
      </c>
      <c r="E273">
        <v>1246280274</v>
      </c>
      <c r="F273" s="28">
        <v>46252</v>
      </c>
      <c r="H273" t="s">
        <v>23</v>
      </c>
      <c r="I273" t="s">
        <v>24</v>
      </c>
      <c r="J273">
        <v>11768</v>
      </c>
      <c r="K273" s="28">
        <v>46192</v>
      </c>
      <c r="L273">
        <v>1010100</v>
      </c>
      <c r="M273" t="s">
        <v>29</v>
      </c>
      <c r="N273">
        <v>161</v>
      </c>
      <c r="O273" t="s">
        <v>145</v>
      </c>
      <c r="P273" t="s">
        <v>358</v>
      </c>
      <c r="Q273">
        <f t="shared" si="5"/>
        <v>-55</v>
      </c>
      <c r="R273">
        <f>_xlfn.XLOOKUP(E273,'Data Additive'!E:E,'Data Additive'!E:E,0)</f>
        <v>1246280274</v>
      </c>
    </row>
    <row r="274" spans="1:18" x14ac:dyDescent="0.25">
      <c r="A274">
        <v>11133</v>
      </c>
      <c r="B274" t="s">
        <v>105</v>
      </c>
      <c r="C274" t="s">
        <v>15613</v>
      </c>
      <c r="D274" s="32">
        <v>36819.4</v>
      </c>
      <c r="E274">
        <v>1246278600</v>
      </c>
      <c r="F274" s="28">
        <v>46241</v>
      </c>
      <c r="H274" t="s">
        <v>23</v>
      </c>
      <c r="I274" t="s">
        <v>24</v>
      </c>
      <c r="J274">
        <v>11643</v>
      </c>
      <c r="K274" s="28">
        <v>46181</v>
      </c>
      <c r="L274">
        <v>1010100</v>
      </c>
      <c r="M274" t="s">
        <v>29</v>
      </c>
      <c r="N274">
        <v>161</v>
      </c>
      <c r="O274" t="s">
        <v>145</v>
      </c>
      <c r="P274" t="s">
        <v>358</v>
      </c>
      <c r="Q274">
        <f t="shared" si="5"/>
        <v>-44</v>
      </c>
      <c r="R274">
        <f>_xlfn.XLOOKUP(E274,'Data Additive'!E:E,'Data Additive'!E:E,0)</f>
        <v>1246278600</v>
      </c>
    </row>
    <row r="275" spans="1:18" x14ac:dyDescent="0.25">
      <c r="A275">
        <v>11724</v>
      </c>
      <c r="B275" t="s">
        <v>107</v>
      </c>
      <c r="C275" t="s">
        <v>108</v>
      </c>
      <c r="D275" s="32">
        <v>72162</v>
      </c>
      <c r="E275">
        <v>1246271964</v>
      </c>
      <c r="F275" s="28">
        <v>46198</v>
      </c>
      <c r="H275" t="s">
        <v>23</v>
      </c>
      <c r="I275" t="s">
        <v>24</v>
      </c>
      <c r="J275">
        <v>11187</v>
      </c>
      <c r="K275" s="28">
        <v>46132</v>
      </c>
      <c r="L275">
        <v>1010100</v>
      </c>
      <c r="M275" t="s">
        <v>29</v>
      </c>
      <c r="N275">
        <v>161</v>
      </c>
      <c r="O275" t="s">
        <v>145</v>
      </c>
      <c r="P275" t="s">
        <v>367</v>
      </c>
      <c r="Q275">
        <f t="shared" si="5"/>
        <v>-1</v>
      </c>
      <c r="R275">
        <f>_xlfn.XLOOKUP(E275,'Data Additive'!E:E,'Data Additive'!E:E,0)</f>
        <v>1246271964</v>
      </c>
    </row>
    <row r="276" spans="1:18" x14ac:dyDescent="0.25">
      <c r="A276">
        <v>11724</v>
      </c>
      <c r="B276" t="s">
        <v>107</v>
      </c>
      <c r="C276" t="s">
        <v>108</v>
      </c>
      <c r="D276" s="32">
        <v>72162</v>
      </c>
      <c r="E276">
        <v>1246271962</v>
      </c>
      <c r="F276" s="28">
        <v>46198</v>
      </c>
      <c r="H276" t="s">
        <v>23</v>
      </c>
      <c r="I276" t="s">
        <v>24</v>
      </c>
      <c r="J276">
        <v>11186</v>
      </c>
      <c r="K276" s="28">
        <v>46132</v>
      </c>
      <c r="L276">
        <v>1010100</v>
      </c>
      <c r="M276" t="s">
        <v>29</v>
      </c>
      <c r="N276">
        <v>161</v>
      </c>
      <c r="O276" t="s">
        <v>145</v>
      </c>
      <c r="P276" t="s">
        <v>367</v>
      </c>
      <c r="Q276">
        <f t="shared" si="5"/>
        <v>-1</v>
      </c>
      <c r="R276">
        <f>_xlfn.XLOOKUP(E276,'Data Additive'!E:E,'Data Additive'!E:E,0)</f>
        <v>1246271962</v>
      </c>
    </row>
    <row r="277" spans="1:18" x14ac:dyDescent="0.25">
      <c r="A277">
        <v>10371</v>
      </c>
      <c r="B277" t="s">
        <v>227</v>
      </c>
      <c r="C277" t="s">
        <v>228</v>
      </c>
      <c r="D277" s="32">
        <v>56674.77</v>
      </c>
      <c r="E277">
        <v>1246161059</v>
      </c>
      <c r="F277" s="28">
        <v>45736</v>
      </c>
      <c r="H277" t="s">
        <v>156</v>
      </c>
      <c r="I277" t="s">
        <v>157</v>
      </c>
      <c r="J277">
        <v>4516</v>
      </c>
      <c r="K277" s="28">
        <v>45502</v>
      </c>
      <c r="L277">
        <v>1010100</v>
      </c>
      <c r="M277" t="s">
        <v>29</v>
      </c>
      <c r="N277">
        <v>161</v>
      </c>
      <c r="O277" t="s">
        <v>145</v>
      </c>
      <c r="P277" t="s">
        <v>366</v>
      </c>
      <c r="Q277">
        <f t="shared" si="5"/>
        <v>461</v>
      </c>
      <c r="R277">
        <f>_xlfn.XLOOKUP(E277,'Data Additive'!E:E,'Data Additive'!E:E,0)</f>
        <v>0</v>
      </c>
    </row>
    <row r="278" spans="1:18" x14ac:dyDescent="0.25">
      <c r="A278">
        <v>10371</v>
      </c>
      <c r="B278" t="s">
        <v>227</v>
      </c>
      <c r="C278" t="s">
        <v>228</v>
      </c>
      <c r="D278" s="32">
        <v>50007.15</v>
      </c>
      <c r="E278">
        <v>1246161057</v>
      </c>
      <c r="F278" s="28">
        <v>45736</v>
      </c>
      <c r="H278" t="s">
        <v>156</v>
      </c>
      <c r="I278" t="s">
        <v>157</v>
      </c>
      <c r="J278">
        <v>4515</v>
      </c>
      <c r="K278" s="28">
        <v>45502</v>
      </c>
      <c r="L278">
        <v>1010100</v>
      </c>
      <c r="M278" t="s">
        <v>29</v>
      </c>
      <c r="N278">
        <v>161</v>
      </c>
      <c r="O278" t="s">
        <v>145</v>
      </c>
      <c r="P278" t="s">
        <v>366</v>
      </c>
      <c r="Q278">
        <f t="shared" si="5"/>
        <v>461</v>
      </c>
      <c r="R278">
        <f>_xlfn.XLOOKUP(E278,'Data Additive'!E:E,'Data Additive'!E:E,0)</f>
        <v>0</v>
      </c>
    </row>
    <row r="279" spans="1:18" x14ac:dyDescent="0.25">
      <c r="A279">
        <v>10660</v>
      </c>
      <c r="B279" t="s">
        <v>102</v>
      </c>
      <c r="C279" t="s">
        <v>103</v>
      </c>
      <c r="D279" s="32">
        <v>1282.56</v>
      </c>
      <c r="E279">
        <v>1246157883</v>
      </c>
      <c r="F279" s="28">
        <v>45472</v>
      </c>
      <c r="H279" t="s">
        <v>23</v>
      </c>
      <c r="I279" t="s">
        <v>24</v>
      </c>
      <c r="J279">
        <v>3740</v>
      </c>
      <c r="K279" s="28">
        <v>45444</v>
      </c>
      <c r="L279">
        <v>1010100</v>
      </c>
      <c r="M279" t="s">
        <v>29</v>
      </c>
      <c r="N279">
        <v>161</v>
      </c>
      <c r="O279" t="s">
        <v>145</v>
      </c>
      <c r="P279" t="s">
        <v>359</v>
      </c>
      <c r="Q279">
        <f t="shared" si="5"/>
        <v>725</v>
      </c>
      <c r="R279">
        <f>_xlfn.XLOOKUP(E279,'Data Additive'!E:E,'Data Additive'!E:E,0)</f>
        <v>1246157883</v>
      </c>
    </row>
    <row r="280" spans="1:18" x14ac:dyDescent="0.25">
      <c r="A280">
        <v>10660</v>
      </c>
      <c r="B280" t="s">
        <v>102</v>
      </c>
      <c r="C280" t="s">
        <v>103</v>
      </c>
      <c r="D280" s="32">
        <v>1603.2</v>
      </c>
      <c r="E280">
        <v>1246176576</v>
      </c>
      <c r="F280" s="28">
        <v>45577</v>
      </c>
      <c r="H280" t="s">
        <v>23</v>
      </c>
      <c r="I280" t="s">
        <v>24</v>
      </c>
      <c r="J280">
        <v>5264</v>
      </c>
      <c r="K280" s="28">
        <v>45549</v>
      </c>
      <c r="L280">
        <v>1010100</v>
      </c>
      <c r="M280" t="s">
        <v>29</v>
      </c>
      <c r="N280">
        <v>161</v>
      </c>
      <c r="O280" t="s">
        <v>145</v>
      </c>
      <c r="P280" t="s">
        <v>359</v>
      </c>
      <c r="Q280">
        <f t="shared" si="5"/>
        <v>620</v>
      </c>
      <c r="R280">
        <f>_xlfn.XLOOKUP(E280,'Data Additive'!E:E,'Data Additive'!E:E,0)</f>
        <v>1246176576</v>
      </c>
    </row>
    <row r="281" spans="1:18" x14ac:dyDescent="0.25">
      <c r="A281">
        <v>10660</v>
      </c>
      <c r="B281" t="s">
        <v>102</v>
      </c>
      <c r="C281" t="s">
        <v>103</v>
      </c>
      <c r="D281" s="32">
        <v>1282.56</v>
      </c>
      <c r="E281">
        <v>1246184893</v>
      </c>
      <c r="F281" s="28">
        <v>45623</v>
      </c>
      <c r="H281" t="s">
        <v>23</v>
      </c>
      <c r="I281" t="s">
        <v>24</v>
      </c>
      <c r="J281">
        <v>5907</v>
      </c>
      <c r="K281" s="28">
        <v>45595</v>
      </c>
      <c r="L281">
        <v>1010100</v>
      </c>
      <c r="M281" t="s">
        <v>29</v>
      </c>
      <c r="N281">
        <v>161</v>
      </c>
      <c r="O281" t="s">
        <v>145</v>
      </c>
      <c r="P281" t="s">
        <v>359</v>
      </c>
      <c r="Q281">
        <f t="shared" si="5"/>
        <v>574</v>
      </c>
      <c r="R281">
        <f>_xlfn.XLOOKUP(E281,'Data Additive'!E:E,'Data Additive'!E:E,0)</f>
        <v>1246184893</v>
      </c>
    </row>
    <row r="282" spans="1:18" x14ac:dyDescent="0.25">
      <c r="A282">
        <v>10434</v>
      </c>
      <c r="B282" t="s">
        <v>99</v>
      </c>
      <c r="C282" t="s">
        <v>100</v>
      </c>
      <c r="D282" s="32">
        <v>102078</v>
      </c>
      <c r="E282">
        <v>1246278529</v>
      </c>
      <c r="F282" s="28">
        <v>46209</v>
      </c>
      <c r="H282" t="s">
        <v>23</v>
      </c>
      <c r="I282" t="s">
        <v>24</v>
      </c>
      <c r="J282">
        <v>11637</v>
      </c>
      <c r="K282" s="28">
        <v>46181</v>
      </c>
      <c r="L282">
        <v>1010100</v>
      </c>
      <c r="M282" t="s">
        <v>29</v>
      </c>
      <c r="N282">
        <v>161</v>
      </c>
      <c r="O282" t="s">
        <v>145</v>
      </c>
      <c r="P282" t="s">
        <v>355</v>
      </c>
      <c r="Q282">
        <f t="shared" si="5"/>
        <v>-12</v>
      </c>
      <c r="R282">
        <f>_xlfn.XLOOKUP(E282,'Data Additive'!E:E,'Data Additive'!E:E,0)</f>
        <v>1246278529</v>
      </c>
    </row>
    <row r="283" spans="1:18" x14ac:dyDescent="0.25">
      <c r="A283">
        <v>11207</v>
      </c>
      <c r="B283" t="s">
        <v>619</v>
      </c>
      <c r="C283" t="s">
        <v>176</v>
      </c>
      <c r="D283" s="32">
        <v>153825.49</v>
      </c>
      <c r="E283">
        <v>1246067872</v>
      </c>
      <c r="F283" s="28">
        <v>45412</v>
      </c>
      <c r="H283" t="s">
        <v>156</v>
      </c>
      <c r="I283" t="s">
        <v>157</v>
      </c>
      <c r="J283">
        <v>20696</v>
      </c>
      <c r="K283" s="28">
        <v>44973</v>
      </c>
      <c r="L283">
        <v>1010100</v>
      </c>
      <c r="M283" t="s">
        <v>29</v>
      </c>
      <c r="N283">
        <v>161</v>
      </c>
      <c r="O283" t="s">
        <v>145</v>
      </c>
      <c r="P283" t="s">
        <v>368</v>
      </c>
      <c r="Q283">
        <f t="shared" si="5"/>
        <v>785</v>
      </c>
      <c r="R283">
        <f>_xlfn.XLOOKUP(E283,'Data Additive'!E:E,'Data Additive'!E:E,0)</f>
        <v>0</v>
      </c>
    </row>
    <row r="284" spans="1:18" x14ac:dyDescent="0.25">
      <c r="A284">
        <v>11207</v>
      </c>
      <c r="B284" t="s">
        <v>619</v>
      </c>
      <c r="C284" t="s">
        <v>176</v>
      </c>
      <c r="D284" s="32">
        <v>118231.86</v>
      </c>
      <c r="E284">
        <v>1246074301</v>
      </c>
      <c r="F284" s="28">
        <v>45412</v>
      </c>
      <c r="H284" t="s">
        <v>156</v>
      </c>
      <c r="I284" t="s">
        <v>157</v>
      </c>
      <c r="J284">
        <v>21005</v>
      </c>
      <c r="K284" s="28">
        <v>45015</v>
      </c>
      <c r="L284">
        <v>1010100</v>
      </c>
      <c r="M284" t="s">
        <v>29</v>
      </c>
      <c r="N284">
        <v>161</v>
      </c>
      <c r="O284" t="s">
        <v>145</v>
      </c>
      <c r="P284" t="s">
        <v>368</v>
      </c>
      <c r="Q284">
        <f t="shared" si="5"/>
        <v>785</v>
      </c>
      <c r="R284">
        <f>_xlfn.XLOOKUP(E284,'Data Additive'!E:E,'Data Additive'!E:E,0)</f>
        <v>0</v>
      </c>
    </row>
    <row r="285" spans="1:18" x14ac:dyDescent="0.25">
      <c r="A285">
        <v>11207</v>
      </c>
      <c r="B285" t="s">
        <v>619</v>
      </c>
      <c r="C285" t="s">
        <v>176</v>
      </c>
      <c r="D285" s="32">
        <v>91167.15</v>
      </c>
      <c r="E285">
        <v>1246075550</v>
      </c>
      <c r="F285" s="28">
        <v>45412</v>
      </c>
      <c r="H285" t="s">
        <v>156</v>
      </c>
      <c r="I285" t="s">
        <v>157</v>
      </c>
      <c r="J285">
        <v>21053</v>
      </c>
      <c r="K285" s="28">
        <v>45022</v>
      </c>
      <c r="L285">
        <v>1010100</v>
      </c>
      <c r="M285" t="s">
        <v>29</v>
      </c>
      <c r="N285">
        <v>161</v>
      </c>
      <c r="O285" t="s">
        <v>145</v>
      </c>
      <c r="P285" t="s">
        <v>368</v>
      </c>
      <c r="Q285">
        <f t="shared" si="5"/>
        <v>785</v>
      </c>
      <c r="R285">
        <f>_xlfn.XLOOKUP(E285,'Data Additive'!E:E,'Data Additive'!E:E,0)</f>
        <v>0</v>
      </c>
    </row>
    <row r="286" spans="1:18" x14ac:dyDescent="0.25">
      <c r="A286">
        <v>11207</v>
      </c>
      <c r="B286" t="s">
        <v>619</v>
      </c>
      <c r="C286" t="s">
        <v>176</v>
      </c>
      <c r="D286" s="32">
        <v>43771.16</v>
      </c>
      <c r="E286">
        <v>1246094423</v>
      </c>
      <c r="F286" s="28">
        <v>45423</v>
      </c>
      <c r="H286" t="s">
        <v>156</v>
      </c>
      <c r="I286" t="s">
        <v>157</v>
      </c>
      <c r="J286">
        <v>356</v>
      </c>
      <c r="K286" s="28">
        <v>45133</v>
      </c>
      <c r="L286">
        <v>1010100</v>
      </c>
      <c r="M286" t="s">
        <v>29</v>
      </c>
      <c r="N286">
        <v>161</v>
      </c>
      <c r="O286" t="s">
        <v>145</v>
      </c>
      <c r="P286" t="s">
        <v>368</v>
      </c>
      <c r="Q286">
        <f t="shared" si="5"/>
        <v>774</v>
      </c>
      <c r="R286">
        <f>_xlfn.XLOOKUP(E286,'Data Additive'!E:E,'Data Additive'!E:E,0)</f>
        <v>0</v>
      </c>
    </row>
    <row r="287" spans="1:18" x14ac:dyDescent="0.25">
      <c r="A287">
        <v>11207</v>
      </c>
      <c r="B287" t="s">
        <v>619</v>
      </c>
      <c r="C287" t="s">
        <v>176</v>
      </c>
      <c r="D287" s="32">
        <v>44760.26</v>
      </c>
      <c r="E287">
        <v>1246092027</v>
      </c>
      <c r="F287" s="28">
        <v>45504</v>
      </c>
      <c r="H287" t="s">
        <v>156</v>
      </c>
      <c r="I287" t="s">
        <v>157</v>
      </c>
      <c r="J287">
        <v>138</v>
      </c>
      <c r="K287" s="28">
        <v>45119</v>
      </c>
      <c r="L287">
        <v>1010100</v>
      </c>
      <c r="M287" t="s">
        <v>29</v>
      </c>
      <c r="N287">
        <v>161</v>
      </c>
      <c r="O287" t="s">
        <v>145</v>
      </c>
      <c r="P287" t="s">
        <v>368</v>
      </c>
      <c r="Q287">
        <f t="shared" si="5"/>
        <v>693</v>
      </c>
      <c r="R287">
        <f>_xlfn.XLOOKUP(E287,'Data Additive'!E:E,'Data Additive'!E:E,0)</f>
        <v>0</v>
      </c>
    </row>
    <row r="288" spans="1:18" x14ac:dyDescent="0.25">
      <c r="A288">
        <v>11207</v>
      </c>
      <c r="B288" t="s">
        <v>619</v>
      </c>
      <c r="C288" t="s">
        <v>176</v>
      </c>
      <c r="D288" s="32">
        <v>43771.16</v>
      </c>
      <c r="E288">
        <v>1246093362</v>
      </c>
      <c r="F288" s="28">
        <v>45417</v>
      </c>
      <c r="H288" t="s">
        <v>156</v>
      </c>
      <c r="I288" t="s">
        <v>157</v>
      </c>
      <c r="J288">
        <v>253</v>
      </c>
      <c r="K288" s="28">
        <v>45127</v>
      </c>
      <c r="L288">
        <v>1010100</v>
      </c>
      <c r="M288" t="s">
        <v>29</v>
      </c>
      <c r="N288">
        <v>161</v>
      </c>
      <c r="O288" t="s">
        <v>145</v>
      </c>
      <c r="P288" t="s">
        <v>368</v>
      </c>
      <c r="Q288">
        <f t="shared" si="5"/>
        <v>780</v>
      </c>
      <c r="R288">
        <f>_xlfn.XLOOKUP(E288,'Data Additive'!E:E,'Data Additive'!E:E,0)</f>
        <v>0</v>
      </c>
    </row>
    <row r="289" spans="1:18" x14ac:dyDescent="0.25">
      <c r="A289">
        <v>11207</v>
      </c>
      <c r="B289" t="s">
        <v>619</v>
      </c>
      <c r="C289" t="s">
        <v>176</v>
      </c>
      <c r="D289" s="32">
        <v>47925.4</v>
      </c>
      <c r="E289">
        <v>1246094864</v>
      </c>
      <c r="F289" s="28">
        <v>45544</v>
      </c>
      <c r="H289" t="s">
        <v>156</v>
      </c>
      <c r="I289" t="s">
        <v>157</v>
      </c>
      <c r="J289">
        <v>407</v>
      </c>
      <c r="K289" s="28">
        <v>45135</v>
      </c>
      <c r="L289">
        <v>1010100</v>
      </c>
      <c r="M289" t="s">
        <v>29</v>
      </c>
      <c r="N289">
        <v>161</v>
      </c>
      <c r="O289" t="s">
        <v>145</v>
      </c>
      <c r="P289" t="s">
        <v>368</v>
      </c>
      <c r="Q289">
        <f t="shared" si="5"/>
        <v>653</v>
      </c>
      <c r="R289">
        <f>_xlfn.XLOOKUP(E289,'Data Additive'!E:E,'Data Additive'!E:E,0)</f>
        <v>0</v>
      </c>
    </row>
    <row r="290" spans="1:18" x14ac:dyDescent="0.25">
      <c r="A290">
        <v>11207</v>
      </c>
      <c r="B290" t="s">
        <v>619</v>
      </c>
      <c r="C290" t="s">
        <v>176</v>
      </c>
      <c r="D290" s="32">
        <v>106301.38</v>
      </c>
      <c r="E290">
        <v>1246094863</v>
      </c>
      <c r="F290" s="28">
        <v>45425</v>
      </c>
      <c r="H290" t="s">
        <v>156</v>
      </c>
      <c r="I290" t="s">
        <v>157</v>
      </c>
      <c r="J290">
        <v>406</v>
      </c>
      <c r="K290" s="28">
        <v>45135</v>
      </c>
      <c r="L290">
        <v>1010100</v>
      </c>
      <c r="M290" t="s">
        <v>29</v>
      </c>
      <c r="N290">
        <v>161</v>
      </c>
      <c r="O290" t="s">
        <v>145</v>
      </c>
      <c r="P290" t="s">
        <v>368</v>
      </c>
      <c r="Q290">
        <f t="shared" si="5"/>
        <v>772</v>
      </c>
      <c r="R290">
        <f>_xlfn.XLOOKUP(E290,'Data Additive'!E:E,'Data Additive'!E:E,0)</f>
        <v>0</v>
      </c>
    </row>
    <row r="291" spans="1:18" x14ac:dyDescent="0.25">
      <c r="A291">
        <v>11207</v>
      </c>
      <c r="B291" t="s">
        <v>619</v>
      </c>
      <c r="C291" t="s">
        <v>176</v>
      </c>
      <c r="D291" s="32">
        <v>150072.54</v>
      </c>
      <c r="E291">
        <v>1246095554</v>
      </c>
      <c r="F291" s="28">
        <v>45415</v>
      </c>
      <c r="H291" t="s">
        <v>156</v>
      </c>
      <c r="I291" t="s">
        <v>157</v>
      </c>
      <c r="J291">
        <v>485</v>
      </c>
      <c r="K291" s="28">
        <v>45140</v>
      </c>
      <c r="L291">
        <v>1010100</v>
      </c>
      <c r="M291" t="s">
        <v>29</v>
      </c>
      <c r="N291">
        <v>161</v>
      </c>
      <c r="O291" t="s">
        <v>145</v>
      </c>
      <c r="P291" t="s">
        <v>368</v>
      </c>
      <c r="Q291">
        <f t="shared" si="5"/>
        <v>782</v>
      </c>
      <c r="R291">
        <f>_xlfn.XLOOKUP(E291,'Data Additive'!E:E,'Data Additive'!E:E,0)</f>
        <v>0</v>
      </c>
    </row>
    <row r="292" spans="1:18" x14ac:dyDescent="0.25">
      <c r="A292">
        <v>11207</v>
      </c>
      <c r="B292" t="s">
        <v>619</v>
      </c>
      <c r="C292" t="s">
        <v>176</v>
      </c>
      <c r="D292" s="32">
        <v>150072.54999999999</v>
      </c>
      <c r="E292">
        <v>1246098101</v>
      </c>
      <c r="F292" s="28">
        <v>45414</v>
      </c>
      <c r="H292" t="s">
        <v>156</v>
      </c>
      <c r="I292" t="s">
        <v>157</v>
      </c>
      <c r="J292">
        <v>151</v>
      </c>
      <c r="K292" s="28">
        <v>45154</v>
      </c>
      <c r="L292">
        <v>1010100</v>
      </c>
      <c r="M292" t="s">
        <v>29</v>
      </c>
      <c r="N292">
        <v>161</v>
      </c>
      <c r="O292" t="s">
        <v>145</v>
      </c>
      <c r="P292" t="s">
        <v>368</v>
      </c>
      <c r="Q292">
        <f t="shared" si="5"/>
        <v>783</v>
      </c>
      <c r="R292">
        <f>_xlfn.XLOOKUP(E292,'Data Additive'!E:E,'Data Additive'!E:E,0)</f>
        <v>0</v>
      </c>
    </row>
    <row r="293" spans="1:18" x14ac:dyDescent="0.25">
      <c r="A293">
        <v>11207</v>
      </c>
      <c r="B293" t="s">
        <v>619</v>
      </c>
      <c r="C293" t="s">
        <v>176</v>
      </c>
      <c r="D293" s="32">
        <v>43771.16</v>
      </c>
      <c r="E293">
        <v>1246098102</v>
      </c>
      <c r="F293" s="28">
        <v>45414</v>
      </c>
      <c r="H293" t="s">
        <v>156</v>
      </c>
      <c r="I293" t="s">
        <v>157</v>
      </c>
      <c r="J293">
        <v>152</v>
      </c>
      <c r="K293" s="28">
        <v>45154</v>
      </c>
      <c r="L293">
        <v>1010100</v>
      </c>
      <c r="M293" t="s">
        <v>29</v>
      </c>
      <c r="N293">
        <v>161</v>
      </c>
      <c r="O293" t="s">
        <v>145</v>
      </c>
      <c r="P293" t="s">
        <v>368</v>
      </c>
      <c r="Q293">
        <f t="shared" si="5"/>
        <v>783</v>
      </c>
      <c r="R293">
        <f>_xlfn.XLOOKUP(E293,'Data Additive'!E:E,'Data Additive'!E:E,0)</f>
        <v>0</v>
      </c>
    </row>
    <row r="294" spans="1:18" x14ac:dyDescent="0.25">
      <c r="A294">
        <v>11207</v>
      </c>
      <c r="B294" t="s">
        <v>619</v>
      </c>
      <c r="C294" t="s">
        <v>176</v>
      </c>
      <c r="D294" s="32">
        <v>150072.54</v>
      </c>
      <c r="E294">
        <v>1246096042</v>
      </c>
      <c r="F294" s="28">
        <v>45417</v>
      </c>
      <c r="H294" t="s">
        <v>156</v>
      </c>
      <c r="I294" t="s">
        <v>157</v>
      </c>
      <c r="J294">
        <v>520</v>
      </c>
      <c r="K294" s="28">
        <v>45142</v>
      </c>
      <c r="L294">
        <v>1010100</v>
      </c>
      <c r="M294" t="s">
        <v>29</v>
      </c>
      <c r="N294">
        <v>161</v>
      </c>
      <c r="O294" t="s">
        <v>145</v>
      </c>
      <c r="P294" t="s">
        <v>368</v>
      </c>
      <c r="Q294">
        <f t="shared" si="5"/>
        <v>780</v>
      </c>
      <c r="R294">
        <f>_xlfn.XLOOKUP(E294,'Data Additive'!E:E,'Data Additive'!E:E,0)</f>
        <v>0</v>
      </c>
    </row>
    <row r="295" spans="1:18" x14ac:dyDescent="0.25">
      <c r="A295">
        <v>11207</v>
      </c>
      <c r="B295" t="s">
        <v>619</v>
      </c>
      <c r="C295" t="s">
        <v>176</v>
      </c>
      <c r="D295" s="32">
        <v>150072.54999999999</v>
      </c>
      <c r="E295">
        <v>1246098739</v>
      </c>
      <c r="F295" s="28">
        <v>45446</v>
      </c>
      <c r="H295" t="s">
        <v>156</v>
      </c>
      <c r="I295" t="s">
        <v>157</v>
      </c>
      <c r="J295">
        <v>161</v>
      </c>
      <c r="K295" s="28">
        <v>45156</v>
      </c>
      <c r="L295">
        <v>1010100</v>
      </c>
      <c r="M295" t="s">
        <v>29</v>
      </c>
      <c r="N295">
        <v>161</v>
      </c>
      <c r="O295" t="s">
        <v>145</v>
      </c>
      <c r="P295" t="s">
        <v>368</v>
      </c>
      <c r="Q295">
        <f t="shared" si="5"/>
        <v>751</v>
      </c>
      <c r="R295">
        <f>_xlfn.XLOOKUP(E295,'Data Additive'!E:E,'Data Additive'!E:E,0)</f>
        <v>0</v>
      </c>
    </row>
    <row r="296" spans="1:18" x14ac:dyDescent="0.25">
      <c r="A296">
        <v>11207</v>
      </c>
      <c r="B296" t="s">
        <v>619</v>
      </c>
      <c r="C296" t="s">
        <v>176</v>
      </c>
      <c r="D296" s="32">
        <v>150072.54</v>
      </c>
      <c r="E296">
        <v>1246103409</v>
      </c>
      <c r="F296" s="28">
        <v>45421</v>
      </c>
      <c r="H296" t="s">
        <v>156</v>
      </c>
      <c r="I296" t="s">
        <v>157</v>
      </c>
      <c r="J296">
        <v>231</v>
      </c>
      <c r="K296" s="28">
        <v>45181</v>
      </c>
      <c r="L296">
        <v>1010100</v>
      </c>
      <c r="M296" t="s">
        <v>29</v>
      </c>
      <c r="N296">
        <v>161</v>
      </c>
      <c r="O296" t="s">
        <v>145</v>
      </c>
      <c r="P296" t="s">
        <v>368</v>
      </c>
      <c r="Q296">
        <f t="shared" si="5"/>
        <v>776</v>
      </c>
      <c r="R296">
        <f>_xlfn.XLOOKUP(E296,'Data Additive'!E:E,'Data Additive'!E:E,0)</f>
        <v>0</v>
      </c>
    </row>
    <row r="297" spans="1:18" x14ac:dyDescent="0.25">
      <c r="A297">
        <v>11207</v>
      </c>
      <c r="B297" t="s">
        <v>619</v>
      </c>
      <c r="C297" t="s">
        <v>176</v>
      </c>
      <c r="D297" s="32">
        <v>150072.54999999999</v>
      </c>
      <c r="E297">
        <v>1246104480</v>
      </c>
      <c r="F297" s="28">
        <v>45427</v>
      </c>
      <c r="H297" t="s">
        <v>156</v>
      </c>
      <c r="I297" t="s">
        <v>157</v>
      </c>
      <c r="J297">
        <v>1209</v>
      </c>
      <c r="K297" s="28">
        <v>45187</v>
      </c>
      <c r="L297">
        <v>1010100</v>
      </c>
      <c r="M297" t="s">
        <v>29</v>
      </c>
      <c r="N297">
        <v>161</v>
      </c>
      <c r="O297" t="s">
        <v>145</v>
      </c>
      <c r="P297" t="s">
        <v>368</v>
      </c>
      <c r="Q297">
        <f t="shared" si="5"/>
        <v>770</v>
      </c>
      <c r="R297">
        <f>_xlfn.XLOOKUP(E297,'Data Additive'!E:E,'Data Additive'!E:E,0)</f>
        <v>0</v>
      </c>
    </row>
    <row r="298" spans="1:18" x14ac:dyDescent="0.25">
      <c r="A298">
        <v>11207</v>
      </c>
      <c r="B298" t="s">
        <v>619</v>
      </c>
      <c r="C298" t="s">
        <v>176</v>
      </c>
      <c r="D298" s="32">
        <v>98152.42</v>
      </c>
      <c r="E298">
        <v>1246128194</v>
      </c>
      <c r="F298" s="28">
        <v>45595</v>
      </c>
      <c r="H298" t="s">
        <v>156</v>
      </c>
      <c r="I298" t="s">
        <v>157</v>
      </c>
      <c r="J298">
        <v>2705</v>
      </c>
      <c r="K298" s="28">
        <v>45327</v>
      </c>
      <c r="L298">
        <v>1010100</v>
      </c>
      <c r="M298" t="s">
        <v>29</v>
      </c>
      <c r="N298">
        <v>161</v>
      </c>
      <c r="O298" t="s">
        <v>145</v>
      </c>
      <c r="P298" t="s">
        <v>368</v>
      </c>
      <c r="Q298">
        <f t="shared" si="5"/>
        <v>602</v>
      </c>
      <c r="R298">
        <f>_xlfn.XLOOKUP(E298,'Data Additive'!E:E,'Data Additive'!E:E,0)</f>
        <v>0</v>
      </c>
    </row>
    <row r="299" spans="1:18" x14ac:dyDescent="0.25">
      <c r="A299">
        <v>11207</v>
      </c>
      <c r="B299" t="s">
        <v>619</v>
      </c>
      <c r="C299" t="s">
        <v>176</v>
      </c>
      <c r="D299" s="32">
        <v>98152.43</v>
      </c>
      <c r="E299">
        <v>1246128212</v>
      </c>
      <c r="F299" s="28">
        <v>45595</v>
      </c>
      <c r="H299" t="s">
        <v>156</v>
      </c>
      <c r="I299" t="s">
        <v>157</v>
      </c>
      <c r="J299">
        <v>2708</v>
      </c>
      <c r="K299" s="28">
        <v>45327</v>
      </c>
      <c r="L299">
        <v>1010100</v>
      </c>
      <c r="M299" t="s">
        <v>29</v>
      </c>
      <c r="N299">
        <v>161</v>
      </c>
      <c r="O299" t="s">
        <v>145</v>
      </c>
      <c r="P299" t="s">
        <v>368</v>
      </c>
      <c r="Q299">
        <f t="shared" si="5"/>
        <v>602</v>
      </c>
      <c r="R299">
        <f>_xlfn.XLOOKUP(E299,'Data Additive'!E:E,'Data Additive'!E:E,0)</f>
        <v>0</v>
      </c>
    </row>
    <row r="300" spans="1:18" x14ac:dyDescent="0.25">
      <c r="A300">
        <v>11207</v>
      </c>
      <c r="B300" t="s">
        <v>619</v>
      </c>
      <c r="C300" t="s">
        <v>176</v>
      </c>
      <c r="D300" s="32">
        <v>43771.16</v>
      </c>
      <c r="E300">
        <v>1246102312</v>
      </c>
      <c r="F300" s="28">
        <v>45414</v>
      </c>
      <c r="H300" t="s">
        <v>156</v>
      </c>
      <c r="I300" t="s">
        <v>157</v>
      </c>
      <c r="J300">
        <v>1038</v>
      </c>
      <c r="K300" s="28">
        <v>45174</v>
      </c>
      <c r="L300">
        <v>1010100</v>
      </c>
      <c r="M300" t="s">
        <v>29</v>
      </c>
      <c r="N300">
        <v>161</v>
      </c>
      <c r="O300" t="s">
        <v>145</v>
      </c>
      <c r="P300" t="s">
        <v>368</v>
      </c>
      <c r="Q300">
        <f t="shared" si="5"/>
        <v>783</v>
      </c>
      <c r="R300">
        <f>_xlfn.XLOOKUP(E300,'Data Additive'!E:E,'Data Additive'!E:E,0)</f>
        <v>0</v>
      </c>
    </row>
    <row r="301" spans="1:18" x14ac:dyDescent="0.25">
      <c r="A301">
        <v>11207</v>
      </c>
      <c r="B301" t="s">
        <v>619</v>
      </c>
      <c r="C301" t="s">
        <v>176</v>
      </c>
      <c r="D301" s="32">
        <v>43771.16</v>
      </c>
      <c r="E301">
        <v>1246103425</v>
      </c>
      <c r="F301" s="28">
        <v>45421</v>
      </c>
      <c r="H301" t="s">
        <v>156</v>
      </c>
      <c r="I301" t="s">
        <v>157</v>
      </c>
      <c r="J301">
        <v>232</v>
      </c>
      <c r="K301" s="28">
        <v>45181</v>
      </c>
      <c r="L301">
        <v>1010100</v>
      </c>
      <c r="M301" t="s">
        <v>29</v>
      </c>
      <c r="N301">
        <v>161</v>
      </c>
      <c r="O301" t="s">
        <v>145</v>
      </c>
      <c r="P301" t="s">
        <v>368</v>
      </c>
      <c r="Q301">
        <f t="shared" si="5"/>
        <v>776</v>
      </c>
      <c r="R301">
        <f>_xlfn.XLOOKUP(E301,'Data Additive'!E:E,'Data Additive'!E:E,0)</f>
        <v>0</v>
      </c>
    </row>
    <row r="302" spans="1:18" x14ac:dyDescent="0.25">
      <c r="A302">
        <v>11207</v>
      </c>
      <c r="B302" t="s">
        <v>619</v>
      </c>
      <c r="C302" t="s">
        <v>176</v>
      </c>
      <c r="D302" s="32">
        <v>85883.37</v>
      </c>
      <c r="E302">
        <v>1246128634</v>
      </c>
      <c r="F302" s="28">
        <v>45597</v>
      </c>
      <c r="H302" t="s">
        <v>156</v>
      </c>
      <c r="I302" t="s">
        <v>157</v>
      </c>
      <c r="J302">
        <v>2731</v>
      </c>
      <c r="K302" s="28">
        <v>45329</v>
      </c>
      <c r="L302">
        <v>1010100</v>
      </c>
      <c r="M302" t="s">
        <v>29</v>
      </c>
      <c r="N302">
        <v>161</v>
      </c>
      <c r="O302" t="s">
        <v>145</v>
      </c>
      <c r="P302" t="s">
        <v>368</v>
      </c>
      <c r="Q302">
        <f t="shared" si="5"/>
        <v>600</v>
      </c>
      <c r="R302">
        <f>_xlfn.XLOOKUP(E302,'Data Additive'!E:E,'Data Additive'!E:E,0)</f>
        <v>0</v>
      </c>
    </row>
    <row r="303" spans="1:18" x14ac:dyDescent="0.25">
      <c r="A303">
        <v>11207</v>
      </c>
      <c r="B303" t="s">
        <v>619</v>
      </c>
      <c r="C303" t="s">
        <v>176</v>
      </c>
      <c r="D303" s="32">
        <v>150072.54</v>
      </c>
      <c r="E303">
        <v>1246106013</v>
      </c>
      <c r="F303" s="28">
        <v>45416</v>
      </c>
      <c r="H303" t="s">
        <v>156</v>
      </c>
      <c r="I303" t="s">
        <v>157</v>
      </c>
      <c r="J303">
        <v>1329</v>
      </c>
      <c r="K303" s="28">
        <v>45194</v>
      </c>
      <c r="L303">
        <v>1010100</v>
      </c>
      <c r="M303" t="s">
        <v>29</v>
      </c>
      <c r="N303">
        <v>161</v>
      </c>
      <c r="O303" t="s">
        <v>145</v>
      </c>
      <c r="P303" t="s">
        <v>368</v>
      </c>
      <c r="Q303">
        <f t="shared" si="5"/>
        <v>781</v>
      </c>
      <c r="R303">
        <f>_xlfn.XLOOKUP(E303,'Data Additive'!E:E,'Data Additive'!E:E,0)</f>
        <v>0</v>
      </c>
    </row>
    <row r="304" spans="1:18" x14ac:dyDescent="0.25">
      <c r="A304">
        <v>11207</v>
      </c>
      <c r="B304" t="s">
        <v>619</v>
      </c>
      <c r="C304" t="s">
        <v>176</v>
      </c>
      <c r="D304" s="32">
        <v>150072.54</v>
      </c>
      <c r="E304">
        <v>1246102752</v>
      </c>
      <c r="F304" s="28">
        <v>45415</v>
      </c>
      <c r="H304" t="s">
        <v>156</v>
      </c>
      <c r="I304" t="s">
        <v>157</v>
      </c>
      <c r="J304">
        <v>1071</v>
      </c>
      <c r="K304" s="28">
        <v>45175</v>
      </c>
      <c r="L304">
        <v>1010100</v>
      </c>
      <c r="M304" t="s">
        <v>29</v>
      </c>
      <c r="N304">
        <v>161</v>
      </c>
      <c r="O304" t="s">
        <v>145</v>
      </c>
      <c r="P304" t="s">
        <v>368</v>
      </c>
      <c r="Q304">
        <f t="shared" si="5"/>
        <v>782</v>
      </c>
      <c r="R304">
        <f>_xlfn.XLOOKUP(E304,'Data Additive'!E:E,'Data Additive'!E:E,0)</f>
        <v>0</v>
      </c>
    </row>
    <row r="305" spans="1:18" x14ac:dyDescent="0.25">
      <c r="A305">
        <v>11207</v>
      </c>
      <c r="B305" t="s">
        <v>619</v>
      </c>
      <c r="C305" t="s">
        <v>176</v>
      </c>
      <c r="D305" s="32">
        <v>43771.16</v>
      </c>
      <c r="E305">
        <v>1246103933</v>
      </c>
      <c r="F305" s="28">
        <v>45423</v>
      </c>
      <c r="H305" t="s">
        <v>156</v>
      </c>
      <c r="I305" t="s">
        <v>157</v>
      </c>
      <c r="J305">
        <v>1167</v>
      </c>
      <c r="K305" s="28">
        <v>45183</v>
      </c>
      <c r="L305">
        <v>1010100</v>
      </c>
      <c r="M305" t="s">
        <v>29</v>
      </c>
      <c r="N305">
        <v>161</v>
      </c>
      <c r="O305" t="s">
        <v>145</v>
      </c>
      <c r="P305" t="s">
        <v>368</v>
      </c>
      <c r="Q305">
        <f t="shared" si="5"/>
        <v>774</v>
      </c>
      <c r="R305">
        <f>_xlfn.XLOOKUP(E305,'Data Additive'!E:E,'Data Additive'!E:E,0)</f>
        <v>0</v>
      </c>
    </row>
    <row r="306" spans="1:18" x14ac:dyDescent="0.25">
      <c r="A306">
        <v>11207</v>
      </c>
      <c r="B306" t="s">
        <v>619</v>
      </c>
      <c r="C306" t="s">
        <v>176</v>
      </c>
      <c r="D306" s="32">
        <v>150072.54</v>
      </c>
      <c r="E306">
        <v>1246105096</v>
      </c>
      <c r="F306" s="28">
        <v>45429</v>
      </c>
      <c r="H306" t="s">
        <v>156</v>
      </c>
      <c r="I306" t="s">
        <v>157</v>
      </c>
      <c r="J306">
        <v>1263</v>
      </c>
      <c r="K306" s="28">
        <v>45189</v>
      </c>
      <c r="L306">
        <v>1010100</v>
      </c>
      <c r="M306" t="s">
        <v>29</v>
      </c>
      <c r="N306">
        <v>161</v>
      </c>
      <c r="O306" t="s">
        <v>145</v>
      </c>
      <c r="P306" t="s">
        <v>368</v>
      </c>
      <c r="Q306">
        <f t="shared" si="5"/>
        <v>768</v>
      </c>
      <c r="R306">
        <f>_xlfn.XLOOKUP(E306,'Data Additive'!E:E,'Data Additive'!E:E,0)</f>
        <v>0</v>
      </c>
    </row>
    <row r="307" spans="1:18" x14ac:dyDescent="0.25">
      <c r="A307">
        <v>11207</v>
      </c>
      <c r="B307" t="s">
        <v>619</v>
      </c>
      <c r="C307" t="s">
        <v>176</v>
      </c>
      <c r="D307" s="32">
        <v>85883.37</v>
      </c>
      <c r="E307">
        <v>1246131973</v>
      </c>
      <c r="F307" s="28">
        <v>45595</v>
      </c>
      <c r="H307" t="s">
        <v>156</v>
      </c>
      <c r="I307" t="s">
        <v>157</v>
      </c>
      <c r="J307">
        <v>2972</v>
      </c>
      <c r="K307" s="28">
        <v>45352</v>
      </c>
      <c r="L307">
        <v>1010100</v>
      </c>
      <c r="M307" t="s">
        <v>29</v>
      </c>
      <c r="N307">
        <v>161</v>
      </c>
      <c r="O307" t="s">
        <v>145</v>
      </c>
      <c r="P307" t="s">
        <v>368</v>
      </c>
      <c r="Q307">
        <f t="shared" si="5"/>
        <v>602</v>
      </c>
      <c r="R307">
        <f>_xlfn.XLOOKUP(E307,'Data Additive'!E:E,'Data Additive'!E:E,0)</f>
        <v>0</v>
      </c>
    </row>
    <row r="308" spans="1:18" x14ac:dyDescent="0.25">
      <c r="A308">
        <v>11456</v>
      </c>
      <c r="B308" t="s">
        <v>183</v>
      </c>
      <c r="C308" t="s">
        <v>184</v>
      </c>
      <c r="D308" s="32">
        <v>108608.88999999998</v>
      </c>
      <c r="E308">
        <v>1246074872</v>
      </c>
      <c r="F308" s="28">
        <v>45412</v>
      </c>
      <c r="H308" t="s">
        <v>156</v>
      </c>
      <c r="I308" t="s">
        <v>157</v>
      </c>
      <c r="J308">
        <v>21029</v>
      </c>
      <c r="K308" s="28">
        <v>45019</v>
      </c>
      <c r="L308">
        <v>1010100</v>
      </c>
      <c r="M308" t="s">
        <v>29</v>
      </c>
      <c r="N308">
        <v>161</v>
      </c>
      <c r="O308" t="s">
        <v>145</v>
      </c>
      <c r="P308" t="s">
        <v>368</v>
      </c>
      <c r="Q308">
        <f t="shared" si="5"/>
        <v>785</v>
      </c>
      <c r="R308">
        <f>_xlfn.XLOOKUP(E308,'Data Additive'!E:E,'Data Additive'!E:E,0)</f>
        <v>0</v>
      </c>
    </row>
    <row r="309" spans="1:18" x14ac:dyDescent="0.25">
      <c r="A309">
        <v>11456</v>
      </c>
      <c r="B309" t="s">
        <v>183</v>
      </c>
      <c r="C309" t="s">
        <v>184</v>
      </c>
      <c r="D309" s="32">
        <v>136139</v>
      </c>
      <c r="E309">
        <v>1246074571</v>
      </c>
      <c r="F309" s="28">
        <v>45412</v>
      </c>
      <c r="H309" t="s">
        <v>156</v>
      </c>
      <c r="I309" t="s">
        <v>157</v>
      </c>
      <c r="J309">
        <v>21023</v>
      </c>
      <c r="K309" s="28">
        <v>45017</v>
      </c>
      <c r="L309">
        <v>1010100</v>
      </c>
      <c r="M309" t="s">
        <v>29</v>
      </c>
      <c r="N309">
        <v>161</v>
      </c>
      <c r="O309" t="s">
        <v>145</v>
      </c>
      <c r="P309" t="s">
        <v>368</v>
      </c>
      <c r="Q309">
        <f t="shared" si="5"/>
        <v>785</v>
      </c>
      <c r="R309">
        <f>_xlfn.XLOOKUP(E309,'Data Additive'!E:E,'Data Additive'!E:E,0)</f>
        <v>0</v>
      </c>
    </row>
    <row r="310" spans="1:18" x14ac:dyDescent="0.25">
      <c r="A310">
        <v>11456</v>
      </c>
      <c r="B310" t="s">
        <v>183</v>
      </c>
      <c r="C310" t="s">
        <v>184</v>
      </c>
      <c r="D310" s="32">
        <v>150110.1</v>
      </c>
      <c r="E310">
        <v>1246127149</v>
      </c>
      <c r="F310" s="28">
        <v>45615</v>
      </c>
      <c r="H310" t="s">
        <v>156</v>
      </c>
      <c r="I310" t="s">
        <v>157</v>
      </c>
      <c r="J310">
        <v>2634</v>
      </c>
      <c r="K310" s="28">
        <v>45320</v>
      </c>
      <c r="L310">
        <v>1010100</v>
      </c>
      <c r="M310" t="s">
        <v>29</v>
      </c>
      <c r="N310">
        <v>161</v>
      </c>
      <c r="O310" t="s">
        <v>145</v>
      </c>
      <c r="P310" t="s">
        <v>368</v>
      </c>
      <c r="Q310">
        <f t="shared" si="5"/>
        <v>582</v>
      </c>
      <c r="R310">
        <f>_xlfn.XLOOKUP(E310,'Data Additive'!E:E,'Data Additive'!E:E,0)</f>
        <v>0</v>
      </c>
    </row>
    <row r="311" spans="1:18" x14ac:dyDescent="0.25">
      <c r="A311">
        <v>11456</v>
      </c>
      <c r="B311" t="s">
        <v>183</v>
      </c>
      <c r="C311" t="s">
        <v>184</v>
      </c>
      <c r="D311" s="32">
        <v>150110.1</v>
      </c>
      <c r="E311">
        <v>1246128463</v>
      </c>
      <c r="F311" s="28">
        <v>45623</v>
      </c>
      <c r="H311" t="s">
        <v>156</v>
      </c>
      <c r="I311" t="s">
        <v>157</v>
      </c>
      <c r="J311">
        <v>2720</v>
      </c>
      <c r="K311" s="28">
        <v>45328</v>
      </c>
      <c r="L311">
        <v>1010100</v>
      </c>
      <c r="M311" t="s">
        <v>29</v>
      </c>
      <c r="N311">
        <v>161</v>
      </c>
      <c r="O311" t="s">
        <v>145</v>
      </c>
      <c r="P311" t="s">
        <v>368</v>
      </c>
      <c r="Q311">
        <f t="shared" si="5"/>
        <v>574</v>
      </c>
      <c r="R311">
        <f>_xlfn.XLOOKUP(E311,'Data Additive'!E:E,'Data Additive'!E:E,0)</f>
        <v>0</v>
      </c>
    </row>
    <row r="312" spans="1:18" x14ac:dyDescent="0.25">
      <c r="A312">
        <v>10492</v>
      </c>
      <c r="B312" t="s">
        <v>101</v>
      </c>
      <c r="C312" t="s">
        <v>732</v>
      </c>
      <c r="D312" s="32">
        <v>83061.3</v>
      </c>
      <c r="E312">
        <v>1246279511</v>
      </c>
      <c r="F312" s="28">
        <v>46216</v>
      </c>
      <c r="H312" t="s">
        <v>23</v>
      </c>
      <c r="I312" t="s">
        <v>24</v>
      </c>
      <c r="J312">
        <v>11709</v>
      </c>
      <c r="K312" s="28">
        <v>46188</v>
      </c>
      <c r="L312">
        <v>1010100</v>
      </c>
      <c r="M312" t="s">
        <v>29</v>
      </c>
      <c r="N312">
        <v>161</v>
      </c>
      <c r="O312" t="s">
        <v>145</v>
      </c>
      <c r="P312" t="s">
        <v>356</v>
      </c>
      <c r="Q312">
        <f t="shared" ref="Q312:Q367" si="6">$R$1-F312</f>
        <v>-19</v>
      </c>
      <c r="R312">
        <f>_xlfn.XLOOKUP(E312,'Data Additive'!E:E,'Data Additive'!E:E,0)</f>
        <v>1246279511</v>
      </c>
    </row>
    <row r="313" spans="1:18" x14ac:dyDescent="0.25">
      <c r="A313">
        <v>10492</v>
      </c>
      <c r="B313" t="s">
        <v>101</v>
      </c>
      <c r="C313" t="s">
        <v>732</v>
      </c>
      <c r="D313" s="32">
        <v>98972.7</v>
      </c>
      <c r="E313">
        <v>1246278309</v>
      </c>
      <c r="F313" s="28">
        <v>46206</v>
      </c>
      <c r="H313" t="s">
        <v>23</v>
      </c>
      <c r="I313" t="s">
        <v>24</v>
      </c>
      <c r="J313">
        <v>11605</v>
      </c>
      <c r="K313" s="28">
        <v>46178</v>
      </c>
      <c r="L313">
        <v>1010100</v>
      </c>
      <c r="M313" t="s">
        <v>29</v>
      </c>
      <c r="N313">
        <v>161</v>
      </c>
      <c r="O313" t="s">
        <v>145</v>
      </c>
      <c r="P313" t="s">
        <v>356</v>
      </c>
      <c r="Q313">
        <f t="shared" si="6"/>
        <v>-9</v>
      </c>
      <c r="R313">
        <f>_xlfn.XLOOKUP(E313,'Data Additive'!E:E,'Data Additive'!E:E,0)</f>
        <v>1246278309</v>
      </c>
    </row>
    <row r="314" spans="1:18" x14ac:dyDescent="0.25">
      <c r="A314">
        <v>10492</v>
      </c>
      <c r="B314" t="s">
        <v>101</v>
      </c>
      <c r="C314" t="s">
        <v>732</v>
      </c>
      <c r="D314" s="32">
        <v>98416.5</v>
      </c>
      <c r="E314">
        <v>1246279489</v>
      </c>
      <c r="F314" s="28">
        <v>46216</v>
      </c>
      <c r="H314" t="s">
        <v>23</v>
      </c>
      <c r="I314" t="s">
        <v>24</v>
      </c>
      <c r="J314">
        <v>11707</v>
      </c>
      <c r="K314" s="28">
        <v>46188</v>
      </c>
      <c r="L314">
        <v>1010100</v>
      </c>
      <c r="M314" t="s">
        <v>29</v>
      </c>
      <c r="N314">
        <v>161</v>
      </c>
      <c r="O314" t="s">
        <v>145</v>
      </c>
      <c r="P314" t="s">
        <v>356</v>
      </c>
      <c r="Q314">
        <f t="shared" si="6"/>
        <v>-19</v>
      </c>
      <c r="R314">
        <f>_xlfn.XLOOKUP(E314,'Data Additive'!E:E,'Data Additive'!E:E,0)</f>
        <v>1246279489</v>
      </c>
    </row>
    <row r="315" spans="1:18" x14ac:dyDescent="0.25">
      <c r="A315">
        <v>13018</v>
      </c>
      <c r="B315" t="s">
        <v>15614</v>
      </c>
      <c r="C315" t="s">
        <v>586</v>
      </c>
      <c r="D315" s="32">
        <v>63720</v>
      </c>
      <c r="E315">
        <v>1246280943</v>
      </c>
      <c r="F315" s="28">
        <v>46239</v>
      </c>
      <c r="H315" t="s">
        <v>23</v>
      </c>
      <c r="I315" t="s">
        <v>24</v>
      </c>
      <c r="J315">
        <v>11814</v>
      </c>
      <c r="K315" s="28">
        <v>46197</v>
      </c>
      <c r="L315">
        <v>1010100</v>
      </c>
      <c r="M315" t="s">
        <v>29</v>
      </c>
      <c r="N315">
        <v>161</v>
      </c>
      <c r="O315" t="s">
        <v>145</v>
      </c>
      <c r="P315" t="s">
        <v>583</v>
      </c>
      <c r="Q315">
        <f t="shared" si="6"/>
        <v>-42</v>
      </c>
      <c r="R315">
        <f>_xlfn.XLOOKUP(E315,'Data Additive'!E:E,'Data Additive'!E:E,0)</f>
        <v>1246280943</v>
      </c>
    </row>
    <row r="316" spans="1:18" x14ac:dyDescent="0.25">
      <c r="A316">
        <v>13018</v>
      </c>
      <c r="B316" t="s">
        <v>15614</v>
      </c>
      <c r="C316" t="s">
        <v>586</v>
      </c>
      <c r="D316" s="32">
        <v>66788</v>
      </c>
      <c r="E316">
        <v>1246280964</v>
      </c>
      <c r="F316" s="28">
        <v>46225</v>
      </c>
      <c r="H316" t="s">
        <v>23</v>
      </c>
      <c r="I316" t="s">
        <v>24</v>
      </c>
      <c r="J316">
        <v>11816</v>
      </c>
      <c r="K316" s="28">
        <v>46197</v>
      </c>
      <c r="L316">
        <v>1010100</v>
      </c>
      <c r="M316" t="s">
        <v>29</v>
      </c>
      <c r="N316">
        <v>161</v>
      </c>
      <c r="O316" t="s">
        <v>145</v>
      </c>
      <c r="P316" t="s">
        <v>583</v>
      </c>
      <c r="Q316">
        <f t="shared" si="6"/>
        <v>-28</v>
      </c>
      <c r="R316">
        <f>_xlfn.XLOOKUP(E316,'Data Additive'!E:E,'Data Additive'!E:E,0)</f>
        <v>1246280964</v>
      </c>
    </row>
    <row r="317" spans="1:18" x14ac:dyDescent="0.25">
      <c r="A317">
        <v>13018</v>
      </c>
      <c r="B317" t="s">
        <v>15614</v>
      </c>
      <c r="C317" t="s">
        <v>586</v>
      </c>
      <c r="D317" s="32">
        <v>61360</v>
      </c>
      <c r="E317">
        <v>1246280961</v>
      </c>
      <c r="F317" s="28">
        <v>46239</v>
      </c>
      <c r="H317" t="s">
        <v>23</v>
      </c>
      <c r="I317" t="s">
        <v>24</v>
      </c>
      <c r="J317">
        <v>11815</v>
      </c>
      <c r="K317" s="28">
        <v>46197</v>
      </c>
      <c r="L317">
        <v>1010100</v>
      </c>
      <c r="M317" t="s">
        <v>29</v>
      </c>
      <c r="N317">
        <v>161</v>
      </c>
      <c r="O317" t="s">
        <v>145</v>
      </c>
      <c r="P317" t="s">
        <v>583</v>
      </c>
      <c r="Q317">
        <f t="shared" si="6"/>
        <v>-42</v>
      </c>
      <c r="R317">
        <f>_xlfn.XLOOKUP(E317,'Data Additive'!E:E,'Data Additive'!E:E,0)</f>
        <v>1246280961</v>
      </c>
    </row>
    <row r="318" spans="1:18" x14ac:dyDescent="0.25">
      <c r="A318">
        <v>13018</v>
      </c>
      <c r="B318" t="s">
        <v>15614</v>
      </c>
      <c r="C318" t="s">
        <v>586</v>
      </c>
      <c r="D318" s="32">
        <v>327740.59999999998</v>
      </c>
      <c r="E318">
        <v>1246272485</v>
      </c>
      <c r="F318" s="28">
        <v>46209</v>
      </c>
      <c r="H318" t="s">
        <v>23</v>
      </c>
      <c r="I318" t="s">
        <v>24</v>
      </c>
      <c r="J318">
        <v>11214</v>
      </c>
      <c r="K318" s="28">
        <v>46136</v>
      </c>
      <c r="L318">
        <v>1010100</v>
      </c>
      <c r="M318" t="s">
        <v>29</v>
      </c>
      <c r="N318">
        <v>161</v>
      </c>
      <c r="O318" t="s">
        <v>145</v>
      </c>
      <c r="P318" t="s">
        <v>583</v>
      </c>
      <c r="Q318">
        <f t="shared" si="6"/>
        <v>-12</v>
      </c>
      <c r="R318">
        <f>_xlfn.XLOOKUP(E318,'Data Additive'!E:E,'Data Additive'!E:E,0)</f>
        <v>1246272485</v>
      </c>
    </row>
    <row r="319" spans="1:18" x14ac:dyDescent="0.25">
      <c r="A319">
        <v>14765</v>
      </c>
      <c r="B319" t="s">
        <v>14383</v>
      </c>
      <c r="C319" t="s">
        <v>15621</v>
      </c>
      <c r="D319" s="32">
        <v>46590.02</v>
      </c>
      <c r="E319">
        <v>1246280485</v>
      </c>
      <c r="F319" s="28">
        <v>46223</v>
      </c>
      <c r="H319" t="s">
        <v>23</v>
      </c>
      <c r="I319" t="s">
        <v>24</v>
      </c>
      <c r="J319">
        <v>11788</v>
      </c>
      <c r="K319" s="28">
        <v>46195</v>
      </c>
      <c r="L319">
        <v>1010100</v>
      </c>
      <c r="M319" t="s">
        <v>29</v>
      </c>
      <c r="N319">
        <v>161</v>
      </c>
      <c r="O319" t="s">
        <v>145</v>
      </c>
      <c r="P319" t="s">
        <v>370</v>
      </c>
      <c r="Q319">
        <f t="shared" si="6"/>
        <v>-26</v>
      </c>
      <c r="R319">
        <f>_xlfn.XLOOKUP(E319,'Data Additive'!E:E,'Data Additive'!E:E,0)</f>
        <v>1246280485</v>
      </c>
    </row>
    <row r="320" spans="1:18" x14ac:dyDescent="0.25">
      <c r="A320">
        <v>15908</v>
      </c>
      <c r="B320" t="s">
        <v>748</v>
      </c>
      <c r="C320" t="s">
        <v>749</v>
      </c>
      <c r="D320" s="32">
        <v>46034.400000000001</v>
      </c>
      <c r="E320">
        <v>1246273647</v>
      </c>
      <c r="F320" s="28">
        <v>46237</v>
      </c>
      <c r="H320" t="s">
        <v>156</v>
      </c>
      <c r="I320" t="s">
        <v>157</v>
      </c>
      <c r="J320">
        <v>11302</v>
      </c>
      <c r="K320" s="28">
        <v>46147</v>
      </c>
      <c r="L320">
        <v>1010100</v>
      </c>
      <c r="M320" t="s">
        <v>29</v>
      </c>
      <c r="N320">
        <v>161</v>
      </c>
      <c r="O320" t="s">
        <v>145</v>
      </c>
      <c r="P320" t="s">
        <v>784</v>
      </c>
      <c r="Q320">
        <f t="shared" si="6"/>
        <v>-40</v>
      </c>
      <c r="R320">
        <f>_xlfn.XLOOKUP(E320,'Data Additive'!E:E,'Data Additive'!E:E,0)</f>
        <v>0</v>
      </c>
    </row>
    <row r="321" spans="1:18" x14ac:dyDescent="0.25">
      <c r="A321">
        <v>15905</v>
      </c>
      <c r="B321" t="s">
        <v>750</v>
      </c>
      <c r="C321" t="s">
        <v>751</v>
      </c>
      <c r="D321" s="32">
        <v>62496.02</v>
      </c>
      <c r="E321">
        <v>1246273651</v>
      </c>
      <c r="F321" s="28">
        <v>46237</v>
      </c>
      <c r="H321" t="s">
        <v>156</v>
      </c>
      <c r="I321" t="s">
        <v>157</v>
      </c>
      <c r="J321">
        <v>11304</v>
      </c>
      <c r="K321" s="28">
        <v>46147</v>
      </c>
      <c r="L321">
        <v>1010100</v>
      </c>
      <c r="M321" t="s">
        <v>29</v>
      </c>
      <c r="N321">
        <v>161</v>
      </c>
      <c r="O321" t="s">
        <v>145</v>
      </c>
      <c r="P321" t="s">
        <v>784</v>
      </c>
      <c r="Q321">
        <f t="shared" si="6"/>
        <v>-40</v>
      </c>
      <c r="R321">
        <f>_xlfn.XLOOKUP(E321,'Data Additive'!E:E,'Data Additive'!E:E,0)</f>
        <v>0</v>
      </c>
    </row>
    <row r="322" spans="1:18" x14ac:dyDescent="0.25">
      <c r="A322">
        <v>15905</v>
      </c>
      <c r="B322" t="s">
        <v>750</v>
      </c>
      <c r="C322" t="s">
        <v>751</v>
      </c>
      <c r="D322" s="32">
        <v>72587.789999999994</v>
      </c>
      <c r="E322">
        <v>1246271194</v>
      </c>
      <c r="F322" s="28">
        <v>46215</v>
      </c>
      <c r="H322" t="s">
        <v>156</v>
      </c>
      <c r="I322" t="s">
        <v>157</v>
      </c>
      <c r="J322">
        <v>11111</v>
      </c>
      <c r="K322" s="28">
        <v>46125</v>
      </c>
      <c r="L322">
        <v>1010100</v>
      </c>
      <c r="M322" t="s">
        <v>29</v>
      </c>
      <c r="N322">
        <v>161</v>
      </c>
      <c r="O322" t="s">
        <v>145</v>
      </c>
      <c r="P322" t="s">
        <v>784</v>
      </c>
      <c r="Q322">
        <f t="shared" si="6"/>
        <v>-18</v>
      </c>
      <c r="R322">
        <f>_xlfn.XLOOKUP(E322,'Data Additive'!E:E,'Data Additive'!E:E,0)</f>
        <v>0</v>
      </c>
    </row>
    <row r="323" spans="1:18" x14ac:dyDescent="0.25">
      <c r="A323">
        <v>16387</v>
      </c>
      <c r="B323" t="s">
        <v>634</v>
      </c>
      <c r="C323" t="s">
        <v>635</v>
      </c>
      <c r="D323" s="32">
        <v>5030.5</v>
      </c>
      <c r="E323">
        <v>1246250305</v>
      </c>
      <c r="F323" s="28">
        <v>46254</v>
      </c>
      <c r="H323" t="s">
        <v>156</v>
      </c>
      <c r="I323" t="s">
        <v>157</v>
      </c>
      <c r="J323">
        <v>10088</v>
      </c>
      <c r="K323" s="28">
        <v>45982</v>
      </c>
      <c r="L323">
        <v>1010100</v>
      </c>
      <c r="M323" t="s">
        <v>29</v>
      </c>
      <c r="N323">
        <v>161</v>
      </c>
      <c r="O323" t="s">
        <v>145</v>
      </c>
      <c r="P323" t="s">
        <v>365</v>
      </c>
      <c r="Q323">
        <f t="shared" si="6"/>
        <v>-57</v>
      </c>
      <c r="R323">
        <f>_xlfn.XLOOKUP(E323,'Data Additive'!E:E,'Data Additive'!E:E,0)</f>
        <v>0</v>
      </c>
    </row>
    <row r="324" spans="1:18" x14ac:dyDescent="0.25">
      <c r="A324">
        <v>15906</v>
      </c>
      <c r="B324" t="s">
        <v>752</v>
      </c>
      <c r="C324" t="s">
        <v>753</v>
      </c>
      <c r="D324" s="32">
        <v>60112.54</v>
      </c>
      <c r="E324">
        <v>1246273649</v>
      </c>
      <c r="F324" s="28">
        <v>46237</v>
      </c>
      <c r="H324" t="s">
        <v>156</v>
      </c>
      <c r="I324" t="s">
        <v>157</v>
      </c>
      <c r="J324">
        <v>11303</v>
      </c>
      <c r="K324" s="28">
        <v>46147</v>
      </c>
      <c r="L324">
        <v>1010100</v>
      </c>
      <c r="M324" t="s">
        <v>29</v>
      </c>
      <c r="N324">
        <v>161</v>
      </c>
      <c r="O324" t="s">
        <v>145</v>
      </c>
      <c r="P324" t="s">
        <v>784</v>
      </c>
      <c r="Q324">
        <f t="shared" si="6"/>
        <v>-40</v>
      </c>
      <c r="R324">
        <f>_xlfn.XLOOKUP(E324,'Data Additive'!E:E,'Data Additive'!E:E,0)</f>
        <v>0</v>
      </c>
    </row>
    <row r="325" spans="1:18" x14ac:dyDescent="0.25">
      <c r="A325">
        <v>16099</v>
      </c>
      <c r="B325" t="s">
        <v>1118</v>
      </c>
      <c r="C325" t="s">
        <v>15618</v>
      </c>
      <c r="D325" s="32">
        <v>88185.43</v>
      </c>
      <c r="E325">
        <v>1246280413</v>
      </c>
      <c r="F325" s="28">
        <v>46285</v>
      </c>
      <c r="H325" t="s">
        <v>23</v>
      </c>
      <c r="I325" t="s">
        <v>24</v>
      </c>
      <c r="J325">
        <v>11775</v>
      </c>
      <c r="K325" s="28">
        <v>46195</v>
      </c>
      <c r="L325">
        <v>1010100</v>
      </c>
      <c r="M325" t="s">
        <v>29</v>
      </c>
      <c r="N325">
        <v>161</v>
      </c>
      <c r="O325" t="s">
        <v>145</v>
      </c>
      <c r="P325" t="s">
        <v>431</v>
      </c>
      <c r="Q325">
        <f t="shared" si="6"/>
        <v>-88</v>
      </c>
      <c r="R325">
        <f>_xlfn.XLOOKUP(E325,'Data Additive'!E:E,'Data Additive'!E:E,0)</f>
        <v>1246280413</v>
      </c>
    </row>
    <row r="326" spans="1:18" x14ac:dyDescent="0.25">
      <c r="A326">
        <v>15904</v>
      </c>
      <c r="B326" t="s">
        <v>754</v>
      </c>
      <c r="C326" t="s">
        <v>755</v>
      </c>
      <c r="D326" s="32">
        <v>49794.11</v>
      </c>
      <c r="E326">
        <v>1246273644</v>
      </c>
      <c r="F326" s="28">
        <v>46237</v>
      </c>
      <c r="H326" t="s">
        <v>156</v>
      </c>
      <c r="I326" t="s">
        <v>157</v>
      </c>
      <c r="J326">
        <v>11301</v>
      </c>
      <c r="K326" s="28">
        <v>46147</v>
      </c>
      <c r="L326">
        <v>1010100</v>
      </c>
      <c r="M326" t="s">
        <v>29</v>
      </c>
      <c r="N326">
        <v>161</v>
      </c>
      <c r="O326" t="s">
        <v>145</v>
      </c>
      <c r="P326" t="s">
        <v>784</v>
      </c>
      <c r="Q326">
        <f t="shared" si="6"/>
        <v>-40</v>
      </c>
      <c r="R326">
        <f>_xlfn.XLOOKUP(E326,'Data Additive'!E:E,'Data Additive'!E:E,0)</f>
        <v>0</v>
      </c>
    </row>
    <row r="327" spans="1:18" x14ac:dyDescent="0.25">
      <c r="A327">
        <v>7022</v>
      </c>
      <c r="B327" t="s">
        <v>15419</v>
      </c>
      <c r="C327" t="s">
        <v>90</v>
      </c>
      <c r="D327" s="32">
        <v>1800</v>
      </c>
      <c r="E327">
        <v>1246054442</v>
      </c>
      <c r="F327" s="28">
        <v>44897</v>
      </c>
      <c r="H327" t="s">
        <v>23</v>
      </c>
      <c r="I327" t="s">
        <v>24</v>
      </c>
      <c r="J327">
        <v>1246054442</v>
      </c>
      <c r="K327" s="28">
        <v>44882</v>
      </c>
      <c r="L327">
        <v>3041000</v>
      </c>
      <c r="M327" t="s">
        <v>124</v>
      </c>
      <c r="N327">
        <v>46</v>
      </c>
      <c r="O327" t="s">
        <v>147</v>
      </c>
      <c r="P327" t="s">
        <v>15419</v>
      </c>
      <c r="Q327">
        <f t="shared" si="6"/>
        <v>1300</v>
      </c>
      <c r="R327">
        <f>_xlfn.XLOOKUP(E327,'Data Additive'!E:E,'Data Additive'!E:E,0)</f>
        <v>0</v>
      </c>
    </row>
    <row r="328" spans="1:18" x14ac:dyDescent="0.25">
      <c r="A328">
        <v>16189</v>
      </c>
      <c r="B328" t="s">
        <v>709</v>
      </c>
      <c r="C328" t="s">
        <v>710</v>
      </c>
      <c r="D328" s="32">
        <v>49440</v>
      </c>
      <c r="E328">
        <v>1246261824</v>
      </c>
      <c r="F328" s="28">
        <v>46087</v>
      </c>
      <c r="I328" t="s">
        <v>326</v>
      </c>
      <c r="J328">
        <v>1246261824</v>
      </c>
      <c r="K328" s="28">
        <v>46055</v>
      </c>
      <c r="L328">
        <v>7240000</v>
      </c>
      <c r="M328" t="s">
        <v>711</v>
      </c>
      <c r="N328">
        <v>46</v>
      </c>
      <c r="O328" t="s">
        <v>147</v>
      </c>
      <c r="P328" t="s">
        <v>709</v>
      </c>
      <c r="Q328">
        <f t="shared" si="6"/>
        <v>110</v>
      </c>
      <c r="R328">
        <f>_xlfn.XLOOKUP(E328,'Data Additive'!E:E,'Data Additive'!E:E,0)</f>
        <v>1246261824</v>
      </c>
    </row>
    <row r="329" spans="1:18" x14ac:dyDescent="0.25">
      <c r="A329">
        <v>7</v>
      </c>
      <c r="B329" t="s">
        <v>562</v>
      </c>
      <c r="C329" t="s">
        <v>15610</v>
      </c>
      <c r="D329" s="32">
        <v>861.6</v>
      </c>
      <c r="E329">
        <v>1246278022</v>
      </c>
      <c r="F329" s="28">
        <v>46211</v>
      </c>
      <c r="H329" t="s">
        <v>156</v>
      </c>
      <c r="I329" t="s">
        <v>157</v>
      </c>
      <c r="J329">
        <v>2996</v>
      </c>
      <c r="K329" s="28">
        <v>46176</v>
      </c>
      <c r="L329">
        <v>1010100</v>
      </c>
      <c r="M329" t="s">
        <v>29</v>
      </c>
      <c r="N329">
        <v>39</v>
      </c>
      <c r="O329" t="s">
        <v>15325</v>
      </c>
      <c r="P329" t="s">
        <v>562</v>
      </c>
      <c r="Q329">
        <f t="shared" si="6"/>
        <v>-14</v>
      </c>
      <c r="R329">
        <f>_xlfn.XLOOKUP(E329,'Data Additive'!E:E,'Data Additive'!E:E,0)</f>
        <v>0</v>
      </c>
    </row>
    <row r="330" spans="1:18" x14ac:dyDescent="0.25">
      <c r="A330">
        <v>3297</v>
      </c>
      <c r="B330" t="s">
        <v>550</v>
      </c>
      <c r="C330" t="s">
        <v>26</v>
      </c>
      <c r="D330" s="32">
        <v>49956.68</v>
      </c>
      <c r="E330">
        <v>1246271355</v>
      </c>
      <c r="F330" s="28">
        <v>46200</v>
      </c>
      <c r="H330" t="s">
        <v>23</v>
      </c>
      <c r="I330" t="s">
        <v>24</v>
      </c>
      <c r="J330">
        <v>11123</v>
      </c>
      <c r="K330" s="28">
        <v>46126</v>
      </c>
      <c r="L330">
        <v>1010200</v>
      </c>
      <c r="M330" t="s">
        <v>113</v>
      </c>
      <c r="N330">
        <v>40</v>
      </c>
      <c r="O330" t="s">
        <v>155</v>
      </c>
      <c r="P330" t="s">
        <v>550</v>
      </c>
      <c r="Q330">
        <f t="shared" si="6"/>
        <v>-3</v>
      </c>
      <c r="R330">
        <f>_xlfn.XLOOKUP(E330,'Data Additive'!E:E,'Data Additive'!E:E,0)</f>
        <v>0</v>
      </c>
    </row>
    <row r="331" spans="1:18" x14ac:dyDescent="0.25">
      <c r="A331">
        <v>2680</v>
      </c>
      <c r="B331" t="s">
        <v>313</v>
      </c>
      <c r="C331" t="s">
        <v>26</v>
      </c>
      <c r="D331" s="32">
        <v>175275.24</v>
      </c>
      <c r="E331">
        <v>1246272069</v>
      </c>
      <c r="F331" s="28">
        <v>46194</v>
      </c>
      <c r="H331" t="s">
        <v>23</v>
      </c>
      <c r="I331" t="s">
        <v>24</v>
      </c>
      <c r="J331">
        <v>11191</v>
      </c>
      <c r="K331" s="28">
        <v>46134</v>
      </c>
      <c r="L331">
        <v>1010200</v>
      </c>
      <c r="M331" t="s">
        <v>113</v>
      </c>
      <c r="N331">
        <v>40</v>
      </c>
      <c r="O331" t="s">
        <v>155</v>
      </c>
      <c r="P331" t="s">
        <v>313</v>
      </c>
      <c r="Q331">
        <f t="shared" si="6"/>
        <v>3</v>
      </c>
      <c r="R331">
        <f>_xlfn.XLOOKUP(E331,'Data Additive'!E:E,'Data Additive'!E:E,0)</f>
        <v>0</v>
      </c>
    </row>
    <row r="332" spans="1:18" x14ac:dyDescent="0.25">
      <c r="A332">
        <v>2696</v>
      </c>
      <c r="B332" t="s">
        <v>119</v>
      </c>
      <c r="C332" t="s">
        <v>26</v>
      </c>
      <c r="D332" s="32">
        <v>94148.95</v>
      </c>
      <c r="E332">
        <v>1246279520</v>
      </c>
      <c r="F332" s="28">
        <v>46278</v>
      </c>
      <c r="H332" t="s">
        <v>23</v>
      </c>
      <c r="I332" t="s">
        <v>24</v>
      </c>
      <c r="J332">
        <v>11712</v>
      </c>
      <c r="K332" s="28">
        <v>46188</v>
      </c>
      <c r="L332">
        <v>1010200</v>
      </c>
      <c r="M332" t="s">
        <v>113</v>
      </c>
      <c r="N332">
        <v>40</v>
      </c>
      <c r="O332" t="s">
        <v>155</v>
      </c>
      <c r="P332" t="s">
        <v>119</v>
      </c>
      <c r="Q332">
        <f t="shared" si="6"/>
        <v>-81</v>
      </c>
      <c r="R332">
        <f>_xlfn.XLOOKUP(E332,'Data Additive'!E:E,'Data Additive'!E:E,0)</f>
        <v>0</v>
      </c>
    </row>
    <row r="333" spans="1:18" x14ac:dyDescent="0.25">
      <c r="A333">
        <v>2696</v>
      </c>
      <c r="B333" t="s">
        <v>119</v>
      </c>
      <c r="C333" t="s">
        <v>26</v>
      </c>
      <c r="D333" s="32">
        <v>91784.41</v>
      </c>
      <c r="E333">
        <v>1246274791</v>
      </c>
      <c r="F333" s="28">
        <v>46245</v>
      </c>
      <c r="H333" t="s">
        <v>23</v>
      </c>
      <c r="I333" t="s">
        <v>24</v>
      </c>
      <c r="J333">
        <v>11378</v>
      </c>
      <c r="K333" s="28">
        <v>46155</v>
      </c>
      <c r="L333">
        <v>1010200</v>
      </c>
      <c r="M333" t="s">
        <v>113</v>
      </c>
      <c r="N333">
        <v>40</v>
      </c>
      <c r="O333" t="s">
        <v>155</v>
      </c>
      <c r="P333" t="s">
        <v>119</v>
      </c>
      <c r="Q333">
        <f t="shared" si="6"/>
        <v>-48</v>
      </c>
      <c r="R333">
        <f>_xlfn.XLOOKUP(E333,'Data Additive'!E:E,'Data Additive'!E:E,0)</f>
        <v>0</v>
      </c>
    </row>
    <row r="334" spans="1:18" x14ac:dyDescent="0.25">
      <c r="A334">
        <v>2696</v>
      </c>
      <c r="B334" t="s">
        <v>119</v>
      </c>
      <c r="C334" t="s">
        <v>26</v>
      </c>
      <c r="D334" s="32">
        <v>118833.22</v>
      </c>
      <c r="E334">
        <v>1246278569</v>
      </c>
      <c r="F334" s="28">
        <v>46271</v>
      </c>
      <c r="H334" t="s">
        <v>23</v>
      </c>
      <c r="I334" t="s">
        <v>24</v>
      </c>
      <c r="J334">
        <v>11641</v>
      </c>
      <c r="K334" s="28">
        <v>46181</v>
      </c>
      <c r="L334">
        <v>1010200</v>
      </c>
      <c r="M334" t="s">
        <v>113</v>
      </c>
      <c r="N334">
        <v>40</v>
      </c>
      <c r="O334" t="s">
        <v>155</v>
      </c>
      <c r="P334" t="s">
        <v>119</v>
      </c>
      <c r="Q334">
        <f t="shared" si="6"/>
        <v>-74</v>
      </c>
      <c r="R334">
        <f>_xlfn.XLOOKUP(E334,'Data Additive'!E:E,'Data Additive'!E:E,0)</f>
        <v>0</v>
      </c>
    </row>
    <row r="335" spans="1:18" x14ac:dyDescent="0.25">
      <c r="A335">
        <v>2696</v>
      </c>
      <c r="B335" t="s">
        <v>119</v>
      </c>
      <c r="C335" t="s">
        <v>26</v>
      </c>
      <c r="D335" s="32">
        <v>116719.31</v>
      </c>
      <c r="E335">
        <v>1246277374</v>
      </c>
      <c r="F335" s="28">
        <v>46261</v>
      </c>
      <c r="H335" t="s">
        <v>23</v>
      </c>
      <c r="I335" t="s">
        <v>24</v>
      </c>
      <c r="J335">
        <v>11551</v>
      </c>
      <c r="K335" s="28">
        <v>46171</v>
      </c>
      <c r="L335">
        <v>1010200</v>
      </c>
      <c r="M335" t="s">
        <v>113</v>
      </c>
      <c r="N335">
        <v>40</v>
      </c>
      <c r="O335" t="s">
        <v>155</v>
      </c>
      <c r="P335" t="s">
        <v>119</v>
      </c>
      <c r="Q335">
        <f t="shared" si="6"/>
        <v>-64</v>
      </c>
      <c r="R335">
        <f>_xlfn.XLOOKUP(E335,'Data Additive'!E:E,'Data Additive'!E:E,0)</f>
        <v>0</v>
      </c>
    </row>
    <row r="336" spans="1:18" x14ac:dyDescent="0.25">
      <c r="A336">
        <v>2696</v>
      </c>
      <c r="B336" t="s">
        <v>119</v>
      </c>
      <c r="C336" t="s">
        <v>26</v>
      </c>
      <c r="D336" s="32">
        <v>116211.91</v>
      </c>
      <c r="E336">
        <v>1246278291</v>
      </c>
      <c r="F336" s="28">
        <v>46268</v>
      </c>
      <c r="H336" t="s">
        <v>23</v>
      </c>
      <c r="I336" t="s">
        <v>24</v>
      </c>
      <c r="J336">
        <v>11599</v>
      </c>
      <c r="K336" s="28">
        <v>46178</v>
      </c>
      <c r="L336">
        <v>1010200</v>
      </c>
      <c r="M336" t="s">
        <v>113</v>
      </c>
      <c r="N336">
        <v>40</v>
      </c>
      <c r="O336" t="s">
        <v>155</v>
      </c>
      <c r="P336" t="s">
        <v>119</v>
      </c>
      <c r="Q336">
        <f t="shared" si="6"/>
        <v>-71</v>
      </c>
      <c r="R336">
        <f>_xlfn.XLOOKUP(E336,'Data Additive'!E:E,'Data Additive'!E:E,0)</f>
        <v>0</v>
      </c>
    </row>
    <row r="337" spans="1:18" x14ac:dyDescent="0.25">
      <c r="A337">
        <v>2645</v>
      </c>
      <c r="B337" t="s">
        <v>342</v>
      </c>
      <c r="C337" t="s">
        <v>26</v>
      </c>
      <c r="D337" s="32">
        <v>143222.74</v>
      </c>
      <c r="E337">
        <v>1246277225</v>
      </c>
      <c r="F337" s="28">
        <v>46200</v>
      </c>
      <c r="H337" t="s">
        <v>23</v>
      </c>
      <c r="I337" t="s">
        <v>24</v>
      </c>
      <c r="J337">
        <v>11529</v>
      </c>
      <c r="K337" s="28">
        <v>46170</v>
      </c>
      <c r="L337">
        <v>1010200</v>
      </c>
      <c r="M337" t="s">
        <v>113</v>
      </c>
      <c r="N337">
        <v>40</v>
      </c>
      <c r="O337" t="s">
        <v>155</v>
      </c>
      <c r="P337" t="s">
        <v>342</v>
      </c>
      <c r="Q337">
        <f t="shared" si="6"/>
        <v>-3</v>
      </c>
      <c r="R337">
        <f>_xlfn.XLOOKUP(E337,'Data Additive'!E:E,'Data Additive'!E:E,0)</f>
        <v>0</v>
      </c>
    </row>
    <row r="338" spans="1:18" x14ac:dyDescent="0.25">
      <c r="A338">
        <v>2651</v>
      </c>
      <c r="B338" t="s">
        <v>116</v>
      </c>
      <c r="C338" t="s">
        <v>26</v>
      </c>
      <c r="D338" s="32">
        <v>132309.32999999999</v>
      </c>
      <c r="E338">
        <v>1246278533</v>
      </c>
      <c r="F338" s="28">
        <v>46241</v>
      </c>
      <c r="H338" t="s">
        <v>23</v>
      </c>
      <c r="I338" t="s">
        <v>24</v>
      </c>
      <c r="J338">
        <v>3002</v>
      </c>
      <c r="K338" s="28">
        <v>46181</v>
      </c>
      <c r="L338">
        <v>1010200</v>
      </c>
      <c r="M338" t="s">
        <v>113</v>
      </c>
      <c r="N338">
        <v>40</v>
      </c>
      <c r="O338" t="s">
        <v>155</v>
      </c>
      <c r="P338" t="s">
        <v>116</v>
      </c>
      <c r="Q338">
        <f t="shared" si="6"/>
        <v>-44</v>
      </c>
      <c r="R338">
        <f>_xlfn.XLOOKUP(E338,'Data Additive'!E:E,'Data Additive'!E:E,0)</f>
        <v>0</v>
      </c>
    </row>
    <row r="339" spans="1:18" x14ac:dyDescent="0.25">
      <c r="A339">
        <v>2652</v>
      </c>
      <c r="B339" t="s">
        <v>117</v>
      </c>
      <c r="C339" t="s">
        <v>26</v>
      </c>
      <c r="D339" s="32">
        <v>166161.39000000001</v>
      </c>
      <c r="E339">
        <v>1246279339</v>
      </c>
      <c r="F339" s="28">
        <v>46215</v>
      </c>
      <c r="H339" t="s">
        <v>23</v>
      </c>
      <c r="I339" t="s">
        <v>24</v>
      </c>
      <c r="J339">
        <v>11691</v>
      </c>
      <c r="K339" s="28">
        <v>46185</v>
      </c>
      <c r="L339">
        <v>1010200</v>
      </c>
      <c r="M339" t="s">
        <v>113</v>
      </c>
      <c r="N339">
        <v>40</v>
      </c>
      <c r="O339" t="s">
        <v>155</v>
      </c>
      <c r="P339" t="s">
        <v>117</v>
      </c>
      <c r="Q339">
        <f t="shared" si="6"/>
        <v>-18</v>
      </c>
      <c r="R339">
        <f>_xlfn.XLOOKUP(E339,'Data Additive'!E:E,'Data Additive'!E:E,0)</f>
        <v>0</v>
      </c>
    </row>
    <row r="340" spans="1:18" x14ac:dyDescent="0.25">
      <c r="A340">
        <v>2287</v>
      </c>
      <c r="B340" t="s">
        <v>114</v>
      </c>
      <c r="C340" t="s">
        <v>115</v>
      </c>
      <c r="D340" s="32">
        <v>152321.98999999996</v>
      </c>
      <c r="E340">
        <v>1246279865</v>
      </c>
      <c r="F340" s="28">
        <v>46220</v>
      </c>
      <c r="H340" t="s">
        <v>23</v>
      </c>
      <c r="I340" t="s">
        <v>24</v>
      </c>
      <c r="J340">
        <v>11738</v>
      </c>
      <c r="K340" s="28">
        <v>46190</v>
      </c>
      <c r="L340">
        <v>1010200</v>
      </c>
      <c r="M340" t="s">
        <v>113</v>
      </c>
      <c r="N340">
        <v>40</v>
      </c>
      <c r="O340" t="s">
        <v>155</v>
      </c>
      <c r="P340" t="s">
        <v>114</v>
      </c>
      <c r="Q340">
        <f t="shared" si="6"/>
        <v>-23</v>
      </c>
      <c r="R340">
        <f>_xlfn.XLOOKUP(E340,'Data Additive'!E:E,'Data Additive'!E:E,0)</f>
        <v>0</v>
      </c>
    </row>
    <row r="341" spans="1:18" x14ac:dyDescent="0.25">
      <c r="A341">
        <v>2287</v>
      </c>
      <c r="B341" t="s">
        <v>114</v>
      </c>
      <c r="C341" t="s">
        <v>115</v>
      </c>
      <c r="D341" s="32">
        <v>155118.66</v>
      </c>
      <c r="E341">
        <v>1246278696</v>
      </c>
      <c r="F341" s="28">
        <v>46212</v>
      </c>
      <c r="H341" t="s">
        <v>23</v>
      </c>
      <c r="I341" t="s">
        <v>24</v>
      </c>
      <c r="J341">
        <v>11655</v>
      </c>
      <c r="K341" s="28">
        <v>46182</v>
      </c>
      <c r="L341">
        <v>1010200</v>
      </c>
      <c r="M341" t="s">
        <v>113</v>
      </c>
      <c r="N341">
        <v>40</v>
      </c>
      <c r="O341" t="s">
        <v>155</v>
      </c>
      <c r="P341" t="s">
        <v>114</v>
      </c>
      <c r="Q341">
        <f t="shared" si="6"/>
        <v>-15</v>
      </c>
      <c r="R341">
        <f>_xlfn.XLOOKUP(E341,'Data Additive'!E:E,'Data Additive'!E:E,0)</f>
        <v>0</v>
      </c>
    </row>
    <row r="342" spans="1:18" x14ac:dyDescent="0.25">
      <c r="A342">
        <v>2656</v>
      </c>
      <c r="B342" t="s">
        <v>118</v>
      </c>
      <c r="C342" t="s">
        <v>26</v>
      </c>
      <c r="D342" s="32">
        <v>161121.25</v>
      </c>
      <c r="E342">
        <v>1246279391</v>
      </c>
      <c r="F342" s="28">
        <v>46215</v>
      </c>
      <c r="H342" t="s">
        <v>23</v>
      </c>
      <c r="I342" t="s">
        <v>24</v>
      </c>
      <c r="J342">
        <v>11700</v>
      </c>
      <c r="K342" s="28">
        <v>46185</v>
      </c>
      <c r="L342">
        <v>1010200</v>
      </c>
      <c r="M342" t="s">
        <v>113</v>
      </c>
      <c r="N342">
        <v>40</v>
      </c>
      <c r="O342" t="s">
        <v>155</v>
      </c>
      <c r="P342" t="s">
        <v>118</v>
      </c>
      <c r="Q342">
        <f t="shared" si="6"/>
        <v>-18</v>
      </c>
      <c r="R342">
        <f>_xlfn.XLOOKUP(E342,'Data Additive'!E:E,'Data Additive'!E:E,0)</f>
        <v>0</v>
      </c>
    </row>
    <row r="343" spans="1:18" x14ac:dyDescent="0.25">
      <c r="A343">
        <v>2656</v>
      </c>
      <c r="B343" t="s">
        <v>118</v>
      </c>
      <c r="C343" t="s">
        <v>26</v>
      </c>
      <c r="D343" s="32">
        <v>443929.79000000004</v>
      </c>
      <c r="E343">
        <v>1246277257</v>
      </c>
      <c r="F343" s="28">
        <v>46200</v>
      </c>
      <c r="H343" t="s">
        <v>23</v>
      </c>
      <c r="I343" t="s">
        <v>24</v>
      </c>
      <c r="J343">
        <v>2977</v>
      </c>
      <c r="K343" s="28">
        <v>46170</v>
      </c>
      <c r="L343">
        <v>1010200</v>
      </c>
      <c r="M343" t="s">
        <v>113</v>
      </c>
      <c r="N343">
        <v>40</v>
      </c>
      <c r="O343" t="s">
        <v>155</v>
      </c>
      <c r="P343" t="s">
        <v>118</v>
      </c>
      <c r="Q343">
        <f t="shared" si="6"/>
        <v>-3</v>
      </c>
      <c r="R343">
        <f>_xlfn.XLOOKUP(E343,'Data Additive'!E:E,'Data Additive'!E:E,0)</f>
        <v>0</v>
      </c>
    </row>
    <row r="344" spans="1:18" x14ac:dyDescent="0.25">
      <c r="A344">
        <v>5882</v>
      </c>
      <c r="B344" t="s">
        <v>162</v>
      </c>
      <c r="C344" t="s">
        <v>26</v>
      </c>
      <c r="D344" s="32">
        <v>131282.87</v>
      </c>
      <c r="E344">
        <v>1246273745</v>
      </c>
      <c r="F344" s="28">
        <v>46238</v>
      </c>
      <c r="H344" t="s">
        <v>23</v>
      </c>
      <c r="I344" t="s">
        <v>24</v>
      </c>
      <c r="J344">
        <v>11311</v>
      </c>
      <c r="K344" s="28">
        <v>46148</v>
      </c>
      <c r="L344">
        <v>1010200</v>
      </c>
      <c r="M344" t="s">
        <v>113</v>
      </c>
      <c r="N344">
        <v>40</v>
      </c>
      <c r="O344" t="s">
        <v>155</v>
      </c>
      <c r="P344" t="s">
        <v>162</v>
      </c>
      <c r="Q344">
        <f t="shared" si="6"/>
        <v>-41</v>
      </c>
      <c r="R344">
        <f>_xlfn.XLOOKUP(E344,'Data Additive'!E:E,'Data Additive'!E:E,0)</f>
        <v>0</v>
      </c>
    </row>
    <row r="345" spans="1:18" x14ac:dyDescent="0.25">
      <c r="A345">
        <v>5882</v>
      </c>
      <c r="B345" t="s">
        <v>162</v>
      </c>
      <c r="C345" t="s">
        <v>26</v>
      </c>
      <c r="D345" s="32">
        <v>133551.97</v>
      </c>
      <c r="E345">
        <v>1246275785</v>
      </c>
      <c r="F345" s="28">
        <v>46191</v>
      </c>
      <c r="H345" t="s">
        <v>23</v>
      </c>
      <c r="I345" t="s">
        <v>24</v>
      </c>
      <c r="J345">
        <v>11439</v>
      </c>
      <c r="K345" s="28">
        <v>46161</v>
      </c>
      <c r="L345">
        <v>1010200</v>
      </c>
      <c r="M345" t="s">
        <v>113</v>
      </c>
      <c r="N345">
        <v>40</v>
      </c>
      <c r="O345" t="s">
        <v>155</v>
      </c>
      <c r="P345" t="s">
        <v>162</v>
      </c>
      <c r="Q345">
        <f t="shared" si="6"/>
        <v>6</v>
      </c>
      <c r="R345">
        <f>_xlfn.XLOOKUP(E345,'Data Additive'!E:E,'Data Additive'!E:E,0)</f>
        <v>0</v>
      </c>
    </row>
    <row r="346" spans="1:18" x14ac:dyDescent="0.25">
      <c r="A346">
        <v>6370</v>
      </c>
      <c r="B346" t="s">
        <v>264</v>
      </c>
      <c r="C346" t="s">
        <v>27</v>
      </c>
      <c r="D346" s="32">
        <v>191959.21</v>
      </c>
      <c r="E346">
        <v>1246276420</v>
      </c>
      <c r="F346" s="28">
        <v>46194</v>
      </c>
      <c r="H346" t="s">
        <v>23</v>
      </c>
      <c r="I346" t="s">
        <v>24</v>
      </c>
      <c r="J346">
        <v>11482</v>
      </c>
      <c r="K346" s="28">
        <v>46164</v>
      </c>
      <c r="L346">
        <v>1010200</v>
      </c>
      <c r="M346" t="s">
        <v>113</v>
      </c>
      <c r="N346">
        <v>40</v>
      </c>
      <c r="O346" t="s">
        <v>155</v>
      </c>
      <c r="P346" t="s">
        <v>264</v>
      </c>
      <c r="Q346">
        <f t="shared" si="6"/>
        <v>3</v>
      </c>
      <c r="R346">
        <f>_xlfn.XLOOKUP(E346,'Data Additive'!E:E,'Data Additive'!E:E,0)</f>
        <v>0</v>
      </c>
    </row>
    <row r="347" spans="1:18" x14ac:dyDescent="0.25">
      <c r="A347">
        <v>6370</v>
      </c>
      <c r="B347" t="s">
        <v>264</v>
      </c>
      <c r="C347" t="s">
        <v>27</v>
      </c>
      <c r="D347" s="32">
        <v>153585.79</v>
      </c>
      <c r="E347">
        <v>1246279180</v>
      </c>
      <c r="F347" s="28">
        <v>46214</v>
      </c>
      <c r="H347" t="s">
        <v>23</v>
      </c>
      <c r="I347" t="s">
        <v>24</v>
      </c>
      <c r="J347">
        <v>11677</v>
      </c>
      <c r="K347" s="28">
        <v>46184</v>
      </c>
      <c r="L347">
        <v>1010200</v>
      </c>
      <c r="M347" t="s">
        <v>113</v>
      </c>
      <c r="N347">
        <v>40</v>
      </c>
      <c r="O347" t="s">
        <v>155</v>
      </c>
      <c r="P347" t="s">
        <v>264</v>
      </c>
      <c r="Q347">
        <f t="shared" si="6"/>
        <v>-17</v>
      </c>
      <c r="R347">
        <f>_xlfn.XLOOKUP(E347,'Data Additive'!E:E,'Data Additive'!E:E,0)</f>
        <v>0</v>
      </c>
    </row>
    <row r="348" spans="1:18" x14ac:dyDescent="0.25">
      <c r="A348">
        <v>6370</v>
      </c>
      <c r="B348" t="s">
        <v>264</v>
      </c>
      <c r="C348" t="s">
        <v>27</v>
      </c>
      <c r="D348" s="32">
        <v>148168.94</v>
      </c>
      <c r="E348">
        <v>1246277816</v>
      </c>
      <c r="F348" s="28">
        <v>46205</v>
      </c>
      <c r="H348" t="s">
        <v>23</v>
      </c>
      <c r="I348" t="s">
        <v>24</v>
      </c>
      <c r="J348">
        <v>11578</v>
      </c>
      <c r="K348" s="28">
        <v>46175</v>
      </c>
      <c r="L348">
        <v>1010200</v>
      </c>
      <c r="M348" t="s">
        <v>113</v>
      </c>
      <c r="N348">
        <v>40</v>
      </c>
      <c r="O348" t="s">
        <v>155</v>
      </c>
      <c r="P348" t="s">
        <v>264</v>
      </c>
      <c r="Q348">
        <f t="shared" si="6"/>
        <v>-8</v>
      </c>
      <c r="R348">
        <f>_xlfn.XLOOKUP(E348,'Data Additive'!E:E,'Data Additive'!E:E,0)</f>
        <v>0</v>
      </c>
    </row>
    <row r="349" spans="1:18" x14ac:dyDescent="0.25">
      <c r="A349">
        <v>6370</v>
      </c>
      <c r="B349" t="s">
        <v>264</v>
      </c>
      <c r="C349" t="s">
        <v>27</v>
      </c>
      <c r="D349" s="32">
        <v>151926.89000000001</v>
      </c>
      <c r="E349">
        <v>1246280227</v>
      </c>
      <c r="F349" s="28">
        <v>46222</v>
      </c>
      <c r="H349" t="s">
        <v>23</v>
      </c>
      <c r="I349" t="s">
        <v>24</v>
      </c>
      <c r="J349">
        <v>11758</v>
      </c>
      <c r="K349" s="28">
        <v>46192</v>
      </c>
      <c r="L349">
        <v>1010200</v>
      </c>
      <c r="M349" t="s">
        <v>113</v>
      </c>
      <c r="N349">
        <v>40</v>
      </c>
      <c r="O349" t="s">
        <v>155</v>
      </c>
      <c r="P349" t="s">
        <v>264</v>
      </c>
      <c r="Q349">
        <f t="shared" si="6"/>
        <v>-25</v>
      </c>
      <c r="R349">
        <f>_xlfn.XLOOKUP(E349,'Data Additive'!E:E,'Data Additive'!E:E,0)</f>
        <v>0</v>
      </c>
    </row>
    <row r="350" spans="1:18" x14ac:dyDescent="0.25">
      <c r="A350">
        <v>9295</v>
      </c>
      <c r="B350" t="s">
        <v>333</v>
      </c>
      <c r="C350" t="s">
        <v>115</v>
      </c>
      <c r="D350" s="32">
        <v>132702.97</v>
      </c>
      <c r="E350">
        <v>1246279968</v>
      </c>
      <c r="F350" s="28">
        <v>46220</v>
      </c>
      <c r="H350" t="s">
        <v>23</v>
      </c>
      <c r="I350" t="s">
        <v>24</v>
      </c>
      <c r="J350">
        <v>11743</v>
      </c>
      <c r="K350" s="28">
        <v>46190</v>
      </c>
      <c r="L350">
        <v>1010200</v>
      </c>
      <c r="M350" t="s">
        <v>113</v>
      </c>
      <c r="N350">
        <v>40</v>
      </c>
      <c r="O350" t="s">
        <v>155</v>
      </c>
      <c r="P350" t="s">
        <v>333</v>
      </c>
      <c r="Q350">
        <f t="shared" si="6"/>
        <v>-23</v>
      </c>
      <c r="R350">
        <f>_xlfn.XLOOKUP(E350,'Data Additive'!E:E,'Data Additive'!E:E,0)</f>
        <v>0</v>
      </c>
    </row>
    <row r="351" spans="1:18" x14ac:dyDescent="0.25">
      <c r="A351">
        <v>9295</v>
      </c>
      <c r="B351" t="s">
        <v>333</v>
      </c>
      <c r="C351" t="s">
        <v>115</v>
      </c>
      <c r="D351" s="32">
        <v>132339.60999999999</v>
      </c>
      <c r="E351">
        <v>1246280075</v>
      </c>
      <c r="F351" s="28">
        <v>46221</v>
      </c>
      <c r="H351" t="s">
        <v>23</v>
      </c>
      <c r="I351" t="s">
        <v>24</v>
      </c>
      <c r="J351">
        <v>11745</v>
      </c>
      <c r="K351" s="28">
        <v>46191</v>
      </c>
      <c r="L351">
        <v>1010200</v>
      </c>
      <c r="M351" t="s">
        <v>113</v>
      </c>
      <c r="N351">
        <v>40</v>
      </c>
      <c r="O351" t="s">
        <v>155</v>
      </c>
      <c r="P351" t="s">
        <v>333</v>
      </c>
      <c r="Q351">
        <f t="shared" si="6"/>
        <v>-24</v>
      </c>
      <c r="R351">
        <f>_xlfn.XLOOKUP(E351,'Data Additive'!E:E,'Data Additive'!E:E,0)</f>
        <v>0</v>
      </c>
    </row>
    <row r="352" spans="1:18" x14ac:dyDescent="0.25">
      <c r="A352">
        <v>9355</v>
      </c>
      <c r="B352" t="s">
        <v>302</v>
      </c>
      <c r="C352" t="s">
        <v>26</v>
      </c>
      <c r="D352" s="32">
        <v>1211001.23</v>
      </c>
      <c r="E352">
        <v>1246277386</v>
      </c>
      <c r="F352" s="28">
        <v>46261</v>
      </c>
      <c r="H352" t="s">
        <v>23</v>
      </c>
      <c r="I352" t="s">
        <v>24</v>
      </c>
      <c r="J352">
        <v>2980</v>
      </c>
      <c r="K352" s="28">
        <v>46171</v>
      </c>
      <c r="L352">
        <v>1010200</v>
      </c>
      <c r="M352" t="s">
        <v>113</v>
      </c>
      <c r="N352">
        <v>40</v>
      </c>
      <c r="O352" t="s">
        <v>155</v>
      </c>
      <c r="P352" t="s">
        <v>302</v>
      </c>
      <c r="Q352">
        <f t="shared" si="6"/>
        <v>-64</v>
      </c>
      <c r="R352">
        <f>_xlfn.XLOOKUP(E352,'Data Additive'!E:E,'Data Additive'!E:E,0)</f>
        <v>0</v>
      </c>
    </row>
    <row r="353" spans="1:18" x14ac:dyDescent="0.25">
      <c r="A353">
        <v>9355</v>
      </c>
      <c r="B353" t="s">
        <v>302</v>
      </c>
      <c r="C353" t="s">
        <v>26</v>
      </c>
      <c r="D353" s="32">
        <v>684201.35</v>
      </c>
      <c r="E353">
        <v>1246278408</v>
      </c>
      <c r="F353" s="28">
        <v>46268</v>
      </c>
      <c r="H353" t="s">
        <v>23</v>
      </c>
      <c r="I353" t="s">
        <v>24</v>
      </c>
      <c r="J353">
        <v>11620</v>
      </c>
      <c r="K353" s="28">
        <v>46178</v>
      </c>
      <c r="L353">
        <v>1010200</v>
      </c>
      <c r="M353" t="s">
        <v>113</v>
      </c>
      <c r="N353">
        <v>40</v>
      </c>
      <c r="O353" t="s">
        <v>155</v>
      </c>
      <c r="P353" t="s">
        <v>302</v>
      </c>
      <c r="Q353">
        <f t="shared" si="6"/>
        <v>-71</v>
      </c>
      <c r="R353">
        <f>_xlfn.XLOOKUP(E353,'Data Additive'!E:E,'Data Additive'!E:E,0)</f>
        <v>0</v>
      </c>
    </row>
    <row r="354" spans="1:18" x14ac:dyDescent="0.25">
      <c r="A354">
        <v>9355</v>
      </c>
      <c r="B354" t="s">
        <v>302</v>
      </c>
      <c r="C354" t="s">
        <v>26</v>
      </c>
      <c r="D354" s="32">
        <v>337183.81</v>
      </c>
      <c r="E354">
        <v>1246273399</v>
      </c>
      <c r="F354" s="28">
        <v>46236</v>
      </c>
      <c r="H354" t="s">
        <v>23</v>
      </c>
      <c r="I354" t="s">
        <v>24</v>
      </c>
      <c r="J354">
        <v>11285</v>
      </c>
      <c r="K354" s="28">
        <v>46146</v>
      </c>
      <c r="L354">
        <v>1010200</v>
      </c>
      <c r="M354" t="s">
        <v>113</v>
      </c>
      <c r="N354">
        <v>40</v>
      </c>
      <c r="O354" t="s">
        <v>155</v>
      </c>
      <c r="P354" t="s">
        <v>302</v>
      </c>
      <c r="Q354">
        <f t="shared" si="6"/>
        <v>-39</v>
      </c>
      <c r="R354">
        <f>_xlfn.XLOOKUP(E354,'Data Additive'!E:E,'Data Additive'!E:E,0)</f>
        <v>0</v>
      </c>
    </row>
    <row r="355" spans="1:18" x14ac:dyDescent="0.25">
      <c r="A355">
        <v>9355</v>
      </c>
      <c r="B355" t="s">
        <v>302</v>
      </c>
      <c r="C355" t="s">
        <v>26</v>
      </c>
      <c r="D355" s="32">
        <v>1211001.23</v>
      </c>
      <c r="E355">
        <v>1246277365</v>
      </c>
      <c r="F355" s="28">
        <v>46261</v>
      </c>
      <c r="H355" t="s">
        <v>23</v>
      </c>
      <c r="I355" t="s">
        <v>24</v>
      </c>
      <c r="J355">
        <v>2978</v>
      </c>
      <c r="K355" s="28">
        <v>46171</v>
      </c>
      <c r="L355">
        <v>1010200</v>
      </c>
      <c r="M355" t="s">
        <v>113</v>
      </c>
      <c r="N355">
        <v>40</v>
      </c>
      <c r="O355" t="s">
        <v>155</v>
      </c>
      <c r="P355" t="s">
        <v>302</v>
      </c>
      <c r="Q355">
        <f t="shared" si="6"/>
        <v>-64</v>
      </c>
      <c r="R355">
        <f>_xlfn.XLOOKUP(E355,'Data Additive'!E:E,'Data Additive'!E:E,0)</f>
        <v>0</v>
      </c>
    </row>
    <row r="356" spans="1:18" x14ac:dyDescent="0.25">
      <c r="A356">
        <v>9355</v>
      </c>
      <c r="B356" t="s">
        <v>302</v>
      </c>
      <c r="C356" t="s">
        <v>26</v>
      </c>
      <c r="D356" s="32">
        <v>331187.78000000003</v>
      </c>
      <c r="E356">
        <v>1246274319</v>
      </c>
      <c r="F356" s="28">
        <v>46243</v>
      </c>
      <c r="H356" t="s">
        <v>23</v>
      </c>
      <c r="I356" t="s">
        <v>24</v>
      </c>
      <c r="J356">
        <v>11346</v>
      </c>
      <c r="K356" s="28">
        <v>46153</v>
      </c>
      <c r="L356">
        <v>1010200</v>
      </c>
      <c r="M356" t="s">
        <v>113</v>
      </c>
      <c r="N356">
        <v>40</v>
      </c>
      <c r="O356" t="s">
        <v>155</v>
      </c>
      <c r="P356" t="s">
        <v>302</v>
      </c>
      <c r="Q356">
        <f t="shared" si="6"/>
        <v>-46</v>
      </c>
      <c r="R356">
        <f>_xlfn.XLOOKUP(E356,'Data Additive'!E:E,'Data Additive'!E:E,0)</f>
        <v>0</v>
      </c>
    </row>
    <row r="357" spans="1:18" x14ac:dyDescent="0.25">
      <c r="A357">
        <v>11768</v>
      </c>
      <c r="B357" t="s">
        <v>274</v>
      </c>
      <c r="C357" t="s">
        <v>26</v>
      </c>
      <c r="D357" s="32">
        <v>86689.1</v>
      </c>
      <c r="E357">
        <v>1246264534</v>
      </c>
      <c r="F357" s="28">
        <v>46158</v>
      </c>
      <c r="H357" t="s">
        <v>23</v>
      </c>
      <c r="I357" t="s">
        <v>24</v>
      </c>
      <c r="J357">
        <v>10744</v>
      </c>
      <c r="K357" s="28">
        <v>46076</v>
      </c>
      <c r="L357">
        <v>1010200</v>
      </c>
      <c r="M357" t="s">
        <v>113</v>
      </c>
      <c r="N357">
        <v>40</v>
      </c>
      <c r="O357" t="s">
        <v>155</v>
      </c>
      <c r="P357" t="s">
        <v>274</v>
      </c>
      <c r="Q357">
        <f t="shared" si="6"/>
        <v>39</v>
      </c>
      <c r="R357">
        <f>_xlfn.XLOOKUP(E357,'Data Additive'!E:E,'Data Additive'!E:E,0)</f>
        <v>0</v>
      </c>
    </row>
    <row r="358" spans="1:18" x14ac:dyDescent="0.25">
      <c r="A358">
        <v>11580</v>
      </c>
      <c r="B358" t="s">
        <v>424</v>
      </c>
      <c r="C358" t="s">
        <v>26</v>
      </c>
      <c r="D358" s="32">
        <v>76480.23</v>
      </c>
      <c r="E358">
        <v>1246268734</v>
      </c>
      <c r="F358" s="28">
        <v>46440</v>
      </c>
      <c r="H358" t="s">
        <v>23</v>
      </c>
      <c r="I358" t="s">
        <v>24</v>
      </c>
      <c r="J358">
        <v>2837</v>
      </c>
      <c r="K358" s="28">
        <v>46105</v>
      </c>
      <c r="L358">
        <v>1010200</v>
      </c>
      <c r="M358" t="s">
        <v>113</v>
      </c>
      <c r="N358">
        <v>40</v>
      </c>
      <c r="O358" t="s">
        <v>155</v>
      </c>
      <c r="P358" t="s">
        <v>424</v>
      </c>
      <c r="Q358">
        <f t="shared" si="6"/>
        <v>-243</v>
      </c>
      <c r="R358">
        <f>_xlfn.XLOOKUP(E358,'Data Additive'!E:E,'Data Additive'!E:E,0)</f>
        <v>0</v>
      </c>
    </row>
    <row r="359" spans="1:18" x14ac:dyDescent="0.25">
      <c r="A359">
        <v>12031</v>
      </c>
      <c r="B359" t="s">
        <v>296</v>
      </c>
      <c r="C359" t="s">
        <v>26</v>
      </c>
      <c r="D359" s="32">
        <v>164297.04999999999</v>
      </c>
      <c r="E359">
        <v>1246275610</v>
      </c>
      <c r="F359" s="28">
        <v>46220</v>
      </c>
      <c r="H359" t="s">
        <v>23</v>
      </c>
      <c r="I359" t="s">
        <v>24</v>
      </c>
      <c r="J359">
        <v>2948</v>
      </c>
      <c r="K359" s="28">
        <v>46160</v>
      </c>
      <c r="L359">
        <v>1010200</v>
      </c>
      <c r="M359" t="s">
        <v>113</v>
      </c>
      <c r="N359">
        <v>40</v>
      </c>
      <c r="O359" t="s">
        <v>155</v>
      </c>
      <c r="P359" t="s">
        <v>296</v>
      </c>
      <c r="Q359">
        <f t="shared" si="6"/>
        <v>-23</v>
      </c>
      <c r="R359">
        <f>_xlfn.XLOOKUP(E359,'Data Additive'!E:E,'Data Additive'!E:E,0)</f>
        <v>0</v>
      </c>
    </row>
    <row r="360" spans="1:18" x14ac:dyDescent="0.25">
      <c r="A360">
        <v>13330</v>
      </c>
      <c r="B360" t="s">
        <v>579</v>
      </c>
      <c r="C360" t="s">
        <v>580</v>
      </c>
      <c r="D360" s="32">
        <v>853.24</v>
      </c>
      <c r="E360">
        <v>1246272264</v>
      </c>
      <c r="F360" s="28">
        <v>46148</v>
      </c>
      <c r="I360" t="s">
        <v>326</v>
      </c>
      <c r="J360">
        <v>11057</v>
      </c>
      <c r="K360" s="28">
        <v>46118</v>
      </c>
      <c r="L360">
        <v>1010200</v>
      </c>
      <c r="M360" t="s">
        <v>113</v>
      </c>
      <c r="N360">
        <v>40</v>
      </c>
      <c r="O360" t="s">
        <v>155</v>
      </c>
      <c r="P360" t="s">
        <v>579</v>
      </c>
      <c r="Q360">
        <f t="shared" si="6"/>
        <v>49</v>
      </c>
      <c r="R360">
        <f>_xlfn.XLOOKUP(E360,'Data Additive'!E:E,'Data Additive'!E:E,0)</f>
        <v>0</v>
      </c>
    </row>
    <row r="361" spans="1:18" x14ac:dyDescent="0.25">
      <c r="A361">
        <v>13330</v>
      </c>
      <c r="B361" t="s">
        <v>579</v>
      </c>
      <c r="C361" t="s">
        <v>580</v>
      </c>
      <c r="D361" s="32">
        <v>527.28</v>
      </c>
      <c r="E361">
        <v>1246238356</v>
      </c>
      <c r="F361" s="28">
        <v>45927</v>
      </c>
      <c r="I361" t="s">
        <v>326</v>
      </c>
      <c r="J361">
        <v>9092</v>
      </c>
      <c r="K361" s="28">
        <v>45897</v>
      </c>
      <c r="L361">
        <v>1010200</v>
      </c>
      <c r="M361" t="s">
        <v>113</v>
      </c>
      <c r="N361">
        <v>40</v>
      </c>
      <c r="O361" t="s">
        <v>155</v>
      </c>
      <c r="P361" t="s">
        <v>579</v>
      </c>
      <c r="Q361">
        <f t="shared" si="6"/>
        <v>270</v>
      </c>
      <c r="R361">
        <f>_xlfn.XLOOKUP(E361,'Data Additive'!E:E,'Data Additive'!E:E,0)</f>
        <v>0</v>
      </c>
    </row>
    <row r="362" spans="1:18" x14ac:dyDescent="0.25">
      <c r="A362">
        <v>15543</v>
      </c>
      <c r="B362" t="s">
        <v>716</v>
      </c>
      <c r="C362" t="s">
        <v>717</v>
      </c>
      <c r="D362" s="32">
        <v>45718.46</v>
      </c>
      <c r="E362">
        <v>1246264533</v>
      </c>
      <c r="F362" s="28">
        <v>46181</v>
      </c>
      <c r="H362" t="s">
        <v>23</v>
      </c>
      <c r="I362" t="s">
        <v>24</v>
      </c>
      <c r="J362">
        <v>10745</v>
      </c>
      <c r="K362" s="28">
        <v>46076</v>
      </c>
      <c r="L362">
        <v>1010200</v>
      </c>
      <c r="M362" t="s">
        <v>113</v>
      </c>
      <c r="N362">
        <v>40</v>
      </c>
      <c r="O362" t="s">
        <v>155</v>
      </c>
      <c r="P362" t="s">
        <v>716</v>
      </c>
      <c r="Q362">
        <f t="shared" si="6"/>
        <v>16</v>
      </c>
      <c r="R362">
        <f>_xlfn.XLOOKUP(E362,'Data Additive'!E:E,'Data Additive'!E:E,0)</f>
        <v>0</v>
      </c>
    </row>
    <row r="363" spans="1:18" x14ac:dyDescent="0.25">
      <c r="A363">
        <v>15543</v>
      </c>
      <c r="B363" t="s">
        <v>716</v>
      </c>
      <c r="C363" t="s">
        <v>717</v>
      </c>
      <c r="D363" s="32">
        <v>133756.12</v>
      </c>
      <c r="E363">
        <v>1246277124</v>
      </c>
      <c r="F363" s="28">
        <v>46259</v>
      </c>
      <c r="H363" t="s">
        <v>23</v>
      </c>
      <c r="I363" t="s">
        <v>24</v>
      </c>
      <c r="J363">
        <v>11522</v>
      </c>
      <c r="K363" s="28">
        <v>46169</v>
      </c>
      <c r="L363">
        <v>1010200</v>
      </c>
      <c r="M363" t="s">
        <v>113</v>
      </c>
      <c r="N363">
        <v>40</v>
      </c>
      <c r="O363" t="s">
        <v>155</v>
      </c>
      <c r="P363" t="s">
        <v>716</v>
      </c>
      <c r="Q363">
        <f t="shared" si="6"/>
        <v>-62</v>
      </c>
      <c r="R363">
        <f>_xlfn.XLOOKUP(E363,'Data Additive'!E:E,'Data Additive'!E:E,0)</f>
        <v>0</v>
      </c>
    </row>
    <row r="364" spans="1:18" x14ac:dyDescent="0.25">
      <c r="A364">
        <v>7060</v>
      </c>
      <c r="B364" t="s">
        <v>165</v>
      </c>
      <c r="C364" t="s">
        <v>166</v>
      </c>
      <c r="D364" s="32">
        <v>202489.44</v>
      </c>
      <c r="E364">
        <v>1246233024</v>
      </c>
      <c r="F364" s="28">
        <v>46264</v>
      </c>
      <c r="H364" t="s">
        <v>156</v>
      </c>
      <c r="I364" t="s">
        <v>157</v>
      </c>
      <c r="J364">
        <v>9046</v>
      </c>
      <c r="K364" s="28">
        <v>45895</v>
      </c>
      <c r="L364">
        <v>1010100</v>
      </c>
      <c r="M364" t="s">
        <v>29</v>
      </c>
      <c r="N364">
        <v>56</v>
      </c>
      <c r="O364" t="s">
        <v>146</v>
      </c>
      <c r="P364" t="s">
        <v>165</v>
      </c>
      <c r="Q364">
        <f t="shared" si="6"/>
        <v>-67</v>
      </c>
      <c r="R364">
        <f>_xlfn.XLOOKUP(E364,'Data Additive'!E:E,'Data Additive'!E:E,0)</f>
        <v>0</v>
      </c>
    </row>
    <row r="365" spans="1:18" x14ac:dyDescent="0.25">
      <c r="A365">
        <v>7060</v>
      </c>
      <c r="B365" t="s">
        <v>165</v>
      </c>
      <c r="C365" t="s">
        <v>166</v>
      </c>
      <c r="D365" s="32">
        <v>210926.49999999997</v>
      </c>
      <c r="E365">
        <v>1246232491</v>
      </c>
      <c r="F365" s="28">
        <v>46264</v>
      </c>
      <c r="H365" t="s">
        <v>156</v>
      </c>
      <c r="I365" t="s">
        <v>157</v>
      </c>
      <c r="J365">
        <v>9006</v>
      </c>
      <c r="K365" s="28">
        <v>45891</v>
      </c>
      <c r="L365">
        <v>1010100</v>
      </c>
      <c r="M365" t="s">
        <v>29</v>
      </c>
      <c r="N365">
        <v>56</v>
      </c>
      <c r="O365" t="s">
        <v>146</v>
      </c>
      <c r="P365" t="s">
        <v>165</v>
      </c>
      <c r="Q365">
        <f t="shared" si="6"/>
        <v>-67</v>
      </c>
      <c r="R365">
        <f>_xlfn.XLOOKUP(E365,'Data Additive'!E:E,'Data Additive'!E:E,0)</f>
        <v>0</v>
      </c>
    </row>
    <row r="366" spans="1:18" x14ac:dyDescent="0.25">
      <c r="A366">
        <v>7060</v>
      </c>
      <c r="B366" t="s">
        <v>165</v>
      </c>
      <c r="C366" t="s">
        <v>166</v>
      </c>
      <c r="D366" s="32">
        <v>135891.48000000001</v>
      </c>
      <c r="E366">
        <v>1246233319</v>
      </c>
      <c r="F366" s="28">
        <v>46266</v>
      </c>
      <c r="H366" t="s">
        <v>156</v>
      </c>
      <c r="I366" t="s">
        <v>157</v>
      </c>
      <c r="J366">
        <v>9076</v>
      </c>
      <c r="K366" s="28">
        <v>45896</v>
      </c>
      <c r="L366">
        <v>1010100</v>
      </c>
      <c r="M366" t="s">
        <v>29</v>
      </c>
      <c r="N366">
        <v>56</v>
      </c>
      <c r="O366" t="s">
        <v>146</v>
      </c>
      <c r="P366" t="s">
        <v>165</v>
      </c>
      <c r="Q366">
        <f t="shared" si="6"/>
        <v>-69</v>
      </c>
      <c r="R366">
        <f>_xlfn.XLOOKUP(E366,'Data Additive'!E:E,'Data Additive'!E:E,0)</f>
        <v>0</v>
      </c>
    </row>
    <row r="367" spans="1:18" x14ac:dyDescent="0.25">
      <c r="A367">
        <v>7060</v>
      </c>
      <c r="B367" t="s">
        <v>165</v>
      </c>
      <c r="C367" t="s">
        <v>166</v>
      </c>
      <c r="D367" s="32">
        <v>160304.14000000001</v>
      </c>
      <c r="E367">
        <v>1246232724</v>
      </c>
      <c r="F367" s="28">
        <v>46264</v>
      </c>
      <c r="H367" t="s">
        <v>156</v>
      </c>
      <c r="I367" t="s">
        <v>157</v>
      </c>
      <c r="J367">
        <v>9023</v>
      </c>
      <c r="K367" s="28">
        <v>45894</v>
      </c>
      <c r="L367">
        <v>1010100</v>
      </c>
      <c r="M367" t="s">
        <v>29</v>
      </c>
      <c r="N367">
        <v>56</v>
      </c>
      <c r="O367" t="s">
        <v>146</v>
      </c>
      <c r="P367" t="s">
        <v>165</v>
      </c>
      <c r="Q367">
        <f t="shared" si="6"/>
        <v>-67</v>
      </c>
      <c r="R367">
        <f>_xlfn.XLOOKUP(E367,'Data Additive'!E:E,'Data Additive'!E:E,0)</f>
        <v>0</v>
      </c>
    </row>
    <row r="368" spans="1:18" x14ac:dyDescent="0.25">
      <c r="A368">
        <v>7060</v>
      </c>
      <c r="B368" t="s">
        <v>165</v>
      </c>
      <c r="C368" t="s">
        <v>166</v>
      </c>
      <c r="D368" s="32">
        <v>134992.95999999999</v>
      </c>
      <c r="E368">
        <v>1246233318</v>
      </c>
      <c r="F368" s="28">
        <v>46265</v>
      </c>
      <c r="H368" t="s">
        <v>156</v>
      </c>
      <c r="I368" t="s">
        <v>157</v>
      </c>
      <c r="J368">
        <v>9075</v>
      </c>
      <c r="K368" s="28">
        <v>45896</v>
      </c>
      <c r="L368">
        <v>1010100</v>
      </c>
      <c r="M368" t="s">
        <v>29</v>
      </c>
      <c r="N368">
        <v>56</v>
      </c>
      <c r="O368" t="s">
        <v>146</v>
      </c>
      <c r="P368" t="s">
        <v>165</v>
      </c>
      <c r="Q368">
        <f t="shared" ref="Q368:Q401" si="7">$R$1-F368</f>
        <v>-68</v>
      </c>
      <c r="R368">
        <f>_xlfn.XLOOKUP(E368,'Data Additive'!E:E,'Data Additive'!E:E,0)</f>
        <v>0</v>
      </c>
    </row>
    <row r="369" spans="1:18" x14ac:dyDescent="0.25">
      <c r="A369">
        <v>10413</v>
      </c>
      <c r="B369" t="s">
        <v>265</v>
      </c>
      <c r="C369" t="s">
        <v>15420</v>
      </c>
      <c r="D369" s="32">
        <v>78993</v>
      </c>
      <c r="E369">
        <v>1246279827</v>
      </c>
      <c r="F369" s="28">
        <v>46218</v>
      </c>
      <c r="H369" t="s">
        <v>23</v>
      </c>
      <c r="I369" t="s">
        <v>24</v>
      </c>
      <c r="J369">
        <v>11733</v>
      </c>
      <c r="K369" s="28">
        <v>46189</v>
      </c>
      <c r="L369">
        <v>1010100</v>
      </c>
      <c r="M369" t="s">
        <v>29</v>
      </c>
      <c r="N369">
        <v>56</v>
      </c>
      <c r="O369" t="s">
        <v>146</v>
      </c>
      <c r="P369" t="s">
        <v>265</v>
      </c>
      <c r="Q369">
        <f t="shared" si="7"/>
        <v>-21</v>
      </c>
      <c r="R369">
        <f>_xlfn.XLOOKUP(E369,'Data Additive'!E:E,'Data Additive'!E:E,0)</f>
        <v>1246279827</v>
      </c>
    </row>
    <row r="370" spans="1:18" x14ac:dyDescent="0.25">
      <c r="A370">
        <v>10413</v>
      </c>
      <c r="B370" t="s">
        <v>265</v>
      </c>
      <c r="C370" t="s">
        <v>15420</v>
      </c>
      <c r="D370" s="32">
        <v>79019.199999999997</v>
      </c>
      <c r="E370">
        <v>1246278424</v>
      </c>
      <c r="F370" s="28">
        <v>46218</v>
      </c>
      <c r="H370" t="s">
        <v>23</v>
      </c>
      <c r="I370" t="s">
        <v>24</v>
      </c>
      <c r="J370">
        <v>11626</v>
      </c>
      <c r="K370" s="28">
        <v>46178</v>
      </c>
      <c r="L370">
        <v>1010100</v>
      </c>
      <c r="M370" t="s">
        <v>29</v>
      </c>
      <c r="N370">
        <v>56</v>
      </c>
      <c r="O370" t="s">
        <v>146</v>
      </c>
      <c r="P370" t="s">
        <v>265</v>
      </c>
      <c r="Q370">
        <f t="shared" si="7"/>
        <v>-21</v>
      </c>
      <c r="R370">
        <f>_xlfn.XLOOKUP(E370,'Data Additive'!E:E,'Data Additive'!E:E,0)</f>
        <v>1246278424</v>
      </c>
    </row>
    <row r="371" spans="1:18" x14ac:dyDescent="0.25">
      <c r="A371">
        <v>10677</v>
      </c>
      <c r="B371" t="s">
        <v>770</v>
      </c>
      <c r="C371" t="s">
        <v>771</v>
      </c>
      <c r="D371" s="32">
        <v>581</v>
      </c>
      <c r="E371">
        <v>1246272911</v>
      </c>
      <c r="F371" s="28">
        <v>46175</v>
      </c>
      <c r="I371" t="s">
        <v>326</v>
      </c>
      <c r="J371">
        <v>11244</v>
      </c>
      <c r="K371" s="28">
        <v>46140</v>
      </c>
      <c r="L371">
        <v>4011600</v>
      </c>
      <c r="M371" t="s">
        <v>597</v>
      </c>
      <c r="N371">
        <v>244</v>
      </c>
      <c r="O371" t="s">
        <v>174</v>
      </c>
      <c r="P371" t="s">
        <v>770</v>
      </c>
      <c r="Q371">
        <f t="shared" si="7"/>
        <v>22</v>
      </c>
      <c r="R371">
        <f>_xlfn.XLOOKUP(E371,'Data Additive'!E:E,'Data Additive'!E:E,0)</f>
        <v>1246272911</v>
      </c>
    </row>
    <row r="372" spans="1:18" x14ac:dyDescent="0.25">
      <c r="A372">
        <v>10677</v>
      </c>
      <c r="B372" t="s">
        <v>770</v>
      </c>
      <c r="C372" t="s">
        <v>771</v>
      </c>
      <c r="D372" s="32">
        <v>581</v>
      </c>
      <c r="E372">
        <v>1246272912</v>
      </c>
      <c r="F372" s="28">
        <v>46200</v>
      </c>
      <c r="I372" t="s">
        <v>326</v>
      </c>
      <c r="J372">
        <v>11244</v>
      </c>
      <c r="K372" s="28">
        <v>46140</v>
      </c>
      <c r="L372">
        <v>4011600</v>
      </c>
      <c r="M372" t="s">
        <v>597</v>
      </c>
      <c r="N372">
        <v>244</v>
      </c>
      <c r="O372" t="s">
        <v>174</v>
      </c>
      <c r="P372" t="s">
        <v>770</v>
      </c>
      <c r="Q372">
        <f t="shared" si="7"/>
        <v>-3</v>
      </c>
      <c r="R372">
        <f>_xlfn.XLOOKUP(E372,'Data Additive'!E:E,'Data Additive'!E:E,0)</f>
        <v>1246272912</v>
      </c>
    </row>
    <row r="373" spans="1:18" x14ac:dyDescent="0.25">
      <c r="A373">
        <v>10677</v>
      </c>
      <c r="B373" t="s">
        <v>770</v>
      </c>
      <c r="C373" t="s">
        <v>771</v>
      </c>
      <c r="D373" s="32">
        <v>581</v>
      </c>
      <c r="E373">
        <v>1246272913</v>
      </c>
      <c r="F373" s="28">
        <v>46230</v>
      </c>
      <c r="I373" t="s">
        <v>326</v>
      </c>
      <c r="J373">
        <v>11244</v>
      </c>
      <c r="K373" s="28">
        <v>46140</v>
      </c>
      <c r="L373">
        <v>4011600</v>
      </c>
      <c r="M373" t="s">
        <v>597</v>
      </c>
      <c r="N373">
        <v>244</v>
      </c>
      <c r="O373" t="s">
        <v>174</v>
      </c>
      <c r="P373" t="s">
        <v>770</v>
      </c>
      <c r="Q373">
        <f t="shared" si="7"/>
        <v>-33</v>
      </c>
      <c r="R373">
        <f>_xlfn.XLOOKUP(E373,'Data Additive'!E:E,'Data Additive'!E:E,0)</f>
        <v>1246272913</v>
      </c>
    </row>
    <row r="374" spans="1:18" x14ac:dyDescent="0.25">
      <c r="A374">
        <v>14094</v>
      </c>
      <c r="B374" t="s">
        <v>237</v>
      </c>
      <c r="C374" t="s">
        <v>238</v>
      </c>
      <c r="D374" s="32">
        <v>100</v>
      </c>
      <c r="E374">
        <v>1246154530</v>
      </c>
      <c r="F374" s="28">
        <v>45474</v>
      </c>
      <c r="I374" t="s">
        <v>326</v>
      </c>
      <c r="J374">
        <v>4088</v>
      </c>
      <c r="K374" s="28">
        <v>45474</v>
      </c>
      <c r="L374">
        <v>4010300</v>
      </c>
      <c r="M374" t="s">
        <v>128</v>
      </c>
      <c r="N374">
        <v>244</v>
      </c>
      <c r="O374" t="s">
        <v>174</v>
      </c>
      <c r="P374" t="s">
        <v>237</v>
      </c>
      <c r="Q374">
        <f t="shared" si="7"/>
        <v>723</v>
      </c>
      <c r="R374">
        <f>_xlfn.XLOOKUP(E374,'Data Additive'!E:E,'Data Additive'!E:E,0)</f>
        <v>1246154530</v>
      </c>
    </row>
    <row r="375" spans="1:18" x14ac:dyDescent="0.25">
      <c r="A375">
        <v>13873</v>
      </c>
      <c r="B375" t="s">
        <v>278</v>
      </c>
      <c r="C375" t="s">
        <v>279</v>
      </c>
      <c r="D375" s="32">
        <v>50</v>
      </c>
      <c r="E375">
        <v>1246166396</v>
      </c>
      <c r="F375" s="28">
        <v>45525</v>
      </c>
      <c r="I375" t="s">
        <v>326</v>
      </c>
      <c r="J375">
        <v>4854</v>
      </c>
      <c r="K375" s="28">
        <v>45525</v>
      </c>
      <c r="L375">
        <v>4010300</v>
      </c>
      <c r="M375" t="s">
        <v>128</v>
      </c>
      <c r="N375">
        <v>244</v>
      </c>
      <c r="O375" t="s">
        <v>174</v>
      </c>
      <c r="P375" t="s">
        <v>278</v>
      </c>
      <c r="Q375">
        <f t="shared" si="7"/>
        <v>672</v>
      </c>
      <c r="R375">
        <f>_xlfn.XLOOKUP(E375,'Data Additive'!E:E,'Data Additive'!E:E,0)</f>
        <v>1246166396</v>
      </c>
    </row>
    <row r="376" spans="1:18" x14ac:dyDescent="0.25">
      <c r="A376">
        <v>14106</v>
      </c>
      <c r="B376" t="s">
        <v>334</v>
      </c>
      <c r="C376" t="s">
        <v>335</v>
      </c>
      <c r="D376" s="32">
        <v>300</v>
      </c>
      <c r="E376">
        <v>1246182736</v>
      </c>
      <c r="F376" s="28">
        <v>45625</v>
      </c>
      <c r="I376" t="s">
        <v>326</v>
      </c>
      <c r="J376">
        <v>6092</v>
      </c>
      <c r="K376" s="28">
        <v>45610</v>
      </c>
      <c r="L376">
        <v>1020400</v>
      </c>
      <c r="M376" t="s">
        <v>130</v>
      </c>
      <c r="N376">
        <v>136</v>
      </c>
      <c r="O376" t="s">
        <v>130</v>
      </c>
      <c r="P376" t="s">
        <v>334</v>
      </c>
      <c r="Q376">
        <f t="shared" si="7"/>
        <v>572</v>
      </c>
      <c r="R376">
        <f>_xlfn.XLOOKUP(E376,'Data Additive'!E:E,'Data Additive'!E:E,0)</f>
        <v>1246182736</v>
      </c>
    </row>
    <row r="377" spans="1:18" x14ac:dyDescent="0.25">
      <c r="A377">
        <v>707</v>
      </c>
      <c r="B377" t="s">
        <v>44</v>
      </c>
      <c r="C377" t="s">
        <v>45</v>
      </c>
      <c r="D377" s="32">
        <v>40320</v>
      </c>
      <c r="E377">
        <v>1246146706</v>
      </c>
      <c r="F377" s="28">
        <v>45461</v>
      </c>
      <c r="H377" t="s">
        <v>23</v>
      </c>
      <c r="I377" t="s">
        <v>24</v>
      </c>
      <c r="J377">
        <v>3619</v>
      </c>
      <c r="K377" s="28">
        <v>45433</v>
      </c>
      <c r="L377">
        <v>1010100</v>
      </c>
      <c r="M377" t="s">
        <v>29</v>
      </c>
      <c r="N377">
        <v>161</v>
      </c>
      <c r="O377" t="s">
        <v>145</v>
      </c>
      <c r="P377" t="s">
        <v>44</v>
      </c>
      <c r="Q377">
        <f t="shared" si="7"/>
        <v>736</v>
      </c>
      <c r="R377">
        <f>_xlfn.XLOOKUP(E377,'Data Additive'!E:E,'Data Additive'!E:E,0)</f>
        <v>1246146706</v>
      </c>
    </row>
    <row r="378" spans="1:18" x14ac:dyDescent="0.25">
      <c r="A378">
        <v>707</v>
      </c>
      <c r="B378" t="s">
        <v>44</v>
      </c>
      <c r="C378" t="s">
        <v>45</v>
      </c>
      <c r="D378" s="32">
        <v>14640</v>
      </c>
      <c r="E378">
        <v>1246145696</v>
      </c>
      <c r="F378" s="28">
        <v>45454</v>
      </c>
      <c r="H378" t="s">
        <v>23</v>
      </c>
      <c r="I378" t="s">
        <v>24</v>
      </c>
      <c r="J378">
        <v>3538</v>
      </c>
      <c r="K378" s="28">
        <v>45426</v>
      </c>
      <c r="L378">
        <v>1010100</v>
      </c>
      <c r="M378" t="s">
        <v>29</v>
      </c>
      <c r="N378">
        <v>161</v>
      </c>
      <c r="O378" t="s">
        <v>145</v>
      </c>
      <c r="P378" t="s">
        <v>44</v>
      </c>
      <c r="Q378">
        <f t="shared" si="7"/>
        <v>743</v>
      </c>
      <c r="R378">
        <f>_xlfn.XLOOKUP(E378,'Data Additive'!E:E,'Data Additive'!E:E,0)</f>
        <v>1246145696</v>
      </c>
    </row>
    <row r="379" spans="1:18" x14ac:dyDescent="0.25">
      <c r="A379">
        <v>707</v>
      </c>
      <c r="B379" t="s">
        <v>44</v>
      </c>
      <c r="C379" t="s">
        <v>45</v>
      </c>
      <c r="D379" s="32">
        <v>43920</v>
      </c>
      <c r="E379">
        <v>1246148035</v>
      </c>
      <c r="F379" s="28">
        <v>45469</v>
      </c>
      <c r="H379" t="s">
        <v>23</v>
      </c>
      <c r="I379" t="s">
        <v>24</v>
      </c>
      <c r="J379">
        <v>3722</v>
      </c>
      <c r="K379" s="28">
        <v>45441</v>
      </c>
      <c r="L379">
        <v>1010100</v>
      </c>
      <c r="M379" t="s">
        <v>29</v>
      </c>
      <c r="N379">
        <v>161</v>
      </c>
      <c r="O379" t="s">
        <v>145</v>
      </c>
      <c r="P379" t="s">
        <v>44</v>
      </c>
      <c r="Q379">
        <f t="shared" si="7"/>
        <v>728</v>
      </c>
      <c r="R379">
        <f>_xlfn.XLOOKUP(E379,'Data Additive'!E:E,'Data Additive'!E:E,0)</f>
        <v>1246148035</v>
      </c>
    </row>
    <row r="380" spans="1:18" x14ac:dyDescent="0.25">
      <c r="A380">
        <v>707</v>
      </c>
      <c r="B380" t="s">
        <v>44</v>
      </c>
      <c r="C380" t="s">
        <v>45</v>
      </c>
      <c r="D380" s="32">
        <v>36600</v>
      </c>
      <c r="E380">
        <v>1246146938</v>
      </c>
      <c r="F380" s="28">
        <v>45462</v>
      </c>
      <c r="H380" t="s">
        <v>23</v>
      </c>
      <c r="I380" t="s">
        <v>24</v>
      </c>
      <c r="J380">
        <v>3637</v>
      </c>
      <c r="K380" s="28">
        <v>45434</v>
      </c>
      <c r="L380">
        <v>1010100</v>
      </c>
      <c r="M380" t="s">
        <v>29</v>
      </c>
      <c r="N380">
        <v>161</v>
      </c>
      <c r="O380" t="s">
        <v>145</v>
      </c>
      <c r="P380" t="s">
        <v>44</v>
      </c>
      <c r="Q380">
        <f t="shared" si="7"/>
        <v>735</v>
      </c>
      <c r="R380">
        <f>_xlfn.XLOOKUP(E380,'Data Additive'!E:E,'Data Additive'!E:E,0)</f>
        <v>1246146938</v>
      </c>
    </row>
    <row r="381" spans="1:18" x14ac:dyDescent="0.25">
      <c r="A381">
        <v>707</v>
      </c>
      <c r="B381" t="s">
        <v>44</v>
      </c>
      <c r="C381" t="s">
        <v>45</v>
      </c>
      <c r="D381" s="32">
        <v>33600</v>
      </c>
      <c r="E381">
        <v>1246148036</v>
      </c>
      <c r="F381" s="28">
        <v>45469</v>
      </c>
      <c r="H381" t="s">
        <v>23</v>
      </c>
      <c r="I381" t="s">
        <v>24</v>
      </c>
      <c r="J381">
        <v>3723</v>
      </c>
      <c r="K381" s="28">
        <v>45441</v>
      </c>
      <c r="L381">
        <v>1010100</v>
      </c>
      <c r="M381" t="s">
        <v>29</v>
      </c>
      <c r="N381">
        <v>161</v>
      </c>
      <c r="O381" t="s">
        <v>145</v>
      </c>
      <c r="P381" t="s">
        <v>44</v>
      </c>
      <c r="Q381">
        <f t="shared" si="7"/>
        <v>728</v>
      </c>
      <c r="R381">
        <f>_xlfn.XLOOKUP(E381,'Data Additive'!E:E,'Data Additive'!E:E,0)</f>
        <v>1246148036</v>
      </c>
    </row>
    <row r="382" spans="1:18" x14ac:dyDescent="0.25">
      <c r="A382">
        <v>707</v>
      </c>
      <c r="B382" t="s">
        <v>44</v>
      </c>
      <c r="C382" t="s">
        <v>45</v>
      </c>
      <c r="D382" s="32">
        <v>16800</v>
      </c>
      <c r="E382">
        <v>1246141445</v>
      </c>
      <c r="F382" s="28">
        <v>45433</v>
      </c>
      <c r="H382" t="s">
        <v>23</v>
      </c>
      <c r="I382" t="s">
        <v>24</v>
      </c>
      <c r="J382">
        <v>3345</v>
      </c>
      <c r="K382" s="28">
        <v>45405</v>
      </c>
      <c r="L382">
        <v>1010100</v>
      </c>
      <c r="M382" t="s">
        <v>29</v>
      </c>
      <c r="N382">
        <v>161</v>
      </c>
      <c r="O382" t="s">
        <v>145</v>
      </c>
      <c r="P382" t="s">
        <v>44</v>
      </c>
      <c r="Q382">
        <f t="shared" si="7"/>
        <v>764</v>
      </c>
      <c r="R382">
        <f>_xlfn.XLOOKUP(E382,'Data Additive'!E:E,'Data Additive'!E:E,0)</f>
        <v>1246141445</v>
      </c>
    </row>
    <row r="383" spans="1:18" x14ac:dyDescent="0.25">
      <c r="A383">
        <v>707</v>
      </c>
      <c r="B383" t="s">
        <v>44</v>
      </c>
      <c r="C383" t="s">
        <v>45</v>
      </c>
      <c r="D383" s="32">
        <v>40353.599999999999</v>
      </c>
      <c r="E383">
        <v>1246143397</v>
      </c>
      <c r="F383" s="28">
        <v>45443</v>
      </c>
      <c r="H383" t="s">
        <v>23</v>
      </c>
      <c r="I383" t="s">
        <v>24</v>
      </c>
      <c r="J383">
        <v>3448</v>
      </c>
      <c r="K383" s="28">
        <v>45415</v>
      </c>
      <c r="L383">
        <v>1010100</v>
      </c>
      <c r="M383" t="s">
        <v>29</v>
      </c>
      <c r="N383">
        <v>161</v>
      </c>
      <c r="O383" t="s">
        <v>145</v>
      </c>
      <c r="P383" t="s">
        <v>44</v>
      </c>
      <c r="Q383">
        <f t="shared" si="7"/>
        <v>754</v>
      </c>
      <c r="R383">
        <f>_xlfn.XLOOKUP(E383,'Data Additive'!E:E,'Data Additive'!E:E,0)</f>
        <v>1246143397</v>
      </c>
    </row>
    <row r="384" spans="1:18" x14ac:dyDescent="0.25">
      <c r="A384">
        <v>1462</v>
      </c>
      <c r="B384" t="s">
        <v>55</v>
      </c>
      <c r="C384" t="s">
        <v>56</v>
      </c>
      <c r="D384" s="32">
        <v>38067.25</v>
      </c>
      <c r="E384">
        <v>1246274419</v>
      </c>
      <c r="F384" s="28">
        <v>46213</v>
      </c>
      <c r="H384" t="s">
        <v>23</v>
      </c>
      <c r="I384" t="s">
        <v>24</v>
      </c>
      <c r="J384">
        <v>11350</v>
      </c>
      <c r="K384" s="28">
        <v>46153</v>
      </c>
      <c r="L384">
        <v>1010100</v>
      </c>
      <c r="M384" t="s">
        <v>29</v>
      </c>
      <c r="N384">
        <v>161</v>
      </c>
      <c r="O384" t="s">
        <v>145</v>
      </c>
      <c r="P384" t="s">
        <v>55</v>
      </c>
      <c r="Q384">
        <f t="shared" si="7"/>
        <v>-16</v>
      </c>
      <c r="R384">
        <f>_xlfn.XLOOKUP(E384,'Data Additive'!E:E,'Data Additive'!E:E,0)</f>
        <v>1246274419</v>
      </c>
    </row>
    <row r="385" spans="1:18" x14ac:dyDescent="0.25">
      <c r="A385">
        <v>1462</v>
      </c>
      <c r="B385" t="s">
        <v>55</v>
      </c>
      <c r="C385" t="s">
        <v>56</v>
      </c>
      <c r="D385" s="32">
        <v>38067.25</v>
      </c>
      <c r="E385">
        <v>1246274420</v>
      </c>
      <c r="F385" s="28">
        <v>46223</v>
      </c>
      <c r="H385" t="s">
        <v>23</v>
      </c>
      <c r="I385" t="s">
        <v>24</v>
      </c>
      <c r="J385">
        <v>11350</v>
      </c>
      <c r="K385" s="28">
        <v>46153</v>
      </c>
      <c r="L385">
        <v>1010100</v>
      </c>
      <c r="M385" t="s">
        <v>29</v>
      </c>
      <c r="N385">
        <v>161</v>
      </c>
      <c r="O385" t="s">
        <v>145</v>
      </c>
      <c r="P385" t="s">
        <v>55</v>
      </c>
      <c r="Q385">
        <f t="shared" si="7"/>
        <v>-26</v>
      </c>
      <c r="R385">
        <f>_xlfn.XLOOKUP(E385,'Data Additive'!E:E,'Data Additive'!E:E,0)</f>
        <v>1246274420</v>
      </c>
    </row>
    <row r="386" spans="1:18" x14ac:dyDescent="0.25">
      <c r="A386">
        <v>1462</v>
      </c>
      <c r="B386" t="s">
        <v>55</v>
      </c>
      <c r="C386" t="s">
        <v>56</v>
      </c>
      <c r="D386" s="32">
        <v>38160.199999999997</v>
      </c>
      <c r="E386">
        <v>1246270126</v>
      </c>
      <c r="F386" s="28">
        <v>46174</v>
      </c>
      <c r="H386" t="s">
        <v>23</v>
      </c>
      <c r="I386" t="s">
        <v>24</v>
      </c>
      <c r="J386">
        <v>11041</v>
      </c>
      <c r="K386" s="28">
        <v>46114</v>
      </c>
      <c r="L386">
        <v>1010100</v>
      </c>
      <c r="M386" t="s">
        <v>29</v>
      </c>
      <c r="N386">
        <v>161</v>
      </c>
      <c r="O386" t="s">
        <v>145</v>
      </c>
      <c r="P386" t="s">
        <v>55</v>
      </c>
      <c r="Q386">
        <f t="shared" si="7"/>
        <v>23</v>
      </c>
      <c r="R386">
        <f>_xlfn.XLOOKUP(E386,'Data Additive'!E:E,'Data Additive'!E:E,0)</f>
        <v>1246270126</v>
      </c>
    </row>
    <row r="387" spans="1:18" x14ac:dyDescent="0.25">
      <c r="A387">
        <v>1462</v>
      </c>
      <c r="B387" t="s">
        <v>55</v>
      </c>
      <c r="C387" t="s">
        <v>56</v>
      </c>
      <c r="D387" s="32">
        <v>38160.199999999997</v>
      </c>
      <c r="E387">
        <v>1246270127</v>
      </c>
      <c r="F387" s="28">
        <v>46184</v>
      </c>
      <c r="H387" t="s">
        <v>23</v>
      </c>
      <c r="I387" t="s">
        <v>24</v>
      </c>
      <c r="J387">
        <v>11041</v>
      </c>
      <c r="K387" s="28">
        <v>46114</v>
      </c>
      <c r="L387">
        <v>1010100</v>
      </c>
      <c r="M387" t="s">
        <v>29</v>
      </c>
      <c r="N387">
        <v>161</v>
      </c>
      <c r="O387" t="s">
        <v>145</v>
      </c>
      <c r="P387" t="s">
        <v>55</v>
      </c>
      <c r="Q387">
        <f t="shared" si="7"/>
        <v>13</v>
      </c>
      <c r="R387">
        <f>_xlfn.XLOOKUP(E387,'Data Additive'!E:E,'Data Additive'!E:E,0)</f>
        <v>1246270127</v>
      </c>
    </row>
    <row r="388" spans="1:18" x14ac:dyDescent="0.25">
      <c r="A388">
        <v>1462</v>
      </c>
      <c r="B388" t="s">
        <v>55</v>
      </c>
      <c r="C388" t="s">
        <v>56</v>
      </c>
      <c r="D388" s="32">
        <v>38236.25</v>
      </c>
      <c r="E388">
        <v>1246277330</v>
      </c>
      <c r="F388" s="28">
        <v>46230</v>
      </c>
      <c r="H388" t="s">
        <v>23</v>
      </c>
      <c r="I388" t="s">
        <v>24</v>
      </c>
      <c r="J388">
        <v>11543</v>
      </c>
      <c r="K388" s="28">
        <v>46170</v>
      </c>
      <c r="L388">
        <v>1010100</v>
      </c>
      <c r="M388" t="s">
        <v>29</v>
      </c>
      <c r="N388">
        <v>161</v>
      </c>
      <c r="O388" t="s">
        <v>145</v>
      </c>
      <c r="P388" t="s">
        <v>55</v>
      </c>
      <c r="Q388">
        <f t="shared" si="7"/>
        <v>-33</v>
      </c>
      <c r="R388">
        <f>_xlfn.XLOOKUP(E388,'Data Additive'!E:E,'Data Additive'!E:E,0)</f>
        <v>1246277330</v>
      </c>
    </row>
    <row r="389" spans="1:18" x14ac:dyDescent="0.25">
      <c r="A389">
        <v>1462</v>
      </c>
      <c r="B389" t="s">
        <v>55</v>
      </c>
      <c r="C389" t="s">
        <v>56</v>
      </c>
      <c r="D389" s="32">
        <v>38236.25</v>
      </c>
      <c r="E389">
        <v>1246277331</v>
      </c>
      <c r="F389" s="28">
        <v>46240</v>
      </c>
      <c r="H389" t="s">
        <v>23</v>
      </c>
      <c r="I389" t="s">
        <v>24</v>
      </c>
      <c r="J389">
        <v>11543</v>
      </c>
      <c r="K389" s="28">
        <v>46170</v>
      </c>
      <c r="L389">
        <v>1010100</v>
      </c>
      <c r="M389" t="s">
        <v>29</v>
      </c>
      <c r="N389">
        <v>161</v>
      </c>
      <c r="O389" t="s">
        <v>145</v>
      </c>
      <c r="P389" t="s">
        <v>55</v>
      </c>
      <c r="Q389">
        <f t="shared" si="7"/>
        <v>-43</v>
      </c>
      <c r="R389">
        <f>_xlfn.XLOOKUP(E389,'Data Additive'!E:E,'Data Additive'!E:E,0)</f>
        <v>1246277331</v>
      </c>
    </row>
    <row r="390" spans="1:18" x14ac:dyDescent="0.25">
      <c r="A390">
        <v>2011</v>
      </c>
      <c r="B390" t="s">
        <v>616</v>
      </c>
      <c r="C390" t="s">
        <v>462</v>
      </c>
      <c r="D390" s="32">
        <v>105617.60000000001</v>
      </c>
      <c r="E390">
        <v>1246278485</v>
      </c>
      <c r="F390" s="28">
        <v>46209</v>
      </c>
      <c r="H390" t="s">
        <v>23</v>
      </c>
      <c r="I390" t="s">
        <v>24</v>
      </c>
      <c r="J390">
        <v>11634</v>
      </c>
      <c r="K390" s="28">
        <v>46181</v>
      </c>
      <c r="L390">
        <v>1010100</v>
      </c>
      <c r="M390" t="s">
        <v>29</v>
      </c>
      <c r="N390">
        <v>161</v>
      </c>
      <c r="O390" t="s">
        <v>145</v>
      </c>
      <c r="P390" t="s">
        <v>616</v>
      </c>
      <c r="Q390">
        <f t="shared" si="7"/>
        <v>-12</v>
      </c>
      <c r="R390">
        <f>_xlfn.XLOOKUP(E390,'Data Additive'!E:E,'Data Additive'!E:E,0)</f>
        <v>1246278485</v>
      </c>
    </row>
    <row r="391" spans="1:18" x14ac:dyDescent="0.25">
      <c r="A391">
        <v>2011</v>
      </c>
      <c r="B391" t="s">
        <v>616</v>
      </c>
      <c r="C391" t="s">
        <v>462</v>
      </c>
      <c r="D391" s="32">
        <v>105582.3</v>
      </c>
      <c r="E391">
        <v>1246277600</v>
      </c>
      <c r="F391" s="28">
        <v>46202</v>
      </c>
      <c r="H391" t="s">
        <v>23</v>
      </c>
      <c r="I391" t="s">
        <v>24</v>
      </c>
      <c r="J391">
        <v>11573</v>
      </c>
      <c r="K391" s="28">
        <v>46174</v>
      </c>
      <c r="L391">
        <v>1010100</v>
      </c>
      <c r="M391" t="s">
        <v>29</v>
      </c>
      <c r="N391">
        <v>161</v>
      </c>
      <c r="O391" t="s">
        <v>145</v>
      </c>
      <c r="P391" t="s">
        <v>616</v>
      </c>
      <c r="Q391">
        <f t="shared" si="7"/>
        <v>-5</v>
      </c>
      <c r="R391">
        <f>_xlfn.XLOOKUP(E391,'Data Additive'!E:E,'Data Additive'!E:E,0)</f>
        <v>1246277600</v>
      </c>
    </row>
    <row r="392" spans="1:18" x14ac:dyDescent="0.25">
      <c r="A392">
        <v>2011</v>
      </c>
      <c r="B392" t="s">
        <v>616</v>
      </c>
      <c r="C392" t="s">
        <v>462</v>
      </c>
      <c r="D392" s="32">
        <v>105229.3</v>
      </c>
      <c r="E392">
        <v>1246278427</v>
      </c>
      <c r="F392" s="28">
        <v>46207</v>
      </c>
      <c r="H392" t="s">
        <v>23</v>
      </c>
      <c r="I392" t="s">
        <v>24</v>
      </c>
      <c r="J392">
        <v>11628</v>
      </c>
      <c r="K392" s="28">
        <v>46179</v>
      </c>
      <c r="L392">
        <v>1010100</v>
      </c>
      <c r="M392" t="s">
        <v>29</v>
      </c>
      <c r="N392">
        <v>161</v>
      </c>
      <c r="O392" t="s">
        <v>145</v>
      </c>
      <c r="P392" t="s">
        <v>616</v>
      </c>
      <c r="Q392">
        <f t="shared" si="7"/>
        <v>-10</v>
      </c>
      <c r="R392">
        <f>_xlfn.XLOOKUP(E392,'Data Additive'!E:E,'Data Additive'!E:E,0)</f>
        <v>1246278427</v>
      </c>
    </row>
    <row r="393" spans="1:18" x14ac:dyDescent="0.25">
      <c r="A393">
        <v>2011</v>
      </c>
      <c r="B393" t="s">
        <v>616</v>
      </c>
      <c r="C393" t="s">
        <v>462</v>
      </c>
      <c r="D393" s="32">
        <v>105547</v>
      </c>
      <c r="E393">
        <v>1246278413</v>
      </c>
      <c r="F393" s="28">
        <v>46206</v>
      </c>
      <c r="H393" t="s">
        <v>23</v>
      </c>
      <c r="I393" t="s">
        <v>24</v>
      </c>
      <c r="J393">
        <v>11622</v>
      </c>
      <c r="K393" s="28">
        <v>46178</v>
      </c>
      <c r="L393">
        <v>1010100</v>
      </c>
      <c r="M393" t="s">
        <v>29</v>
      </c>
      <c r="N393">
        <v>161</v>
      </c>
      <c r="O393" t="s">
        <v>145</v>
      </c>
      <c r="P393" t="s">
        <v>616</v>
      </c>
      <c r="Q393">
        <f t="shared" si="7"/>
        <v>-9</v>
      </c>
      <c r="R393">
        <f>_xlfn.XLOOKUP(E393,'Data Additive'!E:E,'Data Additive'!E:E,0)</f>
        <v>1246278413</v>
      </c>
    </row>
    <row r="394" spans="1:18" x14ac:dyDescent="0.25">
      <c r="A394">
        <v>2011</v>
      </c>
      <c r="B394" t="s">
        <v>616</v>
      </c>
      <c r="C394" t="s">
        <v>462</v>
      </c>
      <c r="D394" s="32">
        <v>104876.3</v>
      </c>
      <c r="E394">
        <v>1246277476</v>
      </c>
      <c r="F394" s="28">
        <v>46199</v>
      </c>
      <c r="H394" t="s">
        <v>23</v>
      </c>
      <c r="I394" t="s">
        <v>24</v>
      </c>
      <c r="J394">
        <v>11558</v>
      </c>
      <c r="K394" s="28">
        <v>46171</v>
      </c>
      <c r="L394">
        <v>1010100</v>
      </c>
      <c r="M394" t="s">
        <v>29</v>
      </c>
      <c r="N394">
        <v>161</v>
      </c>
      <c r="O394" t="s">
        <v>145</v>
      </c>
      <c r="P394" t="s">
        <v>616</v>
      </c>
      <c r="Q394">
        <f t="shared" si="7"/>
        <v>-2</v>
      </c>
      <c r="R394">
        <f>_xlfn.XLOOKUP(E394,'Data Additive'!E:E,'Data Additive'!E:E,0)</f>
        <v>1246277476</v>
      </c>
    </row>
    <row r="395" spans="1:18" x14ac:dyDescent="0.25">
      <c r="A395">
        <v>507</v>
      </c>
      <c r="B395" t="s">
        <v>42</v>
      </c>
      <c r="C395" t="s">
        <v>15622</v>
      </c>
      <c r="D395" s="32">
        <v>69596</v>
      </c>
      <c r="E395">
        <v>1246280476</v>
      </c>
      <c r="F395" s="28">
        <v>46223</v>
      </c>
      <c r="H395" t="s">
        <v>23</v>
      </c>
      <c r="I395" t="s">
        <v>24</v>
      </c>
      <c r="J395">
        <v>11787</v>
      </c>
      <c r="K395" s="28">
        <v>46195</v>
      </c>
      <c r="L395">
        <v>1010100</v>
      </c>
      <c r="M395" t="s">
        <v>29</v>
      </c>
      <c r="N395">
        <v>161</v>
      </c>
      <c r="O395" t="s">
        <v>145</v>
      </c>
      <c r="P395" t="s">
        <v>42</v>
      </c>
      <c r="Q395">
        <f t="shared" si="7"/>
        <v>-26</v>
      </c>
      <c r="R395">
        <f>_xlfn.XLOOKUP(E395,'Data Additive'!E:E,'Data Additive'!E:E,0)</f>
        <v>1246280476</v>
      </c>
    </row>
    <row r="396" spans="1:18" x14ac:dyDescent="0.25">
      <c r="A396">
        <v>2247</v>
      </c>
      <c r="B396" t="s">
        <v>425</v>
      </c>
      <c r="C396" t="s">
        <v>15615</v>
      </c>
      <c r="D396" s="32">
        <v>37660</v>
      </c>
      <c r="E396">
        <v>1246279269</v>
      </c>
      <c r="F396" s="28">
        <v>46212</v>
      </c>
      <c r="H396" t="s">
        <v>23</v>
      </c>
      <c r="I396" t="s">
        <v>24</v>
      </c>
      <c r="J396">
        <v>3010</v>
      </c>
      <c r="K396" s="28">
        <v>46184</v>
      </c>
      <c r="L396">
        <v>1010100</v>
      </c>
      <c r="M396" t="s">
        <v>29</v>
      </c>
      <c r="N396">
        <v>161</v>
      </c>
      <c r="O396" t="s">
        <v>145</v>
      </c>
      <c r="P396" t="s">
        <v>425</v>
      </c>
      <c r="Q396">
        <f t="shared" si="7"/>
        <v>-15</v>
      </c>
      <c r="R396">
        <f>_xlfn.XLOOKUP(E396,'Data Additive'!E:E,'Data Additive'!E:E,0)</f>
        <v>1246279269</v>
      </c>
    </row>
    <row r="397" spans="1:18" x14ac:dyDescent="0.25">
      <c r="A397">
        <v>3142</v>
      </c>
      <c r="B397" t="s">
        <v>78</v>
      </c>
      <c r="C397" t="s">
        <v>735</v>
      </c>
      <c r="D397" s="32">
        <v>83393.100000000006</v>
      </c>
      <c r="E397">
        <v>1246279113</v>
      </c>
      <c r="F397" s="28">
        <v>46211</v>
      </c>
      <c r="H397" t="s">
        <v>23</v>
      </c>
      <c r="I397" t="s">
        <v>24</v>
      </c>
      <c r="J397">
        <v>11675</v>
      </c>
      <c r="K397" s="28">
        <v>46183</v>
      </c>
      <c r="L397">
        <v>1010100</v>
      </c>
      <c r="M397" t="s">
        <v>29</v>
      </c>
      <c r="N397">
        <v>161</v>
      </c>
      <c r="O397" t="s">
        <v>145</v>
      </c>
      <c r="P397" t="s">
        <v>78</v>
      </c>
      <c r="Q397">
        <f t="shared" si="7"/>
        <v>-14</v>
      </c>
      <c r="R397">
        <f>_xlfn.XLOOKUP(E397,'Data Additive'!E:E,'Data Additive'!E:E,0)</f>
        <v>1246279113</v>
      </c>
    </row>
    <row r="398" spans="1:18" x14ac:dyDescent="0.25">
      <c r="A398">
        <v>2622</v>
      </c>
      <c r="B398" t="s">
        <v>73</v>
      </c>
      <c r="C398" t="s">
        <v>478</v>
      </c>
      <c r="D398" s="32">
        <v>382561.45</v>
      </c>
      <c r="E398">
        <v>1246274802</v>
      </c>
      <c r="F398" s="28">
        <v>46245</v>
      </c>
      <c r="H398" t="s">
        <v>23</v>
      </c>
      <c r="I398" t="s">
        <v>24</v>
      </c>
      <c r="J398">
        <v>2939</v>
      </c>
      <c r="K398" s="28">
        <v>46155</v>
      </c>
      <c r="L398">
        <v>1010100</v>
      </c>
      <c r="M398" t="s">
        <v>29</v>
      </c>
      <c r="N398">
        <v>161</v>
      </c>
      <c r="O398" t="s">
        <v>145</v>
      </c>
      <c r="P398" t="s">
        <v>73</v>
      </c>
      <c r="Q398">
        <f t="shared" si="7"/>
        <v>-48</v>
      </c>
      <c r="R398">
        <f>_xlfn.XLOOKUP(E398,'Data Additive'!E:E,'Data Additive'!E:E,0)</f>
        <v>1246274802</v>
      </c>
    </row>
    <row r="399" spans="1:18" x14ac:dyDescent="0.25">
      <c r="A399">
        <v>2975</v>
      </c>
      <c r="B399" t="s">
        <v>420</v>
      </c>
      <c r="C399" t="s">
        <v>76</v>
      </c>
      <c r="D399" s="32">
        <v>61840.800000000003</v>
      </c>
      <c r="E399">
        <v>1246278376</v>
      </c>
      <c r="F399" s="28">
        <v>46206</v>
      </c>
      <c r="H399" t="s">
        <v>23</v>
      </c>
      <c r="I399" t="s">
        <v>24</v>
      </c>
      <c r="J399">
        <v>11611</v>
      </c>
      <c r="K399" s="28">
        <v>46178</v>
      </c>
      <c r="L399">
        <v>1010100</v>
      </c>
      <c r="M399" t="s">
        <v>29</v>
      </c>
      <c r="N399">
        <v>161</v>
      </c>
      <c r="O399" t="s">
        <v>145</v>
      </c>
      <c r="P399" t="s">
        <v>420</v>
      </c>
      <c r="Q399">
        <f t="shared" si="7"/>
        <v>-9</v>
      </c>
      <c r="R399">
        <f>_xlfn.XLOOKUP(E399,'Data Additive'!E:E,'Data Additive'!E:E,0)</f>
        <v>1246278376</v>
      </c>
    </row>
    <row r="400" spans="1:18" x14ac:dyDescent="0.25">
      <c r="A400">
        <v>2975</v>
      </c>
      <c r="B400" t="s">
        <v>420</v>
      </c>
      <c r="C400" t="s">
        <v>76</v>
      </c>
      <c r="D400" s="32">
        <v>79919.7</v>
      </c>
      <c r="E400">
        <v>1246280427</v>
      </c>
      <c r="F400" s="28">
        <v>46223</v>
      </c>
      <c r="H400" t="s">
        <v>23</v>
      </c>
      <c r="I400" t="s">
        <v>24</v>
      </c>
      <c r="J400">
        <v>11781</v>
      </c>
      <c r="K400" s="28">
        <v>46195</v>
      </c>
      <c r="L400">
        <v>1010100</v>
      </c>
      <c r="M400" t="s">
        <v>29</v>
      </c>
      <c r="N400">
        <v>161</v>
      </c>
      <c r="O400" t="s">
        <v>145</v>
      </c>
      <c r="P400" t="s">
        <v>420</v>
      </c>
      <c r="Q400">
        <f t="shared" si="7"/>
        <v>-26</v>
      </c>
      <c r="R400">
        <f>_xlfn.XLOOKUP(E400,'Data Additive'!E:E,'Data Additive'!E:E,0)</f>
        <v>1246280427</v>
      </c>
    </row>
    <row r="401" spans="1:18" x14ac:dyDescent="0.25">
      <c r="A401">
        <v>2975</v>
      </c>
      <c r="B401" t="s">
        <v>420</v>
      </c>
      <c r="C401" t="s">
        <v>76</v>
      </c>
      <c r="D401" s="32">
        <v>20069.7</v>
      </c>
      <c r="E401">
        <v>1246278383</v>
      </c>
      <c r="F401" s="28">
        <v>46206</v>
      </c>
      <c r="H401" t="s">
        <v>23</v>
      </c>
      <c r="I401" t="s">
        <v>24</v>
      </c>
      <c r="J401">
        <v>11614</v>
      </c>
      <c r="K401" s="28">
        <v>46178</v>
      </c>
      <c r="L401">
        <v>1010100</v>
      </c>
      <c r="M401" t="s">
        <v>29</v>
      </c>
      <c r="N401">
        <v>161</v>
      </c>
      <c r="O401" t="s">
        <v>145</v>
      </c>
      <c r="P401" t="s">
        <v>420</v>
      </c>
      <c r="Q401">
        <f t="shared" si="7"/>
        <v>-9</v>
      </c>
      <c r="R401">
        <f>_xlfn.XLOOKUP(E401,'Data Additive'!E:E,'Data Additive'!E:E,0)</f>
        <v>1246278383</v>
      </c>
    </row>
    <row r="402" spans="1:18" x14ac:dyDescent="0.25">
      <c r="A402">
        <v>2809</v>
      </c>
      <c r="B402" t="s">
        <v>159</v>
      </c>
      <c r="C402" t="s">
        <v>15616</v>
      </c>
      <c r="D402" s="32">
        <v>48336</v>
      </c>
      <c r="E402">
        <v>1246279479</v>
      </c>
      <c r="F402" s="28">
        <v>46216</v>
      </c>
      <c r="H402" t="s">
        <v>23</v>
      </c>
      <c r="I402" t="s">
        <v>24</v>
      </c>
      <c r="J402">
        <v>11706</v>
      </c>
      <c r="K402" s="28">
        <v>46188</v>
      </c>
      <c r="L402">
        <v>1010100</v>
      </c>
      <c r="M402" t="s">
        <v>29</v>
      </c>
      <c r="N402">
        <v>161</v>
      </c>
      <c r="O402" t="s">
        <v>145</v>
      </c>
      <c r="P402" t="s">
        <v>159</v>
      </c>
      <c r="Q402">
        <f t="shared" ref="Q402:Q444" si="8">$R$1-F402</f>
        <v>-19</v>
      </c>
      <c r="R402">
        <f>_xlfn.XLOOKUP(E402,'Data Additive'!E:E,'Data Additive'!E:E,0)</f>
        <v>1246279479</v>
      </c>
    </row>
    <row r="403" spans="1:18" x14ac:dyDescent="0.25">
      <c r="A403">
        <v>6132</v>
      </c>
      <c r="B403" t="s">
        <v>160</v>
      </c>
      <c r="C403" t="s">
        <v>161</v>
      </c>
      <c r="D403" s="32">
        <v>131993.79999999999</v>
      </c>
      <c r="E403">
        <v>1246090615</v>
      </c>
      <c r="F403" s="28">
        <v>45471</v>
      </c>
      <c r="H403" t="s">
        <v>156</v>
      </c>
      <c r="I403" t="s">
        <v>157</v>
      </c>
      <c r="J403">
        <v>33</v>
      </c>
      <c r="K403" s="28">
        <v>45111</v>
      </c>
      <c r="L403">
        <v>1010100</v>
      </c>
      <c r="M403" t="s">
        <v>29</v>
      </c>
      <c r="N403">
        <v>161</v>
      </c>
      <c r="O403" t="s">
        <v>145</v>
      </c>
      <c r="P403" t="s">
        <v>160</v>
      </c>
      <c r="Q403">
        <f t="shared" si="8"/>
        <v>726</v>
      </c>
      <c r="R403">
        <f>_xlfn.XLOOKUP(E403,'Data Additive'!E:E,'Data Additive'!E:E,0)</f>
        <v>0</v>
      </c>
    </row>
    <row r="404" spans="1:18" x14ac:dyDescent="0.25">
      <c r="A404">
        <v>6132</v>
      </c>
      <c r="B404" t="s">
        <v>160</v>
      </c>
      <c r="C404" t="s">
        <v>161</v>
      </c>
      <c r="D404" s="32">
        <v>178370</v>
      </c>
      <c r="E404">
        <v>1246091907</v>
      </c>
      <c r="F404" s="28">
        <v>45437</v>
      </c>
      <c r="H404" t="s">
        <v>156</v>
      </c>
      <c r="I404" t="s">
        <v>157</v>
      </c>
      <c r="J404">
        <v>129</v>
      </c>
      <c r="K404" s="28">
        <v>45119</v>
      </c>
      <c r="L404">
        <v>1010100</v>
      </c>
      <c r="M404" t="s">
        <v>29</v>
      </c>
      <c r="N404">
        <v>161</v>
      </c>
      <c r="O404" t="s">
        <v>145</v>
      </c>
      <c r="P404" t="s">
        <v>160</v>
      </c>
      <c r="Q404">
        <f t="shared" si="8"/>
        <v>760</v>
      </c>
      <c r="R404">
        <f>_xlfn.XLOOKUP(E404,'Data Additive'!E:E,'Data Additive'!E:E,0)</f>
        <v>0</v>
      </c>
    </row>
    <row r="405" spans="1:18" x14ac:dyDescent="0.25">
      <c r="A405">
        <v>6132</v>
      </c>
      <c r="B405" t="s">
        <v>160</v>
      </c>
      <c r="C405" t="s">
        <v>161</v>
      </c>
      <c r="D405" s="32">
        <v>178370</v>
      </c>
      <c r="E405">
        <v>1246090579</v>
      </c>
      <c r="F405" s="28">
        <v>45470</v>
      </c>
      <c r="H405" t="s">
        <v>156</v>
      </c>
      <c r="I405" t="s">
        <v>157</v>
      </c>
      <c r="J405">
        <v>28</v>
      </c>
      <c r="K405" s="28">
        <v>45110</v>
      </c>
      <c r="L405">
        <v>1010100</v>
      </c>
      <c r="M405" t="s">
        <v>29</v>
      </c>
      <c r="N405">
        <v>161</v>
      </c>
      <c r="O405" t="s">
        <v>145</v>
      </c>
      <c r="P405" t="s">
        <v>160</v>
      </c>
      <c r="Q405">
        <f t="shared" si="8"/>
        <v>727</v>
      </c>
      <c r="R405">
        <f>_xlfn.XLOOKUP(E405,'Data Additive'!E:E,'Data Additive'!E:E,0)</f>
        <v>0</v>
      </c>
    </row>
    <row r="406" spans="1:18" x14ac:dyDescent="0.25">
      <c r="A406">
        <v>6132</v>
      </c>
      <c r="B406" t="s">
        <v>160</v>
      </c>
      <c r="C406" t="s">
        <v>161</v>
      </c>
      <c r="D406" s="32">
        <v>142696</v>
      </c>
      <c r="E406">
        <v>1246091833</v>
      </c>
      <c r="F406" s="28">
        <v>45436</v>
      </c>
      <c r="H406" t="s">
        <v>156</v>
      </c>
      <c r="I406" t="s">
        <v>157</v>
      </c>
      <c r="J406">
        <v>116</v>
      </c>
      <c r="K406" s="28">
        <v>45118</v>
      </c>
      <c r="L406">
        <v>1010100</v>
      </c>
      <c r="M406" t="s">
        <v>29</v>
      </c>
      <c r="N406">
        <v>161</v>
      </c>
      <c r="O406" t="s">
        <v>145</v>
      </c>
      <c r="P406" t="s">
        <v>160</v>
      </c>
      <c r="Q406">
        <f t="shared" si="8"/>
        <v>761</v>
      </c>
      <c r="R406">
        <f>_xlfn.XLOOKUP(E406,'Data Additive'!E:E,'Data Additive'!E:E,0)</f>
        <v>0</v>
      </c>
    </row>
    <row r="407" spans="1:18" ht="0.6" customHeight="1" x14ac:dyDescent="0.25">
      <c r="A407">
        <v>6132</v>
      </c>
      <c r="B407" t="s">
        <v>160</v>
      </c>
      <c r="C407" t="s">
        <v>161</v>
      </c>
      <c r="D407" s="32">
        <v>60766.2</v>
      </c>
      <c r="E407">
        <v>1246095119</v>
      </c>
      <c r="F407" s="28">
        <v>45447</v>
      </c>
      <c r="H407" t="s">
        <v>156</v>
      </c>
      <c r="I407" t="s">
        <v>157</v>
      </c>
      <c r="J407">
        <v>93</v>
      </c>
      <c r="K407" s="28">
        <v>45138</v>
      </c>
      <c r="L407">
        <v>1010100</v>
      </c>
      <c r="M407" t="s">
        <v>29</v>
      </c>
      <c r="N407">
        <v>161</v>
      </c>
      <c r="O407" t="s">
        <v>145</v>
      </c>
      <c r="P407" t="s">
        <v>160</v>
      </c>
      <c r="Q407">
        <f t="shared" si="8"/>
        <v>750</v>
      </c>
      <c r="R407">
        <f>_xlfn.XLOOKUP(E407,'Data Additive'!E:E,'Data Additive'!E:E,0)</f>
        <v>0</v>
      </c>
    </row>
    <row r="408" spans="1:18" x14ac:dyDescent="0.25">
      <c r="A408">
        <v>6132</v>
      </c>
      <c r="B408" t="s">
        <v>160</v>
      </c>
      <c r="C408" t="s">
        <v>161</v>
      </c>
      <c r="D408" s="32">
        <v>178260</v>
      </c>
      <c r="E408">
        <v>1246091832</v>
      </c>
      <c r="F408" s="28">
        <v>45436</v>
      </c>
      <c r="H408" t="s">
        <v>156</v>
      </c>
      <c r="I408" t="s">
        <v>157</v>
      </c>
      <c r="J408">
        <v>115</v>
      </c>
      <c r="K408" s="28">
        <v>45118</v>
      </c>
      <c r="L408">
        <v>1010100</v>
      </c>
      <c r="M408" t="s">
        <v>29</v>
      </c>
      <c r="N408">
        <v>161</v>
      </c>
      <c r="O408" t="s">
        <v>145</v>
      </c>
      <c r="P408" t="s">
        <v>160</v>
      </c>
      <c r="Q408">
        <f t="shared" si="8"/>
        <v>761</v>
      </c>
      <c r="R408">
        <f>_xlfn.XLOOKUP(E408,'Data Additive'!E:E,'Data Additive'!E:E,0)</f>
        <v>0</v>
      </c>
    </row>
    <row r="409" spans="1:18" x14ac:dyDescent="0.25">
      <c r="A409">
        <v>6132</v>
      </c>
      <c r="B409" t="s">
        <v>160</v>
      </c>
      <c r="C409" t="s">
        <v>161</v>
      </c>
      <c r="D409" s="32">
        <v>151915.50000000003</v>
      </c>
      <c r="E409">
        <v>1246095049</v>
      </c>
      <c r="F409" s="28">
        <v>45447</v>
      </c>
      <c r="H409" t="s">
        <v>156</v>
      </c>
      <c r="I409" t="s">
        <v>157</v>
      </c>
      <c r="J409">
        <v>92</v>
      </c>
      <c r="K409" s="28">
        <v>45138</v>
      </c>
      <c r="L409">
        <v>1010100</v>
      </c>
      <c r="M409" t="s">
        <v>29</v>
      </c>
      <c r="N409">
        <v>161</v>
      </c>
      <c r="O409" t="s">
        <v>145</v>
      </c>
      <c r="P409" t="s">
        <v>160</v>
      </c>
      <c r="Q409">
        <f t="shared" si="8"/>
        <v>750</v>
      </c>
      <c r="R409">
        <f>_xlfn.XLOOKUP(E409,'Data Additive'!E:E,'Data Additive'!E:E,0)</f>
        <v>0</v>
      </c>
    </row>
    <row r="410" spans="1:18" x14ac:dyDescent="0.25">
      <c r="A410">
        <v>6132</v>
      </c>
      <c r="B410" t="s">
        <v>160</v>
      </c>
      <c r="C410" t="s">
        <v>161</v>
      </c>
      <c r="D410" s="32">
        <v>91149.3</v>
      </c>
      <c r="E410">
        <v>1246095124</v>
      </c>
      <c r="F410" s="28">
        <v>45447</v>
      </c>
      <c r="H410" t="s">
        <v>156</v>
      </c>
      <c r="I410" t="s">
        <v>157</v>
      </c>
      <c r="J410">
        <v>94</v>
      </c>
      <c r="K410" s="28">
        <v>45138</v>
      </c>
      <c r="L410">
        <v>1010100</v>
      </c>
      <c r="M410" t="s">
        <v>29</v>
      </c>
      <c r="N410">
        <v>161</v>
      </c>
      <c r="O410" t="s">
        <v>145</v>
      </c>
      <c r="P410" t="s">
        <v>160</v>
      </c>
      <c r="Q410">
        <f t="shared" si="8"/>
        <v>750</v>
      </c>
      <c r="R410">
        <f>_xlfn.XLOOKUP(E410,'Data Additive'!E:E,'Data Additive'!E:E,0)</f>
        <v>0</v>
      </c>
    </row>
    <row r="411" spans="1:18" x14ac:dyDescent="0.25">
      <c r="A411">
        <v>6132</v>
      </c>
      <c r="B411" t="s">
        <v>160</v>
      </c>
      <c r="C411" t="s">
        <v>161</v>
      </c>
      <c r="D411" s="32">
        <v>85223.34</v>
      </c>
      <c r="E411">
        <v>1246097799</v>
      </c>
      <c r="F411" s="28">
        <v>45442</v>
      </c>
      <c r="H411" t="s">
        <v>156</v>
      </c>
      <c r="I411" t="s">
        <v>157</v>
      </c>
      <c r="J411">
        <v>678</v>
      </c>
      <c r="K411" s="28">
        <v>45152</v>
      </c>
      <c r="L411">
        <v>1010100</v>
      </c>
      <c r="M411" t="s">
        <v>29</v>
      </c>
      <c r="N411">
        <v>161</v>
      </c>
      <c r="O411" t="s">
        <v>145</v>
      </c>
      <c r="P411" t="s">
        <v>160</v>
      </c>
      <c r="Q411">
        <f t="shared" si="8"/>
        <v>755</v>
      </c>
      <c r="R411">
        <f>_xlfn.XLOOKUP(E411,'Data Additive'!E:E,'Data Additive'!E:E,0)</f>
        <v>0</v>
      </c>
    </row>
    <row r="412" spans="1:18" x14ac:dyDescent="0.25">
      <c r="A412">
        <v>6132</v>
      </c>
      <c r="B412" t="s">
        <v>160</v>
      </c>
      <c r="C412" t="s">
        <v>161</v>
      </c>
      <c r="D412" s="32">
        <v>84323.41</v>
      </c>
      <c r="E412">
        <v>1246121990</v>
      </c>
      <c r="F412" s="28">
        <v>45557</v>
      </c>
      <c r="H412" t="s">
        <v>156</v>
      </c>
      <c r="I412" t="s">
        <v>157</v>
      </c>
      <c r="J412">
        <v>2361</v>
      </c>
      <c r="K412" s="28">
        <v>45289</v>
      </c>
      <c r="L412">
        <v>1010100</v>
      </c>
      <c r="M412" t="s">
        <v>29</v>
      </c>
      <c r="N412">
        <v>161</v>
      </c>
      <c r="O412" t="s">
        <v>145</v>
      </c>
      <c r="P412" t="s">
        <v>160</v>
      </c>
      <c r="Q412">
        <f t="shared" si="8"/>
        <v>640</v>
      </c>
      <c r="R412">
        <f>_xlfn.XLOOKUP(E412,'Data Additive'!E:E,'Data Additive'!E:E,0)</f>
        <v>0</v>
      </c>
    </row>
    <row r="413" spans="1:18" x14ac:dyDescent="0.25">
      <c r="A413">
        <v>6132</v>
      </c>
      <c r="B413" t="s">
        <v>160</v>
      </c>
      <c r="C413" t="s">
        <v>161</v>
      </c>
      <c r="D413" s="32">
        <v>63251.12</v>
      </c>
      <c r="E413">
        <v>1246128996</v>
      </c>
      <c r="F413" s="28">
        <v>45571</v>
      </c>
      <c r="H413" t="s">
        <v>156</v>
      </c>
      <c r="I413" t="s">
        <v>157</v>
      </c>
      <c r="J413">
        <v>2766</v>
      </c>
      <c r="K413" s="28">
        <v>45331</v>
      </c>
      <c r="L413">
        <v>1010100</v>
      </c>
      <c r="M413" t="s">
        <v>29</v>
      </c>
      <c r="N413">
        <v>161</v>
      </c>
      <c r="O413" t="s">
        <v>145</v>
      </c>
      <c r="P413" t="s">
        <v>160</v>
      </c>
      <c r="Q413">
        <f t="shared" si="8"/>
        <v>626</v>
      </c>
      <c r="R413">
        <f>_xlfn.XLOOKUP(E413,'Data Additive'!E:E,'Data Additive'!E:E,0)</f>
        <v>0</v>
      </c>
    </row>
    <row r="414" spans="1:18" x14ac:dyDescent="0.25">
      <c r="A414">
        <v>6132</v>
      </c>
      <c r="B414" t="s">
        <v>160</v>
      </c>
      <c r="C414" t="s">
        <v>161</v>
      </c>
      <c r="D414" s="32">
        <v>52062</v>
      </c>
      <c r="E414">
        <v>1246115169</v>
      </c>
      <c r="F414" s="28">
        <v>45466</v>
      </c>
      <c r="H414" t="s">
        <v>156</v>
      </c>
      <c r="I414" t="s">
        <v>157</v>
      </c>
      <c r="J414">
        <v>1974</v>
      </c>
      <c r="K414" s="28">
        <v>45244</v>
      </c>
      <c r="L414">
        <v>1010100</v>
      </c>
      <c r="M414" t="s">
        <v>29</v>
      </c>
      <c r="N414">
        <v>161</v>
      </c>
      <c r="O414" t="s">
        <v>145</v>
      </c>
      <c r="P414" t="s">
        <v>160</v>
      </c>
      <c r="Q414">
        <f t="shared" si="8"/>
        <v>731</v>
      </c>
      <c r="R414">
        <f>_xlfn.XLOOKUP(E414,'Data Additive'!E:E,'Data Additive'!E:E,0)</f>
        <v>0</v>
      </c>
    </row>
    <row r="415" spans="1:18" x14ac:dyDescent="0.25">
      <c r="A415">
        <v>6132</v>
      </c>
      <c r="B415" t="s">
        <v>160</v>
      </c>
      <c r="C415" t="s">
        <v>161</v>
      </c>
      <c r="D415" s="32">
        <v>32002.66</v>
      </c>
      <c r="E415">
        <v>1246120211</v>
      </c>
      <c r="F415" s="28">
        <v>45518</v>
      </c>
      <c r="H415" t="s">
        <v>156</v>
      </c>
      <c r="I415" t="s">
        <v>157</v>
      </c>
      <c r="J415">
        <v>2284</v>
      </c>
      <c r="K415" s="28">
        <v>45278</v>
      </c>
      <c r="L415">
        <v>1010100</v>
      </c>
      <c r="M415" t="s">
        <v>29</v>
      </c>
      <c r="N415">
        <v>161</v>
      </c>
      <c r="O415" t="s">
        <v>145</v>
      </c>
      <c r="P415" t="s">
        <v>160</v>
      </c>
      <c r="Q415">
        <f t="shared" si="8"/>
        <v>679</v>
      </c>
      <c r="R415">
        <f>_xlfn.XLOOKUP(E415,'Data Additive'!E:E,'Data Additive'!E:E,0)</f>
        <v>0</v>
      </c>
    </row>
    <row r="416" spans="1:18" x14ac:dyDescent="0.25">
      <c r="A416">
        <v>6132</v>
      </c>
      <c r="B416" t="s">
        <v>160</v>
      </c>
      <c r="C416" t="s">
        <v>161</v>
      </c>
      <c r="D416" s="32">
        <v>112435.2</v>
      </c>
      <c r="E416">
        <v>1246116054</v>
      </c>
      <c r="F416" s="28">
        <v>45491</v>
      </c>
      <c r="H416" t="s">
        <v>156</v>
      </c>
      <c r="I416" t="s">
        <v>157</v>
      </c>
      <c r="J416">
        <v>2046</v>
      </c>
      <c r="K416" s="28">
        <v>45251</v>
      </c>
      <c r="L416">
        <v>1010100</v>
      </c>
      <c r="M416" t="s">
        <v>29</v>
      </c>
      <c r="N416">
        <v>161</v>
      </c>
      <c r="O416" t="s">
        <v>145</v>
      </c>
      <c r="P416" t="s">
        <v>160</v>
      </c>
      <c r="Q416">
        <f t="shared" si="8"/>
        <v>706</v>
      </c>
      <c r="R416">
        <f>_xlfn.XLOOKUP(E416,'Data Additive'!E:E,'Data Additive'!E:E,0)</f>
        <v>0</v>
      </c>
    </row>
    <row r="417" spans="1:18" x14ac:dyDescent="0.25">
      <c r="A417">
        <v>6132</v>
      </c>
      <c r="B417" t="s">
        <v>160</v>
      </c>
      <c r="C417" t="s">
        <v>161</v>
      </c>
      <c r="D417" s="32">
        <v>29450.6</v>
      </c>
      <c r="E417">
        <v>1246128801</v>
      </c>
      <c r="F417" s="28">
        <v>45605</v>
      </c>
      <c r="H417" t="s">
        <v>156</v>
      </c>
      <c r="I417" t="s">
        <v>157</v>
      </c>
      <c r="J417">
        <v>2746</v>
      </c>
      <c r="K417" s="28">
        <v>45330</v>
      </c>
      <c r="L417">
        <v>1010100</v>
      </c>
      <c r="M417" t="s">
        <v>29</v>
      </c>
      <c r="N417">
        <v>161</v>
      </c>
      <c r="O417" t="s">
        <v>145</v>
      </c>
      <c r="P417" t="s">
        <v>160</v>
      </c>
      <c r="Q417">
        <f t="shared" si="8"/>
        <v>592</v>
      </c>
      <c r="R417">
        <f>_xlfn.XLOOKUP(E417,'Data Additive'!E:E,'Data Additive'!E:E,0)</f>
        <v>0</v>
      </c>
    </row>
    <row r="418" spans="1:18" x14ac:dyDescent="0.25">
      <c r="A418">
        <v>6132</v>
      </c>
      <c r="B418" t="s">
        <v>160</v>
      </c>
      <c r="C418" t="s">
        <v>161</v>
      </c>
      <c r="D418" s="32">
        <v>87840</v>
      </c>
      <c r="E418">
        <v>1246113431</v>
      </c>
      <c r="F418" s="28">
        <v>45476</v>
      </c>
      <c r="H418" t="s">
        <v>156</v>
      </c>
      <c r="I418" t="s">
        <v>157</v>
      </c>
      <c r="J418">
        <v>1852</v>
      </c>
      <c r="K418" s="28">
        <v>45236</v>
      </c>
      <c r="L418">
        <v>1010100</v>
      </c>
      <c r="M418" t="s">
        <v>29</v>
      </c>
      <c r="N418">
        <v>161</v>
      </c>
      <c r="O418" t="s">
        <v>145</v>
      </c>
      <c r="P418" t="s">
        <v>160</v>
      </c>
      <c r="Q418">
        <f t="shared" si="8"/>
        <v>721</v>
      </c>
      <c r="R418">
        <f>_xlfn.XLOOKUP(E418,'Data Additive'!E:E,'Data Additive'!E:E,0)</f>
        <v>0</v>
      </c>
    </row>
    <row r="419" spans="1:18" x14ac:dyDescent="0.25">
      <c r="A419">
        <v>6132</v>
      </c>
      <c r="B419" t="s">
        <v>160</v>
      </c>
      <c r="C419" t="s">
        <v>161</v>
      </c>
      <c r="D419" s="32">
        <v>27201.1</v>
      </c>
      <c r="E419">
        <v>1246124199</v>
      </c>
      <c r="F419" s="28">
        <v>45557</v>
      </c>
      <c r="H419" t="s">
        <v>156</v>
      </c>
      <c r="I419" t="s">
        <v>157</v>
      </c>
      <c r="J419">
        <v>2454</v>
      </c>
      <c r="K419" s="28">
        <v>45301</v>
      </c>
      <c r="L419">
        <v>1010100</v>
      </c>
      <c r="M419" t="s">
        <v>29</v>
      </c>
      <c r="N419">
        <v>161</v>
      </c>
      <c r="O419" t="s">
        <v>145</v>
      </c>
      <c r="P419" t="s">
        <v>160</v>
      </c>
      <c r="Q419">
        <f t="shared" si="8"/>
        <v>640</v>
      </c>
      <c r="R419">
        <f>_xlfn.XLOOKUP(E419,'Data Additive'!E:E,'Data Additive'!E:E,0)</f>
        <v>0</v>
      </c>
    </row>
    <row r="420" spans="1:18" x14ac:dyDescent="0.25">
      <c r="A420">
        <v>6132</v>
      </c>
      <c r="B420" t="s">
        <v>160</v>
      </c>
      <c r="C420" t="s">
        <v>161</v>
      </c>
      <c r="D420" s="32">
        <v>86529.600000000006</v>
      </c>
      <c r="E420">
        <v>1246116354</v>
      </c>
      <c r="F420" s="28">
        <v>45475</v>
      </c>
      <c r="H420" t="s">
        <v>156</v>
      </c>
      <c r="I420" t="s">
        <v>157</v>
      </c>
      <c r="J420">
        <v>2068</v>
      </c>
      <c r="K420" s="28">
        <v>45253</v>
      </c>
      <c r="L420">
        <v>1010100</v>
      </c>
      <c r="M420" t="s">
        <v>29</v>
      </c>
      <c r="N420">
        <v>161</v>
      </c>
      <c r="O420" t="s">
        <v>145</v>
      </c>
      <c r="P420" t="s">
        <v>160</v>
      </c>
      <c r="Q420">
        <f t="shared" si="8"/>
        <v>722</v>
      </c>
      <c r="R420">
        <f>_xlfn.XLOOKUP(E420,'Data Additive'!E:E,'Data Additive'!E:E,0)</f>
        <v>0</v>
      </c>
    </row>
    <row r="421" spans="1:18" x14ac:dyDescent="0.25">
      <c r="A421">
        <v>6132</v>
      </c>
      <c r="B421" t="s">
        <v>160</v>
      </c>
      <c r="C421" t="s">
        <v>161</v>
      </c>
      <c r="D421" s="32">
        <v>171010</v>
      </c>
      <c r="E421">
        <v>1246117256</v>
      </c>
      <c r="F421" s="28">
        <v>45474</v>
      </c>
      <c r="H421" t="s">
        <v>156</v>
      </c>
      <c r="I421" t="s">
        <v>157</v>
      </c>
      <c r="J421">
        <v>2130</v>
      </c>
      <c r="K421" s="28">
        <v>45260</v>
      </c>
      <c r="L421">
        <v>1010100</v>
      </c>
      <c r="M421" t="s">
        <v>29</v>
      </c>
      <c r="N421">
        <v>161</v>
      </c>
      <c r="O421" t="s">
        <v>145</v>
      </c>
      <c r="P421" t="s">
        <v>160</v>
      </c>
      <c r="Q421">
        <f t="shared" si="8"/>
        <v>723</v>
      </c>
      <c r="R421">
        <f>_xlfn.XLOOKUP(E421,'Data Additive'!E:E,'Data Additive'!E:E,0)</f>
        <v>0</v>
      </c>
    </row>
    <row r="422" spans="1:18" x14ac:dyDescent="0.25">
      <c r="A422">
        <v>6132</v>
      </c>
      <c r="B422" t="s">
        <v>160</v>
      </c>
      <c r="C422" t="s">
        <v>161</v>
      </c>
      <c r="D422" s="32">
        <v>94461</v>
      </c>
      <c r="E422">
        <v>1246125716</v>
      </c>
      <c r="F422" s="28">
        <v>45578</v>
      </c>
      <c r="H422" t="s">
        <v>156</v>
      </c>
      <c r="I422" t="s">
        <v>157</v>
      </c>
      <c r="J422">
        <v>2541</v>
      </c>
      <c r="K422" s="28">
        <v>45310</v>
      </c>
      <c r="L422">
        <v>1010100</v>
      </c>
      <c r="M422" t="s">
        <v>29</v>
      </c>
      <c r="N422">
        <v>161</v>
      </c>
      <c r="O422" t="s">
        <v>145</v>
      </c>
      <c r="P422" t="s">
        <v>160</v>
      </c>
      <c r="Q422">
        <f t="shared" si="8"/>
        <v>619</v>
      </c>
      <c r="R422">
        <f>_xlfn.XLOOKUP(E422,'Data Additive'!E:E,'Data Additive'!E:E,0)</f>
        <v>0</v>
      </c>
    </row>
    <row r="423" spans="1:18" x14ac:dyDescent="0.25">
      <c r="A423">
        <v>6132</v>
      </c>
      <c r="B423" t="s">
        <v>160</v>
      </c>
      <c r="C423" t="s">
        <v>161</v>
      </c>
      <c r="D423" s="32">
        <v>67967</v>
      </c>
      <c r="E423">
        <v>1246128327</v>
      </c>
      <c r="F423" s="28">
        <v>45567</v>
      </c>
      <c r="H423" t="s">
        <v>156</v>
      </c>
      <c r="I423" t="s">
        <v>157</v>
      </c>
      <c r="J423">
        <v>2712</v>
      </c>
      <c r="K423" s="28">
        <v>45327</v>
      </c>
      <c r="L423">
        <v>1010100</v>
      </c>
      <c r="M423" t="s">
        <v>29</v>
      </c>
      <c r="N423">
        <v>161</v>
      </c>
      <c r="O423" t="s">
        <v>145</v>
      </c>
      <c r="P423" t="s">
        <v>160</v>
      </c>
      <c r="Q423">
        <f t="shared" si="8"/>
        <v>630</v>
      </c>
      <c r="R423">
        <f>_xlfn.XLOOKUP(E423,'Data Additive'!E:E,'Data Additive'!E:E,0)</f>
        <v>0</v>
      </c>
    </row>
    <row r="424" spans="1:18" x14ac:dyDescent="0.25">
      <c r="A424">
        <v>6132</v>
      </c>
      <c r="B424" t="s">
        <v>160</v>
      </c>
      <c r="C424" t="s">
        <v>161</v>
      </c>
      <c r="D424" s="32">
        <v>77852.5</v>
      </c>
      <c r="E424">
        <v>1246128328</v>
      </c>
      <c r="F424" s="28">
        <v>45567</v>
      </c>
      <c r="H424" t="s">
        <v>156</v>
      </c>
      <c r="I424" t="s">
        <v>157</v>
      </c>
      <c r="J424">
        <v>2713</v>
      </c>
      <c r="K424" s="28">
        <v>45327</v>
      </c>
      <c r="L424">
        <v>1010100</v>
      </c>
      <c r="M424" t="s">
        <v>29</v>
      </c>
      <c r="N424">
        <v>161</v>
      </c>
      <c r="O424" t="s">
        <v>145</v>
      </c>
      <c r="P424" t="s">
        <v>160</v>
      </c>
      <c r="Q424">
        <f t="shared" si="8"/>
        <v>630</v>
      </c>
      <c r="R424">
        <f>_xlfn.XLOOKUP(E424,'Data Additive'!E:E,'Data Additive'!E:E,0)</f>
        <v>0</v>
      </c>
    </row>
    <row r="425" spans="1:18" x14ac:dyDescent="0.25">
      <c r="A425">
        <v>6132</v>
      </c>
      <c r="B425" t="s">
        <v>160</v>
      </c>
      <c r="C425" t="s">
        <v>161</v>
      </c>
      <c r="D425" s="32">
        <v>41610.269999999997</v>
      </c>
      <c r="E425">
        <v>1246128682</v>
      </c>
      <c r="F425" s="28">
        <v>45604</v>
      </c>
      <c r="H425" t="s">
        <v>156</v>
      </c>
      <c r="I425" t="s">
        <v>157</v>
      </c>
      <c r="J425">
        <v>2737</v>
      </c>
      <c r="K425" s="28">
        <v>45329</v>
      </c>
      <c r="L425">
        <v>1010100</v>
      </c>
      <c r="M425" t="s">
        <v>29</v>
      </c>
      <c r="N425">
        <v>161</v>
      </c>
      <c r="O425" t="s">
        <v>145</v>
      </c>
      <c r="P425" t="s">
        <v>160</v>
      </c>
      <c r="Q425">
        <f t="shared" si="8"/>
        <v>593</v>
      </c>
      <c r="R425">
        <f>_xlfn.XLOOKUP(E425,'Data Additive'!E:E,'Data Additive'!E:E,0)</f>
        <v>0</v>
      </c>
    </row>
    <row r="426" spans="1:18" x14ac:dyDescent="0.25">
      <c r="A426">
        <v>6132</v>
      </c>
      <c r="B426" t="s">
        <v>160</v>
      </c>
      <c r="C426" t="s">
        <v>161</v>
      </c>
      <c r="D426" s="32">
        <v>107254.39999999999</v>
      </c>
      <c r="E426">
        <v>1246126442</v>
      </c>
      <c r="F426" s="28">
        <v>45565</v>
      </c>
      <c r="H426" t="s">
        <v>156</v>
      </c>
      <c r="I426" t="s">
        <v>157</v>
      </c>
      <c r="J426">
        <v>2587</v>
      </c>
      <c r="K426" s="28">
        <v>45315</v>
      </c>
      <c r="L426">
        <v>1010100</v>
      </c>
      <c r="M426" t="s">
        <v>29</v>
      </c>
      <c r="N426">
        <v>161</v>
      </c>
      <c r="O426" t="s">
        <v>145</v>
      </c>
      <c r="P426" t="s">
        <v>160</v>
      </c>
      <c r="Q426">
        <f t="shared" si="8"/>
        <v>632</v>
      </c>
      <c r="R426">
        <f>_xlfn.XLOOKUP(E426,'Data Additive'!E:E,'Data Additive'!E:E,0)</f>
        <v>0</v>
      </c>
    </row>
    <row r="427" spans="1:18" x14ac:dyDescent="0.25">
      <c r="A427">
        <v>6132</v>
      </c>
      <c r="B427" t="s">
        <v>160</v>
      </c>
      <c r="C427" t="s">
        <v>161</v>
      </c>
      <c r="D427" s="32">
        <v>56218.2</v>
      </c>
      <c r="E427">
        <v>1246128800</v>
      </c>
      <c r="F427" s="28">
        <v>45605</v>
      </c>
      <c r="H427" t="s">
        <v>156</v>
      </c>
      <c r="I427" t="s">
        <v>157</v>
      </c>
      <c r="J427">
        <v>2745</v>
      </c>
      <c r="K427" s="28">
        <v>45330</v>
      </c>
      <c r="L427">
        <v>1010100</v>
      </c>
      <c r="M427" t="s">
        <v>29</v>
      </c>
      <c r="N427">
        <v>161</v>
      </c>
      <c r="O427" t="s">
        <v>145</v>
      </c>
      <c r="P427" t="s">
        <v>160</v>
      </c>
      <c r="Q427">
        <f t="shared" si="8"/>
        <v>592</v>
      </c>
      <c r="R427">
        <f>_xlfn.XLOOKUP(E427,'Data Additive'!E:E,'Data Additive'!E:E,0)</f>
        <v>0</v>
      </c>
    </row>
    <row r="428" spans="1:18" x14ac:dyDescent="0.25">
      <c r="A428">
        <v>6132</v>
      </c>
      <c r="B428" t="s">
        <v>160</v>
      </c>
      <c r="C428" t="s">
        <v>161</v>
      </c>
      <c r="D428" s="32">
        <v>24480.99</v>
      </c>
      <c r="E428">
        <v>1246127802</v>
      </c>
      <c r="F428" s="28">
        <v>45603</v>
      </c>
      <c r="H428" t="s">
        <v>156</v>
      </c>
      <c r="I428" t="s">
        <v>157</v>
      </c>
      <c r="J428">
        <v>2674</v>
      </c>
      <c r="K428" s="28">
        <v>45323</v>
      </c>
      <c r="L428">
        <v>1010100</v>
      </c>
      <c r="M428" t="s">
        <v>29</v>
      </c>
      <c r="N428">
        <v>161</v>
      </c>
      <c r="O428" t="s">
        <v>145</v>
      </c>
      <c r="P428" t="s">
        <v>160</v>
      </c>
      <c r="Q428">
        <f t="shared" si="8"/>
        <v>594</v>
      </c>
      <c r="R428">
        <f>_xlfn.XLOOKUP(E428,'Data Additive'!E:E,'Data Additive'!E:E,0)</f>
        <v>0</v>
      </c>
    </row>
    <row r="429" spans="1:18" x14ac:dyDescent="0.25">
      <c r="A429">
        <v>6132</v>
      </c>
      <c r="B429" t="s">
        <v>160</v>
      </c>
      <c r="C429" t="s">
        <v>161</v>
      </c>
      <c r="D429" s="32">
        <v>87043.520000000004</v>
      </c>
      <c r="E429">
        <v>1246120531</v>
      </c>
      <c r="F429" s="28">
        <v>45559</v>
      </c>
      <c r="H429" t="s">
        <v>156</v>
      </c>
      <c r="I429" t="s">
        <v>157</v>
      </c>
      <c r="J429">
        <v>2295</v>
      </c>
      <c r="K429" s="28">
        <v>45279</v>
      </c>
      <c r="L429">
        <v>1010100</v>
      </c>
      <c r="M429" t="s">
        <v>29</v>
      </c>
      <c r="N429">
        <v>161</v>
      </c>
      <c r="O429" t="s">
        <v>145</v>
      </c>
      <c r="P429" t="s">
        <v>160</v>
      </c>
      <c r="Q429">
        <f t="shared" si="8"/>
        <v>638</v>
      </c>
      <c r="R429">
        <f>_xlfn.XLOOKUP(E429,'Data Additive'!E:E,'Data Additive'!E:E,0)</f>
        <v>0</v>
      </c>
    </row>
    <row r="430" spans="1:18" x14ac:dyDescent="0.25">
      <c r="A430">
        <v>6132</v>
      </c>
      <c r="B430" t="s">
        <v>160</v>
      </c>
      <c r="C430" t="s">
        <v>161</v>
      </c>
      <c r="D430" s="32">
        <v>87504.97</v>
      </c>
      <c r="E430">
        <v>1246119910</v>
      </c>
      <c r="F430" s="28">
        <v>45555</v>
      </c>
      <c r="H430" t="s">
        <v>156</v>
      </c>
      <c r="I430" t="s">
        <v>157</v>
      </c>
      <c r="J430">
        <v>2248</v>
      </c>
      <c r="K430" s="28">
        <v>45275</v>
      </c>
      <c r="L430">
        <v>1010100</v>
      </c>
      <c r="M430" t="s">
        <v>29</v>
      </c>
      <c r="N430">
        <v>161</v>
      </c>
      <c r="O430" t="s">
        <v>145</v>
      </c>
      <c r="P430" t="s">
        <v>160</v>
      </c>
      <c r="Q430">
        <f t="shared" si="8"/>
        <v>642</v>
      </c>
      <c r="R430">
        <f>_xlfn.XLOOKUP(E430,'Data Additive'!E:E,'Data Additive'!E:E,0)</f>
        <v>0</v>
      </c>
    </row>
    <row r="431" spans="1:18" x14ac:dyDescent="0.25">
      <c r="A431">
        <v>6132</v>
      </c>
      <c r="B431" t="s">
        <v>160</v>
      </c>
      <c r="C431" t="s">
        <v>161</v>
      </c>
      <c r="D431" s="32">
        <v>22997.32</v>
      </c>
      <c r="E431">
        <v>1246119982</v>
      </c>
      <c r="F431" s="28">
        <v>45515</v>
      </c>
      <c r="H431" t="s">
        <v>156</v>
      </c>
      <c r="I431" t="s">
        <v>157</v>
      </c>
      <c r="J431">
        <v>2263</v>
      </c>
      <c r="K431" s="28">
        <v>45275</v>
      </c>
      <c r="L431">
        <v>1010100</v>
      </c>
      <c r="M431" t="s">
        <v>29</v>
      </c>
      <c r="N431">
        <v>161</v>
      </c>
      <c r="O431" t="s">
        <v>145</v>
      </c>
      <c r="P431" t="s">
        <v>160</v>
      </c>
      <c r="Q431">
        <f t="shared" si="8"/>
        <v>682</v>
      </c>
      <c r="R431">
        <f>_xlfn.XLOOKUP(E431,'Data Additive'!E:E,'Data Additive'!E:E,0)</f>
        <v>0</v>
      </c>
    </row>
    <row r="432" spans="1:18" x14ac:dyDescent="0.25">
      <c r="A432">
        <v>6132</v>
      </c>
      <c r="B432" t="s">
        <v>160</v>
      </c>
      <c r="C432" t="s">
        <v>161</v>
      </c>
      <c r="D432" s="32">
        <v>10860</v>
      </c>
      <c r="E432">
        <v>1246122169</v>
      </c>
      <c r="F432" s="28">
        <v>45469</v>
      </c>
      <c r="H432" t="s">
        <v>156</v>
      </c>
      <c r="I432" t="s">
        <v>157</v>
      </c>
      <c r="J432">
        <v>2373</v>
      </c>
      <c r="K432" s="28">
        <v>45289</v>
      </c>
      <c r="L432">
        <v>1010100</v>
      </c>
      <c r="M432" t="s">
        <v>29</v>
      </c>
      <c r="N432">
        <v>161</v>
      </c>
      <c r="O432" t="s">
        <v>145</v>
      </c>
      <c r="P432" t="s">
        <v>160</v>
      </c>
      <c r="Q432">
        <f t="shared" si="8"/>
        <v>728</v>
      </c>
      <c r="R432">
        <f>_xlfn.XLOOKUP(E432,'Data Additive'!E:E,'Data Additive'!E:E,0)</f>
        <v>0</v>
      </c>
    </row>
    <row r="433" spans="1:18" x14ac:dyDescent="0.25">
      <c r="A433">
        <v>6132</v>
      </c>
      <c r="B433" t="s">
        <v>160</v>
      </c>
      <c r="C433" t="s">
        <v>161</v>
      </c>
      <c r="D433" s="32">
        <v>57205.5</v>
      </c>
      <c r="E433">
        <v>1246122168</v>
      </c>
      <c r="F433" s="28">
        <v>45557</v>
      </c>
      <c r="H433" t="s">
        <v>156</v>
      </c>
      <c r="I433" t="s">
        <v>157</v>
      </c>
      <c r="J433">
        <v>2372</v>
      </c>
      <c r="K433" s="28">
        <v>45289</v>
      </c>
      <c r="L433">
        <v>1010100</v>
      </c>
      <c r="M433" t="s">
        <v>29</v>
      </c>
      <c r="N433">
        <v>161</v>
      </c>
      <c r="O433" t="s">
        <v>145</v>
      </c>
      <c r="P433" t="s">
        <v>160</v>
      </c>
      <c r="Q433">
        <f t="shared" si="8"/>
        <v>640</v>
      </c>
      <c r="R433">
        <f>_xlfn.XLOOKUP(E433,'Data Additive'!E:E,'Data Additive'!E:E,0)</f>
        <v>0</v>
      </c>
    </row>
    <row r="434" spans="1:18" x14ac:dyDescent="0.25">
      <c r="A434">
        <v>6132</v>
      </c>
      <c r="B434" t="s">
        <v>160</v>
      </c>
      <c r="C434" t="s">
        <v>161</v>
      </c>
      <c r="D434" s="32">
        <v>109750.39999999999</v>
      </c>
      <c r="E434">
        <v>1246117165</v>
      </c>
      <c r="F434" s="28">
        <v>45473</v>
      </c>
      <c r="H434" t="s">
        <v>156</v>
      </c>
      <c r="I434" t="s">
        <v>157</v>
      </c>
      <c r="J434">
        <v>2128</v>
      </c>
      <c r="K434" s="28">
        <v>45259</v>
      </c>
      <c r="L434">
        <v>1010100</v>
      </c>
      <c r="M434" t="s">
        <v>29</v>
      </c>
      <c r="N434">
        <v>161</v>
      </c>
      <c r="O434" t="s">
        <v>145</v>
      </c>
      <c r="P434" t="s">
        <v>160</v>
      </c>
      <c r="Q434">
        <f t="shared" si="8"/>
        <v>724</v>
      </c>
      <c r="R434">
        <f>_xlfn.XLOOKUP(E434,'Data Additive'!E:E,'Data Additive'!E:E,0)</f>
        <v>0</v>
      </c>
    </row>
    <row r="435" spans="1:18" x14ac:dyDescent="0.25">
      <c r="A435">
        <v>6132</v>
      </c>
      <c r="B435" t="s">
        <v>160</v>
      </c>
      <c r="C435" t="s">
        <v>161</v>
      </c>
      <c r="D435" s="32">
        <v>111644.8</v>
      </c>
      <c r="E435">
        <v>1246117516</v>
      </c>
      <c r="F435" s="28">
        <v>45536</v>
      </c>
      <c r="H435" t="s">
        <v>156</v>
      </c>
      <c r="I435" t="s">
        <v>157</v>
      </c>
      <c r="J435">
        <v>2140</v>
      </c>
      <c r="K435" s="28">
        <v>45261</v>
      </c>
      <c r="L435">
        <v>1010100</v>
      </c>
      <c r="M435" t="s">
        <v>29</v>
      </c>
      <c r="N435">
        <v>161</v>
      </c>
      <c r="O435" t="s">
        <v>145</v>
      </c>
      <c r="P435" t="s">
        <v>160</v>
      </c>
      <c r="Q435">
        <f t="shared" si="8"/>
        <v>661</v>
      </c>
      <c r="R435">
        <f>_xlfn.XLOOKUP(E435,'Data Additive'!E:E,'Data Additive'!E:E,0)</f>
        <v>0</v>
      </c>
    </row>
    <row r="436" spans="1:18" x14ac:dyDescent="0.25">
      <c r="A436">
        <v>6132</v>
      </c>
      <c r="B436" t="s">
        <v>160</v>
      </c>
      <c r="C436" t="s">
        <v>161</v>
      </c>
      <c r="D436" s="32">
        <v>136005.5</v>
      </c>
      <c r="E436">
        <v>1246120768</v>
      </c>
      <c r="F436" s="28">
        <v>45560</v>
      </c>
      <c r="H436" t="s">
        <v>156</v>
      </c>
      <c r="I436" t="s">
        <v>157</v>
      </c>
      <c r="J436">
        <v>2299</v>
      </c>
      <c r="K436" s="28">
        <v>45280</v>
      </c>
      <c r="L436">
        <v>1010100</v>
      </c>
      <c r="M436" t="s">
        <v>29</v>
      </c>
      <c r="N436">
        <v>161</v>
      </c>
      <c r="O436" t="s">
        <v>145</v>
      </c>
      <c r="P436" t="s">
        <v>160</v>
      </c>
      <c r="Q436">
        <f t="shared" si="8"/>
        <v>637</v>
      </c>
      <c r="R436">
        <f>_xlfn.XLOOKUP(E436,'Data Additive'!E:E,'Data Additive'!E:E,0)</f>
        <v>0</v>
      </c>
    </row>
    <row r="437" spans="1:18" x14ac:dyDescent="0.25">
      <c r="A437">
        <v>6132</v>
      </c>
      <c r="B437" t="s">
        <v>160</v>
      </c>
      <c r="C437" t="s">
        <v>161</v>
      </c>
      <c r="D437" s="32">
        <v>136005.5</v>
      </c>
      <c r="E437">
        <v>1246124946</v>
      </c>
      <c r="F437" s="28">
        <v>45566</v>
      </c>
      <c r="H437" t="s">
        <v>156</v>
      </c>
      <c r="I437" t="s">
        <v>157</v>
      </c>
      <c r="J437">
        <v>2498</v>
      </c>
      <c r="K437" s="28">
        <v>45306</v>
      </c>
      <c r="L437">
        <v>1010100</v>
      </c>
      <c r="M437" t="s">
        <v>29</v>
      </c>
      <c r="N437">
        <v>161</v>
      </c>
      <c r="O437" t="s">
        <v>145</v>
      </c>
      <c r="P437" t="s">
        <v>160</v>
      </c>
      <c r="Q437">
        <f t="shared" si="8"/>
        <v>631</v>
      </c>
      <c r="R437">
        <f>_xlfn.XLOOKUP(E437,'Data Additive'!E:E,'Data Additive'!E:E,0)</f>
        <v>0</v>
      </c>
    </row>
    <row r="438" spans="1:18" x14ac:dyDescent="0.25">
      <c r="A438">
        <v>6132</v>
      </c>
      <c r="B438" t="s">
        <v>160</v>
      </c>
      <c r="C438" t="s">
        <v>161</v>
      </c>
      <c r="D438" s="32">
        <v>87043.520000000004</v>
      </c>
      <c r="E438">
        <v>1246120099</v>
      </c>
      <c r="F438" s="28">
        <v>45558</v>
      </c>
      <c r="H438" t="s">
        <v>156</v>
      </c>
      <c r="I438" t="s">
        <v>157</v>
      </c>
      <c r="J438">
        <v>2279</v>
      </c>
      <c r="K438" s="28">
        <v>45278</v>
      </c>
      <c r="L438">
        <v>1010100</v>
      </c>
      <c r="M438" t="s">
        <v>29</v>
      </c>
      <c r="N438">
        <v>161</v>
      </c>
      <c r="O438" t="s">
        <v>145</v>
      </c>
      <c r="P438" t="s">
        <v>160</v>
      </c>
      <c r="Q438">
        <f t="shared" si="8"/>
        <v>639</v>
      </c>
      <c r="R438">
        <f>_xlfn.XLOOKUP(E438,'Data Additive'!E:E,'Data Additive'!E:E,0)</f>
        <v>0</v>
      </c>
    </row>
    <row r="439" spans="1:18" x14ac:dyDescent="0.25">
      <c r="A439">
        <v>6132</v>
      </c>
      <c r="B439" t="s">
        <v>160</v>
      </c>
      <c r="C439" t="s">
        <v>161</v>
      </c>
      <c r="D439" s="32">
        <v>111465.88</v>
      </c>
      <c r="E439">
        <v>1246127801</v>
      </c>
      <c r="F439" s="28">
        <v>45603</v>
      </c>
      <c r="H439" t="s">
        <v>156</v>
      </c>
      <c r="I439" t="s">
        <v>157</v>
      </c>
      <c r="J439">
        <v>2673</v>
      </c>
      <c r="K439" s="28">
        <v>45323</v>
      </c>
      <c r="L439">
        <v>1010100</v>
      </c>
      <c r="M439" t="s">
        <v>29</v>
      </c>
      <c r="N439">
        <v>161</v>
      </c>
      <c r="O439" t="s">
        <v>145</v>
      </c>
      <c r="P439" t="s">
        <v>160</v>
      </c>
      <c r="Q439">
        <f t="shared" si="8"/>
        <v>594</v>
      </c>
      <c r="R439">
        <f>_xlfn.XLOOKUP(E439,'Data Additive'!E:E,'Data Additive'!E:E,0)</f>
        <v>0</v>
      </c>
    </row>
    <row r="440" spans="1:18" x14ac:dyDescent="0.25">
      <c r="A440">
        <v>6132</v>
      </c>
      <c r="B440" t="s">
        <v>160</v>
      </c>
      <c r="C440" t="s">
        <v>161</v>
      </c>
      <c r="D440" s="32">
        <v>47937.4</v>
      </c>
      <c r="E440">
        <v>1246118354</v>
      </c>
      <c r="F440" s="28">
        <v>45541</v>
      </c>
      <c r="H440" t="s">
        <v>156</v>
      </c>
      <c r="I440" t="s">
        <v>157</v>
      </c>
      <c r="J440">
        <v>2184</v>
      </c>
      <c r="K440" s="28">
        <v>45266</v>
      </c>
      <c r="L440">
        <v>1010100</v>
      </c>
      <c r="M440" t="s">
        <v>29</v>
      </c>
      <c r="N440">
        <v>161</v>
      </c>
      <c r="O440" t="s">
        <v>145</v>
      </c>
      <c r="P440" t="s">
        <v>160</v>
      </c>
      <c r="Q440">
        <f t="shared" si="8"/>
        <v>656</v>
      </c>
      <c r="R440">
        <f>_xlfn.XLOOKUP(E440,'Data Additive'!E:E,'Data Additive'!E:E,0)</f>
        <v>0</v>
      </c>
    </row>
    <row r="441" spans="1:18" x14ac:dyDescent="0.25">
      <c r="A441">
        <v>6132</v>
      </c>
      <c r="B441" t="s">
        <v>160</v>
      </c>
      <c r="C441" t="s">
        <v>161</v>
      </c>
      <c r="D441" s="32">
        <v>155705</v>
      </c>
      <c r="E441">
        <v>1246129974</v>
      </c>
      <c r="F441" s="28">
        <v>45568</v>
      </c>
      <c r="H441" t="s">
        <v>156</v>
      </c>
      <c r="I441" t="s">
        <v>157</v>
      </c>
      <c r="J441">
        <v>2839</v>
      </c>
      <c r="K441" s="28">
        <v>45341</v>
      </c>
      <c r="L441">
        <v>1010100</v>
      </c>
      <c r="M441" t="s">
        <v>29</v>
      </c>
      <c r="N441">
        <v>161</v>
      </c>
      <c r="O441" t="s">
        <v>145</v>
      </c>
      <c r="P441" t="s">
        <v>160</v>
      </c>
      <c r="Q441">
        <f t="shared" si="8"/>
        <v>629</v>
      </c>
      <c r="R441">
        <f>_xlfn.XLOOKUP(E441,'Data Additive'!E:E,'Data Additive'!E:E,0)</f>
        <v>0</v>
      </c>
    </row>
    <row r="442" spans="1:18" x14ac:dyDescent="0.25">
      <c r="A442">
        <v>6132</v>
      </c>
      <c r="B442" t="s">
        <v>160</v>
      </c>
      <c r="C442" t="s">
        <v>161</v>
      </c>
      <c r="D442" s="32">
        <v>42163.65</v>
      </c>
      <c r="E442">
        <v>1246124200</v>
      </c>
      <c r="F442" s="28">
        <v>45569</v>
      </c>
      <c r="H442" t="s">
        <v>156</v>
      </c>
      <c r="I442" t="s">
        <v>157</v>
      </c>
      <c r="J442">
        <v>2455</v>
      </c>
      <c r="K442" s="28">
        <v>45301</v>
      </c>
      <c r="L442">
        <v>1010100</v>
      </c>
      <c r="M442" t="s">
        <v>29</v>
      </c>
      <c r="N442">
        <v>161</v>
      </c>
      <c r="O442" t="s">
        <v>145</v>
      </c>
      <c r="P442" t="s">
        <v>160</v>
      </c>
      <c r="Q442">
        <f t="shared" si="8"/>
        <v>628</v>
      </c>
      <c r="R442">
        <f>_xlfn.XLOOKUP(E442,'Data Additive'!E:E,'Data Additive'!E:E,0)</f>
        <v>0</v>
      </c>
    </row>
    <row r="443" spans="1:18" x14ac:dyDescent="0.25">
      <c r="A443">
        <v>6132</v>
      </c>
      <c r="B443" t="s">
        <v>160</v>
      </c>
      <c r="C443" t="s">
        <v>161</v>
      </c>
      <c r="D443" s="32">
        <v>111065.60000000001</v>
      </c>
      <c r="E443">
        <v>1246114703</v>
      </c>
      <c r="F443" s="28">
        <v>45463</v>
      </c>
      <c r="H443" t="s">
        <v>156</v>
      </c>
      <c r="I443" t="s">
        <v>157</v>
      </c>
      <c r="J443">
        <v>1937</v>
      </c>
      <c r="K443" s="28">
        <v>45241</v>
      </c>
      <c r="L443">
        <v>1010100</v>
      </c>
      <c r="M443" t="s">
        <v>29</v>
      </c>
      <c r="N443">
        <v>161</v>
      </c>
      <c r="O443" t="s">
        <v>145</v>
      </c>
      <c r="P443" t="s">
        <v>160</v>
      </c>
      <c r="Q443">
        <f t="shared" si="8"/>
        <v>734</v>
      </c>
      <c r="R443">
        <f>_xlfn.XLOOKUP(E443,'Data Additive'!E:E,'Data Additive'!E:E,0)</f>
        <v>0</v>
      </c>
    </row>
    <row r="444" spans="1:18" x14ac:dyDescent="0.25">
      <c r="A444">
        <v>6132</v>
      </c>
      <c r="B444" t="s">
        <v>160</v>
      </c>
      <c r="C444" t="s">
        <v>161</v>
      </c>
      <c r="D444" s="32">
        <v>27201.1</v>
      </c>
      <c r="E444">
        <v>1246125717</v>
      </c>
      <c r="F444" s="28">
        <v>45566</v>
      </c>
      <c r="H444" t="s">
        <v>156</v>
      </c>
      <c r="I444" t="s">
        <v>157</v>
      </c>
      <c r="J444">
        <v>2542</v>
      </c>
      <c r="K444" s="28">
        <v>45310</v>
      </c>
      <c r="L444">
        <v>1010100</v>
      </c>
      <c r="M444" t="s">
        <v>29</v>
      </c>
      <c r="N444">
        <v>161</v>
      </c>
      <c r="O444" t="s">
        <v>145</v>
      </c>
      <c r="P444" t="s">
        <v>160</v>
      </c>
      <c r="Q444">
        <f t="shared" si="8"/>
        <v>631</v>
      </c>
      <c r="R444">
        <f>_xlfn.XLOOKUP(E444,'Data Additive'!E:E,'Data Additive'!E:E,0)</f>
        <v>0</v>
      </c>
    </row>
    <row r="445" spans="1:18" x14ac:dyDescent="0.25">
      <c r="A445">
        <v>6132</v>
      </c>
      <c r="B445" t="s">
        <v>160</v>
      </c>
      <c r="C445" t="s">
        <v>161</v>
      </c>
      <c r="D445" s="32">
        <v>136005.5</v>
      </c>
      <c r="E445">
        <v>1246124718</v>
      </c>
      <c r="F445" s="28">
        <v>45563</v>
      </c>
      <c r="H445" t="s">
        <v>156</v>
      </c>
      <c r="I445" t="s">
        <v>157</v>
      </c>
      <c r="J445">
        <v>2489</v>
      </c>
      <c r="K445" s="28">
        <v>45303</v>
      </c>
      <c r="L445">
        <v>1010100</v>
      </c>
      <c r="M445" t="s">
        <v>29</v>
      </c>
      <c r="N445">
        <v>161</v>
      </c>
      <c r="O445" t="s">
        <v>145</v>
      </c>
      <c r="P445" t="s">
        <v>160</v>
      </c>
      <c r="Q445">
        <f t="shared" ref="Q445:Q503" si="9">$R$1-F445</f>
        <v>634</v>
      </c>
      <c r="R445">
        <f>_xlfn.XLOOKUP(E445,'Data Additive'!E:E,'Data Additive'!E:E,0)</f>
        <v>0</v>
      </c>
    </row>
    <row r="446" spans="1:18" x14ac:dyDescent="0.25">
      <c r="A446">
        <v>6132</v>
      </c>
      <c r="B446" t="s">
        <v>160</v>
      </c>
      <c r="C446" t="s">
        <v>161</v>
      </c>
      <c r="D446" s="32">
        <v>45093</v>
      </c>
      <c r="E446">
        <v>1246128683</v>
      </c>
      <c r="F446" s="28">
        <v>45604</v>
      </c>
      <c r="H446" t="s">
        <v>156</v>
      </c>
      <c r="I446" t="s">
        <v>157</v>
      </c>
      <c r="J446">
        <v>2738</v>
      </c>
      <c r="K446" s="28">
        <v>45329</v>
      </c>
      <c r="L446">
        <v>1010100</v>
      </c>
      <c r="M446" t="s">
        <v>29</v>
      </c>
      <c r="N446">
        <v>161</v>
      </c>
      <c r="O446" t="s">
        <v>145</v>
      </c>
      <c r="P446" t="s">
        <v>160</v>
      </c>
      <c r="Q446">
        <f t="shared" si="9"/>
        <v>593</v>
      </c>
      <c r="R446">
        <f>_xlfn.XLOOKUP(E446,'Data Additive'!E:E,'Data Additive'!E:E,0)</f>
        <v>0</v>
      </c>
    </row>
    <row r="447" spans="1:18" x14ac:dyDescent="0.25">
      <c r="A447">
        <v>6132</v>
      </c>
      <c r="B447" t="s">
        <v>160</v>
      </c>
      <c r="C447" t="s">
        <v>161</v>
      </c>
      <c r="D447" s="32">
        <v>82986.649999999994</v>
      </c>
      <c r="E447">
        <v>1246113430</v>
      </c>
      <c r="F447" s="28">
        <v>45476</v>
      </c>
      <c r="H447" t="s">
        <v>156</v>
      </c>
      <c r="I447" t="s">
        <v>157</v>
      </c>
      <c r="J447">
        <v>1851</v>
      </c>
      <c r="K447" s="28">
        <v>45236</v>
      </c>
      <c r="L447">
        <v>1010100</v>
      </c>
      <c r="M447" t="s">
        <v>29</v>
      </c>
      <c r="N447">
        <v>161</v>
      </c>
      <c r="O447" t="s">
        <v>145</v>
      </c>
      <c r="P447" t="s">
        <v>160</v>
      </c>
      <c r="Q447">
        <f t="shared" si="9"/>
        <v>721</v>
      </c>
      <c r="R447">
        <f>_xlfn.XLOOKUP(E447,'Data Additive'!E:E,'Data Additive'!E:E,0)</f>
        <v>0</v>
      </c>
    </row>
    <row r="448" spans="1:18" x14ac:dyDescent="0.25">
      <c r="A448">
        <v>6132</v>
      </c>
      <c r="B448" t="s">
        <v>160</v>
      </c>
      <c r="C448" t="s">
        <v>161</v>
      </c>
      <c r="D448" s="32">
        <v>174445</v>
      </c>
      <c r="E448">
        <v>1246116577</v>
      </c>
      <c r="F448" s="28">
        <v>45468</v>
      </c>
      <c r="H448" t="s">
        <v>156</v>
      </c>
      <c r="I448" t="s">
        <v>157</v>
      </c>
      <c r="J448">
        <v>2091</v>
      </c>
      <c r="K448" s="28">
        <v>45254</v>
      </c>
      <c r="L448">
        <v>1010100</v>
      </c>
      <c r="M448" t="s">
        <v>29</v>
      </c>
      <c r="N448">
        <v>161</v>
      </c>
      <c r="O448" t="s">
        <v>145</v>
      </c>
      <c r="P448" t="s">
        <v>160</v>
      </c>
      <c r="Q448">
        <f t="shared" si="9"/>
        <v>729</v>
      </c>
      <c r="R448">
        <f>_xlfn.XLOOKUP(E448,'Data Additive'!E:E,'Data Additive'!E:E,0)</f>
        <v>0</v>
      </c>
    </row>
    <row r="449" spans="1:18" x14ac:dyDescent="0.25">
      <c r="A449">
        <v>6132</v>
      </c>
      <c r="B449" t="s">
        <v>160</v>
      </c>
      <c r="C449" t="s">
        <v>161</v>
      </c>
      <c r="D449" s="32">
        <v>158956.25</v>
      </c>
      <c r="E449">
        <v>1246104181</v>
      </c>
      <c r="F449" s="28">
        <v>45444</v>
      </c>
      <c r="H449" t="s">
        <v>156</v>
      </c>
      <c r="I449" t="s">
        <v>157</v>
      </c>
      <c r="J449">
        <v>1180</v>
      </c>
      <c r="K449" s="28">
        <v>45184</v>
      </c>
      <c r="L449">
        <v>1010100</v>
      </c>
      <c r="M449" t="s">
        <v>29</v>
      </c>
      <c r="N449">
        <v>161</v>
      </c>
      <c r="O449" t="s">
        <v>145</v>
      </c>
      <c r="P449" t="s">
        <v>160</v>
      </c>
      <c r="Q449">
        <f t="shared" si="9"/>
        <v>753</v>
      </c>
      <c r="R449">
        <f>_xlfn.XLOOKUP(E449,'Data Additive'!E:E,'Data Additive'!E:E,0)</f>
        <v>0</v>
      </c>
    </row>
    <row r="450" spans="1:18" x14ac:dyDescent="0.25">
      <c r="A450">
        <v>6132</v>
      </c>
      <c r="B450" t="s">
        <v>160</v>
      </c>
      <c r="C450" t="s">
        <v>161</v>
      </c>
      <c r="D450" s="32">
        <v>171662.49999999997</v>
      </c>
      <c r="E450">
        <v>1246112815</v>
      </c>
      <c r="F450" s="28">
        <v>45471</v>
      </c>
      <c r="H450" t="s">
        <v>156</v>
      </c>
      <c r="I450" t="s">
        <v>157</v>
      </c>
      <c r="J450">
        <v>1799</v>
      </c>
      <c r="K450" s="28">
        <v>45231</v>
      </c>
      <c r="L450">
        <v>1010100</v>
      </c>
      <c r="M450" t="s">
        <v>29</v>
      </c>
      <c r="N450">
        <v>161</v>
      </c>
      <c r="O450" t="s">
        <v>145</v>
      </c>
      <c r="P450" t="s">
        <v>160</v>
      </c>
      <c r="Q450">
        <f t="shared" si="9"/>
        <v>726</v>
      </c>
      <c r="R450">
        <f>_xlfn.XLOOKUP(E450,'Data Additive'!E:E,'Data Additive'!E:E,0)</f>
        <v>0</v>
      </c>
    </row>
    <row r="451" spans="1:18" x14ac:dyDescent="0.25">
      <c r="A451">
        <v>6132</v>
      </c>
      <c r="B451" t="s">
        <v>160</v>
      </c>
      <c r="C451" t="s">
        <v>161</v>
      </c>
      <c r="D451" s="32">
        <v>174610</v>
      </c>
      <c r="E451">
        <v>1246113736</v>
      </c>
      <c r="F451" s="28">
        <v>45478</v>
      </c>
      <c r="H451" t="s">
        <v>156</v>
      </c>
      <c r="I451" t="s">
        <v>157</v>
      </c>
      <c r="J451">
        <v>1878</v>
      </c>
      <c r="K451" s="28">
        <v>45238</v>
      </c>
      <c r="L451">
        <v>1010100</v>
      </c>
      <c r="M451" t="s">
        <v>29</v>
      </c>
      <c r="N451">
        <v>161</v>
      </c>
      <c r="O451" t="s">
        <v>145</v>
      </c>
      <c r="P451" t="s">
        <v>160</v>
      </c>
      <c r="Q451">
        <f t="shared" si="9"/>
        <v>719</v>
      </c>
      <c r="R451">
        <f>_xlfn.XLOOKUP(E451,'Data Additive'!E:E,'Data Additive'!E:E,0)</f>
        <v>0</v>
      </c>
    </row>
    <row r="452" spans="1:18" x14ac:dyDescent="0.25">
      <c r="A452">
        <v>6132</v>
      </c>
      <c r="B452" t="s">
        <v>160</v>
      </c>
      <c r="C452" t="s">
        <v>161</v>
      </c>
      <c r="D452" s="32">
        <v>87840</v>
      </c>
      <c r="E452">
        <v>1246111212</v>
      </c>
      <c r="F452" s="28">
        <v>45464</v>
      </c>
      <c r="H452" t="s">
        <v>156</v>
      </c>
      <c r="I452" t="s">
        <v>157</v>
      </c>
      <c r="J452">
        <v>1720</v>
      </c>
      <c r="K452" s="28">
        <v>45224</v>
      </c>
      <c r="L452">
        <v>1010100</v>
      </c>
      <c r="M452" t="s">
        <v>29</v>
      </c>
      <c r="N452">
        <v>161</v>
      </c>
      <c r="O452" t="s">
        <v>145</v>
      </c>
      <c r="P452" t="s">
        <v>160</v>
      </c>
      <c r="Q452">
        <f t="shared" si="9"/>
        <v>733</v>
      </c>
      <c r="R452">
        <f>_xlfn.XLOOKUP(E452,'Data Additive'!E:E,'Data Additive'!E:E,0)</f>
        <v>0</v>
      </c>
    </row>
    <row r="453" spans="1:18" x14ac:dyDescent="0.25">
      <c r="A453">
        <v>6132</v>
      </c>
      <c r="B453" t="s">
        <v>160</v>
      </c>
      <c r="C453" t="s">
        <v>161</v>
      </c>
      <c r="D453" s="32">
        <v>23787.68</v>
      </c>
      <c r="E453">
        <v>1246115170</v>
      </c>
      <c r="F453" s="28">
        <v>45466</v>
      </c>
      <c r="H453" t="s">
        <v>156</v>
      </c>
      <c r="I453" t="s">
        <v>157</v>
      </c>
      <c r="J453">
        <v>1975</v>
      </c>
      <c r="K453" s="28">
        <v>45244</v>
      </c>
      <c r="L453">
        <v>1010100</v>
      </c>
      <c r="M453" t="s">
        <v>29</v>
      </c>
      <c r="N453">
        <v>161</v>
      </c>
      <c r="O453" t="s">
        <v>145</v>
      </c>
      <c r="P453" t="s">
        <v>160</v>
      </c>
      <c r="Q453">
        <f t="shared" si="9"/>
        <v>731</v>
      </c>
      <c r="R453">
        <f>_xlfn.XLOOKUP(E453,'Data Additive'!E:E,'Data Additive'!E:E,0)</f>
        <v>0</v>
      </c>
    </row>
    <row r="454" spans="1:18" x14ac:dyDescent="0.25">
      <c r="A454">
        <v>6132</v>
      </c>
      <c r="B454" t="s">
        <v>160</v>
      </c>
      <c r="C454" t="s">
        <v>161</v>
      </c>
      <c r="D454" s="32">
        <v>30381.599999999999</v>
      </c>
      <c r="E454">
        <v>1246115171</v>
      </c>
      <c r="F454" s="28">
        <v>45466</v>
      </c>
      <c r="H454" t="s">
        <v>156</v>
      </c>
      <c r="I454" t="s">
        <v>157</v>
      </c>
      <c r="J454">
        <v>1976</v>
      </c>
      <c r="K454" s="28">
        <v>45244</v>
      </c>
      <c r="L454">
        <v>1010100</v>
      </c>
      <c r="M454" t="s">
        <v>29</v>
      </c>
      <c r="N454">
        <v>161</v>
      </c>
      <c r="O454" t="s">
        <v>145</v>
      </c>
      <c r="P454" t="s">
        <v>160</v>
      </c>
      <c r="Q454">
        <f t="shared" si="9"/>
        <v>731</v>
      </c>
      <c r="R454">
        <f>_xlfn.XLOOKUP(E454,'Data Additive'!E:E,'Data Additive'!E:E,0)</f>
        <v>0</v>
      </c>
    </row>
    <row r="455" spans="1:18" x14ac:dyDescent="0.25">
      <c r="A455">
        <v>6132</v>
      </c>
      <c r="B455" t="s">
        <v>160</v>
      </c>
      <c r="C455" t="s">
        <v>161</v>
      </c>
      <c r="D455" s="32">
        <v>107022</v>
      </c>
      <c r="E455">
        <v>1246110109</v>
      </c>
      <c r="F455" s="28">
        <v>45439</v>
      </c>
      <c r="H455" t="s">
        <v>156</v>
      </c>
      <c r="I455" t="s">
        <v>157</v>
      </c>
      <c r="J455">
        <v>347</v>
      </c>
      <c r="K455" s="28">
        <v>45217</v>
      </c>
      <c r="L455">
        <v>1010100</v>
      </c>
      <c r="M455" t="s">
        <v>29</v>
      </c>
      <c r="N455">
        <v>161</v>
      </c>
      <c r="O455" t="s">
        <v>145</v>
      </c>
      <c r="P455" t="s">
        <v>160</v>
      </c>
      <c r="Q455">
        <f t="shared" si="9"/>
        <v>758</v>
      </c>
      <c r="R455">
        <f>_xlfn.XLOOKUP(E455,'Data Additive'!E:E,'Data Additive'!E:E,0)</f>
        <v>0</v>
      </c>
    </row>
    <row r="456" spans="1:18" x14ac:dyDescent="0.25">
      <c r="A456">
        <v>6132</v>
      </c>
      <c r="B456" t="s">
        <v>160</v>
      </c>
      <c r="C456" t="s">
        <v>161</v>
      </c>
      <c r="D456" s="32">
        <v>83822.5</v>
      </c>
      <c r="E456">
        <v>1246111211</v>
      </c>
      <c r="F456" s="28">
        <v>45464</v>
      </c>
      <c r="H456" t="s">
        <v>156</v>
      </c>
      <c r="I456" t="s">
        <v>157</v>
      </c>
      <c r="J456">
        <v>1719</v>
      </c>
      <c r="K456" s="28">
        <v>45224</v>
      </c>
      <c r="L456">
        <v>1010100</v>
      </c>
      <c r="M456" t="s">
        <v>29</v>
      </c>
      <c r="N456">
        <v>161</v>
      </c>
      <c r="O456" t="s">
        <v>145</v>
      </c>
      <c r="P456" t="s">
        <v>160</v>
      </c>
      <c r="Q456">
        <f t="shared" si="9"/>
        <v>733</v>
      </c>
      <c r="R456">
        <f>_xlfn.XLOOKUP(E456,'Data Additive'!E:E,'Data Additive'!E:E,0)</f>
        <v>0</v>
      </c>
    </row>
    <row r="457" spans="1:18" x14ac:dyDescent="0.25">
      <c r="A457">
        <v>6132</v>
      </c>
      <c r="B457" t="s">
        <v>160</v>
      </c>
      <c r="C457" t="s">
        <v>161</v>
      </c>
      <c r="D457" s="32">
        <v>169458.49999999997</v>
      </c>
      <c r="E457">
        <v>1246110264</v>
      </c>
      <c r="F457" s="28">
        <v>45440</v>
      </c>
      <c r="H457" t="s">
        <v>156</v>
      </c>
      <c r="I457" t="s">
        <v>157</v>
      </c>
      <c r="J457">
        <v>1662</v>
      </c>
      <c r="K457" s="28">
        <v>45218</v>
      </c>
      <c r="L457">
        <v>1010100</v>
      </c>
      <c r="M457" t="s">
        <v>29</v>
      </c>
      <c r="N457">
        <v>161</v>
      </c>
      <c r="O457" t="s">
        <v>145</v>
      </c>
      <c r="P457" t="s">
        <v>160</v>
      </c>
      <c r="Q457">
        <f t="shared" si="9"/>
        <v>757</v>
      </c>
      <c r="R457">
        <f>_xlfn.XLOOKUP(E457,'Data Additive'!E:E,'Data Additive'!E:E,0)</f>
        <v>0</v>
      </c>
    </row>
    <row r="458" spans="1:18" x14ac:dyDescent="0.25">
      <c r="A458">
        <v>6132</v>
      </c>
      <c r="B458" t="s">
        <v>160</v>
      </c>
      <c r="C458" t="s">
        <v>161</v>
      </c>
      <c r="D458" s="32">
        <v>135934</v>
      </c>
      <c r="E458">
        <v>1246131961</v>
      </c>
      <c r="F458" s="28">
        <v>45566</v>
      </c>
      <c r="H458" t="s">
        <v>156</v>
      </c>
      <c r="I458" t="s">
        <v>157</v>
      </c>
      <c r="J458">
        <v>2969</v>
      </c>
      <c r="K458" s="28">
        <v>45352</v>
      </c>
      <c r="L458">
        <v>1010100</v>
      </c>
      <c r="M458" t="s">
        <v>29</v>
      </c>
      <c r="N458">
        <v>161</v>
      </c>
      <c r="O458" t="s">
        <v>145</v>
      </c>
      <c r="P458" t="s">
        <v>160</v>
      </c>
      <c r="Q458">
        <f t="shared" si="9"/>
        <v>631</v>
      </c>
      <c r="R458">
        <f>_xlfn.XLOOKUP(E458,'Data Additive'!E:E,'Data Additive'!E:E,0)</f>
        <v>0</v>
      </c>
    </row>
    <row r="459" spans="1:18" x14ac:dyDescent="0.25">
      <c r="A459">
        <v>6132</v>
      </c>
      <c r="B459" t="s">
        <v>160</v>
      </c>
      <c r="C459" t="s">
        <v>161</v>
      </c>
      <c r="D459" s="32">
        <v>108747.2</v>
      </c>
      <c r="E459">
        <v>1246132951</v>
      </c>
      <c r="F459" s="28">
        <v>45572</v>
      </c>
      <c r="H459" t="s">
        <v>156</v>
      </c>
      <c r="I459" t="s">
        <v>157</v>
      </c>
      <c r="J459">
        <v>3007</v>
      </c>
      <c r="K459" s="28">
        <v>45358</v>
      </c>
      <c r="L459">
        <v>1010100</v>
      </c>
      <c r="M459" t="s">
        <v>29</v>
      </c>
      <c r="N459">
        <v>161</v>
      </c>
      <c r="O459" t="s">
        <v>145</v>
      </c>
      <c r="P459" t="s">
        <v>160</v>
      </c>
      <c r="Q459">
        <f t="shared" si="9"/>
        <v>625</v>
      </c>
      <c r="R459">
        <f>_xlfn.XLOOKUP(E459,'Data Additive'!E:E,'Data Additive'!E:E,0)</f>
        <v>0</v>
      </c>
    </row>
    <row r="460" spans="1:18" x14ac:dyDescent="0.25">
      <c r="A460">
        <v>6132</v>
      </c>
      <c r="B460" t="s">
        <v>160</v>
      </c>
      <c r="C460" t="s">
        <v>161</v>
      </c>
      <c r="D460" s="32">
        <v>86997.759999999995</v>
      </c>
      <c r="E460">
        <v>1246131102</v>
      </c>
      <c r="F460" s="28">
        <v>45570</v>
      </c>
      <c r="H460" t="s">
        <v>156</v>
      </c>
      <c r="I460" t="s">
        <v>157</v>
      </c>
      <c r="J460">
        <v>2917</v>
      </c>
      <c r="K460" s="28">
        <v>45348</v>
      </c>
      <c r="L460">
        <v>1010100</v>
      </c>
      <c r="M460" t="s">
        <v>29</v>
      </c>
      <c r="N460">
        <v>161</v>
      </c>
      <c r="O460" t="s">
        <v>145</v>
      </c>
      <c r="P460" t="s">
        <v>160</v>
      </c>
      <c r="Q460">
        <f t="shared" si="9"/>
        <v>627</v>
      </c>
      <c r="R460">
        <f>_xlfn.XLOOKUP(E460,'Data Additive'!E:E,'Data Additive'!E:E,0)</f>
        <v>0</v>
      </c>
    </row>
    <row r="461" spans="1:18" x14ac:dyDescent="0.25">
      <c r="A461">
        <v>6132</v>
      </c>
      <c r="B461" t="s">
        <v>160</v>
      </c>
      <c r="C461" t="s">
        <v>161</v>
      </c>
      <c r="D461" s="32">
        <v>29450.6</v>
      </c>
      <c r="E461">
        <v>1246146931</v>
      </c>
      <c r="F461" s="28">
        <v>45584</v>
      </c>
      <c r="H461" t="s">
        <v>156</v>
      </c>
      <c r="I461" t="s">
        <v>157</v>
      </c>
      <c r="J461">
        <v>3632</v>
      </c>
      <c r="K461" s="28">
        <v>45434</v>
      </c>
      <c r="L461">
        <v>1010100</v>
      </c>
      <c r="M461" t="s">
        <v>29</v>
      </c>
      <c r="N461">
        <v>161</v>
      </c>
      <c r="O461" t="s">
        <v>145</v>
      </c>
      <c r="P461" t="s">
        <v>160</v>
      </c>
      <c r="Q461">
        <f t="shared" si="9"/>
        <v>613</v>
      </c>
      <c r="R461">
        <f>_xlfn.XLOOKUP(E461,'Data Additive'!E:E,'Data Additive'!E:E,0)</f>
        <v>0</v>
      </c>
    </row>
    <row r="462" spans="1:18" x14ac:dyDescent="0.25">
      <c r="A462">
        <v>6132</v>
      </c>
      <c r="B462" t="s">
        <v>160</v>
      </c>
      <c r="C462" t="s">
        <v>161</v>
      </c>
      <c r="D462" s="32">
        <v>38061.519999999997</v>
      </c>
      <c r="E462">
        <v>1246146932</v>
      </c>
      <c r="F462" s="28">
        <v>45569</v>
      </c>
      <c r="H462" t="s">
        <v>156</v>
      </c>
      <c r="I462" t="s">
        <v>157</v>
      </c>
      <c r="J462">
        <v>3633</v>
      </c>
      <c r="K462" s="28">
        <v>45434</v>
      </c>
      <c r="L462">
        <v>1010100</v>
      </c>
      <c r="M462" t="s">
        <v>29</v>
      </c>
      <c r="N462">
        <v>161</v>
      </c>
      <c r="O462" t="s">
        <v>145</v>
      </c>
      <c r="P462" t="s">
        <v>160</v>
      </c>
      <c r="Q462">
        <f t="shared" si="9"/>
        <v>628</v>
      </c>
      <c r="R462">
        <f>_xlfn.XLOOKUP(E462,'Data Additive'!E:E,'Data Additive'!E:E,0)</f>
        <v>0</v>
      </c>
    </row>
    <row r="463" spans="1:18" x14ac:dyDescent="0.25">
      <c r="A463">
        <v>6132</v>
      </c>
      <c r="B463" t="s">
        <v>160</v>
      </c>
      <c r="C463" t="s">
        <v>161</v>
      </c>
      <c r="D463" s="32">
        <v>8760</v>
      </c>
      <c r="E463">
        <v>1246146933</v>
      </c>
      <c r="F463" s="28">
        <v>45462</v>
      </c>
      <c r="H463" t="s">
        <v>156</v>
      </c>
      <c r="I463" t="s">
        <v>157</v>
      </c>
      <c r="J463">
        <v>3634</v>
      </c>
      <c r="K463" s="28">
        <v>45434</v>
      </c>
      <c r="L463">
        <v>1010100</v>
      </c>
      <c r="M463" t="s">
        <v>29</v>
      </c>
      <c r="N463">
        <v>161</v>
      </c>
      <c r="O463" t="s">
        <v>145</v>
      </c>
      <c r="P463" t="s">
        <v>160</v>
      </c>
      <c r="Q463">
        <f t="shared" si="9"/>
        <v>735</v>
      </c>
      <c r="R463">
        <f>_xlfn.XLOOKUP(E463,'Data Additive'!E:E,'Data Additive'!E:E,0)</f>
        <v>0</v>
      </c>
    </row>
    <row r="464" spans="1:18" x14ac:dyDescent="0.25">
      <c r="A464">
        <v>6132</v>
      </c>
      <c r="B464" t="s">
        <v>160</v>
      </c>
      <c r="C464" t="s">
        <v>161</v>
      </c>
      <c r="D464" s="32">
        <v>14851.85</v>
      </c>
      <c r="E464">
        <v>1246132474</v>
      </c>
      <c r="F464" s="28">
        <v>45570</v>
      </c>
      <c r="H464" t="s">
        <v>156</v>
      </c>
      <c r="I464" t="s">
        <v>157</v>
      </c>
      <c r="J464">
        <v>2989</v>
      </c>
      <c r="K464" s="28">
        <v>45356</v>
      </c>
      <c r="L464">
        <v>1010100</v>
      </c>
      <c r="M464" t="s">
        <v>29</v>
      </c>
      <c r="N464">
        <v>161</v>
      </c>
      <c r="O464" t="s">
        <v>145</v>
      </c>
      <c r="P464" t="s">
        <v>160</v>
      </c>
      <c r="Q464">
        <f t="shared" si="9"/>
        <v>627</v>
      </c>
      <c r="R464">
        <f>_xlfn.XLOOKUP(E464,'Data Additive'!E:E,'Data Additive'!E:E,0)</f>
        <v>0</v>
      </c>
    </row>
    <row r="465" spans="1:18" x14ac:dyDescent="0.25">
      <c r="A465">
        <v>6132</v>
      </c>
      <c r="B465" t="s">
        <v>160</v>
      </c>
      <c r="C465" t="s">
        <v>161</v>
      </c>
      <c r="D465" s="32">
        <v>99200.52</v>
      </c>
      <c r="E465">
        <v>1246147269</v>
      </c>
      <c r="F465" s="28">
        <v>45571</v>
      </c>
      <c r="H465" t="s">
        <v>156</v>
      </c>
      <c r="I465" t="s">
        <v>157</v>
      </c>
      <c r="J465">
        <v>3665</v>
      </c>
      <c r="K465" s="28">
        <v>45436</v>
      </c>
      <c r="L465">
        <v>1010100</v>
      </c>
      <c r="M465" t="s">
        <v>29</v>
      </c>
      <c r="N465">
        <v>161</v>
      </c>
      <c r="O465" t="s">
        <v>145</v>
      </c>
      <c r="P465" t="s">
        <v>160</v>
      </c>
      <c r="Q465">
        <f t="shared" si="9"/>
        <v>626</v>
      </c>
      <c r="R465">
        <f>_xlfn.XLOOKUP(E465,'Data Additive'!E:E,'Data Additive'!E:E,0)</f>
        <v>0</v>
      </c>
    </row>
    <row r="466" spans="1:18" x14ac:dyDescent="0.25">
      <c r="A466">
        <v>6132</v>
      </c>
      <c r="B466" t="s">
        <v>160</v>
      </c>
      <c r="C466" t="s">
        <v>161</v>
      </c>
      <c r="D466" s="32">
        <v>33509.519999999997</v>
      </c>
      <c r="E466">
        <v>1246148020</v>
      </c>
      <c r="F466" s="28">
        <v>45576</v>
      </c>
      <c r="H466" t="s">
        <v>156</v>
      </c>
      <c r="I466" t="s">
        <v>157</v>
      </c>
      <c r="J466">
        <v>3714</v>
      </c>
      <c r="K466" s="28">
        <v>45441</v>
      </c>
      <c r="L466">
        <v>1010100</v>
      </c>
      <c r="M466" t="s">
        <v>29</v>
      </c>
      <c r="N466">
        <v>161</v>
      </c>
      <c r="O466" t="s">
        <v>145</v>
      </c>
      <c r="P466" t="s">
        <v>160</v>
      </c>
      <c r="Q466">
        <f t="shared" si="9"/>
        <v>621</v>
      </c>
      <c r="R466">
        <f>_xlfn.XLOOKUP(E466,'Data Additive'!E:E,'Data Additive'!E:E,0)</f>
        <v>0</v>
      </c>
    </row>
    <row r="467" spans="1:18" x14ac:dyDescent="0.25">
      <c r="A467">
        <v>6132</v>
      </c>
      <c r="B467" t="s">
        <v>160</v>
      </c>
      <c r="C467" t="s">
        <v>161</v>
      </c>
      <c r="D467" s="32">
        <v>56218.2</v>
      </c>
      <c r="E467">
        <v>1246148019</v>
      </c>
      <c r="F467" s="28">
        <v>45576</v>
      </c>
      <c r="H467" t="s">
        <v>156</v>
      </c>
      <c r="I467" t="s">
        <v>157</v>
      </c>
      <c r="J467">
        <v>3713</v>
      </c>
      <c r="K467" s="28">
        <v>45441</v>
      </c>
      <c r="L467">
        <v>1010100</v>
      </c>
      <c r="M467" t="s">
        <v>29</v>
      </c>
      <c r="N467">
        <v>161</v>
      </c>
      <c r="O467" t="s">
        <v>145</v>
      </c>
      <c r="P467" t="s">
        <v>160</v>
      </c>
      <c r="Q467">
        <f t="shared" si="9"/>
        <v>621</v>
      </c>
      <c r="R467">
        <f>_xlfn.XLOOKUP(E467,'Data Additive'!E:E,'Data Additive'!E:E,0)</f>
        <v>0</v>
      </c>
    </row>
    <row r="468" spans="1:18" x14ac:dyDescent="0.25">
      <c r="A468">
        <v>6132</v>
      </c>
      <c r="B468" t="s">
        <v>160</v>
      </c>
      <c r="C468" t="s">
        <v>161</v>
      </c>
      <c r="D468" s="32">
        <v>95220.3</v>
      </c>
      <c r="E468">
        <v>1246135170</v>
      </c>
      <c r="F468" s="28">
        <v>45566</v>
      </c>
      <c r="H468" t="s">
        <v>156</v>
      </c>
      <c r="I468" t="s">
        <v>157</v>
      </c>
      <c r="J468">
        <v>3136</v>
      </c>
      <c r="K468" s="28">
        <v>45372</v>
      </c>
      <c r="L468">
        <v>1010100</v>
      </c>
      <c r="M468" t="s">
        <v>29</v>
      </c>
      <c r="N468">
        <v>161</v>
      </c>
      <c r="O468" t="s">
        <v>145</v>
      </c>
      <c r="P468" t="s">
        <v>160</v>
      </c>
      <c r="Q468">
        <f t="shared" si="9"/>
        <v>631</v>
      </c>
      <c r="R468">
        <f>_xlfn.XLOOKUP(E468,'Data Additive'!E:E,'Data Additive'!E:E,0)</f>
        <v>0</v>
      </c>
    </row>
    <row r="469" spans="1:18" x14ac:dyDescent="0.25">
      <c r="A469">
        <v>6132</v>
      </c>
      <c r="B469" t="s">
        <v>160</v>
      </c>
      <c r="C469" t="s">
        <v>161</v>
      </c>
      <c r="D469" s="32">
        <v>29542.9</v>
      </c>
      <c r="E469">
        <v>1246135172</v>
      </c>
      <c r="F469" s="28">
        <v>45566</v>
      </c>
      <c r="H469" t="s">
        <v>156</v>
      </c>
      <c r="I469" t="s">
        <v>157</v>
      </c>
      <c r="J469">
        <v>3137</v>
      </c>
      <c r="K469" s="28">
        <v>45372</v>
      </c>
      <c r="L469">
        <v>1010100</v>
      </c>
      <c r="M469" t="s">
        <v>29</v>
      </c>
      <c r="N469">
        <v>161</v>
      </c>
      <c r="O469" t="s">
        <v>145</v>
      </c>
      <c r="P469" t="s">
        <v>160</v>
      </c>
      <c r="Q469">
        <f t="shared" si="9"/>
        <v>631</v>
      </c>
      <c r="R469">
        <f>_xlfn.XLOOKUP(E469,'Data Additive'!E:E,'Data Additive'!E:E,0)</f>
        <v>0</v>
      </c>
    </row>
    <row r="470" spans="1:18" x14ac:dyDescent="0.25">
      <c r="A470">
        <v>6132</v>
      </c>
      <c r="B470" t="s">
        <v>160</v>
      </c>
      <c r="C470" t="s">
        <v>161</v>
      </c>
      <c r="D470" s="32">
        <v>92588.02</v>
      </c>
      <c r="E470">
        <v>1246138275</v>
      </c>
      <c r="F470" s="28">
        <v>45570</v>
      </c>
      <c r="H470" t="s">
        <v>156</v>
      </c>
      <c r="I470" t="s">
        <v>157</v>
      </c>
      <c r="J470">
        <v>3249</v>
      </c>
      <c r="K470" s="28">
        <v>45390</v>
      </c>
      <c r="L470">
        <v>1010100</v>
      </c>
      <c r="M470" t="s">
        <v>29</v>
      </c>
      <c r="N470">
        <v>161</v>
      </c>
      <c r="O470" t="s">
        <v>145</v>
      </c>
      <c r="P470" t="s">
        <v>160</v>
      </c>
      <c r="Q470">
        <f t="shared" si="9"/>
        <v>627</v>
      </c>
      <c r="R470">
        <f>_xlfn.XLOOKUP(E470,'Data Additive'!E:E,'Data Additive'!E:E,0)</f>
        <v>0</v>
      </c>
    </row>
    <row r="471" spans="1:18" x14ac:dyDescent="0.25">
      <c r="A471">
        <v>6132</v>
      </c>
      <c r="B471" t="s">
        <v>160</v>
      </c>
      <c r="C471" t="s">
        <v>161</v>
      </c>
      <c r="D471" s="32">
        <v>97872.48</v>
      </c>
      <c r="E471">
        <v>1246135813</v>
      </c>
      <c r="F471" s="28">
        <v>45570</v>
      </c>
      <c r="H471" t="s">
        <v>156</v>
      </c>
      <c r="I471" t="s">
        <v>157</v>
      </c>
      <c r="J471">
        <v>3160</v>
      </c>
      <c r="K471" s="28">
        <v>45376</v>
      </c>
      <c r="L471">
        <v>1010100</v>
      </c>
      <c r="M471" t="s">
        <v>29</v>
      </c>
      <c r="N471">
        <v>161</v>
      </c>
      <c r="O471" t="s">
        <v>145</v>
      </c>
      <c r="P471" t="s">
        <v>160</v>
      </c>
      <c r="Q471">
        <f t="shared" si="9"/>
        <v>627</v>
      </c>
      <c r="R471">
        <f>_xlfn.XLOOKUP(E471,'Data Additive'!E:E,'Data Additive'!E:E,0)</f>
        <v>0</v>
      </c>
    </row>
    <row r="472" spans="1:18" x14ac:dyDescent="0.25">
      <c r="A472">
        <v>6132</v>
      </c>
      <c r="B472" t="s">
        <v>160</v>
      </c>
      <c r="C472" t="s">
        <v>161</v>
      </c>
      <c r="D472" s="32">
        <v>155705</v>
      </c>
      <c r="E472">
        <v>1246130904</v>
      </c>
      <c r="F472" s="28">
        <v>45567</v>
      </c>
      <c r="H472" t="s">
        <v>156</v>
      </c>
      <c r="I472" t="s">
        <v>157</v>
      </c>
      <c r="J472">
        <v>2906</v>
      </c>
      <c r="K472" s="28">
        <v>45345</v>
      </c>
      <c r="L472">
        <v>1010100</v>
      </c>
      <c r="M472" t="s">
        <v>29</v>
      </c>
      <c r="N472">
        <v>161</v>
      </c>
      <c r="O472" t="s">
        <v>145</v>
      </c>
      <c r="P472" t="s">
        <v>160</v>
      </c>
      <c r="Q472">
        <f t="shared" si="9"/>
        <v>630</v>
      </c>
      <c r="R472">
        <f>_xlfn.XLOOKUP(E472,'Data Additive'!E:E,'Data Additive'!E:E,0)</f>
        <v>0</v>
      </c>
    </row>
    <row r="473" spans="1:18" x14ac:dyDescent="0.25">
      <c r="A473">
        <v>6132</v>
      </c>
      <c r="B473" t="s">
        <v>160</v>
      </c>
      <c r="C473" t="s">
        <v>161</v>
      </c>
      <c r="D473" s="32">
        <v>86997.759999999995</v>
      </c>
      <c r="E473">
        <v>1246137598</v>
      </c>
      <c r="F473" s="28">
        <v>45566</v>
      </c>
      <c r="H473" t="s">
        <v>156</v>
      </c>
      <c r="I473" t="s">
        <v>157</v>
      </c>
      <c r="J473">
        <v>3223</v>
      </c>
      <c r="K473" s="28">
        <v>45386</v>
      </c>
      <c r="L473">
        <v>1010100</v>
      </c>
      <c r="M473" t="s">
        <v>29</v>
      </c>
      <c r="N473">
        <v>161</v>
      </c>
      <c r="O473" t="s">
        <v>145</v>
      </c>
      <c r="P473" t="s">
        <v>160</v>
      </c>
      <c r="Q473">
        <f t="shared" si="9"/>
        <v>631</v>
      </c>
      <c r="R473">
        <f>_xlfn.XLOOKUP(E473,'Data Additive'!E:E,'Data Additive'!E:E,0)</f>
        <v>0</v>
      </c>
    </row>
    <row r="474" spans="1:18" x14ac:dyDescent="0.25">
      <c r="A474">
        <v>6132</v>
      </c>
      <c r="B474" t="s">
        <v>160</v>
      </c>
      <c r="C474" t="s">
        <v>161</v>
      </c>
      <c r="D474" s="32">
        <v>55849.2</v>
      </c>
      <c r="E474">
        <v>1246147270</v>
      </c>
      <c r="F474" s="28">
        <v>45571</v>
      </c>
      <c r="H474" t="s">
        <v>156</v>
      </c>
      <c r="I474" t="s">
        <v>157</v>
      </c>
      <c r="J474">
        <v>3666</v>
      </c>
      <c r="K474" s="28">
        <v>45436</v>
      </c>
      <c r="L474">
        <v>1010100</v>
      </c>
      <c r="M474" t="s">
        <v>29</v>
      </c>
      <c r="N474">
        <v>161</v>
      </c>
      <c r="O474" t="s">
        <v>145</v>
      </c>
      <c r="P474" t="s">
        <v>160</v>
      </c>
      <c r="Q474">
        <f t="shared" si="9"/>
        <v>626</v>
      </c>
      <c r="R474">
        <f>_xlfn.XLOOKUP(E474,'Data Additive'!E:E,'Data Additive'!E:E,0)</f>
        <v>0</v>
      </c>
    </row>
    <row r="475" spans="1:18" x14ac:dyDescent="0.25">
      <c r="A475">
        <v>6132</v>
      </c>
      <c r="B475" t="s">
        <v>160</v>
      </c>
      <c r="C475" t="s">
        <v>161</v>
      </c>
      <c r="D475" s="32">
        <v>97872.48</v>
      </c>
      <c r="E475">
        <v>1246131241</v>
      </c>
      <c r="F475" s="28">
        <v>45571</v>
      </c>
      <c r="H475" t="s">
        <v>156</v>
      </c>
      <c r="I475" t="s">
        <v>157</v>
      </c>
      <c r="J475">
        <v>2928</v>
      </c>
      <c r="K475" s="28">
        <v>45349</v>
      </c>
      <c r="L475">
        <v>1010100</v>
      </c>
      <c r="M475" t="s">
        <v>29</v>
      </c>
      <c r="N475">
        <v>161</v>
      </c>
      <c r="O475" t="s">
        <v>145</v>
      </c>
      <c r="P475" t="s">
        <v>160</v>
      </c>
      <c r="Q475">
        <f t="shared" si="9"/>
        <v>626</v>
      </c>
      <c r="R475">
        <f>_xlfn.XLOOKUP(E475,'Data Additive'!E:E,'Data Additive'!E:E,0)</f>
        <v>0</v>
      </c>
    </row>
    <row r="476" spans="1:18" x14ac:dyDescent="0.25">
      <c r="A476">
        <v>6132</v>
      </c>
      <c r="B476" t="s">
        <v>160</v>
      </c>
      <c r="C476" t="s">
        <v>161</v>
      </c>
      <c r="D476" s="32">
        <v>57092.28</v>
      </c>
      <c r="E476">
        <v>1246133070</v>
      </c>
      <c r="F476" s="28">
        <v>45573</v>
      </c>
      <c r="H476" t="s">
        <v>156</v>
      </c>
      <c r="I476" t="s">
        <v>157</v>
      </c>
      <c r="J476">
        <v>3012</v>
      </c>
      <c r="K476" s="28">
        <v>45359</v>
      </c>
      <c r="L476">
        <v>1010100</v>
      </c>
      <c r="M476" t="s">
        <v>29</v>
      </c>
      <c r="N476">
        <v>161</v>
      </c>
      <c r="O476" t="s">
        <v>145</v>
      </c>
      <c r="P476" t="s">
        <v>160</v>
      </c>
      <c r="Q476">
        <f t="shared" si="9"/>
        <v>624</v>
      </c>
      <c r="R476">
        <f>_xlfn.XLOOKUP(E476,'Data Additive'!E:E,'Data Additive'!E:E,0)</f>
        <v>0</v>
      </c>
    </row>
    <row r="477" spans="1:18" x14ac:dyDescent="0.25">
      <c r="A477">
        <v>6132</v>
      </c>
      <c r="B477" t="s">
        <v>160</v>
      </c>
      <c r="C477" t="s">
        <v>161</v>
      </c>
      <c r="D477" s="32">
        <v>86997.759999999995</v>
      </c>
      <c r="E477">
        <v>1246131594</v>
      </c>
      <c r="F477" s="28">
        <v>45573</v>
      </c>
      <c r="H477" t="s">
        <v>156</v>
      </c>
      <c r="I477" t="s">
        <v>157</v>
      </c>
      <c r="J477">
        <v>2956</v>
      </c>
      <c r="K477" s="28">
        <v>45351</v>
      </c>
      <c r="L477">
        <v>1010100</v>
      </c>
      <c r="M477" t="s">
        <v>29</v>
      </c>
      <c r="N477">
        <v>161</v>
      </c>
      <c r="O477" t="s">
        <v>145</v>
      </c>
      <c r="P477" t="s">
        <v>160</v>
      </c>
      <c r="Q477">
        <f t="shared" si="9"/>
        <v>624</v>
      </c>
      <c r="R477">
        <f>_xlfn.XLOOKUP(E477,'Data Additive'!E:E,'Data Additive'!E:E,0)</f>
        <v>0</v>
      </c>
    </row>
    <row r="478" spans="1:18" x14ac:dyDescent="0.25">
      <c r="A478">
        <v>6132</v>
      </c>
      <c r="B478" t="s">
        <v>160</v>
      </c>
      <c r="C478" t="s">
        <v>161</v>
      </c>
      <c r="D478" s="32">
        <v>86997.759999999995</v>
      </c>
      <c r="E478">
        <v>1246133332</v>
      </c>
      <c r="F478" s="28">
        <v>45576</v>
      </c>
      <c r="H478" t="s">
        <v>156</v>
      </c>
      <c r="I478" t="s">
        <v>157</v>
      </c>
      <c r="J478">
        <v>3028</v>
      </c>
      <c r="K478" s="28">
        <v>45362</v>
      </c>
      <c r="L478">
        <v>1010100</v>
      </c>
      <c r="M478" t="s">
        <v>29</v>
      </c>
      <c r="N478">
        <v>161</v>
      </c>
      <c r="O478" t="s">
        <v>145</v>
      </c>
      <c r="P478" t="s">
        <v>160</v>
      </c>
      <c r="Q478">
        <f t="shared" si="9"/>
        <v>621</v>
      </c>
      <c r="R478">
        <f>_xlfn.XLOOKUP(E478,'Data Additive'!E:E,'Data Additive'!E:E,0)</f>
        <v>0</v>
      </c>
    </row>
    <row r="479" spans="1:18" x14ac:dyDescent="0.25">
      <c r="A479">
        <v>6132</v>
      </c>
      <c r="B479" t="s">
        <v>160</v>
      </c>
      <c r="C479" t="s">
        <v>161</v>
      </c>
      <c r="D479" s="32">
        <v>95153.8</v>
      </c>
      <c r="E479">
        <v>1246133718</v>
      </c>
      <c r="F479" s="28">
        <v>45578</v>
      </c>
      <c r="H479" t="s">
        <v>156</v>
      </c>
      <c r="I479" t="s">
        <v>157</v>
      </c>
      <c r="J479">
        <v>3051</v>
      </c>
      <c r="K479" s="28">
        <v>45364</v>
      </c>
      <c r="L479">
        <v>1010100</v>
      </c>
      <c r="M479" t="s">
        <v>29</v>
      </c>
      <c r="N479">
        <v>161</v>
      </c>
      <c r="O479" t="s">
        <v>145</v>
      </c>
      <c r="P479" t="s">
        <v>160</v>
      </c>
      <c r="Q479">
        <f t="shared" si="9"/>
        <v>619</v>
      </c>
      <c r="R479">
        <f>_xlfn.XLOOKUP(E479,'Data Additive'!E:E,'Data Additive'!E:E,0)</f>
        <v>0</v>
      </c>
    </row>
    <row r="480" spans="1:18" x14ac:dyDescent="0.25">
      <c r="A480">
        <v>6132</v>
      </c>
      <c r="B480" t="s">
        <v>160</v>
      </c>
      <c r="C480" t="s">
        <v>161</v>
      </c>
      <c r="D480" s="32">
        <v>116501.9</v>
      </c>
      <c r="E480">
        <v>1246138114</v>
      </c>
      <c r="F480" s="28">
        <v>45570</v>
      </c>
      <c r="H480" t="s">
        <v>156</v>
      </c>
      <c r="I480" t="s">
        <v>157</v>
      </c>
      <c r="J480">
        <v>3243</v>
      </c>
      <c r="K480" s="28">
        <v>45390</v>
      </c>
      <c r="L480">
        <v>1010100</v>
      </c>
      <c r="M480" t="s">
        <v>29</v>
      </c>
      <c r="N480">
        <v>161</v>
      </c>
      <c r="O480" t="s">
        <v>145</v>
      </c>
      <c r="P480" t="s">
        <v>160</v>
      </c>
      <c r="Q480">
        <f t="shared" si="9"/>
        <v>627</v>
      </c>
      <c r="R480">
        <f>_xlfn.XLOOKUP(E480,'Data Additive'!E:E,'Data Additive'!E:E,0)</f>
        <v>0</v>
      </c>
    </row>
    <row r="481" spans="1:18" x14ac:dyDescent="0.25">
      <c r="A481">
        <v>6132</v>
      </c>
      <c r="B481" t="s">
        <v>160</v>
      </c>
      <c r="C481" t="s">
        <v>161</v>
      </c>
      <c r="D481" s="32">
        <v>134954</v>
      </c>
      <c r="E481">
        <v>1246130651</v>
      </c>
      <c r="F481" s="28">
        <v>45566</v>
      </c>
      <c r="H481" t="s">
        <v>156</v>
      </c>
      <c r="I481" t="s">
        <v>157</v>
      </c>
      <c r="J481">
        <v>2889</v>
      </c>
      <c r="K481" s="28">
        <v>45344</v>
      </c>
      <c r="L481">
        <v>1010100</v>
      </c>
      <c r="M481" t="s">
        <v>29</v>
      </c>
      <c r="N481">
        <v>161</v>
      </c>
      <c r="O481" t="s">
        <v>145</v>
      </c>
      <c r="P481" t="s">
        <v>160</v>
      </c>
      <c r="Q481">
        <f t="shared" si="9"/>
        <v>631</v>
      </c>
      <c r="R481">
        <f>_xlfn.XLOOKUP(E481,'Data Additive'!E:E,'Data Additive'!E:E,0)</f>
        <v>0</v>
      </c>
    </row>
    <row r="482" spans="1:18" x14ac:dyDescent="0.25">
      <c r="A482">
        <v>6132</v>
      </c>
      <c r="B482" t="s">
        <v>160</v>
      </c>
      <c r="C482" t="s">
        <v>161</v>
      </c>
      <c r="D482" s="32">
        <v>86997.759999999995</v>
      </c>
      <c r="E482">
        <v>1246131630</v>
      </c>
      <c r="F482" s="28">
        <v>45573</v>
      </c>
      <c r="H482" t="s">
        <v>156</v>
      </c>
      <c r="I482" t="s">
        <v>157</v>
      </c>
      <c r="J482">
        <v>2958</v>
      </c>
      <c r="K482" s="28">
        <v>45351</v>
      </c>
      <c r="L482">
        <v>1010100</v>
      </c>
      <c r="M482" t="s">
        <v>29</v>
      </c>
      <c r="N482">
        <v>161</v>
      </c>
      <c r="O482" t="s">
        <v>145</v>
      </c>
      <c r="P482" t="s">
        <v>160</v>
      </c>
      <c r="Q482">
        <f t="shared" si="9"/>
        <v>624</v>
      </c>
      <c r="R482">
        <f>_xlfn.XLOOKUP(E482,'Data Additive'!E:E,'Data Additive'!E:E,0)</f>
        <v>0</v>
      </c>
    </row>
    <row r="483" spans="1:18" x14ac:dyDescent="0.25">
      <c r="A483">
        <v>6132</v>
      </c>
      <c r="B483" t="s">
        <v>160</v>
      </c>
      <c r="C483" t="s">
        <v>161</v>
      </c>
      <c r="D483" s="32">
        <v>29949.599999999999</v>
      </c>
      <c r="E483">
        <v>1246133071</v>
      </c>
      <c r="F483" s="28">
        <v>45573</v>
      </c>
      <c r="H483" t="s">
        <v>156</v>
      </c>
      <c r="I483" t="s">
        <v>157</v>
      </c>
      <c r="J483">
        <v>3013</v>
      </c>
      <c r="K483" s="28">
        <v>45359</v>
      </c>
      <c r="L483">
        <v>1010100</v>
      </c>
      <c r="M483" t="s">
        <v>29</v>
      </c>
      <c r="N483">
        <v>161</v>
      </c>
      <c r="O483" t="s">
        <v>145</v>
      </c>
      <c r="P483" t="s">
        <v>160</v>
      </c>
      <c r="Q483">
        <f t="shared" si="9"/>
        <v>624</v>
      </c>
      <c r="R483">
        <f>_xlfn.XLOOKUP(E483,'Data Additive'!E:E,'Data Additive'!E:E,0)</f>
        <v>0</v>
      </c>
    </row>
    <row r="484" spans="1:18" x14ac:dyDescent="0.25">
      <c r="A484">
        <v>6132</v>
      </c>
      <c r="B484" t="s">
        <v>160</v>
      </c>
      <c r="C484" t="s">
        <v>161</v>
      </c>
      <c r="D484" s="32">
        <v>54275.6</v>
      </c>
      <c r="E484">
        <v>1246132475</v>
      </c>
      <c r="F484" s="28">
        <v>45570</v>
      </c>
      <c r="H484" t="s">
        <v>156</v>
      </c>
      <c r="I484" t="s">
        <v>157</v>
      </c>
      <c r="J484">
        <v>2990</v>
      </c>
      <c r="K484" s="28">
        <v>45356</v>
      </c>
      <c r="L484">
        <v>1010100</v>
      </c>
      <c r="M484" t="s">
        <v>29</v>
      </c>
      <c r="N484">
        <v>161</v>
      </c>
      <c r="O484" t="s">
        <v>145</v>
      </c>
      <c r="P484" t="s">
        <v>160</v>
      </c>
      <c r="Q484">
        <f t="shared" si="9"/>
        <v>627</v>
      </c>
      <c r="R484">
        <f>_xlfn.XLOOKUP(E484,'Data Additive'!E:E,'Data Additive'!E:E,0)</f>
        <v>0</v>
      </c>
    </row>
    <row r="485" spans="1:18" x14ac:dyDescent="0.25">
      <c r="A485">
        <v>6132</v>
      </c>
      <c r="B485" t="s">
        <v>160</v>
      </c>
      <c r="C485" t="s">
        <v>161</v>
      </c>
      <c r="D485" s="32">
        <v>97872.48</v>
      </c>
      <c r="E485">
        <v>1246132869</v>
      </c>
      <c r="F485" s="28">
        <v>45572</v>
      </c>
      <c r="H485" t="s">
        <v>156</v>
      </c>
      <c r="I485" t="s">
        <v>157</v>
      </c>
      <c r="J485">
        <v>3001</v>
      </c>
      <c r="K485" s="28">
        <v>45358</v>
      </c>
      <c r="L485">
        <v>1010100</v>
      </c>
      <c r="M485" t="s">
        <v>29</v>
      </c>
      <c r="N485">
        <v>161</v>
      </c>
      <c r="O485" t="s">
        <v>145</v>
      </c>
      <c r="P485" t="s">
        <v>160</v>
      </c>
      <c r="Q485">
        <f t="shared" si="9"/>
        <v>625</v>
      </c>
      <c r="R485">
        <f>_xlfn.XLOOKUP(E485,'Data Additive'!E:E,'Data Additive'!E:E,0)</f>
        <v>0</v>
      </c>
    </row>
    <row r="486" spans="1:18" x14ac:dyDescent="0.25">
      <c r="A486">
        <v>6132</v>
      </c>
      <c r="B486" t="s">
        <v>160</v>
      </c>
      <c r="C486" t="s">
        <v>161</v>
      </c>
      <c r="D486" s="32">
        <v>86997.759999999995</v>
      </c>
      <c r="E486">
        <v>1246147192</v>
      </c>
      <c r="F486" s="28">
        <v>45571</v>
      </c>
      <c r="H486" t="s">
        <v>156</v>
      </c>
      <c r="I486" t="s">
        <v>157</v>
      </c>
      <c r="J486">
        <v>3654</v>
      </c>
      <c r="K486" s="28">
        <v>45436</v>
      </c>
      <c r="L486">
        <v>1010100</v>
      </c>
      <c r="M486" t="s">
        <v>29</v>
      </c>
      <c r="N486">
        <v>161</v>
      </c>
      <c r="O486" t="s">
        <v>145</v>
      </c>
      <c r="P486" t="s">
        <v>160</v>
      </c>
      <c r="Q486">
        <f t="shared" si="9"/>
        <v>626</v>
      </c>
      <c r="R486">
        <f>_xlfn.XLOOKUP(E486,'Data Additive'!E:E,'Data Additive'!E:E,0)</f>
        <v>0</v>
      </c>
    </row>
    <row r="487" spans="1:18" x14ac:dyDescent="0.25">
      <c r="A487">
        <v>6132</v>
      </c>
      <c r="B487" t="s">
        <v>160</v>
      </c>
      <c r="C487" t="s">
        <v>161</v>
      </c>
      <c r="D487" s="32">
        <v>101192.76</v>
      </c>
      <c r="E487">
        <v>1246148270</v>
      </c>
      <c r="F487" s="28">
        <v>45578</v>
      </c>
      <c r="H487" t="s">
        <v>156</v>
      </c>
      <c r="I487" t="s">
        <v>157</v>
      </c>
      <c r="J487">
        <v>3731</v>
      </c>
      <c r="K487" s="28">
        <v>45443</v>
      </c>
      <c r="L487">
        <v>1010100</v>
      </c>
      <c r="M487" t="s">
        <v>29</v>
      </c>
      <c r="N487">
        <v>161</v>
      </c>
      <c r="O487" t="s">
        <v>145</v>
      </c>
      <c r="P487" t="s">
        <v>160</v>
      </c>
      <c r="Q487">
        <f t="shared" si="9"/>
        <v>619</v>
      </c>
      <c r="R487">
        <f>_xlfn.XLOOKUP(E487,'Data Additive'!E:E,'Data Additive'!E:E,0)</f>
        <v>0</v>
      </c>
    </row>
    <row r="488" spans="1:18" x14ac:dyDescent="0.25">
      <c r="A488">
        <v>5519</v>
      </c>
      <c r="B488" t="s">
        <v>272</v>
      </c>
      <c r="C488" t="s">
        <v>759</v>
      </c>
      <c r="D488" s="32">
        <v>45716.4</v>
      </c>
      <c r="E488">
        <v>1246275472</v>
      </c>
      <c r="F488" s="28">
        <v>46217</v>
      </c>
      <c r="H488" t="s">
        <v>23</v>
      </c>
      <c r="I488" t="s">
        <v>24</v>
      </c>
      <c r="J488">
        <v>11411</v>
      </c>
      <c r="K488" s="28">
        <v>46157</v>
      </c>
      <c r="L488">
        <v>1010100</v>
      </c>
      <c r="M488" t="s">
        <v>29</v>
      </c>
      <c r="N488">
        <v>161</v>
      </c>
      <c r="O488" t="s">
        <v>145</v>
      </c>
      <c r="P488" t="s">
        <v>272</v>
      </c>
      <c r="Q488">
        <f t="shared" si="9"/>
        <v>-20</v>
      </c>
      <c r="R488">
        <f>_xlfn.XLOOKUP(E488,'Data Additive'!E:E,'Data Additive'!E:E,0)</f>
        <v>1246275472</v>
      </c>
    </row>
    <row r="489" spans="1:18" x14ac:dyDescent="0.25">
      <c r="A489">
        <v>5519</v>
      </c>
      <c r="B489" t="s">
        <v>272</v>
      </c>
      <c r="C489" t="s">
        <v>759</v>
      </c>
      <c r="D489" s="32">
        <v>59118</v>
      </c>
      <c r="E489">
        <v>1246280797</v>
      </c>
      <c r="F489" s="28">
        <v>46227</v>
      </c>
      <c r="H489" t="s">
        <v>23</v>
      </c>
      <c r="I489" t="s">
        <v>24</v>
      </c>
      <c r="J489">
        <v>11803</v>
      </c>
      <c r="K489" s="28">
        <v>46197</v>
      </c>
      <c r="L489">
        <v>1010100</v>
      </c>
      <c r="M489" t="s">
        <v>29</v>
      </c>
      <c r="N489">
        <v>161</v>
      </c>
      <c r="O489" t="s">
        <v>145</v>
      </c>
      <c r="P489" t="s">
        <v>272</v>
      </c>
      <c r="Q489">
        <f t="shared" si="9"/>
        <v>-30</v>
      </c>
      <c r="R489">
        <f>_xlfn.XLOOKUP(E489,'Data Additive'!E:E,'Data Additive'!E:E,0)</f>
        <v>1246280797</v>
      </c>
    </row>
    <row r="490" spans="1:18" x14ac:dyDescent="0.25">
      <c r="A490">
        <v>5519</v>
      </c>
      <c r="B490" t="s">
        <v>272</v>
      </c>
      <c r="C490" t="s">
        <v>759</v>
      </c>
      <c r="D490" s="32">
        <v>59118</v>
      </c>
      <c r="E490">
        <v>1246280798</v>
      </c>
      <c r="F490" s="28">
        <v>46257</v>
      </c>
      <c r="H490" t="s">
        <v>23</v>
      </c>
      <c r="I490" t="s">
        <v>24</v>
      </c>
      <c r="J490">
        <v>11803</v>
      </c>
      <c r="K490" s="28">
        <v>46197</v>
      </c>
      <c r="L490">
        <v>1010100</v>
      </c>
      <c r="M490" t="s">
        <v>29</v>
      </c>
      <c r="N490">
        <v>161</v>
      </c>
      <c r="O490" t="s">
        <v>145</v>
      </c>
      <c r="P490" t="s">
        <v>272</v>
      </c>
      <c r="Q490">
        <f t="shared" si="9"/>
        <v>-60</v>
      </c>
      <c r="R490">
        <f>_xlfn.XLOOKUP(E490,'Data Additive'!E:E,'Data Additive'!E:E,0)</f>
        <v>1246280798</v>
      </c>
    </row>
    <row r="491" spans="1:18" x14ac:dyDescent="0.25">
      <c r="A491">
        <v>6177</v>
      </c>
      <c r="B491" t="s">
        <v>633</v>
      </c>
      <c r="C491" t="s">
        <v>692</v>
      </c>
      <c r="D491" s="32">
        <v>122180</v>
      </c>
      <c r="E491">
        <v>1246273001</v>
      </c>
      <c r="F491" s="28">
        <v>46200</v>
      </c>
      <c r="H491" t="s">
        <v>23</v>
      </c>
      <c r="I491" t="s">
        <v>24</v>
      </c>
      <c r="J491">
        <v>11247</v>
      </c>
      <c r="K491" s="28">
        <v>46140</v>
      </c>
      <c r="L491">
        <v>1010100</v>
      </c>
      <c r="M491" t="s">
        <v>29</v>
      </c>
      <c r="N491">
        <v>161</v>
      </c>
      <c r="O491" t="s">
        <v>145</v>
      </c>
      <c r="P491" t="s">
        <v>633</v>
      </c>
      <c r="Q491">
        <f t="shared" si="9"/>
        <v>-3</v>
      </c>
      <c r="R491">
        <f>_xlfn.XLOOKUP(E491,'Data Additive'!E:E,'Data Additive'!E:E,0)</f>
        <v>1246273001</v>
      </c>
    </row>
    <row r="492" spans="1:18" x14ac:dyDescent="0.25">
      <c r="A492">
        <v>5300</v>
      </c>
      <c r="B492" t="s">
        <v>25</v>
      </c>
      <c r="C492" t="s">
        <v>464</v>
      </c>
      <c r="D492" s="32">
        <v>172292.2</v>
      </c>
      <c r="E492">
        <v>1246279383</v>
      </c>
      <c r="F492" s="28">
        <v>46213</v>
      </c>
      <c r="H492" t="s">
        <v>23</v>
      </c>
      <c r="I492" t="s">
        <v>24</v>
      </c>
      <c r="J492">
        <v>11699</v>
      </c>
      <c r="K492" s="28">
        <v>46185</v>
      </c>
      <c r="L492">
        <v>1010100</v>
      </c>
      <c r="M492" t="s">
        <v>29</v>
      </c>
      <c r="N492">
        <v>161</v>
      </c>
      <c r="O492" t="s">
        <v>145</v>
      </c>
      <c r="P492" t="s">
        <v>25</v>
      </c>
      <c r="Q492">
        <f t="shared" si="9"/>
        <v>-16</v>
      </c>
      <c r="R492">
        <f>_xlfn.XLOOKUP(E492,'Data Additive'!E:E,'Data Additive'!E:E,0)</f>
        <v>1246279383</v>
      </c>
    </row>
    <row r="493" spans="1:18" x14ac:dyDescent="0.25">
      <c r="A493">
        <v>5300</v>
      </c>
      <c r="B493" t="s">
        <v>25</v>
      </c>
      <c r="C493" t="s">
        <v>464</v>
      </c>
      <c r="D493" s="32">
        <v>172926.9</v>
      </c>
      <c r="E493">
        <v>1246280812</v>
      </c>
      <c r="F493" s="28">
        <v>46225</v>
      </c>
      <c r="H493" t="s">
        <v>23</v>
      </c>
      <c r="I493" t="s">
        <v>24</v>
      </c>
      <c r="J493">
        <v>11804</v>
      </c>
      <c r="K493" s="28">
        <v>46197</v>
      </c>
      <c r="L493">
        <v>1010100</v>
      </c>
      <c r="M493" t="s">
        <v>29</v>
      </c>
      <c r="N493">
        <v>161</v>
      </c>
      <c r="O493" t="s">
        <v>145</v>
      </c>
      <c r="P493" t="s">
        <v>25</v>
      </c>
      <c r="Q493">
        <f t="shared" si="9"/>
        <v>-28</v>
      </c>
      <c r="R493">
        <f>_xlfn.XLOOKUP(E493,'Data Additive'!E:E,'Data Additive'!E:E,0)</f>
        <v>1246280812</v>
      </c>
    </row>
    <row r="494" spans="1:18" x14ac:dyDescent="0.25">
      <c r="A494">
        <v>5300</v>
      </c>
      <c r="B494" t="s">
        <v>25</v>
      </c>
      <c r="C494" t="s">
        <v>464</v>
      </c>
      <c r="D494" s="32">
        <v>174484.8</v>
      </c>
      <c r="E494">
        <v>1246278418</v>
      </c>
      <c r="F494" s="28">
        <v>46206</v>
      </c>
      <c r="H494" t="s">
        <v>23</v>
      </c>
      <c r="I494" t="s">
        <v>24</v>
      </c>
      <c r="J494">
        <v>11624</v>
      </c>
      <c r="K494" s="28">
        <v>46178</v>
      </c>
      <c r="L494">
        <v>1010100</v>
      </c>
      <c r="M494" t="s">
        <v>29</v>
      </c>
      <c r="N494">
        <v>161</v>
      </c>
      <c r="O494" t="s">
        <v>145</v>
      </c>
      <c r="P494" t="s">
        <v>25</v>
      </c>
      <c r="Q494">
        <f t="shared" si="9"/>
        <v>-9</v>
      </c>
      <c r="R494">
        <f>_xlfn.XLOOKUP(E494,'Data Additive'!E:E,'Data Additive'!E:E,0)</f>
        <v>1246278418</v>
      </c>
    </row>
    <row r="495" spans="1:18" x14ac:dyDescent="0.25">
      <c r="A495">
        <v>5300</v>
      </c>
      <c r="B495" t="s">
        <v>25</v>
      </c>
      <c r="C495" t="s">
        <v>464</v>
      </c>
      <c r="D495" s="32">
        <v>174023.2</v>
      </c>
      <c r="E495">
        <v>1246278685</v>
      </c>
      <c r="F495" s="28">
        <v>46210</v>
      </c>
      <c r="H495" t="s">
        <v>23</v>
      </c>
      <c r="I495" t="s">
        <v>24</v>
      </c>
      <c r="J495">
        <v>11651</v>
      </c>
      <c r="K495" s="28">
        <v>46182</v>
      </c>
      <c r="L495">
        <v>1010100</v>
      </c>
      <c r="M495" t="s">
        <v>29</v>
      </c>
      <c r="N495">
        <v>161</v>
      </c>
      <c r="O495" t="s">
        <v>145</v>
      </c>
      <c r="P495" t="s">
        <v>25</v>
      </c>
      <c r="Q495">
        <f t="shared" si="9"/>
        <v>-13</v>
      </c>
      <c r="R495">
        <f>_xlfn.XLOOKUP(E495,'Data Additive'!E:E,'Data Additive'!E:E,0)</f>
        <v>1246278685</v>
      </c>
    </row>
    <row r="496" spans="1:18" x14ac:dyDescent="0.25">
      <c r="A496">
        <v>4575</v>
      </c>
      <c r="B496" t="s">
        <v>80</v>
      </c>
      <c r="C496" t="s">
        <v>81</v>
      </c>
      <c r="D496" s="32">
        <v>20940</v>
      </c>
      <c r="E496">
        <v>1246113043</v>
      </c>
      <c r="F496" s="28">
        <v>45311</v>
      </c>
      <c r="H496" t="s">
        <v>23</v>
      </c>
      <c r="I496" t="s">
        <v>24</v>
      </c>
      <c r="J496">
        <v>1821</v>
      </c>
      <c r="K496" s="28">
        <v>45233</v>
      </c>
      <c r="L496">
        <v>1010100</v>
      </c>
      <c r="M496" t="s">
        <v>29</v>
      </c>
      <c r="N496">
        <v>161</v>
      </c>
      <c r="O496" t="s">
        <v>145</v>
      </c>
      <c r="P496" t="s">
        <v>80</v>
      </c>
      <c r="Q496">
        <f t="shared" si="9"/>
        <v>886</v>
      </c>
      <c r="R496">
        <f>_xlfn.XLOOKUP(E496,'Data Additive'!E:E,'Data Additive'!E:E,0)</f>
        <v>1246113043</v>
      </c>
    </row>
    <row r="497" spans="1:18" x14ac:dyDescent="0.25">
      <c r="A497">
        <v>4577</v>
      </c>
      <c r="B497" t="s">
        <v>224</v>
      </c>
      <c r="C497" t="s">
        <v>15611</v>
      </c>
      <c r="D497" s="32">
        <v>65758</v>
      </c>
      <c r="E497">
        <v>1246277819</v>
      </c>
      <c r="F497" s="28">
        <v>46203</v>
      </c>
      <c r="H497" t="s">
        <v>23</v>
      </c>
      <c r="I497" t="s">
        <v>24</v>
      </c>
      <c r="J497">
        <v>11579</v>
      </c>
      <c r="K497" s="28">
        <v>46175</v>
      </c>
      <c r="L497">
        <v>1010100</v>
      </c>
      <c r="M497" t="s">
        <v>29</v>
      </c>
      <c r="N497">
        <v>161</v>
      </c>
      <c r="O497" t="s">
        <v>145</v>
      </c>
      <c r="P497" t="s">
        <v>224</v>
      </c>
      <c r="Q497">
        <f t="shared" si="9"/>
        <v>-6</v>
      </c>
      <c r="R497">
        <f>_xlfn.XLOOKUP(E497,'Data Additive'!E:E,'Data Additive'!E:E,0)</f>
        <v>1246277819</v>
      </c>
    </row>
    <row r="498" spans="1:18" x14ac:dyDescent="0.25">
      <c r="A498">
        <v>5657</v>
      </c>
      <c r="B498" t="s">
        <v>84</v>
      </c>
      <c r="C498" t="s">
        <v>15401</v>
      </c>
      <c r="D498" s="32">
        <v>31780</v>
      </c>
      <c r="E498">
        <v>1246280515</v>
      </c>
      <c r="F498" s="28">
        <v>46224</v>
      </c>
      <c r="H498" t="s">
        <v>23</v>
      </c>
      <c r="I498" t="s">
        <v>24</v>
      </c>
      <c r="J498">
        <v>3025</v>
      </c>
      <c r="K498" s="28">
        <v>46196</v>
      </c>
      <c r="L498">
        <v>1010100</v>
      </c>
      <c r="M498" t="s">
        <v>29</v>
      </c>
      <c r="N498">
        <v>161</v>
      </c>
      <c r="O498" t="s">
        <v>145</v>
      </c>
      <c r="P498" t="s">
        <v>84</v>
      </c>
      <c r="Q498">
        <f t="shared" si="9"/>
        <v>-27</v>
      </c>
      <c r="R498">
        <f>_xlfn.XLOOKUP(E498,'Data Additive'!E:E,'Data Additive'!E:E,0)</f>
        <v>1246280515</v>
      </c>
    </row>
    <row r="499" spans="1:18" x14ac:dyDescent="0.25">
      <c r="A499">
        <v>5657</v>
      </c>
      <c r="B499" t="s">
        <v>84</v>
      </c>
      <c r="C499" t="s">
        <v>15401</v>
      </c>
      <c r="D499" s="32">
        <v>18100</v>
      </c>
      <c r="E499">
        <v>1246280550</v>
      </c>
      <c r="F499" s="28">
        <v>46224</v>
      </c>
      <c r="H499" t="s">
        <v>23</v>
      </c>
      <c r="I499" t="s">
        <v>24</v>
      </c>
      <c r="J499">
        <v>11792</v>
      </c>
      <c r="K499" s="28">
        <v>46196</v>
      </c>
      <c r="L499">
        <v>1010100</v>
      </c>
      <c r="M499" t="s">
        <v>29</v>
      </c>
      <c r="N499">
        <v>161</v>
      </c>
      <c r="O499" t="s">
        <v>145</v>
      </c>
      <c r="P499" t="s">
        <v>84</v>
      </c>
      <c r="Q499">
        <f t="shared" si="9"/>
        <v>-27</v>
      </c>
      <c r="R499">
        <f>_xlfn.XLOOKUP(E499,'Data Additive'!E:E,'Data Additive'!E:E,0)</f>
        <v>1246280550</v>
      </c>
    </row>
    <row r="500" spans="1:18" x14ac:dyDescent="0.25">
      <c r="A500">
        <v>7022</v>
      </c>
      <c r="B500" t="s">
        <v>15419</v>
      </c>
      <c r="C500" t="s">
        <v>90</v>
      </c>
      <c r="D500" s="32">
        <v>71224.800000000003</v>
      </c>
      <c r="E500">
        <v>1246280421</v>
      </c>
      <c r="F500" s="28">
        <v>46285</v>
      </c>
      <c r="H500" t="s">
        <v>23</v>
      </c>
      <c r="I500" t="s">
        <v>24</v>
      </c>
      <c r="J500">
        <v>11778</v>
      </c>
      <c r="K500" s="28">
        <v>46195</v>
      </c>
      <c r="L500">
        <v>1010100</v>
      </c>
      <c r="M500" t="s">
        <v>29</v>
      </c>
      <c r="N500">
        <v>161</v>
      </c>
      <c r="O500" t="s">
        <v>145</v>
      </c>
      <c r="P500" t="s">
        <v>15419</v>
      </c>
      <c r="Q500">
        <f t="shared" si="9"/>
        <v>-88</v>
      </c>
      <c r="R500">
        <f>_xlfn.XLOOKUP(E500,'Data Additive'!E:E,'Data Additive'!E:E,0)</f>
        <v>1246280421</v>
      </c>
    </row>
    <row r="501" spans="1:18" x14ac:dyDescent="0.25">
      <c r="A501">
        <v>7022</v>
      </c>
      <c r="B501" t="s">
        <v>15419</v>
      </c>
      <c r="C501" t="s">
        <v>90</v>
      </c>
      <c r="D501" s="32">
        <v>70540.399999999994</v>
      </c>
      <c r="E501">
        <v>1246275322</v>
      </c>
      <c r="F501" s="28">
        <v>46247</v>
      </c>
      <c r="H501" t="s">
        <v>23</v>
      </c>
      <c r="I501" t="s">
        <v>24</v>
      </c>
      <c r="J501">
        <v>11403</v>
      </c>
      <c r="K501" s="28">
        <v>46157</v>
      </c>
      <c r="L501">
        <v>1010100</v>
      </c>
      <c r="M501" t="s">
        <v>29</v>
      </c>
      <c r="N501">
        <v>161</v>
      </c>
      <c r="O501" t="s">
        <v>145</v>
      </c>
      <c r="P501" t="s">
        <v>15419</v>
      </c>
      <c r="Q501">
        <f t="shared" si="9"/>
        <v>-50</v>
      </c>
      <c r="R501">
        <f>_xlfn.XLOOKUP(E501,'Data Additive'!E:E,'Data Additive'!E:E,0)</f>
        <v>1246275322</v>
      </c>
    </row>
    <row r="502" spans="1:18" x14ac:dyDescent="0.25">
      <c r="A502">
        <v>7022</v>
      </c>
      <c r="B502" t="s">
        <v>15419</v>
      </c>
      <c r="C502" t="s">
        <v>90</v>
      </c>
      <c r="D502" s="32">
        <v>70776.399999999994</v>
      </c>
      <c r="E502">
        <v>1246276033</v>
      </c>
      <c r="F502" s="28">
        <v>46253</v>
      </c>
      <c r="H502" t="s">
        <v>23</v>
      </c>
      <c r="I502" t="s">
        <v>24</v>
      </c>
      <c r="J502">
        <v>11461</v>
      </c>
      <c r="K502" s="28">
        <v>46163</v>
      </c>
      <c r="L502">
        <v>1010100</v>
      </c>
      <c r="M502" t="s">
        <v>29</v>
      </c>
      <c r="N502">
        <v>161</v>
      </c>
      <c r="O502" t="s">
        <v>145</v>
      </c>
      <c r="P502" t="s">
        <v>15419</v>
      </c>
      <c r="Q502">
        <f t="shared" si="9"/>
        <v>-56</v>
      </c>
      <c r="R502">
        <f>_xlfn.XLOOKUP(E502,'Data Additive'!E:E,'Data Additive'!E:E,0)</f>
        <v>1246276033</v>
      </c>
    </row>
    <row r="503" spans="1:18" x14ac:dyDescent="0.25">
      <c r="A503">
        <v>7022</v>
      </c>
      <c r="B503" t="s">
        <v>15419</v>
      </c>
      <c r="C503" t="s">
        <v>90</v>
      </c>
      <c r="D503" s="32">
        <v>70800</v>
      </c>
      <c r="E503">
        <v>1246279372</v>
      </c>
      <c r="F503" s="28">
        <v>46275</v>
      </c>
      <c r="H503" t="s">
        <v>23</v>
      </c>
      <c r="I503" t="s">
        <v>24</v>
      </c>
      <c r="J503">
        <v>11695</v>
      </c>
      <c r="K503" s="28">
        <v>46185</v>
      </c>
      <c r="L503">
        <v>1010100</v>
      </c>
      <c r="M503" t="s">
        <v>29</v>
      </c>
      <c r="N503">
        <v>161</v>
      </c>
      <c r="O503" t="s">
        <v>145</v>
      </c>
      <c r="P503" t="s">
        <v>15419</v>
      </c>
      <c r="Q503">
        <f t="shared" si="9"/>
        <v>-78</v>
      </c>
      <c r="R503">
        <f>_xlfn.XLOOKUP(E503,'Data Additive'!E:E,'Data Additive'!E:E,0)</f>
        <v>1246279372</v>
      </c>
    </row>
    <row r="504" spans="1:18" x14ac:dyDescent="0.25">
      <c r="A504">
        <v>7022</v>
      </c>
      <c r="B504" t="s">
        <v>15419</v>
      </c>
      <c r="C504" t="s">
        <v>90</v>
      </c>
      <c r="D504" s="32">
        <v>71177.600000000006</v>
      </c>
      <c r="E504">
        <v>1246280091</v>
      </c>
      <c r="F504" s="28">
        <v>46281</v>
      </c>
      <c r="H504" t="s">
        <v>23</v>
      </c>
      <c r="I504" t="s">
        <v>24</v>
      </c>
      <c r="J504">
        <v>11746</v>
      </c>
      <c r="K504" s="28">
        <v>46191</v>
      </c>
      <c r="L504">
        <v>1010100</v>
      </c>
      <c r="M504" t="s">
        <v>29</v>
      </c>
      <c r="N504">
        <v>161</v>
      </c>
      <c r="O504" t="s">
        <v>145</v>
      </c>
      <c r="P504" t="s">
        <v>15419</v>
      </c>
      <c r="Q504">
        <f t="shared" ref="Q504:Q560" si="10">$R$1-F504</f>
        <v>-84</v>
      </c>
      <c r="R504">
        <f>_xlfn.XLOOKUP(E504,'Data Additive'!E:E,'Data Additive'!E:E,0)</f>
        <v>1246280091</v>
      </c>
    </row>
    <row r="505" spans="1:18" x14ac:dyDescent="0.25">
      <c r="A505">
        <v>7022</v>
      </c>
      <c r="B505" t="s">
        <v>15419</v>
      </c>
      <c r="C505" t="s">
        <v>90</v>
      </c>
      <c r="D505" s="32">
        <v>71862</v>
      </c>
      <c r="E505">
        <v>1246276474</v>
      </c>
      <c r="F505" s="28">
        <v>46257</v>
      </c>
      <c r="H505" t="s">
        <v>23</v>
      </c>
      <c r="I505" t="s">
        <v>24</v>
      </c>
      <c r="J505">
        <v>11485</v>
      </c>
      <c r="K505" s="28">
        <v>46167</v>
      </c>
      <c r="L505">
        <v>1010100</v>
      </c>
      <c r="M505" t="s">
        <v>29</v>
      </c>
      <c r="N505">
        <v>161</v>
      </c>
      <c r="O505" t="s">
        <v>145</v>
      </c>
      <c r="P505" t="s">
        <v>15419</v>
      </c>
      <c r="Q505">
        <f t="shared" si="10"/>
        <v>-60</v>
      </c>
      <c r="R505">
        <f>_xlfn.XLOOKUP(E505,'Data Additive'!E:E,'Data Additive'!E:E,0)</f>
        <v>1246276474</v>
      </c>
    </row>
    <row r="506" spans="1:18" x14ac:dyDescent="0.25">
      <c r="A506">
        <v>7022</v>
      </c>
      <c r="B506" t="s">
        <v>15419</v>
      </c>
      <c r="C506" t="s">
        <v>90</v>
      </c>
      <c r="D506" s="32">
        <v>71154</v>
      </c>
      <c r="E506">
        <v>1246278604</v>
      </c>
      <c r="F506" s="28">
        <v>46271</v>
      </c>
      <c r="H506" t="s">
        <v>23</v>
      </c>
      <c r="I506" t="s">
        <v>24</v>
      </c>
      <c r="J506">
        <v>11645</v>
      </c>
      <c r="K506" s="28">
        <v>46181</v>
      </c>
      <c r="L506">
        <v>1010100</v>
      </c>
      <c r="M506" t="s">
        <v>29</v>
      </c>
      <c r="N506">
        <v>161</v>
      </c>
      <c r="O506" t="s">
        <v>145</v>
      </c>
      <c r="P506" t="s">
        <v>15419</v>
      </c>
      <c r="Q506">
        <f t="shared" si="10"/>
        <v>-74</v>
      </c>
      <c r="R506">
        <f>_xlfn.XLOOKUP(E506,'Data Additive'!E:E,'Data Additive'!E:E,0)</f>
        <v>1246278604</v>
      </c>
    </row>
    <row r="507" spans="1:18" x14ac:dyDescent="0.25">
      <c r="A507">
        <v>7022</v>
      </c>
      <c r="B507" t="s">
        <v>15419</v>
      </c>
      <c r="C507" t="s">
        <v>90</v>
      </c>
      <c r="D507" s="32">
        <v>70587.600000000006</v>
      </c>
      <c r="E507">
        <v>1246274256</v>
      </c>
      <c r="F507" s="28">
        <v>46243</v>
      </c>
      <c r="H507" t="s">
        <v>23</v>
      </c>
      <c r="I507" t="s">
        <v>24</v>
      </c>
      <c r="J507">
        <v>11338</v>
      </c>
      <c r="K507" s="28">
        <v>46153</v>
      </c>
      <c r="L507">
        <v>1010100</v>
      </c>
      <c r="M507" t="s">
        <v>29</v>
      </c>
      <c r="N507">
        <v>161</v>
      </c>
      <c r="O507" t="s">
        <v>145</v>
      </c>
      <c r="P507" t="s">
        <v>15419</v>
      </c>
      <c r="Q507">
        <f t="shared" si="10"/>
        <v>-46</v>
      </c>
      <c r="R507">
        <f>_xlfn.XLOOKUP(E507,'Data Additive'!E:E,'Data Additive'!E:E,0)</f>
        <v>1246274256</v>
      </c>
    </row>
    <row r="508" spans="1:18" x14ac:dyDescent="0.25">
      <c r="A508">
        <v>7022</v>
      </c>
      <c r="B508" t="s">
        <v>15419</v>
      </c>
      <c r="C508" t="s">
        <v>90</v>
      </c>
      <c r="D508" s="32">
        <v>71909.2</v>
      </c>
      <c r="E508">
        <v>1246273912</v>
      </c>
      <c r="F508" s="28">
        <v>46239</v>
      </c>
      <c r="H508" t="s">
        <v>23</v>
      </c>
      <c r="I508" t="s">
        <v>24</v>
      </c>
      <c r="J508">
        <v>11322</v>
      </c>
      <c r="K508" s="28">
        <v>46149</v>
      </c>
      <c r="L508">
        <v>1010100</v>
      </c>
      <c r="M508" t="s">
        <v>29</v>
      </c>
      <c r="N508">
        <v>161</v>
      </c>
      <c r="O508" t="s">
        <v>145</v>
      </c>
      <c r="P508" t="s">
        <v>15419</v>
      </c>
      <c r="Q508">
        <f t="shared" si="10"/>
        <v>-42</v>
      </c>
      <c r="R508">
        <f>_xlfn.XLOOKUP(E508,'Data Additive'!E:E,'Data Additive'!E:E,0)</f>
        <v>1246273912</v>
      </c>
    </row>
    <row r="509" spans="1:18" x14ac:dyDescent="0.25">
      <c r="A509">
        <v>7022</v>
      </c>
      <c r="B509" t="s">
        <v>15419</v>
      </c>
      <c r="C509" t="s">
        <v>90</v>
      </c>
      <c r="D509" s="32">
        <v>70847.199999999997</v>
      </c>
      <c r="E509">
        <v>1246278023</v>
      </c>
      <c r="F509" s="28">
        <v>46266</v>
      </c>
      <c r="H509" t="s">
        <v>23</v>
      </c>
      <c r="I509" t="s">
        <v>24</v>
      </c>
      <c r="J509">
        <v>11588</v>
      </c>
      <c r="K509" s="28">
        <v>46176</v>
      </c>
      <c r="L509">
        <v>1010100</v>
      </c>
      <c r="M509" t="s">
        <v>29</v>
      </c>
      <c r="N509">
        <v>161</v>
      </c>
      <c r="O509" t="s">
        <v>145</v>
      </c>
      <c r="P509" t="s">
        <v>15419</v>
      </c>
      <c r="Q509">
        <f t="shared" si="10"/>
        <v>-69</v>
      </c>
      <c r="R509">
        <f>_xlfn.XLOOKUP(E509,'Data Additive'!E:E,'Data Additive'!E:E,0)</f>
        <v>1246278023</v>
      </c>
    </row>
    <row r="510" spans="1:18" x14ac:dyDescent="0.25">
      <c r="A510">
        <v>7060</v>
      </c>
      <c r="B510" t="s">
        <v>165</v>
      </c>
      <c r="C510" t="s">
        <v>166</v>
      </c>
      <c r="D510" s="32">
        <v>5180.3999999999996</v>
      </c>
      <c r="E510">
        <v>1246254161</v>
      </c>
      <c r="F510" s="28">
        <v>46281</v>
      </c>
      <c r="H510" t="s">
        <v>156</v>
      </c>
      <c r="I510" t="s">
        <v>157</v>
      </c>
      <c r="J510">
        <v>10278</v>
      </c>
      <c r="K510" s="28">
        <v>46006</v>
      </c>
      <c r="L510">
        <v>1010100</v>
      </c>
      <c r="M510" t="s">
        <v>29</v>
      </c>
      <c r="N510">
        <v>161</v>
      </c>
      <c r="O510" t="s">
        <v>145</v>
      </c>
      <c r="P510" t="s">
        <v>165</v>
      </c>
      <c r="Q510">
        <f t="shared" si="10"/>
        <v>-84</v>
      </c>
      <c r="R510">
        <f>_xlfn.XLOOKUP(E510,'Data Additive'!E:E,'Data Additive'!E:E,0)</f>
        <v>0</v>
      </c>
    </row>
    <row r="511" spans="1:18" x14ac:dyDescent="0.25">
      <c r="A511">
        <v>7060</v>
      </c>
      <c r="B511" t="s">
        <v>165</v>
      </c>
      <c r="C511" t="s">
        <v>166</v>
      </c>
      <c r="D511" s="32">
        <v>8288.64</v>
      </c>
      <c r="E511">
        <v>1246252321</v>
      </c>
      <c r="F511" s="28">
        <v>46269</v>
      </c>
      <c r="H511" t="s">
        <v>156</v>
      </c>
      <c r="I511" t="s">
        <v>157</v>
      </c>
      <c r="J511">
        <v>10183</v>
      </c>
      <c r="K511" s="28">
        <v>45994</v>
      </c>
      <c r="L511">
        <v>1010100</v>
      </c>
      <c r="M511" t="s">
        <v>29</v>
      </c>
      <c r="N511">
        <v>161</v>
      </c>
      <c r="O511" t="s">
        <v>145</v>
      </c>
      <c r="P511" t="s">
        <v>165</v>
      </c>
      <c r="Q511">
        <f t="shared" si="10"/>
        <v>-72</v>
      </c>
      <c r="R511">
        <f>_xlfn.XLOOKUP(E511,'Data Additive'!E:E,'Data Additive'!E:E,0)</f>
        <v>0</v>
      </c>
    </row>
    <row r="512" spans="1:18" x14ac:dyDescent="0.25">
      <c r="A512">
        <v>7060</v>
      </c>
      <c r="B512" t="s">
        <v>165</v>
      </c>
      <c r="C512" t="s">
        <v>166</v>
      </c>
      <c r="D512" s="32">
        <v>67383.5</v>
      </c>
      <c r="E512">
        <v>1246254471</v>
      </c>
      <c r="F512" s="28">
        <v>46279</v>
      </c>
      <c r="H512" t="s">
        <v>156</v>
      </c>
      <c r="I512" t="s">
        <v>157</v>
      </c>
      <c r="J512">
        <v>10301</v>
      </c>
      <c r="K512" s="28">
        <v>46007</v>
      </c>
      <c r="L512">
        <v>1010100</v>
      </c>
      <c r="M512" t="s">
        <v>29</v>
      </c>
      <c r="N512">
        <v>161</v>
      </c>
      <c r="O512" t="s">
        <v>145</v>
      </c>
      <c r="P512" t="s">
        <v>165</v>
      </c>
      <c r="Q512">
        <f t="shared" si="10"/>
        <v>-82</v>
      </c>
      <c r="R512">
        <f>_xlfn.XLOOKUP(E512,'Data Additive'!E:E,'Data Additive'!E:E,0)</f>
        <v>0</v>
      </c>
    </row>
    <row r="513" spans="1:18" x14ac:dyDescent="0.25">
      <c r="A513">
        <v>8187</v>
      </c>
      <c r="B513" t="s">
        <v>466</v>
      </c>
      <c r="C513" t="s">
        <v>284</v>
      </c>
      <c r="D513" s="32">
        <v>299642.08</v>
      </c>
      <c r="E513">
        <v>1246270723</v>
      </c>
      <c r="F513" s="28">
        <v>46357</v>
      </c>
      <c r="H513" t="s">
        <v>156</v>
      </c>
      <c r="I513" t="s">
        <v>157</v>
      </c>
      <c r="J513">
        <v>11075</v>
      </c>
      <c r="K513" s="28">
        <v>46120</v>
      </c>
      <c r="L513">
        <v>1010100</v>
      </c>
      <c r="M513" t="s">
        <v>29</v>
      </c>
      <c r="N513">
        <v>161</v>
      </c>
      <c r="O513" t="s">
        <v>145</v>
      </c>
      <c r="P513" t="s">
        <v>466</v>
      </c>
      <c r="Q513">
        <f t="shared" si="10"/>
        <v>-160</v>
      </c>
      <c r="R513">
        <f>_xlfn.XLOOKUP(E513,'Data Additive'!E:E,'Data Additive'!E:E,0)</f>
        <v>0</v>
      </c>
    </row>
    <row r="514" spans="1:18" x14ac:dyDescent="0.25">
      <c r="A514">
        <v>9298</v>
      </c>
      <c r="B514" t="s">
        <v>170</v>
      </c>
      <c r="C514" t="s">
        <v>171</v>
      </c>
      <c r="D514" s="32">
        <v>111799</v>
      </c>
      <c r="E514">
        <v>1246070436</v>
      </c>
      <c r="F514" s="28">
        <v>45555</v>
      </c>
      <c r="H514" t="s">
        <v>156</v>
      </c>
      <c r="I514" t="s">
        <v>157</v>
      </c>
      <c r="J514">
        <v>20815</v>
      </c>
      <c r="K514" s="28">
        <v>44991</v>
      </c>
      <c r="L514">
        <v>1010100</v>
      </c>
      <c r="M514" t="s">
        <v>29</v>
      </c>
      <c r="N514">
        <v>161</v>
      </c>
      <c r="O514" t="s">
        <v>145</v>
      </c>
      <c r="P514" t="s">
        <v>170</v>
      </c>
      <c r="Q514">
        <f t="shared" si="10"/>
        <v>642</v>
      </c>
      <c r="R514">
        <f>_xlfn.XLOOKUP(E514,'Data Additive'!E:E,'Data Additive'!E:E,0)</f>
        <v>0</v>
      </c>
    </row>
    <row r="515" spans="1:18" x14ac:dyDescent="0.25">
      <c r="A515">
        <v>9298</v>
      </c>
      <c r="B515" t="s">
        <v>170</v>
      </c>
      <c r="C515" t="s">
        <v>171</v>
      </c>
      <c r="D515" s="32">
        <v>65548</v>
      </c>
      <c r="E515">
        <v>1246070905</v>
      </c>
      <c r="F515" s="28">
        <v>45555</v>
      </c>
      <c r="H515" t="s">
        <v>156</v>
      </c>
      <c r="I515" t="s">
        <v>157</v>
      </c>
      <c r="J515">
        <v>20839</v>
      </c>
      <c r="K515" s="28">
        <v>44994</v>
      </c>
      <c r="L515">
        <v>1010100</v>
      </c>
      <c r="M515" t="s">
        <v>29</v>
      </c>
      <c r="N515">
        <v>161</v>
      </c>
      <c r="O515" t="s">
        <v>145</v>
      </c>
      <c r="P515" t="s">
        <v>170</v>
      </c>
      <c r="Q515">
        <f t="shared" si="10"/>
        <v>642</v>
      </c>
      <c r="R515">
        <f>_xlfn.XLOOKUP(E515,'Data Additive'!E:E,'Data Additive'!E:E,0)</f>
        <v>0</v>
      </c>
    </row>
    <row r="516" spans="1:18" x14ac:dyDescent="0.25">
      <c r="A516">
        <v>9298</v>
      </c>
      <c r="B516" t="s">
        <v>170</v>
      </c>
      <c r="C516" t="s">
        <v>171</v>
      </c>
      <c r="D516" s="32">
        <v>112475</v>
      </c>
      <c r="E516">
        <v>1246068948</v>
      </c>
      <c r="F516" s="28">
        <v>45555</v>
      </c>
      <c r="H516" t="s">
        <v>156</v>
      </c>
      <c r="I516" t="s">
        <v>157</v>
      </c>
      <c r="J516">
        <v>20763</v>
      </c>
      <c r="K516" s="28">
        <v>44984</v>
      </c>
      <c r="L516">
        <v>1010100</v>
      </c>
      <c r="M516" t="s">
        <v>29</v>
      </c>
      <c r="N516">
        <v>161</v>
      </c>
      <c r="O516" t="s">
        <v>145</v>
      </c>
      <c r="P516" t="s">
        <v>170</v>
      </c>
      <c r="Q516">
        <f t="shared" si="10"/>
        <v>642</v>
      </c>
      <c r="R516">
        <f>_xlfn.XLOOKUP(E516,'Data Additive'!E:E,'Data Additive'!E:E,0)</f>
        <v>0</v>
      </c>
    </row>
    <row r="517" spans="1:18" x14ac:dyDescent="0.25">
      <c r="A517">
        <v>9298</v>
      </c>
      <c r="B517" t="s">
        <v>170</v>
      </c>
      <c r="C517" t="s">
        <v>171</v>
      </c>
      <c r="D517" s="32">
        <v>149824</v>
      </c>
      <c r="E517">
        <v>1246068778</v>
      </c>
      <c r="F517" s="28">
        <v>45555</v>
      </c>
      <c r="H517" t="s">
        <v>156</v>
      </c>
      <c r="I517" t="s">
        <v>157</v>
      </c>
      <c r="J517">
        <v>20750</v>
      </c>
      <c r="K517" s="28">
        <v>44981</v>
      </c>
      <c r="L517">
        <v>1010100</v>
      </c>
      <c r="M517" t="s">
        <v>29</v>
      </c>
      <c r="N517">
        <v>161</v>
      </c>
      <c r="O517" t="s">
        <v>145</v>
      </c>
      <c r="P517" t="s">
        <v>170</v>
      </c>
      <c r="Q517">
        <f t="shared" si="10"/>
        <v>642</v>
      </c>
      <c r="R517">
        <f>_xlfn.XLOOKUP(E517,'Data Additive'!E:E,'Data Additive'!E:E,0)</f>
        <v>0</v>
      </c>
    </row>
    <row r="518" spans="1:18" x14ac:dyDescent="0.25">
      <c r="A518">
        <v>9298</v>
      </c>
      <c r="B518" t="s">
        <v>170</v>
      </c>
      <c r="C518" t="s">
        <v>171</v>
      </c>
      <c r="D518" s="32">
        <v>131203</v>
      </c>
      <c r="E518">
        <v>1246070820</v>
      </c>
      <c r="F518" s="28">
        <v>45555</v>
      </c>
      <c r="H518" t="s">
        <v>156</v>
      </c>
      <c r="I518" t="s">
        <v>157</v>
      </c>
      <c r="J518">
        <v>20836</v>
      </c>
      <c r="K518" s="28">
        <v>44993</v>
      </c>
      <c r="L518">
        <v>1010100</v>
      </c>
      <c r="M518" t="s">
        <v>29</v>
      </c>
      <c r="N518">
        <v>161</v>
      </c>
      <c r="O518" t="s">
        <v>145</v>
      </c>
      <c r="P518" t="s">
        <v>170</v>
      </c>
      <c r="Q518">
        <f t="shared" si="10"/>
        <v>642</v>
      </c>
      <c r="R518">
        <f>_xlfn.XLOOKUP(E518,'Data Additive'!E:E,'Data Additive'!E:E,0)</f>
        <v>0</v>
      </c>
    </row>
    <row r="519" spans="1:18" x14ac:dyDescent="0.25">
      <c r="A519">
        <v>9298</v>
      </c>
      <c r="B519" t="s">
        <v>170</v>
      </c>
      <c r="C519" t="s">
        <v>171</v>
      </c>
      <c r="D519" s="32">
        <v>119356.2</v>
      </c>
      <c r="E519">
        <v>1246068614</v>
      </c>
      <c r="F519" s="28">
        <v>45555</v>
      </c>
      <c r="H519" t="s">
        <v>156</v>
      </c>
      <c r="I519" t="s">
        <v>157</v>
      </c>
      <c r="J519">
        <v>20734</v>
      </c>
      <c r="K519" s="28">
        <v>44980</v>
      </c>
      <c r="L519">
        <v>1010100</v>
      </c>
      <c r="M519" t="s">
        <v>29</v>
      </c>
      <c r="N519">
        <v>161</v>
      </c>
      <c r="O519" t="s">
        <v>145</v>
      </c>
      <c r="P519" t="s">
        <v>170</v>
      </c>
      <c r="Q519">
        <f t="shared" si="10"/>
        <v>642</v>
      </c>
      <c r="R519">
        <f>_xlfn.XLOOKUP(E519,'Data Additive'!E:E,'Data Additive'!E:E,0)</f>
        <v>0</v>
      </c>
    </row>
    <row r="520" spans="1:18" x14ac:dyDescent="0.25">
      <c r="A520">
        <v>9298</v>
      </c>
      <c r="B520" t="s">
        <v>170</v>
      </c>
      <c r="C520" t="s">
        <v>171</v>
      </c>
      <c r="D520" s="32">
        <v>122521</v>
      </c>
      <c r="E520">
        <v>1246068997</v>
      </c>
      <c r="F520" s="28">
        <v>45555</v>
      </c>
      <c r="H520" t="s">
        <v>156</v>
      </c>
      <c r="I520" t="s">
        <v>157</v>
      </c>
      <c r="J520">
        <v>20767</v>
      </c>
      <c r="K520" s="28">
        <v>44984</v>
      </c>
      <c r="L520">
        <v>1010100</v>
      </c>
      <c r="M520" t="s">
        <v>29</v>
      </c>
      <c r="N520">
        <v>161</v>
      </c>
      <c r="O520" t="s">
        <v>145</v>
      </c>
      <c r="P520" t="s">
        <v>170</v>
      </c>
      <c r="Q520">
        <f t="shared" si="10"/>
        <v>642</v>
      </c>
      <c r="R520">
        <f>_xlfn.XLOOKUP(E520,'Data Additive'!E:E,'Data Additive'!E:E,0)</f>
        <v>0</v>
      </c>
    </row>
    <row r="521" spans="1:18" x14ac:dyDescent="0.25">
      <c r="A521">
        <v>9298</v>
      </c>
      <c r="B521" t="s">
        <v>170</v>
      </c>
      <c r="C521" t="s">
        <v>171</v>
      </c>
      <c r="D521" s="32">
        <v>118731.49</v>
      </c>
      <c r="E521">
        <v>1246083500</v>
      </c>
      <c r="F521" s="28">
        <v>45555</v>
      </c>
      <c r="H521" t="s">
        <v>156</v>
      </c>
      <c r="I521" t="s">
        <v>157</v>
      </c>
      <c r="J521">
        <v>21456</v>
      </c>
      <c r="K521" s="28">
        <v>45070</v>
      </c>
      <c r="L521">
        <v>1010100</v>
      </c>
      <c r="M521" t="s">
        <v>29</v>
      </c>
      <c r="N521">
        <v>161</v>
      </c>
      <c r="O521" t="s">
        <v>145</v>
      </c>
      <c r="P521" t="s">
        <v>170</v>
      </c>
      <c r="Q521">
        <f t="shared" si="10"/>
        <v>642</v>
      </c>
      <c r="R521">
        <f>_xlfn.XLOOKUP(E521,'Data Additive'!E:E,'Data Additive'!E:E,0)</f>
        <v>0</v>
      </c>
    </row>
    <row r="522" spans="1:18" x14ac:dyDescent="0.25">
      <c r="A522">
        <v>9298</v>
      </c>
      <c r="B522" t="s">
        <v>170</v>
      </c>
      <c r="C522" t="s">
        <v>171</v>
      </c>
      <c r="D522" s="32">
        <v>52557.4</v>
      </c>
      <c r="E522">
        <v>1246083593</v>
      </c>
      <c r="F522" s="28">
        <v>45555</v>
      </c>
      <c r="H522" t="s">
        <v>156</v>
      </c>
      <c r="I522" t="s">
        <v>157</v>
      </c>
      <c r="J522">
        <v>21460</v>
      </c>
      <c r="K522" s="28">
        <v>45070</v>
      </c>
      <c r="L522">
        <v>1010100</v>
      </c>
      <c r="M522" t="s">
        <v>29</v>
      </c>
      <c r="N522">
        <v>161</v>
      </c>
      <c r="O522" t="s">
        <v>145</v>
      </c>
      <c r="P522" t="s">
        <v>170</v>
      </c>
      <c r="Q522">
        <f t="shared" si="10"/>
        <v>642</v>
      </c>
      <c r="R522">
        <f>_xlfn.XLOOKUP(E522,'Data Additive'!E:E,'Data Additive'!E:E,0)</f>
        <v>0</v>
      </c>
    </row>
    <row r="523" spans="1:18" x14ac:dyDescent="0.25">
      <c r="A523">
        <v>9298</v>
      </c>
      <c r="B523" t="s">
        <v>170</v>
      </c>
      <c r="C523" t="s">
        <v>171</v>
      </c>
      <c r="D523" s="32">
        <v>52557.4</v>
      </c>
      <c r="E523">
        <v>1246083373</v>
      </c>
      <c r="F523" s="28">
        <v>45555</v>
      </c>
      <c r="H523" t="s">
        <v>156</v>
      </c>
      <c r="I523" t="s">
        <v>157</v>
      </c>
      <c r="J523">
        <v>21444</v>
      </c>
      <c r="K523" s="28">
        <v>45069</v>
      </c>
      <c r="L523">
        <v>1010100</v>
      </c>
      <c r="M523" t="s">
        <v>29</v>
      </c>
      <c r="N523">
        <v>161</v>
      </c>
      <c r="O523" t="s">
        <v>145</v>
      </c>
      <c r="P523" t="s">
        <v>170</v>
      </c>
      <c r="Q523">
        <f t="shared" si="10"/>
        <v>642</v>
      </c>
      <c r="R523">
        <f>_xlfn.XLOOKUP(E523,'Data Additive'!E:E,'Data Additive'!E:E,0)</f>
        <v>0</v>
      </c>
    </row>
    <row r="524" spans="1:18" x14ac:dyDescent="0.25">
      <c r="A524">
        <v>9298</v>
      </c>
      <c r="B524" t="s">
        <v>170</v>
      </c>
      <c r="C524" t="s">
        <v>171</v>
      </c>
      <c r="D524" s="32">
        <v>13957.5</v>
      </c>
      <c r="E524">
        <v>1246084673</v>
      </c>
      <c r="F524" s="28">
        <v>45555</v>
      </c>
      <c r="H524" t="s">
        <v>156</v>
      </c>
      <c r="I524" t="s">
        <v>157</v>
      </c>
      <c r="J524">
        <v>21538</v>
      </c>
      <c r="K524" s="28">
        <v>45077</v>
      </c>
      <c r="L524">
        <v>1010100</v>
      </c>
      <c r="M524" t="s">
        <v>29</v>
      </c>
      <c r="N524">
        <v>161</v>
      </c>
      <c r="O524" t="s">
        <v>145</v>
      </c>
      <c r="P524" t="s">
        <v>170</v>
      </c>
      <c r="Q524">
        <f t="shared" si="10"/>
        <v>642</v>
      </c>
      <c r="R524">
        <f>_xlfn.XLOOKUP(E524,'Data Additive'!E:E,'Data Additive'!E:E,0)</f>
        <v>0</v>
      </c>
    </row>
    <row r="525" spans="1:18" x14ac:dyDescent="0.25">
      <c r="A525">
        <v>9298</v>
      </c>
      <c r="B525" t="s">
        <v>170</v>
      </c>
      <c r="C525" t="s">
        <v>171</v>
      </c>
      <c r="D525" s="32">
        <v>40756.75</v>
      </c>
      <c r="E525">
        <v>1246084671</v>
      </c>
      <c r="F525" s="28">
        <v>45555</v>
      </c>
      <c r="H525" t="s">
        <v>156</v>
      </c>
      <c r="I525" t="s">
        <v>157</v>
      </c>
      <c r="J525">
        <v>21537</v>
      </c>
      <c r="K525" s="28">
        <v>45077</v>
      </c>
      <c r="L525">
        <v>1010100</v>
      </c>
      <c r="M525" t="s">
        <v>29</v>
      </c>
      <c r="N525">
        <v>161</v>
      </c>
      <c r="O525" t="s">
        <v>145</v>
      </c>
      <c r="P525" t="s">
        <v>170</v>
      </c>
      <c r="Q525">
        <f t="shared" si="10"/>
        <v>642</v>
      </c>
      <c r="R525">
        <f>_xlfn.XLOOKUP(E525,'Data Additive'!E:E,'Data Additive'!E:E,0)</f>
        <v>0</v>
      </c>
    </row>
    <row r="526" spans="1:18" x14ac:dyDescent="0.25">
      <c r="A526">
        <v>9298</v>
      </c>
      <c r="B526" t="s">
        <v>170</v>
      </c>
      <c r="C526" t="s">
        <v>171</v>
      </c>
      <c r="D526" s="32">
        <v>13238.05</v>
      </c>
      <c r="E526">
        <v>1246088994</v>
      </c>
      <c r="F526" s="28">
        <v>45555</v>
      </c>
      <c r="H526" t="s">
        <v>156</v>
      </c>
      <c r="I526" t="s">
        <v>157</v>
      </c>
      <c r="J526">
        <v>20723</v>
      </c>
      <c r="K526" s="28">
        <v>44979</v>
      </c>
      <c r="L526">
        <v>1010100</v>
      </c>
      <c r="M526" t="s">
        <v>29</v>
      </c>
      <c r="N526">
        <v>161</v>
      </c>
      <c r="O526" t="s">
        <v>145</v>
      </c>
      <c r="P526" t="s">
        <v>170</v>
      </c>
      <c r="Q526">
        <f t="shared" si="10"/>
        <v>642</v>
      </c>
      <c r="R526">
        <f>_xlfn.XLOOKUP(E526,'Data Additive'!E:E,'Data Additive'!E:E,0)</f>
        <v>0</v>
      </c>
    </row>
    <row r="527" spans="1:18" x14ac:dyDescent="0.25">
      <c r="A527">
        <v>9298</v>
      </c>
      <c r="B527" t="s">
        <v>170</v>
      </c>
      <c r="C527" t="s">
        <v>171</v>
      </c>
      <c r="D527" s="32">
        <v>118788.8</v>
      </c>
      <c r="E527">
        <v>1246099199</v>
      </c>
      <c r="F527" s="28">
        <v>45562</v>
      </c>
      <c r="H527" t="s">
        <v>156</v>
      </c>
      <c r="I527" t="s">
        <v>157</v>
      </c>
      <c r="J527">
        <v>768</v>
      </c>
      <c r="K527" s="28">
        <v>45159</v>
      </c>
      <c r="L527">
        <v>1010100</v>
      </c>
      <c r="M527" t="s">
        <v>29</v>
      </c>
      <c r="N527">
        <v>161</v>
      </c>
      <c r="O527" t="s">
        <v>145</v>
      </c>
      <c r="P527" t="s">
        <v>170</v>
      </c>
      <c r="Q527">
        <f t="shared" si="10"/>
        <v>635</v>
      </c>
      <c r="R527">
        <f>_xlfn.XLOOKUP(E527,'Data Additive'!E:E,'Data Additive'!E:E,0)</f>
        <v>0</v>
      </c>
    </row>
    <row r="528" spans="1:18" x14ac:dyDescent="0.25">
      <c r="A528">
        <v>9298</v>
      </c>
      <c r="B528" t="s">
        <v>170</v>
      </c>
      <c r="C528" t="s">
        <v>171</v>
      </c>
      <c r="D528" s="32">
        <v>118788.8</v>
      </c>
      <c r="E528">
        <v>1246099294</v>
      </c>
      <c r="F528" s="28">
        <v>45562</v>
      </c>
      <c r="H528" t="s">
        <v>156</v>
      </c>
      <c r="I528" t="s">
        <v>157</v>
      </c>
      <c r="J528">
        <v>777</v>
      </c>
      <c r="K528" s="28">
        <v>45159</v>
      </c>
      <c r="L528">
        <v>1010100</v>
      </c>
      <c r="M528" t="s">
        <v>29</v>
      </c>
      <c r="N528">
        <v>161</v>
      </c>
      <c r="O528" t="s">
        <v>145</v>
      </c>
      <c r="P528" t="s">
        <v>170</v>
      </c>
      <c r="Q528">
        <f t="shared" si="10"/>
        <v>635</v>
      </c>
      <c r="R528">
        <f>_xlfn.XLOOKUP(E528,'Data Additive'!E:E,'Data Additive'!E:E,0)</f>
        <v>0</v>
      </c>
    </row>
    <row r="529" spans="1:18" x14ac:dyDescent="0.25">
      <c r="A529">
        <v>9298</v>
      </c>
      <c r="B529" t="s">
        <v>170</v>
      </c>
      <c r="C529" t="s">
        <v>171</v>
      </c>
      <c r="D529" s="32">
        <v>148492.1</v>
      </c>
      <c r="E529">
        <v>1246105304</v>
      </c>
      <c r="F529" s="28">
        <v>45555</v>
      </c>
      <c r="H529" t="s">
        <v>156</v>
      </c>
      <c r="I529" t="s">
        <v>157</v>
      </c>
      <c r="J529">
        <v>1270</v>
      </c>
      <c r="K529" s="28">
        <v>45190</v>
      </c>
      <c r="L529">
        <v>1010100</v>
      </c>
      <c r="M529" t="s">
        <v>29</v>
      </c>
      <c r="N529">
        <v>161</v>
      </c>
      <c r="O529" t="s">
        <v>145</v>
      </c>
      <c r="P529" t="s">
        <v>170</v>
      </c>
      <c r="Q529">
        <f t="shared" si="10"/>
        <v>642</v>
      </c>
      <c r="R529">
        <f>_xlfn.XLOOKUP(E529,'Data Additive'!E:E,'Data Additive'!E:E,0)</f>
        <v>0</v>
      </c>
    </row>
    <row r="530" spans="1:18" x14ac:dyDescent="0.25">
      <c r="A530">
        <v>9298</v>
      </c>
      <c r="B530" t="s">
        <v>170</v>
      </c>
      <c r="C530" t="s">
        <v>171</v>
      </c>
      <c r="D530" s="32">
        <v>79894</v>
      </c>
      <c r="E530">
        <v>1246114860</v>
      </c>
      <c r="F530" s="28">
        <v>45555</v>
      </c>
      <c r="H530" t="s">
        <v>156</v>
      </c>
      <c r="I530" t="s">
        <v>157</v>
      </c>
      <c r="J530">
        <v>1951</v>
      </c>
      <c r="K530" s="28">
        <v>45243</v>
      </c>
      <c r="L530">
        <v>1010100</v>
      </c>
      <c r="M530" t="s">
        <v>29</v>
      </c>
      <c r="N530">
        <v>161</v>
      </c>
      <c r="O530" t="s">
        <v>145</v>
      </c>
      <c r="P530" t="s">
        <v>170</v>
      </c>
      <c r="Q530">
        <f t="shared" si="10"/>
        <v>642</v>
      </c>
      <c r="R530">
        <f>_xlfn.XLOOKUP(E530,'Data Additive'!E:E,'Data Additive'!E:E,0)</f>
        <v>0</v>
      </c>
    </row>
    <row r="531" spans="1:18" x14ac:dyDescent="0.25">
      <c r="A531">
        <v>9298</v>
      </c>
      <c r="B531" t="s">
        <v>170</v>
      </c>
      <c r="C531" t="s">
        <v>171</v>
      </c>
      <c r="D531" s="32">
        <v>123567.8</v>
      </c>
      <c r="E531">
        <v>1246103672</v>
      </c>
      <c r="F531" s="28">
        <v>45567</v>
      </c>
      <c r="H531" t="s">
        <v>156</v>
      </c>
      <c r="I531" t="s">
        <v>157</v>
      </c>
      <c r="J531">
        <v>1150</v>
      </c>
      <c r="K531" s="28">
        <v>45182</v>
      </c>
      <c r="L531">
        <v>1010100</v>
      </c>
      <c r="M531" t="s">
        <v>29</v>
      </c>
      <c r="N531">
        <v>161</v>
      </c>
      <c r="O531" t="s">
        <v>145</v>
      </c>
      <c r="P531" t="s">
        <v>170</v>
      </c>
      <c r="Q531">
        <f t="shared" si="10"/>
        <v>630</v>
      </c>
      <c r="R531">
        <f>_xlfn.XLOOKUP(E531,'Data Additive'!E:E,'Data Additive'!E:E,0)</f>
        <v>0</v>
      </c>
    </row>
    <row r="532" spans="1:18" x14ac:dyDescent="0.25">
      <c r="A532">
        <v>9298</v>
      </c>
      <c r="B532" t="s">
        <v>170</v>
      </c>
      <c r="C532" t="s">
        <v>171</v>
      </c>
      <c r="D532" s="32">
        <v>113355.6</v>
      </c>
      <c r="E532">
        <v>1246116199</v>
      </c>
      <c r="F532" s="28">
        <v>45561</v>
      </c>
      <c r="H532" t="s">
        <v>156</v>
      </c>
      <c r="I532" t="s">
        <v>157</v>
      </c>
      <c r="J532">
        <v>2054</v>
      </c>
      <c r="K532" s="28">
        <v>45252</v>
      </c>
      <c r="L532">
        <v>1010100</v>
      </c>
      <c r="M532" t="s">
        <v>29</v>
      </c>
      <c r="N532">
        <v>161</v>
      </c>
      <c r="O532" t="s">
        <v>145</v>
      </c>
      <c r="P532" t="s">
        <v>170</v>
      </c>
      <c r="Q532">
        <f t="shared" si="10"/>
        <v>636</v>
      </c>
      <c r="R532">
        <f>_xlfn.XLOOKUP(E532,'Data Additive'!E:E,'Data Additive'!E:E,0)</f>
        <v>0</v>
      </c>
    </row>
    <row r="533" spans="1:18" x14ac:dyDescent="0.25">
      <c r="A533">
        <v>9298</v>
      </c>
      <c r="B533" t="s">
        <v>170</v>
      </c>
      <c r="C533" t="s">
        <v>171</v>
      </c>
      <c r="D533" s="32">
        <v>143583.76</v>
      </c>
      <c r="E533">
        <v>1246106222</v>
      </c>
      <c r="F533" s="28">
        <v>45560</v>
      </c>
      <c r="H533" t="s">
        <v>156</v>
      </c>
      <c r="I533" t="s">
        <v>157</v>
      </c>
      <c r="J533">
        <v>1341</v>
      </c>
      <c r="K533" s="28">
        <v>45195</v>
      </c>
      <c r="L533">
        <v>1010100</v>
      </c>
      <c r="M533" t="s">
        <v>29</v>
      </c>
      <c r="N533">
        <v>161</v>
      </c>
      <c r="O533" t="s">
        <v>145</v>
      </c>
      <c r="P533" t="s">
        <v>170</v>
      </c>
      <c r="Q533">
        <f t="shared" si="10"/>
        <v>637</v>
      </c>
      <c r="R533">
        <f>_xlfn.XLOOKUP(E533,'Data Additive'!E:E,'Data Additive'!E:E,0)</f>
        <v>0</v>
      </c>
    </row>
    <row r="534" spans="1:18" x14ac:dyDescent="0.25">
      <c r="A534">
        <v>9298</v>
      </c>
      <c r="B534" t="s">
        <v>170</v>
      </c>
      <c r="C534" t="s">
        <v>171</v>
      </c>
      <c r="D534" s="32">
        <v>55612.2</v>
      </c>
      <c r="E534">
        <v>1246104999</v>
      </c>
      <c r="F534" s="28">
        <v>45555</v>
      </c>
      <c r="H534" t="s">
        <v>156</v>
      </c>
      <c r="I534" t="s">
        <v>157</v>
      </c>
      <c r="J534">
        <v>1249</v>
      </c>
      <c r="K534" s="28">
        <v>45189</v>
      </c>
      <c r="L534">
        <v>1010100</v>
      </c>
      <c r="M534" t="s">
        <v>29</v>
      </c>
      <c r="N534">
        <v>161</v>
      </c>
      <c r="O534" t="s">
        <v>145</v>
      </c>
      <c r="P534" t="s">
        <v>170</v>
      </c>
      <c r="Q534">
        <f t="shared" si="10"/>
        <v>642</v>
      </c>
      <c r="R534">
        <f>_xlfn.XLOOKUP(E534,'Data Additive'!E:E,'Data Additive'!E:E,0)</f>
        <v>0</v>
      </c>
    </row>
    <row r="535" spans="1:18" x14ac:dyDescent="0.25">
      <c r="A535">
        <v>9298</v>
      </c>
      <c r="B535" t="s">
        <v>170</v>
      </c>
      <c r="C535" t="s">
        <v>171</v>
      </c>
      <c r="D535" s="32">
        <v>64234.84</v>
      </c>
      <c r="E535">
        <v>1246115394</v>
      </c>
      <c r="F535" s="28">
        <v>45555</v>
      </c>
      <c r="H535" t="s">
        <v>156</v>
      </c>
      <c r="I535" t="s">
        <v>157</v>
      </c>
      <c r="J535">
        <v>1991</v>
      </c>
      <c r="K535" s="28">
        <v>45246</v>
      </c>
      <c r="L535">
        <v>1010100</v>
      </c>
      <c r="M535" t="s">
        <v>29</v>
      </c>
      <c r="N535">
        <v>161</v>
      </c>
      <c r="O535" t="s">
        <v>145</v>
      </c>
      <c r="P535" t="s">
        <v>170</v>
      </c>
      <c r="Q535">
        <f t="shared" si="10"/>
        <v>642</v>
      </c>
      <c r="R535">
        <f>_xlfn.XLOOKUP(E535,'Data Additive'!E:E,'Data Additive'!E:E,0)</f>
        <v>0</v>
      </c>
    </row>
    <row r="536" spans="1:18" x14ac:dyDescent="0.25">
      <c r="A536">
        <v>9298</v>
      </c>
      <c r="B536" t="s">
        <v>170</v>
      </c>
      <c r="C536" t="s">
        <v>171</v>
      </c>
      <c r="D536" s="32">
        <v>54534.2</v>
      </c>
      <c r="E536">
        <v>1246115392</v>
      </c>
      <c r="F536" s="28">
        <v>45555</v>
      </c>
      <c r="H536" t="s">
        <v>156</v>
      </c>
      <c r="I536" t="s">
        <v>157</v>
      </c>
      <c r="J536">
        <v>1990</v>
      </c>
      <c r="K536" s="28">
        <v>45246</v>
      </c>
      <c r="L536">
        <v>1010100</v>
      </c>
      <c r="M536" t="s">
        <v>29</v>
      </c>
      <c r="N536">
        <v>161</v>
      </c>
      <c r="O536" t="s">
        <v>145</v>
      </c>
      <c r="P536" t="s">
        <v>170</v>
      </c>
      <c r="Q536">
        <f t="shared" si="10"/>
        <v>642</v>
      </c>
      <c r="R536">
        <f>_xlfn.XLOOKUP(E536,'Data Additive'!E:E,'Data Additive'!E:E,0)</f>
        <v>0</v>
      </c>
    </row>
    <row r="537" spans="1:18" x14ac:dyDescent="0.25">
      <c r="A537">
        <v>9298</v>
      </c>
      <c r="B537" t="s">
        <v>170</v>
      </c>
      <c r="C537" t="s">
        <v>171</v>
      </c>
      <c r="D537" s="32">
        <v>139293.64000000001</v>
      </c>
      <c r="E537">
        <v>1246105902</v>
      </c>
      <c r="F537" s="28">
        <v>45559</v>
      </c>
      <c r="H537" t="s">
        <v>156</v>
      </c>
      <c r="I537" t="s">
        <v>157</v>
      </c>
      <c r="J537">
        <v>1319</v>
      </c>
      <c r="K537" s="28">
        <v>45194</v>
      </c>
      <c r="L537">
        <v>1010100</v>
      </c>
      <c r="M537" t="s">
        <v>29</v>
      </c>
      <c r="N537">
        <v>161</v>
      </c>
      <c r="O537" t="s">
        <v>145</v>
      </c>
      <c r="P537" t="s">
        <v>170</v>
      </c>
      <c r="Q537">
        <f t="shared" si="10"/>
        <v>638</v>
      </c>
      <c r="R537">
        <f>_xlfn.XLOOKUP(E537,'Data Additive'!E:E,'Data Additive'!E:E,0)</f>
        <v>0</v>
      </c>
    </row>
    <row r="538" spans="1:18" x14ac:dyDescent="0.25">
      <c r="A538">
        <v>9298</v>
      </c>
      <c r="B538" t="s">
        <v>170</v>
      </c>
      <c r="C538" t="s">
        <v>171</v>
      </c>
      <c r="D538" s="32">
        <v>68013.36</v>
      </c>
      <c r="E538">
        <v>1246114866</v>
      </c>
      <c r="F538" s="28">
        <v>45555</v>
      </c>
      <c r="H538" t="s">
        <v>156</v>
      </c>
      <c r="I538" t="s">
        <v>157</v>
      </c>
      <c r="J538">
        <v>1952</v>
      </c>
      <c r="K538" s="28">
        <v>45243</v>
      </c>
      <c r="L538">
        <v>1010100</v>
      </c>
      <c r="M538" t="s">
        <v>29</v>
      </c>
      <c r="N538">
        <v>161</v>
      </c>
      <c r="O538" t="s">
        <v>145</v>
      </c>
      <c r="P538" t="s">
        <v>170</v>
      </c>
      <c r="Q538">
        <f t="shared" si="10"/>
        <v>642</v>
      </c>
      <c r="R538">
        <f>_xlfn.XLOOKUP(E538,'Data Additive'!E:E,'Data Additive'!E:E,0)</f>
        <v>0</v>
      </c>
    </row>
    <row r="539" spans="1:18" x14ac:dyDescent="0.25">
      <c r="A539">
        <v>9298</v>
      </c>
      <c r="B539" t="s">
        <v>170</v>
      </c>
      <c r="C539" t="s">
        <v>171</v>
      </c>
      <c r="D539" s="32">
        <v>55611.199999999997</v>
      </c>
      <c r="E539">
        <v>1246167304</v>
      </c>
      <c r="F539" s="28">
        <v>45555</v>
      </c>
      <c r="H539" t="s">
        <v>156</v>
      </c>
      <c r="I539" t="s">
        <v>157</v>
      </c>
      <c r="J539">
        <v>1244</v>
      </c>
      <c r="K539" s="28">
        <v>45189</v>
      </c>
      <c r="L539">
        <v>1010100</v>
      </c>
      <c r="M539" t="s">
        <v>29</v>
      </c>
      <c r="N539">
        <v>161</v>
      </c>
      <c r="O539" t="s">
        <v>145</v>
      </c>
      <c r="P539" t="s">
        <v>170</v>
      </c>
      <c r="Q539">
        <f t="shared" si="10"/>
        <v>642</v>
      </c>
      <c r="R539">
        <f>_xlfn.XLOOKUP(E539,'Data Additive'!E:E,'Data Additive'!E:E,0)</f>
        <v>0</v>
      </c>
    </row>
    <row r="540" spans="1:18" x14ac:dyDescent="0.25">
      <c r="A540">
        <v>9298</v>
      </c>
      <c r="B540" t="s">
        <v>170</v>
      </c>
      <c r="C540" t="s">
        <v>171</v>
      </c>
      <c r="D540" s="32">
        <v>104546.96</v>
      </c>
      <c r="E540">
        <v>1246244742</v>
      </c>
      <c r="F540" s="28">
        <v>45555</v>
      </c>
      <c r="H540" t="s">
        <v>156</v>
      </c>
      <c r="I540" t="s">
        <v>157</v>
      </c>
      <c r="J540">
        <v>20726</v>
      </c>
      <c r="K540" s="28">
        <v>44979</v>
      </c>
      <c r="L540">
        <v>1010100</v>
      </c>
      <c r="M540" t="s">
        <v>29</v>
      </c>
      <c r="N540">
        <v>161</v>
      </c>
      <c r="O540" t="s">
        <v>145</v>
      </c>
      <c r="P540" t="s">
        <v>170</v>
      </c>
      <c r="Q540">
        <f t="shared" si="10"/>
        <v>642</v>
      </c>
      <c r="R540">
        <f>_xlfn.XLOOKUP(E540,'Data Additive'!E:E,'Data Additive'!E:E,0)</f>
        <v>0</v>
      </c>
    </row>
    <row r="541" spans="1:18" x14ac:dyDescent="0.25">
      <c r="A541">
        <v>10454</v>
      </c>
      <c r="B541" t="s">
        <v>177</v>
      </c>
      <c r="C541" t="s">
        <v>178</v>
      </c>
      <c r="D541" s="32">
        <v>144418.20000000001</v>
      </c>
      <c r="E541">
        <v>1246051128</v>
      </c>
      <c r="F541" s="28">
        <v>45229</v>
      </c>
      <c r="H541" t="s">
        <v>156</v>
      </c>
      <c r="I541" t="s">
        <v>157</v>
      </c>
      <c r="J541">
        <v>19700</v>
      </c>
      <c r="K541" s="28">
        <v>44860</v>
      </c>
      <c r="L541">
        <v>1010100</v>
      </c>
      <c r="M541" t="s">
        <v>29</v>
      </c>
      <c r="N541">
        <v>161</v>
      </c>
      <c r="O541" t="s">
        <v>145</v>
      </c>
      <c r="P541" t="s">
        <v>177</v>
      </c>
      <c r="Q541">
        <f t="shared" si="10"/>
        <v>968</v>
      </c>
      <c r="R541">
        <f>_xlfn.XLOOKUP(E541,'Data Additive'!E:E,'Data Additive'!E:E,0)</f>
        <v>0</v>
      </c>
    </row>
    <row r="542" spans="1:18" x14ac:dyDescent="0.25">
      <c r="A542">
        <v>10454</v>
      </c>
      <c r="B542" t="s">
        <v>177</v>
      </c>
      <c r="C542" t="s">
        <v>178</v>
      </c>
      <c r="D542" s="32">
        <v>144418.20000000001</v>
      </c>
      <c r="E542">
        <v>1246049220</v>
      </c>
      <c r="F542" s="28">
        <v>45229</v>
      </c>
      <c r="H542" t="s">
        <v>156</v>
      </c>
      <c r="I542" t="s">
        <v>157</v>
      </c>
      <c r="J542">
        <v>19589</v>
      </c>
      <c r="K542" s="28">
        <v>44852</v>
      </c>
      <c r="L542">
        <v>1010100</v>
      </c>
      <c r="M542" t="s">
        <v>29</v>
      </c>
      <c r="N542">
        <v>161</v>
      </c>
      <c r="O542" t="s">
        <v>145</v>
      </c>
      <c r="P542" t="s">
        <v>177</v>
      </c>
      <c r="Q542">
        <f t="shared" si="10"/>
        <v>968</v>
      </c>
      <c r="R542">
        <f>_xlfn.XLOOKUP(E542,'Data Additive'!E:E,'Data Additive'!E:E,0)</f>
        <v>0</v>
      </c>
    </row>
    <row r="543" spans="1:18" x14ac:dyDescent="0.25">
      <c r="A543">
        <v>10454</v>
      </c>
      <c r="B543" t="s">
        <v>177</v>
      </c>
      <c r="C543" t="s">
        <v>178</v>
      </c>
      <c r="D543" s="32">
        <v>149099.07999999999</v>
      </c>
      <c r="E543">
        <v>1246058414</v>
      </c>
      <c r="F543" s="28">
        <v>45229</v>
      </c>
      <c r="H543" t="s">
        <v>156</v>
      </c>
      <c r="I543" t="s">
        <v>157</v>
      </c>
      <c r="J543">
        <v>20191</v>
      </c>
      <c r="K543" s="28">
        <v>44909</v>
      </c>
      <c r="L543">
        <v>1010100</v>
      </c>
      <c r="M543" t="s">
        <v>29</v>
      </c>
      <c r="N543">
        <v>161</v>
      </c>
      <c r="O543" t="s">
        <v>145</v>
      </c>
      <c r="P543" t="s">
        <v>177</v>
      </c>
      <c r="Q543">
        <f t="shared" si="10"/>
        <v>968</v>
      </c>
      <c r="R543">
        <f>_xlfn.XLOOKUP(E543,'Data Additive'!E:E,'Data Additive'!E:E,0)</f>
        <v>0</v>
      </c>
    </row>
    <row r="544" spans="1:18" x14ac:dyDescent="0.25">
      <c r="A544">
        <v>10454</v>
      </c>
      <c r="B544" t="s">
        <v>177</v>
      </c>
      <c r="C544" t="s">
        <v>178</v>
      </c>
      <c r="D544" s="32">
        <v>151022.07999999999</v>
      </c>
      <c r="E544">
        <v>1246066481</v>
      </c>
      <c r="F544" s="28">
        <v>45229</v>
      </c>
      <c r="H544" t="s">
        <v>156</v>
      </c>
      <c r="I544" t="s">
        <v>157</v>
      </c>
      <c r="J544">
        <v>20644</v>
      </c>
      <c r="K544" s="28">
        <v>44965</v>
      </c>
      <c r="L544">
        <v>1010100</v>
      </c>
      <c r="M544" t="s">
        <v>29</v>
      </c>
      <c r="N544">
        <v>161</v>
      </c>
      <c r="O544" t="s">
        <v>145</v>
      </c>
      <c r="P544" t="s">
        <v>177</v>
      </c>
      <c r="Q544">
        <f t="shared" si="10"/>
        <v>968</v>
      </c>
      <c r="R544">
        <f>_xlfn.XLOOKUP(E544,'Data Additive'!E:E,'Data Additive'!E:E,0)</f>
        <v>0</v>
      </c>
    </row>
    <row r="545" spans="1:18" x14ac:dyDescent="0.25">
      <c r="A545">
        <v>10454</v>
      </c>
      <c r="B545" t="s">
        <v>177</v>
      </c>
      <c r="C545" t="s">
        <v>178</v>
      </c>
      <c r="D545" s="32">
        <v>248498.47</v>
      </c>
      <c r="E545">
        <v>1246058556</v>
      </c>
      <c r="F545" s="28">
        <v>45229</v>
      </c>
      <c r="H545" t="s">
        <v>156</v>
      </c>
      <c r="I545" t="s">
        <v>157</v>
      </c>
      <c r="J545">
        <v>20197</v>
      </c>
      <c r="K545" s="28">
        <v>44909</v>
      </c>
      <c r="L545">
        <v>1010100</v>
      </c>
      <c r="M545" t="s">
        <v>29</v>
      </c>
      <c r="N545">
        <v>161</v>
      </c>
      <c r="O545" t="s">
        <v>145</v>
      </c>
      <c r="P545" t="s">
        <v>177</v>
      </c>
      <c r="Q545">
        <f t="shared" si="10"/>
        <v>968</v>
      </c>
      <c r="R545">
        <f>_xlfn.XLOOKUP(E545,'Data Additive'!E:E,'Data Additive'!E:E,0)</f>
        <v>0</v>
      </c>
    </row>
    <row r="546" spans="1:18" x14ac:dyDescent="0.25">
      <c r="A546">
        <v>10454</v>
      </c>
      <c r="B546" t="s">
        <v>177</v>
      </c>
      <c r="C546" t="s">
        <v>178</v>
      </c>
      <c r="D546" s="32">
        <v>122816.13</v>
      </c>
      <c r="E546">
        <v>1246065495</v>
      </c>
      <c r="F546" s="28">
        <v>45229</v>
      </c>
      <c r="H546" t="s">
        <v>156</v>
      </c>
      <c r="I546" t="s">
        <v>157</v>
      </c>
      <c r="J546">
        <v>20599</v>
      </c>
      <c r="K546" s="28">
        <v>44958</v>
      </c>
      <c r="L546">
        <v>1010100</v>
      </c>
      <c r="M546" t="s">
        <v>29</v>
      </c>
      <c r="N546">
        <v>161</v>
      </c>
      <c r="O546" t="s">
        <v>145</v>
      </c>
      <c r="P546" t="s">
        <v>177</v>
      </c>
      <c r="Q546">
        <f t="shared" si="10"/>
        <v>968</v>
      </c>
      <c r="R546">
        <f>_xlfn.XLOOKUP(E546,'Data Additive'!E:E,'Data Additive'!E:E,0)</f>
        <v>0</v>
      </c>
    </row>
    <row r="547" spans="1:18" x14ac:dyDescent="0.25">
      <c r="A547">
        <v>10454</v>
      </c>
      <c r="B547" t="s">
        <v>177</v>
      </c>
      <c r="C547" t="s">
        <v>178</v>
      </c>
      <c r="D547" s="32">
        <v>97567.15</v>
      </c>
      <c r="E547">
        <v>1246059110</v>
      </c>
      <c r="F547" s="28">
        <v>45229</v>
      </c>
      <c r="H547" t="s">
        <v>156</v>
      </c>
      <c r="I547" t="s">
        <v>157</v>
      </c>
      <c r="J547">
        <v>20229</v>
      </c>
      <c r="K547" s="28">
        <v>44911</v>
      </c>
      <c r="L547">
        <v>1010100</v>
      </c>
      <c r="M547" t="s">
        <v>29</v>
      </c>
      <c r="N547">
        <v>161</v>
      </c>
      <c r="O547" t="s">
        <v>145</v>
      </c>
      <c r="P547" t="s">
        <v>177</v>
      </c>
      <c r="Q547">
        <f t="shared" si="10"/>
        <v>968</v>
      </c>
      <c r="R547">
        <f>_xlfn.XLOOKUP(E547,'Data Additive'!E:E,'Data Additive'!E:E,0)</f>
        <v>0</v>
      </c>
    </row>
    <row r="548" spans="1:18" x14ac:dyDescent="0.25">
      <c r="A548">
        <v>10454</v>
      </c>
      <c r="B548" t="s">
        <v>177</v>
      </c>
      <c r="C548" t="s">
        <v>178</v>
      </c>
      <c r="D548" s="32">
        <v>145199.79999999999</v>
      </c>
      <c r="E548">
        <v>1246057926</v>
      </c>
      <c r="F548" s="28">
        <v>45229</v>
      </c>
      <c r="H548" t="s">
        <v>156</v>
      </c>
      <c r="I548" t="s">
        <v>157</v>
      </c>
      <c r="J548">
        <v>20177</v>
      </c>
      <c r="K548" s="28">
        <v>44907</v>
      </c>
      <c r="L548">
        <v>1010100</v>
      </c>
      <c r="M548" t="s">
        <v>29</v>
      </c>
      <c r="N548">
        <v>161</v>
      </c>
      <c r="O548" t="s">
        <v>145</v>
      </c>
      <c r="P548" t="s">
        <v>177</v>
      </c>
      <c r="Q548">
        <f t="shared" si="10"/>
        <v>968</v>
      </c>
      <c r="R548">
        <f>_xlfn.XLOOKUP(E548,'Data Additive'!E:E,'Data Additive'!E:E,0)</f>
        <v>0</v>
      </c>
    </row>
    <row r="549" spans="1:18" x14ac:dyDescent="0.25">
      <c r="A549">
        <v>10454</v>
      </c>
      <c r="B549" t="s">
        <v>177</v>
      </c>
      <c r="C549" t="s">
        <v>178</v>
      </c>
      <c r="D549" s="32">
        <v>85824.21</v>
      </c>
      <c r="E549">
        <v>1246058924</v>
      </c>
      <c r="F549" s="28">
        <v>45229</v>
      </c>
      <c r="H549" t="s">
        <v>156</v>
      </c>
      <c r="I549" t="s">
        <v>157</v>
      </c>
      <c r="J549">
        <v>20209</v>
      </c>
      <c r="K549" s="28">
        <v>44910</v>
      </c>
      <c r="L549">
        <v>1010100</v>
      </c>
      <c r="M549" t="s">
        <v>29</v>
      </c>
      <c r="N549">
        <v>161</v>
      </c>
      <c r="O549" t="s">
        <v>145</v>
      </c>
      <c r="P549" t="s">
        <v>177</v>
      </c>
      <c r="Q549">
        <f t="shared" si="10"/>
        <v>968</v>
      </c>
      <c r="R549">
        <f>_xlfn.XLOOKUP(E549,'Data Additive'!E:E,'Data Additive'!E:E,0)</f>
        <v>0</v>
      </c>
    </row>
    <row r="550" spans="1:18" x14ac:dyDescent="0.25">
      <c r="A550">
        <v>10454</v>
      </c>
      <c r="B550" t="s">
        <v>177</v>
      </c>
      <c r="C550" t="s">
        <v>178</v>
      </c>
      <c r="D550" s="32">
        <v>154779.14000000001</v>
      </c>
      <c r="E550">
        <v>1246058289</v>
      </c>
      <c r="F550" s="28">
        <v>45229</v>
      </c>
      <c r="H550" t="s">
        <v>156</v>
      </c>
      <c r="I550" t="s">
        <v>157</v>
      </c>
      <c r="J550">
        <v>20187</v>
      </c>
      <c r="K550" s="28">
        <v>44908</v>
      </c>
      <c r="L550">
        <v>1010100</v>
      </c>
      <c r="M550" t="s">
        <v>29</v>
      </c>
      <c r="N550">
        <v>161</v>
      </c>
      <c r="O550" t="s">
        <v>145</v>
      </c>
      <c r="P550" t="s">
        <v>177</v>
      </c>
      <c r="Q550">
        <f t="shared" si="10"/>
        <v>968</v>
      </c>
      <c r="R550">
        <f>_xlfn.XLOOKUP(E550,'Data Additive'!E:E,'Data Additive'!E:E,0)</f>
        <v>0</v>
      </c>
    </row>
    <row r="551" spans="1:18" x14ac:dyDescent="0.25">
      <c r="A551">
        <v>10454</v>
      </c>
      <c r="B551" t="s">
        <v>177</v>
      </c>
      <c r="C551" t="s">
        <v>178</v>
      </c>
      <c r="D551" s="32">
        <v>166124.28999999998</v>
      </c>
      <c r="E551">
        <v>1246066059</v>
      </c>
      <c r="F551" s="28">
        <v>45229</v>
      </c>
      <c r="H551" t="s">
        <v>156</v>
      </c>
      <c r="I551" t="s">
        <v>157</v>
      </c>
      <c r="J551">
        <v>20622</v>
      </c>
      <c r="K551" s="28">
        <v>44963</v>
      </c>
      <c r="L551">
        <v>1010100</v>
      </c>
      <c r="M551" t="s">
        <v>29</v>
      </c>
      <c r="N551">
        <v>161</v>
      </c>
      <c r="O551" t="s">
        <v>145</v>
      </c>
      <c r="P551" t="s">
        <v>177</v>
      </c>
      <c r="Q551">
        <f t="shared" si="10"/>
        <v>968</v>
      </c>
      <c r="R551">
        <f>_xlfn.XLOOKUP(E551,'Data Additive'!E:E,'Data Additive'!E:E,0)</f>
        <v>0</v>
      </c>
    </row>
    <row r="552" spans="1:18" x14ac:dyDescent="0.25">
      <c r="A552">
        <v>10454</v>
      </c>
      <c r="B552" t="s">
        <v>177</v>
      </c>
      <c r="C552" t="s">
        <v>178</v>
      </c>
      <c r="D552" s="32">
        <v>151240.47</v>
      </c>
      <c r="E552">
        <v>1246059634</v>
      </c>
      <c r="F552" s="28">
        <v>45229</v>
      </c>
      <c r="H552" t="s">
        <v>156</v>
      </c>
      <c r="I552" t="s">
        <v>157</v>
      </c>
      <c r="J552">
        <v>20268</v>
      </c>
      <c r="K552" s="28">
        <v>44916</v>
      </c>
      <c r="L552">
        <v>1010100</v>
      </c>
      <c r="M552" t="s">
        <v>29</v>
      </c>
      <c r="N552">
        <v>161</v>
      </c>
      <c r="O552" t="s">
        <v>145</v>
      </c>
      <c r="P552" t="s">
        <v>177</v>
      </c>
      <c r="Q552">
        <f t="shared" si="10"/>
        <v>968</v>
      </c>
      <c r="R552">
        <f>_xlfn.XLOOKUP(E552,'Data Additive'!E:E,'Data Additive'!E:E,0)</f>
        <v>0</v>
      </c>
    </row>
    <row r="553" spans="1:18" x14ac:dyDescent="0.25">
      <c r="A553">
        <v>10454</v>
      </c>
      <c r="B553" t="s">
        <v>177</v>
      </c>
      <c r="C553" t="s">
        <v>178</v>
      </c>
      <c r="D553" s="32">
        <v>102193.68</v>
      </c>
      <c r="E553">
        <v>1246216830</v>
      </c>
      <c r="F553" s="28">
        <v>45168</v>
      </c>
      <c r="H553" t="s">
        <v>156</v>
      </c>
      <c r="I553" t="s">
        <v>157</v>
      </c>
      <c r="J553">
        <v>19263</v>
      </c>
      <c r="K553" s="28">
        <v>44824</v>
      </c>
      <c r="L553">
        <v>1010100</v>
      </c>
      <c r="M553" t="s">
        <v>29</v>
      </c>
      <c r="N553">
        <v>161</v>
      </c>
      <c r="O553" t="s">
        <v>145</v>
      </c>
      <c r="P553" t="s">
        <v>177</v>
      </c>
      <c r="Q553">
        <f t="shared" si="10"/>
        <v>1029</v>
      </c>
      <c r="R553">
        <f>_xlfn.XLOOKUP(E553,'Data Additive'!E:E,'Data Additive'!E:E,0)</f>
        <v>0</v>
      </c>
    </row>
    <row r="554" spans="1:18" x14ac:dyDescent="0.25">
      <c r="A554">
        <v>11326</v>
      </c>
      <c r="B554" t="s">
        <v>179</v>
      </c>
      <c r="C554" t="s">
        <v>180</v>
      </c>
      <c r="D554" s="32">
        <v>131680</v>
      </c>
      <c r="E554">
        <v>1246234342</v>
      </c>
      <c r="F554" s="28">
        <v>46264</v>
      </c>
      <c r="H554" t="s">
        <v>156</v>
      </c>
      <c r="I554" t="s">
        <v>157</v>
      </c>
      <c r="J554">
        <v>9141</v>
      </c>
      <c r="K554" s="28">
        <v>45901</v>
      </c>
      <c r="L554">
        <v>1010100</v>
      </c>
      <c r="M554" t="s">
        <v>29</v>
      </c>
      <c r="N554">
        <v>161</v>
      </c>
      <c r="O554" t="s">
        <v>145</v>
      </c>
      <c r="P554" t="s">
        <v>179</v>
      </c>
      <c r="Q554">
        <f t="shared" si="10"/>
        <v>-67</v>
      </c>
      <c r="R554">
        <f>_xlfn.XLOOKUP(E554,'Data Additive'!E:E,'Data Additive'!E:E,0)</f>
        <v>0</v>
      </c>
    </row>
    <row r="555" spans="1:18" x14ac:dyDescent="0.25">
      <c r="A555">
        <v>10456</v>
      </c>
      <c r="B555" t="s">
        <v>181</v>
      </c>
      <c r="C555" t="s">
        <v>182</v>
      </c>
      <c r="D555" s="32">
        <v>111322.27</v>
      </c>
      <c r="E555">
        <v>1246093334</v>
      </c>
      <c r="F555" s="28">
        <v>45537</v>
      </c>
      <c r="H555" t="s">
        <v>156</v>
      </c>
      <c r="I555" t="s">
        <v>157</v>
      </c>
      <c r="J555">
        <v>251</v>
      </c>
      <c r="K555" s="28">
        <v>45127</v>
      </c>
      <c r="L555">
        <v>1010100</v>
      </c>
      <c r="M555" t="s">
        <v>29</v>
      </c>
      <c r="N555">
        <v>161</v>
      </c>
      <c r="O555" t="s">
        <v>145</v>
      </c>
      <c r="P555" t="s">
        <v>181</v>
      </c>
      <c r="Q555">
        <f t="shared" si="10"/>
        <v>660</v>
      </c>
      <c r="R555">
        <f>_xlfn.XLOOKUP(E555,'Data Additive'!E:E,'Data Additive'!E:E,0)</f>
        <v>0</v>
      </c>
    </row>
    <row r="556" spans="1:18" x14ac:dyDescent="0.25">
      <c r="A556">
        <v>10456</v>
      </c>
      <c r="B556" t="s">
        <v>181</v>
      </c>
      <c r="C556" t="s">
        <v>182</v>
      </c>
      <c r="D556" s="32">
        <v>118491.86</v>
      </c>
      <c r="E556">
        <v>1246097861</v>
      </c>
      <c r="F556" s="28">
        <v>45565</v>
      </c>
      <c r="H556" t="s">
        <v>156</v>
      </c>
      <c r="I556" t="s">
        <v>157</v>
      </c>
      <c r="J556">
        <v>683</v>
      </c>
      <c r="K556" s="28">
        <v>45152</v>
      </c>
      <c r="L556">
        <v>1010100</v>
      </c>
      <c r="M556" t="s">
        <v>29</v>
      </c>
      <c r="N556">
        <v>161</v>
      </c>
      <c r="O556" t="s">
        <v>145</v>
      </c>
      <c r="P556" t="s">
        <v>181</v>
      </c>
      <c r="Q556">
        <f t="shared" si="10"/>
        <v>632</v>
      </c>
      <c r="R556">
        <f>_xlfn.XLOOKUP(E556,'Data Additive'!E:E,'Data Additive'!E:E,0)</f>
        <v>0</v>
      </c>
    </row>
    <row r="557" spans="1:18" x14ac:dyDescent="0.25">
      <c r="A557">
        <v>10456</v>
      </c>
      <c r="B557" t="s">
        <v>181</v>
      </c>
      <c r="C557" t="s">
        <v>182</v>
      </c>
      <c r="D557" s="32">
        <v>117498.04</v>
      </c>
      <c r="E557">
        <v>1246099432</v>
      </c>
      <c r="F557" s="28">
        <v>45545</v>
      </c>
      <c r="H557" t="s">
        <v>156</v>
      </c>
      <c r="I557" t="s">
        <v>157</v>
      </c>
      <c r="J557">
        <v>787</v>
      </c>
      <c r="K557" s="28">
        <v>45160</v>
      </c>
      <c r="L557">
        <v>1010100</v>
      </c>
      <c r="M557" t="s">
        <v>29</v>
      </c>
      <c r="N557">
        <v>161</v>
      </c>
      <c r="O557" t="s">
        <v>145</v>
      </c>
      <c r="P557" t="s">
        <v>181</v>
      </c>
      <c r="Q557">
        <f t="shared" si="10"/>
        <v>652</v>
      </c>
      <c r="R557">
        <f>_xlfn.XLOOKUP(E557,'Data Additive'!E:E,'Data Additive'!E:E,0)</f>
        <v>0</v>
      </c>
    </row>
    <row r="558" spans="1:18" x14ac:dyDescent="0.25">
      <c r="A558">
        <v>10456</v>
      </c>
      <c r="B558" t="s">
        <v>181</v>
      </c>
      <c r="C558" t="s">
        <v>182</v>
      </c>
      <c r="D558" s="32">
        <v>100560.82</v>
      </c>
      <c r="E558">
        <v>1246100417</v>
      </c>
      <c r="F558" s="28">
        <v>45548</v>
      </c>
      <c r="H558" t="s">
        <v>156</v>
      </c>
      <c r="I558" t="s">
        <v>157</v>
      </c>
      <c r="J558">
        <v>183</v>
      </c>
      <c r="K558" s="28">
        <v>45163</v>
      </c>
      <c r="L558">
        <v>1010100</v>
      </c>
      <c r="M558" t="s">
        <v>29</v>
      </c>
      <c r="N558">
        <v>161</v>
      </c>
      <c r="O558" t="s">
        <v>145</v>
      </c>
      <c r="P558" t="s">
        <v>181</v>
      </c>
      <c r="Q558">
        <f t="shared" si="10"/>
        <v>649</v>
      </c>
      <c r="R558">
        <f>_xlfn.XLOOKUP(E558,'Data Additive'!E:E,'Data Additive'!E:E,0)</f>
        <v>0</v>
      </c>
    </row>
    <row r="559" spans="1:18" x14ac:dyDescent="0.25">
      <c r="A559">
        <v>10456</v>
      </c>
      <c r="B559" t="s">
        <v>181</v>
      </c>
      <c r="C559" t="s">
        <v>182</v>
      </c>
      <c r="D559" s="32">
        <v>61416.78</v>
      </c>
      <c r="E559">
        <v>1246065449</v>
      </c>
      <c r="F559" s="28">
        <v>45199</v>
      </c>
      <c r="H559" t="s">
        <v>156</v>
      </c>
      <c r="I559" t="s">
        <v>157</v>
      </c>
      <c r="J559">
        <v>20596</v>
      </c>
      <c r="K559" s="28">
        <v>44958</v>
      </c>
      <c r="L559">
        <v>1010100</v>
      </c>
      <c r="M559" t="s">
        <v>29</v>
      </c>
      <c r="N559">
        <v>161</v>
      </c>
      <c r="O559" t="s">
        <v>145</v>
      </c>
      <c r="P559" t="s">
        <v>181</v>
      </c>
      <c r="Q559">
        <f t="shared" si="10"/>
        <v>998</v>
      </c>
      <c r="R559">
        <f>_xlfn.XLOOKUP(E559,'Data Additive'!E:E,'Data Additive'!E:E,0)</f>
        <v>0</v>
      </c>
    </row>
    <row r="560" spans="1:18" x14ac:dyDescent="0.25">
      <c r="A560">
        <v>10456</v>
      </c>
      <c r="B560" t="s">
        <v>181</v>
      </c>
      <c r="C560" t="s">
        <v>182</v>
      </c>
      <c r="D560" s="32">
        <v>106537.82</v>
      </c>
      <c r="E560">
        <v>1246110763</v>
      </c>
      <c r="F560" s="28">
        <v>45534</v>
      </c>
      <c r="H560" t="s">
        <v>156</v>
      </c>
      <c r="I560" t="s">
        <v>157</v>
      </c>
      <c r="J560">
        <v>1702</v>
      </c>
      <c r="K560" s="28">
        <v>45222</v>
      </c>
      <c r="L560">
        <v>1010100</v>
      </c>
      <c r="M560" t="s">
        <v>29</v>
      </c>
      <c r="N560">
        <v>161</v>
      </c>
      <c r="O560" t="s">
        <v>145</v>
      </c>
      <c r="P560" t="s">
        <v>181</v>
      </c>
      <c r="Q560">
        <f t="shared" si="10"/>
        <v>663</v>
      </c>
      <c r="R560">
        <f>_xlfn.XLOOKUP(E560,'Data Additive'!E:E,'Data Additive'!E:E,0)</f>
        <v>0</v>
      </c>
    </row>
    <row r="561" spans="1:18" x14ac:dyDescent="0.25">
      <c r="A561">
        <v>10456</v>
      </c>
      <c r="B561" t="s">
        <v>181</v>
      </c>
      <c r="C561" t="s">
        <v>182</v>
      </c>
      <c r="D561" s="32">
        <v>110173.77</v>
      </c>
      <c r="E561">
        <v>1246067444</v>
      </c>
      <c r="F561" s="28">
        <v>45199</v>
      </c>
      <c r="H561" t="s">
        <v>156</v>
      </c>
      <c r="I561" t="s">
        <v>157</v>
      </c>
      <c r="J561">
        <v>20680</v>
      </c>
      <c r="K561" s="28">
        <v>44971</v>
      </c>
      <c r="L561">
        <v>1010100</v>
      </c>
      <c r="M561" t="s">
        <v>29</v>
      </c>
      <c r="N561">
        <v>161</v>
      </c>
      <c r="O561" t="s">
        <v>145</v>
      </c>
      <c r="P561" t="s">
        <v>181</v>
      </c>
      <c r="Q561">
        <f t="shared" ref="Q561:Q612" si="11">$R$1-F561</f>
        <v>998</v>
      </c>
      <c r="R561">
        <f>_xlfn.XLOOKUP(E561,'Data Additive'!E:E,'Data Additive'!E:E,0)</f>
        <v>0</v>
      </c>
    </row>
    <row r="562" spans="1:18" x14ac:dyDescent="0.25">
      <c r="A562">
        <v>10456</v>
      </c>
      <c r="B562" t="s">
        <v>181</v>
      </c>
      <c r="C562" t="s">
        <v>182</v>
      </c>
      <c r="D562" s="32">
        <v>153644.62</v>
      </c>
      <c r="E562">
        <v>1246066037</v>
      </c>
      <c r="F562" s="28">
        <v>45199</v>
      </c>
      <c r="H562" t="s">
        <v>156</v>
      </c>
      <c r="I562" t="s">
        <v>157</v>
      </c>
      <c r="J562">
        <v>20619</v>
      </c>
      <c r="K562" s="28">
        <v>44963</v>
      </c>
      <c r="L562">
        <v>1010100</v>
      </c>
      <c r="M562" t="s">
        <v>29</v>
      </c>
      <c r="N562">
        <v>161</v>
      </c>
      <c r="O562" t="s">
        <v>145</v>
      </c>
      <c r="P562" t="s">
        <v>181</v>
      </c>
      <c r="Q562">
        <f t="shared" si="11"/>
        <v>998</v>
      </c>
      <c r="R562">
        <f>_xlfn.XLOOKUP(E562,'Data Additive'!E:E,'Data Additive'!E:E,0)</f>
        <v>0</v>
      </c>
    </row>
    <row r="563" spans="1:18" x14ac:dyDescent="0.25">
      <c r="A563">
        <v>10456</v>
      </c>
      <c r="B563" t="s">
        <v>181</v>
      </c>
      <c r="C563" t="s">
        <v>182</v>
      </c>
      <c r="D563" s="32">
        <v>121627.64</v>
      </c>
      <c r="E563">
        <v>1246061337</v>
      </c>
      <c r="F563" s="28">
        <v>45199</v>
      </c>
      <c r="H563" t="s">
        <v>156</v>
      </c>
      <c r="I563" t="s">
        <v>157</v>
      </c>
      <c r="J563">
        <v>20371</v>
      </c>
      <c r="K563" s="28">
        <v>44930</v>
      </c>
      <c r="L563">
        <v>1010100</v>
      </c>
      <c r="M563" t="s">
        <v>29</v>
      </c>
      <c r="N563">
        <v>161</v>
      </c>
      <c r="O563" t="s">
        <v>145</v>
      </c>
      <c r="P563" t="s">
        <v>181</v>
      </c>
      <c r="Q563">
        <f t="shared" si="11"/>
        <v>998</v>
      </c>
      <c r="R563">
        <f>_xlfn.XLOOKUP(E563,'Data Additive'!E:E,'Data Additive'!E:E,0)</f>
        <v>0</v>
      </c>
    </row>
    <row r="564" spans="1:18" x14ac:dyDescent="0.25">
      <c r="A564">
        <v>10456</v>
      </c>
      <c r="B564" t="s">
        <v>181</v>
      </c>
      <c r="C564" t="s">
        <v>182</v>
      </c>
      <c r="D564" s="32">
        <v>119763.56</v>
      </c>
      <c r="E564">
        <v>1246107272</v>
      </c>
      <c r="F564" s="28">
        <v>45536</v>
      </c>
      <c r="H564" t="s">
        <v>156</v>
      </c>
      <c r="I564" t="s">
        <v>157</v>
      </c>
      <c r="J564">
        <v>1444</v>
      </c>
      <c r="K564" s="28">
        <v>45201</v>
      </c>
      <c r="L564">
        <v>1010100</v>
      </c>
      <c r="M564" t="s">
        <v>29</v>
      </c>
      <c r="N564">
        <v>161</v>
      </c>
      <c r="O564" t="s">
        <v>145</v>
      </c>
      <c r="P564" t="s">
        <v>181</v>
      </c>
      <c r="Q564">
        <f t="shared" si="11"/>
        <v>661</v>
      </c>
      <c r="R564">
        <f>_xlfn.XLOOKUP(E564,'Data Additive'!E:E,'Data Additive'!E:E,0)</f>
        <v>0</v>
      </c>
    </row>
    <row r="565" spans="1:18" x14ac:dyDescent="0.25">
      <c r="A565">
        <v>10456</v>
      </c>
      <c r="B565" t="s">
        <v>181</v>
      </c>
      <c r="C565" t="s">
        <v>182</v>
      </c>
      <c r="D565" s="32">
        <v>129996.55</v>
      </c>
      <c r="E565">
        <v>1246063009</v>
      </c>
      <c r="F565" s="28">
        <v>45199</v>
      </c>
      <c r="H565" t="s">
        <v>156</v>
      </c>
      <c r="I565" t="s">
        <v>157</v>
      </c>
      <c r="J565">
        <v>20458</v>
      </c>
      <c r="K565" s="28">
        <v>44943</v>
      </c>
      <c r="L565">
        <v>1010100</v>
      </c>
      <c r="M565" t="s">
        <v>29</v>
      </c>
      <c r="N565">
        <v>161</v>
      </c>
      <c r="O565" t="s">
        <v>145</v>
      </c>
      <c r="P565" t="s">
        <v>181</v>
      </c>
      <c r="Q565">
        <f t="shared" si="11"/>
        <v>998</v>
      </c>
      <c r="R565">
        <f>_xlfn.XLOOKUP(E565,'Data Additive'!E:E,'Data Additive'!E:E,0)</f>
        <v>0</v>
      </c>
    </row>
    <row r="566" spans="1:18" x14ac:dyDescent="0.25">
      <c r="A566">
        <v>10456</v>
      </c>
      <c r="B566" t="s">
        <v>181</v>
      </c>
      <c r="C566" t="s">
        <v>182</v>
      </c>
      <c r="D566" s="32">
        <v>61021.61</v>
      </c>
      <c r="E566">
        <v>1246063058</v>
      </c>
      <c r="F566" s="28">
        <v>45199</v>
      </c>
      <c r="H566" t="s">
        <v>156</v>
      </c>
      <c r="I566" t="s">
        <v>157</v>
      </c>
      <c r="J566">
        <v>20480</v>
      </c>
      <c r="K566" s="28">
        <v>44943</v>
      </c>
      <c r="L566">
        <v>1010100</v>
      </c>
      <c r="M566" t="s">
        <v>29</v>
      </c>
      <c r="N566">
        <v>161</v>
      </c>
      <c r="O566" t="s">
        <v>145</v>
      </c>
      <c r="P566" t="s">
        <v>181</v>
      </c>
      <c r="Q566">
        <f t="shared" si="11"/>
        <v>998</v>
      </c>
      <c r="R566">
        <f>_xlfn.XLOOKUP(E566,'Data Additive'!E:E,'Data Additive'!E:E,0)</f>
        <v>0</v>
      </c>
    </row>
    <row r="567" spans="1:18" x14ac:dyDescent="0.25">
      <c r="A567">
        <v>10456</v>
      </c>
      <c r="B567" t="s">
        <v>181</v>
      </c>
      <c r="C567" t="s">
        <v>182</v>
      </c>
      <c r="D567" s="32">
        <v>111090.76</v>
      </c>
      <c r="E567">
        <v>1246063995</v>
      </c>
      <c r="F567" s="28">
        <v>45199</v>
      </c>
      <c r="H567" t="s">
        <v>156</v>
      </c>
      <c r="I567" t="s">
        <v>157</v>
      </c>
      <c r="J567">
        <v>20513</v>
      </c>
      <c r="K567" s="28">
        <v>44949</v>
      </c>
      <c r="L567">
        <v>1010100</v>
      </c>
      <c r="M567" t="s">
        <v>29</v>
      </c>
      <c r="N567">
        <v>161</v>
      </c>
      <c r="O567" t="s">
        <v>145</v>
      </c>
      <c r="P567" t="s">
        <v>181</v>
      </c>
      <c r="Q567">
        <f t="shared" si="11"/>
        <v>998</v>
      </c>
      <c r="R567">
        <f>_xlfn.XLOOKUP(E567,'Data Additive'!E:E,'Data Additive'!E:E,0)</f>
        <v>0</v>
      </c>
    </row>
    <row r="568" spans="1:18" x14ac:dyDescent="0.25">
      <c r="A568">
        <v>10456</v>
      </c>
      <c r="B568" t="s">
        <v>181</v>
      </c>
      <c r="C568" t="s">
        <v>182</v>
      </c>
      <c r="D568" s="32">
        <v>110522.5</v>
      </c>
      <c r="E568">
        <v>1246106689</v>
      </c>
      <c r="F568" s="28">
        <v>45557</v>
      </c>
      <c r="H568" t="s">
        <v>156</v>
      </c>
      <c r="I568" t="s">
        <v>157</v>
      </c>
      <c r="J568">
        <v>1400</v>
      </c>
      <c r="K568" s="28">
        <v>45197</v>
      </c>
      <c r="L568">
        <v>1010100</v>
      </c>
      <c r="M568" t="s">
        <v>29</v>
      </c>
      <c r="N568">
        <v>161</v>
      </c>
      <c r="O568" t="s">
        <v>145</v>
      </c>
      <c r="P568" t="s">
        <v>181</v>
      </c>
      <c r="Q568">
        <f t="shared" si="11"/>
        <v>640</v>
      </c>
      <c r="R568">
        <f>_xlfn.XLOOKUP(E568,'Data Additive'!E:E,'Data Additive'!E:E,0)</f>
        <v>0</v>
      </c>
    </row>
    <row r="569" spans="1:18" x14ac:dyDescent="0.25">
      <c r="A569">
        <v>10456</v>
      </c>
      <c r="B569" t="s">
        <v>181</v>
      </c>
      <c r="C569" t="s">
        <v>182</v>
      </c>
      <c r="D569" s="32">
        <v>94275.76</v>
      </c>
      <c r="E569">
        <v>1246103838</v>
      </c>
      <c r="F569" s="28">
        <v>45543</v>
      </c>
      <c r="H569" t="s">
        <v>156</v>
      </c>
      <c r="I569" t="s">
        <v>157</v>
      </c>
      <c r="J569">
        <v>1159</v>
      </c>
      <c r="K569" s="28">
        <v>45183</v>
      </c>
      <c r="L569">
        <v>1010100</v>
      </c>
      <c r="M569" t="s">
        <v>29</v>
      </c>
      <c r="N569">
        <v>161</v>
      </c>
      <c r="O569" t="s">
        <v>145</v>
      </c>
      <c r="P569" t="s">
        <v>181</v>
      </c>
      <c r="Q569">
        <f t="shared" si="11"/>
        <v>654</v>
      </c>
      <c r="R569">
        <f>_xlfn.XLOOKUP(E569,'Data Additive'!E:E,'Data Additive'!E:E,0)</f>
        <v>0</v>
      </c>
    </row>
    <row r="570" spans="1:18" x14ac:dyDescent="0.25">
      <c r="A570">
        <v>10456</v>
      </c>
      <c r="B570" t="s">
        <v>181</v>
      </c>
      <c r="C570" t="s">
        <v>182</v>
      </c>
      <c r="D570" s="32">
        <v>74904.38</v>
      </c>
      <c r="E570">
        <v>1246269261</v>
      </c>
      <c r="F570" s="28">
        <v>45199</v>
      </c>
      <c r="H570" t="s">
        <v>156</v>
      </c>
      <c r="I570" t="s">
        <v>157</v>
      </c>
      <c r="J570">
        <v>20898</v>
      </c>
      <c r="K570" s="28">
        <v>45000</v>
      </c>
      <c r="L570">
        <v>1010100</v>
      </c>
      <c r="M570" t="s">
        <v>29</v>
      </c>
      <c r="N570">
        <v>161</v>
      </c>
      <c r="O570" t="s">
        <v>145</v>
      </c>
      <c r="P570" t="s">
        <v>181</v>
      </c>
      <c r="Q570">
        <f t="shared" si="11"/>
        <v>998</v>
      </c>
      <c r="R570">
        <f>_xlfn.XLOOKUP(E570,'Data Additive'!E:E,'Data Additive'!E:E,0)</f>
        <v>0</v>
      </c>
    </row>
    <row r="571" spans="1:18" x14ac:dyDescent="0.25">
      <c r="A571">
        <v>12943</v>
      </c>
      <c r="B571" t="s">
        <v>263</v>
      </c>
      <c r="C571" t="s">
        <v>348</v>
      </c>
      <c r="D571" s="32">
        <v>82290</v>
      </c>
      <c r="E571">
        <v>1246187828</v>
      </c>
      <c r="F571" s="28">
        <v>45667</v>
      </c>
      <c r="H571" t="s">
        <v>23</v>
      </c>
      <c r="I571" t="s">
        <v>24</v>
      </c>
      <c r="J571">
        <v>1585</v>
      </c>
      <c r="K571" s="28">
        <v>45639</v>
      </c>
      <c r="L571">
        <v>1010100</v>
      </c>
      <c r="M571" t="s">
        <v>29</v>
      </c>
      <c r="N571">
        <v>161</v>
      </c>
      <c r="O571" t="s">
        <v>145</v>
      </c>
      <c r="P571" t="s">
        <v>263</v>
      </c>
      <c r="Q571">
        <f t="shared" si="11"/>
        <v>530</v>
      </c>
      <c r="R571">
        <f>_xlfn.XLOOKUP(E571,'Data Additive'!E:E,'Data Additive'!E:E,0)</f>
        <v>1246187828</v>
      </c>
    </row>
    <row r="572" spans="1:18" x14ac:dyDescent="0.25">
      <c r="A572">
        <v>12943</v>
      </c>
      <c r="B572" t="s">
        <v>263</v>
      </c>
      <c r="C572" t="s">
        <v>348</v>
      </c>
      <c r="D572" s="32">
        <v>82290</v>
      </c>
      <c r="E572">
        <v>1246187829</v>
      </c>
      <c r="F572" s="28">
        <v>45695</v>
      </c>
      <c r="H572" t="s">
        <v>23</v>
      </c>
      <c r="I572" t="s">
        <v>24</v>
      </c>
      <c r="J572">
        <v>1585</v>
      </c>
      <c r="K572" s="28">
        <v>45639</v>
      </c>
      <c r="L572">
        <v>1010100</v>
      </c>
      <c r="M572" t="s">
        <v>29</v>
      </c>
      <c r="N572">
        <v>161</v>
      </c>
      <c r="O572" t="s">
        <v>145</v>
      </c>
      <c r="P572" t="s">
        <v>263</v>
      </c>
      <c r="Q572">
        <f t="shared" si="11"/>
        <v>502</v>
      </c>
      <c r="R572">
        <f>_xlfn.XLOOKUP(E572,'Data Additive'!E:E,'Data Additive'!E:E,0)</f>
        <v>1246187829</v>
      </c>
    </row>
    <row r="573" spans="1:18" x14ac:dyDescent="0.25">
      <c r="A573">
        <v>12943</v>
      </c>
      <c r="B573" t="s">
        <v>263</v>
      </c>
      <c r="C573" t="s">
        <v>348</v>
      </c>
      <c r="D573" s="32">
        <v>49170</v>
      </c>
      <c r="E573">
        <v>1246183176</v>
      </c>
      <c r="F573" s="28">
        <v>45642</v>
      </c>
      <c r="H573" t="s">
        <v>23</v>
      </c>
      <c r="I573" t="s">
        <v>24</v>
      </c>
      <c r="J573">
        <v>6129</v>
      </c>
      <c r="K573" s="28">
        <v>45614</v>
      </c>
      <c r="L573">
        <v>1010100</v>
      </c>
      <c r="M573" t="s">
        <v>29</v>
      </c>
      <c r="N573">
        <v>161</v>
      </c>
      <c r="O573" t="s">
        <v>145</v>
      </c>
      <c r="P573" t="s">
        <v>263</v>
      </c>
      <c r="Q573">
        <f t="shared" si="11"/>
        <v>555</v>
      </c>
      <c r="R573">
        <f>_xlfn.XLOOKUP(E573,'Data Additive'!E:E,'Data Additive'!E:E,0)</f>
        <v>1246183176</v>
      </c>
    </row>
    <row r="574" spans="1:18" x14ac:dyDescent="0.25">
      <c r="A574">
        <v>12629</v>
      </c>
      <c r="B574" t="s">
        <v>109</v>
      </c>
      <c r="C574" t="s">
        <v>406</v>
      </c>
      <c r="D574" s="32">
        <v>161488.20000000001</v>
      </c>
      <c r="E574">
        <v>1246275947</v>
      </c>
      <c r="F574" s="28">
        <v>46222</v>
      </c>
      <c r="H574" t="s">
        <v>23</v>
      </c>
      <c r="I574" t="s">
        <v>24</v>
      </c>
      <c r="J574">
        <v>11452</v>
      </c>
      <c r="K574" s="28">
        <v>46162</v>
      </c>
      <c r="L574">
        <v>1010100</v>
      </c>
      <c r="M574" t="s">
        <v>29</v>
      </c>
      <c r="N574">
        <v>161</v>
      </c>
      <c r="O574" t="s">
        <v>145</v>
      </c>
      <c r="P574" t="s">
        <v>109</v>
      </c>
      <c r="Q574">
        <f t="shared" si="11"/>
        <v>-25</v>
      </c>
      <c r="R574">
        <f>_xlfn.XLOOKUP(E574,'Data Additive'!E:E,'Data Additive'!E:E,0)</f>
        <v>1246275947</v>
      </c>
    </row>
    <row r="575" spans="1:18" x14ac:dyDescent="0.25">
      <c r="A575">
        <v>12629</v>
      </c>
      <c r="B575" t="s">
        <v>109</v>
      </c>
      <c r="C575" t="s">
        <v>406</v>
      </c>
      <c r="D575" s="32">
        <v>171957.9</v>
      </c>
      <c r="E575">
        <v>1246278080</v>
      </c>
      <c r="F575" s="28">
        <v>46236</v>
      </c>
      <c r="H575" t="s">
        <v>23</v>
      </c>
      <c r="I575" t="s">
        <v>24</v>
      </c>
      <c r="J575">
        <v>11589</v>
      </c>
      <c r="K575" s="28">
        <v>46176</v>
      </c>
      <c r="L575">
        <v>1010100</v>
      </c>
      <c r="M575" t="s">
        <v>29</v>
      </c>
      <c r="N575">
        <v>161</v>
      </c>
      <c r="O575" t="s">
        <v>145</v>
      </c>
      <c r="P575" t="s">
        <v>109</v>
      </c>
      <c r="Q575">
        <f t="shared" si="11"/>
        <v>-39</v>
      </c>
      <c r="R575">
        <f>_xlfn.XLOOKUP(E575,'Data Additive'!E:E,'Data Additive'!E:E,0)</f>
        <v>1246278080</v>
      </c>
    </row>
    <row r="576" spans="1:18" x14ac:dyDescent="0.25">
      <c r="A576">
        <v>12629</v>
      </c>
      <c r="B576" t="s">
        <v>109</v>
      </c>
      <c r="C576" t="s">
        <v>406</v>
      </c>
      <c r="D576" s="32">
        <v>185285.1</v>
      </c>
      <c r="E576">
        <v>1246279025</v>
      </c>
      <c r="F576" s="28">
        <v>46243</v>
      </c>
      <c r="H576" t="s">
        <v>23</v>
      </c>
      <c r="I576" t="s">
        <v>24</v>
      </c>
      <c r="J576">
        <v>11671</v>
      </c>
      <c r="K576" s="28">
        <v>46183</v>
      </c>
      <c r="L576">
        <v>1010100</v>
      </c>
      <c r="M576" t="s">
        <v>29</v>
      </c>
      <c r="N576">
        <v>161</v>
      </c>
      <c r="O576" t="s">
        <v>145</v>
      </c>
      <c r="P576" t="s">
        <v>109</v>
      </c>
      <c r="Q576">
        <f t="shared" si="11"/>
        <v>-46</v>
      </c>
      <c r="R576">
        <f>_xlfn.XLOOKUP(E576,'Data Additive'!E:E,'Data Additive'!E:E,0)</f>
        <v>1246279025</v>
      </c>
    </row>
    <row r="577" spans="1:18" x14ac:dyDescent="0.25">
      <c r="A577">
        <v>12629</v>
      </c>
      <c r="B577" t="s">
        <v>109</v>
      </c>
      <c r="C577" t="s">
        <v>406</v>
      </c>
      <c r="D577" s="32">
        <v>173685.50000000003</v>
      </c>
      <c r="E577">
        <v>1246276919</v>
      </c>
      <c r="F577" s="28">
        <v>46228</v>
      </c>
      <c r="H577" t="s">
        <v>23</v>
      </c>
      <c r="I577" t="s">
        <v>24</v>
      </c>
      <c r="J577">
        <v>11501</v>
      </c>
      <c r="K577" s="28">
        <v>46168</v>
      </c>
      <c r="L577">
        <v>1010100</v>
      </c>
      <c r="M577" t="s">
        <v>29</v>
      </c>
      <c r="N577">
        <v>161</v>
      </c>
      <c r="O577" t="s">
        <v>145</v>
      </c>
      <c r="P577" t="s">
        <v>109</v>
      </c>
      <c r="Q577">
        <f t="shared" si="11"/>
        <v>-31</v>
      </c>
      <c r="R577">
        <f>_xlfn.XLOOKUP(E577,'Data Additive'!E:E,'Data Additive'!E:E,0)</f>
        <v>1246276919</v>
      </c>
    </row>
    <row r="578" spans="1:18" x14ac:dyDescent="0.25">
      <c r="A578">
        <v>12629</v>
      </c>
      <c r="B578" t="s">
        <v>109</v>
      </c>
      <c r="C578" t="s">
        <v>406</v>
      </c>
      <c r="D578" s="32">
        <v>186642.49999999997</v>
      </c>
      <c r="E578">
        <v>1246280415</v>
      </c>
      <c r="F578" s="28">
        <v>46255</v>
      </c>
      <c r="H578" t="s">
        <v>23</v>
      </c>
      <c r="I578" t="s">
        <v>24</v>
      </c>
      <c r="J578">
        <v>11776</v>
      </c>
      <c r="K578" s="28">
        <v>46195</v>
      </c>
      <c r="L578">
        <v>1010100</v>
      </c>
      <c r="M578" t="s">
        <v>29</v>
      </c>
      <c r="N578">
        <v>161</v>
      </c>
      <c r="O578" t="s">
        <v>145</v>
      </c>
      <c r="P578" t="s">
        <v>109</v>
      </c>
      <c r="Q578">
        <f t="shared" si="11"/>
        <v>-58</v>
      </c>
      <c r="R578">
        <f>_xlfn.XLOOKUP(E578,'Data Additive'!E:E,'Data Additive'!E:E,0)</f>
        <v>1246280415</v>
      </c>
    </row>
    <row r="579" spans="1:18" x14ac:dyDescent="0.25">
      <c r="A579">
        <v>12629</v>
      </c>
      <c r="B579" t="s">
        <v>109</v>
      </c>
      <c r="C579" t="s">
        <v>406</v>
      </c>
      <c r="D579" s="32">
        <v>185285.1</v>
      </c>
      <c r="E579">
        <v>1246277480</v>
      </c>
      <c r="F579" s="28">
        <v>46231</v>
      </c>
      <c r="H579" t="s">
        <v>23</v>
      </c>
      <c r="I579" t="s">
        <v>24</v>
      </c>
      <c r="J579">
        <v>11559</v>
      </c>
      <c r="K579" s="28">
        <v>46171</v>
      </c>
      <c r="L579">
        <v>1010100</v>
      </c>
      <c r="M579" t="s">
        <v>29</v>
      </c>
      <c r="N579">
        <v>161</v>
      </c>
      <c r="O579" t="s">
        <v>145</v>
      </c>
      <c r="P579" t="s">
        <v>109</v>
      </c>
      <c r="Q579">
        <f t="shared" si="11"/>
        <v>-34</v>
      </c>
      <c r="R579">
        <f>_xlfn.XLOOKUP(E579,'Data Additive'!E:E,'Data Additive'!E:E,0)</f>
        <v>1246277480</v>
      </c>
    </row>
    <row r="580" spans="1:18" x14ac:dyDescent="0.25">
      <c r="A580">
        <v>12629</v>
      </c>
      <c r="B580" t="s">
        <v>109</v>
      </c>
      <c r="C580" t="s">
        <v>406</v>
      </c>
      <c r="D580" s="32">
        <v>183804.3</v>
      </c>
      <c r="E580">
        <v>1246279897</v>
      </c>
      <c r="F580" s="28">
        <v>46250</v>
      </c>
      <c r="H580" t="s">
        <v>23</v>
      </c>
      <c r="I580" t="s">
        <v>24</v>
      </c>
      <c r="J580">
        <v>11741</v>
      </c>
      <c r="K580" s="28">
        <v>46190</v>
      </c>
      <c r="L580">
        <v>1010100</v>
      </c>
      <c r="M580" t="s">
        <v>29</v>
      </c>
      <c r="N580">
        <v>161</v>
      </c>
      <c r="O580" t="s">
        <v>145</v>
      </c>
      <c r="P580" t="s">
        <v>109</v>
      </c>
      <c r="Q580">
        <f t="shared" si="11"/>
        <v>-53</v>
      </c>
      <c r="R580">
        <f>_xlfn.XLOOKUP(E580,'Data Additive'!E:E,'Data Additive'!E:E,0)</f>
        <v>1246279897</v>
      </c>
    </row>
    <row r="581" spans="1:18" x14ac:dyDescent="0.25">
      <c r="A581">
        <v>12295</v>
      </c>
      <c r="B581" t="s">
        <v>189</v>
      </c>
      <c r="C581" t="s">
        <v>190</v>
      </c>
      <c r="D581" s="32">
        <v>129728</v>
      </c>
      <c r="E581">
        <v>1246100036</v>
      </c>
      <c r="F581" s="28">
        <v>45547</v>
      </c>
      <c r="H581" t="s">
        <v>156</v>
      </c>
      <c r="I581" t="s">
        <v>157</v>
      </c>
      <c r="J581">
        <v>843</v>
      </c>
      <c r="K581" s="28">
        <v>45162</v>
      </c>
      <c r="L581">
        <v>1010100</v>
      </c>
      <c r="M581" t="s">
        <v>29</v>
      </c>
      <c r="N581">
        <v>161</v>
      </c>
      <c r="O581" t="s">
        <v>145</v>
      </c>
      <c r="P581" t="s">
        <v>189</v>
      </c>
      <c r="Q581">
        <f t="shared" si="11"/>
        <v>650</v>
      </c>
      <c r="R581">
        <f>_xlfn.XLOOKUP(E581,'Data Additive'!E:E,'Data Additive'!E:E,0)</f>
        <v>0</v>
      </c>
    </row>
    <row r="582" spans="1:18" x14ac:dyDescent="0.25">
      <c r="A582">
        <v>12295</v>
      </c>
      <c r="B582" t="s">
        <v>189</v>
      </c>
      <c r="C582" t="s">
        <v>190</v>
      </c>
      <c r="D582" s="32">
        <v>126208</v>
      </c>
      <c r="E582">
        <v>1246106003</v>
      </c>
      <c r="F582" s="28">
        <v>45559</v>
      </c>
      <c r="H582" t="s">
        <v>156</v>
      </c>
      <c r="I582" t="s">
        <v>157</v>
      </c>
      <c r="J582">
        <v>1328</v>
      </c>
      <c r="K582" s="28">
        <v>45194</v>
      </c>
      <c r="L582">
        <v>1010100</v>
      </c>
      <c r="M582" t="s">
        <v>29</v>
      </c>
      <c r="N582">
        <v>161</v>
      </c>
      <c r="O582" t="s">
        <v>145</v>
      </c>
      <c r="P582" t="s">
        <v>189</v>
      </c>
      <c r="Q582">
        <f t="shared" si="11"/>
        <v>638</v>
      </c>
      <c r="R582">
        <f>_xlfn.XLOOKUP(E582,'Data Additive'!E:E,'Data Additive'!E:E,0)</f>
        <v>0</v>
      </c>
    </row>
    <row r="583" spans="1:18" x14ac:dyDescent="0.25">
      <c r="A583">
        <v>12295</v>
      </c>
      <c r="B583" t="s">
        <v>189</v>
      </c>
      <c r="C583" t="s">
        <v>190</v>
      </c>
      <c r="D583" s="32">
        <v>19965</v>
      </c>
      <c r="E583">
        <v>1246100409</v>
      </c>
      <c r="F583" s="28">
        <v>45548</v>
      </c>
      <c r="H583" t="s">
        <v>156</v>
      </c>
      <c r="I583" t="s">
        <v>157</v>
      </c>
      <c r="J583">
        <v>864</v>
      </c>
      <c r="K583" s="28">
        <v>45163</v>
      </c>
      <c r="L583">
        <v>1010100</v>
      </c>
      <c r="M583" t="s">
        <v>29</v>
      </c>
      <c r="N583">
        <v>161</v>
      </c>
      <c r="O583" t="s">
        <v>145</v>
      </c>
      <c r="P583" t="s">
        <v>189</v>
      </c>
      <c r="Q583">
        <f t="shared" si="11"/>
        <v>649</v>
      </c>
      <c r="R583">
        <f>_xlfn.XLOOKUP(E583,'Data Additive'!E:E,'Data Additive'!E:E,0)</f>
        <v>0</v>
      </c>
    </row>
    <row r="584" spans="1:18" x14ac:dyDescent="0.25">
      <c r="A584">
        <v>12295</v>
      </c>
      <c r="B584" t="s">
        <v>189</v>
      </c>
      <c r="C584" t="s">
        <v>190</v>
      </c>
      <c r="D584" s="32">
        <v>102625</v>
      </c>
      <c r="E584">
        <v>1246100411</v>
      </c>
      <c r="F584" s="28">
        <v>45548</v>
      </c>
      <c r="H584" t="s">
        <v>156</v>
      </c>
      <c r="I584" t="s">
        <v>157</v>
      </c>
      <c r="J584">
        <v>865</v>
      </c>
      <c r="K584" s="28">
        <v>45163</v>
      </c>
      <c r="L584">
        <v>1010100</v>
      </c>
      <c r="M584" t="s">
        <v>29</v>
      </c>
      <c r="N584">
        <v>161</v>
      </c>
      <c r="O584" t="s">
        <v>145</v>
      </c>
      <c r="P584" t="s">
        <v>189</v>
      </c>
      <c r="Q584">
        <f t="shared" si="11"/>
        <v>649</v>
      </c>
      <c r="R584">
        <f>_xlfn.XLOOKUP(E584,'Data Additive'!E:E,'Data Additive'!E:E,0)</f>
        <v>0</v>
      </c>
    </row>
    <row r="585" spans="1:18" x14ac:dyDescent="0.25">
      <c r="A585">
        <v>12295</v>
      </c>
      <c r="B585" t="s">
        <v>189</v>
      </c>
      <c r="C585" t="s">
        <v>190</v>
      </c>
      <c r="D585" s="32">
        <v>23664</v>
      </c>
      <c r="E585">
        <v>1246100034</v>
      </c>
      <c r="F585" s="28">
        <v>45547</v>
      </c>
      <c r="H585" t="s">
        <v>156</v>
      </c>
      <c r="I585" t="s">
        <v>157</v>
      </c>
      <c r="J585">
        <v>842</v>
      </c>
      <c r="K585" s="28">
        <v>45162</v>
      </c>
      <c r="L585">
        <v>1010100</v>
      </c>
      <c r="M585" t="s">
        <v>29</v>
      </c>
      <c r="N585">
        <v>161</v>
      </c>
      <c r="O585" t="s">
        <v>145</v>
      </c>
      <c r="P585" t="s">
        <v>189</v>
      </c>
      <c r="Q585">
        <f t="shared" si="11"/>
        <v>650</v>
      </c>
      <c r="R585">
        <f>_xlfn.XLOOKUP(E585,'Data Additive'!E:E,'Data Additive'!E:E,0)</f>
        <v>0</v>
      </c>
    </row>
    <row r="586" spans="1:18" x14ac:dyDescent="0.25">
      <c r="A586">
        <v>12295</v>
      </c>
      <c r="B586" t="s">
        <v>189</v>
      </c>
      <c r="C586" t="s">
        <v>190</v>
      </c>
      <c r="D586" s="32">
        <v>126845</v>
      </c>
      <c r="E586">
        <v>1246102685</v>
      </c>
      <c r="F586" s="28">
        <v>45560</v>
      </c>
      <c r="H586" t="s">
        <v>156</v>
      </c>
      <c r="I586" t="s">
        <v>157</v>
      </c>
      <c r="J586">
        <v>1060</v>
      </c>
      <c r="K586" s="28">
        <v>45175</v>
      </c>
      <c r="L586">
        <v>1010100</v>
      </c>
      <c r="M586" t="s">
        <v>29</v>
      </c>
      <c r="N586">
        <v>161</v>
      </c>
      <c r="O586" t="s">
        <v>145</v>
      </c>
      <c r="P586" t="s">
        <v>189</v>
      </c>
      <c r="Q586">
        <f t="shared" si="11"/>
        <v>637</v>
      </c>
      <c r="R586">
        <f>_xlfn.XLOOKUP(E586,'Data Additive'!E:E,'Data Additive'!E:E,0)</f>
        <v>0</v>
      </c>
    </row>
    <row r="587" spans="1:18" x14ac:dyDescent="0.25">
      <c r="A587">
        <v>12295</v>
      </c>
      <c r="B587" t="s">
        <v>189</v>
      </c>
      <c r="C587" t="s">
        <v>190</v>
      </c>
      <c r="D587" s="32">
        <v>119790</v>
      </c>
      <c r="E587">
        <v>1246100311</v>
      </c>
      <c r="F587" s="28">
        <v>45548</v>
      </c>
      <c r="H587" t="s">
        <v>156</v>
      </c>
      <c r="I587" t="s">
        <v>157</v>
      </c>
      <c r="J587">
        <v>851</v>
      </c>
      <c r="K587" s="28">
        <v>45163</v>
      </c>
      <c r="L587">
        <v>1010100</v>
      </c>
      <c r="M587" t="s">
        <v>29</v>
      </c>
      <c r="N587">
        <v>161</v>
      </c>
      <c r="O587" t="s">
        <v>145</v>
      </c>
      <c r="P587" t="s">
        <v>189</v>
      </c>
      <c r="Q587">
        <f t="shared" si="11"/>
        <v>649</v>
      </c>
      <c r="R587">
        <f>_xlfn.XLOOKUP(E587,'Data Additive'!E:E,'Data Additive'!E:E,0)</f>
        <v>0</v>
      </c>
    </row>
    <row r="588" spans="1:18" x14ac:dyDescent="0.25">
      <c r="A588">
        <v>12295</v>
      </c>
      <c r="B588" t="s">
        <v>189</v>
      </c>
      <c r="C588" t="s">
        <v>190</v>
      </c>
      <c r="D588" s="32">
        <v>127776</v>
      </c>
      <c r="E588">
        <v>1246102654</v>
      </c>
      <c r="F588" s="28">
        <v>45560</v>
      </c>
      <c r="H588" t="s">
        <v>156</v>
      </c>
      <c r="I588" t="s">
        <v>157</v>
      </c>
      <c r="J588">
        <v>1053</v>
      </c>
      <c r="K588" s="28">
        <v>45175</v>
      </c>
      <c r="L588">
        <v>1010100</v>
      </c>
      <c r="M588" t="s">
        <v>29</v>
      </c>
      <c r="N588">
        <v>161</v>
      </c>
      <c r="O588" t="s">
        <v>145</v>
      </c>
      <c r="P588" t="s">
        <v>189</v>
      </c>
      <c r="Q588">
        <f t="shared" si="11"/>
        <v>637</v>
      </c>
      <c r="R588">
        <f>_xlfn.XLOOKUP(E588,'Data Additive'!E:E,'Data Additive'!E:E,0)</f>
        <v>0</v>
      </c>
    </row>
    <row r="589" spans="1:18" x14ac:dyDescent="0.25">
      <c r="A589">
        <v>12295</v>
      </c>
      <c r="B589" t="s">
        <v>189</v>
      </c>
      <c r="C589" t="s">
        <v>190</v>
      </c>
      <c r="D589" s="32">
        <v>99410.750000000015</v>
      </c>
      <c r="E589">
        <v>1246240412</v>
      </c>
      <c r="F589" s="28">
        <v>45546</v>
      </c>
      <c r="H589" t="s">
        <v>156</v>
      </c>
      <c r="I589" t="s">
        <v>157</v>
      </c>
      <c r="J589">
        <v>176</v>
      </c>
      <c r="K589" s="28">
        <v>45161</v>
      </c>
      <c r="L589">
        <v>1010100</v>
      </c>
      <c r="M589" t="s">
        <v>29</v>
      </c>
      <c r="N589">
        <v>161</v>
      </c>
      <c r="O589" t="s">
        <v>145</v>
      </c>
      <c r="P589" t="s">
        <v>189</v>
      </c>
      <c r="Q589">
        <f t="shared" si="11"/>
        <v>651</v>
      </c>
      <c r="R589">
        <f>_xlfn.XLOOKUP(E589,'Data Additive'!E:E,'Data Additive'!E:E,0)</f>
        <v>0</v>
      </c>
    </row>
    <row r="590" spans="1:18" x14ac:dyDescent="0.25">
      <c r="A590">
        <v>13193</v>
      </c>
      <c r="B590" t="s">
        <v>192</v>
      </c>
      <c r="C590" t="s">
        <v>193</v>
      </c>
      <c r="D590" s="32">
        <v>39218.19</v>
      </c>
      <c r="E590">
        <v>1246129675</v>
      </c>
      <c r="F590" s="28">
        <v>45598</v>
      </c>
      <c r="H590" t="s">
        <v>156</v>
      </c>
      <c r="I590" t="s">
        <v>157</v>
      </c>
      <c r="J590">
        <v>2817</v>
      </c>
      <c r="K590" s="28">
        <v>45338</v>
      </c>
      <c r="L590">
        <v>1010100</v>
      </c>
      <c r="M590" t="s">
        <v>29</v>
      </c>
      <c r="N590">
        <v>161</v>
      </c>
      <c r="O590" t="s">
        <v>145</v>
      </c>
      <c r="P590" t="s">
        <v>192</v>
      </c>
      <c r="Q590">
        <f t="shared" si="11"/>
        <v>599</v>
      </c>
      <c r="R590">
        <f>_xlfn.XLOOKUP(E590,'Data Additive'!E:E,'Data Additive'!E:E,0)</f>
        <v>0</v>
      </c>
    </row>
    <row r="591" spans="1:18" x14ac:dyDescent="0.25">
      <c r="A591">
        <v>13193</v>
      </c>
      <c r="B591" t="s">
        <v>192</v>
      </c>
      <c r="C591" t="s">
        <v>193</v>
      </c>
      <c r="D591" s="32">
        <v>96537.1</v>
      </c>
      <c r="E591">
        <v>1246128994</v>
      </c>
      <c r="F591" s="28">
        <v>45599</v>
      </c>
      <c r="H591" t="s">
        <v>156</v>
      </c>
      <c r="I591" t="s">
        <v>157</v>
      </c>
      <c r="J591">
        <v>2765</v>
      </c>
      <c r="K591" s="28">
        <v>45331</v>
      </c>
      <c r="L591">
        <v>1010100</v>
      </c>
      <c r="M591" t="s">
        <v>29</v>
      </c>
      <c r="N591">
        <v>161</v>
      </c>
      <c r="O591" t="s">
        <v>145</v>
      </c>
      <c r="P591" t="s">
        <v>192</v>
      </c>
      <c r="Q591">
        <f t="shared" si="11"/>
        <v>598</v>
      </c>
      <c r="R591">
        <f>_xlfn.XLOOKUP(E591,'Data Additive'!E:E,'Data Additive'!E:E,0)</f>
        <v>0</v>
      </c>
    </row>
    <row r="592" spans="1:18" x14ac:dyDescent="0.25">
      <c r="A592">
        <v>13193</v>
      </c>
      <c r="B592" t="s">
        <v>192</v>
      </c>
      <c r="C592" t="s">
        <v>193</v>
      </c>
      <c r="D592" s="32">
        <v>14369.79</v>
      </c>
      <c r="E592">
        <v>1246129687</v>
      </c>
      <c r="F592" s="28">
        <v>45594</v>
      </c>
      <c r="H592" t="s">
        <v>156</v>
      </c>
      <c r="I592" t="s">
        <v>157</v>
      </c>
      <c r="J592">
        <v>2824</v>
      </c>
      <c r="K592" s="28">
        <v>45338</v>
      </c>
      <c r="L592">
        <v>1010100</v>
      </c>
      <c r="M592" t="s">
        <v>29</v>
      </c>
      <c r="N592">
        <v>161</v>
      </c>
      <c r="O592" t="s">
        <v>145</v>
      </c>
      <c r="P592" t="s">
        <v>192</v>
      </c>
      <c r="Q592">
        <f t="shared" si="11"/>
        <v>603</v>
      </c>
      <c r="R592">
        <f>_xlfn.XLOOKUP(E592,'Data Additive'!E:E,'Data Additive'!E:E,0)</f>
        <v>0</v>
      </c>
    </row>
    <row r="593" spans="1:18" x14ac:dyDescent="0.25">
      <c r="A593">
        <v>13193</v>
      </c>
      <c r="B593" t="s">
        <v>192</v>
      </c>
      <c r="C593" t="s">
        <v>193</v>
      </c>
      <c r="D593" s="32">
        <v>102482.69</v>
      </c>
      <c r="E593">
        <v>1246129689</v>
      </c>
      <c r="F593" s="28">
        <v>45594</v>
      </c>
      <c r="H593" t="s">
        <v>156</v>
      </c>
      <c r="I593" t="s">
        <v>157</v>
      </c>
      <c r="J593">
        <v>2825</v>
      </c>
      <c r="K593" s="28">
        <v>45338</v>
      </c>
      <c r="L593">
        <v>1010100</v>
      </c>
      <c r="M593" t="s">
        <v>29</v>
      </c>
      <c r="N593">
        <v>161</v>
      </c>
      <c r="O593" t="s">
        <v>145</v>
      </c>
      <c r="P593" t="s">
        <v>192</v>
      </c>
      <c r="Q593">
        <f t="shared" si="11"/>
        <v>603</v>
      </c>
      <c r="R593">
        <f>_xlfn.XLOOKUP(E593,'Data Additive'!E:E,'Data Additive'!E:E,0)</f>
        <v>0</v>
      </c>
    </row>
    <row r="594" spans="1:18" x14ac:dyDescent="0.25">
      <c r="A594">
        <v>13193</v>
      </c>
      <c r="B594" t="s">
        <v>192</v>
      </c>
      <c r="C594" t="s">
        <v>193</v>
      </c>
      <c r="D594" s="32">
        <v>96537.1</v>
      </c>
      <c r="E594">
        <v>1246128030</v>
      </c>
      <c r="F594" s="28">
        <v>45604</v>
      </c>
      <c r="H594" t="s">
        <v>156</v>
      </c>
      <c r="I594" t="s">
        <v>157</v>
      </c>
      <c r="J594">
        <v>2691</v>
      </c>
      <c r="K594" s="28">
        <v>45324</v>
      </c>
      <c r="L594">
        <v>1010100</v>
      </c>
      <c r="M594" t="s">
        <v>29</v>
      </c>
      <c r="N594">
        <v>161</v>
      </c>
      <c r="O594" t="s">
        <v>145</v>
      </c>
      <c r="P594" t="s">
        <v>192</v>
      </c>
      <c r="Q594">
        <f t="shared" si="11"/>
        <v>593</v>
      </c>
      <c r="R594">
        <f>_xlfn.XLOOKUP(E594,'Data Additive'!E:E,'Data Additive'!E:E,0)</f>
        <v>0</v>
      </c>
    </row>
    <row r="595" spans="1:18" x14ac:dyDescent="0.25">
      <c r="A595">
        <v>13193</v>
      </c>
      <c r="B595" t="s">
        <v>192</v>
      </c>
      <c r="C595" t="s">
        <v>193</v>
      </c>
      <c r="D595" s="32">
        <v>96537.1</v>
      </c>
      <c r="E595">
        <v>1246129535</v>
      </c>
      <c r="F595" s="28">
        <v>45597</v>
      </c>
      <c r="H595" t="s">
        <v>156</v>
      </c>
      <c r="I595" t="s">
        <v>157</v>
      </c>
      <c r="J595">
        <v>2797</v>
      </c>
      <c r="K595" s="28">
        <v>45337</v>
      </c>
      <c r="L595">
        <v>1010100</v>
      </c>
      <c r="M595" t="s">
        <v>29</v>
      </c>
      <c r="N595">
        <v>161</v>
      </c>
      <c r="O595" t="s">
        <v>145</v>
      </c>
      <c r="P595" t="s">
        <v>192</v>
      </c>
      <c r="Q595">
        <f t="shared" si="11"/>
        <v>600</v>
      </c>
      <c r="R595">
        <f>_xlfn.XLOOKUP(E595,'Data Additive'!E:E,'Data Additive'!E:E,0)</f>
        <v>0</v>
      </c>
    </row>
    <row r="596" spans="1:18" x14ac:dyDescent="0.25">
      <c r="A596">
        <v>13193</v>
      </c>
      <c r="B596" t="s">
        <v>192</v>
      </c>
      <c r="C596" t="s">
        <v>193</v>
      </c>
      <c r="D596" s="32">
        <v>12586.97</v>
      </c>
      <c r="E596">
        <v>1246129615</v>
      </c>
      <c r="F596" s="28">
        <v>45594</v>
      </c>
      <c r="H596" t="s">
        <v>156</v>
      </c>
      <c r="I596" t="s">
        <v>157</v>
      </c>
      <c r="J596">
        <v>2804</v>
      </c>
      <c r="K596" s="28">
        <v>45338</v>
      </c>
      <c r="L596">
        <v>1010100</v>
      </c>
      <c r="M596" t="s">
        <v>29</v>
      </c>
      <c r="N596">
        <v>161</v>
      </c>
      <c r="O596" t="s">
        <v>145</v>
      </c>
      <c r="P596" t="s">
        <v>192</v>
      </c>
      <c r="Q596">
        <f t="shared" si="11"/>
        <v>603</v>
      </c>
      <c r="R596">
        <f>_xlfn.XLOOKUP(E596,'Data Additive'!E:E,'Data Additive'!E:E,0)</f>
        <v>0</v>
      </c>
    </row>
    <row r="597" spans="1:18" x14ac:dyDescent="0.25">
      <c r="A597">
        <v>13193</v>
      </c>
      <c r="B597" t="s">
        <v>192</v>
      </c>
      <c r="C597" t="s">
        <v>193</v>
      </c>
      <c r="D597" s="32">
        <v>96537.1</v>
      </c>
      <c r="E597">
        <v>1246129423</v>
      </c>
      <c r="F597" s="28">
        <v>45597</v>
      </c>
      <c r="H597" t="s">
        <v>156</v>
      </c>
      <c r="I597" t="s">
        <v>157</v>
      </c>
      <c r="J597">
        <v>2793</v>
      </c>
      <c r="K597" s="28">
        <v>45337</v>
      </c>
      <c r="L597">
        <v>1010100</v>
      </c>
      <c r="M597" t="s">
        <v>29</v>
      </c>
      <c r="N597">
        <v>161</v>
      </c>
      <c r="O597" t="s">
        <v>145</v>
      </c>
      <c r="P597" t="s">
        <v>192</v>
      </c>
      <c r="Q597">
        <f t="shared" si="11"/>
        <v>600</v>
      </c>
      <c r="R597">
        <f>_xlfn.XLOOKUP(E597,'Data Additive'!E:E,'Data Additive'!E:E,0)</f>
        <v>0</v>
      </c>
    </row>
    <row r="598" spans="1:18" x14ac:dyDescent="0.25">
      <c r="A598">
        <v>13193</v>
      </c>
      <c r="B598" t="s">
        <v>192</v>
      </c>
      <c r="C598" t="s">
        <v>193</v>
      </c>
      <c r="D598" s="32">
        <v>96537.1</v>
      </c>
      <c r="E598">
        <v>1246129513</v>
      </c>
      <c r="F598" s="28">
        <v>45605</v>
      </c>
      <c r="H598" t="s">
        <v>156</v>
      </c>
      <c r="I598" t="s">
        <v>157</v>
      </c>
      <c r="J598">
        <v>2795</v>
      </c>
      <c r="K598" s="28">
        <v>45337</v>
      </c>
      <c r="L598">
        <v>1010100</v>
      </c>
      <c r="M598" t="s">
        <v>29</v>
      </c>
      <c r="N598">
        <v>161</v>
      </c>
      <c r="O598" t="s">
        <v>145</v>
      </c>
      <c r="P598" t="s">
        <v>192</v>
      </c>
      <c r="Q598">
        <f t="shared" si="11"/>
        <v>592</v>
      </c>
      <c r="R598">
        <f>_xlfn.XLOOKUP(E598,'Data Additive'!E:E,'Data Additive'!E:E,0)</f>
        <v>0</v>
      </c>
    </row>
    <row r="599" spans="1:18" x14ac:dyDescent="0.25">
      <c r="A599">
        <v>13193</v>
      </c>
      <c r="B599" t="s">
        <v>192</v>
      </c>
      <c r="C599" t="s">
        <v>193</v>
      </c>
      <c r="D599" s="32">
        <v>100695.77</v>
      </c>
      <c r="E599">
        <v>1246129348</v>
      </c>
      <c r="F599" s="28">
        <v>45592</v>
      </c>
      <c r="H599" t="s">
        <v>156</v>
      </c>
      <c r="I599" t="s">
        <v>157</v>
      </c>
      <c r="J599">
        <v>2788</v>
      </c>
      <c r="K599" s="28">
        <v>45336</v>
      </c>
      <c r="L599">
        <v>1010100</v>
      </c>
      <c r="M599" t="s">
        <v>29</v>
      </c>
      <c r="N599">
        <v>161</v>
      </c>
      <c r="O599" t="s">
        <v>145</v>
      </c>
      <c r="P599" t="s">
        <v>192</v>
      </c>
      <c r="Q599">
        <f t="shared" si="11"/>
        <v>605</v>
      </c>
      <c r="R599">
        <f>_xlfn.XLOOKUP(E599,'Data Additive'!E:E,'Data Additive'!E:E,0)</f>
        <v>0</v>
      </c>
    </row>
    <row r="600" spans="1:18" x14ac:dyDescent="0.25">
      <c r="A600">
        <v>13193</v>
      </c>
      <c r="B600" t="s">
        <v>192</v>
      </c>
      <c r="C600" t="s">
        <v>193</v>
      </c>
      <c r="D600" s="32">
        <v>96537.12</v>
      </c>
      <c r="E600">
        <v>1246129613</v>
      </c>
      <c r="F600" s="28">
        <v>45598</v>
      </c>
      <c r="H600" t="s">
        <v>156</v>
      </c>
      <c r="I600" t="s">
        <v>157</v>
      </c>
      <c r="J600">
        <v>2803</v>
      </c>
      <c r="K600" s="28">
        <v>45338</v>
      </c>
      <c r="L600">
        <v>1010100</v>
      </c>
      <c r="M600" t="s">
        <v>29</v>
      </c>
      <c r="N600">
        <v>161</v>
      </c>
      <c r="O600" t="s">
        <v>145</v>
      </c>
      <c r="P600" t="s">
        <v>192</v>
      </c>
      <c r="Q600">
        <f t="shared" si="11"/>
        <v>599</v>
      </c>
      <c r="R600">
        <f>_xlfn.XLOOKUP(E600,'Data Additive'!E:E,'Data Additive'!E:E,0)</f>
        <v>0</v>
      </c>
    </row>
    <row r="601" spans="1:18" x14ac:dyDescent="0.25">
      <c r="A601">
        <v>13193</v>
      </c>
      <c r="B601" t="s">
        <v>192</v>
      </c>
      <c r="C601" t="s">
        <v>193</v>
      </c>
      <c r="D601" s="32">
        <v>114958.38999999998</v>
      </c>
      <c r="E601">
        <v>1246126152</v>
      </c>
      <c r="F601" s="28">
        <v>45594</v>
      </c>
      <c r="H601" t="s">
        <v>156</v>
      </c>
      <c r="I601" t="s">
        <v>157</v>
      </c>
      <c r="J601">
        <v>2568</v>
      </c>
      <c r="K601" s="28">
        <v>45314</v>
      </c>
      <c r="L601">
        <v>1010100</v>
      </c>
      <c r="M601" t="s">
        <v>29</v>
      </c>
      <c r="N601">
        <v>161</v>
      </c>
      <c r="O601" t="s">
        <v>145</v>
      </c>
      <c r="P601" t="s">
        <v>192</v>
      </c>
      <c r="Q601">
        <f t="shared" si="11"/>
        <v>603</v>
      </c>
      <c r="R601">
        <f>_xlfn.XLOOKUP(E601,'Data Additive'!E:E,'Data Additive'!E:E,0)</f>
        <v>0</v>
      </c>
    </row>
    <row r="602" spans="1:18" x14ac:dyDescent="0.25">
      <c r="A602">
        <v>13193</v>
      </c>
      <c r="B602" t="s">
        <v>192</v>
      </c>
      <c r="C602" t="s">
        <v>193</v>
      </c>
      <c r="D602" s="32">
        <v>111898.75000000001</v>
      </c>
      <c r="E602">
        <v>1246126325</v>
      </c>
      <c r="F602" s="28">
        <v>45595</v>
      </c>
      <c r="H602" t="s">
        <v>156</v>
      </c>
      <c r="I602" t="s">
        <v>157</v>
      </c>
      <c r="J602">
        <v>2581</v>
      </c>
      <c r="K602" s="28">
        <v>45315</v>
      </c>
      <c r="L602">
        <v>1010100</v>
      </c>
      <c r="M602" t="s">
        <v>29</v>
      </c>
      <c r="N602">
        <v>161</v>
      </c>
      <c r="O602" t="s">
        <v>145</v>
      </c>
      <c r="P602" t="s">
        <v>192</v>
      </c>
      <c r="Q602">
        <f t="shared" si="11"/>
        <v>602</v>
      </c>
      <c r="R602">
        <f>_xlfn.XLOOKUP(E602,'Data Additive'!E:E,'Data Additive'!E:E,0)</f>
        <v>0</v>
      </c>
    </row>
    <row r="603" spans="1:18" x14ac:dyDescent="0.25">
      <c r="A603">
        <v>13193</v>
      </c>
      <c r="B603" t="s">
        <v>192</v>
      </c>
      <c r="C603" t="s">
        <v>193</v>
      </c>
      <c r="D603" s="32">
        <v>108604.24</v>
      </c>
      <c r="E603">
        <v>1246126878</v>
      </c>
      <c r="F603" s="28">
        <v>45597</v>
      </c>
      <c r="H603" t="s">
        <v>156</v>
      </c>
      <c r="I603" t="s">
        <v>157</v>
      </c>
      <c r="J603">
        <v>2614</v>
      </c>
      <c r="K603" s="28">
        <v>45317</v>
      </c>
      <c r="L603">
        <v>1010100</v>
      </c>
      <c r="M603" t="s">
        <v>29</v>
      </c>
      <c r="N603">
        <v>161</v>
      </c>
      <c r="O603" t="s">
        <v>145</v>
      </c>
      <c r="P603" t="s">
        <v>192</v>
      </c>
      <c r="Q603">
        <f t="shared" si="11"/>
        <v>600</v>
      </c>
      <c r="R603">
        <f>_xlfn.XLOOKUP(E603,'Data Additive'!E:E,'Data Additive'!E:E,0)</f>
        <v>0</v>
      </c>
    </row>
    <row r="604" spans="1:18" x14ac:dyDescent="0.25">
      <c r="A604">
        <v>13193</v>
      </c>
      <c r="B604" t="s">
        <v>192</v>
      </c>
      <c r="C604" t="s">
        <v>193</v>
      </c>
      <c r="D604" s="32">
        <v>110524.44</v>
      </c>
      <c r="E604">
        <v>1246126771</v>
      </c>
      <c r="F604" s="28">
        <v>45597</v>
      </c>
      <c r="H604" t="s">
        <v>156</v>
      </c>
      <c r="I604" t="s">
        <v>157</v>
      </c>
      <c r="J604">
        <v>2605</v>
      </c>
      <c r="K604" s="28">
        <v>45317</v>
      </c>
      <c r="L604">
        <v>1010100</v>
      </c>
      <c r="M604" t="s">
        <v>29</v>
      </c>
      <c r="N604">
        <v>161</v>
      </c>
      <c r="O604" t="s">
        <v>145</v>
      </c>
      <c r="P604" t="s">
        <v>192</v>
      </c>
      <c r="Q604">
        <f t="shared" si="11"/>
        <v>600</v>
      </c>
      <c r="R604">
        <f>_xlfn.XLOOKUP(E604,'Data Additive'!E:E,'Data Additive'!E:E,0)</f>
        <v>0</v>
      </c>
    </row>
    <row r="605" spans="1:18" x14ac:dyDescent="0.25">
      <c r="A605">
        <v>13193</v>
      </c>
      <c r="B605" t="s">
        <v>192</v>
      </c>
      <c r="C605" t="s">
        <v>193</v>
      </c>
      <c r="D605" s="32">
        <v>81453.179999999993</v>
      </c>
      <c r="E605">
        <v>1246126682</v>
      </c>
      <c r="F605" s="28">
        <v>45596</v>
      </c>
      <c r="H605" t="s">
        <v>156</v>
      </c>
      <c r="I605" t="s">
        <v>157</v>
      </c>
      <c r="J605">
        <v>2598</v>
      </c>
      <c r="K605" s="28">
        <v>45316</v>
      </c>
      <c r="L605">
        <v>1010100</v>
      </c>
      <c r="M605" t="s">
        <v>29</v>
      </c>
      <c r="N605">
        <v>161</v>
      </c>
      <c r="O605" t="s">
        <v>145</v>
      </c>
      <c r="P605" t="s">
        <v>192</v>
      </c>
      <c r="Q605">
        <f t="shared" si="11"/>
        <v>601</v>
      </c>
      <c r="R605">
        <f>_xlfn.XLOOKUP(E605,'Data Additive'!E:E,'Data Additive'!E:E,0)</f>
        <v>0</v>
      </c>
    </row>
    <row r="606" spans="1:18" x14ac:dyDescent="0.25">
      <c r="A606">
        <v>13193</v>
      </c>
      <c r="B606" t="s">
        <v>192</v>
      </c>
      <c r="C606" t="s">
        <v>193</v>
      </c>
      <c r="D606" s="32">
        <v>97994.5</v>
      </c>
      <c r="E606">
        <v>1246124699</v>
      </c>
      <c r="F606" s="28">
        <v>45593</v>
      </c>
      <c r="H606" t="s">
        <v>156</v>
      </c>
      <c r="I606" t="s">
        <v>157</v>
      </c>
      <c r="J606">
        <v>2485</v>
      </c>
      <c r="K606" s="28">
        <v>45303</v>
      </c>
      <c r="L606">
        <v>1010100</v>
      </c>
      <c r="M606" t="s">
        <v>29</v>
      </c>
      <c r="N606">
        <v>161</v>
      </c>
      <c r="O606" t="s">
        <v>145</v>
      </c>
      <c r="P606" t="s">
        <v>192</v>
      </c>
      <c r="Q606">
        <f t="shared" si="11"/>
        <v>604</v>
      </c>
      <c r="R606">
        <f>_xlfn.XLOOKUP(E606,'Data Additive'!E:E,'Data Additive'!E:E,0)</f>
        <v>0</v>
      </c>
    </row>
    <row r="607" spans="1:18" x14ac:dyDescent="0.25">
      <c r="A607">
        <v>13193</v>
      </c>
      <c r="B607" t="s">
        <v>192</v>
      </c>
      <c r="C607" t="s">
        <v>193</v>
      </c>
      <c r="D607" s="32">
        <v>102482.69</v>
      </c>
      <c r="E607">
        <v>1246129677</v>
      </c>
      <c r="F607" s="28">
        <v>45594</v>
      </c>
      <c r="H607" t="s">
        <v>156</v>
      </c>
      <c r="I607" t="s">
        <v>157</v>
      </c>
      <c r="J607">
        <v>2818</v>
      </c>
      <c r="K607" s="28">
        <v>45338</v>
      </c>
      <c r="L607">
        <v>1010100</v>
      </c>
      <c r="M607" t="s">
        <v>29</v>
      </c>
      <c r="N607">
        <v>161</v>
      </c>
      <c r="O607" t="s">
        <v>145</v>
      </c>
      <c r="P607" t="s">
        <v>192</v>
      </c>
      <c r="Q607">
        <f t="shared" si="11"/>
        <v>603</v>
      </c>
      <c r="R607">
        <f>_xlfn.XLOOKUP(E607,'Data Additive'!E:E,'Data Additive'!E:E,0)</f>
        <v>0</v>
      </c>
    </row>
    <row r="608" spans="1:18" x14ac:dyDescent="0.25">
      <c r="A608">
        <v>13193</v>
      </c>
      <c r="B608" t="s">
        <v>192</v>
      </c>
      <c r="C608" t="s">
        <v>193</v>
      </c>
      <c r="D608" s="32">
        <v>140175.09</v>
      </c>
      <c r="E608">
        <v>1246130332</v>
      </c>
      <c r="F608" s="28">
        <v>45599</v>
      </c>
      <c r="H608" t="s">
        <v>156</v>
      </c>
      <c r="I608" t="s">
        <v>157</v>
      </c>
      <c r="J608">
        <v>2873</v>
      </c>
      <c r="K608" s="28">
        <v>45343</v>
      </c>
      <c r="L608">
        <v>1010100</v>
      </c>
      <c r="M608" t="s">
        <v>29</v>
      </c>
      <c r="N608">
        <v>161</v>
      </c>
      <c r="O608" t="s">
        <v>145</v>
      </c>
      <c r="P608" t="s">
        <v>192</v>
      </c>
      <c r="Q608">
        <f t="shared" si="11"/>
        <v>598</v>
      </c>
      <c r="R608">
        <f>_xlfn.XLOOKUP(E608,'Data Additive'!E:E,'Data Additive'!E:E,0)</f>
        <v>0</v>
      </c>
    </row>
    <row r="609" spans="1:18" x14ac:dyDescent="0.25">
      <c r="A609">
        <v>13193</v>
      </c>
      <c r="B609" t="s">
        <v>192</v>
      </c>
      <c r="C609" t="s">
        <v>193</v>
      </c>
      <c r="D609" s="32">
        <v>112140.07</v>
      </c>
      <c r="E609">
        <v>1246130309</v>
      </c>
      <c r="F609" s="28">
        <v>45599</v>
      </c>
      <c r="H609" t="s">
        <v>156</v>
      </c>
      <c r="I609" t="s">
        <v>157</v>
      </c>
      <c r="J609">
        <v>2867</v>
      </c>
      <c r="K609" s="28">
        <v>45343</v>
      </c>
      <c r="L609">
        <v>1010100</v>
      </c>
      <c r="M609" t="s">
        <v>29</v>
      </c>
      <c r="N609">
        <v>161</v>
      </c>
      <c r="O609" t="s">
        <v>145</v>
      </c>
      <c r="P609" t="s">
        <v>192</v>
      </c>
      <c r="Q609">
        <f t="shared" si="11"/>
        <v>598</v>
      </c>
      <c r="R609">
        <f>_xlfn.XLOOKUP(E609,'Data Additive'!E:E,'Data Additive'!E:E,0)</f>
        <v>0</v>
      </c>
    </row>
    <row r="610" spans="1:18" x14ac:dyDescent="0.25">
      <c r="A610">
        <v>13193</v>
      </c>
      <c r="B610" t="s">
        <v>192</v>
      </c>
      <c r="C610" t="s">
        <v>193</v>
      </c>
      <c r="D610" s="32">
        <v>105131.31</v>
      </c>
      <c r="E610">
        <v>1246132575</v>
      </c>
      <c r="F610" s="28">
        <v>45597</v>
      </c>
      <c r="H610" t="s">
        <v>156</v>
      </c>
      <c r="I610" t="s">
        <v>157</v>
      </c>
      <c r="J610">
        <v>2994</v>
      </c>
      <c r="K610" s="28">
        <v>45357</v>
      </c>
      <c r="L610">
        <v>1010100</v>
      </c>
      <c r="M610" t="s">
        <v>29</v>
      </c>
      <c r="N610">
        <v>161</v>
      </c>
      <c r="O610" t="s">
        <v>145</v>
      </c>
      <c r="P610" t="s">
        <v>192</v>
      </c>
      <c r="Q610">
        <f t="shared" si="11"/>
        <v>600</v>
      </c>
      <c r="R610">
        <f>_xlfn.XLOOKUP(E610,'Data Additive'!E:E,'Data Additive'!E:E,0)</f>
        <v>0</v>
      </c>
    </row>
    <row r="611" spans="1:18" x14ac:dyDescent="0.25">
      <c r="A611">
        <v>13193</v>
      </c>
      <c r="B611" t="s">
        <v>192</v>
      </c>
      <c r="C611" t="s">
        <v>193</v>
      </c>
      <c r="D611" s="32">
        <v>97257.29</v>
      </c>
      <c r="E611">
        <v>1246139180</v>
      </c>
      <c r="F611" s="28">
        <v>45573</v>
      </c>
      <c r="H611" t="s">
        <v>156</v>
      </c>
      <c r="I611" t="s">
        <v>157</v>
      </c>
      <c r="J611">
        <v>3265</v>
      </c>
      <c r="K611" s="28">
        <v>45393</v>
      </c>
      <c r="L611">
        <v>1010100</v>
      </c>
      <c r="M611" t="s">
        <v>29</v>
      </c>
      <c r="N611">
        <v>161</v>
      </c>
      <c r="O611" t="s">
        <v>145</v>
      </c>
      <c r="P611" t="s">
        <v>192</v>
      </c>
      <c r="Q611">
        <f t="shared" si="11"/>
        <v>624</v>
      </c>
      <c r="R611">
        <f>_xlfn.XLOOKUP(E611,'Data Additive'!E:E,'Data Additive'!E:E,0)</f>
        <v>0</v>
      </c>
    </row>
    <row r="612" spans="1:18" x14ac:dyDescent="0.25">
      <c r="A612">
        <v>13193</v>
      </c>
      <c r="B612" t="s">
        <v>192</v>
      </c>
      <c r="C612" t="s">
        <v>193</v>
      </c>
      <c r="D612" s="32">
        <v>104293.46</v>
      </c>
      <c r="E612">
        <v>1246135519</v>
      </c>
      <c r="F612" s="28">
        <v>45600</v>
      </c>
      <c r="H612" t="s">
        <v>156</v>
      </c>
      <c r="I612" t="s">
        <v>157</v>
      </c>
      <c r="J612">
        <v>3146</v>
      </c>
      <c r="K612" s="28">
        <v>45373</v>
      </c>
      <c r="L612">
        <v>1010100</v>
      </c>
      <c r="M612" t="s">
        <v>29</v>
      </c>
      <c r="N612">
        <v>161</v>
      </c>
      <c r="O612" t="s">
        <v>145</v>
      </c>
      <c r="P612" t="s">
        <v>192</v>
      </c>
      <c r="Q612">
        <f t="shared" si="11"/>
        <v>597</v>
      </c>
      <c r="R612">
        <f>_xlfn.XLOOKUP(E612,'Data Additive'!E:E,'Data Additive'!E:E,0)</f>
        <v>0</v>
      </c>
    </row>
    <row r="613" spans="1:18" x14ac:dyDescent="0.25">
      <c r="A613">
        <v>13193</v>
      </c>
      <c r="B613" t="s">
        <v>192</v>
      </c>
      <c r="C613" t="s">
        <v>193</v>
      </c>
      <c r="D613" s="32">
        <v>120980.73</v>
      </c>
      <c r="E613">
        <v>1246138904</v>
      </c>
      <c r="F613" s="28">
        <v>45572</v>
      </c>
      <c r="H613" t="s">
        <v>156</v>
      </c>
      <c r="I613" t="s">
        <v>157</v>
      </c>
      <c r="J613">
        <v>3260</v>
      </c>
      <c r="K613" s="28">
        <v>45392</v>
      </c>
      <c r="L613">
        <v>1010100</v>
      </c>
      <c r="M613" t="s">
        <v>29</v>
      </c>
      <c r="N613">
        <v>161</v>
      </c>
      <c r="O613" t="s">
        <v>145</v>
      </c>
      <c r="P613" t="s">
        <v>192</v>
      </c>
      <c r="Q613">
        <f t="shared" ref="Q613:Q665" si="12">$R$1-F613</f>
        <v>625</v>
      </c>
      <c r="R613">
        <f>_xlfn.XLOOKUP(E613,'Data Additive'!E:E,'Data Additive'!E:E,0)</f>
        <v>0</v>
      </c>
    </row>
    <row r="614" spans="1:18" x14ac:dyDescent="0.25">
      <c r="A614">
        <v>13193</v>
      </c>
      <c r="B614" t="s">
        <v>192</v>
      </c>
      <c r="C614" t="s">
        <v>193</v>
      </c>
      <c r="D614" s="32">
        <v>142145.26999999999</v>
      </c>
      <c r="E614">
        <v>1246138695</v>
      </c>
      <c r="F614" s="28">
        <v>45571</v>
      </c>
      <c r="H614" t="s">
        <v>156</v>
      </c>
      <c r="I614" t="s">
        <v>157</v>
      </c>
      <c r="J614">
        <v>3255</v>
      </c>
      <c r="K614" s="28">
        <v>45391</v>
      </c>
      <c r="L614">
        <v>1010100</v>
      </c>
      <c r="M614" t="s">
        <v>29</v>
      </c>
      <c r="N614">
        <v>161</v>
      </c>
      <c r="O614" t="s">
        <v>145</v>
      </c>
      <c r="P614" t="s">
        <v>192</v>
      </c>
      <c r="Q614">
        <f t="shared" si="12"/>
        <v>626</v>
      </c>
      <c r="R614">
        <f>_xlfn.XLOOKUP(E614,'Data Additive'!E:E,'Data Additive'!E:E,0)</f>
        <v>0</v>
      </c>
    </row>
    <row r="615" spans="1:18" x14ac:dyDescent="0.25">
      <c r="A615">
        <v>13193</v>
      </c>
      <c r="B615" t="s">
        <v>192</v>
      </c>
      <c r="C615" t="s">
        <v>193</v>
      </c>
      <c r="D615" s="32">
        <v>30167.84</v>
      </c>
      <c r="E615">
        <v>1246134824</v>
      </c>
      <c r="F615" s="28">
        <v>45597</v>
      </c>
      <c r="H615" t="s">
        <v>156</v>
      </c>
      <c r="I615" t="s">
        <v>157</v>
      </c>
      <c r="J615">
        <v>3122</v>
      </c>
      <c r="K615" s="28">
        <v>45370</v>
      </c>
      <c r="L615">
        <v>1010100</v>
      </c>
      <c r="M615" t="s">
        <v>29</v>
      </c>
      <c r="N615">
        <v>161</v>
      </c>
      <c r="O615" t="s">
        <v>145</v>
      </c>
      <c r="P615" t="s">
        <v>192</v>
      </c>
      <c r="Q615">
        <f t="shared" si="12"/>
        <v>600</v>
      </c>
      <c r="R615">
        <f>_xlfn.XLOOKUP(E615,'Data Additive'!E:E,'Data Additive'!E:E,0)</f>
        <v>0</v>
      </c>
    </row>
    <row r="616" spans="1:18" x14ac:dyDescent="0.25">
      <c r="A616">
        <v>13193</v>
      </c>
      <c r="B616" t="s">
        <v>192</v>
      </c>
      <c r="C616" t="s">
        <v>193</v>
      </c>
      <c r="D616" s="32">
        <v>96077.53</v>
      </c>
      <c r="E616">
        <v>1246134935</v>
      </c>
      <c r="F616" s="28">
        <v>45598</v>
      </c>
      <c r="H616" t="s">
        <v>156</v>
      </c>
      <c r="I616" t="s">
        <v>157</v>
      </c>
      <c r="J616">
        <v>3128</v>
      </c>
      <c r="K616" s="28">
        <v>45371</v>
      </c>
      <c r="L616">
        <v>1010100</v>
      </c>
      <c r="M616" t="s">
        <v>29</v>
      </c>
      <c r="N616">
        <v>161</v>
      </c>
      <c r="O616" t="s">
        <v>145</v>
      </c>
      <c r="P616" t="s">
        <v>192</v>
      </c>
      <c r="Q616">
        <f t="shared" si="12"/>
        <v>599</v>
      </c>
      <c r="R616">
        <f>_xlfn.XLOOKUP(E616,'Data Additive'!E:E,'Data Additive'!E:E,0)</f>
        <v>0</v>
      </c>
    </row>
    <row r="617" spans="1:18" x14ac:dyDescent="0.25">
      <c r="A617">
        <v>13193</v>
      </c>
      <c r="B617" t="s">
        <v>192</v>
      </c>
      <c r="C617" t="s">
        <v>193</v>
      </c>
      <c r="D617" s="32">
        <v>90503.54</v>
      </c>
      <c r="E617">
        <v>1246134807</v>
      </c>
      <c r="F617" s="28">
        <v>45597</v>
      </c>
      <c r="H617" t="s">
        <v>156</v>
      </c>
      <c r="I617" t="s">
        <v>157</v>
      </c>
      <c r="J617">
        <v>3119</v>
      </c>
      <c r="K617" s="28">
        <v>45370</v>
      </c>
      <c r="L617">
        <v>1010100</v>
      </c>
      <c r="M617" t="s">
        <v>29</v>
      </c>
      <c r="N617">
        <v>161</v>
      </c>
      <c r="O617" t="s">
        <v>145</v>
      </c>
      <c r="P617" t="s">
        <v>192</v>
      </c>
      <c r="Q617">
        <f t="shared" si="12"/>
        <v>600</v>
      </c>
      <c r="R617">
        <f>_xlfn.XLOOKUP(E617,'Data Additive'!E:E,'Data Additive'!E:E,0)</f>
        <v>0</v>
      </c>
    </row>
    <row r="618" spans="1:18" x14ac:dyDescent="0.25">
      <c r="A618">
        <v>13193</v>
      </c>
      <c r="B618" t="s">
        <v>192</v>
      </c>
      <c r="C618" t="s">
        <v>193</v>
      </c>
      <c r="D618" s="32">
        <v>90503.54</v>
      </c>
      <c r="E618">
        <v>1246134540</v>
      </c>
      <c r="F618" s="28">
        <v>45596</v>
      </c>
      <c r="H618" t="s">
        <v>156</v>
      </c>
      <c r="I618" t="s">
        <v>157</v>
      </c>
      <c r="J618">
        <v>3110</v>
      </c>
      <c r="K618" s="28">
        <v>45369</v>
      </c>
      <c r="L618">
        <v>1010100</v>
      </c>
      <c r="M618" t="s">
        <v>29</v>
      </c>
      <c r="N618">
        <v>161</v>
      </c>
      <c r="O618" t="s">
        <v>145</v>
      </c>
      <c r="P618" t="s">
        <v>192</v>
      </c>
      <c r="Q618">
        <f t="shared" si="12"/>
        <v>601</v>
      </c>
      <c r="R618">
        <f>_xlfn.XLOOKUP(E618,'Data Additive'!E:E,'Data Additive'!E:E,0)</f>
        <v>0</v>
      </c>
    </row>
    <row r="619" spans="1:18" x14ac:dyDescent="0.25">
      <c r="A619">
        <v>13193</v>
      </c>
      <c r="B619" t="s">
        <v>192</v>
      </c>
      <c r="C619" t="s">
        <v>193</v>
      </c>
      <c r="D619" s="32">
        <v>82776.289999999994</v>
      </c>
      <c r="E619">
        <v>1246139327</v>
      </c>
      <c r="F619" s="28">
        <v>45573</v>
      </c>
      <c r="H619" t="s">
        <v>156</v>
      </c>
      <c r="I619" t="s">
        <v>157</v>
      </c>
      <c r="J619">
        <v>3272</v>
      </c>
      <c r="K619" s="28">
        <v>45393</v>
      </c>
      <c r="L619">
        <v>1010100</v>
      </c>
      <c r="M619" t="s">
        <v>29</v>
      </c>
      <c r="N619">
        <v>161</v>
      </c>
      <c r="O619" t="s">
        <v>145</v>
      </c>
      <c r="P619" t="s">
        <v>192</v>
      </c>
      <c r="Q619">
        <f t="shared" si="12"/>
        <v>624</v>
      </c>
      <c r="R619">
        <f>_xlfn.XLOOKUP(E619,'Data Additive'!E:E,'Data Additive'!E:E,0)</f>
        <v>0</v>
      </c>
    </row>
    <row r="620" spans="1:18" x14ac:dyDescent="0.25">
      <c r="A620">
        <v>13193</v>
      </c>
      <c r="B620" t="s">
        <v>192</v>
      </c>
      <c r="C620" t="s">
        <v>193</v>
      </c>
      <c r="D620" s="32">
        <v>64051.68</v>
      </c>
      <c r="E620">
        <v>1246134828</v>
      </c>
      <c r="F620" s="28">
        <v>45597</v>
      </c>
      <c r="H620" t="s">
        <v>156</v>
      </c>
      <c r="I620" t="s">
        <v>157</v>
      </c>
      <c r="J620">
        <v>3123</v>
      </c>
      <c r="K620" s="28">
        <v>45370</v>
      </c>
      <c r="L620">
        <v>1010100</v>
      </c>
      <c r="M620" t="s">
        <v>29</v>
      </c>
      <c r="N620">
        <v>161</v>
      </c>
      <c r="O620" t="s">
        <v>145</v>
      </c>
      <c r="P620" t="s">
        <v>192</v>
      </c>
      <c r="Q620">
        <f t="shared" si="12"/>
        <v>600</v>
      </c>
      <c r="R620">
        <f>_xlfn.XLOOKUP(E620,'Data Additive'!E:E,'Data Additive'!E:E,0)</f>
        <v>0</v>
      </c>
    </row>
    <row r="621" spans="1:18" x14ac:dyDescent="0.25">
      <c r="A621">
        <v>13193</v>
      </c>
      <c r="B621" t="s">
        <v>192</v>
      </c>
      <c r="C621" t="s">
        <v>193</v>
      </c>
      <c r="D621" s="32">
        <v>96077.53</v>
      </c>
      <c r="E621">
        <v>1246134926</v>
      </c>
      <c r="F621" s="28">
        <v>45598</v>
      </c>
      <c r="H621" t="s">
        <v>156</v>
      </c>
      <c r="I621" t="s">
        <v>157</v>
      </c>
      <c r="J621">
        <v>3126</v>
      </c>
      <c r="K621" s="28">
        <v>45371</v>
      </c>
      <c r="L621">
        <v>1010100</v>
      </c>
      <c r="M621" t="s">
        <v>29</v>
      </c>
      <c r="N621">
        <v>161</v>
      </c>
      <c r="O621" t="s">
        <v>145</v>
      </c>
      <c r="P621" t="s">
        <v>192</v>
      </c>
      <c r="Q621">
        <f t="shared" si="12"/>
        <v>599</v>
      </c>
      <c r="R621">
        <f>_xlfn.XLOOKUP(E621,'Data Additive'!E:E,'Data Additive'!E:E,0)</f>
        <v>0</v>
      </c>
    </row>
    <row r="622" spans="1:18" x14ac:dyDescent="0.25">
      <c r="A622">
        <v>13193</v>
      </c>
      <c r="B622" t="s">
        <v>192</v>
      </c>
      <c r="C622" t="s">
        <v>193</v>
      </c>
      <c r="D622" s="32">
        <v>96077.53</v>
      </c>
      <c r="E622">
        <v>1246135475</v>
      </c>
      <c r="F622" s="28">
        <v>45600</v>
      </c>
      <c r="H622" t="s">
        <v>156</v>
      </c>
      <c r="I622" t="s">
        <v>157</v>
      </c>
      <c r="J622">
        <v>3143</v>
      </c>
      <c r="K622" s="28">
        <v>45373</v>
      </c>
      <c r="L622">
        <v>1010100</v>
      </c>
      <c r="M622" t="s">
        <v>29</v>
      </c>
      <c r="N622">
        <v>161</v>
      </c>
      <c r="O622" t="s">
        <v>145</v>
      </c>
      <c r="P622" t="s">
        <v>192</v>
      </c>
      <c r="Q622">
        <f t="shared" si="12"/>
        <v>597</v>
      </c>
      <c r="R622">
        <f>_xlfn.XLOOKUP(E622,'Data Additive'!E:E,'Data Additive'!E:E,0)</f>
        <v>0</v>
      </c>
    </row>
    <row r="623" spans="1:18" x14ac:dyDescent="0.25">
      <c r="A623">
        <v>13836</v>
      </c>
      <c r="B623" t="s">
        <v>349</v>
      </c>
      <c r="C623" t="s">
        <v>802</v>
      </c>
      <c r="D623" s="32">
        <v>17125</v>
      </c>
      <c r="E623">
        <v>1246273812</v>
      </c>
      <c r="F623" s="28">
        <v>46208</v>
      </c>
      <c r="H623" t="s">
        <v>23</v>
      </c>
      <c r="I623" t="s">
        <v>24</v>
      </c>
      <c r="J623">
        <v>11313</v>
      </c>
      <c r="K623" s="28">
        <v>46148</v>
      </c>
      <c r="L623">
        <v>1010100</v>
      </c>
      <c r="M623" t="s">
        <v>29</v>
      </c>
      <c r="N623">
        <v>161</v>
      </c>
      <c r="O623" t="s">
        <v>145</v>
      </c>
      <c r="P623" t="s">
        <v>349</v>
      </c>
      <c r="Q623">
        <f t="shared" si="12"/>
        <v>-11</v>
      </c>
      <c r="R623">
        <f>_xlfn.XLOOKUP(E623,'Data Additive'!E:E,'Data Additive'!E:E,0)</f>
        <v>1246273812</v>
      </c>
    </row>
    <row r="624" spans="1:18" x14ac:dyDescent="0.25">
      <c r="A624">
        <v>14848</v>
      </c>
      <c r="B624" t="s">
        <v>330</v>
      </c>
      <c r="C624" t="s">
        <v>561</v>
      </c>
      <c r="D624" s="32">
        <v>207773.56999999998</v>
      </c>
      <c r="E624">
        <v>1246230064</v>
      </c>
      <c r="F624" s="28">
        <v>46162</v>
      </c>
      <c r="H624" t="s">
        <v>156</v>
      </c>
      <c r="I624" t="s">
        <v>157</v>
      </c>
      <c r="J624">
        <v>8811</v>
      </c>
      <c r="K624" s="28">
        <v>45877</v>
      </c>
      <c r="L624">
        <v>1010100</v>
      </c>
      <c r="M624" t="s">
        <v>29</v>
      </c>
      <c r="N624">
        <v>161</v>
      </c>
      <c r="O624" t="s">
        <v>145</v>
      </c>
      <c r="P624" t="s">
        <v>330</v>
      </c>
      <c r="Q624">
        <f t="shared" si="12"/>
        <v>35</v>
      </c>
      <c r="R624">
        <f>_xlfn.XLOOKUP(E624,'Data Additive'!E:E,'Data Additive'!E:E,0)</f>
        <v>0</v>
      </c>
    </row>
    <row r="625" spans="1:18" x14ac:dyDescent="0.25">
      <c r="A625">
        <v>14848</v>
      </c>
      <c r="B625" t="s">
        <v>330</v>
      </c>
      <c r="C625" t="s">
        <v>561</v>
      </c>
      <c r="D625" s="32">
        <v>121554.34</v>
      </c>
      <c r="E625">
        <v>1246230701</v>
      </c>
      <c r="F625" s="28">
        <v>46164</v>
      </c>
      <c r="H625" t="s">
        <v>156</v>
      </c>
      <c r="I625" t="s">
        <v>157</v>
      </c>
      <c r="J625">
        <v>8856</v>
      </c>
      <c r="K625" s="28">
        <v>45881</v>
      </c>
      <c r="L625">
        <v>1010100</v>
      </c>
      <c r="M625" t="s">
        <v>29</v>
      </c>
      <c r="N625">
        <v>161</v>
      </c>
      <c r="O625" t="s">
        <v>145</v>
      </c>
      <c r="P625" t="s">
        <v>330</v>
      </c>
      <c r="Q625">
        <f t="shared" si="12"/>
        <v>33</v>
      </c>
      <c r="R625">
        <f>_xlfn.XLOOKUP(E625,'Data Additive'!E:E,'Data Additive'!E:E,0)</f>
        <v>0</v>
      </c>
    </row>
    <row r="626" spans="1:18" x14ac:dyDescent="0.25">
      <c r="A626">
        <v>14632</v>
      </c>
      <c r="B626" t="s">
        <v>399</v>
      </c>
      <c r="C626" t="s">
        <v>15466</v>
      </c>
      <c r="D626" s="32">
        <v>96686.49</v>
      </c>
      <c r="E626">
        <v>1246277240</v>
      </c>
      <c r="F626" s="28">
        <v>46220</v>
      </c>
      <c r="H626" t="s">
        <v>23</v>
      </c>
      <c r="I626" t="s">
        <v>24</v>
      </c>
      <c r="J626">
        <v>11532</v>
      </c>
      <c r="K626" s="28">
        <v>46170</v>
      </c>
      <c r="L626">
        <v>1010100</v>
      </c>
      <c r="M626" t="s">
        <v>29</v>
      </c>
      <c r="N626">
        <v>161</v>
      </c>
      <c r="O626" t="s">
        <v>145</v>
      </c>
      <c r="P626" t="s">
        <v>399</v>
      </c>
      <c r="Q626">
        <f t="shared" si="12"/>
        <v>-23</v>
      </c>
      <c r="R626">
        <f>_xlfn.XLOOKUP(E626,'Data Additive'!E:E,'Data Additive'!E:E,0)</f>
        <v>1246277240</v>
      </c>
    </row>
    <row r="627" spans="1:18" x14ac:dyDescent="0.25">
      <c r="A627">
        <v>14632</v>
      </c>
      <c r="B627" t="s">
        <v>399</v>
      </c>
      <c r="C627" t="s">
        <v>15466</v>
      </c>
      <c r="D627" s="32">
        <v>96686.49</v>
      </c>
      <c r="E627">
        <v>1246277241</v>
      </c>
      <c r="F627" s="28">
        <v>46240</v>
      </c>
      <c r="H627" t="s">
        <v>23</v>
      </c>
      <c r="I627" t="s">
        <v>24</v>
      </c>
      <c r="J627">
        <v>11532</v>
      </c>
      <c r="K627" s="28">
        <v>46170</v>
      </c>
      <c r="L627">
        <v>1010100</v>
      </c>
      <c r="M627" t="s">
        <v>29</v>
      </c>
      <c r="N627">
        <v>161</v>
      </c>
      <c r="O627" t="s">
        <v>145</v>
      </c>
      <c r="P627" t="s">
        <v>399</v>
      </c>
      <c r="Q627">
        <f t="shared" si="12"/>
        <v>-43</v>
      </c>
      <c r="R627">
        <f>_xlfn.XLOOKUP(E627,'Data Additive'!E:E,'Data Additive'!E:E,0)</f>
        <v>1246277241</v>
      </c>
    </row>
    <row r="628" spans="1:18" x14ac:dyDescent="0.25">
      <c r="A628">
        <v>14632</v>
      </c>
      <c r="B628" t="s">
        <v>399</v>
      </c>
      <c r="C628" t="s">
        <v>15466</v>
      </c>
      <c r="D628" s="32">
        <v>24596.45</v>
      </c>
      <c r="E628">
        <v>1246277244</v>
      </c>
      <c r="F628" s="28">
        <v>46220</v>
      </c>
      <c r="H628" t="s">
        <v>23</v>
      </c>
      <c r="I628" t="s">
        <v>24</v>
      </c>
      <c r="J628">
        <v>11533</v>
      </c>
      <c r="K628" s="28">
        <v>46170</v>
      </c>
      <c r="L628">
        <v>1010100</v>
      </c>
      <c r="M628" t="s">
        <v>29</v>
      </c>
      <c r="N628">
        <v>161</v>
      </c>
      <c r="O628" t="s">
        <v>145</v>
      </c>
      <c r="P628" t="s">
        <v>399</v>
      </c>
      <c r="Q628">
        <f t="shared" si="12"/>
        <v>-23</v>
      </c>
      <c r="R628">
        <f>_xlfn.XLOOKUP(E628,'Data Additive'!E:E,'Data Additive'!E:E,0)</f>
        <v>1246277244</v>
      </c>
    </row>
    <row r="629" spans="1:18" x14ac:dyDescent="0.25">
      <c r="A629">
        <v>14632</v>
      </c>
      <c r="B629" t="s">
        <v>399</v>
      </c>
      <c r="C629" t="s">
        <v>15466</v>
      </c>
      <c r="D629" s="32">
        <v>24596.45</v>
      </c>
      <c r="E629">
        <v>1246277245</v>
      </c>
      <c r="F629" s="28">
        <v>46240</v>
      </c>
      <c r="H629" t="s">
        <v>23</v>
      </c>
      <c r="I629" t="s">
        <v>24</v>
      </c>
      <c r="J629">
        <v>11533</v>
      </c>
      <c r="K629" s="28">
        <v>46170</v>
      </c>
      <c r="L629">
        <v>1010100</v>
      </c>
      <c r="M629" t="s">
        <v>29</v>
      </c>
      <c r="N629">
        <v>161</v>
      </c>
      <c r="O629" t="s">
        <v>145</v>
      </c>
      <c r="P629" t="s">
        <v>399</v>
      </c>
      <c r="Q629">
        <f t="shared" si="12"/>
        <v>-43</v>
      </c>
      <c r="R629">
        <f>_xlfn.XLOOKUP(E629,'Data Additive'!E:E,'Data Additive'!E:E,0)</f>
        <v>1246277245</v>
      </c>
    </row>
    <row r="630" spans="1:18" x14ac:dyDescent="0.25">
      <c r="A630">
        <v>14396</v>
      </c>
      <c r="B630" t="s">
        <v>242</v>
      </c>
      <c r="C630" t="s">
        <v>243</v>
      </c>
      <c r="D630" s="32">
        <v>137598</v>
      </c>
      <c r="E630">
        <v>1246163527</v>
      </c>
      <c r="F630" s="28">
        <v>45779</v>
      </c>
      <c r="H630" t="s">
        <v>156</v>
      </c>
      <c r="I630" t="s">
        <v>157</v>
      </c>
      <c r="J630">
        <v>4649</v>
      </c>
      <c r="K630" s="28">
        <v>45511</v>
      </c>
      <c r="L630">
        <v>1010100</v>
      </c>
      <c r="M630" t="s">
        <v>29</v>
      </c>
      <c r="N630">
        <v>161</v>
      </c>
      <c r="O630" t="s">
        <v>145</v>
      </c>
      <c r="P630" t="s">
        <v>242</v>
      </c>
      <c r="Q630">
        <f t="shared" si="12"/>
        <v>418</v>
      </c>
      <c r="R630">
        <f>_xlfn.XLOOKUP(E630,'Data Additive'!E:E,'Data Additive'!E:E,0)</f>
        <v>0</v>
      </c>
    </row>
    <row r="631" spans="1:18" x14ac:dyDescent="0.25">
      <c r="A631">
        <v>14396</v>
      </c>
      <c r="B631" t="s">
        <v>242</v>
      </c>
      <c r="C631" t="s">
        <v>243</v>
      </c>
      <c r="D631" s="32">
        <v>121086.24</v>
      </c>
      <c r="E631">
        <v>1246160799</v>
      </c>
      <c r="F631" s="28">
        <v>45779</v>
      </c>
      <c r="H631" t="s">
        <v>156</v>
      </c>
      <c r="I631" t="s">
        <v>157</v>
      </c>
      <c r="J631">
        <v>4489</v>
      </c>
      <c r="K631" s="28">
        <v>45499</v>
      </c>
      <c r="L631">
        <v>1010100</v>
      </c>
      <c r="M631" t="s">
        <v>29</v>
      </c>
      <c r="N631">
        <v>161</v>
      </c>
      <c r="O631" t="s">
        <v>145</v>
      </c>
      <c r="P631" t="s">
        <v>242</v>
      </c>
      <c r="Q631">
        <f t="shared" si="12"/>
        <v>418</v>
      </c>
      <c r="R631">
        <f>_xlfn.XLOOKUP(E631,'Data Additive'!E:E,'Data Additive'!E:E,0)</f>
        <v>0</v>
      </c>
    </row>
    <row r="632" spans="1:18" x14ac:dyDescent="0.25">
      <c r="A632">
        <v>14396</v>
      </c>
      <c r="B632" t="s">
        <v>242</v>
      </c>
      <c r="C632" t="s">
        <v>243</v>
      </c>
      <c r="D632" s="32">
        <v>145692</v>
      </c>
      <c r="E632">
        <v>1246160793</v>
      </c>
      <c r="F632" s="28">
        <v>45779</v>
      </c>
      <c r="H632" t="s">
        <v>156</v>
      </c>
      <c r="I632" t="s">
        <v>157</v>
      </c>
      <c r="J632">
        <v>4485</v>
      </c>
      <c r="K632" s="28">
        <v>45499</v>
      </c>
      <c r="L632">
        <v>1010100</v>
      </c>
      <c r="M632" t="s">
        <v>29</v>
      </c>
      <c r="N632">
        <v>161</v>
      </c>
      <c r="O632" t="s">
        <v>145</v>
      </c>
      <c r="P632" t="s">
        <v>242</v>
      </c>
      <c r="Q632">
        <f t="shared" si="12"/>
        <v>418</v>
      </c>
      <c r="R632">
        <f>_xlfn.XLOOKUP(E632,'Data Additive'!E:E,'Data Additive'!E:E,0)</f>
        <v>0</v>
      </c>
    </row>
    <row r="633" spans="1:18" x14ac:dyDescent="0.25">
      <c r="A633">
        <v>14396</v>
      </c>
      <c r="B633" t="s">
        <v>242</v>
      </c>
      <c r="C633" t="s">
        <v>243</v>
      </c>
      <c r="D633" s="32">
        <v>121410</v>
      </c>
      <c r="E633">
        <v>1246180565</v>
      </c>
      <c r="F633" s="28">
        <v>45776</v>
      </c>
      <c r="H633" t="s">
        <v>156</v>
      </c>
      <c r="I633" t="s">
        <v>157</v>
      </c>
      <c r="J633">
        <v>5953</v>
      </c>
      <c r="K633" s="28">
        <v>45600</v>
      </c>
      <c r="L633">
        <v>1010100</v>
      </c>
      <c r="M633" t="s">
        <v>29</v>
      </c>
      <c r="N633">
        <v>161</v>
      </c>
      <c r="O633" t="s">
        <v>145</v>
      </c>
      <c r="P633" t="s">
        <v>242</v>
      </c>
      <c r="Q633">
        <f t="shared" si="12"/>
        <v>421</v>
      </c>
      <c r="R633">
        <f>_xlfn.XLOOKUP(E633,'Data Additive'!E:E,'Data Additive'!E:E,0)</f>
        <v>0</v>
      </c>
    </row>
    <row r="634" spans="1:18" x14ac:dyDescent="0.25">
      <c r="A634">
        <v>14396</v>
      </c>
      <c r="B634" t="s">
        <v>242</v>
      </c>
      <c r="C634" t="s">
        <v>243</v>
      </c>
      <c r="D634" s="32">
        <v>171360</v>
      </c>
      <c r="E634">
        <v>1246202562</v>
      </c>
      <c r="F634" s="28">
        <v>45930</v>
      </c>
      <c r="H634" t="s">
        <v>156</v>
      </c>
      <c r="I634" t="s">
        <v>157</v>
      </c>
      <c r="J634">
        <v>7204</v>
      </c>
      <c r="K634" s="28">
        <v>45728</v>
      </c>
      <c r="L634">
        <v>1010100</v>
      </c>
      <c r="M634" t="s">
        <v>29</v>
      </c>
      <c r="N634">
        <v>161</v>
      </c>
      <c r="O634" t="s">
        <v>145</v>
      </c>
      <c r="P634" t="s">
        <v>242</v>
      </c>
      <c r="Q634">
        <f>$R$1-F634</f>
        <v>267</v>
      </c>
      <c r="R634">
        <f>_xlfn.XLOOKUP(E634,'Data Additive'!E:E,'Data Additive'!E:E,0)</f>
        <v>0</v>
      </c>
    </row>
    <row r="635" spans="1:18" x14ac:dyDescent="0.25">
      <c r="A635">
        <v>14396</v>
      </c>
      <c r="B635" t="s">
        <v>242</v>
      </c>
      <c r="C635" t="s">
        <v>243</v>
      </c>
      <c r="D635" s="32">
        <v>4000</v>
      </c>
      <c r="E635">
        <v>1246203613</v>
      </c>
      <c r="F635" s="28">
        <v>45920</v>
      </c>
      <c r="H635" t="s">
        <v>156</v>
      </c>
      <c r="I635" t="s">
        <v>157</v>
      </c>
      <c r="J635">
        <v>7286</v>
      </c>
      <c r="K635" s="28">
        <v>45735</v>
      </c>
      <c r="L635">
        <v>1010100</v>
      </c>
      <c r="M635" t="s">
        <v>29</v>
      </c>
      <c r="N635">
        <v>161</v>
      </c>
      <c r="O635" t="s">
        <v>145</v>
      </c>
      <c r="P635" t="s">
        <v>242</v>
      </c>
      <c r="Q635">
        <f t="shared" si="12"/>
        <v>277</v>
      </c>
      <c r="R635">
        <f>_xlfn.XLOOKUP(E635,'Data Additive'!E:E,'Data Additive'!E:E,0)</f>
        <v>0</v>
      </c>
    </row>
    <row r="636" spans="1:18" x14ac:dyDescent="0.25">
      <c r="A636">
        <v>14396</v>
      </c>
      <c r="B636" t="s">
        <v>242</v>
      </c>
      <c r="C636" t="s">
        <v>243</v>
      </c>
      <c r="D636" s="32">
        <v>139680</v>
      </c>
      <c r="E636">
        <v>1246199147</v>
      </c>
      <c r="F636" s="28">
        <v>45889</v>
      </c>
      <c r="H636" t="s">
        <v>156</v>
      </c>
      <c r="I636" t="s">
        <v>157</v>
      </c>
      <c r="J636">
        <v>6996</v>
      </c>
      <c r="K636" s="28">
        <v>45706</v>
      </c>
      <c r="L636">
        <v>1010100</v>
      </c>
      <c r="M636" t="s">
        <v>29</v>
      </c>
      <c r="N636">
        <v>161</v>
      </c>
      <c r="O636" t="s">
        <v>145</v>
      </c>
      <c r="P636" t="s">
        <v>242</v>
      </c>
      <c r="Q636">
        <f t="shared" si="12"/>
        <v>308</v>
      </c>
      <c r="R636">
        <f>_xlfn.XLOOKUP(E636,'Data Additive'!E:E,'Data Additive'!E:E,0)</f>
        <v>0</v>
      </c>
    </row>
    <row r="637" spans="1:18" x14ac:dyDescent="0.25">
      <c r="A637">
        <v>14396</v>
      </c>
      <c r="B637" t="s">
        <v>242</v>
      </c>
      <c r="C637" t="s">
        <v>243</v>
      </c>
      <c r="D637" s="32">
        <v>139680</v>
      </c>
      <c r="E637">
        <v>1246199209</v>
      </c>
      <c r="F637" s="28">
        <v>45889</v>
      </c>
      <c r="H637" t="s">
        <v>156</v>
      </c>
      <c r="I637" t="s">
        <v>157</v>
      </c>
      <c r="J637">
        <v>7005</v>
      </c>
      <c r="K637" s="28">
        <v>45706</v>
      </c>
      <c r="L637">
        <v>1010100</v>
      </c>
      <c r="M637" t="s">
        <v>29</v>
      </c>
      <c r="N637">
        <v>161</v>
      </c>
      <c r="O637" t="s">
        <v>145</v>
      </c>
      <c r="P637" t="s">
        <v>242</v>
      </c>
      <c r="Q637">
        <f t="shared" si="12"/>
        <v>308</v>
      </c>
      <c r="R637">
        <f>_xlfn.XLOOKUP(E637,'Data Additive'!E:E,'Data Additive'!E:E,0)</f>
        <v>0</v>
      </c>
    </row>
    <row r="638" spans="1:18" x14ac:dyDescent="0.25">
      <c r="A638">
        <v>14396</v>
      </c>
      <c r="B638" t="s">
        <v>242</v>
      </c>
      <c r="C638" t="s">
        <v>243</v>
      </c>
      <c r="D638" s="32">
        <v>8000</v>
      </c>
      <c r="E638">
        <v>1246205781</v>
      </c>
      <c r="F638" s="28">
        <v>45920</v>
      </c>
      <c r="H638" t="s">
        <v>156</v>
      </c>
      <c r="I638" t="s">
        <v>157</v>
      </c>
      <c r="J638">
        <v>7423</v>
      </c>
      <c r="K638" s="28">
        <v>45744</v>
      </c>
      <c r="L638">
        <v>1010100</v>
      </c>
      <c r="M638" t="s">
        <v>29</v>
      </c>
      <c r="N638">
        <v>161</v>
      </c>
      <c r="O638" t="s">
        <v>145</v>
      </c>
      <c r="P638" t="s">
        <v>242</v>
      </c>
      <c r="Q638">
        <f t="shared" si="12"/>
        <v>277</v>
      </c>
      <c r="R638">
        <f>_xlfn.XLOOKUP(E638,'Data Additive'!E:E,'Data Additive'!E:E,0)</f>
        <v>0</v>
      </c>
    </row>
    <row r="639" spans="1:18" x14ac:dyDescent="0.25">
      <c r="A639">
        <v>15749</v>
      </c>
      <c r="B639" t="s">
        <v>468</v>
      </c>
      <c r="C639" t="s">
        <v>15617</v>
      </c>
      <c r="D639" s="32">
        <v>66740</v>
      </c>
      <c r="E639">
        <v>1246279766</v>
      </c>
      <c r="F639" s="28">
        <v>46217</v>
      </c>
      <c r="H639" t="s">
        <v>23</v>
      </c>
      <c r="I639" t="s">
        <v>24</v>
      </c>
      <c r="J639">
        <v>3021</v>
      </c>
      <c r="K639" s="28">
        <v>46189</v>
      </c>
      <c r="L639">
        <v>1010100</v>
      </c>
      <c r="M639" t="s">
        <v>29</v>
      </c>
      <c r="N639">
        <v>161</v>
      </c>
      <c r="O639" t="s">
        <v>145</v>
      </c>
      <c r="P639" t="s">
        <v>468</v>
      </c>
      <c r="Q639">
        <f t="shared" si="12"/>
        <v>-20</v>
      </c>
      <c r="R639">
        <f>_xlfn.XLOOKUP(E639,'Data Additive'!E:E,'Data Additive'!E:E,0)</f>
        <v>1246279766</v>
      </c>
    </row>
    <row r="640" spans="1:18" x14ac:dyDescent="0.25">
      <c r="A640">
        <v>16107</v>
      </c>
      <c r="B640" t="s">
        <v>494</v>
      </c>
      <c r="C640" t="s">
        <v>495</v>
      </c>
      <c r="D640" s="32">
        <v>58579.74</v>
      </c>
      <c r="E640">
        <v>1246235692</v>
      </c>
      <c r="F640" s="28">
        <v>46265</v>
      </c>
      <c r="H640" t="s">
        <v>156</v>
      </c>
      <c r="I640" t="s">
        <v>157</v>
      </c>
      <c r="J640">
        <v>9246</v>
      </c>
      <c r="K640" s="28">
        <v>45908</v>
      </c>
      <c r="L640">
        <v>1010100</v>
      </c>
      <c r="M640" t="s">
        <v>29</v>
      </c>
      <c r="N640">
        <v>161</v>
      </c>
      <c r="O640" t="s">
        <v>145</v>
      </c>
      <c r="P640" t="s">
        <v>494</v>
      </c>
      <c r="Q640">
        <f t="shared" si="12"/>
        <v>-68</v>
      </c>
      <c r="R640">
        <f>_xlfn.XLOOKUP(E640,'Data Additive'!E:E,'Data Additive'!E:E,0)</f>
        <v>0</v>
      </c>
    </row>
    <row r="641" spans="1:18" x14ac:dyDescent="0.25">
      <c r="A641">
        <v>16107</v>
      </c>
      <c r="B641" t="s">
        <v>494</v>
      </c>
      <c r="C641" t="s">
        <v>495</v>
      </c>
      <c r="D641" s="32">
        <v>120293.94</v>
      </c>
      <c r="E641">
        <v>1246234013</v>
      </c>
      <c r="F641" s="28">
        <v>46265</v>
      </c>
      <c r="H641" t="s">
        <v>156</v>
      </c>
      <c r="I641" t="s">
        <v>157</v>
      </c>
      <c r="J641">
        <v>9130</v>
      </c>
      <c r="K641" s="28">
        <v>45898</v>
      </c>
      <c r="L641">
        <v>1010100</v>
      </c>
      <c r="M641" t="s">
        <v>29</v>
      </c>
      <c r="N641">
        <v>161</v>
      </c>
      <c r="O641" t="s">
        <v>145</v>
      </c>
      <c r="P641" t="s">
        <v>494</v>
      </c>
      <c r="Q641">
        <f t="shared" si="12"/>
        <v>-68</v>
      </c>
      <c r="R641">
        <f>_xlfn.XLOOKUP(E641,'Data Additive'!E:E,'Data Additive'!E:E,0)</f>
        <v>0</v>
      </c>
    </row>
    <row r="642" spans="1:18" x14ac:dyDescent="0.25">
      <c r="A642">
        <v>16107</v>
      </c>
      <c r="B642" t="s">
        <v>494</v>
      </c>
      <c r="C642" t="s">
        <v>495</v>
      </c>
      <c r="D642" s="32">
        <v>52795.360000000001</v>
      </c>
      <c r="E642">
        <v>1246231811</v>
      </c>
      <c r="F642" s="28">
        <v>46265</v>
      </c>
      <c r="H642" t="s">
        <v>156</v>
      </c>
      <c r="I642" t="s">
        <v>157</v>
      </c>
      <c r="J642">
        <v>8929</v>
      </c>
      <c r="K642" s="28">
        <v>45888</v>
      </c>
      <c r="L642">
        <v>1010100</v>
      </c>
      <c r="M642" t="s">
        <v>29</v>
      </c>
      <c r="N642">
        <v>161</v>
      </c>
      <c r="O642" t="s">
        <v>145</v>
      </c>
      <c r="P642" t="s">
        <v>494</v>
      </c>
      <c r="Q642">
        <f t="shared" si="12"/>
        <v>-68</v>
      </c>
      <c r="R642">
        <f>_xlfn.XLOOKUP(E642,'Data Additive'!E:E,'Data Additive'!E:E,0)</f>
        <v>0</v>
      </c>
    </row>
    <row r="643" spans="1:18" x14ac:dyDescent="0.25">
      <c r="A643">
        <v>16107</v>
      </c>
      <c r="B643" t="s">
        <v>494</v>
      </c>
      <c r="C643" t="s">
        <v>495</v>
      </c>
      <c r="D643" s="32">
        <v>92391.88</v>
      </c>
      <c r="E643">
        <v>1246232362</v>
      </c>
      <c r="F643" s="28">
        <v>46265</v>
      </c>
      <c r="H643" t="s">
        <v>156</v>
      </c>
      <c r="I643" t="s">
        <v>157</v>
      </c>
      <c r="J643">
        <v>8978</v>
      </c>
      <c r="K643" s="28">
        <v>45890</v>
      </c>
      <c r="L643">
        <v>1010100</v>
      </c>
      <c r="M643" t="s">
        <v>29</v>
      </c>
      <c r="N643">
        <v>161</v>
      </c>
      <c r="O643" t="s">
        <v>145</v>
      </c>
      <c r="P643" t="s">
        <v>494</v>
      </c>
      <c r="Q643">
        <f t="shared" si="12"/>
        <v>-68</v>
      </c>
      <c r="R643">
        <f>_xlfn.XLOOKUP(E643,'Data Additive'!E:E,'Data Additive'!E:E,0)</f>
        <v>0</v>
      </c>
    </row>
    <row r="644" spans="1:18" x14ac:dyDescent="0.25">
      <c r="A644">
        <v>16107</v>
      </c>
      <c r="B644" t="s">
        <v>494</v>
      </c>
      <c r="C644" t="s">
        <v>495</v>
      </c>
      <c r="D644" s="32">
        <v>94968.9</v>
      </c>
      <c r="E644">
        <v>1246234271</v>
      </c>
      <c r="F644" s="28">
        <v>46265</v>
      </c>
      <c r="H644" t="s">
        <v>156</v>
      </c>
      <c r="I644" t="s">
        <v>157</v>
      </c>
      <c r="J644">
        <v>9136</v>
      </c>
      <c r="K644" s="28">
        <v>45901</v>
      </c>
      <c r="L644">
        <v>1010100</v>
      </c>
      <c r="M644" t="s">
        <v>29</v>
      </c>
      <c r="N644">
        <v>161</v>
      </c>
      <c r="O644" t="s">
        <v>145</v>
      </c>
      <c r="P644" t="s">
        <v>494</v>
      </c>
      <c r="Q644">
        <f t="shared" si="12"/>
        <v>-68</v>
      </c>
      <c r="R644">
        <f>_xlfn.XLOOKUP(E644,'Data Additive'!E:E,'Data Additive'!E:E,0)</f>
        <v>0</v>
      </c>
    </row>
    <row r="645" spans="1:18" x14ac:dyDescent="0.25">
      <c r="A645">
        <v>16107</v>
      </c>
      <c r="B645" t="s">
        <v>494</v>
      </c>
      <c r="C645" t="s">
        <v>495</v>
      </c>
      <c r="D645" s="32">
        <v>101300.16</v>
      </c>
      <c r="E645">
        <v>1246233237</v>
      </c>
      <c r="F645" s="28">
        <v>46265</v>
      </c>
      <c r="H645" t="s">
        <v>156</v>
      </c>
      <c r="I645" t="s">
        <v>157</v>
      </c>
      <c r="J645">
        <v>9072</v>
      </c>
      <c r="K645" s="28">
        <v>45896</v>
      </c>
      <c r="L645">
        <v>1010100</v>
      </c>
      <c r="M645" t="s">
        <v>29</v>
      </c>
      <c r="N645">
        <v>161</v>
      </c>
      <c r="O645" t="s">
        <v>145</v>
      </c>
      <c r="P645" t="s">
        <v>494</v>
      </c>
      <c r="Q645">
        <f t="shared" si="12"/>
        <v>-68</v>
      </c>
      <c r="R645">
        <f>_xlfn.XLOOKUP(E645,'Data Additive'!E:E,'Data Additive'!E:E,0)</f>
        <v>0</v>
      </c>
    </row>
    <row r="646" spans="1:18" x14ac:dyDescent="0.25">
      <c r="A646">
        <v>16107</v>
      </c>
      <c r="B646" t="s">
        <v>494</v>
      </c>
      <c r="C646" t="s">
        <v>495</v>
      </c>
      <c r="D646" s="32">
        <v>27054.5</v>
      </c>
      <c r="E646">
        <v>1246235694</v>
      </c>
      <c r="F646" s="28">
        <v>46265</v>
      </c>
      <c r="H646" t="s">
        <v>156</v>
      </c>
      <c r="I646" t="s">
        <v>157</v>
      </c>
      <c r="J646">
        <v>9247</v>
      </c>
      <c r="K646" s="28">
        <v>45908</v>
      </c>
      <c r="L646">
        <v>1010100</v>
      </c>
      <c r="M646" t="s">
        <v>29</v>
      </c>
      <c r="N646">
        <v>161</v>
      </c>
      <c r="O646" t="s">
        <v>145</v>
      </c>
      <c r="P646" t="s">
        <v>494</v>
      </c>
      <c r="Q646">
        <f t="shared" si="12"/>
        <v>-68</v>
      </c>
      <c r="R646">
        <f>_xlfn.XLOOKUP(E646,'Data Additive'!E:E,'Data Additive'!E:E,0)</f>
        <v>0</v>
      </c>
    </row>
    <row r="647" spans="1:18" x14ac:dyDescent="0.25">
      <c r="A647">
        <v>16107</v>
      </c>
      <c r="B647" t="s">
        <v>494</v>
      </c>
      <c r="C647" t="s">
        <v>495</v>
      </c>
      <c r="D647" s="32">
        <v>94968.9</v>
      </c>
      <c r="E647">
        <v>1246233894</v>
      </c>
      <c r="F647" s="28">
        <v>46265</v>
      </c>
      <c r="H647" t="s">
        <v>156</v>
      </c>
      <c r="I647" t="s">
        <v>157</v>
      </c>
      <c r="J647">
        <v>9120</v>
      </c>
      <c r="K647" s="28">
        <v>45898</v>
      </c>
      <c r="L647">
        <v>1010100</v>
      </c>
      <c r="M647" t="s">
        <v>29</v>
      </c>
      <c r="N647">
        <v>161</v>
      </c>
      <c r="O647" t="s">
        <v>145</v>
      </c>
      <c r="P647" t="s">
        <v>494</v>
      </c>
      <c r="Q647">
        <f t="shared" si="12"/>
        <v>-68</v>
      </c>
      <c r="R647">
        <f>_xlfn.XLOOKUP(E647,'Data Additive'!E:E,'Data Additive'!E:E,0)</f>
        <v>0</v>
      </c>
    </row>
    <row r="648" spans="1:18" x14ac:dyDescent="0.25">
      <c r="A648">
        <v>16107</v>
      </c>
      <c r="B648" t="s">
        <v>494</v>
      </c>
      <c r="C648" t="s">
        <v>495</v>
      </c>
      <c r="D648" s="32">
        <v>94968.9</v>
      </c>
      <c r="E648">
        <v>1246238555</v>
      </c>
      <c r="F648" s="28">
        <v>46265</v>
      </c>
      <c r="H648" t="s">
        <v>156</v>
      </c>
      <c r="I648" t="s">
        <v>157</v>
      </c>
      <c r="J648">
        <v>9444</v>
      </c>
      <c r="K648" s="28">
        <v>45924</v>
      </c>
      <c r="L648">
        <v>1010100</v>
      </c>
      <c r="M648" t="s">
        <v>29</v>
      </c>
      <c r="N648">
        <v>161</v>
      </c>
      <c r="O648" t="s">
        <v>145</v>
      </c>
      <c r="P648" t="s">
        <v>494</v>
      </c>
      <c r="Q648">
        <f t="shared" si="12"/>
        <v>-68</v>
      </c>
      <c r="R648">
        <f>_xlfn.XLOOKUP(E648,'Data Additive'!E:E,'Data Additive'!E:E,0)</f>
        <v>0</v>
      </c>
    </row>
    <row r="649" spans="1:18" x14ac:dyDescent="0.25">
      <c r="A649">
        <v>16107</v>
      </c>
      <c r="B649" t="s">
        <v>494</v>
      </c>
      <c r="C649" t="s">
        <v>495</v>
      </c>
      <c r="D649" s="32">
        <v>2217.7800000000002</v>
      </c>
      <c r="E649">
        <v>1246235696</v>
      </c>
      <c r="F649" s="28">
        <v>46265</v>
      </c>
      <c r="H649" t="s">
        <v>156</v>
      </c>
      <c r="I649" t="s">
        <v>157</v>
      </c>
      <c r="J649">
        <v>9248</v>
      </c>
      <c r="K649" s="28">
        <v>45908</v>
      </c>
      <c r="L649">
        <v>1010100</v>
      </c>
      <c r="M649" t="s">
        <v>29</v>
      </c>
      <c r="N649">
        <v>161</v>
      </c>
      <c r="O649" t="s">
        <v>145</v>
      </c>
      <c r="P649" t="s">
        <v>494</v>
      </c>
      <c r="Q649">
        <f t="shared" si="12"/>
        <v>-68</v>
      </c>
      <c r="R649">
        <f>_xlfn.XLOOKUP(E649,'Data Additive'!E:E,'Data Additive'!E:E,0)</f>
        <v>0</v>
      </c>
    </row>
    <row r="650" spans="1:18" x14ac:dyDescent="0.25">
      <c r="D650" s="32"/>
      <c r="F650" s="28"/>
      <c r="K650" s="28"/>
      <c r="Q650">
        <f t="shared" si="12"/>
        <v>46197</v>
      </c>
      <c r="R650">
        <f>_xlfn.XLOOKUP(E650,'Data Additive'!E:E,'Data Additive'!E:E,0)</f>
        <v>0</v>
      </c>
    </row>
    <row r="651" spans="1:18" x14ac:dyDescent="0.25">
      <c r="D651" s="32"/>
      <c r="F651" s="28"/>
      <c r="K651" s="28"/>
      <c r="Q651">
        <f t="shared" si="12"/>
        <v>46197</v>
      </c>
      <c r="R651">
        <f>_xlfn.XLOOKUP(E651,'Data Additive'!E:E,'Data Additive'!E:E,0)</f>
        <v>0</v>
      </c>
    </row>
    <row r="652" spans="1:18" x14ac:dyDescent="0.25">
      <c r="D652" s="32"/>
      <c r="F652" s="28"/>
      <c r="K652" s="28"/>
      <c r="Q652">
        <f t="shared" si="12"/>
        <v>46197</v>
      </c>
      <c r="R652">
        <f>_xlfn.XLOOKUP(E652,'Data Additive'!E:E,'Data Additive'!E:E,0)</f>
        <v>0</v>
      </c>
    </row>
    <row r="653" spans="1:18" x14ac:dyDescent="0.25">
      <c r="D653" s="32"/>
      <c r="F653" s="28"/>
      <c r="K653" s="28"/>
      <c r="Q653">
        <f t="shared" si="12"/>
        <v>46197</v>
      </c>
      <c r="R653">
        <f>_xlfn.XLOOKUP(E653,'Data Additive'!E:E,'Data Additive'!E:E,0)</f>
        <v>0</v>
      </c>
    </row>
    <row r="654" spans="1:18" x14ac:dyDescent="0.25">
      <c r="D654" s="32"/>
      <c r="F654" s="28"/>
      <c r="K654" s="28"/>
      <c r="Q654">
        <f t="shared" si="12"/>
        <v>46197</v>
      </c>
      <c r="R654">
        <f>_xlfn.XLOOKUP(E654,'Data Additive'!E:E,'Data Additive'!E:E,0)</f>
        <v>0</v>
      </c>
    </row>
    <row r="655" spans="1:18" x14ac:dyDescent="0.25">
      <c r="D655" s="32"/>
      <c r="F655" s="28"/>
      <c r="K655" s="28"/>
      <c r="Q655">
        <f t="shared" si="12"/>
        <v>46197</v>
      </c>
      <c r="R655">
        <f>_xlfn.XLOOKUP(E655,'Data Additive'!E:E,'Data Additive'!E:E,0)</f>
        <v>0</v>
      </c>
    </row>
    <row r="656" spans="1:18" x14ac:dyDescent="0.25">
      <c r="D656" s="32"/>
      <c r="F656" s="28"/>
      <c r="K656" s="28"/>
      <c r="Q656">
        <f t="shared" si="12"/>
        <v>46197</v>
      </c>
      <c r="R656">
        <f>_xlfn.XLOOKUP(E656,'Data Additive'!E:E,'Data Additive'!E:E,0)</f>
        <v>0</v>
      </c>
    </row>
    <row r="657" spans="4:18" x14ac:dyDescent="0.25">
      <c r="D657" s="32"/>
      <c r="F657" s="28"/>
      <c r="K657" s="28"/>
      <c r="Q657">
        <f t="shared" si="12"/>
        <v>46197</v>
      </c>
      <c r="R657">
        <f>_xlfn.XLOOKUP(E657,'Data Additive'!E:E,'Data Additive'!E:E,0)</f>
        <v>0</v>
      </c>
    </row>
    <row r="658" spans="4:18" x14ac:dyDescent="0.25">
      <c r="D658" s="32"/>
      <c r="F658" s="28"/>
      <c r="K658" s="28"/>
      <c r="Q658">
        <f t="shared" si="12"/>
        <v>46197</v>
      </c>
      <c r="R658">
        <f>_xlfn.XLOOKUP(E658,'Data Additive'!E:E,'Data Additive'!E:E,0)</f>
        <v>0</v>
      </c>
    </row>
    <row r="659" spans="4:18" x14ac:dyDescent="0.25">
      <c r="D659" s="32"/>
      <c r="F659" s="28"/>
      <c r="K659" s="28"/>
      <c r="Q659">
        <f t="shared" si="12"/>
        <v>46197</v>
      </c>
      <c r="R659">
        <f>_xlfn.XLOOKUP(E659,'Data Additive'!E:E,'Data Additive'!E:E,0)</f>
        <v>0</v>
      </c>
    </row>
    <row r="660" spans="4:18" x14ac:dyDescent="0.25">
      <c r="D660" s="32"/>
      <c r="F660" s="28"/>
      <c r="K660" s="28"/>
      <c r="Q660">
        <f t="shared" si="12"/>
        <v>46197</v>
      </c>
      <c r="R660">
        <f>_xlfn.XLOOKUP(E660,'Data Additive'!E:E,'Data Additive'!E:E,0)</f>
        <v>0</v>
      </c>
    </row>
    <row r="661" spans="4:18" x14ac:dyDescent="0.25">
      <c r="D661" s="32"/>
      <c r="F661" s="28"/>
      <c r="K661" s="28"/>
      <c r="Q661">
        <f t="shared" si="12"/>
        <v>46197</v>
      </c>
      <c r="R661">
        <f>_xlfn.XLOOKUP(E661,'Data Additive'!E:E,'Data Additive'!E:E,0)</f>
        <v>0</v>
      </c>
    </row>
    <row r="662" spans="4:18" x14ac:dyDescent="0.25">
      <c r="D662" s="32"/>
      <c r="F662" s="28"/>
      <c r="K662" s="28"/>
      <c r="Q662">
        <f t="shared" si="12"/>
        <v>46197</v>
      </c>
      <c r="R662">
        <f>_xlfn.XLOOKUP(E662,'Data Additive'!E:E,'Data Additive'!E:E,0)</f>
        <v>0</v>
      </c>
    </row>
    <row r="663" spans="4:18" x14ac:dyDescent="0.25">
      <c r="D663" s="32"/>
      <c r="F663" s="28"/>
      <c r="K663" s="28"/>
      <c r="Q663">
        <f t="shared" si="12"/>
        <v>46197</v>
      </c>
      <c r="R663">
        <f>_xlfn.XLOOKUP(E663,'Data Additive'!E:E,'Data Additive'!E:E,0)</f>
        <v>0</v>
      </c>
    </row>
    <row r="664" spans="4:18" x14ac:dyDescent="0.25">
      <c r="D664" s="32"/>
      <c r="F664" s="28"/>
      <c r="K664" s="28"/>
      <c r="Q664">
        <f t="shared" si="12"/>
        <v>46197</v>
      </c>
      <c r="R664">
        <f>_xlfn.XLOOKUP(E664,'Data Additive'!E:E,'Data Additive'!E:E,0)</f>
        <v>0</v>
      </c>
    </row>
    <row r="665" spans="4:18" x14ac:dyDescent="0.25">
      <c r="D665" s="32"/>
      <c r="F665" s="28"/>
      <c r="K665" s="28"/>
      <c r="Q665">
        <f t="shared" si="12"/>
        <v>46197</v>
      </c>
      <c r="R665">
        <f>_xlfn.XLOOKUP(E665,'Data Additive'!E:E,'Data Additive'!E:E,0)</f>
        <v>0</v>
      </c>
    </row>
    <row r="666" spans="4:18" x14ac:dyDescent="0.25">
      <c r="D666" s="32"/>
      <c r="F666" s="28"/>
      <c r="K666" s="28"/>
      <c r="Q666">
        <f t="shared" ref="Q666:Q722" si="13">$R$1-F666</f>
        <v>46197</v>
      </c>
      <c r="R666">
        <f>_xlfn.XLOOKUP(E666,'Data Additive'!E:E,'Data Additive'!E:E,0)</f>
        <v>0</v>
      </c>
    </row>
    <row r="667" spans="4:18" x14ac:dyDescent="0.25">
      <c r="D667" s="32"/>
      <c r="F667" s="28"/>
      <c r="K667" s="28"/>
      <c r="Q667">
        <f t="shared" si="13"/>
        <v>46197</v>
      </c>
      <c r="R667">
        <f>_xlfn.XLOOKUP(E667,'Data Additive'!E:E,'Data Additive'!E:E,0)</f>
        <v>0</v>
      </c>
    </row>
    <row r="668" spans="4:18" x14ac:dyDescent="0.25">
      <c r="D668" s="32"/>
      <c r="F668" s="28"/>
      <c r="K668" s="28"/>
      <c r="Q668">
        <f t="shared" si="13"/>
        <v>46197</v>
      </c>
      <c r="R668">
        <f>_xlfn.XLOOKUP(E668,'Data Additive'!E:E,'Data Additive'!E:E,0)</f>
        <v>0</v>
      </c>
    </row>
    <row r="669" spans="4:18" x14ac:dyDescent="0.25">
      <c r="D669" s="32"/>
      <c r="F669" s="28"/>
      <c r="K669" s="28"/>
      <c r="Q669">
        <f t="shared" si="13"/>
        <v>46197</v>
      </c>
      <c r="R669">
        <f>_xlfn.XLOOKUP(E669,'Data Additive'!E:E,'Data Additive'!E:E,0)</f>
        <v>0</v>
      </c>
    </row>
    <row r="670" spans="4:18" x14ac:dyDescent="0.25">
      <c r="D670" s="32"/>
      <c r="F670" s="28"/>
      <c r="G670" s="28"/>
      <c r="K670" s="28"/>
      <c r="Q670">
        <f t="shared" si="13"/>
        <v>46197</v>
      </c>
      <c r="R670">
        <f>_xlfn.XLOOKUP(E670,'Data Additive'!E:E,'Data Additive'!E:E,0)</f>
        <v>0</v>
      </c>
    </row>
    <row r="671" spans="4:18" x14ac:dyDescent="0.25">
      <c r="D671" s="32"/>
      <c r="F671" s="28"/>
      <c r="G671" s="28"/>
      <c r="K671" s="28"/>
      <c r="Q671">
        <f t="shared" si="13"/>
        <v>46197</v>
      </c>
      <c r="R671">
        <f>_xlfn.XLOOKUP(E671,'Data Additive'!E:E,'Data Additive'!E:E,0)</f>
        <v>0</v>
      </c>
    </row>
    <row r="672" spans="4:18" x14ac:dyDescent="0.25">
      <c r="D672" s="32"/>
      <c r="F672" s="28"/>
      <c r="G672" s="28"/>
      <c r="K672" s="28"/>
      <c r="Q672">
        <f t="shared" si="13"/>
        <v>46197</v>
      </c>
      <c r="R672">
        <f>_xlfn.XLOOKUP(E672,'Data Additive'!E:E,'Data Additive'!E:E,0)</f>
        <v>0</v>
      </c>
    </row>
    <row r="673" spans="4:18" x14ac:dyDescent="0.25">
      <c r="D673" s="32"/>
      <c r="F673" s="28"/>
      <c r="K673" s="28"/>
      <c r="Q673">
        <f t="shared" si="13"/>
        <v>46197</v>
      </c>
      <c r="R673">
        <f>_xlfn.XLOOKUP(E673,'Data Additive'!E:E,'Data Additive'!E:E,0)</f>
        <v>0</v>
      </c>
    </row>
    <row r="674" spans="4:18" x14ac:dyDescent="0.25">
      <c r="D674" s="32"/>
      <c r="F674" s="28"/>
      <c r="K674" s="28"/>
      <c r="Q674">
        <f t="shared" si="13"/>
        <v>46197</v>
      </c>
      <c r="R674">
        <f>_xlfn.XLOOKUP(E674,'Data Additive'!E:E,'Data Additive'!E:E,0)</f>
        <v>0</v>
      </c>
    </row>
    <row r="675" spans="4:18" x14ac:dyDescent="0.25">
      <c r="D675" s="32"/>
      <c r="F675" s="28"/>
      <c r="K675" s="28"/>
      <c r="Q675">
        <f t="shared" si="13"/>
        <v>46197</v>
      </c>
      <c r="R675">
        <f>_xlfn.XLOOKUP(E675,'Data Additive'!E:E,'Data Additive'!E:E,0)</f>
        <v>0</v>
      </c>
    </row>
    <row r="676" spans="4:18" x14ac:dyDescent="0.25">
      <c r="D676" s="32"/>
      <c r="F676" s="28"/>
      <c r="K676" s="28"/>
      <c r="Q676">
        <f t="shared" si="13"/>
        <v>46197</v>
      </c>
      <c r="R676">
        <f>_xlfn.XLOOKUP(E676,'Data Additive'!E:E,'Data Additive'!E:E,0)</f>
        <v>0</v>
      </c>
    </row>
    <row r="677" spans="4:18" x14ac:dyDescent="0.25">
      <c r="D677" s="32"/>
      <c r="F677" s="28"/>
      <c r="K677" s="28"/>
      <c r="Q677">
        <f t="shared" si="13"/>
        <v>46197</v>
      </c>
      <c r="R677">
        <f>_xlfn.XLOOKUP(E677,'Data Additive'!E:E,'Data Additive'!E:E,0)</f>
        <v>0</v>
      </c>
    </row>
    <row r="678" spans="4:18" x14ac:dyDescent="0.25">
      <c r="D678" s="32"/>
      <c r="F678" s="28"/>
      <c r="K678" s="28"/>
      <c r="Q678">
        <f t="shared" si="13"/>
        <v>46197</v>
      </c>
      <c r="R678">
        <f>_xlfn.XLOOKUP(E678,'Data Additive'!E:E,'Data Additive'!E:E,0)</f>
        <v>0</v>
      </c>
    </row>
    <row r="679" spans="4:18" x14ac:dyDescent="0.25">
      <c r="D679" s="32"/>
      <c r="F679" s="28"/>
      <c r="K679" s="28"/>
      <c r="Q679">
        <f t="shared" si="13"/>
        <v>46197</v>
      </c>
      <c r="R679">
        <f>_xlfn.XLOOKUP(E679,'Data Additive'!E:E,'Data Additive'!E:E,0)</f>
        <v>0</v>
      </c>
    </row>
    <row r="680" spans="4:18" x14ac:dyDescent="0.25">
      <c r="D680" s="32"/>
      <c r="F680" s="28"/>
      <c r="K680" s="28"/>
      <c r="Q680">
        <f t="shared" si="13"/>
        <v>46197</v>
      </c>
      <c r="R680">
        <f>_xlfn.XLOOKUP(E680,'Data Additive'!E:E,'Data Additive'!E:E,0)</f>
        <v>0</v>
      </c>
    </row>
    <row r="681" spans="4:18" x14ac:dyDescent="0.25">
      <c r="D681" s="32"/>
      <c r="F681" s="28"/>
      <c r="K681" s="28"/>
      <c r="Q681">
        <f t="shared" si="13"/>
        <v>46197</v>
      </c>
      <c r="R681">
        <f>_xlfn.XLOOKUP(E681,'Data Additive'!E:E,'Data Additive'!E:E,0)</f>
        <v>0</v>
      </c>
    </row>
    <row r="682" spans="4:18" x14ac:dyDescent="0.25">
      <c r="D682" s="32"/>
      <c r="F682" s="28"/>
      <c r="K682" s="28"/>
      <c r="Q682">
        <f t="shared" si="13"/>
        <v>46197</v>
      </c>
      <c r="R682">
        <f>_xlfn.XLOOKUP(E682,'Data Additive'!E:E,'Data Additive'!E:E,0)</f>
        <v>0</v>
      </c>
    </row>
    <row r="683" spans="4:18" x14ac:dyDescent="0.25">
      <c r="D683" s="32"/>
      <c r="F683" s="28"/>
      <c r="K683" s="28"/>
      <c r="Q683">
        <f t="shared" si="13"/>
        <v>46197</v>
      </c>
      <c r="R683">
        <f>_xlfn.XLOOKUP(E683,'Data Additive'!E:E,'Data Additive'!E:E,0)</f>
        <v>0</v>
      </c>
    </row>
    <row r="684" spans="4:18" x14ac:dyDescent="0.25">
      <c r="D684" s="32"/>
      <c r="F684" s="28"/>
      <c r="K684" s="28"/>
      <c r="Q684">
        <f t="shared" si="13"/>
        <v>46197</v>
      </c>
      <c r="R684">
        <f>_xlfn.XLOOKUP(E684,'Data Additive'!E:E,'Data Additive'!E:E,0)</f>
        <v>0</v>
      </c>
    </row>
    <row r="685" spans="4:18" x14ac:dyDescent="0.25">
      <c r="D685" s="32"/>
      <c r="F685" s="28"/>
      <c r="K685" s="28"/>
      <c r="Q685">
        <f t="shared" si="13"/>
        <v>46197</v>
      </c>
      <c r="R685">
        <f>_xlfn.XLOOKUP(E685,'Data Additive'!E:E,'Data Additive'!E:E,0)</f>
        <v>0</v>
      </c>
    </row>
    <row r="686" spans="4:18" x14ac:dyDescent="0.25">
      <c r="D686" s="32"/>
      <c r="F686" s="28"/>
      <c r="K686" s="28"/>
      <c r="Q686">
        <f t="shared" si="13"/>
        <v>46197</v>
      </c>
      <c r="R686">
        <f>_xlfn.XLOOKUP(E686,'Data Additive'!E:E,'Data Additive'!E:E,0)</f>
        <v>0</v>
      </c>
    </row>
    <row r="687" spans="4:18" x14ac:dyDescent="0.25">
      <c r="D687" s="32"/>
      <c r="F687" s="28"/>
      <c r="K687" s="28"/>
      <c r="Q687">
        <f t="shared" si="13"/>
        <v>46197</v>
      </c>
      <c r="R687">
        <f>_xlfn.XLOOKUP(E687,'Data Additive'!E:E,'Data Additive'!E:E,0)</f>
        <v>0</v>
      </c>
    </row>
    <row r="688" spans="4:18" x14ac:dyDescent="0.25">
      <c r="D688" s="32"/>
      <c r="F688" s="28"/>
      <c r="K688" s="28"/>
      <c r="Q688">
        <f t="shared" si="13"/>
        <v>46197</v>
      </c>
      <c r="R688">
        <f>_xlfn.XLOOKUP(E688,'Data Additive'!E:E,'Data Additive'!E:E,0)</f>
        <v>0</v>
      </c>
    </row>
    <row r="689" spans="4:18" x14ac:dyDescent="0.25">
      <c r="D689" s="32"/>
      <c r="F689" s="28"/>
      <c r="K689" s="28"/>
      <c r="Q689">
        <f t="shared" si="13"/>
        <v>46197</v>
      </c>
      <c r="R689">
        <f>_xlfn.XLOOKUP(E689,'Data Additive'!E:E,'Data Additive'!E:E,0)</f>
        <v>0</v>
      </c>
    </row>
    <row r="690" spans="4:18" x14ac:dyDescent="0.25">
      <c r="D690" s="32"/>
      <c r="F690" s="28"/>
      <c r="K690" s="28"/>
      <c r="Q690">
        <f t="shared" si="13"/>
        <v>46197</v>
      </c>
      <c r="R690">
        <f>_xlfn.XLOOKUP(E690,'Data Additive'!E:E,'Data Additive'!E:E,0)</f>
        <v>0</v>
      </c>
    </row>
    <row r="691" spans="4:18" x14ac:dyDescent="0.25">
      <c r="D691" s="32"/>
      <c r="F691" s="28"/>
      <c r="K691" s="28"/>
      <c r="Q691">
        <f t="shared" si="13"/>
        <v>46197</v>
      </c>
      <c r="R691">
        <f>_xlfn.XLOOKUP(E691,'Data Additive'!E:E,'Data Additive'!E:E,0)</f>
        <v>0</v>
      </c>
    </row>
    <row r="692" spans="4:18" x14ac:dyDescent="0.25">
      <c r="D692" s="32"/>
      <c r="F692" s="28"/>
      <c r="K692" s="28"/>
      <c r="Q692">
        <f t="shared" si="13"/>
        <v>46197</v>
      </c>
      <c r="R692">
        <f>_xlfn.XLOOKUP(E692,'Data Additive'!E:E,'Data Additive'!E:E,0)</f>
        <v>0</v>
      </c>
    </row>
    <row r="693" spans="4:18" x14ac:dyDescent="0.25">
      <c r="D693" s="32"/>
      <c r="F693" s="28"/>
      <c r="K693" s="28"/>
      <c r="Q693">
        <f t="shared" si="13"/>
        <v>46197</v>
      </c>
      <c r="R693">
        <f>_xlfn.XLOOKUP(E693,'Data Additive'!E:E,'Data Additive'!E:E,0)</f>
        <v>0</v>
      </c>
    </row>
    <row r="694" spans="4:18" x14ac:dyDescent="0.25">
      <c r="D694" s="32"/>
      <c r="F694" s="28"/>
      <c r="K694" s="28"/>
      <c r="Q694">
        <f t="shared" si="13"/>
        <v>46197</v>
      </c>
      <c r="R694">
        <f>_xlfn.XLOOKUP(E694,'Data Additive'!E:E,'Data Additive'!E:E,0)</f>
        <v>0</v>
      </c>
    </row>
    <row r="695" spans="4:18" x14ac:dyDescent="0.25">
      <c r="D695" s="32"/>
      <c r="F695" s="28"/>
      <c r="K695" s="28"/>
      <c r="Q695">
        <f t="shared" si="13"/>
        <v>46197</v>
      </c>
      <c r="R695">
        <f>_xlfn.XLOOKUP(E695,'Data Additive'!E:E,'Data Additive'!E:E,0)</f>
        <v>0</v>
      </c>
    </row>
    <row r="696" spans="4:18" x14ac:dyDescent="0.25">
      <c r="D696" s="32"/>
      <c r="F696" s="28"/>
      <c r="K696" s="28"/>
      <c r="Q696">
        <f t="shared" si="13"/>
        <v>46197</v>
      </c>
      <c r="R696">
        <f>_xlfn.XLOOKUP(E696,'Data Additive'!E:E,'Data Additive'!E:E,0)</f>
        <v>0</v>
      </c>
    </row>
    <row r="697" spans="4:18" x14ac:dyDescent="0.25">
      <c r="D697" s="32"/>
      <c r="F697" s="28"/>
      <c r="K697" s="28"/>
      <c r="Q697">
        <f t="shared" si="13"/>
        <v>46197</v>
      </c>
      <c r="R697">
        <f>_xlfn.XLOOKUP(E697,'Data Additive'!E:E,'Data Additive'!E:E,0)</f>
        <v>0</v>
      </c>
    </row>
    <row r="698" spans="4:18" x14ac:dyDescent="0.25">
      <c r="D698" s="32"/>
      <c r="F698" s="28"/>
      <c r="K698" s="28"/>
      <c r="Q698">
        <f t="shared" si="13"/>
        <v>46197</v>
      </c>
      <c r="R698">
        <f>_xlfn.XLOOKUP(E698,'Data Additive'!E:E,'Data Additive'!E:E,0)</f>
        <v>0</v>
      </c>
    </row>
    <row r="699" spans="4:18" x14ac:dyDescent="0.25">
      <c r="D699" s="32"/>
      <c r="F699" s="28"/>
      <c r="K699" s="28"/>
      <c r="Q699">
        <f t="shared" si="13"/>
        <v>46197</v>
      </c>
      <c r="R699">
        <f>_xlfn.XLOOKUP(E699,'Data Additive'!E:E,'Data Additive'!E:E,0)</f>
        <v>0</v>
      </c>
    </row>
    <row r="700" spans="4:18" x14ac:dyDescent="0.25">
      <c r="D700" s="32"/>
      <c r="F700" s="28"/>
      <c r="K700" s="28"/>
      <c r="Q700">
        <f t="shared" si="13"/>
        <v>46197</v>
      </c>
      <c r="R700">
        <f>_xlfn.XLOOKUP(E700,'Data Additive'!E:E,'Data Additive'!E:E,0)</f>
        <v>0</v>
      </c>
    </row>
    <row r="701" spans="4:18" x14ac:dyDescent="0.25">
      <c r="D701" s="32"/>
      <c r="F701" s="28"/>
      <c r="K701" s="28"/>
      <c r="Q701">
        <f t="shared" si="13"/>
        <v>46197</v>
      </c>
      <c r="R701">
        <f>_xlfn.XLOOKUP(E701,'Data Additive'!E:E,'Data Additive'!E:E,0)</f>
        <v>0</v>
      </c>
    </row>
    <row r="702" spans="4:18" x14ac:dyDescent="0.25">
      <c r="D702" s="32"/>
      <c r="F702" s="28"/>
      <c r="K702" s="28"/>
      <c r="Q702">
        <f t="shared" si="13"/>
        <v>46197</v>
      </c>
      <c r="R702">
        <f>_xlfn.XLOOKUP(E702,'Data Additive'!E:E,'Data Additive'!E:E,0)</f>
        <v>0</v>
      </c>
    </row>
    <row r="703" spans="4:18" x14ac:dyDescent="0.25">
      <c r="D703" s="32"/>
      <c r="F703" s="28"/>
      <c r="K703" s="28"/>
      <c r="Q703">
        <f t="shared" si="13"/>
        <v>46197</v>
      </c>
      <c r="R703">
        <f>_xlfn.XLOOKUP(E703,'Data Additive'!E:E,'Data Additive'!E:E,0)</f>
        <v>0</v>
      </c>
    </row>
    <row r="704" spans="4:18" x14ac:dyDescent="0.25">
      <c r="D704" s="32"/>
      <c r="F704" s="28"/>
      <c r="K704" s="28"/>
      <c r="Q704">
        <f t="shared" si="13"/>
        <v>46197</v>
      </c>
      <c r="R704">
        <f>_xlfn.XLOOKUP(E704,'Data Additive'!E:E,'Data Additive'!E:E,0)</f>
        <v>0</v>
      </c>
    </row>
    <row r="705" spans="4:18" x14ac:dyDescent="0.25">
      <c r="D705" s="32"/>
      <c r="F705" s="28"/>
      <c r="K705" s="28"/>
      <c r="Q705">
        <f t="shared" si="13"/>
        <v>46197</v>
      </c>
      <c r="R705">
        <f>_xlfn.XLOOKUP(E705,'Data Additive'!E:E,'Data Additive'!E:E,0)</f>
        <v>0</v>
      </c>
    </row>
    <row r="706" spans="4:18" x14ac:dyDescent="0.25">
      <c r="D706" s="32"/>
      <c r="F706" s="28"/>
      <c r="K706" s="28"/>
      <c r="Q706">
        <f t="shared" si="13"/>
        <v>46197</v>
      </c>
      <c r="R706">
        <f>_xlfn.XLOOKUP(E706,'Data Additive'!E:E,'Data Additive'!E:E,0)</f>
        <v>0</v>
      </c>
    </row>
    <row r="707" spans="4:18" x14ac:dyDescent="0.25">
      <c r="D707" s="32"/>
      <c r="F707" s="28"/>
      <c r="K707" s="28"/>
      <c r="Q707">
        <f t="shared" si="13"/>
        <v>46197</v>
      </c>
      <c r="R707">
        <f>_xlfn.XLOOKUP(E707,'Data Additive'!E:E,'Data Additive'!E:E,0)</f>
        <v>0</v>
      </c>
    </row>
    <row r="708" spans="4:18" x14ac:dyDescent="0.25">
      <c r="D708" s="32"/>
      <c r="F708" s="28"/>
      <c r="K708" s="28"/>
      <c r="Q708">
        <f t="shared" si="13"/>
        <v>46197</v>
      </c>
      <c r="R708">
        <f>_xlfn.XLOOKUP(E708,'Data Additive'!E:E,'Data Additive'!E:E,0)</f>
        <v>0</v>
      </c>
    </row>
    <row r="709" spans="4:18" x14ac:dyDescent="0.25">
      <c r="D709" s="32"/>
      <c r="F709" s="28"/>
      <c r="K709" s="28"/>
      <c r="Q709">
        <f t="shared" si="13"/>
        <v>46197</v>
      </c>
      <c r="R709">
        <f>_xlfn.XLOOKUP(E709,'Data Additive'!E:E,'Data Additive'!E:E,0)</f>
        <v>0</v>
      </c>
    </row>
    <row r="710" spans="4:18" x14ac:dyDescent="0.25">
      <c r="D710" s="32"/>
      <c r="F710" s="28"/>
      <c r="K710" s="28"/>
      <c r="Q710">
        <f t="shared" si="13"/>
        <v>46197</v>
      </c>
      <c r="R710">
        <f>_xlfn.XLOOKUP(E710,'Data Additive'!E:E,'Data Additive'!E:E,0)</f>
        <v>0</v>
      </c>
    </row>
    <row r="711" spans="4:18" x14ac:dyDescent="0.25">
      <c r="D711" s="32"/>
      <c r="F711" s="28"/>
      <c r="K711" s="28"/>
      <c r="Q711">
        <f t="shared" si="13"/>
        <v>46197</v>
      </c>
      <c r="R711">
        <f>_xlfn.XLOOKUP(E711,'Data Additive'!E:E,'Data Additive'!E:E,0)</f>
        <v>0</v>
      </c>
    </row>
    <row r="712" spans="4:18" x14ac:dyDescent="0.25">
      <c r="D712" s="32"/>
      <c r="F712" s="28"/>
      <c r="K712" s="28"/>
      <c r="Q712">
        <f t="shared" si="13"/>
        <v>46197</v>
      </c>
      <c r="R712">
        <f>_xlfn.XLOOKUP(E712,'Data Additive'!E:E,'Data Additive'!E:E,0)</f>
        <v>0</v>
      </c>
    </row>
    <row r="713" spans="4:18" x14ac:dyDescent="0.25">
      <c r="D713" s="32"/>
      <c r="F713" s="28"/>
      <c r="K713" s="28"/>
      <c r="Q713">
        <f t="shared" si="13"/>
        <v>46197</v>
      </c>
      <c r="R713">
        <f>_xlfn.XLOOKUP(E713,'Data Additive'!E:E,'Data Additive'!E:E,0)</f>
        <v>0</v>
      </c>
    </row>
    <row r="714" spans="4:18" x14ac:dyDescent="0.25">
      <c r="D714" s="32"/>
      <c r="F714" s="28"/>
      <c r="K714" s="28"/>
      <c r="Q714">
        <f t="shared" si="13"/>
        <v>46197</v>
      </c>
      <c r="R714">
        <f>_xlfn.XLOOKUP(E714,'Data Additive'!E:E,'Data Additive'!E:E,0)</f>
        <v>0</v>
      </c>
    </row>
    <row r="715" spans="4:18" x14ac:dyDescent="0.25">
      <c r="D715" s="32"/>
      <c r="F715" s="28"/>
      <c r="K715" s="28"/>
      <c r="Q715">
        <f t="shared" si="13"/>
        <v>46197</v>
      </c>
      <c r="R715">
        <f>_xlfn.XLOOKUP(E715,'Data Additive'!E:E,'Data Additive'!E:E,0)</f>
        <v>0</v>
      </c>
    </row>
    <row r="716" spans="4:18" x14ac:dyDescent="0.25">
      <c r="D716" s="32"/>
      <c r="F716" s="28"/>
      <c r="K716" s="28"/>
      <c r="Q716">
        <f t="shared" si="13"/>
        <v>46197</v>
      </c>
      <c r="R716">
        <f>_xlfn.XLOOKUP(E716,'Data Additive'!E:E,'Data Additive'!E:E,0)</f>
        <v>0</v>
      </c>
    </row>
    <row r="717" spans="4:18" x14ac:dyDescent="0.25">
      <c r="D717" s="32"/>
      <c r="F717" s="28"/>
      <c r="K717" s="28"/>
      <c r="Q717">
        <f t="shared" si="13"/>
        <v>46197</v>
      </c>
      <c r="R717">
        <f>_xlfn.XLOOKUP(E717,'Data Additive'!E:E,'Data Additive'!E:E,0)</f>
        <v>0</v>
      </c>
    </row>
    <row r="718" spans="4:18" x14ac:dyDescent="0.25">
      <c r="D718" s="32"/>
      <c r="F718" s="28"/>
      <c r="K718" s="28"/>
      <c r="Q718">
        <f t="shared" si="13"/>
        <v>46197</v>
      </c>
      <c r="R718">
        <f>_xlfn.XLOOKUP(E718,'Data Additive'!E:E,'Data Additive'!E:E,0)</f>
        <v>0</v>
      </c>
    </row>
    <row r="719" spans="4:18" x14ac:dyDescent="0.25">
      <c r="D719" s="32"/>
      <c r="F719" s="28"/>
      <c r="K719" s="28"/>
      <c r="Q719">
        <f t="shared" si="13"/>
        <v>46197</v>
      </c>
      <c r="R719">
        <f>_xlfn.XLOOKUP(E719,'Data Additive'!E:E,'Data Additive'!E:E,0)</f>
        <v>0</v>
      </c>
    </row>
    <row r="720" spans="4:18" x14ac:dyDescent="0.25">
      <c r="D720" s="32"/>
      <c r="F720" s="28"/>
      <c r="K720" s="28"/>
      <c r="Q720">
        <f t="shared" si="13"/>
        <v>46197</v>
      </c>
      <c r="R720">
        <f>_xlfn.XLOOKUP(E720,'Data Additive'!E:E,'Data Additive'!E:E,0)</f>
        <v>0</v>
      </c>
    </row>
    <row r="721" spans="4:18" x14ac:dyDescent="0.25">
      <c r="D721" s="32"/>
      <c r="F721" s="28"/>
      <c r="K721" s="28"/>
      <c r="Q721">
        <f t="shared" si="13"/>
        <v>46197</v>
      </c>
      <c r="R721">
        <f>_xlfn.XLOOKUP(E721,'Data Additive'!E:E,'Data Additive'!E:E,0)</f>
        <v>0</v>
      </c>
    </row>
    <row r="722" spans="4:18" x14ac:dyDescent="0.25">
      <c r="D722" s="32"/>
      <c r="F722" s="28"/>
      <c r="K722" s="28"/>
      <c r="Q722">
        <f t="shared" si="13"/>
        <v>46197</v>
      </c>
      <c r="R722">
        <f>_xlfn.XLOOKUP(E722,'Data Additive'!E:E,'Data Additive'!E:E,0)</f>
        <v>0</v>
      </c>
    </row>
    <row r="723" spans="4:18" x14ac:dyDescent="0.25">
      <c r="D723" s="32"/>
      <c r="F723" s="28"/>
      <c r="K723" s="28"/>
      <c r="Q723">
        <f t="shared" ref="Q723:Q771" si="14">$R$1-F723</f>
        <v>46197</v>
      </c>
      <c r="R723">
        <f>_xlfn.XLOOKUP(E723,'Data Additive'!E:E,'Data Additive'!E:E,0)</f>
        <v>0</v>
      </c>
    </row>
    <row r="724" spans="4:18" x14ac:dyDescent="0.25">
      <c r="D724" s="32"/>
      <c r="F724" s="28"/>
      <c r="K724" s="28"/>
      <c r="Q724">
        <f t="shared" si="14"/>
        <v>46197</v>
      </c>
      <c r="R724">
        <f>_xlfn.XLOOKUP(E724,'Data Additive'!E:E,'Data Additive'!E:E,0)</f>
        <v>0</v>
      </c>
    </row>
    <row r="725" spans="4:18" x14ac:dyDescent="0.25">
      <c r="D725" s="32"/>
      <c r="F725" s="28"/>
      <c r="K725" s="28"/>
      <c r="Q725">
        <f t="shared" si="14"/>
        <v>46197</v>
      </c>
      <c r="R725">
        <f>_xlfn.XLOOKUP(E725,'Data Additive'!E:E,'Data Additive'!E:E,0)</f>
        <v>0</v>
      </c>
    </row>
    <row r="726" spans="4:18" x14ac:dyDescent="0.25">
      <c r="D726" s="32"/>
      <c r="F726" s="28"/>
      <c r="K726" s="28"/>
      <c r="Q726">
        <f t="shared" si="14"/>
        <v>46197</v>
      </c>
      <c r="R726">
        <f>_xlfn.XLOOKUP(E726,'Data Additive'!E:E,'Data Additive'!E:E,0)</f>
        <v>0</v>
      </c>
    </row>
    <row r="727" spans="4:18" x14ac:dyDescent="0.25">
      <c r="D727" s="32"/>
      <c r="F727" s="28"/>
      <c r="K727" s="28"/>
      <c r="Q727">
        <f t="shared" si="14"/>
        <v>46197</v>
      </c>
      <c r="R727">
        <f>_xlfn.XLOOKUP(E727,'Data Additive'!E:E,'Data Additive'!E:E,0)</f>
        <v>0</v>
      </c>
    </row>
    <row r="728" spans="4:18" x14ac:dyDescent="0.25">
      <c r="D728" s="32"/>
      <c r="F728" s="28"/>
      <c r="K728" s="28"/>
      <c r="Q728">
        <f t="shared" si="14"/>
        <v>46197</v>
      </c>
      <c r="R728">
        <f>_xlfn.XLOOKUP(E728,'Data Additive'!E:E,'Data Additive'!E:E,0)</f>
        <v>0</v>
      </c>
    </row>
    <row r="729" spans="4:18" x14ac:dyDescent="0.25">
      <c r="D729" s="32"/>
      <c r="F729" s="28"/>
      <c r="K729" s="28"/>
      <c r="Q729">
        <f t="shared" si="14"/>
        <v>46197</v>
      </c>
      <c r="R729">
        <f>_xlfn.XLOOKUP(E729,'Data Additive'!E:E,'Data Additive'!E:E,0)</f>
        <v>0</v>
      </c>
    </row>
    <row r="730" spans="4:18" x14ac:dyDescent="0.25">
      <c r="D730" s="32"/>
      <c r="F730" s="28"/>
      <c r="K730" s="28"/>
      <c r="Q730">
        <f t="shared" si="14"/>
        <v>46197</v>
      </c>
      <c r="R730">
        <f>_xlfn.XLOOKUP(E730,'Data Additive'!E:E,'Data Additive'!E:E,0)</f>
        <v>0</v>
      </c>
    </row>
    <row r="731" spans="4:18" x14ac:dyDescent="0.25">
      <c r="D731" s="32"/>
      <c r="F731" s="28"/>
      <c r="K731" s="28"/>
      <c r="Q731">
        <f t="shared" si="14"/>
        <v>46197</v>
      </c>
      <c r="R731">
        <f>_xlfn.XLOOKUP(E731,'Data Additive'!E:E,'Data Additive'!E:E,0)</f>
        <v>0</v>
      </c>
    </row>
    <row r="732" spans="4:18" x14ac:dyDescent="0.25">
      <c r="D732" s="32"/>
      <c r="F732" s="28"/>
      <c r="K732" s="28"/>
      <c r="Q732">
        <f t="shared" si="14"/>
        <v>46197</v>
      </c>
      <c r="R732">
        <f>_xlfn.XLOOKUP(E732,'Data Additive'!E:E,'Data Additive'!E:E,0)</f>
        <v>0</v>
      </c>
    </row>
    <row r="733" spans="4:18" x14ac:dyDescent="0.25">
      <c r="D733" s="32"/>
      <c r="F733" s="28"/>
      <c r="K733" s="28"/>
      <c r="Q733">
        <f t="shared" si="14"/>
        <v>46197</v>
      </c>
      <c r="R733">
        <f>_xlfn.XLOOKUP(E733,'Data Additive'!E:E,'Data Additive'!E:E,0)</f>
        <v>0</v>
      </c>
    </row>
    <row r="734" spans="4:18" x14ac:dyDescent="0.25">
      <c r="D734" s="32"/>
      <c r="F734" s="28"/>
      <c r="K734" s="28"/>
      <c r="Q734">
        <f t="shared" si="14"/>
        <v>46197</v>
      </c>
      <c r="R734">
        <f>_xlfn.XLOOKUP(E734,'Data Additive'!E:E,'Data Additive'!E:E,0)</f>
        <v>0</v>
      </c>
    </row>
    <row r="735" spans="4:18" x14ac:dyDescent="0.25">
      <c r="D735" s="32"/>
      <c r="F735" s="28"/>
      <c r="K735" s="28"/>
      <c r="Q735">
        <f t="shared" si="14"/>
        <v>46197</v>
      </c>
      <c r="R735">
        <f>_xlfn.XLOOKUP(E735,'Data Additive'!E:E,'Data Additive'!E:E,0)</f>
        <v>0</v>
      </c>
    </row>
    <row r="736" spans="4:18" x14ac:dyDescent="0.25">
      <c r="D736" s="32"/>
      <c r="F736" s="28"/>
      <c r="K736" s="28"/>
      <c r="Q736">
        <f t="shared" si="14"/>
        <v>46197</v>
      </c>
      <c r="R736">
        <f>_xlfn.XLOOKUP(E736,'Data Additive'!E:E,'Data Additive'!E:E,0)</f>
        <v>0</v>
      </c>
    </row>
    <row r="737" spans="4:18" x14ac:dyDescent="0.25">
      <c r="D737" s="32"/>
      <c r="F737" s="28"/>
      <c r="K737" s="28"/>
      <c r="Q737">
        <f t="shared" si="14"/>
        <v>46197</v>
      </c>
      <c r="R737">
        <f>_xlfn.XLOOKUP(E737,'Data Additive'!E:E,'Data Additive'!E:E,0)</f>
        <v>0</v>
      </c>
    </row>
    <row r="738" spans="4:18" x14ac:dyDescent="0.25">
      <c r="D738" s="32"/>
      <c r="F738" s="28"/>
      <c r="K738" s="28"/>
      <c r="Q738">
        <f t="shared" si="14"/>
        <v>46197</v>
      </c>
      <c r="R738">
        <f>_xlfn.XLOOKUP(E738,'Data Additive'!E:E,'Data Additive'!E:E,0)</f>
        <v>0</v>
      </c>
    </row>
    <row r="739" spans="4:18" x14ac:dyDescent="0.25">
      <c r="D739" s="32"/>
      <c r="F739" s="28"/>
      <c r="K739" s="28"/>
      <c r="Q739">
        <f t="shared" si="14"/>
        <v>46197</v>
      </c>
      <c r="R739">
        <f>_xlfn.XLOOKUP(E739,'Data Additive'!E:E,'Data Additive'!E:E,0)</f>
        <v>0</v>
      </c>
    </row>
    <row r="740" spans="4:18" x14ac:dyDescent="0.25">
      <c r="D740" s="32"/>
      <c r="F740" s="28"/>
      <c r="K740" s="28"/>
      <c r="Q740">
        <f t="shared" si="14"/>
        <v>46197</v>
      </c>
      <c r="R740">
        <f>_xlfn.XLOOKUP(E740,'Data Additive'!E:E,'Data Additive'!E:E,0)</f>
        <v>0</v>
      </c>
    </row>
    <row r="741" spans="4:18" x14ac:dyDescent="0.25">
      <c r="D741" s="32"/>
      <c r="F741" s="28"/>
      <c r="K741" s="28"/>
      <c r="Q741">
        <f t="shared" si="14"/>
        <v>46197</v>
      </c>
      <c r="R741">
        <f>_xlfn.XLOOKUP(E741,'Data Additive'!E:E,'Data Additive'!E:E,0)</f>
        <v>0</v>
      </c>
    </row>
    <row r="742" spans="4:18" x14ac:dyDescent="0.25">
      <c r="D742" s="32"/>
      <c r="F742" s="28"/>
      <c r="K742" s="28"/>
      <c r="Q742">
        <f t="shared" si="14"/>
        <v>46197</v>
      </c>
      <c r="R742">
        <f>_xlfn.XLOOKUP(E742,'Data Additive'!E:E,'Data Additive'!E:E,0)</f>
        <v>0</v>
      </c>
    </row>
    <row r="743" spans="4:18" x14ac:dyDescent="0.25">
      <c r="D743" s="32"/>
      <c r="F743" s="28"/>
      <c r="K743" s="28"/>
      <c r="Q743">
        <f t="shared" si="14"/>
        <v>46197</v>
      </c>
      <c r="R743">
        <f>_xlfn.XLOOKUP(E743,'Data Additive'!E:E,'Data Additive'!E:E,0)</f>
        <v>0</v>
      </c>
    </row>
    <row r="744" spans="4:18" x14ac:dyDescent="0.25">
      <c r="D744" s="32"/>
      <c r="F744" s="28"/>
      <c r="K744" s="28"/>
      <c r="Q744">
        <f t="shared" si="14"/>
        <v>46197</v>
      </c>
      <c r="R744">
        <f>_xlfn.XLOOKUP(E744,'Data Additive'!E:E,'Data Additive'!E:E,0)</f>
        <v>0</v>
      </c>
    </row>
    <row r="745" spans="4:18" x14ac:dyDescent="0.25">
      <c r="D745" s="32"/>
      <c r="F745" s="28"/>
      <c r="K745" s="28"/>
      <c r="Q745">
        <f t="shared" si="14"/>
        <v>46197</v>
      </c>
      <c r="R745">
        <f>_xlfn.XLOOKUP(E745,'Data Additive'!E:E,'Data Additive'!E:E,0)</f>
        <v>0</v>
      </c>
    </row>
    <row r="746" spans="4:18" x14ac:dyDescent="0.25">
      <c r="D746" s="32"/>
      <c r="F746" s="28"/>
      <c r="K746" s="28"/>
      <c r="Q746">
        <f t="shared" si="14"/>
        <v>46197</v>
      </c>
      <c r="R746">
        <f>_xlfn.XLOOKUP(E746,'Data Additive'!E:E,'Data Additive'!E:E,0)</f>
        <v>0</v>
      </c>
    </row>
    <row r="747" spans="4:18" x14ac:dyDescent="0.25">
      <c r="D747" s="32"/>
      <c r="F747" s="28"/>
      <c r="K747" s="28"/>
      <c r="Q747">
        <f t="shared" si="14"/>
        <v>46197</v>
      </c>
      <c r="R747">
        <f>_xlfn.XLOOKUP(E747,'Data Additive'!E:E,'Data Additive'!E:E,0)</f>
        <v>0</v>
      </c>
    </row>
    <row r="748" spans="4:18" x14ac:dyDescent="0.25">
      <c r="D748" s="32"/>
      <c r="F748" s="28"/>
      <c r="K748" s="28"/>
      <c r="Q748">
        <f t="shared" si="14"/>
        <v>46197</v>
      </c>
      <c r="R748">
        <f>_xlfn.XLOOKUP(E748,'Data Additive'!E:E,'Data Additive'!E:E,0)</f>
        <v>0</v>
      </c>
    </row>
    <row r="749" spans="4:18" x14ac:dyDescent="0.25">
      <c r="D749" s="32"/>
      <c r="F749" s="28"/>
      <c r="K749" s="28"/>
      <c r="Q749">
        <f t="shared" si="14"/>
        <v>46197</v>
      </c>
      <c r="R749">
        <f>_xlfn.XLOOKUP(E749,'Data Additive'!E:E,'Data Additive'!E:E,0)</f>
        <v>0</v>
      </c>
    </row>
    <row r="750" spans="4:18" x14ac:dyDescent="0.25">
      <c r="D750" s="32"/>
      <c r="F750" s="28"/>
      <c r="K750" s="28"/>
      <c r="Q750">
        <f t="shared" si="14"/>
        <v>46197</v>
      </c>
      <c r="R750">
        <f>_xlfn.XLOOKUP(E750,'Data Additive'!E:E,'Data Additive'!E:E,0)</f>
        <v>0</v>
      </c>
    </row>
    <row r="751" spans="4:18" x14ac:dyDescent="0.25">
      <c r="D751" s="32"/>
      <c r="F751" s="28"/>
      <c r="K751" s="28"/>
      <c r="Q751">
        <f t="shared" si="14"/>
        <v>46197</v>
      </c>
      <c r="R751">
        <f>_xlfn.XLOOKUP(E751,'Data Additive'!E:E,'Data Additive'!E:E,0)</f>
        <v>0</v>
      </c>
    </row>
    <row r="752" spans="4:18" x14ac:dyDescent="0.25">
      <c r="D752" s="32"/>
      <c r="F752" s="28"/>
      <c r="K752" s="28"/>
      <c r="Q752">
        <f t="shared" si="14"/>
        <v>46197</v>
      </c>
      <c r="R752">
        <f>_xlfn.XLOOKUP(E752,'Data Additive'!E:E,'Data Additive'!E:E,0)</f>
        <v>0</v>
      </c>
    </row>
    <row r="753" spans="4:18" x14ac:dyDescent="0.25">
      <c r="D753" s="32"/>
      <c r="F753" s="28"/>
      <c r="K753" s="28"/>
      <c r="Q753">
        <f t="shared" si="14"/>
        <v>46197</v>
      </c>
      <c r="R753">
        <f>_xlfn.XLOOKUP(E753,'Data Additive'!E:E,'Data Additive'!E:E,0)</f>
        <v>0</v>
      </c>
    </row>
    <row r="754" spans="4:18" x14ac:dyDescent="0.25">
      <c r="D754" s="32"/>
      <c r="F754" s="28"/>
      <c r="K754" s="28"/>
      <c r="Q754">
        <f t="shared" si="14"/>
        <v>46197</v>
      </c>
      <c r="R754">
        <f>_xlfn.XLOOKUP(E754,'Data Additive'!E:E,'Data Additive'!E:E,0)</f>
        <v>0</v>
      </c>
    </row>
    <row r="755" spans="4:18" x14ac:dyDescent="0.25">
      <c r="D755" s="32"/>
      <c r="F755" s="28"/>
      <c r="K755" s="28"/>
      <c r="Q755">
        <f t="shared" si="14"/>
        <v>46197</v>
      </c>
      <c r="R755">
        <f>_xlfn.XLOOKUP(E755,'Data Additive'!E:E,'Data Additive'!E:E,0)</f>
        <v>0</v>
      </c>
    </row>
    <row r="756" spans="4:18" x14ac:dyDescent="0.25">
      <c r="D756" s="32"/>
      <c r="F756" s="28"/>
      <c r="K756" s="28"/>
      <c r="Q756">
        <f t="shared" si="14"/>
        <v>46197</v>
      </c>
      <c r="R756">
        <f>_xlfn.XLOOKUP(E756,'Data Additive'!E:E,'Data Additive'!E:E,0)</f>
        <v>0</v>
      </c>
    </row>
    <row r="757" spans="4:18" x14ac:dyDescent="0.25">
      <c r="D757" s="32"/>
      <c r="F757" s="28"/>
      <c r="K757" s="28"/>
      <c r="Q757">
        <f t="shared" si="14"/>
        <v>46197</v>
      </c>
      <c r="R757">
        <f>_xlfn.XLOOKUP(E757,'Data Additive'!E:E,'Data Additive'!E:E,0)</f>
        <v>0</v>
      </c>
    </row>
    <row r="758" spans="4:18" x14ac:dyDescent="0.25">
      <c r="D758" s="32"/>
      <c r="F758" s="28"/>
      <c r="K758" s="28"/>
      <c r="Q758">
        <f t="shared" si="14"/>
        <v>46197</v>
      </c>
      <c r="R758">
        <f>_xlfn.XLOOKUP(E758,'Data Additive'!E:E,'Data Additive'!E:E,0)</f>
        <v>0</v>
      </c>
    </row>
    <row r="759" spans="4:18" x14ac:dyDescent="0.25">
      <c r="D759" s="32"/>
      <c r="F759" s="28"/>
      <c r="K759" s="28"/>
      <c r="Q759">
        <f t="shared" si="14"/>
        <v>46197</v>
      </c>
      <c r="R759">
        <f>_xlfn.XLOOKUP(E759,'Data Additive'!E:E,'Data Additive'!E:E,0)</f>
        <v>0</v>
      </c>
    </row>
    <row r="760" spans="4:18" x14ac:dyDescent="0.25">
      <c r="D760" s="32"/>
      <c r="F760" s="28"/>
      <c r="K760" s="28"/>
      <c r="Q760">
        <f t="shared" si="14"/>
        <v>46197</v>
      </c>
      <c r="R760">
        <f>_xlfn.XLOOKUP(E760,'Data Additive'!E:E,'Data Additive'!E:E,0)</f>
        <v>0</v>
      </c>
    </row>
    <row r="761" spans="4:18" x14ac:dyDescent="0.25">
      <c r="D761" s="32"/>
      <c r="F761" s="28"/>
      <c r="K761" s="28"/>
      <c r="Q761">
        <f t="shared" si="14"/>
        <v>46197</v>
      </c>
      <c r="R761">
        <f>_xlfn.XLOOKUP(E761,'Data Additive'!E:E,'Data Additive'!E:E,0)</f>
        <v>0</v>
      </c>
    </row>
    <row r="762" spans="4:18" x14ac:dyDescent="0.25">
      <c r="D762" s="32"/>
      <c r="F762" s="28"/>
      <c r="K762" s="28"/>
      <c r="Q762">
        <f t="shared" si="14"/>
        <v>46197</v>
      </c>
      <c r="R762">
        <f>_xlfn.XLOOKUP(E762,'Data Additive'!E:E,'Data Additive'!E:E,0)</f>
        <v>0</v>
      </c>
    </row>
    <row r="763" spans="4:18" x14ac:dyDescent="0.25">
      <c r="D763" s="32"/>
      <c r="F763" s="28"/>
      <c r="K763" s="28"/>
      <c r="Q763">
        <f t="shared" si="14"/>
        <v>46197</v>
      </c>
      <c r="R763">
        <f>_xlfn.XLOOKUP(E763,'Data Additive'!E:E,'Data Additive'!E:E,0)</f>
        <v>0</v>
      </c>
    </row>
    <row r="764" spans="4:18" x14ac:dyDescent="0.25">
      <c r="D764" s="32"/>
      <c r="F764" s="28"/>
      <c r="K764" s="28"/>
      <c r="Q764">
        <f t="shared" si="14"/>
        <v>46197</v>
      </c>
      <c r="R764">
        <f>_xlfn.XLOOKUP(E764,'Data Additive'!E:E,'Data Additive'!E:E,0)</f>
        <v>0</v>
      </c>
    </row>
    <row r="765" spans="4:18" x14ac:dyDescent="0.25">
      <c r="D765" s="32"/>
      <c r="F765" s="28"/>
      <c r="K765" s="28"/>
      <c r="Q765">
        <f t="shared" si="14"/>
        <v>46197</v>
      </c>
      <c r="R765">
        <f>_xlfn.XLOOKUP(E765,'Data Additive'!E:E,'Data Additive'!E:E,0)</f>
        <v>0</v>
      </c>
    </row>
    <row r="766" spans="4:18" x14ac:dyDescent="0.25">
      <c r="D766" s="32"/>
      <c r="F766" s="28"/>
      <c r="K766" s="28"/>
      <c r="Q766">
        <f t="shared" si="14"/>
        <v>46197</v>
      </c>
      <c r="R766">
        <f>_xlfn.XLOOKUP(E766,'Data Additive'!E:E,'Data Additive'!E:E,0)</f>
        <v>0</v>
      </c>
    </row>
    <row r="767" spans="4:18" x14ac:dyDescent="0.25">
      <c r="D767" s="32"/>
      <c r="F767" s="28"/>
      <c r="K767" s="28"/>
      <c r="Q767">
        <f t="shared" si="14"/>
        <v>46197</v>
      </c>
      <c r="R767">
        <f>_xlfn.XLOOKUP(E767,'Data Additive'!E:E,'Data Additive'!E:E,0)</f>
        <v>0</v>
      </c>
    </row>
    <row r="768" spans="4:18" x14ac:dyDescent="0.25">
      <c r="D768" s="32"/>
      <c r="F768" s="28"/>
      <c r="K768" s="28"/>
      <c r="Q768">
        <f t="shared" si="14"/>
        <v>46197</v>
      </c>
      <c r="R768">
        <f>_xlfn.XLOOKUP(E768,'Data Additive'!E:E,'Data Additive'!E:E,0)</f>
        <v>0</v>
      </c>
    </row>
    <row r="769" spans="4:18" x14ac:dyDescent="0.25">
      <c r="D769" s="32"/>
      <c r="F769" s="28"/>
      <c r="K769" s="28"/>
      <c r="Q769">
        <f t="shared" si="14"/>
        <v>46197</v>
      </c>
      <c r="R769">
        <f>_xlfn.XLOOKUP(E769,'Data Additive'!E:E,'Data Additive'!E:E,0)</f>
        <v>0</v>
      </c>
    </row>
    <row r="770" spans="4:18" x14ac:dyDescent="0.25">
      <c r="D770" s="32"/>
      <c r="F770" s="28"/>
      <c r="K770" s="28"/>
      <c r="Q770">
        <f t="shared" si="14"/>
        <v>46197</v>
      </c>
      <c r="R770">
        <f>_xlfn.XLOOKUP(E770,'Data Additive'!E:E,'Data Additive'!E:E,0)</f>
        <v>0</v>
      </c>
    </row>
    <row r="771" spans="4:18" x14ac:dyDescent="0.25">
      <c r="D771" s="32"/>
      <c r="F771" s="28"/>
      <c r="K771" s="28"/>
      <c r="Q771">
        <f t="shared" si="14"/>
        <v>46197</v>
      </c>
      <c r="R771">
        <f>_xlfn.XLOOKUP(E771,'Data Additive'!E:E,'Data Additive'!E:E,0)</f>
        <v>0</v>
      </c>
    </row>
    <row r="772" spans="4:18" x14ac:dyDescent="0.25">
      <c r="D772" s="32"/>
      <c r="F772" s="28"/>
      <c r="K772" s="28"/>
      <c r="Q772">
        <f t="shared" ref="Q772:Q773" si="15">$R$1-F772</f>
        <v>46197</v>
      </c>
      <c r="R772">
        <f>_xlfn.XLOOKUP(E772,'Data Additive'!E:E,'Data Additive'!E:E,0)</f>
        <v>0</v>
      </c>
    </row>
    <row r="773" spans="4:18" x14ac:dyDescent="0.25">
      <c r="D773" s="32"/>
      <c r="F773" s="28"/>
      <c r="K773" s="28"/>
      <c r="Q773">
        <f t="shared" si="15"/>
        <v>46197</v>
      </c>
      <c r="R773">
        <f>_xlfn.XLOOKUP(E773,'Data Additive'!E:E,'Data Additive'!E:E,0)</f>
        <v>0</v>
      </c>
    </row>
    <row r="774" spans="4:18" x14ac:dyDescent="0.25">
      <c r="D774" s="32"/>
      <c r="F774" s="28"/>
      <c r="K774" s="28"/>
      <c r="Q774">
        <f t="shared" ref="Q774:Q791" si="16">$R$1-F774</f>
        <v>46197</v>
      </c>
      <c r="R774">
        <f>_xlfn.XLOOKUP(E774,'Data Additive'!E:E,'Data Additive'!E:E,0)</f>
        <v>0</v>
      </c>
    </row>
    <row r="775" spans="4:18" x14ac:dyDescent="0.25">
      <c r="D775" s="32"/>
      <c r="F775" s="28"/>
      <c r="K775" s="28"/>
      <c r="Q775">
        <f t="shared" si="16"/>
        <v>46197</v>
      </c>
      <c r="R775">
        <f>_xlfn.XLOOKUP(E775,'Data Additive'!E:E,'Data Additive'!E:E,0)</f>
        <v>0</v>
      </c>
    </row>
    <row r="776" spans="4:18" x14ac:dyDescent="0.25">
      <c r="D776" s="32"/>
      <c r="F776" s="28"/>
      <c r="K776" s="28"/>
      <c r="Q776">
        <f t="shared" si="16"/>
        <v>46197</v>
      </c>
      <c r="R776">
        <f>_xlfn.XLOOKUP(E776,'Data Additive'!E:E,'Data Additive'!E:E,0)</f>
        <v>0</v>
      </c>
    </row>
    <row r="777" spans="4:18" x14ac:dyDescent="0.25">
      <c r="D777" s="32"/>
      <c r="F777" s="28"/>
      <c r="K777" s="28"/>
      <c r="Q777">
        <f t="shared" si="16"/>
        <v>46197</v>
      </c>
      <c r="R777">
        <f>_xlfn.XLOOKUP(E777,'Data Additive'!E:E,'Data Additive'!E:E,0)</f>
        <v>0</v>
      </c>
    </row>
    <row r="778" spans="4:18" x14ac:dyDescent="0.25">
      <c r="D778" s="32"/>
      <c r="F778" s="28"/>
      <c r="K778" s="28"/>
      <c r="Q778">
        <f t="shared" si="16"/>
        <v>46197</v>
      </c>
      <c r="R778">
        <f>_xlfn.XLOOKUP(E778,'Data Additive'!E:E,'Data Additive'!E:E,0)</f>
        <v>0</v>
      </c>
    </row>
    <row r="779" spans="4:18" x14ac:dyDescent="0.25">
      <c r="D779" s="32"/>
      <c r="F779" s="28"/>
      <c r="K779" s="28"/>
      <c r="Q779">
        <f t="shared" si="16"/>
        <v>46197</v>
      </c>
      <c r="R779">
        <f>_xlfn.XLOOKUP(E779,'Data Additive'!E:E,'Data Additive'!E:E,0)</f>
        <v>0</v>
      </c>
    </row>
    <row r="780" spans="4:18" x14ac:dyDescent="0.25">
      <c r="D780" s="32"/>
      <c r="F780" s="28"/>
      <c r="K780" s="28"/>
      <c r="Q780">
        <f t="shared" si="16"/>
        <v>46197</v>
      </c>
      <c r="R780">
        <f>_xlfn.XLOOKUP(E780,'Data Additive'!E:E,'Data Additive'!E:E,0)</f>
        <v>0</v>
      </c>
    </row>
    <row r="781" spans="4:18" x14ac:dyDescent="0.25">
      <c r="D781" s="32"/>
      <c r="F781" s="28"/>
      <c r="K781" s="28"/>
      <c r="Q781">
        <f t="shared" si="16"/>
        <v>46197</v>
      </c>
      <c r="R781">
        <f>_xlfn.XLOOKUP(E781,'Data Additive'!E:E,'Data Additive'!E:E,0)</f>
        <v>0</v>
      </c>
    </row>
    <row r="782" spans="4:18" x14ac:dyDescent="0.25">
      <c r="D782" s="32"/>
      <c r="F782" s="28"/>
      <c r="K782" s="28"/>
      <c r="Q782">
        <f t="shared" si="16"/>
        <v>46197</v>
      </c>
      <c r="R782">
        <f>_xlfn.XLOOKUP(E782,'Data Additive'!E:E,'Data Additive'!E:E,0)</f>
        <v>0</v>
      </c>
    </row>
    <row r="783" spans="4:18" x14ac:dyDescent="0.25">
      <c r="D783" s="32"/>
      <c r="F783" s="28"/>
      <c r="K783" s="28"/>
      <c r="Q783">
        <f t="shared" si="16"/>
        <v>46197</v>
      </c>
      <c r="R783">
        <f>_xlfn.XLOOKUP(E783,'Data Additive'!E:E,'Data Additive'!E:E,0)</f>
        <v>0</v>
      </c>
    </row>
    <row r="784" spans="4:18" x14ac:dyDescent="0.25">
      <c r="D784" s="32"/>
      <c r="F784" s="28"/>
      <c r="K784" s="28"/>
      <c r="Q784">
        <f t="shared" si="16"/>
        <v>46197</v>
      </c>
      <c r="R784">
        <f>_xlfn.XLOOKUP(E784,'Data Additive'!E:E,'Data Additive'!E:E,0)</f>
        <v>0</v>
      </c>
    </row>
    <row r="785" spans="4:18" x14ac:dyDescent="0.25">
      <c r="D785" s="32"/>
      <c r="F785" s="28"/>
      <c r="K785" s="28"/>
      <c r="Q785">
        <f t="shared" si="16"/>
        <v>46197</v>
      </c>
      <c r="R785">
        <f>_xlfn.XLOOKUP(E785,'Data Additive'!E:E,'Data Additive'!E:E,0)</f>
        <v>0</v>
      </c>
    </row>
    <row r="786" spans="4:18" x14ac:dyDescent="0.25">
      <c r="D786" s="32"/>
      <c r="F786" s="28"/>
      <c r="K786" s="28"/>
      <c r="Q786">
        <f t="shared" si="16"/>
        <v>46197</v>
      </c>
      <c r="R786">
        <f>_xlfn.XLOOKUP(E786,'Data Additive'!E:E,'Data Additive'!E:E,0)</f>
        <v>0</v>
      </c>
    </row>
    <row r="787" spans="4:18" x14ac:dyDescent="0.25">
      <c r="D787" s="32"/>
      <c r="F787" s="28"/>
      <c r="K787" s="28"/>
      <c r="Q787">
        <f t="shared" si="16"/>
        <v>46197</v>
      </c>
      <c r="R787">
        <f>_xlfn.XLOOKUP(E787,'Data Additive'!E:E,'Data Additive'!E:E,0)</f>
        <v>0</v>
      </c>
    </row>
    <row r="788" spans="4:18" x14ac:dyDescent="0.25">
      <c r="D788" s="32"/>
      <c r="F788" s="28"/>
      <c r="K788" s="28"/>
      <c r="Q788">
        <f t="shared" si="16"/>
        <v>46197</v>
      </c>
      <c r="R788">
        <f>_xlfn.XLOOKUP(E788,'Data Additive'!E:E,'Data Additive'!E:E,0)</f>
        <v>0</v>
      </c>
    </row>
    <row r="789" spans="4:18" x14ac:dyDescent="0.25">
      <c r="D789" s="32"/>
      <c r="F789" s="28"/>
      <c r="K789" s="28"/>
      <c r="Q789">
        <f t="shared" si="16"/>
        <v>46197</v>
      </c>
      <c r="R789">
        <f>_xlfn.XLOOKUP(E789,'Data Additive'!E:E,'Data Additive'!E:E,0)</f>
        <v>0</v>
      </c>
    </row>
    <row r="790" spans="4:18" x14ac:dyDescent="0.25">
      <c r="D790" s="32"/>
      <c r="F790" s="28"/>
      <c r="K790" s="28"/>
      <c r="Q790">
        <f t="shared" si="16"/>
        <v>46197</v>
      </c>
      <c r="R790">
        <f>_xlfn.XLOOKUP(E790,'Data Additive'!E:E,'Data Additive'!E:E,0)</f>
        <v>0</v>
      </c>
    </row>
    <row r="791" spans="4:18" x14ac:dyDescent="0.25">
      <c r="D791" s="32"/>
      <c r="F791" s="28"/>
      <c r="K791" s="28"/>
      <c r="Q791">
        <f t="shared" si="16"/>
        <v>46197</v>
      </c>
      <c r="R791">
        <f>_xlfn.XLOOKUP(E791,'Data Additive'!E:E,'Data Additive'!E:E,0)</f>
        <v>0</v>
      </c>
    </row>
    <row r="792" spans="4:18" x14ac:dyDescent="0.25">
      <c r="D792" s="32"/>
      <c r="F792" s="28"/>
      <c r="K792" s="28"/>
    </row>
    <row r="793" spans="4:18" x14ac:dyDescent="0.25">
      <c r="D793" s="32"/>
      <c r="F793" s="28"/>
      <c r="K793" s="28"/>
    </row>
    <row r="794" spans="4:18" x14ac:dyDescent="0.25">
      <c r="D794" s="32"/>
      <c r="F794" s="28"/>
      <c r="K794" s="28"/>
    </row>
    <row r="795" spans="4:18" x14ac:dyDescent="0.25">
      <c r="D795" s="32"/>
      <c r="F795" s="28"/>
      <c r="K795" s="28"/>
    </row>
    <row r="796" spans="4:18" x14ac:dyDescent="0.25">
      <c r="D796" s="32"/>
      <c r="F796" s="28"/>
      <c r="K796" s="28"/>
    </row>
    <row r="797" spans="4:18" x14ac:dyDescent="0.25">
      <c r="D797" s="32"/>
      <c r="F797" s="28"/>
      <c r="K797" s="28"/>
    </row>
    <row r="798" spans="4:18" x14ac:dyDescent="0.25">
      <c r="D798" s="32"/>
      <c r="F798" s="28"/>
      <c r="K798" s="28"/>
    </row>
    <row r="799" spans="4:18" x14ac:dyDescent="0.25">
      <c r="D799" s="32"/>
      <c r="F799" s="28"/>
      <c r="K799" s="28"/>
    </row>
    <row r="800" spans="4:18" x14ac:dyDescent="0.25">
      <c r="D800" s="32"/>
      <c r="F800" s="28"/>
      <c r="K800" s="28"/>
    </row>
    <row r="801" spans="4:11" x14ac:dyDescent="0.25">
      <c r="D801" s="32"/>
      <c r="F801" s="28"/>
      <c r="K801" s="28"/>
    </row>
    <row r="802" spans="4:11" x14ac:dyDescent="0.25">
      <c r="D802" s="32"/>
      <c r="F802" s="28"/>
      <c r="K802" s="28"/>
    </row>
    <row r="803" spans="4:11" x14ac:dyDescent="0.25">
      <c r="D803" s="32"/>
      <c r="F803" s="28"/>
      <c r="K803" s="28"/>
    </row>
    <row r="804" spans="4:11" x14ac:dyDescent="0.25">
      <c r="D804" s="32"/>
      <c r="F804" s="28"/>
      <c r="K804" s="28"/>
    </row>
    <row r="805" spans="4:11" x14ac:dyDescent="0.25">
      <c r="D805" s="32"/>
      <c r="F805" s="28"/>
      <c r="K805" s="28"/>
    </row>
    <row r="806" spans="4:11" x14ac:dyDescent="0.25">
      <c r="D806" s="32"/>
      <c r="F806" s="28"/>
      <c r="K806" s="28"/>
    </row>
    <row r="807" spans="4:11" x14ac:dyDescent="0.25">
      <c r="D807" s="32"/>
      <c r="F807" s="28"/>
      <c r="K807" s="28"/>
    </row>
    <row r="808" spans="4:11" x14ac:dyDescent="0.25">
      <c r="D808" s="32"/>
      <c r="F808" s="28"/>
      <c r="K808" s="28"/>
    </row>
    <row r="809" spans="4:11" x14ac:dyDescent="0.25">
      <c r="D809" s="32"/>
      <c r="F809" s="28"/>
      <c r="K809" s="28"/>
    </row>
    <row r="810" spans="4:11" x14ac:dyDescent="0.25">
      <c r="D810" s="32"/>
      <c r="F810" s="28"/>
      <c r="K810" s="28"/>
    </row>
    <row r="811" spans="4:11" x14ac:dyDescent="0.25">
      <c r="D811" s="32"/>
      <c r="F811" s="28"/>
      <c r="K811" s="28"/>
    </row>
    <row r="812" spans="4:11" x14ac:dyDescent="0.25">
      <c r="D812" s="32"/>
      <c r="F812" s="28"/>
      <c r="K812" s="28"/>
    </row>
    <row r="813" spans="4:11" x14ac:dyDescent="0.25">
      <c r="D813" s="32"/>
      <c r="F813" s="28"/>
      <c r="K813" s="28"/>
    </row>
    <row r="814" spans="4:11" x14ac:dyDescent="0.25">
      <c r="D814" s="32"/>
      <c r="F814" s="28"/>
      <c r="K814" s="28"/>
    </row>
    <row r="815" spans="4:11" x14ac:dyDescent="0.25">
      <c r="D815" s="32"/>
      <c r="F815" s="28"/>
      <c r="K815" s="28"/>
    </row>
    <row r="816" spans="4:11" x14ac:dyDescent="0.25">
      <c r="D816" s="32"/>
      <c r="F816" s="28"/>
      <c r="K816" s="28"/>
    </row>
    <row r="817" spans="4:11" x14ac:dyDescent="0.25">
      <c r="D817" s="32"/>
      <c r="F817" s="28"/>
      <c r="K817" s="28"/>
    </row>
    <row r="818" spans="4:11" x14ac:dyDescent="0.25">
      <c r="D818" s="32"/>
      <c r="F818" s="28"/>
      <c r="K818" s="28"/>
    </row>
    <row r="819" spans="4:11" x14ac:dyDescent="0.25">
      <c r="D819" s="32"/>
      <c r="F819" s="28"/>
      <c r="K819" s="28"/>
    </row>
    <row r="820" spans="4:11" x14ac:dyDescent="0.25">
      <c r="D820" s="32"/>
      <c r="F820" s="28"/>
      <c r="K820" s="28"/>
    </row>
    <row r="821" spans="4:11" x14ac:dyDescent="0.25">
      <c r="D821" s="32"/>
      <c r="F821" s="28"/>
      <c r="K821" s="28"/>
    </row>
    <row r="822" spans="4:11" x14ac:dyDescent="0.25">
      <c r="D822" s="32"/>
      <c r="F822" s="28"/>
      <c r="K822" s="28"/>
    </row>
    <row r="823" spans="4:11" x14ac:dyDescent="0.25">
      <c r="D823" s="32"/>
      <c r="F823" s="28"/>
      <c r="K823" s="28"/>
    </row>
    <row r="824" spans="4:11" x14ac:dyDescent="0.25">
      <c r="D824" s="32"/>
      <c r="F824" s="28"/>
      <c r="K824" s="28"/>
    </row>
    <row r="825" spans="4:11" x14ac:dyDescent="0.25">
      <c r="D825" s="32"/>
      <c r="F825" s="28"/>
      <c r="K825" s="28"/>
    </row>
    <row r="826" spans="4:11" x14ac:dyDescent="0.25">
      <c r="D826" s="32"/>
      <c r="F826" s="28"/>
      <c r="K826" s="28"/>
    </row>
    <row r="827" spans="4:11" x14ac:dyDescent="0.25">
      <c r="D827" s="32"/>
      <c r="F827" s="28"/>
      <c r="K827" s="28"/>
    </row>
    <row r="828" spans="4:11" x14ac:dyDescent="0.25">
      <c r="D828" s="32"/>
      <c r="F828" s="28"/>
      <c r="K828" s="28"/>
    </row>
    <row r="829" spans="4:11" x14ac:dyDescent="0.25">
      <c r="D829" s="32"/>
      <c r="F829" s="28"/>
      <c r="K829" s="28"/>
    </row>
    <row r="830" spans="4:11" x14ac:dyDescent="0.25">
      <c r="D830" s="32"/>
      <c r="F830" s="28"/>
      <c r="K830" s="28"/>
    </row>
    <row r="831" spans="4:11" x14ac:dyDescent="0.25">
      <c r="D831" s="32"/>
      <c r="F831" s="28"/>
      <c r="K831" s="28"/>
    </row>
    <row r="832" spans="4:11" x14ac:dyDescent="0.25">
      <c r="D832" s="32"/>
      <c r="F832" s="28"/>
      <c r="K832" s="28"/>
    </row>
    <row r="833" spans="4:11" x14ac:dyDescent="0.25">
      <c r="D833" s="32"/>
      <c r="F833" s="28"/>
      <c r="K833" s="28"/>
    </row>
    <row r="834" spans="4:11" x14ac:dyDescent="0.25">
      <c r="D834" s="32"/>
      <c r="F834" s="28"/>
      <c r="K834" s="28"/>
    </row>
    <row r="835" spans="4:11" x14ac:dyDescent="0.25">
      <c r="D835" s="32"/>
      <c r="F835" s="28"/>
      <c r="K835" s="28"/>
    </row>
    <row r="836" spans="4:11" x14ac:dyDescent="0.25">
      <c r="D836" s="32"/>
      <c r="F836" s="28"/>
      <c r="K836" s="28"/>
    </row>
    <row r="837" spans="4:11" x14ac:dyDescent="0.25">
      <c r="D837" s="32"/>
      <c r="F837" s="28"/>
      <c r="K837" s="28"/>
    </row>
    <row r="838" spans="4:11" x14ac:dyDescent="0.25">
      <c r="D838" s="32"/>
      <c r="F838" s="28"/>
      <c r="K838" s="28"/>
    </row>
    <row r="839" spans="4:11" x14ac:dyDescent="0.25">
      <c r="D839" s="32"/>
      <c r="F839" s="28"/>
      <c r="K839" s="28"/>
    </row>
    <row r="840" spans="4:11" x14ac:dyDescent="0.25">
      <c r="D840" s="32"/>
      <c r="F840" s="28"/>
      <c r="K840" s="28"/>
    </row>
    <row r="841" spans="4:11" x14ac:dyDescent="0.25">
      <c r="D841" s="32"/>
      <c r="F841" s="28"/>
      <c r="K841" s="28"/>
    </row>
    <row r="842" spans="4:11" x14ac:dyDescent="0.25">
      <c r="D842" s="32"/>
      <c r="F842" s="28"/>
      <c r="K842" s="28"/>
    </row>
    <row r="843" spans="4:11" x14ac:dyDescent="0.25">
      <c r="D843" s="32"/>
      <c r="F843" s="28"/>
      <c r="K843" s="28"/>
    </row>
    <row r="844" spans="4:11" x14ac:dyDescent="0.25">
      <c r="D844" s="32"/>
      <c r="F844" s="28"/>
      <c r="K844" s="28"/>
    </row>
    <row r="845" spans="4:11" x14ac:dyDescent="0.25">
      <c r="D845" s="32"/>
      <c r="F845" s="28"/>
      <c r="K845" s="28"/>
    </row>
    <row r="846" spans="4:11" x14ac:dyDescent="0.25">
      <c r="D846" s="32"/>
      <c r="F846" s="28"/>
      <c r="K846" s="28"/>
    </row>
    <row r="847" spans="4:11" x14ac:dyDescent="0.25">
      <c r="D847" s="32"/>
      <c r="F847" s="28"/>
      <c r="K847" s="28"/>
    </row>
    <row r="848" spans="4:11" x14ac:dyDescent="0.25">
      <c r="D848" s="32"/>
      <c r="F848" s="28"/>
      <c r="K848" s="28"/>
    </row>
    <row r="849" spans="4:11" x14ac:dyDescent="0.25">
      <c r="D849" s="32"/>
      <c r="F849" s="28"/>
      <c r="K849" s="28"/>
    </row>
    <row r="850" spans="4:11" x14ac:dyDescent="0.25">
      <c r="D850" s="32"/>
      <c r="F850" s="28"/>
      <c r="K850" s="28"/>
    </row>
    <row r="851" spans="4:11" x14ac:dyDescent="0.25">
      <c r="D851" s="32"/>
      <c r="F851" s="28"/>
      <c r="K851" s="28"/>
    </row>
    <row r="852" spans="4:11" x14ac:dyDescent="0.25">
      <c r="D852" s="32"/>
      <c r="F852" s="28"/>
      <c r="K852" s="28"/>
    </row>
    <row r="853" spans="4:11" x14ac:dyDescent="0.25">
      <c r="D853" s="32"/>
      <c r="F853" s="28"/>
      <c r="K853" s="28"/>
    </row>
    <row r="854" spans="4:11" x14ac:dyDescent="0.25">
      <c r="D854" s="32"/>
      <c r="F854" s="28"/>
      <c r="K854" s="28"/>
    </row>
    <row r="855" spans="4:11" x14ac:dyDescent="0.25">
      <c r="D855" s="32"/>
      <c r="F855" s="28"/>
      <c r="K855" s="28"/>
    </row>
    <row r="856" spans="4:11" x14ac:dyDescent="0.25">
      <c r="D856" s="32"/>
      <c r="F856" s="28"/>
      <c r="K856" s="28"/>
    </row>
    <row r="857" spans="4:11" x14ac:dyDescent="0.25">
      <c r="D857" s="32"/>
      <c r="F857" s="28"/>
      <c r="K857" s="28"/>
    </row>
    <row r="858" spans="4:11" x14ac:dyDescent="0.25">
      <c r="D858" s="32"/>
      <c r="F858" s="28"/>
      <c r="K858" s="28"/>
    </row>
    <row r="859" spans="4:11" x14ac:dyDescent="0.25">
      <c r="D859" s="32"/>
      <c r="F859" s="28"/>
      <c r="K859" s="28"/>
    </row>
    <row r="860" spans="4:11" x14ac:dyDescent="0.25">
      <c r="D860" s="32"/>
      <c r="F860" s="28"/>
      <c r="K860" s="28"/>
    </row>
    <row r="861" spans="4:11" x14ac:dyDescent="0.25">
      <c r="D861" s="32"/>
      <c r="F861" s="28"/>
      <c r="K861" s="28"/>
    </row>
    <row r="862" spans="4:11" x14ac:dyDescent="0.25">
      <c r="D862" s="32"/>
      <c r="F862" s="28"/>
      <c r="K862" s="28"/>
    </row>
    <row r="863" spans="4:11" x14ac:dyDescent="0.25">
      <c r="D863" s="32"/>
      <c r="F863" s="28"/>
      <c r="K863" s="28"/>
    </row>
    <row r="864" spans="4:11" x14ac:dyDescent="0.25">
      <c r="D864" s="32"/>
      <c r="F864" s="28"/>
      <c r="K864" s="28"/>
    </row>
    <row r="865" spans="4:11" x14ac:dyDescent="0.25">
      <c r="D865" s="32"/>
      <c r="F865" s="28"/>
      <c r="K865" s="28"/>
    </row>
    <row r="866" spans="4:11" x14ac:dyDescent="0.25">
      <c r="D866" s="32"/>
      <c r="F866" s="28"/>
      <c r="K866" s="28"/>
    </row>
    <row r="867" spans="4:11" x14ac:dyDescent="0.25">
      <c r="D867" s="32"/>
      <c r="F867" s="28"/>
      <c r="K867" s="28"/>
    </row>
    <row r="868" spans="4:11" x14ac:dyDescent="0.25">
      <c r="D868" s="32"/>
      <c r="F868" s="28"/>
      <c r="K868" s="28"/>
    </row>
    <row r="869" spans="4:11" x14ac:dyDescent="0.25">
      <c r="D869" s="32"/>
      <c r="F869" s="28"/>
      <c r="K869" s="28"/>
    </row>
    <row r="870" spans="4:11" x14ac:dyDescent="0.25">
      <c r="D870" s="32"/>
      <c r="F870" s="28"/>
      <c r="K870" s="28"/>
    </row>
    <row r="871" spans="4:11" x14ac:dyDescent="0.25">
      <c r="D871" s="32"/>
      <c r="F871" s="28"/>
      <c r="K871" s="28"/>
    </row>
    <row r="872" spans="4:11" x14ac:dyDescent="0.25">
      <c r="D872" s="32"/>
      <c r="F872" s="28"/>
      <c r="K872" s="28"/>
    </row>
    <row r="873" spans="4:11" x14ac:dyDescent="0.25">
      <c r="D873" s="32"/>
      <c r="F873" s="28"/>
      <c r="K873" s="28"/>
    </row>
    <row r="874" spans="4:11" x14ac:dyDescent="0.25">
      <c r="D874" s="32"/>
      <c r="F874" s="28"/>
      <c r="K874" s="28"/>
    </row>
    <row r="875" spans="4:11" x14ac:dyDescent="0.25">
      <c r="D875" s="32"/>
      <c r="F875" s="28"/>
      <c r="K875" s="28"/>
    </row>
    <row r="876" spans="4:11" x14ac:dyDescent="0.25">
      <c r="D876" s="32"/>
      <c r="F876" s="28"/>
      <c r="K876" s="28"/>
    </row>
    <row r="877" spans="4:11" x14ac:dyDescent="0.25">
      <c r="D877" s="32"/>
      <c r="F877" s="28"/>
      <c r="K877" s="28"/>
    </row>
    <row r="878" spans="4:11" x14ac:dyDescent="0.25">
      <c r="D878" s="32"/>
      <c r="F878" s="28"/>
      <c r="K878" s="28"/>
    </row>
    <row r="879" spans="4:11" x14ac:dyDescent="0.25">
      <c r="D879" s="32"/>
      <c r="F879" s="28"/>
      <c r="K879" s="28"/>
    </row>
    <row r="880" spans="4:11" x14ac:dyDescent="0.25">
      <c r="D880" s="32"/>
      <c r="F880" s="28"/>
      <c r="K880" s="28"/>
    </row>
    <row r="881" spans="4:11" x14ac:dyDescent="0.25">
      <c r="D881" s="32"/>
      <c r="F881" s="28"/>
      <c r="K881" s="28"/>
    </row>
    <row r="882" spans="4:11" x14ac:dyDescent="0.25">
      <c r="D882" s="32"/>
      <c r="F882" s="28"/>
      <c r="K882" s="28"/>
    </row>
    <row r="883" spans="4:11" x14ac:dyDescent="0.25">
      <c r="D883" s="32"/>
      <c r="F883" s="28"/>
      <c r="K883" s="28"/>
    </row>
    <row r="884" spans="4:11" x14ac:dyDescent="0.25">
      <c r="D884" s="32"/>
      <c r="F884" s="28"/>
      <c r="K884" s="28"/>
    </row>
    <row r="885" spans="4:11" x14ac:dyDescent="0.25">
      <c r="D885" s="32"/>
      <c r="F885" s="28"/>
      <c r="K885" s="28"/>
    </row>
    <row r="886" spans="4:11" x14ac:dyDescent="0.25">
      <c r="D886" s="32"/>
      <c r="F886" s="28"/>
      <c r="K886" s="28"/>
    </row>
    <row r="887" spans="4:11" x14ac:dyDescent="0.25">
      <c r="D887" s="32"/>
      <c r="F887" s="28"/>
      <c r="K887" s="28"/>
    </row>
    <row r="888" spans="4:11" x14ac:dyDescent="0.25">
      <c r="D888" s="32"/>
      <c r="F888" s="28"/>
      <c r="K888" s="28"/>
    </row>
    <row r="889" spans="4:11" x14ac:dyDescent="0.25">
      <c r="D889" s="32"/>
      <c r="F889" s="28"/>
      <c r="K889" s="28"/>
    </row>
    <row r="890" spans="4:11" x14ac:dyDescent="0.25">
      <c r="D890" s="32"/>
      <c r="F890" s="28"/>
      <c r="K890" s="28"/>
    </row>
    <row r="891" spans="4:11" x14ac:dyDescent="0.25">
      <c r="D891" s="32"/>
      <c r="F891" s="28"/>
      <c r="K891" s="28"/>
    </row>
    <row r="892" spans="4:11" x14ac:dyDescent="0.25">
      <c r="D892" s="32"/>
      <c r="F892" s="28"/>
      <c r="K892" s="28"/>
    </row>
    <row r="893" spans="4:11" x14ac:dyDescent="0.25">
      <c r="D893" s="32"/>
      <c r="F893" s="28"/>
      <c r="K893" s="28"/>
    </row>
    <row r="894" spans="4:11" x14ac:dyDescent="0.25">
      <c r="D894" s="32"/>
      <c r="F894" s="28"/>
      <c r="K894" s="28"/>
    </row>
    <row r="895" spans="4:11" x14ac:dyDescent="0.25">
      <c r="D895" s="32"/>
      <c r="F895" s="28"/>
      <c r="K895" s="28"/>
    </row>
    <row r="896" spans="4:11" x14ac:dyDescent="0.25">
      <c r="D896" s="32"/>
      <c r="F896" s="28"/>
      <c r="K896" s="28"/>
    </row>
    <row r="897" spans="4:11" x14ac:dyDescent="0.25">
      <c r="D897" s="32"/>
      <c r="F897" s="28"/>
      <c r="K897" s="28"/>
    </row>
    <row r="898" spans="4:11" x14ac:dyDescent="0.25">
      <c r="D898" s="32"/>
      <c r="F898" s="28"/>
      <c r="K898" s="28"/>
    </row>
    <row r="899" spans="4:11" x14ac:dyDescent="0.25">
      <c r="D899" s="32"/>
      <c r="F899" s="28"/>
      <c r="K899" s="28"/>
    </row>
    <row r="900" spans="4:11" x14ac:dyDescent="0.25">
      <c r="D900" s="32"/>
      <c r="F900" s="28"/>
      <c r="K900" s="28"/>
    </row>
    <row r="901" spans="4:11" x14ac:dyDescent="0.25">
      <c r="D901" s="32"/>
      <c r="F901" s="28"/>
      <c r="K901" s="28"/>
    </row>
    <row r="902" spans="4:11" x14ac:dyDescent="0.25">
      <c r="D902" s="32"/>
      <c r="F902" s="28"/>
      <c r="K902" s="28"/>
    </row>
    <row r="903" spans="4:11" x14ac:dyDescent="0.25">
      <c r="D903" s="32"/>
      <c r="F903" s="28"/>
      <c r="K903" s="28"/>
    </row>
    <row r="904" spans="4:11" x14ac:dyDescent="0.25">
      <c r="D904" s="32"/>
      <c r="F904" s="28"/>
      <c r="K904" s="28"/>
    </row>
    <row r="905" spans="4:11" x14ac:dyDescent="0.25">
      <c r="D905" s="32"/>
      <c r="F905" s="28"/>
      <c r="K905" s="28"/>
    </row>
    <row r="906" spans="4:11" x14ac:dyDescent="0.25">
      <c r="D906" s="32"/>
      <c r="F906" s="28"/>
      <c r="K906" s="28"/>
    </row>
    <row r="907" spans="4:11" x14ac:dyDescent="0.25">
      <c r="D907" s="32"/>
      <c r="F907" s="28"/>
      <c r="K907" s="28"/>
    </row>
    <row r="908" spans="4:11" x14ac:dyDescent="0.25">
      <c r="D908" s="32"/>
      <c r="F908" s="28"/>
      <c r="K908" s="28"/>
    </row>
    <row r="909" spans="4:11" x14ac:dyDescent="0.25">
      <c r="D909" s="32"/>
      <c r="F909" s="28"/>
      <c r="K909" s="28"/>
    </row>
    <row r="910" spans="4:11" x14ac:dyDescent="0.25">
      <c r="D910" s="32"/>
      <c r="F910" s="28"/>
      <c r="K910" s="28"/>
    </row>
    <row r="911" spans="4:11" x14ac:dyDescent="0.25">
      <c r="D911" s="32"/>
      <c r="F911" s="28"/>
      <c r="K911" s="28"/>
    </row>
    <row r="912" spans="4:11" x14ac:dyDescent="0.25">
      <c r="D912" s="32"/>
      <c r="F912" s="28"/>
      <c r="K912" s="28"/>
    </row>
    <row r="913" spans="4:11" x14ac:dyDescent="0.25">
      <c r="D913" s="32"/>
      <c r="F913" s="28"/>
      <c r="K913" s="28"/>
    </row>
    <row r="914" spans="4:11" x14ac:dyDescent="0.25">
      <c r="D914" s="32"/>
      <c r="F914" s="28"/>
      <c r="K914" s="28"/>
    </row>
    <row r="915" spans="4:11" x14ac:dyDescent="0.25">
      <c r="D915" s="32"/>
      <c r="F915" s="28"/>
      <c r="K915" s="28"/>
    </row>
    <row r="916" spans="4:11" x14ac:dyDescent="0.25">
      <c r="D916" s="32"/>
      <c r="F916" s="28"/>
      <c r="K916" s="28"/>
    </row>
    <row r="917" spans="4:11" x14ac:dyDescent="0.25">
      <c r="D917" s="32"/>
      <c r="F917" s="28"/>
      <c r="K917" s="28"/>
    </row>
    <row r="918" spans="4:11" x14ac:dyDescent="0.25">
      <c r="D918" s="32"/>
      <c r="F918" s="28"/>
      <c r="K918" s="28"/>
    </row>
    <row r="919" spans="4:11" x14ac:dyDescent="0.25">
      <c r="D919" s="32"/>
      <c r="F919" s="28"/>
      <c r="K919" s="28"/>
    </row>
    <row r="920" spans="4:11" x14ac:dyDescent="0.25">
      <c r="D920" s="32"/>
      <c r="F920" s="28"/>
      <c r="K920" s="28"/>
    </row>
    <row r="921" spans="4:11" x14ac:dyDescent="0.25">
      <c r="D921" s="32"/>
      <c r="F921" s="28"/>
      <c r="K921" s="28"/>
    </row>
    <row r="922" spans="4:11" x14ac:dyDescent="0.25">
      <c r="D922" s="32"/>
      <c r="F922" s="28"/>
      <c r="K922" s="28"/>
    </row>
    <row r="923" spans="4:11" x14ac:dyDescent="0.25">
      <c r="D923" s="32"/>
      <c r="F923" s="28"/>
      <c r="K923" s="28"/>
    </row>
    <row r="924" spans="4:11" x14ac:dyDescent="0.25">
      <c r="D924" s="32"/>
      <c r="F924" s="28"/>
      <c r="K924" s="28"/>
    </row>
    <row r="925" spans="4:11" x14ac:dyDescent="0.25">
      <c r="D925" s="32"/>
      <c r="F925" s="28"/>
      <c r="K925" s="28"/>
    </row>
    <row r="926" spans="4:11" x14ac:dyDescent="0.25">
      <c r="D926" s="32"/>
      <c r="F926" s="28"/>
      <c r="K926" s="28"/>
    </row>
    <row r="927" spans="4:11" x14ac:dyDescent="0.25">
      <c r="D927" s="32"/>
      <c r="F927" s="28"/>
      <c r="K927" s="28"/>
    </row>
    <row r="928" spans="4:11" x14ac:dyDescent="0.25">
      <c r="D928" s="32"/>
      <c r="F928" s="28"/>
      <c r="K928" s="28"/>
    </row>
    <row r="929" spans="4:11" x14ac:dyDescent="0.25">
      <c r="D929" s="32"/>
      <c r="F929" s="28"/>
      <c r="K929" s="28"/>
    </row>
    <row r="930" spans="4:11" x14ac:dyDescent="0.25">
      <c r="D930" s="32"/>
      <c r="F930" s="28"/>
      <c r="K930" s="28"/>
    </row>
    <row r="931" spans="4:11" x14ac:dyDescent="0.25">
      <c r="D931" s="32"/>
      <c r="F931" s="28"/>
      <c r="K931" s="28"/>
    </row>
    <row r="932" spans="4:11" x14ac:dyDescent="0.25">
      <c r="D932" s="32"/>
      <c r="F932" s="28"/>
      <c r="K932" s="28"/>
    </row>
    <row r="933" spans="4:11" x14ac:dyDescent="0.25">
      <c r="D933" s="32"/>
      <c r="F933" s="28"/>
      <c r="K933" s="28"/>
    </row>
    <row r="934" spans="4:11" x14ac:dyDescent="0.25">
      <c r="D934" s="32"/>
      <c r="F934" s="28"/>
      <c r="K934" s="28"/>
    </row>
    <row r="935" spans="4:11" x14ac:dyDescent="0.25">
      <c r="D935" s="32"/>
      <c r="F935" s="28"/>
      <c r="K935" s="28"/>
    </row>
    <row r="936" spans="4:11" x14ac:dyDescent="0.25">
      <c r="D936" s="32"/>
      <c r="F936" s="28"/>
      <c r="K936" s="28"/>
    </row>
    <row r="937" spans="4:11" x14ac:dyDescent="0.25">
      <c r="D937" s="32"/>
      <c r="F937" s="28"/>
      <c r="K937" s="28"/>
    </row>
    <row r="938" spans="4:11" x14ac:dyDescent="0.25">
      <c r="D938" s="32"/>
      <c r="F938" s="28"/>
      <c r="K938" s="28"/>
    </row>
    <row r="939" spans="4:11" x14ac:dyDescent="0.25">
      <c r="D939" s="32"/>
      <c r="F939" s="28"/>
      <c r="K939" s="28"/>
    </row>
    <row r="940" spans="4:11" x14ac:dyDescent="0.25">
      <c r="D940" s="32"/>
      <c r="F940" s="28"/>
      <c r="K940" s="28"/>
    </row>
    <row r="941" spans="4:11" x14ac:dyDescent="0.25">
      <c r="D941" s="32"/>
      <c r="F941" s="28"/>
      <c r="K941" s="28"/>
    </row>
    <row r="942" spans="4:11" x14ac:dyDescent="0.25">
      <c r="D942" s="32"/>
      <c r="F942" s="28"/>
      <c r="K942" s="28"/>
    </row>
    <row r="943" spans="4:11" x14ac:dyDescent="0.25">
      <c r="D943" s="32"/>
      <c r="F943" s="28"/>
      <c r="K943" s="28"/>
    </row>
    <row r="944" spans="4:11" x14ac:dyDescent="0.25">
      <c r="D944" s="32"/>
      <c r="F944" s="28"/>
      <c r="K944" s="28"/>
    </row>
    <row r="945" spans="4:11" x14ac:dyDescent="0.25">
      <c r="D945" s="32"/>
      <c r="F945" s="28"/>
      <c r="K945" s="28"/>
    </row>
    <row r="946" spans="4:11" x14ac:dyDescent="0.25">
      <c r="D946" s="32"/>
      <c r="F946" s="28"/>
      <c r="K946" s="28"/>
    </row>
    <row r="947" spans="4:11" x14ac:dyDescent="0.25">
      <c r="D947" s="32"/>
      <c r="F947" s="28"/>
      <c r="K947" s="28"/>
    </row>
    <row r="948" spans="4:11" x14ac:dyDescent="0.25">
      <c r="D948" s="32"/>
      <c r="F948" s="28"/>
      <c r="K948" s="28"/>
    </row>
    <row r="949" spans="4:11" x14ac:dyDescent="0.25">
      <c r="D949" s="32"/>
      <c r="F949" s="28"/>
      <c r="K949" s="28"/>
    </row>
    <row r="950" spans="4:11" x14ac:dyDescent="0.25">
      <c r="D950" s="32"/>
      <c r="F950" s="28"/>
      <c r="K950" s="28"/>
    </row>
    <row r="951" spans="4:11" x14ac:dyDescent="0.25">
      <c r="D951" s="32"/>
      <c r="F951" s="28"/>
      <c r="K951" s="28"/>
    </row>
    <row r="952" spans="4:11" x14ac:dyDescent="0.25">
      <c r="D952" s="32"/>
      <c r="F952" s="28"/>
      <c r="K952" s="28"/>
    </row>
    <row r="953" spans="4:11" x14ac:dyDescent="0.25">
      <c r="D953" s="32"/>
      <c r="F953" s="28"/>
      <c r="K953" s="28"/>
    </row>
    <row r="954" spans="4:11" x14ac:dyDescent="0.25">
      <c r="D954" s="32"/>
      <c r="F954" s="28"/>
      <c r="K954" s="28"/>
    </row>
    <row r="955" spans="4:11" x14ac:dyDescent="0.25">
      <c r="D955" s="32"/>
      <c r="F955" s="28"/>
      <c r="K955" s="28"/>
    </row>
    <row r="956" spans="4:11" x14ac:dyDescent="0.25">
      <c r="D956" s="32"/>
      <c r="F956" s="28"/>
      <c r="K956" s="28"/>
    </row>
    <row r="957" spans="4:11" x14ac:dyDescent="0.25">
      <c r="D957" s="32"/>
      <c r="F957" s="28"/>
      <c r="K957" s="28"/>
    </row>
    <row r="958" spans="4:11" x14ac:dyDescent="0.25">
      <c r="D958" s="32"/>
      <c r="F958" s="28"/>
      <c r="K958" s="28"/>
    </row>
    <row r="959" spans="4:11" x14ac:dyDescent="0.25">
      <c r="D959" s="32"/>
      <c r="F959" s="28"/>
      <c r="K959" s="28"/>
    </row>
    <row r="960" spans="4:11" x14ac:dyDescent="0.25">
      <c r="D960" s="32"/>
      <c r="F960" s="28"/>
      <c r="K960" s="28"/>
    </row>
    <row r="961" spans="4:11" x14ac:dyDescent="0.25">
      <c r="D961" s="32"/>
      <c r="F961" s="28"/>
      <c r="K961" s="28"/>
    </row>
    <row r="962" spans="4:11" x14ac:dyDescent="0.25">
      <c r="D962" s="32"/>
      <c r="F962" s="28"/>
      <c r="K962" s="28"/>
    </row>
    <row r="963" spans="4:11" x14ac:dyDescent="0.25">
      <c r="D963" s="32"/>
      <c r="F963" s="28"/>
      <c r="K963" s="28"/>
    </row>
    <row r="964" spans="4:11" x14ac:dyDescent="0.25">
      <c r="D964" s="32"/>
      <c r="F964" s="28"/>
      <c r="K964" s="28"/>
    </row>
    <row r="965" spans="4:11" x14ac:dyDescent="0.25">
      <c r="D965" s="32"/>
      <c r="F965" s="28"/>
      <c r="K965" s="28"/>
    </row>
    <row r="966" spans="4:11" x14ac:dyDescent="0.25">
      <c r="D966" s="32"/>
      <c r="F966" s="28"/>
      <c r="K966" s="28"/>
    </row>
    <row r="967" spans="4:11" x14ac:dyDescent="0.25">
      <c r="D967" s="32"/>
      <c r="F967" s="28"/>
      <c r="K967" s="28"/>
    </row>
    <row r="968" spans="4:11" x14ac:dyDescent="0.25">
      <c r="D968" s="32"/>
      <c r="F968" s="28"/>
      <c r="K968" s="28"/>
    </row>
    <row r="969" spans="4:11" x14ac:dyDescent="0.25">
      <c r="D969" s="32"/>
      <c r="F969" s="28"/>
      <c r="K969" s="28"/>
    </row>
    <row r="970" spans="4:11" x14ac:dyDescent="0.25">
      <c r="D970" s="32"/>
      <c r="F970" s="28"/>
      <c r="K970" s="28"/>
    </row>
    <row r="971" spans="4:11" x14ac:dyDescent="0.25">
      <c r="D971" s="32"/>
      <c r="F971" s="28"/>
      <c r="K971" s="28"/>
    </row>
    <row r="972" spans="4:11" x14ac:dyDescent="0.25">
      <c r="D972" s="32"/>
      <c r="F972" s="28"/>
      <c r="K972" s="28"/>
    </row>
    <row r="973" spans="4:11" x14ac:dyDescent="0.25">
      <c r="D973" s="32"/>
      <c r="F973" s="28"/>
      <c r="K973" s="28"/>
    </row>
    <row r="974" spans="4:11" x14ac:dyDescent="0.25">
      <c r="D974" s="32"/>
      <c r="F974" s="28"/>
      <c r="K974" s="28"/>
    </row>
    <row r="975" spans="4:11" x14ac:dyDescent="0.25">
      <c r="D975" s="32"/>
      <c r="F975" s="28"/>
      <c r="K975" s="28"/>
    </row>
    <row r="976" spans="4:11" x14ac:dyDescent="0.25">
      <c r="D976" s="32"/>
      <c r="F976" s="28"/>
      <c r="K976" s="28"/>
    </row>
    <row r="977" spans="4:11" x14ac:dyDescent="0.25">
      <c r="D977" s="32"/>
      <c r="F977" s="28"/>
      <c r="K977" s="28"/>
    </row>
    <row r="978" spans="4:11" x14ac:dyDescent="0.25">
      <c r="D978" s="32"/>
      <c r="F978" s="28"/>
      <c r="K978" s="28"/>
    </row>
    <row r="979" spans="4:11" x14ac:dyDescent="0.25">
      <c r="D979" s="32"/>
      <c r="F979" s="28"/>
      <c r="K979" s="28"/>
    </row>
    <row r="980" spans="4:11" x14ac:dyDescent="0.25">
      <c r="D980" s="32"/>
      <c r="F980" s="28"/>
      <c r="K980" s="28"/>
    </row>
    <row r="981" spans="4:11" x14ac:dyDescent="0.25">
      <c r="D981" s="32"/>
      <c r="F981" s="28"/>
      <c r="K981" s="28"/>
    </row>
    <row r="982" spans="4:11" x14ac:dyDescent="0.25">
      <c r="D982" s="32"/>
      <c r="F982" s="28"/>
      <c r="K982" s="28"/>
    </row>
    <row r="983" spans="4:11" x14ac:dyDescent="0.25">
      <c r="D983" s="32"/>
      <c r="F983" s="28"/>
      <c r="K983" s="28"/>
    </row>
    <row r="984" spans="4:11" x14ac:dyDescent="0.25">
      <c r="D984" s="32"/>
      <c r="F984" s="28"/>
      <c r="K984" s="28"/>
    </row>
    <row r="985" spans="4:11" x14ac:dyDescent="0.25">
      <c r="D985" s="32"/>
      <c r="F985" s="28"/>
      <c r="K985" s="28"/>
    </row>
    <row r="986" spans="4:11" x14ac:dyDescent="0.25">
      <c r="D986" s="32"/>
      <c r="F986" s="28"/>
      <c r="K986" s="28"/>
    </row>
    <row r="987" spans="4:11" x14ac:dyDescent="0.25">
      <c r="D987" s="32"/>
      <c r="F987" s="28"/>
      <c r="K987" s="28"/>
    </row>
    <row r="988" spans="4:11" x14ac:dyDescent="0.25">
      <c r="D988" s="32"/>
      <c r="F988" s="28"/>
      <c r="K988" s="28"/>
    </row>
    <row r="989" spans="4:11" x14ac:dyDescent="0.25">
      <c r="D989" s="32"/>
      <c r="F989" s="28"/>
      <c r="K989" s="28"/>
    </row>
    <row r="990" spans="4:11" x14ac:dyDescent="0.25">
      <c r="D990" s="32"/>
      <c r="F990" s="28"/>
      <c r="K990" s="28"/>
    </row>
    <row r="991" spans="4:11" x14ac:dyDescent="0.25">
      <c r="D991" s="32"/>
      <c r="F991" s="28"/>
      <c r="K991" s="28"/>
    </row>
    <row r="992" spans="4:11" x14ac:dyDescent="0.25">
      <c r="D992" s="32"/>
      <c r="F992" s="28"/>
      <c r="K992" s="28"/>
    </row>
    <row r="993" spans="4:11" x14ac:dyDescent="0.25">
      <c r="D993" s="32"/>
      <c r="F993" s="28"/>
      <c r="K993" s="28"/>
    </row>
    <row r="994" spans="4:11" x14ac:dyDescent="0.25">
      <c r="D994" s="32"/>
      <c r="F994" s="28"/>
      <c r="K994" s="28"/>
    </row>
    <row r="995" spans="4:11" x14ac:dyDescent="0.25">
      <c r="D995" s="32"/>
      <c r="F995" s="28"/>
      <c r="K995" s="28"/>
    </row>
    <row r="996" spans="4:11" x14ac:dyDescent="0.25">
      <c r="D996" s="32"/>
      <c r="F996" s="28"/>
      <c r="K996" s="28"/>
    </row>
    <row r="997" spans="4:11" x14ac:dyDescent="0.25">
      <c r="D997" s="32"/>
      <c r="F997" s="28"/>
      <c r="K997" s="28"/>
    </row>
    <row r="998" spans="4:11" x14ac:dyDescent="0.25">
      <c r="D998" s="32"/>
      <c r="F998" s="28"/>
      <c r="K998" s="28"/>
    </row>
    <row r="999" spans="4:11" x14ac:dyDescent="0.25">
      <c r="D999" s="32"/>
      <c r="F999" s="28"/>
      <c r="K999" s="28"/>
    </row>
    <row r="1000" spans="4:11" x14ac:dyDescent="0.25">
      <c r="D1000" s="32"/>
      <c r="F1000" s="28"/>
      <c r="K1000" s="28"/>
    </row>
    <row r="1001" spans="4:11" x14ac:dyDescent="0.25">
      <c r="D1001" s="32"/>
      <c r="F1001" s="28"/>
      <c r="K1001" s="28"/>
    </row>
    <row r="1002" spans="4:11" x14ac:dyDescent="0.25">
      <c r="D1002" s="32"/>
      <c r="F1002" s="28"/>
      <c r="K1002" s="28"/>
    </row>
    <row r="1003" spans="4:11" x14ac:dyDescent="0.25">
      <c r="D1003" s="32"/>
      <c r="F1003" s="28"/>
      <c r="K1003" s="28"/>
    </row>
    <row r="1004" spans="4:11" x14ac:dyDescent="0.25">
      <c r="D1004" s="32"/>
      <c r="F1004" s="28"/>
      <c r="K1004" s="28"/>
    </row>
    <row r="1005" spans="4:11" x14ac:dyDescent="0.25">
      <c r="D1005" s="32"/>
      <c r="F1005" s="28"/>
      <c r="K1005" s="28"/>
    </row>
    <row r="1006" spans="4:11" x14ac:dyDescent="0.25">
      <c r="D1006" s="32"/>
      <c r="F1006" s="28"/>
      <c r="K1006" s="28"/>
    </row>
    <row r="1007" spans="4:11" x14ac:dyDescent="0.25">
      <c r="D1007" s="32"/>
      <c r="F1007" s="28"/>
      <c r="K1007" s="28"/>
    </row>
    <row r="1008" spans="4:11" x14ac:dyDescent="0.25">
      <c r="D1008" s="32"/>
      <c r="F1008" s="28"/>
      <c r="K1008" s="28"/>
    </row>
    <row r="1009" spans="4:11" x14ac:dyDescent="0.25">
      <c r="D1009" s="32"/>
      <c r="F1009" s="28"/>
      <c r="K1009" s="28"/>
    </row>
    <row r="1010" spans="4:11" x14ac:dyDescent="0.25">
      <c r="D1010" s="32"/>
      <c r="F1010" s="28"/>
      <c r="K1010" s="28"/>
    </row>
    <row r="1011" spans="4:11" x14ac:dyDescent="0.25">
      <c r="D1011" s="32"/>
      <c r="F1011" s="28"/>
      <c r="K1011" s="28"/>
    </row>
    <row r="1012" spans="4:11" x14ac:dyDescent="0.25">
      <c r="D1012" s="32"/>
      <c r="F1012" s="28"/>
      <c r="K1012" s="28"/>
    </row>
    <row r="1013" spans="4:11" x14ac:dyDescent="0.25">
      <c r="D1013" s="32"/>
      <c r="F1013" s="28"/>
      <c r="K1013" s="28"/>
    </row>
    <row r="1014" spans="4:11" x14ac:dyDescent="0.25">
      <c r="D1014" s="32"/>
      <c r="F1014" s="28"/>
      <c r="K1014" s="28"/>
    </row>
    <row r="1015" spans="4:11" x14ac:dyDescent="0.25">
      <c r="D1015" s="32"/>
      <c r="F1015" s="28"/>
      <c r="K1015" s="28"/>
    </row>
    <row r="1016" spans="4:11" x14ac:dyDescent="0.25">
      <c r="D1016" s="32"/>
      <c r="F1016" s="28"/>
      <c r="K1016" s="28"/>
    </row>
    <row r="1017" spans="4:11" x14ac:dyDescent="0.25">
      <c r="D1017" s="32"/>
      <c r="F1017" s="28"/>
      <c r="K1017" s="28"/>
    </row>
    <row r="1018" spans="4:11" x14ac:dyDescent="0.25">
      <c r="D1018" s="32"/>
      <c r="F1018" s="28"/>
      <c r="K1018" s="28"/>
    </row>
    <row r="1019" spans="4:11" x14ac:dyDescent="0.25">
      <c r="D1019" s="32"/>
      <c r="F1019" s="28"/>
      <c r="K1019" s="28"/>
    </row>
    <row r="1020" spans="4:11" x14ac:dyDescent="0.25">
      <c r="D1020" s="32"/>
      <c r="F1020" s="28"/>
      <c r="K1020" s="28"/>
    </row>
    <row r="1021" spans="4:11" x14ac:dyDescent="0.25">
      <c r="D1021" s="32"/>
      <c r="F1021" s="28"/>
      <c r="K1021" s="28"/>
    </row>
    <row r="1022" spans="4:11" x14ac:dyDescent="0.25">
      <c r="D1022" s="32"/>
      <c r="F1022" s="28"/>
      <c r="K1022" s="28"/>
    </row>
    <row r="1023" spans="4:11" x14ac:dyDescent="0.25">
      <c r="D1023" s="32"/>
      <c r="F1023" s="28"/>
      <c r="K1023" s="28"/>
    </row>
    <row r="1024" spans="4:11" x14ac:dyDescent="0.25">
      <c r="D1024" s="32"/>
      <c r="F1024" s="28"/>
      <c r="K1024" s="28"/>
    </row>
    <row r="1025" spans="4:11" x14ac:dyDescent="0.25">
      <c r="D1025" s="32"/>
      <c r="F1025" s="28"/>
      <c r="K1025" s="28"/>
    </row>
    <row r="1026" spans="4:11" x14ac:dyDescent="0.25">
      <c r="D1026" s="32"/>
      <c r="F1026" s="28"/>
      <c r="K1026" s="28"/>
    </row>
    <row r="1027" spans="4:11" x14ac:dyDescent="0.25">
      <c r="D1027" s="32"/>
      <c r="F1027" s="28"/>
      <c r="K1027" s="28"/>
    </row>
    <row r="1028" spans="4:11" x14ac:dyDescent="0.25">
      <c r="D1028" s="32"/>
      <c r="F1028" s="28"/>
      <c r="K1028" s="28"/>
    </row>
    <row r="1029" spans="4:11" x14ac:dyDescent="0.25">
      <c r="D1029" s="32"/>
      <c r="F1029" s="28"/>
      <c r="K1029" s="28"/>
    </row>
    <row r="1030" spans="4:11" x14ac:dyDescent="0.25">
      <c r="D1030" s="32"/>
      <c r="F1030" s="28"/>
      <c r="K1030" s="28"/>
    </row>
    <row r="1031" spans="4:11" x14ac:dyDescent="0.25">
      <c r="D1031" s="32"/>
      <c r="F1031" s="28"/>
      <c r="K1031" s="28"/>
    </row>
    <row r="1032" spans="4:11" x14ac:dyDescent="0.25">
      <c r="D1032" s="32"/>
      <c r="F1032" s="28"/>
      <c r="K1032" s="28"/>
    </row>
    <row r="1033" spans="4:11" x14ac:dyDescent="0.25">
      <c r="D1033" s="32"/>
      <c r="F1033" s="28"/>
      <c r="K1033" s="28"/>
    </row>
    <row r="1034" spans="4:11" x14ac:dyDescent="0.25">
      <c r="D1034" s="32"/>
      <c r="F1034" s="28"/>
      <c r="K1034" s="28"/>
    </row>
    <row r="1035" spans="4:11" x14ac:dyDescent="0.25">
      <c r="D1035" s="32"/>
      <c r="F1035" s="28"/>
      <c r="K1035" s="28"/>
    </row>
    <row r="1036" spans="4:11" x14ac:dyDescent="0.25">
      <c r="D1036" s="32"/>
      <c r="F1036" s="28"/>
      <c r="K1036" s="28"/>
    </row>
    <row r="1037" spans="4:11" x14ac:dyDescent="0.25">
      <c r="D1037" s="32"/>
      <c r="F1037" s="28"/>
      <c r="K1037" s="28"/>
    </row>
    <row r="1038" spans="4:11" x14ac:dyDescent="0.25">
      <c r="D1038" s="32"/>
      <c r="F1038" s="28"/>
      <c r="K1038" s="28"/>
    </row>
    <row r="1039" spans="4:11" x14ac:dyDescent="0.25">
      <c r="D1039" s="32"/>
      <c r="F1039" s="28"/>
      <c r="K1039" s="28"/>
    </row>
    <row r="1040" spans="4:11" x14ac:dyDescent="0.25">
      <c r="D1040" s="32"/>
      <c r="F1040" s="28"/>
      <c r="K1040" s="28"/>
    </row>
    <row r="1041" spans="4:11" x14ac:dyDescent="0.25">
      <c r="D1041" s="32"/>
      <c r="F1041" s="28"/>
      <c r="K1041" s="28"/>
    </row>
    <row r="1042" spans="4:11" x14ac:dyDescent="0.25">
      <c r="D1042" s="32"/>
      <c r="F1042" s="28"/>
      <c r="K1042" s="28"/>
    </row>
    <row r="1043" spans="4:11" x14ac:dyDescent="0.25">
      <c r="D1043" s="32"/>
      <c r="F1043" s="28"/>
      <c r="K1043" s="28"/>
    </row>
    <row r="1044" spans="4:11" x14ac:dyDescent="0.25">
      <c r="D1044" s="32"/>
      <c r="F1044" s="28"/>
      <c r="K1044" s="28"/>
    </row>
    <row r="1045" spans="4:11" x14ac:dyDescent="0.25">
      <c r="D1045" s="32"/>
      <c r="F1045" s="28"/>
      <c r="K1045" s="28"/>
    </row>
    <row r="1046" spans="4:11" x14ac:dyDescent="0.25">
      <c r="D1046" s="32"/>
      <c r="F1046" s="28"/>
      <c r="K1046" s="28"/>
    </row>
    <row r="1047" spans="4:11" x14ac:dyDescent="0.25">
      <c r="D1047" s="32"/>
      <c r="F1047" s="28"/>
      <c r="K1047" s="28"/>
    </row>
    <row r="1048" spans="4:11" x14ac:dyDescent="0.25">
      <c r="D1048" s="32"/>
      <c r="F1048" s="28"/>
      <c r="K1048" s="28"/>
    </row>
    <row r="1049" spans="4:11" x14ac:dyDescent="0.25">
      <c r="D1049" s="32"/>
      <c r="F1049" s="28"/>
      <c r="K1049" s="28"/>
    </row>
    <row r="1050" spans="4:11" x14ac:dyDescent="0.25">
      <c r="D1050" s="32"/>
      <c r="F1050" s="28"/>
      <c r="K1050" s="28"/>
    </row>
    <row r="1051" spans="4:11" x14ac:dyDescent="0.25">
      <c r="D1051" s="32"/>
      <c r="F1051" s="28"/>
      <c r="K1051" s="28"/>
    </row>
    <row r="1052" spans="4:11" x14ac:dyDescent="0.25">
      <c r="D1052" s="32"/>
      <c r="F1052" s="28"/>
      <c r="K1052" s="28"/>
    </row>
    <row r="1053" spans="4:11" x14ac:dyDescent="0.25">
      <c r="D1053" s="32"/>
      <c r="F1053" s="28"/>
      <c r="K1053" s="28"/>
    </row>
    <row r="1054" spans="4:11" x14ac:dyDescent="0.25">
      <c r="D1054" s="32"/>
      <c r="F1054" s="28"/>
      <c r="K1054" s="28"/>
    </row>
    <row r="1055" spans="4:11" x14ac:dyDescent="0.25">
      <c r="D1055" s="32"/>
      <c r="F1055" s="28"/>
      <c r="K1055" s="28"/>
    </row>
    <row r="1056" spans="4:11" x14ac:dyDescent="0.25">
      <c r="D1056" s="32"/>
      <c r="F1056" s="28"/>
      <c r="K1056" s="28"/>
    </row>
    <row r="1057" spans="4:11" x14ac:dyDescent="0.25">
      <c r="D1057" s="32"/>
      <c r="F1057" s="28"/>
      <c r="K1057" s="28"/>
    </row>
    <row r="1058" spans="4:11" x14ac:dyDescent="0.25">
      <c r="D1058" s="32"/>
      <c r="F1058" s="28"/>
      <c r="K1058" s="28"/>
    </row>
    <row r="1059" spans="4:11" x14ac:dyDescent="0.25">
      <c r="D1059" s="32"/>
      <c r="F1059" s="28"/>
      <c r="K1059" s="28"/>
    </row>
    <row r="1060" spans="4:11" x14ac:dyDescent="0.25">
      <c r="D1060" s="32"/>
      <c r="F1060" s="28"/>
      <c r="K1060" s="28"/>
    </row>
    <row r="1061" spans="4:11" x14ac:dyDescent="0.25">
      <c r="D1061" s="32"/>
      <c r="F1061" s="28"/>
      <c r="K1061" s="28"/>
    </row>
    <row r="1062" spans="4:11" x14ac:dyDescent="0.25">
      <c r="D1062" s="32"/>
      <c r="F1062" s="28"/>
      <c r="K1062" s="28"/>
    </row>
    <row r="1063" spans="4:11" x14ac:dyDescent="0.25">
      <c r="D1063" s="32"/>
      <c r="F1063" s="28"/>
      <c r="K1063" s="28"/>
    </row>
    <row r="1064" spans="4:11" x14ac:dyDescent="0.25">
      <c r="D1064" s="32"/>
      <c r="F1064" s="28"/>
      <c r="K1064" s="28"/>
    </row>
    <row r="1065" spans="4:11" x14ac:dyDescent="0.25">
      <c r="D1065" s="32"/>
      <c r="F1065" s="28"/>
      <c r="K1065" s="28"/>
    </row>
    <row r="1066" spans="4:11" x14ac:dyDescent="0.25">
      <c r="D1066" s="32"/>
      <c r="F1066" s="28"/>
      <c r="K1066" s="28"/>
    </row>
    <row r="1067" spans="4:11" x14ac:dyDescent="0.25">
      <c r="D1067" s="32"/>
      <c r="F1067" s="28"/>
      <c r="K1067" s="28"/>
    </row>
    <row r="1068" spans="4:11" x14ac:dyDescent="0.25">
      <c r="D1068" s="32"/>
      <c r="F1068" s="28"/>
      <c r="K1068" s="28"/>
    </row>
    <row r="1069" spans="4:11" x14ac:dyDescent="0.25">
      <c r="D1069" s="32"/>
      <c r="F1069" s="28"/>
      <c r="K1069" s="28"/>
    </row>
    <row r="1070" spans="4:11" x14ac:dyDescent="0.25">
      <c r="D1070" s="32"/>
      <c r="F1070" s="28"/>
      <c r="K1070" s="28"/>
    </row>
    <row r="1071" spans="4:11" x14ac:dyDescent="0.25">
      <c r="D1071" s="32"/>
      <c r="F1071" s="28"/>
      <c r="K1071" s="28"/>
    </row>
    <row r="1072" spans="4:11" x14ac:dyDescent="0.25">
      <c r="D1072" s="32"/>
      <c r="F1072" s="28"/>
      <c r="K1072" s="28"/>
    </row>
    <row r="1073" spans="4:11" x14ac:dyDescent="0.25">
      <c r="D1073" s="32"/>
      <c r="F1073" s="28"/>
      <c r="K1073" s="28"/>
    </row>
    <row r="1074" spans="4:11" x14ac:dyDescent="0.25">
      <c r="D1074" s="32"/>
      <c r="F1074" s="28"/>
      <c r="K1074" s="28"/>
    </row>
    <row r="1075" spans="4:11" x14ac:dyDescent="0.25">
      <c r="D1075" s="32"/>
      <c r="F1075" s="28"/>
      <c r="K1075" s="28"/>
    </row>
    <row r="1076" spans="4:11" x14ac:dyDescent="0.25">
      <c r="D1076" s="32"/>
      <c r="F1076" s="28"/>
      <c r="K1076" s="28"/>
    </row>
    <row r="1077" spans="4:11" x14ac:dyDescent="0.25">
      <c r="D1077" s="32"/>
      <c r="F1077" s="28"/>
      <c r="K1077" s="28"/>
    </row>
    <row r="1078" spans="4:11" x14ac:dyDescent="0.25">
      <c r="D1078" s="32"/>
      <c r="F1078" s="28"/>
      <c r="K1078" s="28"/>
    </row>
    <row r="1079" spans="4:11" x14ac:dyDescent="0.25">
      <c r="D1079" s="32"/>
      <c r="F1079" s="28"/>
      <c r="K1079" s="28"/>
    </row>
    <row r="1080" spans="4:11" x14ac:dyDescent="0.25">
      <c r="D1080" s="32"/>
      <c r="F1080" s="28"/>
      <c r="K1080" s="28"/>
    </row>
    <row r="1081" spans="4:11" x14ac:dyDescent="0.25">
      <c r="D1081" s="32"/>
      <c r="F1081" s="28"/>
      <c r="K1081" s="28"/>
    </row>
    <row r="1082" spans="4:11" x14ac:dyDescent="0.25">
      <c r="D1082" s="32"/>
      <c r="F1082" s="28"/>
      <c r="K1082" s="28"/>
    </row>
    <row r="1083" spans="4:11" x14ac:dyDescent="0.25">
      <c r="D1083" s="32"/>
      <c r="F1083" s="28"/>
      <c r="K1083" s="28"/>
    </row>
    <row r="1084" spans="4:11" x14ac:dyDescent="0.25">
      <c r="D1084" s="32"/>
      <c r="F1084" s="28"/>
      <c r="K1084" s="28"/>
    </row>
    <row r="1085" spans="4:11" x14ac:dyDescent="0.25">
      <c r="D1085" s="32"/>
      <c r="F1085" s="28"/>
      <c r="K1085" s="28"/>
    </row>
    <row r="1086" spans="4:11" x14ac:dyDescent="0.25">
      <c r="D1086" s="32"/>
      <c r="F1086" s="28"/>
      <c r="K1086" s="28"/>
    </row>
    <row r="1087" spans="4:11" x14ac:dyDescent="0.25">
      <c r="D1087" s="32"/>
      <c r="F1087" s="28"/>
      <c r="K1087" s="28"/>
    </row>
    <row r="1088" spans="4:11" x14ac:dyDescent="0.25">
      <c r="D1088" s="32"/>
      <c r="F1088" s="28"/>
      <c r="K1088" s="28"/>
    </row>
    <row r="1089" spans="4:11" x14ac:dyDescent="0.25">
      <c r="D1089" s="32"/>
      <c r="F1089" s="28"/>
      <c r="K1089" s="28"/>
    </row>
    <row r="1090" spans="4:11" x14ac:dyDescent="0.25">
      <c r="D1090" s="32"/>
      <c r="F1090" s="28"/>
      <c r="K1090" s="28"/>
    </row>
    <row r="1091" spans="4:11" x14ac:dyDescent="0.25">
      <c r="D1091" s="32"/>
      <c r="F1091" s="28"/>
      <c r="K1091" s="28"/>
    </row>
    <row r="1092" spans="4:11" x14ac:dyDescent="0.25">
      <c r="D1092" s="32"/>
      <c r="F1092" s="28"/>
      <c r="K1092" s="28"/>
    </row>
    <row r="1093" spans="4:11" x14ac:dyDescent="0.25">
      <c r="D1093" s="32"/>
      <c r="F1093" s="28"/>
      <c r="K1093" s="28"/>
    </row>
    <row r="1094" spans="4:11" x14ac:dyDescent="0.25">
      <c r="D1094" s="32"/>
      <c r="F1094" s="28"/>
      <c r="K1094" s="28"/>
    </row>
    <row r="1095" spans="4:11" x14ac:dyDescent="0.25">
      <c r="D1095" s="32"/>
      <c r="F1095" s="28"/>
      <c r="K1095" s="28"/>
    </row>
    <row r="1096" spans="4:11" x14ac:dyDescent="0.25">
      <c r="D1096" s="32"/>
      <c r="F1096" s="28"/>
      <c r="K1096" s="28"/>
    </row>
    <row r="1097" spans="4:11" x14ac:dyDescent="0.25">
      <c r="D1097" s="32"/>
      <c r="F1097" s="28"/>
      <c r="K1097" s="28"/>
    </row>
    <row r="1098" spans="4:11" x14ac:dyDescent="0.25">
      <c r="D1098" s="32"/>
      <c r="F1098" s="28"/>
      <c r="K1098" s="28"/>
    </row>
    <row r="1099" spans="4:11" x14ac:dyDescent="0.25">
      <c r="D1099" s="32"/>
      <c r="F1099" s="28"/>
      <c r="K1099" s="28"/>
    </row>
    <row r="1100" spans="4:11" x14ac:dyDescent="0.25">
      <c r="D1100" s="32"/>
      <c r="F1100" s="28"/>
      <c r="K1100" s="28"/>
    </row>
    <row r="1101" spans="4:11" x14ac:dyDescent="0.25">
      <c r="D1101" s="32"/>
      <c r="F1101" s="28"/>
      <c r="K1101" s="28"/>
    </row>
    <row r="1102" spans="4:11" x14ac:dyDescent="0.25">
      <c r="D1102" s="32"/>
      <c r="F1102" s="28"/>
      <c r="K1102" s="28"/>
    </row>
    <row r="1103" spans="4:11" x14ac:dyDescent="0.25">
      <c r="D1103" s="32"/>
      <c r="F1103" s="28"/>
      <c r="K1103" s="28"/>
    </row>
    <row r="1104" spans="4:11" x14ac:dyDescent="0.25">
      <c r="D1104" s="32"/>
      <c r="F1104" s="28"/>
      <c r="K1104" s="28"/>
    </row>
    <row r="1105" spans="4:11" x14ac:dyDescent="0.25">
      <c r="D1105" s="32"/>
      <c r="F1105" s="28"/>
      <c r="K1105" s="28"/>
    </row>
    <row r="1106" spans="4:11" x14ac:dyDescent="0.25">
      <c r="D1106" s="32"/>
      <c r="F1106" s="28"/>
      <c r="K1106" s="28"/>
    </row>
    <row r="1107" spans="4:11" x14ac:dyDescent="0.25">
      <c r="D1107" s="32"/>
      <c r="F1107" s="28"/>
      <c r="K1107" s="28"/>
    </row>
    <row r="1108" spans="4:11" x14ac:dyDescent="0.25">
      <c r="D1108" s="32"/>
      <c r="F1108" s="28"/>
      <c r="K1108" s="28"/>
    </row>
    <row r="1109" spans="4:11" x14ac:dyDescent="0.25">
      <c r="D1109" s="32"/>
      <c r="F1109" s="28"/>
      <c r="K1109" s="28"/>
    </row>
    <row r="1110" spans="4:11" x14ac:dyDescent="0.25">
      <c r="D1110" s="32"/>
      <c r="F1110" s="28"/>
      <c r="K1110" s="28"/>
    </row>
    <row r="1111" spans="4:11" x14ac:dyDescent="0.25">
      <c r="D1111" s="32"/>
      <c r="F1111" s="28"/>
      <c r="K1111" s="28"/>
    </row>
    <row r="1112" spans="4:11" x14ac:dyDescent="0.25">
      <c r="D1112" s="32"/>
      <c r="F1112" s="28"/>
      <c r="K1112" s="28"/>
    </row>
    <row r="1113" spans="4:11" x14ac:dyDescent="0.25">
      <c r="D1113" s="32"/>
      <c r="F1113" s="28"/>
      <c r="K1113" s="28"/>
    </row>
    <row r="1114" spans="4:11" x14ac:dyDescent="0.25">
      <c r="D1114" s="32"/>
      <c r="F1114" s="28"/>
      <c r="K1114" s="28"/>
    </row>
    <row r="1115" spans="4:11" x14ac:dyDescent="0.25">
      <c r="D1115" s="32"/>
      <c r="F1115" s="28"/>
      <c r="K1115" s="28"/>
    </row>
    <row r="1116" spans="4:11" x14ac:dyDescent="0.25">
      <c r="D1116" s="32"/>
      <c r="F1116" s="28"/>
      <c r="K1116" s="28"/>
    </row>
    <row r="1117" spans="4:11" x14ac:dyDescent="0.25">
      <c r="D1117" s="32"/>
      <c r="F1117" s="28"/>
      <c r="K1117" s="28"/>
    </row>
    <row r="1118" spans="4:11" x14ac:dyDescent="0.25">
      <c r="D1118" s="32"/>
      <c r="F1118" s="28"/>
      <c r="K1118" s="28"/>
    </row>
    <row r="1119" spans="4:11" x14ac:dyDescent="0.25">
      <c r="D1119" s="32"/>
      <c r="F1119" s="28"/>
      <c r="K1119" s="28"/>
    </row>
    <row r="1120" spans="4:11" x14ac:dyDescent="0.25">
      <c r="D1120" s="32"/>
      <c r="F1120" s="28"/>
      <c r="K1120" s="28"/>
    </row>
    <row r="1121" spans="4:11" x14ac:dyDescent="0.25">
      <c r="D1121" s="32"/>
      <c r="F1121" s="28"/>
      <c r="K1121" s="28"/>
    </row>
    <row r="1122" spans="4:11" x14ac:dyDescent="0.25">
      <c r="D1122" s="32"/>
      <c r="F1122" s="28"/>
      <c r="K1122" s="28"/>
    </row>
    <row r="1123" spans="4:11" x14ac:dyDescent="0.25">
      <c r="D1123" s="32"/>
      <c r="F1123" s="28"/>
      <c r="K1123" s="28"/>
    </row>
    <row r="1124" spans="4:11" x14ac:dyDescent="0.25">
      <c r="D1124" s="32"/>
      <c r="F1124" s="28"/>
      <c r="K1124" s="28"/>
    </row>
    <row r="1125" spans="4:11" x14ac:dyDescent="0.25">
      <c r="D1125" s="32"/>
      <c r="F1125" s="28"/>
      <c r="K1125" s="28"/>
    </row>
    <row r="1126" spans="4:11" x14ac:dyDescent="0.25">
      <c r="D1126" s="32"/>
      <c r="F1126" s="28"/>
      <c r="K1126" s="28"/>
    </row>
    <row r="1127" spans="4:11" x14ac:dyDescent="0.25">
      <c r="D1127" s="32"/>
      <c r="F1127" s="28"/>
      <c r="K1127" s="28"/>
    </row>
    <row r="1128" spans="4:11" x14ac:dyDescent="0.25">
      <c r="D1128" s="32"/>
      <c r="F1128" s="28"/>
      <c r="K1128" s="28"/>
    </row>
    <row r="1129" spans="4:11" x14ac:dyDescent="0.25">
      <c r="D1129" s="32"/>
      <c r="F1129" s="28"/>
      <c r="K1129" s="28"/>
    </row>
    <row r="1130" spans="4:11" x14ac:dyDescent="0.25">
      <c r="D1130" s="32"/>
      <c r="F1130" s="28"/>
      <c r="K1130" s="28"/>
    </row>
    <row r="1131" spans="4:11" x14ac:dyDescent="0.25">
      <c r="D1131" s="32"/>
      <c r="F1131" s="28"/>
      <c r="K1131" s="28"/>
    </row>
    <row r="1132" spans="4:11" x14ac:dyDescent="0.25">
      <c r="D1132" s="32"/>
      <c r="F1132" s="28"/>
      <c r="K1132" s="28"/>
    </row>
    <row r="1133" spans="4:11" x14ac:dyDescent="0.25">
      <c r="D1133" s="32"/>
      <c r="F1133" s="28"/>
      <c r="K1133" s="28"/>
    </row>
    <row r="1134" spans="4:11" x14ac:dyDescent="0.25">
      <c r="D1134" s="32"/>
      <c r="F1134" s="28"/>
      <c r="K1134" s="28"/>
    </row>
    <row r="1135" spans="4:11" x14ac:dyDescent="0.25">
      <c r="D1135" s="32"/>
      <c r="F1135" s="28"/>
      <c r="K1135" s="28"/>
    </row>
    <row r="1136" spans="4:11" x14ac:dyDescent="0.25">
      <c r="D1136" s="32"/>
      <c r="F1136" s="28"/>
      <c r="K1136" s="28"/>
    </row>
    <row r="1137" spans="4:11" x14ac:dyDescent="0.25">
      <c r="D1137" s="32"/>
      <c r="F1137" s="28"/>
      <c r="K1137" s="28"/>
    </row>
    <row r="1138" spans="4:11" x14ac:dyDescent="0.25">
      <c r="D1138" s="32"/>
      <c r="F1138" s="28"/>
      <c r="K1138" s="28"/>
    </row>
    <row r="1139" spans="4:11" x14ac:dyDescent="0.25">
      <c r="D1139" s="32"/>
      <c r="F1139" s="28"/>
      <c r="K1139" s="28"/>
    </row>
    <row r="1140" spans="4:11" x14ac:dyDescent="0.25">
      <c r="D1140" s="32"/>
      <c r="F1140" s="28"/>
      <c r="K1140" s="28"/>
    </row>
    <row r="1141" spans="4:11" x14ac:dyDescent="0.25">
      <c r="D1141" s="32"/>
      <c r="F1141" s="28"/>
      <c r="K1141" s="28"/>
    </row>
    <row r="1142" spans="4:11" x14ac:dyDescent="0.25">
      <c r="D1142" s="32"/>
      <c r="F1142" s="28"/>
      <c r="K1142" s="28"/>
    </row>
    <row r="1143" spans="4:11" x14ac:dyDescent="0.25">
      <c r="D1143" s="32"/>
      <c r="F1143" s="28"/>
      <c r="K1143" s="28"/>
    </row>
    <row r="1144" spans="4:11" x14ac:dyDescent="0.25">
      <c r="D1144" s="32"/>
      <c r="F1144" s="28"/>
      <c r="K1144" s="28"/>
    </row>
    <row r="1145" spans="4:11" x14ac:dyDescent="0.25">
      <c r="D1145" s="32"/>
      <c r="F1145" s="28"/>
      <c r="K1145" s="28"/>
    </row>
    <row r="1146" spans="4:11" x14ac:dyDescent="0.25">
      <c r="D1146" s="32"/>
      <c r="F1146" s="28"/>
      <c r="K1146" s="28"/>
    </row>
    <row r="1147" spans="4:11" x14ac:dyDescent="0.25">
      <c r="D1147" s="32"/>
      <c r="F1147" s="28"/>
      <c r="K1147" s="28"/>
    </row>
    <row r="1148" spans="4:11" x14ac:dyDescent="0.25">
      <c r="D1148" s="32"/>
      <c r="F1148" s="28"/>
      <c r="K1148" s="28"/>
    </row>
    <row r="1149" spans="4:11" x14ac:dyDescent="0.25">
      <c r="D1149" s="32"/>
      <c r="F1149" s="28"/>
      <c r="K1149" s="28"/>
    </row>
    <row r="1150" spans="4:11" x14ac:dyDescent="0.25">
      <c r="D1150" s="32"/>
      <c r="F1150" s="28"/>
      <c r="K1150" s="28"/>
    </row>
    <row r="1151" spans="4:11" x14ac:dyDescent="0.25">
      <c r="D1151" s="32"/>
      <c r="F1151" s="28"/>
      <c r="K1151" s="28"/>
    </row>
    <row r="1152" spans="4:11" x14ac:dyDescent="0.25">
      <c r="D1152" s="32"/>
      <c r="F1152" s="28"/>
      <c r="K1152" s="28"/>
    </row>
    <row r="1153" spans="4:11" x14ac:dyDescent="0.25">
      <c r="D1153" s="32"/>
      <c r="F1153" s="28"/>
      <c r="K1153" s="28"/>
    </row>
    <row r="1154" spans="4:11" x14ac:dyDescent="0.25">
      <c r="D1154" s="32"/>
      <c r="F1154" s="28"/>
      <c r="K1154" s="28"/>
    </row>
    <row r="1155" spans="4:11" x14ac:dyDescent="0.25">
      <c r="D1155" s="32"/>
      <c r="F1155" s="28"/>
      <c r="K1155" s="28"/>
    </row>
    <row r="1156" spans="4:11" x14ac:dyDescent="0.25">
      <c r="D1156" s="32"/>
      <c r="F1156" s="28"/>
      <c r="K1156" s="28"/>
    </row>
    <row r="1157" spans="4:11" x14ac:dyDescent="0.25">
      <c r="D1157" s="32"/>
      <c r="F1157" s="28"/>
      <c r="K1157" s="28"/>
    </row>
    <row r="1158" spans="4:11" x14ac:dyDescent="0.25">
      <c r="D1158" s="32"/>
      <c r="F1158" s="28"/>
      <c r="K1158" s="28"/>
    </row>
    <row r="1159" spans="4:11" x14ac:dyDescent="0.25">
      <c r="D1159" s="32"/>
      <c r="F1159" s="28"/>
      <c r="K1159" s="28"/>
    </row>
    <row r="1160" spans="4:11" x14ac:dyDescent="0.25">
      <c r="D1160" s="32"/>
      <c r="F1160" s="28"/>
      <c r="K1160" s="28"/>
    </row>
    <row r="1161" spans="4:11" x14ac:dyDescent="0.25">
      <c r="D1161" s="32"/>
      <c r="F1161" s="28"/>
      <c r="K1161" s="28"/>
    </row>
    <row r="1162" spans="4:11" x14ac:dyDescent="0.25">
      <c r="D1162" s="32"/>
      <c r="F1162" s="28"/>
      <c r="K1162" s="28"/>
    </row>
    <row r="1163" spans="4:11" x14ac:dyDescent="0.25">
      <c r="D1163" s="32"/>
      <c r="F1163" s="28"/>
      <c r="K1163" s="28"/>
    </row>
    <row r="1164" spans="4:11" x14ac:dyDescent="0.25">
      <c r="D1164" s="32"/>
      <c r="F1164" s="28"/>
      <c r="K1164" s="28"/>
    </row>
    <row r="1165" spans="4:11" x14ac:dyDescent="0.25">
      <c r="D1165" s="32"/>
      <c r="F1165" s="28"/>
      <c r="K1165" s="28"/>
    </row>
    <row r="1166" spans="4:11" x14ac:dyDescent="0.25">
      <c r="D1166" s="32"/>
      <c r="F1166" s="28"/>
      <c r="K1166" s="28"/>
    </row>
    <row r="1167" spans="4:11" x14ac:dyDescent="0.25">
      <c r="D1167" s="32"/>
      <c r="F1167" s="28"/>
      <c r="K1167" s="28"/>
    </row>
    <row r="1168" spans="4:11" x14ac:dyDescent="0.25">
      <c r="D1168" s="32"/>
      <c r="F1168" s="28"/>
      <c r="K1168" s="28"/>
    </row>
    <row r="1169" spans="4:11" x14ac:dyDescent="0.25">
      <c r="D1169" s="32"/>
      <c r="F1169" s="28"/>
      <c r="K1169" s="28"/>
    </row>
    <row r="1170" spans="4:11" x14ac:dyDescent="0.25">
      <c r="D1170" s="32"/>
      <c r="F1170" s="28"/>
      <c r="K1170" s="28"/>
    </row>
    <row r="1171" spans="4:11" x14ac:dyDescent="0.25">
      <c r="D1171" s="32"/>
      <c r="F1171" s="28"/>
      <c r="K1171" s="28"/>
    </row>
    <row r="1172" spans="4:11" x14ac:dyDescent="0.25">
      <c r="D1172" s="32"/>
      <c r="F1172" s="28"/>
      <c r="K1172" s="28"/>
    </row>
    <row r="1173" spans="4:11" x14ac:dyDescent="0.25">
      <c r="D1173" s="32"/>
      <c r="F1173" s="28"/>
      <c r="K1173" s="28"/>
    </row>
    <row r="1174" spans="4:11" x14ac:dyDescent="0.25">
      <c r="D1174" s="32"/>
      <c r="F1174" s="28"/>
      <c r="K1174" s="28"/>
    </row>
    <row r="1175" spans="4:11" x14ac:dyDescent="0.25">
      <c r="D1175" s="32"/>
      <c r="F1175" s="28"/>
      <c r="K1175" s="28"/>
    </row>
    <row r="1176" spans="4:11" x14ac:dyDescent="0.25">
      <c r="D1176" s="32"/>
      <c r="F1176" s="28"/>
      <c r="K1176" s="28"/>
    </row>
    <row r="1177" spans="4:11" x14ac:dyDescent="0.25">
      <c r="D1177" s="32"/>
      <c r="F1177" s="28"/>
      <c r="K1177" s="28"/>
    </row>
    <row r="1178" spans="4:11" x14ac:dyDescent="0.25">
      <c r="D1178" s="32"/>
      <c r="F1178" s="28"/>
      <c r="K1178" s="28"/>
    </row>
    <row r="1179" spans="4:11" x14ac:dyDescent="0.25">
      <c r="D1179" s="32"/>
      <c r="F1179" s="28"/>
      <c r="K1179" s="28"/>
    </row>
    <row r="1180" spans="4:11" x14ac:dyDescent="0.25">
      <c r="D1180" s="32"/>
      <c r="F1180" s="28"/>
      <c r="K1180" s="28"/>
    </row>
    <row r="1181" spans="4:11" x14ac:dyDescent="0.25">
      <c r="D1181" s="32"/>
      <c r="F1181" s="28"/>
      <c r="K1181" s="28"/>
    </row>
    <row r="1182" spans="4:11" x14ac:dyDescent="0.25">
      <c r="D1182" s="32"/>
      <c r="F1182" s="28"/>
      <c r="K1182" s="28"/>
    </row>
    <row r="1183" spans="4:11" x14ac:dyDescent="0.25">
      <c r="D1183" s="32"/>
      <c r="F1183" s="28"/>
      <c r="K1183" s="28"/>
    </row>
    <row r="1184" spans="4:11" x14ac:dyDescent="0.25">
      <c r="D1184" s="32"/>
      <c r="F1184" s="28"/>
      <c r="K1184" s="28"/>
    </row>
    <row r="1185" spans="4:11" x14ac:dyDescent="0.25">
      <c r="D1185" s="32"/>
      <c r="F1185" s="28"/>
      <c r="K1185" s="28"/>
    </row>
    <row r="1186" spans="4:11" x14ac:dyDescent="0.25">
      <c r="D1186" s="32"/>
      <c r="F1186" s="28"/>
      <c r="K1186" s="28"/>
    </row>
    <row r="1187" spans="4:11" x14ac:dyDescent="0.25">
      <c r="D1187" s="32"/>
      <c r="F1187" s="28"/>
      <c r="K1187" s="28"/>
    </row>
    <row r="1188" spans="4:11" x14ac:dyDescent="0.25">
      <c r="D1188" s="32"/>
      <c r="F1188" s="28"/>
      <c r="K1188" s="28"/>
    </row>
    <row r="1189" spans="4:11" x14ac:dyDescent="0.25">
      <c r="D1189" s="32"/>
      <c r="F1189" s="28"/>
      <c r="K1189" s="28"/>
    </row>
    <row r="1190" spans="4:11" x14ac:dyDescent="0.25">
      <c r="D1190" s="32"/>
      <c r="F1190" s="28"/>
      <c r="K1190" s="28"/>
    </row>
    <row r="1191" spans="4:11" x14ac:dyDescent="0.25">
      <c r="D1191" s="32"/>
      <c r="F1191" s="28"/>
      <c r="K1191" s="28"/>
    </row>
    <row r="1192" spans="4:11" x14ac:dyDescent="0.25">
      <c r="D1192" s="32"/>
      <c r="F1192" s="28"/>
      <c r="K1192" s="28"/>
    </row>
    <row r="1193" spans="4:11" x14ac:dyDescent="0.25">
      <c r="D1193" s="32"/>
      <c r="F1193" s="28"/>
      <c r="K1193" s="28"/>
    </row>
    <row r="1194" spans="4:11" x14ac:dyDescent="0.25">
      <c r="D1194" s="32"/>
      <c r="F1194" s="28"/>
      <c r="K1194" s="28"/>
    </row>
    <row r="1195" spans="4:11" x14ac:dyDescent="0.25">
      <c r="D1195" s="32"/>
      <c r="F1195" s="28"/>
      <c r="K1195" s="28"/>
    </row>
    <row r="1196" spans="4:11" x14ac:dyDescent="0.25">
      <c r="D1196" s="32"/>
      <c r="F1196" s="28"/>
      <c r="K1196" s="28"/>
    </row>
    <row r="1197" spans="4:11" x14ac:dyDescent="0.25">
      <c r="D1197" s="32"/>
      <c r="F1197" s="28"/>
      <c r="K1197" s="28"/>
    </row>
    <row r="1198" spans="4:11" x14ac:dyDescent="0.25">
      <c r="D1198" s="32"/>
      <c r="F1198" s="28"/>
      <c r="K1198" s="28"/>
    </row>
    <row r="1199" spans="4:11" x14ac:dyDescent="0.25">
      <c r="D1199" s="32"/>
      <c r="F1199" s="28"/>
      <c r="K1199" s="28"/>
    </row>
    <row r="1200" spans="4:11" x14ac:dyDescent="0.25">
      <c r="D1200" s="32"/>
      <c r="F1200" s="28"/>
      <c r="K1200" s="28"/>
    </row>
    <row r="1201" spans="4:11" x14ac:dyDescent="0.25">
      <c r="D1201" s="32"/>
      <c r="F1201" s="28"/>
      <c r="K1201" s="28"/>
    </row>
    <row r="1202" spans="4:11" x14ac:dyDescent="0.25">
      <c r="D1202" s="32"/>
      <c r="F1202" s="28"/>
      <c r="K1202" s="28"/>
    </row>
    <row r="1203" spans="4:11" x14ac:dyDescent="0.25">
      <c r="D1203" s="32"/>
      <c r="F1203" s="28"/>
      <c r="K1203" s="28"/>
    </row>
    <row r="1204" spans="4:11" x14ac:dyDescent="0.25">
      <c r="D1204" s="32"/>
      <c r="F1204" s="28"/>
      <c r="K1204" s="28"/>
    </row>
    <row r="1205" spans="4:11" x14ac:dyDescent="0.25">
      <c r="D1205" s="32"/>
      <c r="F1205" s="28"/>
      <c r="K1205" s="28"/>
    </row>
    <row r="1206" spans="4:11" x14ac:dyDescent="0.25">
      <c r="D1206" s="32"/>
      <c r="F1206" s="28"/>
      <c r="K1206" s="28"/>
    </row>
    <row r="1207" spans="4:11" x14ac:dyDescent="0.25">
      <c r="D1207" s="32"/>
      <c r="F1207" s="28"/>
      <c r="K1207" s="28"/>
    </row>
    <row r="1208" spans="4:11" x14ac:dyDescent="0.25">
      <c r="D1208" s="32"/>
      <c r="F1208" s="28"/>
      <c r="K1208" s="28"/>
    </row>
    <row r="1209" spans="4:11" x14ac:dyDescent="0.25">
      <c r="D1209" s="32"/>
      <c r="F1209" s="28"/>
      <c r="K1209" s="28"/>
    </row>
    <row r="1210" spans="4:11" x14ac:dyDescent="0.25">
      <c r="D1210" s="32"/>
      <c r="F1210" s="28"/>
      <c r="K1210" s="28"/>
    </row>
    <row r="1211" spans="4:11" x14ac:dyDescent="0.25">
      <c r="D1211" s="32"/>
      <c r="F1211" s="28"/>
      <c r="K1211" s="28"/>
    </row>
    <row r="1212" spans="4:11" x14ac:dyDescent="0.25">
      <c r="D1212" s="32"/>
      <c r="F1212" s="28"/>
      <c r="K1212" s="28"/>
    </row>
    <row r="1213" spans="4:11" x14ac:dyDescent="0.25">
      <c r="D1213" s="32"/>
      <c r="F1213" s="28"/>
      <c r="K1213" s="28"/>
    </row>
    <row r="1214" spans="4:11" x14ac:dyDescent="0.25">
      <c r="D1214" s="32"/>
      <c r="F1214" s="28"/>
      <c r="K1214" s="28"/>
    </row>
    <row r="1215" spans="4:11" x14ac:dyDescent="0.25">
      <c r="D1215" s="32"/>
      <c r="F1215" s="28"/>
      <c r="K1215" s="28"/>
    </row>
    <row r="1216" spans="4:11" x14ac:dyDescent="0.25">
      <c r="D1216" s="32"/>
      <c r="F1216" s="28"/>
      <c r="K1216" s="28"/>
    </row>
    <row r="1217" spans="4:11" x14ac:dyDescent="0.25">
      <c r="D1217" s="32"/>
      <c r="F1217" s="28"/>
      <c r="K1217" s="28"/>
    </row>
    <row r="1218" spans="4:11" x14ac:dyDescent="0.25">
      <c r="D1218" s="32"/>
      <c r="F1218" s="28"/>
      <c r="G1218" s="28"/>
      <c r="K1218" s="28"/>
    </row>
    <row r="1219" spans="4:11" x14ac:dyDescent="0.25">
      <c r="D1219" s="32"/>
      <c r="F1219" s="28"/>
      <c r="G1219" s="28"/>
      <c r="K1219" s="28"/>
    </row>
    <row r="1220" spans="4:11" x14ac:dyDescent="0.25">
      <c r="D1220" s="32"/>
      <c r="F1220" s="28"/>
      <c r="G1220" s="28"/>
      <c r="K1220" s="28"/>
    </row>
    <row r="1221" spans="4:11" x14ac:dyDescent="0.25">
      <c r="D1221" s="32"/>
      <c r="F1221" s="28"/>
      <c r="G1221" s="28"/>
      <c r="K1221" s="28"/>
    </row>
    <row r="1222" spans="4:11" x14ac:dyDescent="0.25">
      <c r="D1222" s="32"/>
      <c r="F1222" s="28"/>
      <c r="G1222" s="28"/>
      <c r="K1222" s="28"/>
    </row>
    <row r="1223" spans="4:11" x14ac:dyDescent="0.25">
      <c r="D1223" s="32"/>
      <c r="F1223" s="28"/>
      <c r="G1223" s="28"/>
      <c r="K1223" s="28"/>
    </row>
    <row r="1224" spans="4:11" x14ac:dyDescent="0.25">
      <c r="D1224" s="32"/>
      <c r="F1224" s="28"/>
      <c r="G1224" s="28"/>
      <c r="K1224" s="28"/>
    </row>
    <row r="1225" spans="4:11" x14ac:dyDescent="0.25">
      <c r="D1225" s="32"/>
      <c r="F1225" s="28"/>
      <c r="G1225" s="28"/>
      <c r="K1225" s="28"/>
    </row>
    <row r="1226" spans="4:11" x14ac:dyDescent="0.25">
      <c r="D1226" s="32"/>
      <c r="F1226" s="28"/>
      <c r="G1226" s="28"/>
      <c r="K1226" s="28"/>
    </row>
    <row r="1227" spans="4:11" x14ac:dyDescent="0.25">
      <c r="D1227" s="32"/>
      <c r="F1227" s="28"/>
      <c r="G1227" s="28"/>
      <c r="K1227" s="28"/>
    </row>
    <row r="1228" spans="4:11" x14ac:dyDescent="0.25">
      <c r="D1228" s="32"/>
      <c r="F1228" s="28"/>
      <c r="G1228" s="28"/>
      <c r="K1228" s="28"/>
    </row>
    <row r="1229" spans="4:11" x14ac:dyDescent="0.25">
      <c r="D1229" s="32"/>
      <c r="F1229" s="28"/>
      <c r="G1229" s="28"/>
      <c r="K1229" s="28"/>
    </row>
    <row r="1230" spans="4:11" x14ac:dyDescent="0.25">
      <c r="D1230" s="32"/>
      <c r="F1230" s="28"/>
      <c r="G1230" s="28"/>
      <c r="K1230" s="28"/>
    </row>
    <row r="1231" spans="4:11" x14ac:dyDescent="0.25">
      <c r="D1231" s="32"/>
      <c r="F1231" s="28"/>
      <c r="G1231" s="28"/>
      <c r="K1231" s="28"/>
    </row>
    <row r="1232" spans="4:11" x14ac:dyDescent="0.25">
      <c r="D1232" s="32"/>
      <c r="F1232" s="28"/>
      <c r="G1232" s="28"/>
      <c r="K1232" s="28"/>
    </row>
    <row r="1233" spans="4:11" x14ac:dyDescent="0.25">
      <c r="D1233" s="32"/>
      <c r="F1233" s="28"/>
      <c r="G1233" s="28"/>
      <c r="K1233" s="28"/>
    </row>
    <row r="1234" spans="4:11" x14ac:dyDescent="0.25">
      <c r="D1234" s="32"/>
      <c r="F1234" s="28"/>
      <c r="G1234" s="28"/>
      <c r="K1234" s="28"/>
    </row>
    <row r="1235" spans="4:11" x14ac:dyDescent="0.25">
      <c r="D1235" s="32"/>
      <c r="F1235" s="28"/>
      <c r="G1235" s="28"/>
      <c r="K1235" s="28"/>
    </row>
    <row r="1236" spans="4:11" x14ac:dyDescent="0.25">
      <c r="D1236" s="32"/>
      <c r="F1236" s="28"/>
      <c r="G1236" s="28"/>
      <c r="K1236" s="28"/>
    </row>
    <row r="1237" spans="4:11" x14ac:dyDescent="0.25">
      <c r="D1237" s="32"/>
      <c r="F1237" s="28"/>
      <c r="G1237" s="28"/>
      <c r="K1237" s="28"/>
    </row>
    <row r="1238" spans="4:11" x14ac:dyDescent="0.25">
      <c r="D1238" s="32"/>
      <c r="F1238" s="28"/>
      <c r="G1238" s="28"/>
      <c r="K1238" s="28"/>
    </row>
    <row r="1239" spans="4:11" x14ac:dyDescent="0.25">
      <c r="D1239" s="32"/>
      <c r="F1239" s="28"/>
      <c r="G1239" s="28"/>
      <c r="K1239" s="28"/>
    </row>
    <row r="1240" spans="4:11" x14ac:dyDescent="0.25">
      <c r="D1240" s="32"/>
      <c r="F1240" s="28"/>
      <c r="G1240" s="28"/>
      <c r="K1240" s="28"/>
    </row>
    <row r="1241" spans="4:11" x14ac:dyDescent="0.25">
      <c r="D1241" s="32"/>
      <c r="F1241" s="28"/>
      <c r="G1241" s="28"/>
      <c r="K1241" s="28"/>
    </row>
    <row r="1242" spans="4:11" x14ac:dyDescent="0.25">
      <c r="D1242" s="32"/>
      <c r="F1242" s="28"/>
      <c r="G1242" s="28"/>
      <c r="K1242" s="28"/>
    </row>
    <row r="1243" spans="4:11" x14ac:dyDescent="0.25">
      <c r="D1243" s="32"/>
      <c r="F1243" s="28"/>
      <c r="G1243" s="28"/>
      <c r="K1243" s="28"/>
    </row>
    <row r="1244" spans="4:11" x14ac:dyDescent="0.25">
      <c r="D1244" s="32"/>
      <c r="F1244" s="28"/>
      <c r="G1244" s="28"/>
      <c r="K1244" s="28"/>
    </row>
    <row r="1245" spans="4:11" x14ac:dyDescent="0.25">
      <c r="D1245" s="32"/>
      <c r="F1245" s="28"/>
      <c r="G1245" s="28"/>
      <c r="K1245" s="28"/>
    </row>
    <row r="1246" spans="4:11" x14ac:dyDescent="0.25">
      <c r="D1246" s="32"/>
      <c r="F1246" s="28"/>
      <c r="G1246" s="28"/>
      <c r="K1246" s="28"/>
    </row>
    <row r="1247" spans="4:11" x14ac:dyDescent="0.25">
      <c r="D1247" s="32"/>
      <c r="F1247" s="28"/>
      <c r="G1247" s="28"/>
      <c r="K1247" s="28"/>
    </row>
    <row r="1248" spans="4:11" x14ac:dyDescent="0.25">
      <c r="D1248" s="32"/>
      <c r="F1248" s="28"/>
      <c r="G1248" s="28"/>
      <c r="K1248" s="28"/>
    </row>
    <row r="1249" spans="4:11" x14ac:dyDescent="0.25">
      <c r="D1249" s="32"/>
      <c r="F1249" s="28"/>
      <c r="G1249" s="28"/>
      <c r="K1249" s="28"/>
    </row>
    <row r="1250" spans="4:11" x14ac:dyDescent="0.25">
      <c r="D1250" s="32"/>
      <c r="F1250" s="28"/>
      <c r="G1250" s="28"/>
      <c r="K1250" s="28"/>
    </row>
    <row r="1251" spans="4:11" x14ac:dyDescent="0.25">
      <c r="D1251" s="32"/>
      <c r="F1251" s="28"/>
      <c r="G1251" s="28"/>
      <c r="K1251" s="28"/>
    </row>
    <row r="1252" spans="4:11" x14ac:dyDescent="0.25">
      <c r="D1252" s="32"/>
      <c r="F1252" s="28"/>
      <c r="G1252" s="28"/>
      <c r="K1252" s="28"/>
    </row>
    <row r="1253" spans="4:11" x14ac:dyDescent="0.25">
      <c r="D1253" s="32"/>
      <c r="F1253" s="28"/>
      <c r="G1253" s="28"/>
      <c r="K1253" s="28"/>
    </row>
    <row r="1254" spans="4:11" x14ac:dyDescent="0.25">
      <c r="D1254" s="32"/>
      <c r="F1254" s="28"/>
      <c r="G1254" s="28"/>
      <c r="K1254" s="28"/>
    </row>
    <row r="1255" spans="4:11" x14ac:dyDescent="0.25">
      <c r="D1255" s="32"/>
      <c r="F1255" s="28"/>
      <c r="G1255" s="28"/>
      <c r="K1255" s="28"/>
    </row>
    <row r="1256" spans="4:11" x14ac:dyDescent="0.25">
      <c r="D1256" s="32"/>
      <c r="F1256" s="28"/>
      <c r="G1256" s="28"/>
      <c r="K1256" s="28"/>
    </row>
    <row r="1257" spans="4:11" x14ac:dyDescent="0.25">
      <c r="D1257" s="32"/>
      <c r="F1257" s="28"/>
      <c r="G1257" s="28"/>
      <c r="K1257" s="28"/>
    </row>
    <row r="1258" spans="4:11" x14ac:dyDescent="0.25">
      <c r="D1258" s="32"/>
      <c r="F1258" s="28"/>
      <c r="G1258" s="28"/>
      <c r="K1258" s="28"/>
    </row>
    <row r="1259" spans="4:11" x14ac:dyDescent="0.25">
      <c r="D1259" s="32"/>
      <c r="F1259" s="28"/>
      <c r="G1259" s="28"/>
      <c r="K1259" s="28"/>
    </row>
    <row r="1260" spans="4:11" x14ac:dyDescent="0.25">
      <c r="D1260" s="32"/>
      <c r="F1260" s="28"/>
      <c r="G1260" s="28"/>
      <c r="K1260" s="28"/>
    </row>
    <row r="1261" spans="4:11" x14ac:dyDescent="0.25">
      <c r="D1261" s="32"/>
      <c r="F1261" s="28"/>
      <c r="G1261" s="28"/>
      <c r="K1261" s="28"/>
    </row>
    <row r="1262" spans="4:11" x14ac:dyDescent="0.25">
      <c r="D1262" s="32"/>
      <c r="F1262" s="28"/>
      <c r="G1262" s="28"/>
      <c r="K1262" s="28"/>
    </row>
    <row r="1263" spans="4:11" x14ac:dyDescent="0.25">
      <c r="D1263" s="32"/>
      <c r="F1263" s="28"/>
      <c r="G1263" s="28"/>
      <c r="K1263" s="28"/>
    </row>
    <row r="1264" spans="4:11" x14ac:dyDescent="0.25">
      <c r="D1264" s="32"/>
      <c r="F1264" s="28"/>
      <c r="G1264" s="28"/>
      <c r="K1264" s="28"/>
    </row>
    <row r="1265" spans="4:11" x14ac:dyDescent="0.25">
      <c r="D1265" s="32"/>
      <c r="F1265" s="28"/>
      <c r="G1265" s="28"/>
      <c r="K1265" s="28"/>
    </row>
    <row r="1266" spans="4:11" x14ac:dyDescent="0.25">
      <c r="D1266" s="32"/>
      <c r="F1266" s="28"/>
      <c r="G1266" s="28"/>
      <c r="K1266" s="28"/>
    </row>
    <row r="1267" spans="4:11" x14ac:dyDescent="0.25">
      <c r="D1267" s="32"/>
      <c r="F1267" s="28"/>
      <c r="G1267" s="28"/>
      <c r="K1267" s="28"/>
    </row>
    <row r="1268" spans="4:11" x14ac:dyDescent="0.25">
      <c r="D1268" s="32"/>
      <c r="F1268" s="28"/>
      <c r="G1268" s="28"/>
      <c r="K1268" s="28"/>
    </row>
    <row r="1269" spans="4:11" x14ac:dyDescent="0.25">
      <c r="D1269" s="32"/>
      <c r="F1269" s="28"/>
      <c r="G1269" s="28"/>
      <c r="K1269" s="28"/>
    </row>
    <row r="1270" spans="4:11" x14ac:dyDescent="0.25">
      <c r="D1270" s="32"/>
      <c r="F1270" s="28"/>
      <c r="G1270" s="28"/>
      <c r="K1270" s="28"/>
    </row>
    <row r="1271" spans="4:11" x14ac:dyDescent="0.25">
      <c r="D1271" s="32"/>
      <c r="F1271" s="28"/>
      <c r="G1271" s="28"/>
      <c r="K1271" s="28"/>
    </row>
    <row r="1272" spans="4:11" x14ac:dyDescent="0.25">
      <c r="D1272" s="32"/>
      <c r="F1272" s="28"/>
      <c r="G1272" s="28"/>
      <c r="K1272" s="28"/>
    </row>
    <row r="1273" spans="4:11" x14ac:dyDescent="0.25">
      <c r="D1273" s="32"/>
      <c r="F1273" s="28"/>
      <c r="G1273" s="28"/>
      <c r="K1273" s="28"/>
    </row>
    <row r="1274" spans="4:11" x14ac:dyDescent="0.25">
      <c r="D1274" s="32"/>
      <c r="F1274" s="28"/>
      <c r="G1274" s="28"/>
      <c r="K1274" s="28"/>
    </row>
    <row r="1275" spans="4:11" x14ac:dyDescent="0.25">
      <c r="D1275" s="32"/>
      <c r="F1275" s="28"/>
      <c r="G1275" s="28"/>
      <c r="K1275" s="28"/>
    </row>
    <row r="1276" spans="4:11" x14ac:dyDescent="0.25">
      <c r="D1276" s="32"/>
      <c r="F1276" s="28"/>
      <c r="G1276" s="28"/>
      <c r="K1276" s="28"/>
    </row>
    <row r="1277" spans="4:11" x14ac:dyDescent="0.25">
      <c r="D1277" s="32"/>
      <c r="F1277" s="28"/>
      <c r="G1277" s="28"/>
      <c r="K1277" s="28"/>
    </row>
    <row r="1278" spans="4:11" x14ac:dyDescent="0.25">
      <c r="D1278" s="32"/>
      <c r="F1278" s="28"/>
      <c r="G1278" s="28"/>
      <c r="K1278" s="28"/>
    </row>
    <row r="1279" spans="4:11" x14ac:dyDescent="0.25">
      <c r="D1279" s="32"/>
      <c r="F1279" s="28"/>
      <c r="G1279" s="28"/>
      <c r="K1279" s="28"/>
    </row>
    <row r="1280" spans="4:11" x14ac:dyDescent="0.25">
      <c r="D1280" s="32"/>
      <c r="F1280" s="28"/>
      <c r="G1280" s="28"/>
      <c r="K1280" s="28"/>
    </row>
    <row r="1281" spans="4:11" x14ac:dyDescent="0.25">
      <c r="D1281" s="32"/>
      <c r="F1281" s="28"/>
      <c r="G1281" s="28"/>
      <c r="K1281" s="28"/>
    </row>
    <row r="1282" spans="4:11" x14ac:dyDescent="0.25">
      <c r="D1282" s="32"/>
      <c r="F1282" s="28"/>
      <c r="G1282" s="28"/>
      <c r="K1282" s="28"/>
    </row>
    <row r="1283" spans="4:11" x14ac:dyDescent="0.25">
      <c r="D1283" s="32"/>
      <c r="F1283" s="28"/>
      <c r="G1283" s="28"/>
      <c r="K1283" s="28"/>
    </row>
    <row r="1284" spans="4:11" x14ac:dyDescent="0.25">
      <c r="D1284" s="32"/>
      <c r="F1284" s="28"/>
      <c r="G1284" s="28"/>
      <c r="K1284" s="28"/>
    </row>
    <row r="1285" spans="4:11" x14ac:dyDescent="0.25">
      <c r="D1285" s="32"/>
      <c r="F1285" s="28"/>
      <c r="G1285" s="28"/>
      <c r="K1285" s="28"/>
    </row>
    <row r="1286" spans="4:11" x14ac:dyDescent="0.25">
      <c r="D1286" s="32"/>
      <c r="F1286" s="28"/>
      <c r="G1286" s="28"/>
      <c r="K1286" s="28"/>
    </row>
    <row r="1287" spans="4:11" x14ac:dyDescent="0.25">
      <c r="D1287" s="32"/>
      <c r="F1287" s="28"/>
      <c r="G1287" s="28"/>
      <c r="K1287" s="28"/>
    </row>
    <row r="1288" spans="4:11" x14ac:dyDescent="0.25">
      <c r="D1288" s="32"/>
      <c r="F1288" s="28"/>
      <c r="G1288" s="28"/>
      <c r="K1288" s="28"/>
    </row>
    <row r="1289" spans="4:11" x14ac:dyDescent="0.25">
      <c r="D1289" s="32"/>
      <c r="F1289" s="28"/>
      <c r="G1289" s="28"/>
      <c r="K1289" s="28"/>
    </row>
    <row r="1290" spans="4:11" x14ac:dyDescent="0.25">
      <c r="D1290" s="32"/>
      <c r="F1290" s="28"/>
      <c r="G1290" s="28"/>
      <c r="K1290" s="28"/>
    </row>
    <row r="1291" spans="4:11" x14ac:dyDescent="0.25">
      <c r="D1291" s="32"/>
      <c r="F1291" s="28"/>
      <c r="G1291" s="28"/>
      <c r="K1291" s="28"/>
    </row>
    <row r="1292" spans="4:11" x14ac:dyDescent="0.25">
      <c r="D1292" s="32"/>
      <c r="F1292" s="28"/>
      <c r="G1292" s="28"/>
      <c r="K1292" s="28"/>
    </row>
    <row r="1293" spans="4:11" x14ac:dyDescent="0.25">
      <c r="D1293" s="32"/>
      <c r="F1293" s="28"/>
      <c r="G1293" s="28"/>
      <c r="K1293" s="28"/>
    </row>
    <row r="1294" spans="4:11" x14ac:dyDescent="0.25">
      <c r="D1294" s="32"/>
      <c r="F1294" s="28"/>
      <c r="G1294" s="28"/>
      <c r="K1294" s="28"/>
    </row>
    <row r="1295" spans="4:11" x14ac:dyDescent="0.25">
      <c r="D1295" s="32"/>
      <c r="F1295" s="28"/>
      <c r="G1295" s="28"/>
      <c r="K1295" s="28"/>
    </row>
    <row r="1296" spans="4:11" x14ac:dyDescent="0.25">
      <c r="D1296" s="32"/>
      <c r="F1296" s="28"/>
      <c r="G1296" s="28"/>
      <c r="K1296" s="28"/>
    </row>
    <row r="1297" spans="4:11" x14ac:dyDescent="0.25">
      <c r="D1297" s="32"/>
      <c r="F1297" s="28"/>
      <c r="G1297" s="28"/>
      <c r="K1297" s="28"/>
    </row>
    <row r="1298" spans="4:11" x14ac:dyDescent="0.25">
      <c r="D1298" s="32"/>
      <c r="F1298" s="28"/>
      <c r="G1298" s="28"/>
      <c r="K1298" s="28"/>
    </row>
    <row r="1299" spans="4:11" x14ac:dyDescent="0.25">
      <c r="D1299" s="32"/>
      <c r="F1299" s="28"/>
      <c r="G1299" s="28"/>
      <c r="K1299" s="28"/>
    </row>
    <row r="1300" spans="4:11" x14ac:dyDescent="0.25">
      <c r="D1300" s="32"/>
      <c r="F1300" s="28"/>
      <c r="G1300" s="28"/>
      <c r="K1300" s="28"/>
    </row>
    <row r="1301" spans="4:11" x14ac:dyDescent="0.25">
      <c r="D1301" s="32"/>
      <c r="F1301" s="28"/>
      <c r="G1301" s="28"/>
      <c r="K1301" s="28"/>
    </row>
    <row r="1302" spans="4:11" x14ac:dyDescent="0.25">
      <c r="D1302" s="32"/>
      <c r="F1302" s="28"/>
      <c r="G1302" s="28"/>
      <c r="K1302" s="28"/>
    </row>
    <row r="1303" spans="4:11" x14ac:dyDescent="0.25">
      <c r="D1303" s="32"/>
      <c r="F1303" s="28"/>
      <c r="G1303" s="28"/>
      <c r="K1303" s="28"/>
    </row>
    <row r="1304" spans="4:11" x14ac:dyDescent="0.25">
      <c r="D1304" s="32"/>
      <c r="F1304" s="28"/>
      <c r="G1304" s="28"/>
      <c r="K1304" s="28"/>
    </row>
    <row r="1305" spans="4:11" x14ac:dyDescent="0.25">
      <c r="D1305" s="32"/>
      <c r="F1305" s="28"/>
      <c r="G1305" s="28"/>
      <c r="K1305" s="28"/>
    </row>
    <row r="1306" spans="4:11" x14ac:dyDescent="0.25">
      <c r="D1306" s="32"/>
      <c r="F1306" s="28"/>
      <c r="G1306" s="28"/>
      <c r="K1306" s="28"/>
    </row>
    <row r="1307" spans="4:11" x14ac:dyDescent="0.25">
      <c r="D1307" s="32"/>
      <c r="F1307" s="28"/>
      <c r="G1307" s="28"/>
      <c r="K1307" s="28"/>
    </row>
    <row r="1308" spans="4:11" x14ac:dyDescent="0.25">
      <c r="D1308" s="32"/>
      <c r="F1308" s="28"/>
      <c r="G1308" s="28"/>
      <c r="K1308" s="28"/>
    </row>
    <row r="1309" spans="4:11" x14ac:dyDescent="0.25">
      <c r="D1309" s="32"/>
      <c r="F1309" s="28"/>
      <c r="G1309" s="28"/>
      <c r="K1309" s="28"/>
    </row>
    <row r="1310" spans="4:11" x14ac:dyDescent="0.25">
      <c r="D1310" s="32"/>
      <c r="F1310" s="28"/>
      <c r="G1310" s="28"/>
      <c r="K1310" s="28"/>
    </row>
    <row r="1311" spans="4:11" x14ac:dyDescent="0.25">
      <c r="D1311" s="32"/>
      <c r="F1311" s="28"/>
      <c r="G1311" s="28"/>
      <c r="K1311" s="28"/>
    </row>
    <row r="1312" spans="4:11" x14ac:dyDescent="0.25">
      <c r="D1312" s="32"/>
      <c r="F1312" s="28"/>
      <c r="G1312" s="28"/>
      <c r="K1312" s="28"/>
    </row>
    <row r="1313" spans="4:11" x14ac:dyDescent="0.25">
      <c r="D1313" s="32"/>
      <c r="F1313" s="28"/>
      <c r="G1313" s="28"/>
      <c r="K1313" s="28"/>
    </row>
    <row r="1314" spans="4:11" x14ac:dyDescent="0.25">
      <c r="D1314" s="32"/>
      <c r="F1314" s="28"/>
      <c r="G1314" s="28"/>
      <c r="K1314" s="28"/>
    </row>
    <row r="1315" spans="4:11" x14ac:dyDescent="0.25">
      <c r="D1315" s="32"/>
      <c r="F1315" s="28"/>
      <c r="G1315" s="28"/>
      <c r="K1315" s="28"/>
    </row>
    <row r="1316" spans="4:11" x14ac:dyDescent="0.25">
      <c r="D1316" s="32"/>
      <c r="F1316" s="28"/>
      <c r="G1316" s="28"/>
      <c r="K1316" s="28"/>
    </row>
    <row r="1317" spans="4:11" x14ac:dyDescent="0.25">
      <c r="D1317" s="32"/>
      <c r="F1317" s="28"/>
      <c r="G1317" s="28"/>
      <c r="K1317" s="28"/>
    </row>
    <row r="1318" spans="4:11" x14ac:dyDescent="0.25">
      <c r="D1318" s="32"/>
      <c r="F1318" s="28"/>
      <c r="G1318" s="28"/>
      <c r="K1318" s="28"/>
    </row>
    <row r="1319" spans="4:11" x14ac:dyDescent="0.25">
      <c r="D1319" s="32"/>
      <c r="F1319" s="28"/>
      <c r="G1319" s="28"/>
      <c r="K1319" s="28"/>
    </row>
    <row r="1320" spans="4:11" x14ac:dyDescent="0.25">
      <c r="D1320" s="32"/>
      <c r="F1320" s="28"/>
      <c r="G1320" s="28"/>
      <c r="K1320" s="28"/>
    </row>
    <row r="1321" spans="4:11" x14ac:dyDescent="0.25">
      <c r="D1321" s="32"/>
      <c r="F1321" s="28"/>
      <c r="G1321" s="28"/>
      <c r="K1321" s="28"/>
    </row>
    <row r="1322" spans="4:11" x14ac:dyDescent="0.25">
      <c r="D1322" s="32"/>
      <c r="F1322" s="28"/>
      <c r="G1322" s="28"/>
      <c r="K1322" s="28"/>
    </row>
    <row r="1323" spans="4:11" x14ac:dyDescent="0.25">
      <c r="D1323" s="32"/>
      <c r="F1323" s="28"/>
      <c r="G1323" s="28"/>
      <c r="K1323" s="28"/>
    </row>
    <row r="1324" spans="4:11" x14ac:dyDescent="0.25">
      <c r="D1324" s="32"/>
      <c r="F1324" s="28"/>
      <c r="G1324" s="28"/>
      <c r="K1324" s="28"/>
    </row>
    <row r="1325" spans="4:11" x14ac:dyDescent="0.25">
      <c r="D1325" s="32"/>
      <c r="F1325" s="28"/>
      <c r="G1325" s="28"/>
      <c r="K1325" s="28"/>
    </row>
    <row r="1326" spans="4:11" x14ac:dyDescent="0.25">
      <c r="D1326" s="32"/>
      <c r="F1326" s="28"/>
      <c r="G1326" s="28"/>
      <c r="K1326" s="28"/>
    </row>
    <row r="1327" spans="4:11" x14ac:dyDescent="0.25">
      <c r="D1327" s="32"/>
      <c r="F1327" s="28"/>
      <c r="G1327" s="28"/>
      <c r="K1327" s="28"/>
    </row>
    <row r="1328" spans="4:11" x14ac:dyDescent="0.25">
      <c r="D1328" s="32"/>
      <c r="F1328" s="28"/>
      <c r="G1328" s="28"/>
      <c r="K1328" s="28"/>
    </row>
    <row r="1329" spans="4:11" x14ac:dyDescent="0.25">
      <c r="D1329" s="32"/>
      <c r="F1329" s="28"/>
      <c r="G1329" s="28"/>
      <c r="K1329" s="28"/>
    </row>
    <row r="1330" spans="4:11" x14ac:dyDescent="0.25">
      <c r="D1330" s="32"/>
      <c r="F1330" s="28"/>
      <c r="G1330" s="28"/>
      <c r="K1330" s="28"/>
    </row>
    <row r="1331" spans="4:11" x14ac:dyDescent="0.25">
      <c r="D1331" s="32"/>
      <c r="F1331" s="28"/>
      <c r="G1331" s="28"/>
      <c r="K1331" s="28"/>
    </row>
    <row r="1332" spans="4:11" x14ac:dyDescent="0.25">
      <c r="D1332" s="32"/>
      <c r="F1332" s="28"/>
      <c r="G1332" s="28"/>
      <c r="K1332" s="28"/>
    </row>
    <row r="1333" spans="4:11" x14ac:dyDescent="0.25">
      <c r="D1333" s="32"/>
      <c r="F1333" s="28"/>
      <c r="G1333" s="28"/>
      <c r="K1333" s="28"/>
    </row>
    <row r="1334" spans="4:11" x14ac:dyDescent="0.25">
      <c r="D1334" s="32"/>
      <c r="F1334" s="28"/>
      <c r="G1334" s="28"/>
      <c r="K1334" s="28"/>
    </row>
    <row r="1335" spans="4:11" x14ac:dyDescent="0.25">
      <c r="D1335" s="32"/>
      <c r="F1335" s="28"/>
      <c r="G1335" s="28"/>
      <c r="K1335" s="28"/>
    </row>
    <row r="1336" spans="4:11" x14ac:dyDescent="0.25">
      <c r="D1336" s="32"/>
      <c r="F1336" s="28"/>
      <c r="G1336" s="28"/>
      <c r="K1336" s="28"/>
    </row>
    <row r="1337" spans="4:11" x14ac:dyDescent="0.25">
      <c r="D1337" s="32"/>
      <c r="F1337" s="28"/>
      <c r="G1337" s="28"/>
      <c r="K1337" s="28"/>
    </row>
    <row r="1338" spans="4:11" x14ac:dyDescent="0.25">
      <c r="D1338" s="32"/>
      <c r="F1338" s="28"/>
      <c r="G1338" s="28"/>
      <c r="K1338" s="28"/>
    </row>
    <row r="1339" spans="4:11" x14ac:dyDescent="0.25">
      <c r="D1339" s="32"/>
      <c r="F1339" s="28"/>
      <c r="G1339" s="28"/>
      <c r="K1339" s="28"/>
    </row>
    <row r="1340" spans="4:11" x14ac:dyDescent="0.25">
      <c r="D1340" s="32"/>
      <c r="F1340" s="28"/>
      <c r="G1340" s="28"/>
      <c r="K1340" s="28"/>
    </row>
    <row r="1341" spans="4:11" x14ac:dyDescent="0.25">
      <c r="D1341" s="32"/>
      <c r="F1341" s="28"/>
      <c r="G1341" s="28"/>
      <c r="K1341" s="28"/>
    </row>
    <row r="1342" spans="4:11" x14ac:dyDescent="0.25">
      <c r="D1342" s="32"/>
      <c r="F1342" s="28"/>
      <c r="G1342" s="28"/>
      <c r="K1342" s="28"/>
    </row>
    <row r="1343" spans="4:11" x14ac:dyDescent="0.25">
      <c r="D1343" s="32"/>
      <c r="F1343" s="28"/>
      <c r="G1343" s="28"/>
      <c r="K1343" s="28"/>
    </row>
    <row r="1344" spans="4:11" x14ac:dyDescent="0.25">
      <c r="D1344" s="32"/>
      <c r="F1344" s="28"/>
      <c r="G1344" s="28"/>
      <c r="K1344" s="28"/>
    </row>
    <row r="1345" spans="4:11" x14ac:dyDescent="0.25">
      <c r="D1345" s="32"/>
      <c r="F1345" s="28"/>
      <c r="G1345" s="28"/>
      <c r="K1345" s="28"/>
    </row>
    <row r="1346" spans="4:11" x14ac:dyDescent="0.25">
      <c r="D1346" s="32"/>
      <c r="F1346" s="28"/>
      <c r="G1346" s="28"/>
      <c r="K1346" s="28"/>
    </row>
    <row r="1347" spans="4:11" x14ac:dyDescent="0.25">
      <c r="D1347" s="32"/>
      <c r="F1347" s="28"/>
      <c r="G1347" s="28"/>
      <c r="K1347" s="28"/>
    </row>
    <row r="1348" spans="4:11" x14ac:dyDescent="0.25">
      <c r="D1348" s="32"/>
      <c r="F1348" s="28"/>
      <c r="G1348" s="28"/>
      <c r="K1348" s="28"/>
    </row>
    <row r="1349" spans="4:11" x14ac:dyDescent="0.25">
      <c r="D1349" s="32"/>
      <c r="F1349" s="28"/>
      <c r="G1349" s="28"/>
      <c r="K1349" s="28"/>
    </row>
    <row r="1350" spans="4:11" x14ac:dyDescent="0.25">
      <c r="D1350" s="32"/>
      <c r="F1350" s="28"/>
      <c r="G1350" s="28"/>
      <c r="K1350" s="28"/>
    </row>
    <row r="1351" spans="4:11" x14ac:dyDescent="0.25">
      <c r="D1351" s="32"/>
      <c r="F1351" s="28"/>
      <c r="G1351" s="28"/>
      <c r="K1351" s="28"/>
    </row>
    <row r="1352" spans="4:11" x14ac:dyDescent="0.25">
      <c r="D1352" s="32"/>
      <c r="F1352" s="28"/>
      <c r="G1352" s="28"/>
      <c r="K1352" s="28"/>
    </row>
    <row r="1353" spans="4:11" x14ac:dyDescent="0.25">
      <c r="D1353" s="32"/>
      <c r="F1353" s="28"/>
      <c r="G1353" s="28"/>
      <c r="K1353" s="28"/>
    </row>
    <row r="1354" spans="4:11" x14ac:dyDescent="0.25">
      <c r="D1354" s="32"/>
      <c r="F1354" s="28"/>
      <c r="G1354" s="28"/>
      <c r="K1354" s="28"/>
    </row>
    <row r="1355" spans="4:11" x14ac:dyDescent="0.25">
      <c r="D1355" s="32"/>
      <c r="F1355" s="28"/>
      <c r="G1355" s="28"/>
      <c r="K1355" s="28"/>
    </row>
    <row r="1356" spans="4:11" x14ac:dyDescent="0.25">
      <c r="D1356" s="32"/>
      <c r="F1356" s="28"/>
      <c r="G1356" s="28"/>
      <c r="K1356" s="28"/>
    </row>
    <row r="1357" spans="4:11" x14ac:dyDescent="0.25">
      <c r="D1357" s="32"/>
      <c r="F1357" s="28"/>
      <c r="G1357" s="28"/>
      <c r="K1357" s="28"/>
    </row>
    <row r="1358" spans="4:11" x14ac:dyDescent="0.25">
      <c r="D1358" s="32"/>
      <c r="F1358" s="28"/>
      <c r="G1358" s="28"/>
      <c r="K1358" s="28"/>
    </row>
    <row r="1359" spans="4:11" x14ac:dyDescent="0.25">
      <c r="D1359" s="32"/>
      <c r="F1359" s="28"/>
      <c r="G1359" s="28"/>
      <c r="K1359" s="28"/>
    </row>
    <row r="1360" spans="4:11" x14ac:dyDescent="0.25">
      <c r="D1360" s="32"/>
      <c r="F1360" s="28"/>
      <c r="G1360" s="28"/>
      <c r="K1360" s="28"/>
    </row>
    <row r="1361" spans="4:11" x14ac:dyDescent="0.25">
      <c r="D1361" s="32"/>
      <c r="F1361" s="28"/>
      <c r="G1361" s="28"/>
      <c r="K1361" s="28"/>
    </row>
    <row r="1362" spans="4:11" x14ac:dyDescent="0.25">
      <c r="D1362" s="32"/>
      <c r="F1362" s="28"/>
      <c r="G1362" s="28"/>
      <c r="K1362" s="28"/>
    </row>
    <row r="1363" spans="4:11" x14ac:dyDescent="0.25">
      <c r="D1363" s="32"/>
      <c r="F1363" s="28"/>
      <c r="G1363" s="28"/>
      <c r="K1363" s="28"/>
    </row>
    <row r="1364" spans="4:11" x14ac:dyDescent="0.25">
      <c r="D1364" s="32"/>
      <c r="F1364" s="28"/>
      <c r="G1364" s="28"/>
      <c r="K1364" s="28"/>
    </row>
    <row r="1365" spans="4:11" x14ac:dyDescent="0.25">
      <c r="D1365" s="32"/>
      <c r="F1365" s="28"/>
      <c r="G1365" s="28"/>
      <c r="K1365" s="28"/>
    </row>
    <row r="1366" spans="4:11" x14ac:dyDescent="0.25">
      <c r="D1366" s="32"/>
      <c r="F1366" s="28"/>
      <c r="G1366" s="28"/>
      <c r="K1366" s="28"/>
    </row>
    <row r="1367" spans="4:11" x14ac:dyDescent="0.25">
      <c r="D1367" s="32"/>
      <c r="F1367" s="28"/>
      <c r="G1367" s="28"/>
      <c r="K1367" s="28"/>
    </row>
    <row r="1368" spans="4:11" x14ac:dyDescent="0.25">
      <c r="D1368" s="32"/>
      <c r="F1368" s="28"/>
      <c r="G1368" s="28"/>
      <c r="K1368" s="28"/>
    </row>
    <row r="1369" spans="4:11" x14ac:dyDescent="0.25">
      <c r="D1369" s="32"/>
      <c r="F1369" s="28"/>
      <c r="G1369" s="28"/>
      <c r="K1369" s="28"/>
    </row>
    <row r="1370" spans="4:11" x14ac:dyDescent="0.25">
      <c r="D1370" s="32"/>
      <c r="F1370" s="28"/>
      <c r="G1370" s="28"/>
      <c r="K1370" s="28"/>
    </row>
    <row r="1371" spans="4:11" x14ac:dyDescent="0.25">
      <c r="D1371" s="32"/>
      <c r="F1371" s="28"/>
      <c r="G1371" s="28"/>
      <c r="K1371" s="28"/>
    </row>
    <row r="1372" spans="4:11" x14ac:dyDescent="0.25">
      <c r="D1372" s="32"/>
      <c r="F1372" s="28"/>
      <c r="G1372" s="28"/>
      <c r="K1372" s="28"/>
    </row>
    <row r="1373" spans="4:11" x14ac:dyDescent="0.25">
      <c r="D1373" s="32"/>
      <c r="F1373" s="28"/>
      <c r="G1373" s="28"/>
      <c r="K1373" s="28"/>
    </row>
    <row r="1374" spans="4:11" x14ac:dyDescent="0.25">
      <c r="D1374" s="32"/>
      <c r="F1374" s="28"/>
      <c r="G1374" s="28"/>
      <c r="K1374" s="28"/>
    </row>
    <row r="1375" spans="4:11" x14ac:dyDescent="0.25">
      <c r="D1375" s="32"/>
      <c r="F1375" s="28"/>
      <c r="G1375" s="28"/>
      <c r="K1375" s="28"/>
    </row>
    <row r="1376" spans="4:11" x14ac:dyDescent="0.25">
      <c r="D1376" s="32"/>
      <c r="F1376" s="28"/>
      <c r="G1376" s="28"/>
      <c r="K1376" s="28"/>
    </row>
    <row r="1377" spans="4:11" x14ac:dyDescent="0.25">
      <c r="D1377" s="32"/>
      <c r="F1377" s="28"/>
      <c r="G1377" s="28"/>
      <c r="K1377" s="28"/>
    </row>
    <row r="1378" spans="4:11" x14ac:dyDescent="0.25">
      <c r="D1378" s="32"/>
      <c r="F1378" s="28"/>
      <c r="G1378" s="28"/>
      <c r="K1378" s="28"/>
    </row>
    <row r="1379" spans="4:11" x14ac:dyDescent="0.25">
      <c r="D1379" s="32"/>
      <c r="F1379" s="28"/>
      <c r="G1379" s="28"/>
      <c r="K1379" s="28"/>
    </row>
    <row r="1380" spans="4:11" x14ac:dyDescent="0.25">
      <c r="D1380" s="32"/>
      <c r="F1380" s="28"/>
      <c r="G1380" s="28"/>
      <c r="K1380" s="28"/>
    </row>
    <row r="1381" spans="4:11" x14ac:dyDescent="0.25">
      <c r="D1381" s="32"/>
      <c r="F1381" s="28"/>
      <c r="G1381" s="28"/>
      <c r="K1381" s="28"/>
    </row>
    <row r="1382" spans="4:11" x14ac:dyDescent="0.25">
      <c r="D1382" s="32"/>
      <c r="F1382" s="28"/>
      <c r="G1382" s="28"/>
      <c r="K1382" s="28"/>
    </row>
    <row r="1383" spans="4:11" x14ac:dyDescent="0.25">
      <c r="D1383" s="32"/>
      <c r="F1383" s="28"/>
      <c r="G1383" s="28"/>
      <c r="K1383" s="28"/>
    </row>
    <row r="1384" spans="4:11" x14ac:dyDescent="0.25">
      <c r="D1384" s="32"/>
      <c r="F1384" s="28"/>
      <c r="G1384" s="28"/>
      <c r="K1384" s="28"/>
    </row>
    <row r="1385" spans="4:11" x14ac:dyDescent="0.25">
      <c r="D1385" s="32"/>
      <c r="F1385" s="28"/>
      <c r="G1385" s="28"/>
      <c r="K1385" s="28"/>
    </row>
    <row r="1386" spans="4:11" x14ac:dyDescent="0.25">
      <c r="D1386" s="32"/>
      <c r="F1386" s="28"/>
      <c r="G1386" s="28"/>
      <c r="K1386" s="28"/>
    </row>
    <row r="1387" spans="4:11" x14ac:dyDescent="0.25">
      <c r="D1387" s="32"/>
      <c r="F1387" s="28"/>
      <c r="G1387" s="28"/>
      <c r="K1387" s="28"/>
    </row>
    <row r="1388" spans="4:11" x14ac:dyDescent="0.25">
      <c r="D1388" s="32"/>
      <c r="F1388" s="28"/>
      <c r="G1388" s="28"/>
      <c r="K1388" s="28"/>
    </row>
    <row r="1389" spans="4:11" x14ac:dyDescent="0.25">
      <c r="D1389" s="32"/>
      <c r="F1389" s="28"/>
      <c r="G1389" s="28"/>
      <c r="K1389" s="28"/>
    </row>
    <row r="1390" spans="4:11" x14ac:dyDescent="0.25">
      <c r="D1390" s="32"/>
      <c r="F1390" s="28"/>
      <c r="G1390" s="28"/>
      <c r="K1390" s="28"/>
    </row>
    <row r="1391" spans="4:11" x14ac:dyDescent="0.25">
      <c r="D1391" s="32"/>
      <c r="F1391" s="28"/>
      <c r="G1391" s="28"/>
      <c r="K1391" s="28"/>
    </row>
    <row r="1392" spans="4:11" x14ac:dyDescent="0.25">
      <c r="D1392" s="32"/>
      <c r="F1392" s="28"/>
      <c r="G1392" s="28"/>
      <c r="K1392" s="28"/>
    </row>
    <row r="1393" spans="4:11" x14ac:dyDescent="0.25">
      <c r="D1393" s="32"/>
      <c r="F1393" s="28"/>
      <c r="G1393" s="28"/>
      <c r="K1393" s="28"/>
    </row>
    <row r="1394" spans="4:11" x14ac:dyDescent="0.25">
      <c r="D1394" s="32"/>
      <c r="F1394" s="28"/>
      <c r="G1394" s="28"/>
      <c r="K1394" s="28"/>
    </row>
    <row r="1395" spans="4:11" x14ac:dyDescent="0.25">
      <c r="D1395" s="32"/>
      <c r="F1395" s="28"/>
      <c r="G1395" s="28"/>
      <c r="K1395" s="28"/>
    </row>
    <row r="1396" spans="4:11" x14ac:dyDescent="0.25">
      <c r="D1396" s="32"/>
      <c r="F1396" s="28"/>
      <c r="G1396" s="28"/>
      <c r="K1396" s="28"/>
    </row>
    <row r="1397" spans="4:11" x14ac:dyDescent="0.25">
      <c r="D1397" s="32"/>
      <c r="F1397" s="28"/>
      <c r="G1397" s="28"/>
      <c r="K1397" s="28"/>
    </row>
    <row r="1398" spans="4:11" x14ac:dyDescent="0.25">
      <c r="D1398" s="32"/>
      <c r="F1398" s="28"/>
      <c r="G1398" s="28"/>
      <c r="K1398" s="28"/>
    </row>
    <row r="1399" spans="4:11" x14ac:dyDescent="0.25">
      <c r="D1399" s="32"/>
      <c r="F1399" s="28"/>
      <c r="G1399" s="28"/>
      <c r="K1399" s="28"/>
    </row>
    <row r="1400" spans="4:11" x14ac:dyDescent="0.25">
      <c r="D1400" s="32"/>
      <c r="F1400" s="28"/>
      <c r="G1400" s="28"/>
      <c r="K1400" s="28"/>
    </row>
    <row r="1401" spans="4:11" x14ac:dyDescent="0.25">
      <c r="D1401" s="32"/>
      <c r="F1401" s="28"/>
      <c r="G1401" s="28"/>
      <c r="K1401" s="28"/>
    </row>
    <row r="1402" spans="4:11" x14ac:dyDescent="0.25">
      <c r="D1402" s="32"/>
      <c r="F1402" s="28"/>
      <c r="G1402" s="28"/>
      <c r="K1402" s="28"/>
    </row>
    <row r="1403" spans="4:11" x14ac:dyDescent="0.25">
      <c r="D1403" s="32"/>
      <c r="F1403" s="28"/>
      <c r="G1403" s="28"/>
      <c r="K1403" s="28"/>
    </row>
    <row r="1404" spans="4:11" x14ac:dyDescent="0.25">
      <c r="D1404" s="32"/>
      <c r="F1404" s="28"/>
      <c r="G1404" s="28"/>
      <c r="K1404" s="28"/>
    </row>
    <row r="1405" spans="4:11" x14ac:dyDescent="0.25">
      <c r="D1405" s="32"/>
      <c r="F1405" s="28"/>
      <c r="G1405" s="28"/>
      <c r="K1405" s="28"/>
    </row>
    <row r="1406" spans="4:11" x14ac:dyDescent="0.25">
      <c r="D1406" s="32"/>
      <c r="F1406" s="28"/>
      <c r="G1406" s="28"/>
      <c r="K1406" s="28"/>
    </row>
    <row r="1407" spans="4:11" x14ac:dyDescent="0.25">
      <c r="D1407" s="32"/>
      <c r="F1407" s="28"/>
      <c r="G1407" s="28"/>
      <c r="K1407" s="28"/>
    </row>
    <row r="1408" spans="4:11" x14ac:dyDescent="0.25">
      <c r="D1408" s="32"/>
      <c r="F1408" s="28"/>
      <c r="G1408" s="28"/>
      <c r="K1408" s="28"/>
    </row>
    <row r="1409" spans="4:11" x14ac:dyDescent="0.25">
      <c r="D1409" s="32"/>
      <c r="F1409" s="28"/>
      <c r="G1409" s="28"/>
      <c r="K1409" s="28"/>
    </row>
    <row r="1410" spans="4:11" x14ac:dyDescent="0.25">
      <c r="D1410" s="32"/>
      <c r="F1410" s="28"/>
      <c r="G1410" s="28"/>
      <c r="K1410" s="28"/>
    </row>
    <row r="1411" spans="4:11" x14ac:dyDescent="0.25">
      <c r="D1411" s="32"/>
      <c r="F1411" s="28"/>
      <c r="G1411" s="28"/>
      <c r="K1411" s="28"/>
    </row>
    <row r="1412" spans="4:11" x14ac:dyDescent="0.25">
      <c r="D1412" s="32"/>
      <c r="F1412" s="28"/>
      <c r="G1412" s="28"/>
      <c r="K1412" s="28"/>
    </row>
    <row r="1413" spans="4:11" x14ac:dyDescent="0.25">
      <c r="D1413" s="32"/>
      <c r="F1413" s="28"/>
      <c r="G1413" s="28"/>
      <c r="K1413" s="28"/>
    </row>
    <row r="1414" spans="4:11" x14ac:dyDescent="0.25">
      <c r="D1414" s="32"/>
      <c r="F1414" s="28"/>
      <c r="G1414" s="28"/>
      <c r="K1414" s="28"/>
    </row>
    <row r="1415" spans="4:11" x14ac:dyDescent="0.25">
      <c r="D1415" s="32"/>
      <c r="F1415" s="28"/>
      <c r="G1415" s="28"/>
      <c r="K1415" s="28"/>
    </row>
    <row r="1416" spans="4:11" x14ac:dyDescent="0.25">
      <c r="D1416" s="32"/>
      <c r="F1416" s="28"/>
      <c r="G1416" s="28"/>
      <c r="K1416" s="28"/>
    </row>
    <row r="1417" spans="4:11" x14ac:dyDescent="0.25">
      <c r="D1417" s="32"/>
      <c r="F1417" s="28"/>
      <c r="G1417" s="28"/>
      <c r="K1417" s="28"/>
    </row>
    <row r="1418" spans="4:11" x14ac:dyDescent="0.25">
      <c r="D1418" s="32"/>
      <c r="F1418" s="28"/>
      <c r="G1418" s="28"/>
      <c r="K1418" s="28"/>
    </row>
    <row r="1419" spans="4:11" x14ac:dyDescent="0.25">
      <c r="D1419" s="32"/>
      <c r="F1419" s="28"/>
      <c r="G1419" s="28"/>
      <c r="K1419" s="28"/>
    </row>
    <row r="1420" spans="4:11" x14ac:dyDescent="0.25">
      <c r="D1420" s="32"/>
      <c r="F1420" s="28"/>
      <c r="G1420" s="28"/>
      <c r="K1420" s="28"/>
    </row>
    <row r="1421" spans="4:11" x14ac:dyDescent="0.25">
      <c r="D1421" s="32"/>
      <c r="F1421" s="28"/>
      <c r="G1421" s="28"/>
      <c r="K1421" s="28"/>
    </row>
    <row r="1422" spans="4:11" x14ac:dyDescent="0.25">
      <c r="D1422" s="32"/>
      <c r="F1422" s="28"/>
      <c r="G1422" s="28"/>
      <c r="K1422" s="28"/>
    </row>
    <row r="1423" spans="4:11" x14ac:dyDescent="0.25">
      <c r="D1423" s="32"/>
      <c r="F1423" s="28"/>
      <c r="G1423" s="28"/>
      <c r="K1423" s="28"/>
    </row>
    <row r="1424" spans="4:11" x14ac:dyDescent="0.25">
      <c r="D1424" s="32"/>
      <c r="F1424" s="28"/>
      <c r="G1424" s="28"/>
      <c r="K1424" s="28"/>
    </row>
    <row r="1425" spans="4:11" x14ac:dyDescent="0.25">
      <c r="D1425" s="32"/>
      <c r="F1425" s="28"/>
      <c r="G1425" s="28"/>
      <c r="K1425" s="28"/>
    </row>
    <row r="1426" spans="4:11" x14ac:dyDescent="0.25">
      <c r="D1426" s="32"/>
      <c r="F1426" s="28"/>
      <c r="G1426" s="28"/>
      <c r="K1426" s="28"/>
    </row>
    <row r="1427" spans="4:11" x14ac:dyDescent="0.25">
      <c r="D1427" s="32"/>
      <c r="F1427" s="28"/>
      <c r="G1427" s="28"/>
      <c r="K1427" s="28"/>
    </row>
    <row r="1428" spans="4:11" x14ac:dyDescent="0.25">
      <c r="D1428" s="32"/>
      <c r="F1428" s="28"/>
      <c r="G1428" s="28"/>
      <c r="K1428" s="28"/>
    </row>
    <row r="1429" spans="4:11" x14ac:dyDescent="0.25">
      <c r="D1429" s="32"/>
      <c r="F1429" s="28"/>
      <c r="G1429" s="28"/>
      <c r="K1429" s="28"/>
    </row>
    <row r="1430" spans="4:11" x14ac:dyDescent="0.25">
      <c r="D1430" s="32"/>
      <c r="F1430" s="28"/>
      <c r="G1430" s="28"/>
      <c r="K1430" s="28"/>
    </row>
    <row r="1431" spans="4:11" x14ac:dyDescent="0.25">
      <c r="D1431" s="32"/>
      <c r="F1431" s="28"/>
      <c r="G1431" s="28"/>
      <c r="K1431" s="28"/>
    </row>
    <row r="1432" spans="4:11" x14ac:dyDescent="0.25">
      <c r="D1432" s="32"/>
      <c r="F1432" s="28"/>
      <c r="G1432" s="28"/>
      <c r="K1432" s="28"/>
    </row>
    <row r="1433" spans="4:11" x14ac:dyDescent="0.25">
      <c r="D1433" s="32"/>
      <c r="F1433" s="28"/>
      <c r="G1433" s="28"/>
      <c r="K1433" s="28"/>
    </row>
    <row r="1434" spans="4:11" x14ac:dyDescent="0.25">
      <c r="D1434" s="32"/>
      <c r="F1434" s="28"/>
      <c r="G1434" s="28"/>
      <c r="K1434" s="28"/>
    </row>
    <row r="1435" spans="4:11" x14ac:dyDescent="0.25">
      <c r="D1435" s="32"/>
      <c r="F1435" s="28"/>
      <c r="G1435" s="28"/>
      <c r="K1435" s="28"/>
    </row>
    <row r="1436" spans="4:11" x14ac:dyDescent="0.25">
      <c r="D1436" s="32"/>
      <c r="F1436" s="28"/>
      <c r="G1436" s="28"/>
      <c r="K1436" s="28"/>
    </row>
    <row r="1437" spans="4:11" x14ac:dyDescent="0.25">
      <c r="D1437" s="32"/>
      <c r="F1437" s="28"/>
      <c r="G1437" s="28"/>
      <c r="K1437" s="28"/>
    </row>
    <row r="1438" spans="4:11" x14ac:dyDescent="0.25">
      <c r="D1438" s="32"/>
      <c r="F1438" s="28"/>
      <c r="G1438" s="28"/>
      <c r="K1438" s="28"/>
    </row>
    <row r="1439" spans="4:11" x14ac:dyDescent="0.25">
      <c r="D1439" s="32"/>
      <c r="F1439" s="28"/>
      <c r="G1439" s="28"/>
      <c r="K1439" s="28"/>
    </row>
    <row r="1440" spans="4:11" x14ac:dyDescent="0.25">
      <c r="D1440" s="32"/>
      <c r="F1440" s="28"/>
      <c r="G1440" s="28"/>
      <c r="K1440" s="28"/>
    </row>
    <row r="1441" spans="4:11" x14ac:dyDescent="0.25">
      <c r="D1441" s="32"/>
      <c r="F1441" s="28"/>
      <c r="G1441" s="28"/>
      <c r="K1441" s="28"/>
    </row>
    <row r="1442" spans="4:11" x14ac:dyDescent="0.25">
      <c r="D1442" s="32"/>
      <c r="F1442" s="28"/>
      <c r="G1442" s="28"/>
      <c r="K1442" s="28"/>
    </row>
    <row r="1443" spans="4:11" x14ac:dyDescent="0.25">
      <c r="D1443" s="32"/>
      <c r="F1443" s="28"/>
      <c r="G1443" s="28"/>
      <c r="K1443" s="28"/>
    </row>
    <row r="1444" spans="4:11" x14ac:dyDescent="0.25">
      <c r="D1444" s="32"/>
      <c r="F1444" s="28"/>
      <c r="G1444" s="28"/>
      <c r="K1444" s="28"/>
    </row>
    <row r="1445" spans="4:11" x14ac:dyDescent="0.25">
      <c r="D1445" s="32"/>
      <c r="F1445" s="28"/>
      <c r="G1445" s="28"/>
      <c r="K1445" s="28"/>
    </row>
    <row r="1446" spans="4:11" x14ac:dyDescent="0.25">
      <c r="D1446" s="32"/>
      <c r="F1446" s="28"/>
      <c r="G1446" s="28"/>
      <c r="K1446" s="28"/>
    </row>
    <row r="1447" spans="4:11" x14ac:dyDescent="0.25">
      <c r="D1447" s="32"/>
      <c r="F1447" s="28"/>
      <c r="G1447" s="28"/>
      <c r="K1447" s="28"/>
    </row>
    <row r="1448" spans="4:11" x14ac:dyDescent="0.25">
      <c r="D1448" s="32"/>
      <c r="F1448" s="28"/>
      <c r="G1448" s="28"/>
      <c r="K1448" s="28"/>
    </row>
    <row r="1449" spans="4:11" x14ac:dyDescent="0.25">
      <c r="D1449" s="32"/>
      <c r="F1449" s="28"/>
      <c r="G1449" s="28"/>
      <c r="K1449" s="28"/>
    </row>
    <row r="1450" spans="4:11" x14ac:dyDescent="0.25">
      <c r="D1450" s="32"/>
      <c r="F1450" s="28"/>
      <c r="G1450" s="28"/>
      <c r="K1450" s="28"/>
    </row>
    <row r="1451" spans="4:11" x14ac:dyDescent="0.25">
      <c r="D1451" s="32"/>
      <c r="F1451" s="28"/>
      <c r="G1451" s="28"/>
      <c r="K1451" s="28"/>
    </row>
    <row r="1452" spans="4:11" x14ac:dyDescent="0.25">
      <c r="D1452" s="32"/>
      <c r="F1452" s="28"/>
      <c r="G1452" s="28"/>
      <c r="K1452" s="28"/>
    </row>
    <row r="1453" spans="4:11" x14ac:dyDescent="0.25">
      <c r="D1453" s="32"/>
      <c r="F1453" s="28"/>
      <c r="G1453" s="28"/>
      <c r="K1453" s="28"/>
    </row>
    <row r="1454" spans="4:11" x14ac:dyDescent="0.25">
      <c r="D1454" s="32"/>
      <c r="F1454" s="28"/>
      <c r="G1454" s="28"/>
      <c r="K1454" s="28"/>
    </row>
    <row r="1455" spans="4:11" x14ac:dyDescent="0.25">
      <c r="D1455" s="32"/>
      <c r="F1455" s="28"/>
      <c r="G1455" s="28"/>
      <c r="K1455" s="28"/>
    </row>
    <row r="1456" spans="4:11" x14ac:dyDescent="0.25">
      <c r="D1456" s="32"/>
      <c r="F1456" s="28"/>
      <c r="G1456" s="28"/>
      <c r="K1456" s="28"/>
    </row>
    <row r="1457" spans="4:11" x14ac:dyDescent="0.25">
      <c r="D1457" s="32"/>
      <c r="F1457" s="28"/>
      <c r="G1457" s="28"/>
      <c r="K1457" s="28"/>
    </row>
    <row r="1458" spans="4:11" x14ac:dyDescent="0.25">
      <c r="D1458" s="32"/>
      <c r="F1458" s="28"/>
      <c r="G1458" s="28"/>
      <c r="K1458" s="28"/>
    </row>
    <row r="1459" spans="4:11" x14ac:dyDescent="0.25">
      <c r="D1459" s="32"/>
      <c r="F1459" s="28"/>
      <c r="G1459" s="28"/>
      <c r="K1459" s="28"/>
    </row>
    <row r="1460" spans="4:11" x14ac:dyDescent="0.25">
      <c r="D1460" s="32"/>
      <c r="F1460" s="28"/>
      <c r="G1460" s="28"/>
      <c r="K1460" s="28"/>
    </row>
    <row r="1461" spans="4:11" x14ac:dyDescent="0.25">
      <c r="D1461" s="32"/>
      <c r="F1461" s="28"/>
      <c r="G1461" s="28"/>
      <c r="K1461" s="28"/>
    </row>
    <row r="1462" spans="4:11" x14ac:dyDescent="0.25">
      <c r="D1462" s="32"/>
      <c r="F1462" s="28"/>
      <c r="G1462" s="28"/>
      <c r="K1462" s="28"/>
    </row>
    <row r="1463" spans="4:11" x14ac:dyDescent="0.25">
      <c r="D1463" s="32"/>
      <c r="F1463" s="28"/>
      <c r="G1463" s="28"/>
      <c r="K1463" s="28"/>
    </row>
    <row r="1464" spans="4:11" x14ac:dyDescent="0.25">
      <c r="D1464" s="32"/>
      <c r="F1464" s="28"/>
      <c r="G1464" s="28"/>
      <c r="K1464" s="28"/>
    </row>
    <row r="1465" spans="4:11" x14ac:dyDescent="0.25">
      <c r="D1465" s="32"/>
      <c r="F1465" s="28"/>
      <c r="G1465" s="28"/>
      <c r="K1465" s="28"/>
    </row>
    <row r="1466" spans="4:11" x14ac:dyDescent="0.25">
      <c r="D1466" s="32"/>
      <c r="F1466" s="28"/>
      <c r="G1466" s="28"/>
      <c r="K1466" s="28"/>
    </row>
    <row r="1467" spans="4:11" x14ac:dyDescent="0.25">
      <c r="D1467" s="32"/>
      <c r="F1467" s="28"/>
      <c r="G1467" s="28"/>
      <c r="K1467" s="28"/>
    </row>
    <row r="1468" spans="4:11" x14ac:dyDescent="0.25">
      <c r="D1468" s="32"/>
      <c r="F1468" s="28"/>
      <c r="G1468" s="28"/>
      <c r="K1468" s="28"/>
    </row>
    <row r="1469" spans="4:11" x14ac:dyDescent="0.25">
      <c r="D1469" s="32"/>
      <c r="F1469" s="28"/>
      <c r="G1469" s="28"/>
      <c r="K1469" s="28"/>
    </row>
    <row r="1470" spans="4:11" x14ac:dyDescent="0.25">
      <c r="D1470" s="32"/>
      <c r="F1470" s="28"/>
      <c r="G1470" s="28"/>
      <c r="K1470" s="28"/>
    </row>
    <row r="1471" spans="4:11" x14ac:dyDescent="0.25">
      <c r="D1471" s="32"/>
      <c r="F1471" s="28"/>
      <c r="G1471" s="28"/>
      <c r="K1471" s="28"/>
    </row>
    <row r="1472" spans="4:11" x14ac:dyDescent="0.25">
      <c r="D1472" s="32"/>
      <c r="F1472" s="28"/>
      <c r="G1472" s="28"/>
      <c r="K1472" s="28"/>
    </row>
    <row r="1473" spans="4:11" x14ac:dyDescent="0.25">
      <c r="D1473" s="32"/>
      <c r="F1473" s="28"/>
      <c r="G1473" s="28"/>
      <c r="K1473" s="28"/>
    </row>
    <row r="1474" spans="4:11" x14ac:dyDescent="0.25">
      <c r="D1474" s="32"/>
      <c r="F1474" s="28"/>
      <c r="G1474" s="28"/>
      <c r="K1474" s="28"/>
    </row>
    <row r="1475" spans="4:11" x14ac:dyDescent="0.25">
      <c r="D1475" s="32"/>
      <c r="F1475" s="28"/>
      <c r="G1475" s="28"/>
      <c r="K1475" s="28"/>
    </row>
    <row r="1476" spans="4:11" x14ac:dyDescent="0.25">
      <c r="D1476" s="32"/>
      <c r="F1476" s="28"/>
      <c r="G1476" s="28"/>
      <c r="K1476" s="28"/>
    </row>
    <row r="1477" spans="4:11" x14ac:dyDescent="0.25">
      <c r="D1477" s="32"/>
      <c r="F1477" s="28"/>
      <c r="G1477" s="28"/>
      <c r="K1477" s="28"/>
    </row>
    <row r="1478" spans="4:11" x14ac:dyDescent="0.25">
      <c r="D1478" s="32"/>
      <c r="F1478" s="28"/>
      <c r="G1478" s="28"/>
      <c r="K1478" s="28"/>
    </row>
    <row r="1479" spans="4:11" x14ac:dyDescent="0.25">
      <c r="D1479" s="32"/>
      <c r="F1479" s="28"/>
      <c r="G1479" s="28"/>
      <c r="K1479" s="28"/>
    </row>
    <row r="1480" spans="4:11" x14ac:dyDescent="0.25">
      <c r="D1480" s="32"/>
      <c r="F1480" s="28"/>
      <c r="G1480" s="28"/>
      <c r="K1480" s="28"/>
    </row>
    <row r="1481" spans="4:11" x14ac:dyDescent="0.25">
      <c r="D1481" s="32"/>
      <c r="F1481" s="28"/>
      <c r="G1481" s="28"/>
      <c r="K1481" s="28"/>
    </row>
    <row r="1482" spans="4:11" x14ac:dyDescent="0.25">
      <c r="D1482" s="32"/>
      <c r="F1482" s="28"/>
      <c r="G1482" s="28"/>
      <c r="K1482" s="28"/>
    </row>
    <row r="1483" spans="4:11" x14ac:dyDescent="0.25">
      <c r="D1483" s="32"/>
      <c r="F1483" s="28"/>
      <c r="G1483" s="28"/>
      <c r="K1483" s="28"/>
    </row>
    <row r="1484" spans="4:11" x14ac:dyDescent="0.25">
      <c r="D1484" s="32"/>
      <c r="F1484" s="28"/>
      <c r="G1484" s="28"/>
      <c r="K1484" s="28"/>
    </row>
    <row r="1485" spans="4:11" x14ac:dyDescent="0.25">
      <c r="D1485" s="32"/>
      <c r="F1485" s="28"/>
      <c r="G1485" s="28"/>
      <c r="K1485" s="28"/>
    </row>
    <row r="1486" spans="4:11" x14ac:dyDescent="0.25">
      <c r="D1486" s="32"/>
      <c r="F1486" s="28"/>
      <c r="G1486" s="28"/>
      <c r="K1486" s="28"/>
    </row>
    <row r="1487" spans="4:11" x14ac:dyDescent="0.25">
      <c r="D1487" s="32"/>
      <c r="F1487" s="28"/>
      <c r="G1487" s="28"/>
      <c r="K1487" s="28"/>
    </row>
    <row r="1488" spans="4:11" x14ac:dyDescent="0.25">
      <c r="D1488" s="32"/>
      <c r="F1488" s="28"/>
      <c r="G1488" s="28"/>
      <c r="K1488" s="28"/>
    </row>
    <row r="1489" spans="4:11" x14ac:dyDescent="0.25">
      <c r="D1489" s="32"/>
      <c r="F1489" s="28"/>
      <c r="G1489" s="28"/>
      <c r="K1489" s="28"/>
    </row>
    <row r="1490" spans="4:11" x14ac:dyDescent="0.25">
      <c r="D1490" s="32"/>
      <c r="F1490" s="28"/>
      <c r="G1490" s="28"/>
      <c r="K1490" s="28"/>
    </row>
    <row r="1491" spans="4:11" x14ac:dyDescent="0.25">
      <c r="D1491" s="32"/>
      <c r="F1491" s="28"/>
      <c r="G1491" s="28"/>
      <c r="K1491" s="28"/>
    </row>
    <row r="1492" spans="4:11" x14ac:dyDescent="0.25">
      <c r="D1492" s="32"/>
      <c r="F1492" s="28"/>
      <c r="G1492" s="28"/>
      <c r="K1492" s="28"/>
    </row>
    <row r="1493" spans="4:11" x14ac:dyDescent="0.25">
      <c r="D1493" s="32"/>
      <c r="F1493" s="28"/>
      <c r="G1493" s="28"/>
      <c r="K1493" s="28"/>
    </row>
    <row r="1494" spans="4:11" x14ac:dyDescent="0.25">
      <c r="D1494" s="32"/>
      <c r="F1494" s="28"/>
      <c r="G1494" s="28"/>
      <c r="K1494" s="28"/>
    </row>
    <row r="1495" spans="4:11" x14ac:dyDescent="0.25">
      <c r="D1495" s="32"/>
      <c r="F1495" s="28"/>
      <c r="G1495" s="28"/>
      <c r="K1495" s="28"/>
    </row>
    <row r="1496" spans="4:11" x14ac:dyDescent="0.25">
      <c r="D1496" s="32"/>
      <c r="F1496" s="28"/>
      <c r="G1496" s="28"/>
      <c r="K1496" s="28"/>
    </row>
    <row r="1497" spans="4:11" x14ac:dyDescent="0.25">
      <c r="D1497" s="32"/>
      <c r="F1497" s="28"/>
      <c r="G1497" s="28"/>
      <c r="K1497" s="28"/>
    </row>
    <row r="1498" spans="4:11" x14ac:dyDescent="0.25">
      <c r="D1498" s="32"/>
      <c r="F1498" s="28"/>
      <c r="G1498" s="28"/>
      <c r="K1498" s="28"/>
    </row>
    <row r="1499" spans="4:11" x14ac:dyDescent="0.25">
      <c r="D1499" s="32"/>
      <c r="F1499" s="28"/>
      <c r="G1499" s="28"/>
      <c r="K1499" s="28"/>
    </row>
    <row r="1500" spans="4:11" x14ac:dyDescent="0.25">
      <c r="D1500" s="32"/>
      <c r="F1500" s="28"/>
      <c r="G1500" s="28"/>
      <c r="K1500" s="28"/>
    </row>
    <row r="1501" spans="4:11" x14ac:dyDescent="0.25">
      <c r="D1501" s="32"/>
      <c r="F1501" s="28"/>
      <c r="G1501" s="28"/>
      <c r="K1501" s="28"/>
    </row>
    <row r="1502" spans="4:11" x14ac:dyDescent="0.25">
      <c r="D1502" s="32"/>
      <c r="F1502" s="28"/>
      <c r="G1502" s="28"/>
      <c r="K1502" s="28"/>
    </row>
    <row r="1503" spans="4:11" x14ac:dyDescent="0.25">
      <c r="D1503" s="32"/>
      <c r="F1503" s="28"/>
      <c r="G1503" s="28"/>
      <c r="K1503" s="28"/>
    </row>
    <row r="1504" spans="4:11" x14ac:dyDescent="0.25">
      <c r="D1504" s="32"/>
      <c r="F1504" s="28"/>
      <c r="G1504" s="28"/>
      <c r="K1504" s="28"/>
    </row>
    <row r="1505" spans="4:11" x14ac:dyDescent="0.25">
      <c r="D1505" s="32"/>
      <c r="F1505" s="28"/>
      <c r="G1505" s="28"/>
      <c r="K1505" s="28"/>
    </row>
    <row r="1506" spans="4:11" x14ac:dyDescent="0.25">
      <c r="D1506" s="32"/>
      <c r="F1506" s="28"/>
      <c r="G1506" s="28"/>
      <c r="K1506" s="28"/>
    </row>
    <row r="1507" spans="4:11" x14ac:dyDescent="0.25">
      <c r="D1507" s="32"/>
      <c r="F1507" s="28"/>
      <c r="G1507" s="28"/>
      <c r="K1507" s="28"/>
    </row>
    <row r="1508" spans="4:11" x14ac:dyDescent="0.25">
      <c r="D1508" s="32"/>
      <c r="F1508" s="28"/>
      <c r="G1508" s="28"/>
      <c r="K1508" s="28"/>
    </row>
    <row r="1509" spans="4:11" x14ac:dyDescent="0.25">
      <c r="D1509" s="32"/>
      <c r="F1509" s="28"/>
      <c r="G1509" s="28"/>
      <c r="K1509" s="28"/>
    </row>
    <row r="1510" spans="4:11" x14ac:dyDescent="0.25">
      <c r="D1510" s="32"/>
      <c r="F1510" s="28"/>
      <c r="G1510" s="28"/>
      <c r="K1510" s="28"/>
    </row>
    <row r="1511" spans="4:11" x14ac:dyDescent="0.25">
      <c r="D1511" s="32"/>
      <c r="F1511" s="28"/>
      <c r="G1511" s="28"/>
      <c r="K1511" s="28"/>
    </row>
    <row r="1512" spans="4:11" x14ac:dyDescent="0.25">
      <c r="D1512" s="32"/>
      <c r="F1512" s="28"/>
      <c r="G1512" s="28"/>
      <c r="K1512" s="28"/>
    </row>
    <row r="1513" spans="4:11" x14ac:dyDescent="0.25">
      <c r="D1513" s="32"/>
      <c r="F1513" s="28"/>
      <c r="G1513" s="28"/>
      <c r="K1513" s="28"/>
    </row>
    <row r="1514" spans="4:11" x14ac:dyDescent="0.25">
      <c r="D1514" s="32"/>
      <c r="F1514" s="28"/>
      <c r="G1514" s="28"/>
      <c r="K1514" s="28"/>
    </row>
    <row r="1515" spans="4:11" x14ac:dyDescent="0.25">
      <c r="D1515" s="32"/>
      <c r="F1515" s="28"/>
      <c r="G1515" s="28"/>
      <c r="K1515" s="28"/>
    </row>
    <row r="1516" spans="4:11" x14ac:dyDescent="0.25">
      <c r="D1516" s="32"/>
      <c r="F1516" s="28"/>
      <c r="G1516" s="28"/>
      <c r="K1516" s="28"/>
    </row>
    <row r="1517" spans="4:11" x14ac:dyDescent="0.25">
      <c r="D1517" s="32"/>
      <c r="F1517" s="28"/>
      <c r="G1517" s="28"/>
      <c r="K1517" s="28"/>
    </row>
    <row r="1518" spans="4:11" x14ac:dyDescent="0.25">
      <c r="D1518" s="32"/>
      <c r="F1518" s="28"/>
      <c r="G1518" s="28"/>
      <c r="K1518" s="28"/>
    </row>
    <row r="1519" spans="4:11" x14ac:dyDescent="0.25">
      <c r="D1519" s="32"/>
      <c r="F1519" s="28"/>
      <c r="G1519" s="28"/>
      <c r="K1519" s="28"/>
    </row>
    <row r="1520" spans="4:11" x14ac:dyDescent="0.25">
      <c r="D1520" s="32"/>
      <c r="F1520" s="28"/>
      <c r="G1520" s="28"/>
      <c r="K1520" s="28"/>
    </row>
    <row r="1521" spans="4:11" x14ac:dyDescent="0.25">
      <c r="D1521" s="32"/>
      <c r="F1521" s="28"/>
      <c r="G1521" s="28"/>
      <c r="K1521" s="28"/>
    </row>
    <row r="1522" spans="4:11" x14ac:dyDescent="0.25">
      <c r="D1522" s="32"/>
      <c r="F1522" s="28"/>
      <c r="G1522" s="28"/>
      <c r="K1522" s="28"/>
    </row>
    <row r="1523" spans="4:11" x14ac:dyDescent="0.25">
      <c r="D1523" s="32"/>
      <c r="F1523" s="28"/>
      <c r="G1523" s="28"/>
      <c r="K1523" s="28"/>
    </row>
  </sheetData>
  <autoFilter ref="A2:R771" xr:uid="{75FD4D84-AD5B-4C84-B52D-A79E2A24F32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88"/>
  <sheetViews>
    <sheetView zoomScale="80" zoomScaleNormal="80" workbookViewId="0">
      <pane xSplit="2" ySplit="2" topLeftCell="I3" activePane="bottomRight" state="frozen"/>
      <selection activeCell="A3" sqref="A3:P649"/>
      <selection pane="topRight" activeCell="A3" sqref="A3:P649"/>
      <selection pane="bottomLeft" activeCell="A3" sqref="A3:P649"/>
      <selection pane="bottomRight" activeCell="A3" sqref="A3:P649"/>
    </sheetView>
  </sheetViews>
  <sheetFormatPr defaultRowHeight="13.2" x14ac:dyDescent="0.25"/>
  <cols>
    <col min="1" max="1" width="12.6640625" bestFit="1" customWidth="1"/>
    <col min="2" max="2" width="43" bestFit="1" customWidth="1"/>
    <col min="3" max="3" width="17.5546875" bestFit="1" customWidth="1"/>
    <col min="4" max="4" width="15.44140625" style="23"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45.5546875"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0"/>
      <c r="D1" s="1">
        <f>SUBTOTAL(9,$D$3:$D$863)</f>
        <v>31818331.409999982</v>
      </c>
      <c r="E1" s="1"/>
      <c r="R1" s="3">
        <v>46197</v>
      </c>
    </row>
    <row r="2" spans="1:19" x14ac:dyDescent="0.25">
      <c r="A2" s="2" t="s">
        <v>4</v>
      </c>
      <c r="B2" s="2" t="s">
        <v>3</v>
      </c>
      <c r="C2" s="2" t="s">
        <v>0</v>
      </c>
      <c r="D2" s="29" t="s">
        <v>6</v>
      </c>
      <c r="E2" s="2" t="s">
        <v>199</v>
      </c>
      <c r="F2" s="2" t="s">
        <v>2</v>
      </c>
      <c r="G2" s="2" t="s">
        <v>198</v>
      </c>
      <c r="H2" s="2" t="s">
        <v>200</v>
      </c>
      <c r="I2" s="2" t="s">
        <v>201</v>
      </c>
      <c r="J2" s="2" t="s">
        <v>1</v>
      </c>
      <c r="K2" s="2" t="s">
        <v>202</v>
      </c>
      <c r="L2" s="2" t="s">
        <v>203</v>
      </c>
      <c r="M2" s="2" t="s">
        <v>204</v>
      </c>
      <c r="N2" s="2" t="s">
        <v>205</v>
      </c>
      <c r="O2" s="2" t="s">
        <v>206</v>
      </c>
      <c r="P2" s="2" t="s">
        <v>352</v>
      </c>
      <c r="Q2" s="4" t="s">
        <v>5</v>
      </c>
    </row>
    <row r="3" spans="1:19" x14ac:dyDescent="0.25">
      <c r="A3">
        <v>1257</v>
      </c>
      <c r="B3" t="s">
        <v>52</v>
      </c>
      <c r="C3" t="s">
        <v>53</v>
      </c>
      <c r="D3" s="32">
        <v>1980.8</v>
      </c>
      <c r="E3">
        <v>1246032946</v>
      </c>
      <c r="F3" s="28">
        <v>44774</v>
      </c>
      <c r="H3" t="s">
        <v>23</v>
      </c>
      <c r="I3" t="s">
        <v>24</v>
      </c>
      <c r="J3">
        <v>17935</v>
      </c>
      <c r="K3" s="28">
        <v>44714</v>
      </c>
      <c r="L3">
        <v>1010100</v>
      </c>
      <c r="M3" t="s">
        <v>29</v>
      </c>
      <c r="N3">
        <v>56</v>
      </c>
      <c r="O3" t="s">
        <v>146</v>
      </c>
      <c r="P3" t="s">
        <v>431</v>
      </c>
      <c r="Q3">
        <f t="shared" ref="Q3:Q66" si="0">$R$1-F3</f>
        <v>1423</v>
      </c>
      <c r="R3" t="str">
        <f>_xlfn.XLOOKUP(P3,'Painel Additive'!$B:$B,'Painel Additive'!$B:$B,0)</f>
        <v>GRUPO MOSAIC FERTILIZANTES DO BRASIL</v>
      </c>
      <c r="S3">
        <f>F3-K3</f>
        <v>60</v>
      </c>
    </row>
    <row r="4" spans="1:19" x14ac:dyDescent="0.25">
      <c r="A4">
        <v>1936</v>
      </c>
      <c r="B4" t="s">
        <v>64</v>
      </c>
      <c r="C4" t="s">
        <v>65</v>
      </c>
      <c r="D4" s="32">
        <v>40300</v>
      </c>
      <c r="E4">
        <v>1246280425</v>
      </c>
      <c r="F4" s="28">
        <v>46223</v>
      </c>
      <c r="H4" t="s">
        <v>23</v>
      </c>
      <c r="I4" t="s">
        <v>24</v>
      </c>
      <c r="J4">
        <v>11779</v>
      </c>
      <c r="K4" s="28">
        <v>46195</v>
      </c>
      <c r="L4">
        <v>1010100</v>
      </c>
      <c r="M4" t="s">
        <v>29</v>
      </c>
      <c r="N4">
        <v>56</v>
      </c>
      <c r="O4" t="s">
        <v>146</v>
      </c>
      <c r="P4" t="s">
        <v>15465</v>
      </c>
      <c r="Q4">
        <f t="shared" si="0"/>
        <v>-26</v>
      </c>
      <c r="R4" t="str">
        <f>_xlfn.XLOOKUP(P4,'Painel Additive'!$B:$B,'Painel Additive'!$B:$B,0)</f>
        <v>GRUPO AGRO INDUSTRIAL SAO LUIZ LTDA</v>
      </c>
      <c r="S4">
        <f t="shared" ref="S4:S66" si="1">F4-K4</f>
        <v>28</v>
      </c>
    </row>
    <row r="5" spans="1:19" x14ac:dyDescent="0.25">
      <c r="A5">
        <v>1936</v>
      </c>
      <c r="B5" t="s">
        <v>64</v>
      </c>
      <c r="C5" t="s">
        <v>65</v>
      </c>
      <c r="D5" s="32">
        <v>40300</v>
      </c>
      <c r="E5">
        <v>1246278386</v>
      </c>
      <c r="F5" s="28">
        <v>46206</v>
      </c>
      <c r="H5" t="s">
        <v>23</v>
      </c>
      <c r="I5" t="s">
        <v>24</v>
      </c>
      <c r="J5">
        <v>11615</v>
      </c>
      <c r="K5" s="28">
        <v>46178</v>
      </c>
      <c r="L5">
        <v>1010100</v>
      </c>
      <c r="M5" t="s">
        <v>29</v>
      </c>
      <c r="N5">
        <v>56</v>
      </c>
      <c r="O5" t="s">
        <v>146</v>
      </c>
      <c r="P5" t="s">
        <v>15465</v>
      </c>
      <c r="Q5">
        <f t="shared" si="0"/>
        <v>-9</v>
      </c>
      <c r="R5" t="str">
        <f>_xlfn.XLOOKUP(P5,'Painel Additive'!$B:$B,'Painel Additive'!$B:$B,0)</f>
        <v>GRUPO AGRO INDUSTRIAL SAO LUIZ LTDA</v>
      </c>
      <c r="S5">
        <f t="shared" si="1"/>
        <v>28</v>
      </c>
    </row>
    <row r="6" spans="1:19" x14ac:dyDescent="0.25">
      <c r="A6">
        <v>2603</v>
      </c>
      <c r="B6" t="s">
        <v>71</v>
      </c>
      <c r="C6" t="s">
        <v>72</v>
      </c>
      <c r="D6" s="32">
        <v>4522.16</v>
      </c>
      <c r="E6">
        <v>1246097965</v>
      </c>
      <c r="F6" s="28">
        <v>45152</v>
      </c>
      <c r="H6" t="s">
        <v>23</v>
      </c>
      <c r="I6" t="s">
        <v>24</v>
      </c>
      <c r="J6">
        <v>21713</v>
      </c>
      <c r="K6" s="28">
        <v>45092</v>
      </c>
      <c r="L6">
        <v>1010100</v>
      </c>
      <c r="M6" t="s">
        <v>29</v>
      </c>
      <c r="N6">
        <v>56</v>
      </c>
      <c r="O6" t="s">
        <v>146</v>
      </c>
      <c r="P6" t="s">
        <v>431</v>
      </c>
      <c r="Q6">
        <f t="shared" si="0"/>
        <v>1045</v>
      </c>
      <c r="R6" t="str">
        <f>_xlfn.XLOOKUP(P6,'Painel Additive'!$B:$B,'Painel Additive'!$B:$B,0)</f>
        <v>GRUPO MOSAIC FERTILIZANTES DO BRASIL</v>
      </c>
      <c r="S6">
        <f t="shared" si="1"/>
        <v>60</v>
      </c>
    </row>
    <row r="7" spans="1:19" x14ac:dyDescent="0.25">
      <c r="A7">
        <v>2603</v>
      </c>
      <c r="B7" t="s">
        <v>71</v>
      </c>
      <c r="C7" t="s">
        <v>72</v>
      </c>
      <c r="D7" s="32">
        <v>241850</v>
      </c>
      <c r="E7">
        <v>1246273467</v>
      </c>
      <c r="F7" s="28">
        <v>46236</v>
      </c>
      <c r="H7" t="s">
        <v>23</v>
      </c>
      <c r="I7" t="s">
        <v>24</v>
      </c>
      <c r="J7">
        <v>2903</v>
      </c>
      <c r="K7" s="28">
        <v>46146</v>
      </c>
      <c r="L7">
        <v>1010100</v>
      </c>
      <c r="M7" t="s">
        <v>29</v>
      </c>
      <c r="N7">
        <v>56</v>
      </c>
      <c r="O7" t="s">
        <v>146</v>
      </c>
      <c r="P7" t="s">
        <v>431</v>
      </c>
      <c r="Q7">
        <f t="shared" si="0"/>
        <v>-39</v>
      </c>
      <c r="R7" t="str">
        <f>_xlfn.XLOOKUP(P7,'Painel Additive'!$B:$B,'Painel Additive'!$B:$B,0)</f>
        <v>GRUPO MOSAIC FERTILIZANTES DO BRASIL</v>
      </c>
      <c r="S7">
        <f t="shared" si="1"/>
        <v>90</v>
      </c>
    </row>
    <row r="8" spans="1:19" x14ac:dyDescent="0.25">
      <c r="A8">
        <v>6124</v>
      </c>
      <c r="B8" t="s">
        <v>695</v>
      </c>
      <c r="C8" t="s">
        <v>85</v>
      </c>
      <c r="D8" s="32">
        <v>384000</v>
      </c>
      <c r="E8">
        <v>1246277044</v>
      </c>
      <c r="F8" s="28">
        <v>46259</v>
      </c>
      <c r="H8" t="s">
        <v>23</v>
      </c>
      <c r="I8" t="s">
        <v>24</v>
      </c>
      <c r="J8">
        <v>2971</v>
      </c>
      <c r="K8" s="28">
        <v>46169</v>
      </c>
      <c r="L8">
        <v>1010100</v>
      </c>
      <c r="M8" t="s">
        <v>29</v>
      </c>
      <c r="N8">
        <v>56</v>
      </c>
      <c r="O8" t="s">
        <v>146</v>
      </c>
      <c r="P8" t="s">
        <v>431</v>
      </c>
      <c r="Q8">
        <f t="shared" si="0"/>
        <v>-62</v>
      </c>
      <c r="R8" t="str">
        <f>_xlfn.XLOOKUP(P8,'Painel Additive'!$B:$B,'Painel Additive'!$B:$B,0)</f>
        <v>GRUPO MOSAIC FERTILIZANTES DO BRASIL</v>
      </c>
      <c r="S8">
        <f t="shared" si="1"/>
        <v>90</v>
      </c>
    </row>
    <row r="9" spans="1:19" x14ac:dyDescent="0.25">
      <c r="A9">
        <v>6124</v>
      </c>
      <c r="B9" t="s">
        <v>695</v>
      </c>
      <c r="C9" t="s">
        <v>85</v>
      </c>
      <c r="D9" s="32">
        <v>384000</v>
      </c>
      <c r="E9">
        <v>1246279317</v>
      </c>
      <c r="F9" s="28">
        <v>46275</v>
      </c>
      <c r="H9" t="s">
        <v>23</v>
      </c>
      <c r="I9" t="s">
        <v>24</v>
      </c>
      <c r="J9">
        <v>3012</v>
      </c>
      <c r="K9" s="28">
        <v>46185</v>
      </c>
      <c r="L9">
        <v>1010100</v>
      </c>
      <c r="M9" t="s">
        <v>29</v>
      </c>
      <c r="N9">
        <v>56</v>
      </c>
      <c r="O9" t="s">
        <v>146</v>
      </c>
      <c r="P9" t="s">
        <v>431</v>
      </c>
      <c r="Q9">
        <f t="shared" si="0"/>
        <v>-78</v>
      </c>
      <c r="R9" t="str">
        <f>_xlfn.XLOOKUP(P9,'Painel Additive'!$B:$B,'Painel Additive'!$B:$B,0)</f>
        <v>GRUPO MOSAIC FERTILIZANTES DO BRASIL</v>
      </c>
      <c r="S9">
        <f t="shared" si="1"/>
        <v>90</v>
      </c>
    </row>
    <row r="10" spans="1:19" x14ac:dyDescent="0.25">
      <c r="A10">
        <v>7479</v>
      </c>
      <c r="B10" t="s">
        <v>714</v>
      </c>
      <c r="C10" t="s">
        <v>715</v>
      </c>
      <c r="D10" s="32">
        <v>167211.9</v>
      </c>
      <c r="E10">
        <v>1246274162</v>
      </c>
      <c r="F10" s="28">
        <v>46240</v>
      </c>
      <c r="H10" t="s">
        <v>23</v>
      </c>
      <c r="I10" t="s">
        <v>24</v>
      </c>
      <c r="J10">
        <v>11335</v>
      </c>
      <c r="K10" s="28">
        <v>46150</v>
      </c>
      <c r="L10">
        <v>1010100</v>
      </c>
      <c r="M10" t="s">
        <v>29</v>
      </c>
      <c r="N10">
        <v>56</v>
      </c>
      <c r="O10" t="s">
        <v>146</v>
      </c>
      <c r="P10" t="s">
        <v>431</v>
      </c>
      <c r="Q10">
        <f t="shared" si="0"/>
        <v>-43</v>
      </c>
      <c r="R10" t="str">
        <f>_xlfn.XLOOKUP(P10,'Painel Additive'!$B:$B,'Painel Additive'!$B:$B,0)</f>
        <v>GRUPO MOSAIC FERTILIZANTES DO BRASIL</v>
      </c>
      <c r="S10">
        <f t="shared" si="1"/>
        <v>90</v>
      </c>
    </row>
    <row r="11" spans="1:19" x14ac:dyDescent="0.25">
      <c r="A11">
        <v>7479</v>
      </c>
      <c r="B11" t="s">
        <v>714</v>
      </c>
      <c r="C11" t="s">
        <v>715</v>
      </c>
      <c r="D11" s="32">
        <v>768000</v>
      </c>
      <c r="E11">
        <v>1246280565</v>
      </c>
      <c r="F11" s="28">
        <v>46286</v>
      </c>
      <c r="H11" t="s">
        <v>23</v>
      </c>
      <c r="I11" t="s">
        <v>24</v>
      </c>
      <c r="J11">
        <v>3029</v>
      </c>
      <c r="K11" s="28">
        <v>46196</v>
      </c>
      <c r="L11">
        <v>1010100</v>
      </c>
      <c r="M11" t="s">
        <v>29</v>
      </c>
      <c r="N11">
        <v>56</v>
      </c>
      <c r="O11" t="s">
        <v>146</v>
      </c>
      <c r="P11" t="s">
        <v>431</v>
      </c>
      <c r="Q11">
        <f t="shared" si="0"/>
        <v>-89</v>
      </c>
      <c r="R11" t="str">
        <f>_xlfn.XLOOKUP(P11,'Painel Additive'!$B:$B,'Painel Additive'!$B:$B,0)</f>
        <v>GRUPO MOSAIC FERTILIZANTES DO BRASIL</v>
      </c>
      <c r="S11">
        <f t="shared" si="1"/>
        <v>90</v>
      </c>
    </row>
    <row r="12" spans="1:19" x14ac:dyDescent="0.25">
      <c r="A12">
        <v>7479</v>
      </c>
      <c r="B12" t="s">
        <v>714</v>
      </c>
      <c r="C12" t="s">
        <v>715</v>
      </c>
      <c r="D12" s="32">
        <v>64239.64</v>
      </c>
      <c r="E12">
        <v>1246275302</v>
      </c>
      <c r="F12" s="28">
        <v>46247</v>
      </c>
      <c r="H12" t="s">
        <v>23</v>
      </c>
      <c r="I12" t="s">
        <v>24</v>
      </c>
      <c r="J12">
        <v>11401</v>
      </c>
      <c r="K12" s="28">
        <v>46157</v>
      </c>
      <c r="L12">
        <v>1010100</v>
      </c>
      <c r="M12" t="s">
        <v>29</v>
      </c>
      <c r="N12">
        <v>56</v>
      </c>
      <c r="O12" t="s">
        <v>146</v>
      </c>
      <c r="P12" t="s">
        <v>431</v>
      </c>
      <c r="Q12">
        <f t="shared" si="0"/>
        <v>-50</v>
      </c>
      <c r="R12" t="str">
        <f>_xlfn.XLOOKUP(P12,'Painel Additive'!$B:$B,'Painel Additive'!$B:$B,0)</f>
        <v>GRUPO MOSAIC FERTILIZANTES DO BRASIL</v>
      </c>
      <c r="S12">
        <f t="shared" si="1"/>
        <v>90</v>
      </c>
    </row>
    <row r="13" spans="1:19" x14ac:dyDescent="0.25">
      <c r="A13">
        <v>7479</v>
      </c>
      <c r="B13" t="s">
        <v>714</v>
      </c>
      <c r="C13" t="s">
        <v>715</v>
      </c>
      <c r="D13" s="32">
        <v>384000</v>
      </c>
      <c r="E13">
        <v>1246277126</v>
      </c>
      <c r="F13" s="28">
        <v>46259</v>
      </c>
      <c r="H13" t="s">
        <v>23</v>
      </c>
      <c r="I13" t="s">
        <v>24</v>
      </c>
      <c r="J13">
        <v>2974</v>
      </c>
      <c r="K13" s="28">
        <v>46169</v>
      </c>
      <c r="L13">
        <v>1010100</v>
      </c>
      <c r="M13" t="s">
        <v>29</v>
      </c>
      <c r="N13">
        <v>56</v>
      </c>
      <c r="O13" t="s">
        <v>146</v>
      </c>
      <c r="P13" t="s">
        <v>431</v>
      </c>
      <c r="Q13">
        <f t="shared" si="0"/>
        <v>-62</v>
      </c>
      <c r="R13" t="str">
        <f>_xlfn.XLOOKUP(P13,'Painel Additive'!$B:$B,'Painel Additive'!$B:$B,0)</f>
        <v>GRUPO MOSAIC FERTILIZANTES DO BRASIL</v>
      </c>
      <c r="S13">
        <f t="shared" si="1"/>
        <v>90</v>
      </c>
    </row>
    <row r="14" spans="1:19" x14ac:dyDescent="0.25">
      <c r="A14">
        <v>7302</v>
      </c>
      <c r="B14" t="s">
        <v>93</v>
      </c>
      <c r="C14" t="s">
        <v>94</v>
      </c>
      <c r="D14" s="32">
        <v>61000</v>
      </c>
      <c r="E14">
        <v>1246278404</v>
      </c>
      <c r="F14" s="28">
        <v>46268</v>
      </c>
      <c r="H14" t="s">
        <v>23</v>
      </c>
      <c r="I14" t="s">
        <v>24</v>
      </c>
      <c r="J14">
        <v>11618</v>
      </c>
      <c r="K14" s="28">
        <v>46178</v>
      </c>
      <c r="L14">
        <v>1010100</v>
      </c>
      <c r="M14" t="s">
        <v>29</v>
      </c>
      <c r="N14">
        <v>56</v>
      </c>
      <c r="O14" t="s">
        <v>146</v>
      </c>
      <c r="P14" t="s">
        <v>431</v>
      </c>
      <c r="Q14">
        <f t="shared" si="0"/>
        <v>-71</v>
      </c>
      <c r="R14" t="str">
        <f>_xlfn.XLOOKUP(P14,'Painel Additive'!$B:$B,'Painel Additive'!$B:$B,0)</f>
        <v>GRUPO MOSAIC FERTILIZANTES DO BRASIL</v>
      </c>
      <c r="S14">
        <f t="shared" si="1"/>
        <v>90</v>
      </c>
    </row>
    <row r="15" spans="1:19" x14ac:dyDescent="0.25">
      <c r="A15">
        <v>2</v>
      </c>
      <c r="B15" t="s">
        <v>28</v>
      </c>
      <c r="C15" t="s">
        <v>705</v>
      </c>
      <c r="D15" s="32">
        <v>31163</v>
      </c>
      <c r="E15">
        <v>1246278732</v>
      </c>
      <c r="F15" s="28">
        <v>46210</v>
      </c>
      <c r="H15" t="s">
        <v>706</v>
      </c>
      <c r="I15" t="s">
        <v>707</v>
      </c>
      <c r="J15">
        <v>3005</v>
      </c>
      <c r="K15" s="28">
        <v>46182</v>
      </c>
      <c r="L15">
        <v>1010100</v>
      </c>
      <c r="M15" t="s">
        <v>29</v>
      </c>
      <c r="N15">
        <v>199</v>
      </c>
      <c r="O15" t="s">
        <v>738</v>
      </c>
      <c r="P15" t="s">
        <v>357</v>
      </c>
      <c r="Q15">
        <f t="shared" si="0"/>
        <v>-13</v>
      </c>
      <c r="R15" t="str">
        <f>_xlfn.XLOOKUP(P15,'Painel Additive'!$B:$B,'Painel Additive'!$B:$B,0)</f>
        <v>GRUPO CARGILL</v>
      </c>
      <c r="S15">
        <f t="shared" si="1"/>
        <v>28</v>
      </c>
    </row>
    <row r="16" spans="1:19" x14ac:dyDescent="0.25">
      <c r="A16">
        <v>2</v>
      </c>
      <c r="B16" t="s">
        <v>28</v>
      </c>
      <c r="C16" t="s">
        <v>705</v>
      </c>
      <c r="D16" s="32">
        <v>31427</v>
      </c>
      <c r="E16">
        <v>1246281215</v>
      </c>
      <c r="F16" s="28">
        <v>46226</v>
      </c>
      <c r="H16" t="s">
        <v>706</v>
      </c>
      <c r="I16" t="s">
        <v>707</v>
      </c>
      <c r="J16">
        <v>3033</v>
      </c>
      <c r="K16" s="28">
        <v>46198</v>
      </c>
      <c r="L16">
        <v>1010100</v>
      </c>
      <c r="M16" t="s">
        <v>29</v>
      </c>
      <c r="N16">
        <v>199</v>
      </c>
      <c r="O16" t="s">
        <v>738</v>
      </c>
      <c r="P16" t="s">
        <v>357</v>
      </c>
      <c r="Q16">
        <f t="shared" si="0"/>
        <v>-29</v>
      </c>
      <c r="R16" t="str">
        <f>_xlfn.XLOOKUP(P16,'Painel Additive'!$B:$B,'Painel Additive'!$B:$B,0)</f>
        <v>GRUPO CARGILL</v>
      </c>
      <c r="S16">
        <f t="shared" si="1"/>
        <v>28</v>
      </c>
    </row>
    <row r="17" spans="1:19" x14ac:dyDescent="0.25">
      <c r="A17">
        <v>7302</v>
      </c>
      <c r="B17" t="s">
        <v>93</v>
      </c>
      <c r="C17" t="s">
        <v>94</v>
      </c>
      <c r="D17" s="32">
        <v>1431.76</v>
      </c>
      <c r="E17">
        <v>1246062794</v>
      </c>
      <c r="F17" s="28">
        <v>44939</v>
      </c>
      <c r="H17" t="s">
        <v>23</v>
      </c>
      <c r="I17" t="s">
        <v>24</v>
      </c>
      <c r="J17">
        <v>19884</v>
      </c>
      <c r="K17" s="28">
        <v>44879</v>
      </c>
      <c r="L17">
        <v>1010100</v>
      </c>
      <c r="M17" t="s">
        <v>29</v>
      </c>
      <c r="N17">
        <v>80</v>
      </c>
      <c r="O17" t="s">
        <v>164</v>
      </c>
      <c r="P17" t="s">
        <v>431</v>
      </c>
      <c r="Q17">
        <f t="shared" si="0"/>
        <v>1258</v>
      </c>
      <c r="R17" t="str">
        <f>_xlfn.XLOOKUP(P17,'Painel Additive'!$B:$B,'Painel Additive'!$B:$B,0)</f>
        <v>GRUPO MOSAIC FERTILIZANTES DO BRASIL</v>
      </c>
      <c r="S17">
        <f t="shared" si="1"/>
        <v>60</v>
      </c>
    </row>
    <row r="18" spans="1:19" x14ac:dyDescent="0.25">
      <c r="A18">
        <v>205</v>
      </c>
      <c r="B18" t="s">
        <v>35</v>
      </c>
      <c r="C18" t="s">
        <v>461</v>
      </c>
      <c r="D18" s="32">
        <v>81407</v>
      </c>
      <c r="E18">
        <v>1246279521</v>
      </c>
      <c r="F18" s="28">
        <v>46216</v>
      </c>
      <c r="H18" t="s">
        <v>23</v>
      </c>
      <c r="I18" t="s">
        <v>24</v>
      </c>
      <c r="J18">
        <v>11713</v>
      </c>
      <c r="K18" s="28">
        <v>46188</v>
      </c>
      <c r="L18">
        <v>1010100</v>
      </c>
      <c r="M18" t="s">
        <v>29</v>
      </c>
      <c r="N18">
        <v>161</v>
      </c>
      <c r="O18" t="s">
        <v>145</v>
      </c>
      <c r="P18" t="s">
        <v>489</v>
      </c>
      <c r="Q18">
        <f t="shared" si="0"/>
        <v>-19</v>
      </c>
      <c r="R18" t="str">
        <f>_xlfn.XLOOKUP(P18,'Painel Additive'!$B:$B,'Painel Additive'!$B:$B,0)</f>
        <v>GRUPO FERTIPAR FERTILIZANTES MATO GROSSO</v>
      </c>
      <c r="S18">
        <f t="shared" si="1"/>
        <v>28</v>
      </c>
    </row>
    <row r="19" spans="1:19" x14ac:dyDescent="0.25">
      <c r="A19">
        <v>205</v>
      </c>
      <c r="B19" t="s">
        <v>35</v>
      </c>
      <c r="C19" t="s">
        <v>461</v>
      </c>
      <c r="D19" s="32">
        <v>81026</v>
      </c>
      <c r="E19">
        <v>1246279653</v>
      </c>
      <c r="F19" s="28">
        <v>46217</v>
      </c>
      <c r="H19" t="s">
        <v>23</v>
      </c>
      <c r="I19" t="s">
        <v>24</v>
      </c>
      <c r="J19">
        <v>11721</v>
      </c>
      <c r="K19" s="28">
        <v>46189</v>
      </c>
      <c r="L19">
        <v>1010100</v>
      </c>
      <c r="M19" t="s">
        <v>29</v>
      </c>
      <c r="N19">
        <v>161</v>
      </c>
      <c r="O19" t="s">
        <v>145</v>
      </c>
      <c r="P19" t="s">
        <v>489</v>
      </c>
      <c r="Q19">
        <f t="shared" si="0"/>
        <v>-20</v>
      </c>
      <c r="R19" t="str">
        <f>_xlfn.XLOOKUP(P19,'Painel Additive'!$B:$B,'Painel Additive'!$B:$B,0)</f>
        <v>GRUPO FERTIPAR FERTILIZANTES MATO GROSSO</v>
      </c>
      <c r="S19">
        <f t="shared" si="1"/>
        <v>28</v>
      </c>
    </row>
    <row r="20" spans="1:19" x14ac:dyDescent="0.25">
      <c r="A20">
        <v>205</v>
      </c>
      <c r="B20" t="s">
        <v>35</v>
      </c>
      <c r="C20" t="s">
        <v>461</v>
      </c>
      <c r="D20" s="32">
        <v>81559.399999999994</v>
      </c>
      <c r="E20">
        <v>1246279229</v>
      </c>
      <c r="F20" s="28">
        <v>46212</v>
      </c>
      <c r="H20" t="s">
        <v>23</v>
      </c>
      <c r="I20" t="s">
        <v>24</v>
      </c>
      <c r="J20">
        <v>11684</v>
      </c>
      <c r="K20" s="28">
        <v>46184</v>
      </c>
      <c r="L20">
        <v>1010100</v>
      </c>
      <c r="M20" t="s">
        <v>29</v>
      </c>
      <c r="N20">
        <v>161</v>
      </c>
      <c r="O20" t="s">
        <v>145</v>
      </c>
      <c r="P20" t="s">
        <v>489</v>
      </c>
      <c r="Q20">
        <f t="shared" si="0"/>
        <v>-15</v>
      </c>
      <c r="R20" t="str">
        <f>_xlfn.XLOOKUP(P20,'Painel Additive'!$B:$B,'Painel Additive'!$B:$B,0)</f>
        <v>GRUPO FERTIPAR FERTILIZANTES MATO GROSSO</v>
      </c>
      <c r="S20">
        <f t="shared" si="1"/>
        <v>28</v>
      </c>
    </row>
    <row r="21" spans="1:19" x14ac:dyDescent="0.25">
      <c r="A21">
        <v>205</v>
      </c>
      <c r="B21" t="s">
        <v>35</v>
      </c>
      <c r="C21" t="s">
        <v>461</v>
      </c>
      <c r="D21" s="32">
        <v>81584.800000000003</v>
      </c>
      <c r="E21">
        <v>1246278693</v>
      </c>
      <c r="F21" s="28">
        <v>46210</v>
      </c>
      <c r="H21" t="s">
        <v>23</v>
      </c>
      <c r="I21" t="s">
        <v>24</v>
      </c>
      <c r="J21">
        <v>11654</v>
      </c>
      <c r="K21" s="28">
        <v>46182</v>
      </c>
      <c r="L21">
        <v>1010100</v>
      </c>
      <c r="M21" t="s">
        <v>29</v>
      </c>
      <c r="N21">
        <v>161</v>
      </c>
      <c r="O21" t="s">
        <v>145</v>
      </c>
      <c r="P21" t="s">
        <v>489</v>
      </c>
      <c r="Q21">
        <f t="shared" si="0"/>
        <v>-13</v>
      </c>
      <c r="R21" t="str">
        <f>_xlfn.XLOOKUP(P21,'Painel Additive'!$B:$B,'Painel Additive'!$B:$B,0)</f>
        <v>GRUPO FERTIPAR FERTILIZANTES MATO GROSSO</v>
      </c>
      <c r="S21">
        <f t="shared" si="1"/>
        <v>28</v>
      </c>
    </row>
    <row r="22" spans="1:19" x14ac:dyDescent="0.25">
      <c r="A22">
        <v>205</v>
      </c>
      <c r="B22" t="s">
        <v>35</v>
      </c>
      <c r="C22" t="s">
        <v>461</v>
      </c>
      <c r="D22" s="32">
        <v>81635.600000000006</v>
      </c>
      <c r="E22">
        <v>1246280561</v>
      </c>
      <c r="F22" s="28">
        <v>46224</v>
      </c>
      <c r="H22" t="s">
        <v>23</v>
      </c>
      <c r="I22" t="s">
        <v>24</v>
      </c>
      <c r="J22">
        <v>11794</v>
      </c>
      <c r="K22" s="28">
        <v>46196</v>
      </c>
      <c r="L22">
        <v>1010100</v>
      </c>
      <c r="M22" t="s">
        <v>29</v>
      </c>
      <c r="N22">
        <v>161</v>
      </c>
      <c r="O22" t="s">
        <v>145</v>
      </c>
      <c r="P22" t="s">
        <v>489</v>
      </c>
      <c r="Q22">
        <f t="shared" si="0"/>
        <v>-27</v>
      </c>
      <c r="R22" t="str">
        <f>_xlfn.XLOOKUP(P22,'Painel Additive'!$B:$B,'Painel Additive'!$B:$B,0)</f>
        <v>GRUPO FERTIPAR FERTILIZANTES MATO GROSSO</v>
      </c>
      <c r="S22">
        <f t="shared" si="1"/>
        <v>28</v>
      </c>
    </row>
    <row r="23" spans="1:19" x14ac:dyDescent="0.25">
      <c r="A23">
        <v>205</v>
      </c>
      <c r="B23" t="s">
        <v>35</v>
      </c>
      <c r="C23" t="s">
        <v>461</v>
      </c>
      <c r="D23" s="32">
        <v>81229.2</v>
      </c>
      <c r="E23">
        <v>1246281084</v>
      </c>
      <c r="F23" s="28">
        <v>46226</v>
      </c>
      <c r="H23" t="s">
        <v>23</v>
      </c>
      <c r="I23" t="s">
        <v>24</v>
      </c>
      <c r="J23">
        <v>11820</v>
      </c>
      <c r="K23" s="28">
        <v>46198</v>
      </c>
      <c r="L23">
        <v>1010100</v>
      </c>
      <c r="M23" t="s">
        <v>29</v>
      </c>
      <c r="N23">
        <v>161</v>
      </c>
      <c r="O23" t="s">
        <v>145</v>
      </c>
      <c r="P23" t="s">
        <v>489</v>
      </c>
      <c r="Q23">
        <f t="shared" si="0"/>
        <v>-29</v>
      </c>
      <c r="R23" t="str">
        <f>_xlfn.XLOOKUP(P23,'Painel Additive'!$B:$B,'Painel Additive'!$B:$B,0)</f>
        <v>GRUPO FERTIPAR FERTILIZANTES MATO GROSSO</v>
      </c>
      <c r="S23">
        <f t="shared" si="1"/>
        <v>28</v>
      </c>
    </row>
    <row r="24" spans="1:19" x14ac:dyDescent="0.25">
      <c r="A24">
        <v>205</v>
      </c>
      <c r="B24" t="s">
        <v>35</v>
      </c>
      <c r="C24" t="s">
        <v>461</v>
      </c>
      <c r="D24" s="32">
        <v>81661</v>
      </c>
      <c r="E24">
        <v>1246279022</v>
      </c>
      <c r="F24" s="28">
        <v>46211</v>
      </c>
      <c r="H24" t="s">
        <v>23</v>
      </c>
      <c r="I24" t="s">
        <v>24</v>
      </c>
      <c r="J24">
        <v>11669</v>
      </c>
      <c r="K24" s="28">
        <v>46183</v>
      </c>
      <c r="L24">
        <v>1010100</v>
      </c>
      <c r="M24" t="s">
        <v>29</v>
      </c>
      <c r="N24">
        <v>161</v>
      </c>
      <c r="O24" t="s">
        <v>145</v>
      </c>
      <c r="P24" t="s">
        <v>489</v>
      </c>
      <c r="Q24">
        <f t="shared" si="0"/>
        <v>-14</v>
      </c>
      <c r="R24" t="str">
        <f>_xlfn.XLOOKUP(P24,'Painel Additive'!$B:$B,'Painel Additive'!$B:$B,0)</f>
        <v>GRUPO FERTIPAR FERTILIZANTES MATO GROSSO</v>
      </c>
      <c r="S24">
        <f t="shared" si="1"/>
        <v>28</v>
      </c>
    </row>
    <row r="25" spans="1:19" x14ac:dyDescent="0.25">
      <c r="A25">
        <v>205</v>
      </c>
      <c r="B25" t="s">
        <v>35</v>
      </c>
      <c r="C25" t="s">
        <v>461</v>
      </c>
      <c r="D25" s="32">
        <v>41274.199999999997</v>
      </c>
      <c r="E25">
        <v>1246278602</v>
      </c>
      <c r="F25" s="28">
        <v>46209</v>
      </c>
      <c r="H25" t="s">
        <v>23</v>
      </c>
      <c r="I25" t="s">
        <v>24</v>
      </c>
      <c r="J25">
        <v>11644</v>
      </c>
      <c r="K25" s="28">
        <v>46181</v>
      </c>
      <c r="L25">
        <v>1010100</v>
      </c>
      <c r="M25" t="s">
        <v>29</v>
      </c>
      <c r="N25">
        <v>161</v>
      </c>
      <c r="O25" t="s">
        <v>145</v>
      </c>
      <c r="P25" t="s">
        <v>489</v>
      </c>
      <c r="Q25">
        <f t="shared" si="0"/>
        <v>-12</v>
      </c>
      <c r="R25" t="str">
        <f>_xlfn.XLOOKUP(P25,'Painel Additive'!$B:$B,'Painel Additive'!$B:$B,0)</f>
        <v>GRUPO FERTIPAR FERTILIZANTES MATO GROSSO</v>
      </c>
      <c r="S25">
        <f t="shared" si="1"/>
        <v>28</v>
      </c>
    </row>
    <row r="26" spans="1:19" x14ac:dyDescent="0.25">
      <c r="A26">
        <v>205</v>
      </c>
      <c r="B26" t="s">
        <v>35</v>
      </c>
      <c r="C26" t="s">
        <v>461</v>
      </c>
      <c r="D26" s="32">
        <v>40843.199999999997</v>
      </c>
      <c r="E26">
        <v>1246278565</v>
      </c>
      <c r="F26" s="28">
        <v>46209</v>
      </c>
      <c r="H26" t="s">
        <v>23</v>
      </c>
      <c r="I26" t="s">
        <v>24</v>
      </c>
      <c r="J26">
        <v>11640</v>
      </c>
      <c r="K26" s="28">
        <v>46181</v>
      </c>
      <c r="L26">
        <v>1010100</v>
      </c>
      <c r="M26" t="s">
        <v>29</v>
      </c>
      <c r="N26">
        <v>161</v>
      </c>
      <c r="O26" t="s">
        <v>145</v>
      </c>
      <c r="P26" t="s">
        <v>489</v>
      </c>
      <c r="Q26">
        <f t="shared" si="0"/>
        <v>-12</v>
      </c>
      <c r="R26" t="str">
        <f>_xlfn.XLOOKUP(P26,'Painel Additive'!$B:$B,'Painel Additive'!$B:$B,0)</f>
        <v>GRUPO FERTIPAR FERTILIZANTES MATO GROSSO</v>
      </c>
      <c r="S26">
        <f t="shared" si="1"/>
        <v>28</v>
      </c>
    </row>
    <row r="27" spans="1:19" x14ac:dyDescent="0.25">
      <c r="A27">
        <v>205</v>
      </c>
      <c r="B27" t="s">
        <v>35</v>
      </c>
      <c r="C27" t="s">
        <v>461</v>
      </c>
      <c r="D27" s="32">
        <v>81330.8</v>
      </c>
      <c r="E27">
        <v>1246280383</v>
      </c>
      <c r="F27" s="28">
        <v>46223</v>
      </c>
      <c r="H27" t="s">
        <v>23</v>
      </c>
      <c r="I27" t="s">
        <v>24</v>
      </c>
      <c r="J27">
        <v>11772</v>
      </c>
      <c r="K27" s="28">
        <v>46195</v>
      </c>
      <c r="L27">
        <v>1010100</v>
      </c>
      <c r="M27" t="s">
        <v>29</v>
      </c>
      <c r="N27">
        <v>161</v>
      </c>
      <c r="O27" t="s">
        <v>145</v>
      </c>
      <c r="P27" t="s">
        <v>489</v>
      </c>
      <c r="Q27">
        <f t="shared" si="0"/>
        <v>-26</v>
      </c>
      <c r="R27" t="str">
        <f>_xlfn.XLOOKUP(P27,'Painel Additive'!$B:$B,'Painel Additive'!$B:$B,0)</f>
        <v>GRUPO FERTIPAR FERTILIZANTES MATO GROSSO</v>
      </c>
      <c r="S27">
        <f t="shared" si="1"/>
        <v>28</v>
      </c>
    </row>
    <row r="28" spans="1:19" x14ac:dyDescent="0.25">
      <c r="A28">
        <v>27</v>
      </c>
      <c r="B28" t="s">
        <v>209</v>
      </c>
      <c r="C28" t="s">
        <v>15619</v>
      </c>
      <c r="D28" s="32">
        <v>403800</v>
      </c>
      <c r="E28">
        <v>1246280556</v>
      </c>
      <c r="F28" s="28">
        <v>46226</v>
      </c>
      <c r="H28" t="s">
        <v>23</v>
      </c>
      <c r="I28" t="s">
        <v>24</v>
      </c>
      <c r="J28">
        <v>3028</v>
      </c>
      <c r="K28" s="28">
        <v>46196</v>
      </c>
      <c r="L28">
        <v>1010100</v>
      </c>
      <c r="M28" t="s">
        <v>29</v>
      </c>
      <c r="N28">
        <v>161</v>
      </c>
      <c r="O28" t="s">
        <v>145</v>
      </c>
      <c r="P28" t="s">
        <v>448</v>
      </c>
      <c r="Q28">
        <f t="shared" si="0"/>
        <v>-29</v>
      </c>
      <c r="R28" t="str">
        <f>_xlfn.XLOOKUP(P28,'Painel Additive'!$B:$B,'Painel Additive'!$B:$B,0)</f>
        <v>GRUPO HERINGER</v>
      </c>
      <c r="S28">
        <f t="shared" si="1"/>
        <v>30</v>
      </c>
    </row>
    <row r="29" spans="1:19" x14ac:dyDescent="0.25">
      <c r="A29">
        <v>1953</v>
      </c>
      <c r="B29" t="s">
        <v>66</v>
      </c>
      <c r="C29" t="s">
        <v>736</v>
      </c>
      <c r="D29" s="32">
        <v>93906.5</v>
      </c>
      <c r="E29">
        <v>1246274539</v>
      </c>
      <c r="F29" s="28">
        <v>46214</v>
      </c>
      <c r="H29" t="s">
        <v>23</v>
      </c>
      <c r="I29" t="s">
        <v>24</v>
      </c>
      <c r="J29">
        <v>11359</v>
      </c>
      <c r="K29" s="28">
        <v>46154</v>
      </c>
      <c r="L29">
        <v>1010100</v>
      </c>
      <c r="M29" t="s">
        <v>29</v>
      </c>
      <c r="N29">
        <v>161</v>
      </c>
      <c r="O29" t="s">
        <v>145</v>
      </c>
      <c r="P29" t="s">
        <v>353</v>
      </c>
      <c r="Q29">
        <f t="shared" si="0"/>
        <v>-17</v>
      </c>
      <c r="R29" t="str">
        <f>_xlfn.XLOOKUP(P29,'Painel Additive'!$B:$B,'Painel Additive'!$B:$B,0)</f>
        <v>GRUPO AMAGGI</v>
      </c>
      <c r="S29">
        <f t="shared" si="1"/>
        <v>60</v>
      </c>
    </row>
    <row r="30" spans="1:19" x14ac:dyDescent="0.25">
      <c r="A30">
        <v>1953</v>
      </c>
      <c r="B30" t="s">
        <v>66</v>
      </c>
      <c r="C30" t="s">
        <v>736</v>
      </c>
      <c r="D30" s="32">
        <v>32896.199999999997</v>
      </c>
      <c r="E30">
        <v>1246280131</v>
      </c>
      <c r="F30" s="28">
        <v>46251</v>
      </c>
      <c r="H30" t="s">
        <v>23</v>
      </c>
      <c r="I30" t="s">
        <v>24</v>
      </c>
      <c r="J30">
        <v>11751</v>
      </c>
      <c r="K30" s="28">
        <v>46191</v>
      </c>
      <c r="L30">
        <v>1010100</v>
      </c>
      <c r="M30" t="s">
        <v>29</v>
      </c>
      <c r="N30">
        <v>161</v>
      </c>
      <c r="O30" t="s">
        <v>145</v>
      </c>
      <c r="P30" t="s">
        <v>353</v>
      </c>
      <c r="Q30">
        <f t="shared" si="0"/>
        <v>-54</v>
      </c>
      <c r="R30" t="str">
        <f>_xlfn.XLOOKUP(P30,'Painel Additive'!$B:$B,'Painel Additive'!$B:$B,0)</f>
        <v>GRUPO AMAGGI</v>
      </c>
      <c r="S30">
        <f t="shared" si="1"/>
        <v>60</v>
      </c>
    </row>
    <row r="31" spans="1:19" x14ac:dyDescent="0.25">
      <c r="A31">
        <v>1787</v>
      </c>
      <c r="B31" t="s">
        <v>57</v>
      </c>
      <c r="C31" t="s">
        <v>58</v>
      </c>
      <c r="D31" s="32">
        <v>109862.39999999999</v>
      </c>
      <c r="E31">
        <v>1246271310</v>
      </c>
      <c r="F31" s="28">
        <v>46216</v>
      </c>
      <c r="H31" t="s">
        <v>23</v>
      </c>
      <c r="I31" t="s">
        <v>24</v>
      </c>
      <c r="J31">
        <v>11116</v>
      </c>
      <c r="K31" s="28">
        <v>46126</v>
      </c>
      <c r="L31">
        <v>1010100</v>
      </c>
      <c r="M31" t="s">
        <v>29</v>
      </c>
      <c r="N31">
        <v>161</v>
      </c>
      <c r="O31" t="s">
        <v>145</v>
      </c>
      <c r="P31" t="s">
        <v>449</v>
      </c>
      <c r="Q31">
        <f t="shared" si="0"/>
        <v>-19</v>
      </c>
      <c r="R31" t="str">
        <f>_xlfn.XLOOKUP(P31,'Painel Additive'!$B:$B,'Painel Additive'!$B:$B,0)</f>
        <v>GRUPO MOSAIC FERTILIZANTES P K LTDA</v>
      </c>
      <c r="S31">
        <f t="shared" si="1"/>
        <v>90</v>
      </c>
    </row>
    <row r="32" spans="1:19" x14ac:dyDescent="0.25">
      <c r="A32">
        <v>1787</v>
      </c>
      <c r="B32" t="s">
        <v>57</v>
      </c>
      <c r="C32" t="s">
        <v>58</v>
      </c>
      <c r="D32" s="32">
        <v>122912.86</v>
      </c>
      <c r="E32">
        <v>1246279732</v>
      </c>
      <c r="F32" s="28">
        <v>46279</v>
      </c>
      <c r="H32" t="s">
        <v>23</v>
      </c>
      <c r="I32" t="s">
        <v>24</v>
      </c>
      <c r="J32">
        <v>11730</v>
      </c>
      <c r="K32" s="28">
        <v>46189</v>
      </c>
      <c r="L32">
        <v>1010100</v>
      </c>
      <c r="M32" t="s">
        <v>29</v>
      </c>
      <c r="N32">
        <v>161</v>
      </c>
      <c r="O32" t="s">
        <v>145</v>
      </c>
      <c r="P32" t="s">
        <v>449</v>
      </c>
      <c r="Q32">
        <f t="shared" si="0"/>
        <v>-82</v>
      </c>
      <c r="R32" t="str">
        <f>_xlfn.XLOOKUP(P32,'Painel Additive'!$B:$B,'Painel Additive'!$B:$B,0)</f>
        <v>GRUPO MOSAIC FERTILIZANTES P K LTDA</v>
      </c>
      <c r="S32">
        <f t="shared" si="1"/>
        <v>90</v>
      </c>
    </row>
    <row r="33" spans="1:19" x14ac:dyDescent="0.25">
      <c r="A33">
        <v>1787</v>
      </c>
      <c r="B33" t="s">
        <v>57</v>
      </c>
      <c r="C33" t="s">
        <v>58</v>
      </c>
      <c r="D33" s="32">
        <v>107623.19</v>
      </c>
      <c r="E33">
        <v>1246274937</v>
      </c>
      <c r="F33" s="28">
        <v>46245</v>
      </c>
      <c r="H33" t="s">
        <v>23</v>
      </c>
      <c r="I33" t="s">
        <v>24</v>
      </c>
      <c r="J33">
        <v>11387</v>
      </c>
      <c r="K33" s="28">
        <v>46155</v>
      </c>
      <c r="L33">
        <v>1010100</v>
      </c>
      <c r="M33" t="s">
        <v>29</v>
      </c>
      <c r="N33">
        <v>161</v>
      </c>
      <c r="O33" t="s">
        <v>145</v>
      </c>
      <c r="P33" t="s">
        <v>449</v>
      </c>
      <c r="Q33">
        <f t="shared" si="0"/>
        <v>-48</v>
      </c>
      <c r="R33" t="str">
        <f>_xlfn.XLOOKUP(P33,'Painel Additive'!$B:$B,'Painel Additive'!$B:$B,0)</f>
        <v>GRUPO MOSAIC FERTILIZANTES P K LTDA</v>
      </c>
      <c r="S33">
        <f t="shared" si="1"/>
        <v>90</v>
      </c>
    </row>
    <row r="34" spans="1:19" x14ac:dyDescent="0.25">
      <c r="A34">
        <v>1787</v>
      </c>
      <c r="B34" t="s">
        <v>57</v>
      </c>
      <c r="C34" t="s">
        <v>58</v>
      </c>
      <c r="D34" s="32">
        <v>109094.39999999999</v>
      </c>
      <c r="E34">
        <v>1246273355</v>
      </c>
      <c r="F34" s="28">
        <v>46236</v>
      </c>
      <c r="H34" t="s">
        <v>23</v>
      </c>
      <c r="I34" t="s">
        <v>24</v>
      </c>
      <c r="J34">
        <v>11279</v>
      </c>
      <c r="K34" s="28">
        <v>46146</v>
      </c>
      <c r="L34">
        <v>1010100</v>
      </c>
      <c r="M34" t="s">
        <v>29</v>
      </c>
      <c r="N34">
        <v>161</v>
      </c>
      <c r="O34" t="s">
        <v>145</v>
      </c>
      <c r="P34" t="s">
        <v>449</v>
      </c>
      <c r="Q34">
        <f t="shared" si="0"/>
        <v>-39</v>
      </c>
      <c r="R34" t="str">
        <f>_xlfn.XLOOKUP(P34,'Painel Additive'!$B:$B,'Painel Additive'!$B:$B,0)</f>
        <v>GRUPO MOSAIC FERTILIZANTES P K LTDA</v>
      </c>
      <c r="S34">
        <f t="shared" si="1"/>
        <v>90</v>
      </c>
    </row>
    <row r="35" spans="1:19" x14ac:dyDescent="0.25">
      <c r="A35">
        <v>1787</v>
      </c>
      <c r="B35" t="s">
        <v>57</v>
      </c>
      <c r="C35" t="s">
        <v>58</v>
      </c>
      <c r="D35" s="32">
        <v>115852.8</v>
      </c>
      <c r="E35">
        <v>1246270635</v>
      </c>
      <c r="F35" s="28">
        <v>46210</v>
      </c>
      <c r="H35" t="s">
        <v>23</v>
      </c>
      <c r="I35" t="s">
        <v>24</v>
      </c>
      <c r="J35">
        <v>11072</v>
      </c>
      <c r="K35" s="28">
        <v>46120</v>
      </c>
      <c r="L35">
        <v>1010100</v>
      </c>
      <c r="M35" t="s">
        <v>29</v>
      </c>
      <c r="N35">
        <v>161</v>
      </c>
      <c r="O35" t="s">
        <v>145</v>
      </c>
      <c r="P35" t="s">
        <v>449</v>
      </c>
      <c r="Q35">
        <f t="shared" si="0"/>
        <v>-13</v>
      </c>
      <c r="R35" t="str">
        <f>_xlfn.XLOOKUP(P35,'Painel Additive'!$B:$B,'Painel Additive'!$B:$B,0)</f>
        <v>GRUPO MOSAIC FERTILIZANTES P K LTDA</v>
      </c>
      <c r="S35">
        <f t="shared" si="1"/>
        <v>90</v>
      </c>
    </row>
    <row r="36" spans="1:19" x14ac:dyDescent="0.25">
      <c r="A36">
        <v>1787</v>
      </c>
      <c r="B36" t="s">
        <v>57</v>
      </c>
      <c r="C36" t="s">
        <v>58</v>
      </c>
      <c r="D36" s="32">
        <v>114739.2</v>
      </c>
      <c r="E36">
        <v>1246271165</v>
      </c>
      <c r="F36" s="28">
        <v>46215</v>
      </c>
      <c r="H36" t="s">
        <v>23</v>
      </c>
      <c r="I36" t="s">
        <v>24</v>
      </c>
      <c r="J36">
        <v>11105</v>
      </c>
      <c r="K36" s="28">
        <v>46125</v>
      </c>
      <c r="L36">
        <v>1010100</v>
      </c>
      <c r="M36" t="s">
        <v>29</v>
      </c>
      <c r="N36">
        <v>161</v>
      </c>
      <c r="O36" t="s">
        <v>145</v>
      </c>
      <c r="P36" t="s">
        <v>449</v>
      </c>
      <c r="Q36">
        <f t="shared" si="0"/>
        <v>-18</v>
      </c>
      <c r="R36" t="str">
        <f>_xlfn.XLOOKUP(P36,'Painel Additive'!$B:$B,'Painel Additive'!$B:$B,0)</f>
        <v>GRUPO MOSAIC FERTILIZANTES P K LTDA</v>
      </c>
      <c r="S36">
        <f t="shared" si="1"/>
        <v>90</v>
      </c>
    </row>
    <row r="37" spans="1:19" x14ac:dyDescent="0.25">
      <c r="A37">
        <v>1787</v>
      </c>
      <c r="B37" t="s">
        <v>57</v>
      </c>
      <c r="C37" t="s">
        <v>58</v>
      </c>
      <c r="D37" s="32">
        <v>118009.58</v>
      </c>
      <c r="E37">
        <v>1246276399</v>
      </c>
      <c r="F37" s="28">
        <v>46254</v>
      </c>
      <c r="H37" t="s">
        <v>23</v>
      </c>
      <c r="I37" t="s">
        <v>24</v>
      </c>
      <c r="J37">
        <v>11478</v>
      </c>
      <c r="K37" s="28">
        <v>46164</v>
      </c>
      <c r="L37">
        <v>1010100</v>
      </c>
      <c r="M37" t="s">
        <v>29</v>
      </c>
      <c r="N37">
        <v>161</v>
      </c>
      <c r="O37" t="s">
        <v>145</v>
      </c>
      <c r="P37" t="s">
        <v>449</v>
      </c>
      <c r="Q37">
        <f t="shared" si="0"/>
        <v>-57</v>
      </c>
      <c r="R37" t="str">
        <f>_xlfn.XLOOKUP(P37,'Painel Additive'!$B:$B,'Painel Additive'!$B:$B,0)</f>
        <v>GRUPO MOSAIC FERTILIZANTES P K LTDA</v>
      </c>
      <c r="S37">
        <f t="shared" si="1"/>
        <v>90</v>
      </c>
    </row>
    <row r="38" spans="1:19" x14ac:dyDescent="0.25">
      <c r="A38">
        <v>1787</v>
      </c>
      <c r="B38" t="s">
        <v>57</v>
      </c>
      <c r="C38" t="s">
        <v>58</v>
      </c>
      <c r="D38" s="32">
        <v>110917.38</v>
      </c>
      <c r="E38">
        <v>1246277840</v>
      </c>
      <c r="F38" s="28">
        <v>46265</v>
      </c>
      <c r="H38" t="s">
        <v>23</v>
      </c>
      <c r="I38" t="s">
        <v>24</v>
      </c>
      <c r="J38">
        <v>11580</v>
      </c>
      <c r="K38" s="28">
        <v>46175</v>
      </c>
      <c r="L38">
        <v>1010100</v>
      </c>
      <c r="M38" t="s">
        <v>29</v>
      </c>
      <c r="N38">
        <v>161</v>
      </c>
      <c r="O38" t="s">
        <v>145</v>
      </c>
      <c r="P38" t="s">
        <v>449</v>
      </c>
      <c r="Q38">
        <f t="shared" si="0"/>
        <v>-68</v>
      </c>
      <c r="R38" t="str">
        <f>_xlfn.XLOOKUP(P38,'Painel Additive'!$B:$B,'Painel Additive'!$B:$B,0)</f>
        <v>GRUPO MOSAIC FERTILIZANTES P K LTDA</v>
      </c>
      <c r="S38">
        <f t="shared" si="1"/>
        <v>90</v>
      </c>
    </row>
    <row r="39" spans="1:19" x14ac:dyDescent="0.25">
      <c r="A39">
        <v>1787</v>
      </c>
      <c r="B39" t="s">
        <v>57</v>
      </c>
      <c r="C39" t="s">
        <v>58</v>
      </c>
      <c r="D39" s="32">
        <v>125295.53</v>
      </c>
      <c r="E39">
        <v>1246278306</v>
      </c>
      <c r="F39" s="28">
        <v>46268</v>
      </c>
      <c r="H39" t="s">
        <v>23</v>
      </c>
      <c r="I39" t="s">
        <v>24</v>
      </c>
      <c r="J39">
        <v>11604</v>
      </c>
      <c r="K39" s="28">
        <v>46178</v>
      </c>
      <c r="L39">
        <v>1010100</v>
      </c>
      <c r="M39" t="s">
        <v>29</v>
      </c>
      <c r="N39">
        <v>161</v>
      </c>
      <c r="O39" t="s">
        <v>145</v>
      </c>
      <c r="P39" t="s">
        <v>449</v>
      </c>
      <c r="Q39">
        <f t="shared" si="0"/>
        <v>-71</v>
      </c>
      <c r="R39" t="str">
        <f>_xlfn.XLOOKUP(P39,'Painel Additive'!$B:$B,'Painel Additive'!$B:$B,0)</f>
        <v>GRUPO MOSAIC FERTILIZANTES P K LTDA</v>
      </c>
      <c r="S39">
        <f t="shared" si="1"/>
        <v>90</v>
      </c>
    </row>
    <row r="40" spans="1:19" x14ac:dyDescent="0.25">
      <c r="A40">
        <v>1787</v>
      </c>
      <c r="B40" t="s">
        <v>57</v>
      </c>
      <c r="C40" t="s">
        <v>58</v>
      </c>
      <c r="D40" s="32">
        <v>113356.8</v>
      </c>
      <c r="E40">
        <v>1246269731</v>
      </c>
      <c r="F40" s="28">
        <v>46202</v>
      </c>
      <c r="H40" t="s">
        <v>23</v>
      </c>
      <c r="I40" t="s">
        <v>24</v>
      </c>
      <c r="J40">
        <v>11014</v>
      </c>
      <c r="K40" s="28">
        <v>46112</v>
      </c>
      <c r="L40">
        <v>1010100</v>
      </c>
      <c r="M40" t="s">
        <v>29</v>
      </c>
      <c r="N40">
        <v>161</v>
      </c>
      <c r="O40" t="s">
        <v>145</v>
      </c>
      <c r="P40" t="s">
        <v>449</v>
      </c>
      <c r="Q40">
        <f t="shared" si="0"/>
        <v>-5</v>
      </c>
      <c r="R40" t="str">
        <f>_xlfn.XLOOKUP(P40,'Painel Additive'!$B:$B,'Painel Additive'!$B:$B,0)</f>
        <v>GRUPO MOSAIC FERTILIZANTES P K LTDA</v>
      </c>
      <c r="S40">
        <f t="shared" si="1"/>
        <v>90</v>
      </c>
    </row>
    <row r="41" spans="1:19" x14ac:dyDescent="0.25">
      <c r="A41">
        <v>1787</v>
      </c>
      <c r="B41" t="s">
        <v>57</v>
      </c>
      <c r="C41" t="s">
        <v>58</v>
      </c>
      <c r="D41" s="32">
        <v>110246.39999999999</v>
      </c>
      <c r="E41">
        <v>1246272757</v>
      </c>
      <c r="F41" s="28">
        <v>46229</v>
      </c>
      <c r="H41" t="s">
        <v>23</v>
      </c>
      <c r="I41" t="s">
        <v>24</v>
      </c>
      <c r="J41">
        <v>11229</v>
      </c>
      <c r="K41" s="28">
        <v>46139</v>
      </c>
      <c r="L41">
        <v>1010100</v>
      </c>
      <c r="M41" t="s">
        <v>29</v>
      </c>
      <c r="N41">
        <v>161</v>
      </c>
      <c r="O41" t="s">
        <v>145</v>
      </c>
      <c r="P41" t="s">
        <v>449</v>
      </c>
      <c r="Q41">
        <f t="shared" si="0"/>
        <v>-32</v>
      </c>
      <c r="R41" t="str">
        <f>_xlfn.XLOOKUP(P41,'Painel Additive'!$B:$B,'Painel Additive'!$B:$B,0)</f>
        <v>GRUPO MOSAIC FERTILIZANTES P K LTDA</v>
      </c>
      <c r="S41">
        <f t="shared" si="1"/>
        <v>90</v>
      </c>
    </row>
    <row r="42" spans="1:19" x14ac:dyDescent="0.25">
      <c r="A42">
        <v>1787</v>
      </c>
      <c r="B42" t="s">
        <v>57</v>
      </c>
      <c r="C42" t="s">
        <v>58</v>
      </c>
      <c r="D42" s="32">
        <v>122871.78</v>
      </c>
      <c r="E42">
        <v>1246278729</v>
      </c>
      <c r="F42" s="28">
        <v>46272</v>
      </c>
      <c r="H42" t="s">
        <v>23</v>
      </c>
      <c r="I42" t="s">
        <v>24</v>
      </c>
      <c r="J42">
        <v>11657</v>
      </c>
      <c r="K42" s="28">
        <v>46182</v>
      </c>
      <c r="L42">
        <v>1010100</v>
      </c>
      <c r="M42" t="s">
        <v>29</v>
      </c>
      <c r="N42">
        <v>161</v>
      </c>
      <c r="O42" t="s">
        <v>145</v>
      </c>
      <c r="P42" t="s">
        <v>449</v>
      </c>
      <c r="Q42">
        <f t="shared" si="0"/>
        <v>-75</v>
      </c>
      <c r="R42" t="str">
        <f>_xlfn.XLOOKUP(P42,'Painel Additive'!$B:$B,'Painel Additive'!$B:$B,0)</f>
        <v>GRUPO MOSAIC FERTILIZANTES P K LTDA</v>
      </c>
      <c r="S42">
        <f t="shared" si="1"/>
        <v>90</v>
      </c>
    </row>
    <row r="43" spans="1:19" x14ac:dyDescent="0.25">
      <c r="A43">
        <v>1787</v>
      </c>
      <c r="B43" t="s">
        <v>57</v>
      </c>
      <c r="C43" t="s">
        <v>58</v>
      </c>
      <c r="D43" s="32">
        <v>118009.58</v>
      </c>
      <c r="E43">
        <v>1246277175</v>
      </c>
      <c r="F43" s="28">
        <v>46259</v>
      </c>
      <c r="H43" t="s">
        <v>23</v>
      </c>
      <c r="I43" t="s">
        <v>24</v>
      </c>
      <c r="J43">
        <v>11526</v>
      </c>
      <c r="K43" s="28">
        <v>46169</v>
      </c>
      <c r="L43">
        <v>1010100</v>
      </c>
      <c r="M43" t="s">
        <v>29</v>
      </c>
      <c r="N43">
        <v>161</v>
      </c>
      <c r="O43" t="s">
        <v>145</v>
      </c>
      <c r="P43" t="s">
        <v>449</v>
      </c>
      <c r="Q43">
        <f t="shared" si="0"/>
        <v>-62</v>
      </c>
      <c r="R43" t="str">
        <f>_xlfn.XLOOKUP(P43,'Painel Additive'!$B:$B,'Painel Additive'!$B:$B,0)</f>
        <v>GRUPO MOSAIC FERTILIZANTES P K LTDA</v>
      </c>
      <c r="S43">
        <f t="shared" si="1"/>
        <v>90</v>
      </c>
    </row>
    <row r="44" spans="1:19" x14ac:dyDescent="0.25">
      <c r="A44">
        <v>1787</v>
      </c>
      <c r="B44" t="s">
        <v>57</v>
      </c>
      <c r="C44" t="s">
        <v>58</v>
      </c>
      <c r="D44" s="32">
        <v>115968</v>
      </c>
      <c r="E44">
        <v>1246270152</v>
      </c>
      <c r="F44" s="28">
        <v>46204</v>
      </c>
      <c r="H44" t="s">
        <v>23</v>
      </c>
      <c r="I44" t="s">
        <v>24</v>
      </c>
      <c r="J44">
        <v>11043</v>
      </c>
      <c r="K44" s="28">
        <v>46114</v>
      </c>
      <c r="L44">
        <v>1010100</v>
      </c>
      <c r="M44" t="s">
        <v>29</v>
      </c>
      <c r="N44">
        <v>161</v>
      </c>
      <c r="O44" t="s">
        <v>145</v>
      </c>
      <c r="P44" t="s">
        <v>449</v>
      </c>
      <c r="Q44">
        <f t="shared" si="0"/>
        <v>-7</v>
      </c>
      <c r="R44" t="str">
        <f>_xlfn.XLOOKUP(P44,'Painel Additive'!$B:$B,'Painel Additive'!$B:$B,0)</f>
        <v>GRUPO MOSAIC FERTILIZANTES P K LTDA</v>
      </c>
      <c r="S44">
        <f t="shared" si="1"/>
        <v>90</v>
      </c>
    </row>
    <row r="45" spans="1:19" x14ac:dyDescent="0.25">
      <c r="A45">
        <v>1787</v>
      </c>
      <c r="B45" t="s">
        <v>57</v>
      </c>
      <c r="C45" t="s">
        <v>58</v>
      </c>
      <c r="D45" s="32">
        <v>123529.06</v>
      </c>
      <c r="E45">
        <v>1246280417</v>
      </c>
      <c r="F45" s="28">
        <v>46285</v>
      </c>
      <c r="H45" t="s">
        <v>23</v>
      </c>
      <c r="I45" t="s">
        <v>24</v>
      </c>
      <c r="J45">
        <v>11777</v>
      </c>
      <c r="K45" s="28">
        <v>46195</v>
      </c>
      <c r="L45">
        <v>1010100</v>
      </c>
      <c r="M45" t="s">
        <v>29</v>
      </c>
      <c r="N45">
        <v>161</v>
      </c>
      <c r="O45" t="s">
        <v>145</v>
      </c>
      <c r="P45" t="s">
        <v>449</v>
      </c>
      <c r="Q45">
        <f t="shared" si="0"/>
        <v>-88</v>
      </c>
      <c r="R45" t="str">
        <f>_xlfn.XLOOKUP(P45,'Painel Additive'!$B:$B,'Painel Additive'!$B:$B,0)</f>
        <v>GRUPO MOSAIC FERTILIZANTES P K LTDA</v>
      </c>
      <c r="S45">
        <f t="shared" si="1"/>
        <v>90</v>
      </c>
    </row>
    <row r="46" spans="1:19" x14ac:dyDescent="0.25">
      <c r="A46">
        <v>1787</v>
      </c>
      <c r="B46" t="s">
        <v>57</v>
      </c>
      <c r="C46" t="s">
        <v>58</v>
      </c>
      <c r="D46" s="32">
        <v>116889.60000000001</v>
      </c>
      <c r="E46">
        <v>1246271830</v>
      </c>
      <c r="F46" s="28">
        <v>46222</v>
      </c>
      <c r="H46" t="s">
        <v>23</v>
      </c>
      <c r="I46" t="s">
        <v>24</v>
      </c>
      <c r="J46">
        <v>11172</v>
      </c>
      <c r="K46" s="28">
        <v>46132</v>
      </c>
      <c r="L46">
        <v>1010100</v>
      </c>
      <c r="M46" t="s">
        <v>29</v>
      </c>
      <c r="N46">
        <v>161</v>
      </c>
      <c r="O46" t="s">
        <v>145</v>
      </c>
      <c r="P46" t="s">
        <v>449</v>
      </c>
      <c r="Q46">
        <f t="shared" si="0"/>
        <v>-25</v>
      </c>
      <c r="R46" t="str">
        <f>_xlfn.XLOOKUP(P46,'Painel Additive'!$B:$B,'Painel Additive'!$B:$B,0)</f>
        <v>GRUPO MOSAIC FERTILIZANTES P K LTDA</v>
      </c>
      <c r="S46">
        <f t="shared" si="1"/>
        <v>90</v>
      </c>
    </row>
    <row r="47" spans="1:19" x14ac:dyDescent="0.25">
      <c r="A47">
        <v>1787</v>
      </c>
      <c r="B47" t="s">
        <v>57</v>
      </c>
      <c r="C47" t="s">
        <v>58</v>
      </c>
      <c r="D47" s="32">
        <v>114676.64</v>
      </c>
      <c r="E47">
        <v>1246277004</v>
      </c>
      <c r="F47" s="28">
        <v>46258</v>
      </c>
      <c r="H47" t="s">
        <v>23</v>
      </c>
      <c r="I47" t="s">
        <v>24</v>
      </c>
      <c r="J47">
        <v>11512</v>
      </c>
      <c r="K47" s="28">
        <v>46168</v>
      </c>
      <c r="L47">
        <v>1010100</v>
      </c>
      <c r="M47" t="s">
        <v>29</v>
      </c>
      <c r="N47">
        <v>161</v>
      </c>
      <c r="O47" t="s">
        <v>145</v>
      </c>
      <c r="P47" t="s">
        <v>449</v>
      </c>
      <c r="Q47">
        <f t="shared" si="0"/>
        <v>-61</v>
      </c>
      <c r="R47" t="str">
        <f>_xlfn.XLOOKUP(P47,'Painel Additive'!$B:$B,'Painel Additive'!$B:$B,0)</f>
        <v>GRUPO MOSAIC FERTILIZANTES P K LTDA</v>
      </c>
      <c r="S47">
        <f t="shared" si="1"/>
        <v>90</v>
      </c>
    </row>
    <row r="48" spans="1:19" x14ac:dyDescent="0.25">
      <c r="A48">
        <v>1787</v>
      </c>
      <c r="B48" t="s">
        <v>57</v>
      </c>
      <c r="C48" t="s">
        <v>58</v>
      </c>
      <c r="D48" s="32">
        <v>109444.68</v>
      </c>
      <c r="E48">
        <v>1246275965</v>
      </c>
      <c r="F48" s="28">
        <v>46252</v>
      </c>
      <c r="H48" t="s">
        <v>23</v>
      </c>
      <c r="I48" t="s">
        <v>24</v>
      </c>
      <c r="J48">
        <v>11453</v>
      </c>
      <c r="K48" s="28">
        <v>46162</v>
      </c>
      <c r="L48">
        <v>1010100</v>
      </c>
      <c r="M48" t="s">
        <v>29</v>
      </c>
      <c r="N48">
        <v>161</v>
      </c>
      <c r="O48" t="s">
        <v>145</v>
      </c>
      <c r="P48" t="s">
        <v>449</v>
      </c>
      <c r="Q48">
        <f t="shared" si="0"/>
        <v>-55</v>
      </c>
      <c r="R48" t="str">
        <f>_xlfn.XLOOKUP(P48,'Painel Additive'!$B:$B,'Painel Additive'!$B:$B,0)</f>
        <v>GRUPO MOSAIC FERTILIZANTES P K LTDA</v>
      </c>
      <c r="S48">
        <f t="shared" si="1"/>
        <v>90</v>
      </c>
    </row>
    <row r="49" spans="1:19" x14ac:dyDescent="0.25">
      <c r="A49">
        <v>1787</v>
      </c>
      <c r="B49" t="s">
        <v>57</v>
      </c>
      <c r="C49" t="s">
        <v>58</v>
      </c>
      <c r="D49" s="32">
        <v>86385.46</v>
      </c>
      <c r="E49">
        <v>1246275507</v>
      </c>
      <c r="F49" s="28">
        <v>46247</v>
      </c>
      <c r="H49" t="s">
        <v>23</v>
      </c>
      <c r="I49" t="s">
        <v>24</v>
      </c>
      <c r="J49">
        <v>11416</v>
      </c>
      <c r="K49" s="28">
        <v>46157</v>
      </c>
      <c r="L49">
        <v>1010100</v>
      </c>
      <c r="M49" t="s">
        <v>29</v>
      </c>
      <c r="N49">
        <v>161</v>
      </c>
      <c r="O49" t="s">
        <v>145</v>
      </c>
      <c r="P49" t="s">
        <v>449</v>
      </c>
      <c r="Q49">
        <f t="shared" si="0"/>
        <v>-50</v>
      </c>
      <c r="R49" t="str">
        <f>_xlfn.XLOOKUP(P49,'Painel Additive'!$B:$B,'Painel Additive'!$B:$B,0)</f>
        <v>GRUPO MOSAIC FERTILIZANTES P K LTDA</v>
      </c>
      <c r="S49">
        <f t="shared" si="1"/>
        <v>90</v>
      </c>
    </row>
    <row r="50" spans="1:19" x14ac:dyDescent="0.25">
      <c r="A50">
        <v>1787</v>
      </c>
      <c r="B50" t="s">
        <v>57</v>
      </c>
      <c r="C50" t="s">
        <v>58</v>
      </c>
      <c r="D50" s="32">
        <v>116889.60000000001</v>
      </c>
      <c r="E50">
        <v>1246271678</v>
      </c>
      <c r="F50" s="28">
        <v>46219</v>
      </c>
      <c r="H50" t="s">
        <v>23</v>
      </c>
      <c r="I50" t="s">
        <v>24</v>
      </c>
      <c r="J50">
        <v>11157</v>
      </c>
      <c r="K50" s="28">
        <v>46129</v>
      </c>
      <c r="L50">
        <v>1010100</v>
      </c>
      <c r="M50" t="s">
        <v>29</v>
      </c>
      <c r="N50">
        <v>161</v>
      </c>
      <c r="O50" t="s">
        <v>145</v>
      </c>
      <c r="P50" t="s">
        <v>449</v>
      </c>
      <c r="Q50">
        <f t="shared" si="0"/>
        <v>-22</v>
      </c>
      <c r="R50" t="str">
        <f>_xlfn.XLOOKUP(P50,'Painel Additive'!$B:$B,'Painel Additive'!$B:$B,0)</f>
        <v>GRUPO MOSAIC FERTILIZANTES P K LTDA</v>
      </c>
      <c r="S50">
        <f t="shared" si="1"/>
        <v>90</v>
      </c>
    </row>
    <row r="51" spans="1:19" x14ac:dyDescent="0.25">
      <c r="A51">
        <v>1787</v>
      </c>
      <c r="B51" t="s">
        <v>57</v>
      </c>
      <c r="C51" t="s">
        <v>58</v>
      </c>
      <c r="D51" s="32">
        <v>118707.18</v>
      </c>
      <c r="E51">
        <v>1246276536</v>
      </c>
      <c r="F51" s="28">
        <v>46257</v>
      </c>
      <c r="H51" t="s">
        <v>23</v>
      </c>
      <c r="I51" t="s">
        <v>24</v>
      </c>
      <c r="J51">
        <v>11489</v>
      </c>
      <c r="K51" s="28">
        <v>46167</v>
      </c>
      <c r="L51">
        <v>1010100</v>
      </c>
      <c r="M51" t="s">
        <v>29</v>
      </c>
      <c r="N51">
        <v>161</v>
      </c>
      <c r="O51" t="s">
        <v>145</v>
      </c>
      <c r="P51" t="s">
        <v>449</v>
      </c>
      <c r="Q51">
        <f t="shared" si="0"/>
        <v>-60</v>
      </c>
      <c r="R51" t="str">
        <f>_xlfn.XLOOKUP(P51,'Painel Additive'!$B:$B,'Painel Additive'!$B:$B,0)</f>
        <v>GRUPO MOSAIC FERTILIZANTES P K LTDA</v>
      </c>
      <c r="S51">
        <f t="shared" si="1"/>
        <v>90</v>
      </c>
    </row>
    <row r="52" spans="1:19" x14ac:dyDescent="0.25">
      <c r="A52">
        <v>1787</v>
      </c>
      <c r="B52" t="s">
        <v>57</v>
      </c>
      <c r="C52" t="s">
        <v>58</v>
      </c>
      <c r="D52" s="32">
        <v>122748.53</v>
      </c>
      <c r="E52">
        <v>1246281211</v>
      </c>
      <c r="F52" s="28">
        <v>46288</v>
      </c>
      <c r="H52" t="s">
        <v>23</v>
      </c>
      <c r="I52" t="s">
        <v>24</v>
      </c>
      <c r="J52">
        <v>11823</v>
      </c>
      <c r="K52" s="28">
        <v>46198</v>
      </c>
      <c r="L52">
        <v>1010100</v>
      </c>
      <c r="M52" t="s">
        <v>29</v>
      </c>
      <c r="N52">
        <v>161</v>
      </c>
      <c r="O52" t="s">
        <v>145</v>
      </c>
      <c r="P52" t="s">
        <v>449</v>
      </c>
      <c r="Q52">
        <f t="shared" si="0"/>
        <v>-91</v>
      </c>
      <c r="R52" t="str">
        <f>_xlfn.XLOOKUP(P52,'Painel Additive'!$B:$B,'Painel Additive'!$B:$B,0)</f>
        <v>GRUPO MOSAIC FERTILIZANTES P K LTDA</v>
      </c>
      <c r="S52">
        <f t="shared" si="1"/>
        <v>90</v>
      </c>
    </row>
    <row r="53" spans="1:19" x14ac:dyDescent="0.25">
      <c r="A53">
        <v>1787</v>
      </c>
      <c r="B53" t="s">
        <v>57</v>
      </c>
      <c r="C53" t="s">
        <v>58</v>
      </c>
      <c r="D53" s="32">
        <v>110131.2</v>
      </c>
      <c r="E53">
        <v>1246272134</v>
      </c>
      <c r="F53" s="28">
        <v>46224</v>
      </c>
      <c r="H53" t="s">
        <v>23</v>
      </c>
      <c r="I53" t="s">
        <v>24</v>
      </c>
      <c r="J53">
        <v>11192</v>
      </c>
      <c r="K53" s="28">
        <v>46134</v>
      </c>
      <c r="L53">
        <v>1010100</v>
      </c>
      <c r="M53" t="s">
        <v>29</v>
      </c>
      <c r="N53">
        <v>161</v>
      </c>
      <c r="O53" t="s">
        <v>145</v>
      </c>
      <c r="P53" t="s">
        <v>449</v>
      </c>
      <c r="Q53">
        <f t="shared" si="0"/>
        <v>-27</v>
      </c>
      <c r="R53" t="str">
        <f>_xlfn.XLOOKUP(P53,'Painel Additive'!$B:$B,'Painel Additive'!$B:$B,0)</f>
        <v>GRUPO MOSAIC FERTILIZANTES P K LTDA</v>
      </c>
      <c r="S53">
        <f t="shared" si="1"/>
        <v>90</v>
      </c>
    </row>
    <row r="54" spans="1:19" x14ac:dyDescent="0.25">
      <c r="A54">
        <v>1787</v>
      </c>
      <c r="B54" t="s">
        <v>57</v>
      </c>
      <c r="C54" t="s">
        <v>58</v>
      </c>
      <c r="D54" s="32">
        <v>112358.39999999999</v>
      </c>
      <c r="E54">
        <v>1246272202</v>
      </c>
      <c r="F54" s="28">
        <v>46225</v>
      </c>
      <c r="H54" t="s">
        <v>23</v>
      </c>
      <c r="I54" t="s">
        <v>24</v>
      </c>
      <c r="J54">
        <v>11197</v>
      </c>
      <c r="K54" s="28">
        <v>46135</v>
      </c>
      <c r="L54">
        <v>1010100</v>
      </c>
      <c r="M54" t="s">
        <v>29</v>
      </c>
      <c r="N54">
        <v>161</v>
      </c>
      <c r="O54" t="s">
        <v>145</v>
      </c>
      <c r="P54" t="s">
        <v>449</v>
      </c>
      <c r="Q54">
        <f t="shared" si="0"/>
        <v>-28</v>
      </c>
      <c r="R54" t="str">
        <f>_xlfn.XLOOKUP(P54,'Painel Additive'!$B:$B,'Painel Additive'!$B:$B,0)</f>
        <v>GRUPO MOSAIC FERTILIZANTES P K LTDA</v>
      </c>
      <c r="S54">
        <f t="shared" si="1"/>
        <v>90</v>
      </c>
    </row>
    <row r="55" spans="1:19" x14ac:dyDescent="0.25">
      <c r="A55">
        <v>1787</v>
      </c>
      <c r="B55" t="s">
        <v>57</v>
      </c>
      <c r="C55" t="s">
        <v>58</v>
      </c>
      <c r="D55" s="32">
        <v>110592</v>
      </c>
      <c r="E55">
        <v>1246269420</v>
      </c>
      <c r="F55" s="28">
        <v>46198</v>
      </c>
      <c r="H55" t="s">
        <v>23</v>
      </c>
      <c r="I55" t="s">
        <v>24</v>
      </c>
      <c r="J55">
        <v>10989</v>
      </c>
      <c r="K55" s="28">
        <v>46108</v>
      </c>
      <c r="L55">
        <v>1010100</v>
      </c>
      <c r="M55" t="s">
        <v>29</v>
      </c>
      <c r="N55">
        <v>161</v>
      </c>
      <c r="O55" t="s">
        <v>145</v>
      </c>
      <c r="P55" t="s">
        <v>449</v>
      </c>
      <c r="Q55">
        <f t="shared" si="0"/>
        <v>-1</v>
      </c>
      <c r="R55" t="str">
        <f>_xlfn.XLOOKUP(P55,'Painel Additive'!$B:$B,'Painel Additive'!$B:$B,0)</f>
        <v>GRUPO MOSAIC FERTILIZANTES P K LTDA</v>
      </c>
      <c r="S55">
        <f t="shared" si="1"/>
        <v>90</v>
      </c>
    </row>
    <row r="56" spans="1:19" x14ac:dyDescent="0.25">
      <c r="A56">
        <v>1787</v>
      </c>
      <c r="B56" t="s">
        <v>57</v>
      </c>
      <c r="C56" t="s">
        <v>58</v>
      </c>
      <c r="D56" s="32">
        <v>122419.88999999998</v>
      </c>
      <c r="E56">
        <v>1246279330</v>
      </c>
      <c r="F56" s="28">
        <v>46275</v>
      </c>
      <c r="H56" t="s">
        <v>23</v>
      </c>
      <c r="I56" t="s">
        <v>24</v>
      </c>
      <c r="J56">
        <v>11689</v>
      </c>
      <c r="K56" s="28">
        <v>46185</v>
      </c>
      <c r="L56">
        <v>1010100</v>
      </c>
      <c r="M56" t="s">
        <v>29</v>
      </c>
      <c r="N56">
        <v>161</v>
      </c>
      <c r="O56" t="s">
        <v>145</v>
      </c>
      <c r="P56" t="s">
        <v>449</v>
      </c>
      <c r="Q56">
        <f t="shared" si="0"/>
        <v>-78</v>
      </c>
      <c r="R56" t="str">
        <f>_xlfn.XLOOKUP(P56,'Painel Additive'!$B:$B,'Painel Additive'!$B:$B,0)</f>
        <v>GRUPO MOSAIC FERTILIZANTES P K LTDA</v>
      </c>
      <c r="S56">
        <f t="shared" si="1"/>
        <v>90</v>
      </c>
    </row>
    <row r="57" spans="1:19" x14ac:dyDescent="0.25">
      <c r="A57">
        <v>1787</v>
      </c>
      <c r="B57" t="s">
        <v>57</v>
      </c>
      <c r="C57" t="s">
        <v>58</v>
      </c>
      <c r="D57" s="32">
        <v>111552</v>
      </c>
      <c r="E57">
        <v>1246269890</v>
      </c>
      <c r="F57" s="28">
        <v>46203</v>
      </c>
      <c r="H57" t="s">
        <v>23</v>
      </c>
      <c r="I57" t="s">
        <v>24</v>
      </c>
      <c r="J57">
        <v>11025</v>
      </c>
      <c r="K57" s="28">
        <v>46113</v>
      </c>
      <c r="L57">
        <v>1010100</v>
      </c>
      <c r="M57" t="s">
        <v>29</v>
      </c>
      <c r="N57">
        <v>161</v>
      </c>
      <c r="O57" t="s">
        <v>145</v>
      </c>
      <c r="P57" t="s">
        <v>449</v>
      </c>
      <c r="Q57">
        <f t="shared" si="0"/>
        <v>-6</v>
      </c>
      <c r="R57" t="str">
        <f>_xlfn.XLOOKUP(P57,'Painel Additive'!$B:$B,'Painel Additive'!$B:$B,0)</f>
        <v>GRUPO MOSAIC FERTILIZANTES P K LTDA</v>
      </c>
      <c r="S57">
        <f t="shared" si="1"/>
        <v>90</v>
      </c>
    </row>
    <row r="58" spans="1:19" x14ac:dyDescent="0.25">
      <c r="A58">
        <v>1787</v>
      </c>
      <c r="B58" t="s">
        <v>57</v>
      </c>
      <c r="C58" t="s">
        <v>58</v>
      </c>
      <c r="D58" s="32">
        <v>112204.8</v>
      </c>
      <c r="E58">
        <v>1246269591</v>
      </c>
      <c r="F58" s="28">
        <v>46201</v>
      </c>
      <c r="H58" t="s">
        <v>23</v>
      </c>
      <c r="I58" t="s">
        <v>24</v>
      </c>
      <c r="J58">
        <v>11002</v>
      </c>
      <c r="K58" s="28">
        <v>46111</v>
      </c>
      <c r="L58">
        <v>1010100</v>
      </c>
      <c r="M58" t="s">
        <v>29</v>
      </c>
      <c r="N58">
        <v>161</v>
      </c>
      <c r="O58" t="s">
        <v>145</v>
      </c>
      <c r="P58" t="s">
        <v>449</v>
      </c>
      <c r="Q58">
        <f t="shared" si="0"/>
        <v>-4</v>
      </c>
      <c r="R58" t="str">
        <f>_xlfn.XLOOKUP(P58,'Painel Additive'!$B:$B,'Painel Additive'!$B:$B,0)</f>
        <v>GRUPO MOSAIC FERTILIZANTES P K LTDA</v>
      </c>
      <c r="S58">
        <f t="shared" si="1"/>
        <v>90</v>
      </c>
    </row>
    <row r="59" spans="1:19" x14ac:dyDescent="0.25">
      <c r="A59">
        <v>1787</v>
      </c>
      <c r="B59" t="s">
        <v>57</v>
      </c>
      <c r="C59" t="s">
        <v>58</v>
      </c>
      <c r="D59" s="32">
        <v>116121.60000000001</v>
      </c>
      <c r="E59">
        <v>1246270879</v>
      </c>
      <c r="F59" s="28">
        <v>46211</v>
      </c>
      <c r="H59" t="s">
        <v>23</v>
      </c>
      <c r="I59" t="s">
        <v>24</v>
      </c>
      <c r="J59">
        <v>11080</v>
      </c>
      <c r="K59" s="28">
        <v>46121</v>
      </c>
      <c r="L59">
        <v>1010100</v>
      </c>
      <c r="M59" t="s">
        <v>29</v>
      </c>
      <c r="N59">
        <v>161</v>
      </c>
      <c r="O59" t="s">
        <v>145</v>
      </c>
      <c r="P59" t="s">
        <v>449</v>
      </c>
      <c r="Q59">
        <f t="shared" si="0"/>
        <v>-14</v>
      </c>
      <c r="R59" t="str">
        <f>_xlfn.XLOOKUP(P59,'Painel Additive'!$B:$B,'Painel Additive'!$B:$B,0)</f>
        <v>GRUPO MOSAIC FERTILIZANTES P K LTDA</v>
      </c>
      <c r="S59">
        <f t="shared" si="1"/>
        <v>90</v>
      </c>
    </row>
    <row r="60" spans="1:19" x14ac:dyDescent="0.25">
      <c r="A60">
        <v>1787</v>
      </c>
      <c r="B60" t="s">
        <v>57</v>
      </c>
      <c r="C60" t="s">
        <v>58</v>
      </c>
      <c r="D60" s="32">
        <v>109250.91</v>
      </c>
      <c r="E60">
        <v>1246277425</v>
      </c>
      <c r="F60" s="28">
        <v>46261</v>
      </c>
      <c r="H60" t="s">
        <v>23</v>
      </c>
      <c r="I60" t="s">
        <v>24</v>
      </c>
      <c r="J60">
        <v>11555</v>
      </c>
      <c r="K60" s="28">
        <v>46171</v>
      </c>
      <c r="L60">
        <v>1010100</v>
      </c>
      <c r="M60" t="s">
        <v>29</v>
      </c>
      <c r="N60">
        <v>161</v>
      </c>
      <c r="O60" t="s">
        <v>145</v>
      </c>
      <c r="P60" t="s">
        <v>449</v>
      </c>
      <c r="Q60">
        <f t="shared" si="0"/>
        <v>-64</v>
      </c>
      <c r="R60" t="str">
        <f>_xlfn.XLOOKUP(P60,'Painel Additive'!$B:$B,'Painel Additive'!$B:$B,0)</f>
        <v>GRUPO MOSAIC FERTILIZANTES P K LTDA</v>
      </c>
      <c r="S60">
        <f t="shared" si="1"/>
        <v>90</v>
      </c>
    </row>
    <row r="61" spans="1:19" x14ac:dyDescent="0.25">
      <c r="A61">
        <v>1788</v>
      </c>
      <c r="B61" t="s">
        <v>59</v>
      </c>
      <c r="C61" t="s">
        <v>60</v>
      </c>
      <c r="D61" s="32">
        <v>124227.43</v>
      </c>
      <c r="E61">
        <v>1246280252</v>
      </c>
      <c r="F61" s="28">
        <v>46282</v>
      </c>
      <c r="H61" t="s">
        <v>23</v>
      </c>
      <c r="I61" t="s">
        <v>24</v>
      </c>
      <c r="J61">
        <v>11765</v>
      </c>
      <c r="K61" s="28">
        <v>46192</v>
      </c>
      <c r="L61">
        <v>1010100</v>
      </c>
      <c r="M61" t="s">
        <v>29</v>
      </c>
      <c r="N61">
        <v>161</v>
      </c>
      <c r="O61" t="s">
        <v>145</v>
      </c>
      <c r="P61" t="s">
        <v>449</v>
      </c>
      <c r="Q61">
        <f t="shared" si="0"/>
        <v>-85</v>
      </c>
      <c r="R61" t="str">
        <f>_xlfn.XLOOKUP(P61,'Painel Additive'!$B:$B,'Painel Additive'!$B:$B,0)</f>
        <v>GRUPO MOSAIC FERTILIZANTES P K LTDA</v>
      </c>
      <c r="S61">
        <f t="shared" si="1"/>
        <v>90</v>
      </c>
    </row>
    <row r="62" spans="1:19" x14ac:dyDescent="0.25">
      <c r="A62">
        <v>1788</v>
      </c>
      <c r="B62" t="s">
        <v>59</v>
      </c>
      <c r="C62" t="s">
        <v>60</v>
      </c>
      <c r="D62" s="32">
        <v>115839.29</v>
      </c>
      <c r="E62">
        <v>1246275638</v>
      </c>
      <c r="F62" s="28">
        <v>46250</v>
      </c>
      <c r="H62" t="s">
        <v>23</v>
      </c>
      <c r="I62" t="s">
        <v>24</v>
      </c>
      <c r="J62">
        <v>11428</v>
      </c>
      <c r="K62" s="28">
        <v>46160</v>
      </c>
      <c r="L62">
        <v>1010100</v>
      </c>
      <c r="M62" t="s">
        <v>29</v>
      </c>
      <c r="N62">
        <v>161</v>
      </c>
      <c r="O62" t="s">
        <v>145</v>
      </c>
      <c r="P62" t="s">
        <v>449</v>
      </c>
      <c r="Q62">
        <f t="shared" si="0"/>
        <v>-53</v>
      </c>
      <c r="R62" t="str">
        <f>_xlfn.XLOOKUP(P62,'Painel Additive'!$B:$B,'Painel Additive'!$B:$B,0)</f>
        <v>GRUPO MOSAIC FERTILIZANTES P K LTDA</v>
      </c>
      <c r="S62">
        <f t="shared" si="1"/>
        <v>90</v>
      </c>
    </row>
    <row r="63" spans="1:19" x14ac:dyDescent="0.25">
      <c r="A63">
        <v>1788</v>
      </c>
      <c r="B63" t="s">
        <v>59</v>
      </c>
      <c r="C63" t="s">
        <v>60</v>
      </c>
      <c r="D63" s="32">
        <v>117120</v>
      </c>
      <c r="E63">
        <v>1246270425</v>
      </c>
      <c r="F63" s="28">
        <v>46208</v>
      </c>
      <c r="H63" t="s">
        <v>23</v>
      </c>
      <c r="I63" t="s">
        <v>24</v>
      </c>
      <c r="J63">
        <v>11060</v>
      </c>
      <c r="K63" s="28">
        <v>46118</v>
      </c>
      <c r="L63">
        <v>1010100</v>
      </c>
      <c r="M63" t="s">
        <v>29</v>
      </c>
      <c r="N63">
        <v>161</v>
      </c>
      <c r="O63" t="s">
        <v>145</v>
      </c>
      <c r="P63" t="s">
        <v>449</v>
      </c>
      <c r="Q63">
        <f t="shared" si="0"/>
        <v>-11</v>
      </c>
      <c r="R63" t="str">
        <f>_xlfn.XLOOKUP(P63,'Painel Additive'!$B:$B,'Painel Additive'!$B:$B,0)</f>
        <v>GRUPO MOSAIC FERTILIZANTES P K LTDA</v>
      </c>
      <c r="S63">
        <f t="shared" si="1"/>
        <v>90</v>
      </c>
    </row>
    <row r="64" spans="1:19" x14ac:dyDescent="0.25">
      <c r="A64">
        <v>1789</v>
      </c>
      <c r="B64" t="s">
        <v>61</v>
      </c>
      <c r="C64" t="s">
        <v>62</v>
      </c>
      <c r="D64" s="32">
        <v>115507.2</v>
      </c>
      <c r="E64">
        <v>1246269759</v>
      </c>
      <c r="F64" s="28">
        <v>46202</v>
      </c>
      <c r="H64" t="s">
        <v>23</v>
      </c>
      <c r="I64" t="s">
        <v>24</v>
      </c>
      <c r="J64">
        <v>11017</v>
      </c>
      <c r="K64" s="28">
        <v>46112</v>
      </c>
      <c r="L64">
        <v>1010100</v>
      </c>
      <c r="M64" t="s">
        <v>29</v>
      </c>
      <c r="N64">
        <v>161</v>
      </c>
      <c r="O64" t="s">
        <v>145</v>
      </c>
      <c r="P64" t="s">
        <v>449</v>
      </c>
      <c r="Q64">
        <f t="shared" si="0"/>
        <v>-5</v>
      </c>
      <c r="R64" t="str">
        <f>_xlfn.XLOOKUP(P64,'Painel Additive'!$B:$B,'Painel Additive'!$B:$B,0)</f>
        <v>GRUPO MOSAIC FERTILIZANTES P K LTDA</v>
      </c>
      <c r="S64">
        <f t="shared" si="1"/>
        <v>90</v>
      </c>
    </row>
    <row r="65" spans="1:19" x14ac:dyDescent="0.25">
      <c r="A65">
        <v>1789</v>
      </c>
      <c r="B65" t="s">
        <v>61</v>
      </c>
      <c r="C65" t="s">
        <v>62</v>
      </c>
      <c r="D65" s="32">
        <v>114432</v>
      </c>
      <c r="E65">
        <v>1246270845</v>
      </c>
      <c r="F65" s="28">
        <v>46211</v>
      </c>
      <c r="H65" t="s">
        <v>23</v>
      </c>
      <c r="I65" t="s">
        <v>24</v>
      </c>
      <c r="J65">
        <v>11079</v>
      </c>
      <c r="K65" s="28">
        <v>46121</v>
      </c>
      <c r="L65">
        <v>1010100</v>
      </c>
      <c r="M65" t="s">
        <v>29</v>
      </c>
      <c r="N65">
        <v>161</v>
      </c>
      <c r="O65" t="s">
        <v>145</v>
      </c>
      <c r="P65" t="s">
        <v>449</v>
      </c>
      <c r="Q65">
        <f t="shared" si="0"/>
        <v>-14</v>
      </c>
      <c r="R65" t="str">
        <f>_xlfn.XLOOKUP(P65,'Painel Additive'!$B:$B,'Painel Additive'!$B:$B,0)</f>
        <v>GRUPO MOSAIC FERTILIZANTES P K LTDA</v>
      </c>
      <c r="S65">
        <f t="shared" si="1"/>
        <v>90</v>
      </c>
    </row>
    <row r="66" spans="1:19" x14ac:dyDescent="0.25">
      <c r="A66">
        <v>1789</v>
      </c>
      <c r="B66" t="s">
        <v>61</v>
      </c>
      <c r="C66" t="s">
        <v>62</v>
      </c>
      <c r="D66" s="32">
        <v>117311.99</v>
      </c>
      <c r="E66">
        <v>1246276632</v>
      </c>
      <c r="F66" s="28">
        <v>46257</v>
      </c>
      <c r="H66" t="s">
        <v>23</v>
      </c>
      <c r="I66" t="s">
        <v>24</v>
      </c>
      <c r="J66">
        <v>11493</v>
      </c>
      <c r="K66" s="28">
        <v>46167</v>
      </c>
      <c r="L66">
        <v>1010100</v>
      </c>
      <c r="M66" t="s">
        <v>29</v>
      </c>
      <c r="N66">
        <v>161</v>
      </c>
      <c r="O66" t="s">
        <v>145</v>
      </c>
      <c r="P66" t="s">
        <v>449</v>
      </c>
      <c r="Q66">
        <f t="shared" si="0"/>
        <v>-60</v>
      </c>
      <c r="R66" t="str">
        <f>_xlfn.XLOOKUP(P66,'Painel Additive'!$B:$B,'Painel Additive'!$B:$B,0)</f>
        <v>GRUPO MOSAIC FERTILIZANTES P K LTDA</v>
      </c>
      <c r="S66">
        <f t="shared" si="1"/>
        <v>90</v>
      </c>
    </row>
    <row r="67" spans="1:19" x14ac:dyDescent="0.25">
      <c r="A67">
        <v>1789</v>
      </c>
      <c r="B67" t="s">
        <v>61</v>
      </c>
      <c r="C67" t="s">
        <v>62</v>
      </c>
      <c r="D67" s="32">
        <v>115296.72</v>
      </c>
      <c r="E67">
        <v>1246277579</v>
      </c>
      <c r="F67" s="28">
        <v>46264</v>
      </c>
      <c r="H67" t="s">
        <v>23</v>
      </c>
      <c r="I67" t="s">
        <v>24</v>
      </c>
      <c r="J67">
        <v>11567</v>
      </c>
      <c r="K67" s="28">
        <v>46174</v>
      </c>
      <c r="L67">
        <v>1010100</v>
      </c>
      <c r="M67" t="s">
        <v>29</v>
      </c>
      <c r="N67">
        <v>161</v>
      </c>
      <c r="O67" t="s">
        <v>145</v>
      </c>
      <c r="P67" t="s">
        <v>449</v>
      </c>
      <c r="Q67">
        <f t="shared" ref="Q67:Q130" si="2">$R$1-F67</f>
        <v>-67</v>
      </c>
      <c r="R67" t="str">
        <f>_xlfn.XLOOKUP(P67,'Painel Additive'!$B:$B,'Painel Additive'!$B:$B,0)</f>
        <v>GRUPO MOSAIC FERTILIZANTES P K LTDA</v>
      </c>
      <c r="S67">
        <f t="shared" ref="S67:S130" si="3">F67-K67</f>
        <v>90</v>
      </c>
    </row>
    <row r="68" spans="1:19" x14ac:dyDescent="0.25">
      <c r="A68">
        <v>1789</v>
      </c>
      <c r="B68" t="s">
        <v>61</v>
      </c>
      <c r="C68" t="s">
        <v>62</v>
      </c>
      <c r="D68" s="32">
        <v>114470.39999999999</v>
      </c>
      <c r="E68">
        <v>1246273904</v>
      </c>
      <c r="F68" s="28">
        <v>46239</v>
      </c>
      <c r="H68" t="s">
        <v>23</v>
      </c>
      <c r="I68" t="s">
        <v>24</v>
      </c>
      <c r="J68">
        <v>11320</v>
      </c>
      <c r="K68" s="28">
        <v>46149</v>
      </c>
      <c r="L68">
        <v>1010100</v>
      </c>
      <c r="M68" t="s">
        <v>29</v>
      </c>
      <c r="N68">
        <v>161</v>
      </c>
      <c r="O68" t="s">
        <v>145</v>
      </c>
      <c r="P68" t="s">
        <v>449</v>
      </c>
      <c r="Q68">
        <f t="shared" si="2"/>
        <v>-42</v>
      </c>
      <c r="R68" t="str">
        <f>_xlfn.XLOOKUP(P68,'Painel Additive'!$B:$B,'Painel Additive'!$B:$B,0)</f>
        <v>GRUPO MOSAIC FERTILIZANTES P K LTDA</v>
      </c>
      <c r="S68">
        <f t="shared" si="3"/>
        <v>90</v>
      </c>
    </row>
    <row r="69" spans="1:19" x14ac:dyDescent="0.25">
      <c r="A69">
        <v>1789</v>
      </c>
      <c r="B69" t="s">
        <v>61</v>
      </c>
      <c r="C69" t="s">
        <v>62</v>
      </c>
      <c r="D69" s="32">
        <v>114662.39999999999</v>
      </c>
      <c r="E69">
        <v>1246271452</v>
      </c>
      <c r="F69" s="28">
        <v>46217</v>
      </c>
      <c r="H69" t="s">
        <v>23</v>
      </c>
      <c r="I69" t="s">
        <v>24</v>
      </c>
      <c r="J69">
        <v>11126</v>
      </c>
      <c r="K69" s="28">
        <v>46127</v>
      </c>
      <c r="L69">
        <v>1010100</v>
      </c>
      <c r="M69" t="s">
        <v>29</v>
      </c>
      <c r="N69">
        <v>161</v>
      </c>
      <c r="O69" t="s">
        <v>145</v>
      </c>
      <c r="P69" t="s">
        <v>449</v>
      </c>
      <c r="Q69">
        <f t="shared" si="2"/>
        <v>-20</v>
      </c>
      <c r="R69" t="str">
        <f>_xlfn.XLOOKUP(P69,'Painel Additive'!$B:$B,'Painel Additive'!$B:$B,0)</f>
        <v>GRUPO MOSAIC FERTILIZANTES P K LTDA</v>
      </c>
      <c r="S69">
        <f t="shared" si="3"/>
        <v>90</v>
      </c>
    </row>
    <row r="70" spans="1:19" x14ac:dyDescent="0.25">
      <c r="A70">
        <v>1789</v>
      </c>
      <c r="B70" t="s">
        <v>61</v>
      </c>
      <c r="C70" t="s">
        <v>62</v>
      </c>
      <c r="D70" s="32">
        <v>115123.2</v>
      </c>
      <c r="E70">
        <v>1246269430</v>
      </c>
      <c r="F70" s="28">
        <v>46198</v>
      </c>
      <c r="H70" t="s">
        <v>23</v>
      </c>
      <c r="I70" t="s">
        <v>24</v>
      </c>
      <c r="J70">
        <v>10992</v>
      </c>
      <c r="K70" s="28">
        <v>46108</v>
      </c>
      <c r="L70">
        <v>1010100</v>
      </c>
      <c r="M70" t="s">
        <v>29</v>
      </c>
      <c r="N70">
        <v>161</v>
      </c>
      <c r="O70" t="s">
        <v>145</v>
      </c>
      <c r="P70" t="s">
        <v>449</v>
      </c>
      <c r="Q70">
        <f t="shared" si="2"/>
        <v>-1</v>
      </c>
      <c r="R70" t="str">
        <f>_xlfn.XLOOKUP(P70,'Painel Additive'!$B:$B,'Painel Additive'!$B:$B,0)</f>
        <v>GRUPO MOSAIC FERTILIZANTES P K LTDA</v>
      </c>
      <c r="S70">
        <f t="shared" si="3"/>
        <v>90</v>
      </c>
    </row>
    <row r="71" spans="1:19" x14ac:dyDescent="0.25">
      <c r="A71">
        <v>1789</v>
      </c>
      <c r="B71" t="s">
        <v>61</v>
      </c>
      <c r="C71" t="s">
        <v>62</v>
      </c>
      <c r="D71" s="32">
        <v>115584</v>
      </c>
      <c r="E71">
        <v>1246272745</v>
      </c>
      <c r="F71" s="28">
        <v>46229</v>
      </c>
      <c r="H71" t="s">
        <v>23</v>
      </c>
      <c r="I71" t="s">
        <v>24</v>
      </c>
      <c r="J71">
        <v>11224</v>
      </c>
      <c r="K71" s="28">
        <v>46139</v>
      </c>
      <c r="L71">
        <v>1010100</v>
      </c>
      <c r="M71" t="s">
        <v>29</v>
      </c>
      <c r="N71">
        <v>161</v>
      </c>
      <c r="O71" t="s">
        <v>145</v>
      </c>
      <c r="P71" t="s">
        <v>449</v>
      </c>
      <c r="Q71">
        <f t="shared" si="2"/>
        <v>-32</v>
      </c>
      <c r="R71" t="str">
        <f>_xlfn.XLOOKUP(P71,'Painel Additive'!$B:$B,'Painel Additive'!$B:$B,0)</f>
        <v>GRUPO MOSAIC FERTILIZANTES P K LTDA</v>
      </c>
      <c r="S71">
        <f t="shared" si="3"/>
        <v>90</v>
      </c>
    </row>
    <row r="72" spans="1:19" x14ac:dyDescent="0.25">
      <c r="A72">
        <v>1789</v>
      </c>
      <c r="B72" t="s">
        <v>61</v>
      </c>
      <c r="C72" t="s">
        <v>62</v>
      </c>
      <c r="D72" s="32">
        <v>117467.01</v>
      </c>
      <c r="E72">
        <v>1246275694</v>
      </c>
      <c r="F72" s="28">
        <v>46250</v>
      </c>
      <c r="H72" t="s">
        <v>23</v>
      </c>
      <c r="I72" t="s">
        <v>24</v>
      </c>
      <c r="J72">
        <v>11433</v>
      </c>
      <c r="K72" s="28">
        <v>46160</v>
      </c>
      <c r="L72">
        <v>1010100</v>
      </c>
      <c r="M72" t="s">
        <v>29</v>
      </c>
      <c r="N72">
        <v>161</v>
      </c>
      <c r="O72" t="s">
        <v>145</v>
      </c>
      <c r="P72" t="s">
        <v>449</v>
      </c>
      <c r="Q72">
        <f t="shared" si="2"/>
        <v>-53</v>
      </c>
      <c r="R72" t="str">
        <f>_xlfn.XLOOKUP(P72,'Painel Additive'!$B:$B,'Painel Additive'!$B:$B,0)</f>
        <v>GRUPO MOSAIC FERTILIZANTES P K LTDA</v>
      </c>
      <c r="S72">
        <f t="shared" si="3"/>
        <v>90</v>
      </c>
    </row>
    <row r="73" spans="1:19" x14ac:dyDescent="0.25">
      <c r="A73">
        <v>1789</v>
      </c>
      <c r="B73" t="s">
        <v>61</v>
      </c>
      <c r="C73" t="s">
        <v>62</v>
      </c>
      <c r="D73" s="32">
        <v>123980.95</v>
      </c>
      <c r="E73">
        <v>1246279506</v>
      </c>
      <c r="F73" s="28">
        <v>46278</v>
      </c>
      <c r="H73" t="s">
        <v>23</v>
      </c>
      <c r="I73" t="s">
        <v>24</v>
      </c>
      <c r="J73">
        <v>11708</v>
      </c>
      <c r="K73" s="28">
        <v>46188</v>
      </c>
      <c r="L73">
        <v>1010100</v>
      </c>
      <c r="M73" t="s">
        <v>29</v>
      </c>
      <c r="N73">
        <v>161</v>
      </c>
      <c r="O73" t="s">
        <v>145</v>
      </c>
      <c r="P73" t="s">
        <v>449</v>
      </c>
      <c r="Q73">
        <f t="shared" si="2"/>
        <v>-81</v>
      </c>
      <c r="R73" t="str">
        <f>_xlfn.XLOOKUP(P73,'Painel Additive'!$B:$B,'Painel Additive'!$B:$B,0)</f>
        <v>GRUPO MOSAIC FERTILIZANTES P K LTDA</v>
      </c>
      <c r="S73">
        <f t="shared" si="3"/>
        <v>90</v>
      </c>
    </row>
    <row r="74" spans="1:19" x14ac:dyDescent="0.25">
      <c r="A74">
        <v>1789</v>
      </c>
      <c r="B74" t="s">
        <v>61</v>
      </c>
      <c r="C74" t="s">
        <v>62</v>
      </c>
      <c r="D74" s="32">
        <v>123036.1</v>
      </c>
      <c r="E74">
        <v>1246279861</v>
      </c>
      <c r="F74" s="28">
        <v>46280</v>
      </c>
      <c r="H74" t="s">
        <v>23</v>
      </c>
      <c r="I74" t="s">
        <v>24</v>
      </c>
      <c r="J74">
        <v>11736</v>
      </c>
      <c r="K74" s="28">
        <v>46190</v>
      </c>
      <c r="L74">
        <v>1010100</v>
      </c>
      <c r="M74" t="s">
        <v>29</v>
      </c>
      <c r="N74">
        <v>161</v>
      </c>
      <c r="O74" t="s">
        <v>145</v>
      </c>
      <c r="P74" t="s">
        <v>449</v>
      </c>
      <c r="Q74">
        <f t="shared" si="2"/>
        <v>-83</v>
      </c>
      <c r="R74" t="str">
        <f>_xlfn.XLOOKUP(P74,'Painel Additive'!$B:$B,'Painel Additive'!$B:$B,0)</f>
        <v>GRUPO MOSAIC FERTILIZANTES P K LTDA</v>
      </c>
      <c r="S74">
        <f t="shared" si="3"/>
        <v>90</v>
      </c>
    </row>
    <row r="75" spans="1:19" x14ac:dyDescent="0.25">
      <c r="A75">
        <v>1789</v>
      </c>
      <c r="B75" t="s">
        <v>61</v>
      </c>
      <c r="C75" t="s">
        <v>62</v>
      </c>
      <c r="D75" s="32">
        <v>117001.95</v>
      </c>
      <c r="E75">
        <v>1246277902</v>
      </c>
      <c r="F75" s="28">
        <v>46265</v>
      </c>
      <c r="H75" t="s">
        <v>23</v>
      </c>
      <c r="I75" t="s">
        <v>24</v>
      </c>
      <c r="J75">
        <v>11583</v>
      </c>
      <c r="K75" s="28">
        <v>46175</v>
      </c>
      <c r="L75">
        <v>1010100</v>
      </c>
      <c r="M75" t="s">
        <v>29</v>
      </c>
      <c r="N75">
        <v>161</v>
      </c>
      <c r="O75" t="s">
        <v>145</v>
      </c>
      <c r="P75" t="s">
        <v>449</v>
      </c>
      <c r="Q75">
        <f t="shared" si="2"/>
        <v>-68</v>
      </c>
      <c r="R75" t="str">
        <f>_xlfn.XLOOKUP(P75,'Painel Additive'!$B:$B,'Painel Additive'!$B:$B,0)</f>
        <v>GRUPO MOSAIC FERTILIZANTES P K LTDA</v>
      </c>
      <c r="S75">
        <f t="shared" si="3"/>
        <v>90</v>
      </c>
    </row>
    <row r="76" spans="1:19" x14ac:dyDescent="0.25">
      <c r="A76">
        <v>1789</v>
      </c>
      <c r="B76" t="s">
        <v>61</v>
      </c>
      <c r="C76" t="s">
        <v>62</v>
      </c>
      <c r="D76" s="32">
        <v>124473.92</v>
      </c>
      <c r="E76">
        <v>1246280379</v>
      </c>
      <c r="F76" s="28">
        <v>46285</v>
      </c>
      <c r="H76" t="s">
        <v>23</v>
      </c>
      <c r="I76" t="s">
        <v>24</v>
      </c>
      <c r="J76">
        <v>11771</v>
      </c>
      <c r="K76" s="28">
        <v>46195</v>
      </c>
      <c r="L76">
        <v>1010100</v>
      </c>
      <c r="M76" t="s">
        <v>29</v>
      </c>
      <c r="N76">
        <v>161</v>
      </c>
      <c r="O76" t="s">
        <v>145</v>
      </c>
      <c r="P76" t="s">
        <v>449</v>
      </c>
      <c r="Q76">
        <f t="shared" si="2"/>
        <v>-88</v>
      </c>
      <c r="R76" t="str">
        <f>_xlfn.XLOOKUP(P76,'Painel Additive'!$B:$B,'Painel Additive'!$B:$B,0)</f>
        <v>GRUPO MOSAIC FERTILIZANTES P K LTDA</v>
      </c>
      <c r="S76">
        <f t="shared" si="3"/>
        <v>90</v>
      </c>
    </row>
    <row r="77" spans="1:19" x14ac:dyDescent="0.25">
      <c r="A77">
        <v>1789</v>
      </c>
      <c r="B77" t="s">
        <v>61</v>
      </c>
      <c r="C77" t="s">
        <v>62</v>
      </c>
      <c r="D77" s="32">
        <v>121228.56</v>
      </c>
      <c r="E77">
        <v>1246280845</v>
      </c>
      <c r="F77" s="28">
        <v>46287</v>
      </c>
      <c r="H77" t="s">
        <v>23</v>
      </c>
      <c r="I77" t="s">
        <v>24</v>
      </c>
      <c r="J77">
        <v>11806</v>
      </c>
      <c r="K77" s="28">
        <v>46197</v>
      </c>
      <c r="L77">
        <v>1010100</v>
      </c>
      <c r="M77" t="s">
        <v>29</v>
      </c>
      <c r="N77">
        <v>161</v>
      </c>
      <c r="O77" t="s">
        <v>145</v>
      </c>
      <c r="P77" t="s">
        <v>449</v>
      </c>
      <c r="Q77">
        <f t="shared" si="2"/>
        <v>-90</v>
      </c>
      <c r="R77" t="str">
        <f>_xlfn.XLOOKUP(P77,'Painel Additive'!$B:$B,'Painel Additive'!$B:$B,0)</f>
        <v>GRUPO MOSAIC FERTILIZANTES P K LTDA</v>
      </c>
      <c r="S77">
        <f t="shared" si="3"/>
        <v>90</v>
      </c>
    </row>
    <row r="78" spans="1:19" x14ac:dyDescent="0.25">
      <c r="A78">
        <v>1789</v>
      </c>
      <c r="B78" t="s">
        <v>61</v>
      </c>
      <c r="C78" t="s">
        <v>62</v>
      </c>
      <c r="D78" s="32">
        <v>115814.39999999999</v>
      </c>
      <c r="E78">
        <v>1246270360</v>
      </c>
      <c r="F78" s="28">
        <v>46208</v>
      </c>
      <c r="H78" t="s">
        <v>23</v>
      </c>
      <c r="I78" t="s">
        <v>24</v>
      </c>
      <c r="J78">
        <v>11053</v>
      </c>
      <c r="K78" s="28">
        <v>46118</v>
      </c>
      <c r="L78">
        <v>1010100</v>
      </c>
      <c r="M78" t="s">
        <v>29</v>
      </c>
      <c r="N78">
        <v>161</v>
      </c>
      <c r="O78" t="s">
        <v>145</v>
      </c>
      <c r="P78" t="s">
        <v>449</v>
      </c>
      <c r="Q78">
        <f t="shared" si="2"/>
        <v>-11</v>
      </c>
      <c r="R78" t="str">
        <f>_xlfn.XLOOKUP(P78,'Painel Additive'!$B:$B,'Painel Additive'!$B:$B,0)</f>
        <v>GRUPO MOSAIC FERTILIZANTES P K LTDA</v>
      </c>
      <c r="S78">
        <f t="shared" si="3"/>
        <v>90</v>
      </c>
    </row>
    <row r="79" spans="1:19" x14ac:dyDescent="0.25">
      <c r="A79">
        <v>1789</v>
      </c>
      <c r="B79" t="s">
        <v>61</v>
      </c>
      <c r="C79" t="s">
        <v>62</v>
      </c>
      <c r="D79" s="32">
        <v>115276.8</v>
      </c>
      <c r="E79">
        <v>1246273585</v>
      </c>
      <c r="F79" s="28">
        <v>46237</v>
      </c>
      <c r="H79" t="s">
        <v>23</v>
      </c>
      <c r="I79" t="s">
        <v>24</v>
      </c>
      <c r="J79">
        <v>11296</v>
      </c>
      <c r="K79" s="28">
        <v>46147</v>
      </c>
      <c r="L79">
        <v>1010100</v>
      </c>
      <c r="M79" t="s">
        <v>29</v>
      </c>
      <c r="N79">
        <v>161</v>
      </c>
      <c r="O79" t="s">
        <v>145</v>
      </c>
      <c r="P79" t="s">
        <v>449</v>
      </c>
      <c r="Q79">
        <f t="shared" si="2"/>
        <v>-40</v>
      </c>
      <c r="R79" t="str">
        <f>_xlfn.XLOOKUP(P79,'Painel Additive'!$B:$B,'Painel Additive'!$B:$B,0)</f>
        <v>GRUPO MOSAIC FERTILIZANTES P K LTDA</v>
      </c>
      <c r="S79">
        <f t="shared" si="3"/>
        <v>90</v>
      </c>
    </row>
    <row r="80" spans="1:19" x14ac:dyDescent="0.25">
      <c r="A80">
        <v>97</v>
      </c>
      <c r="B80" t="s">
        <v>300</v>
      </c>
      <c r="C80" t="s">
        <v>730</v>
      </c>
      <c r="D80" s="32">
        <v>95717.6</v>
      </c>
      <c r="E80">
        <v>1246277597</v>
      </c>
      <c r="F80" s="28">
        <v>46202</v>
      </c>
      <c r="H80" t="s">
        <v>23</v>
      </c>
      <c r="I80" t="s">
        <v>24</v>
      </c>
      <c r="J80">
        <v>11572</v>
      </c>
      <c r="K80" s="28">
        <v>46174</v>
      </c>
      <c r="L80">
        <v>1010100</v>
      </c>
      <c r="M80" t="s">
        <v>29</v>
      </c>
      <c r="N80">
        <v>161</v>
      </c>
      <c r="O80" t="s">
        <v>145</v>
      </c>
      <c r="P80" t="s">
        <v>490</v>
      </c>
      <c r="Q80">
        <f t="shared" si="2"/>
        <v>-5</v>
      </c>
      <c r="R80" t="str">
        <f>_xlfn.XLOOKUP(P80,'Painel Additive'!$B:$B,'Painel Additive'!$B:$B,0)</f>
        <v>FECOAGRO FEDERACAO DAS COOPERATIVAS</v>
      </c>
      <c r="S80">
        <f t="shared" si="3"/>
        <v>28</v>
      </c>
    </row>
    <row r="81" spans="1:19" x14ac:dyDescent="0.25">
      <c r="A81">
        <v>97</v>
      </c>
      <c r="B81" t="s">
        <v>300</v>
      </c>
      <c r="C81" t="s">
        <v>730</v>
      </c>
      <c r="D81" s="32">
        <v>95687.8</v>
      </c>
      <c r="E81">
        <v>1246279396</v>
      </c>
      <c r="F81" s="28">
        <v>46213</v>
      </c>
      <c r="H81" t="s">
        <v>23</v>
      </c>
      <c r="I81" t="s">
        <v>24</v>
      </c>
      <c r="J81">
        <v>11703</v>
      </c>
      <c r="K81" s="28">
        <v>46185</v>
      </c>
      <c r="L81">
        <v>1010100</v>
      </c>
      <c r="M81" t="s">
        <v>29</v>
      </c>
      <c r="N81">
        <v>161</v>
      </c>
      <c r="O81" t="s">
        <v>145</v>
      </c>
      <c r="P81" t="s">
        <v>490</v>
      </c>
      <c r="Q81">
        <f t="shared" si="2"/>
        <v>-16</v>
      </c>
      <c r="R81" t="str">
        <f>_xlfn.XLOOKUP(P81,'Painel Additive'!$B:$B,'Painel Additive'!$B:$B,0)</f>
        <v>FECOAGRO FEDERACAO DAS COOPERATIVAS</v>
      </c>
      <c r="S81">
        <f t="shared" si="3"/>
        <v>28</v>
      </c>
    </row>
    <row r="82" spans="1:19" x14ac:dyDescent="0.25">
      <c r="A82">
        <v>97</v>
      </c>
      <c r="B82" t="s">
        <v>300</v>
      </c>
      <c r="C82" t="s">
        <v>730</v>
      </c>
      <c r="D82" s="32">
        <v>95062</v>
      </c>
      <c r="E82">
        <v>1246280585</v>
      </c>
      <c r="F82" s="28">
        <v>46224</v>
      </c>
      <c r="H82" t="s">
        <v>23</v>
      </c>
      <c r="I82" t="s">
        <v>24</v>
      </c>
      <c r="J82">
        <v>11795</v>
      </c>
      <c r="K82" s="28">
        <v>46196</v>
      </c>
      <c r="L82">
        <v>1010100</v>
      </c>
      <c r="M82" t="s">
        <v>29</v>
      </c>
      <c r="N82">
        <v>161</v>
      </c>
      <c r="O82" t="s">
        <v>145</v>
      </c>
      <c r="P82" t="s">
        <v>490</v>
      </c>
      <c r="Q82">
        <f t="shared" si="2"/>
        <v>-27</v>
      </c>
      <c r="R82" t="str">
        <f>_xlfn.XLOOKUP(P82,'Painel Additive'!$B:$B,'Painel Additive'!$B:$B,0)</f>
        <v>FECOAGRO FEDERACAO DAS COOPERATIVAS</v>
      </c>
      <c r="S82">
        <f t="shared" si="3"/>
        <v>28</v>
      </c>
    </row>
    <row r="83" spans="1:19" x14ac:dyDescent="0.25">
      <c r="A83">
        <v>97</v>
      </c>
      <c r="B83" t="s">
        <v>300</v>
      </c>
      <c r="C83" t="s">
        <v>730</v>
      </c>
      <c r="D83" s="32">
        <v>95091.8</v>
      </c>
      <c r="E83">
        <v>1246278416</v>
      </c>
      <c r="F83" s="28">
        <v>46206</v>
      </c>
      <c r="H83" t="s">
        <v>23</v>
      </c>
      <c r="I83" t="s">
        <v>24</v>
      </c>
      <c r="J83">
        <v>11623</v>
      </c>
      <c r="K83" s="28">
        <v>46178</v>
      </c>
      <c r="L83">
        <v>1010100</v>
      </c>
      <c r="M83" t="s">
        <v>29</v>
      </c>
      <c r="N83">
        <v>161</v>
      </c>
      <c r="O83" t="s">
        <v>145</v>
      </c>
      <c r="P83" t="s">
        <v>490</v>
      </c>
      <c r="Q83">
        <f t="shared" si="2"/>
        <v>-9</v>
      </c>
      <c r="R83" t="str">
        <f>_xlfn.XLOOKUP(P83,'Painel Additive'!$B:$B,'Painel Additive'!$B:$B,0)</f>
        <v>FECOAGRO FEDERACAO DAS COOPERATIVAS</v>
      </c>
      <c r="S83">
        <f t="shared" si="3"/>
        <v>28</v>
      </c>
    </row>
    <row r="84" spans="1:19" x14ac:dyDescent="0.25">
      <c r="A84">
        <v>43</v>
      </c>
      <c r="B84" t="s">
        <v>674</v>
      </c>
      <c r="C84" t="s">
        <v>30</v>
      </c>
      <c r="D84" s="32">
        <v>72010.7</v>
      </c>
      <c r="E84">
        <v>1246279357</v>
      </c>
      <c r="F84" s="28">
        <v>46213</v>
      </c>
      <c r="H84" t="s">
        <v>23</v>
      </c>
      <c r="I84" t="s">
        <v>24</v>
      </c>
      <c r="J84">
        <v>11692</v>
      </c>
      <c r="K84" s="28">
        <v>46185</v>
      </c>
      <c r="L84">
        <v>1010100</v>
      </c>
      <c r="M84" t="s">
        <v>29</v>
      </c>
      <c r="N84">
        <v>161</v>
      </c>
      <c r="O84" t="s">
        <v>145</v>
      </c>
      <c r="P84" t="s">
        <v>355</v>
      </c>
      <c r="Q84">
        <f t="shared" si="2"/>
        <v>-16</v>
      </c>
      <c r="R84" t="str">
        <f>_xlfn.XLOOKUP(P84,'Painel Additive'!$B:$B,'Painel Additive'!$B:$B,0)</f>
        <v>GRUPO CIBRA</v>
      </c>
      <c r="S84">
        <f t="shared" si="3"/>
        <v>28</v>
      </c>
    </row>
    <row r="85" spans="1:19" x14ac:dyDescent="0.25">
      <c r="A85">
        <v>43</v>
      </c>
      <c r="B85" t="s">
        <v>674</v>
      </c>
      <c r="C85" t="s">
        <v>30</v>
      </c>
      <c r="D85" s="32">
        <v>71198.100000000006</v>
      </c>
      <c r="E85">
        <v>1246277595</v>
      </c>
      <c r="F85" s="28">
        <v>46202</v>
      </c>
      <c r="H85" t="s">
        <v>23</v>
      </c>
      <c r="I85" t="s">
        <v>24</v>
      </c>
      <c r="J85">
        <v>11571</v>
      </c>
      <c r="K85" s="28">
        <v>46174</v>
      </c>
      <c r="L85">
        <v>1010100</v>
      </c>
      <c r="M85" t="s">
        <v>29</v>
      </c>
      <c r="N85">
        <v>161</v>
      </c>
      <c r="O85" t="s">
        <v>145</v>
      </c>
      <c r="P85" t="s">
        <v>355</v>
      </c>
      <c r="Q85">
        <f t="shared" si="2"/>
        <v>-5</v>
      </c>
      <c r="R85" t="str">
        <f>_xlfn.XLOOKUP(P85,'Painel Additive'!$B:$B,'Painel Additive'!$B:$B,0)</f>
        <v>GRUPO CIBRA</v>
      </c>
      <c r="S85">
        <f t="shared" si="3"/>
        <v>28</v>
      </c>
    </row>
    <row r="86" spans="1:19" x14ac:dyDescent="0.25">
      <c r="A86">
        <v>43</v>
      </c>
      <c r="B86" t="s">
        <v>674</v>
      </c>
      <c r="C86" t="s">
        <v>30</v>
      </c>
      <c r="D86" s="32">
        <v>71915.100000000006</v>
      </c>
      <c r="E86">
        <v>1246278431</v>
      </c>
      <c r="F86" s="28">
        <v>46207</v>
      </c>
      <c r="H86" t="s">
        <v>23</v>
      </c>
      <c r="I86" t="s">
        <v>24</v>
      </c>
      <c r="J86">
        <v>11630</v>
      </c>
      <c r="K86" s="28">
        <v>46179</v>
      </c>
      <c r="L86">
        <v>1010100</v>
      </c>
      <c r="M86" t="s">
        <v>29</v>
      </c>
      <c r="N86">
        <v>161</v>
      </c>
      <c r="O86" t="s">
        <v>145</v>
      </c>
      <c r="P86" t="s">
        <v>355</v>
      </c>
      <c r="Q86">
        <f t="shared" si="2"/>
        <v>-10</v>
      </c>
      <c r="R86" t="str">
        <f>_xlfn.XLOOKUP(P86,'Painel Additive'!$B:$B,'Painel Additive'!$B:$B,0)</f>
        <v>GRUPO CIBRA</v>
      </c>
      <c r="S86">
        <f t="shared" si="3"/>
        <v>28</v>
      </c>
    </row>
    <row r="87" spans="1:19" x14ac:dyDescent="0.25">
      <c r="A87">
        <v>43</v>
      </c>
      <c r="B87" t="s">
        <v>674</v>
      </c>
      <c r="C87" t="s">
        <v>30</v>
      </c>
      <c r="D87" s="32">
        <v>71723.899999999994</v>
      </c>
      <c r="E87">
        <v>1246280177</v>
      </c>
      <c r="F87" s="28">
        <v>46220</v>
      </c>
      <c r="H87" t="s">
        <v>23</v>
      </c>
      <c r="I87" t="s">
        <v>24</v>
      </c>
      <c r="J87">
        <v>11756</v>
      </c>
      <c r="K87" s="28">
        <v>46192</v>
      </c>
      <c r="L87">
        <v>1010100</v>
      </c>
      <c r="M87" t="s">
        <v>29</v>
      </c>
      <c r="N87">
        <v>161</v>
      </c>
      <c r="O87" t="s">
        <v>145</v>
      </c>
      <c r="P87" t="s">
        <v>355</v>
      </c>
      <c r="Q87">
        <f t="shared" si="2"/>
        <v>-23</v>
      </c>
      <c r="R87" t="str">
        <f>_xlfn.XLOOKUP(P87,'Painel Additive'!$B:$B,'Painel Additive'!$B:$B,0)</f>
        <v>GRUPO CIBRA</v>
      </c>
      <c r="S87">
        <f t="shared" si="3"/>
        <v>28</v>
      </c>
    </row>
    <row r="88" spans="1:19" x14ac:dyDescent="0.25">
      <c r="A88">
        <v>33</v>
      </c>
      <c r="B88" t="s">
        <v>757</v>
      </c>
      <c r="C88" t="s">
        <v>575</v>
      </c>
      <c r="D88" s="32">
        <v>53158.6</v>
      </c>
      <c r="E88">
        <v>1246278608</v>
      </c>
      <c r="F88" s="28">
        <v>46211</v>
      </c>
      <c r="H88" t="s">
        <v>23</v>
      </c>
      <c r="I88" t="s">
        <v>24</v>
      </c>
      <c r="J88">
        <v>11647</v>
      </c>
      <c r="K88" s="28">
        <v>46181</v>
      </c>
      <c r="L88">
        <v>1010100</v>
      </c>
      <c r="M88" t="s">
        <v>29</v>
      </c>
      <c r="N88">
        <v>161</v>
      </c>
      <c r="O88" t="s">
        <v>145</v>
      </c>
      <c r="P88" t="s">
        <v>448</v>
      </c>
      <c r="Q88">
        <f t="shared" si="2"/>
        <v>-14</v>
      </c>
      <c r="R88" t="str">
        <f>_xlfn.XLOOKUP(P88,'Painel Additive'!$B:$B,'Painel Additive'!$B:$B,0)</f>
        <v>GRUPO HERINGER</v>
      </c>
      <c r="S88">
        <f t="shared" si="3"/>
        <v>30</v>
      </c>
    </row>
    <row r="89" spans="1:19" x14ac:dyDescent="0.25">
      <c r="A89">
        <v>2133</v>
      </c>
      <c r="B89" t="s">
        <v>260</v>
      </c>
      <c r="C89" t="s">
        <v>15608</v>
      </c>
      <c r="D89" s="32">
        <v>180359.2</v>
      </c>
      <c r="E89">
        <v>1246278378</v>
      </c>
      <c r="F89" s="28">
        <v>46206</v>
      </c>
      <c r="H89" t="s">
        <v>23</v>
      </c>
      <c r="I89" t="s">
        <v>24</v>
      </c>
      <c r="J89">
        <v>11612</v>
      </c>
      <c r="K89" s="28">
        <v>46178</v>
      </c>
      <c r="L89">
        <v>1010100</v>
      </c>
      <c r="M89" t="s">
        <v>29</v>
      </c>
      <c r="N89">
        <v>161</v>
      </c>
      <c r="O89" t="s">
        <v>145</v>
      </c>
      <c r="P89" t="s">
        <v>514</v>
      </c>
      <c r="Q89">
        <f t="shared" si="2"/>
        <v>-9</v>
      </c>
      <c r="R89" t="str">
        <f>_xlfn.XLOOKUP(P89,'Painel Additive'!$B:$B,'Painel Additive'!$B:$B,0)</f>
        <v>GRUPO FERTIPAR FERTILIZANTES PARANA</v>
      </c>
      <c r="S89">
        <f t="shared" si="3"/>
        <v>28</v>
      </c>
    </row>
    <row r="90" spans="1:19" x14ac:dyDescent="0.25">
      <c r="A90">
        <v>214</v>
      </c>
      <c r="B90" t="s">
        <v>149</v>
      </c>
      <c r="C90" t="s">
        <v>708</v>
      </c>
      <c r="D90" s="32">
        <v>83475.7</v>
      </c>
      <c r="E90">
        <v>1246280241</v>
      </c>
      <c r="F90" s="28">
        <v>46220</v>
      </c>
      <c r="H90" t="s">
        <v>23</v>
      </c>
      <c r="I90" t="s">
        <v>24</v>
      </c>
      <c r="J90">
        <v>11760</v>
      </c>
      <c r="K90" s="28">
        <v>46192</v>
      </c>
      <c r="L90">
        <v>1010100</v>
      </c>
      <c r="M90" t="s">
        <v>29</v>
      </c>
      <c r="N90">
        <v>161</v>
      </c>
      <c r="O90" t="s">
        <v>145</v>
      </c>
      <c r="P90" t="s">
        <v>356</v>
      </c>
      <c r="Q90">
        <f t="shared" si="2"/>
        <v>-23</v>
      </c>
      <c r="R90" t="str">
        <f>_xlfn.XLOOKUP(P90,'Painel Additive'!$B:$B,'Painel Additive'!$B:$B,0)</f>
        <v>GRUPO UNIFERTIL</v>
      </c>
      <c r="S90">
        <f t="shared" si="3"/>
        <v>28</v>
      </c>
    </row>
    <row r="91" spans="1:19" x14ac:dyDescent="0.25">
      <c r="A91">
        <v>214</v>
      </c>
      <c r="B91" t="s">
        <v>149</v>
      </c>
      <c r="C91" t="s">
        <v>708</v>
      </c>
      <c r="D91" s="32">
        <v>99003.6</v>
      </c>
      <c r="E91">
        <v>1246279725</v>
      </c>
      <c r="F91" s="28">
        <v>46217</v>
      </c>
      <c r="H91" t="s">
        <v>23</v>
      </c>
      <c r="I91" t="s">
        <v>24</v>
      </c>
      <c r="J91">
        <v>11729</v>
      </c>
      <c r="K91" s="28">
        <v>46189</v>
      </c>
      <c r="L91">
        <v>1010100</v>
      </c>
      <c r="M91" t="s">
        <v>29</v>
      </c>
      <c r="N91">
        <v>161</v>
      </c>
      <c r="O91" t="s">
        <v>145</v>
      </c>
      <c r="P91" t="s">
        <v>356</v>
      </c>
      <c r="Q91">
        <f t="shared" si="2"/>
        <v>-20</v>
      </c>
      <c r="R91" t="str">
        <f>_xlfn.XLOOKUP(P91,'Painel Additive'!$B:$B,'Painel Additive'!$B:$B,0)</f>
        <v>GRUPO UNIFERTIL</v>
      </c>
      <c r="S91">
        <f t="shared" si="3"/>
        <v>28</v>
      </c>
    </row>
    <row r="92" spans="1:19" x14ac:dyDescent="0.25">
      <c r="A92">
        <v>183</v>
      </c>
      <c r="B92" t="s">
        <v>33</v>
      </c>
      <c r="C92" t="s">
        <v>34</v>
      </c>
      <c r="D92" s="32">
        <v>4231.96</v>
      </c>
      <c r="E92">
        <v>1246014155</v>
      </c>
      <c r="F92" s="28">
        <v>47847</v>
      </c>
      <c r="H92" t="s">
        <v>23</v>
      </c>
      <c r="I92" t="s">
        <v>24</v>
      </c>
      <c r="J92">
        <v>8361</v>
      </c>
      <c r="K92" s="28">
        <v>43384</v>
      </c>
      <c r="L92">
        <v>1010100</v>
      </c>
      <c r="M92" t="s">
        <v>29</v>
      </c>
      <c r="N92">
        <v>161</v>
      </c>
      <c r="O92" t="s">
        <v>145</v>
      </c>
      <c r="P92" t="s">
        <v>448</v>
      </c>
      <c r="Q92">
        <f t="shared" si="2"/>
        <v>-1650</v>
      </c>
      <c r="R92" t="str">
        <f>_xlfn.XLOOKUP(P92,'Painel Additive'!$B:$B,'Painel Additive'!$B:$B,0)</f>
        <v>GRUPO HERINGER</v>
      </c>
      <c r="S92">
        <f t="shared" si="3"/>
        <v>4463</v>
      </c>
    </row>
    <row r="93" spans="1:19" x14ac:dyDescent="0.25">
      <c r="A93">
        <v>183</v>
      </c>
      <c r="B93" t="s">
        <v>33</v>
      </c>
      <c r="C93" t="s">
        <v>34</v>
      </c>
      <c r="D93" s="32">
        <v>4045.01</v>
      </c>
      <c r="E93">
        <v>1246014156</v>
      </c>
      <c r="F93" s="28">
        <v>48212</v>
      </c>
      <c r="H93" t="s">
        <v>23</v>
      </c>
      <c r="I93" t="s">
        <v>24</v>
      </c>
      <c r="J93">
        <v>8361</v>
      </c>
      <c r="K93" s="28">
        <v>43384</v>
      </c>
      <c r="L93">
        <v>1010100</v>
      </c>
      <c r="M93" t="s">
        <v>29</v>
      </c>
      <c r="N93">
        <v>161</v>
      </c>
      <c r="O93" t="s">
        <v>145</v>
      </c>
      <c r="P93" t="s">
        <v>448</v>
      </c>
      <c r="Q93">
        <f t="shared" si="2"/>
        <v>-2015</v>
      </c>
      <c r="R93" t="str">
        <f>_xlfn.XLOOKUP(P93,'Painel Additive'!$B:$B,'Painel Additive'!$B:$B,0)</f>
        <v>GRUPO HERINGER</v>
      </c>
      <c r="S93">
        <f t="shared" si="3"/>
        <v>4828</v>
      </c>
    </row>
    <row r="94" spans="1:19" x14ac:dyDescent="0.25">
      <c r="A94">
        <v>183</v>
      </c>
      <c r="B94" t="s">
        <v>33</v>
      </c>
      <c r="C94" t="s">
        <v>34</v>
      </c>
      <c r="D94" s="32">
        <v>4339.6000000000004</v>
      </c>
      <c r="E94">
        <v>1246014157</v>
      </c>
      <c r="F94" s="28">
        <v>48578</v>
      </c>
      <c r="H94" t="s">
        <v>23</v>
      </c>
      <c r="I94" t="s">
        <v>24</v>
      </c>
      <c r="J94">
        <v>8361</v>
      </c>
      <c r="K94" s="28">
        <v>43384</v>
      </c>
      <c r="L94">
        <v>1010100</v>
      </c>
      <c r="M94" t="s">
        <v>29</v>
      </c>
      <c r="N94">
        <v>161</v>
      </c>
      <c r="O94" t="s">
        <v>145</v>
      </c>
      <c r="P94" t="s">
        <v>448</v>
      </c>
      <c r="Q94">
        <f t="shared" si="2"/>
        <v>-2381</v>
      </c>
      <c r="R94" t="str">
        <f>_xlfn.XLOOKUP(P94,'Painel Additive'!$B:$B,'Painel Additive'!$B:$B,0)</f>
        <v>GRUPO HERINGER</v>
      </c>
      <c r="S94">
        <f t="shared" si="3"/>
        <v>5194</v>
      </c>
    </row>
    <row r="95" spans="1:19" x14ac:dyDescent="0.25">
      <c r="A95">
        <v>183</v>
      </c>
      <c r="B95" t="s">
        <v>33</v>
      </c>
      <c r="C95" t="s">
        <v>34</v>
      </c>
      <c r="D95" s="32">
        <v>7512.16</v>
      </c>
      <c r="E95">
        <v>1246014158</v>
      </c>
      <c r="F95" s="28">
        <v>48943</v>
      </c>
      <c r="H95" t="s">
        <v>23</v>
      </c>
      <c r="I95" t="s">
        <v>24</v>
      </c>
      <c r="J95">
        <v>8361</v>
      </c>
      <c r="K95" s="28">
        <v>43384</v>
      </c>
      <c r="L95">
        <v>1010100</v>
      </c>
      <c r="M95" t="s">
        <v>29</v>
      </c>
      <c r="N95">
        <v>161</v>
      </c>
      <c r="O95" t="s">
        <v>145</v>
      </c>
      <c r="P95" t="s">
        <v>448</v>
      </c>
      <c r="Q95">
        <f t="shared" si="2"/>
        <v>-2746</v>
      </c>
      <c r="R95" t="str">
        <f>_xlfn.XLOOKUP(P95,'Painel Additive'!$B:$B,'Painel Additive'!$B:$B,0)</f>
        <v>GRUPO HERINGER</v>
      </c>
      <c r="S95">
        <f t="shared" si="3"/>
        <v>5559</v>
      </c>
    </row>
    <row r="96" spans="1:19" x14ac:dyDescent="0.25">
      <c r="A96">
        <v>183</v>
      </c>
      <c r="B96" t="s">
        <v>33</v>
      </c>
      <c r="C96" t="s">
        <v>34</v>
      </c>
      <c r="D96" s="32">
        <v>30552.86</v>
      </c>
      <c r="E96">
        <v>1246014159</v>
      </c>
      <c r="F96" s="28">
        <v>49308</v>
      </c>
      <c r="H96" t="s">
        <v>23</v>
      </c>
      <c r="I96" t="s">
        <v>24</v>
      </c>
      <c r="J96">
        <v>8361</v>
      </c>
      <c r="K96" s="28">
        <v>43384</v>
      </c>
      <c r="L96">
        <v>1010100</v>
      </c>
      <c r="M96" t="s">
        <v>29</v>
      </c>
      <c r="N96">
        <v>161</v>
      </c>
      <c r="O96" t="s">
        <v>145</v>
      </c>
      <c r="P96" t="s">
        <v>448</v>
      </c>
      <c r="Q96">
        <f t="shared" si="2"/>
        <v>-3111</v>
      </c>
      <c r="R96" t="str">
        <f>_xlfn.XLOOKUP(P96,'Painel Additive'!$B:$B,'Painel Additive'!$B:$B,0)</f>
        <v>GRUPO HERINGER</v>
      </c>
      <c r="S96">
        <f t="shared" si="3"/>
        <v>5924</v>
      </c>
    </row>
    <row r="97" spans="1:19" x14ac:dyDescent="0.25">
      <c r="A97">
        <v>183</v>
      </c>
      <c r="B97" t="s">
        <v>33</v>
      </c>
      <c r="C97" t="s">
        <v>34</v>
      </c>
      <c r="D97" s="32">
        <v>1512.63</v>
      </c>
      <c r="E97">
        <v>1246014161</v>
      </c>
      <c r="F97" s="28">
        <v>50039</v>
      </c>
      <c r="H97" t="s">
        <v>23</v>
      </c>
      <c r="I97" t="s">
        <v>24</v>
      </c>
      <c r="J97">
        <v>8361</v>
      </c>
      <c r="K97" s="28">
        <v>43384</v>
      </c>
      <c r="L97">
        <v>1010100</v>
      </c>
      <c r="M97" t="s">
        <v>29</v>
      </c>
      <c r="N97">
        <v>161</v>
      </c>
      <c r="O97" t="s">
        <v>145</v>
      </c>
      <c r="P97" t="s">
        <v>448</v>
      </c>
      <c r="Q97">
        <f t="shared" si="2"/>
        <v>-3842</v>
      </c>
      <c r="R97" t="str">
        <f>_xlfn.XLOOKUP(P97,'Painel Additive'!$B:$B,'Painel Additive'!$B:$B,0)</f>
        <v>GRUPO HERINGER</v>
      </c>
      <c r="S97">
        <f t="shared" si="3"/>
        <v>6655</v>
      </c>
    </row>
    <row r="98" spans="1:19" x14ac:dyDescent="0.25">
      <c r="A98">
        <v>183</v>
      </c>
      <c r="B98" t="s">
        <v>33</v>
      </c>
      <c r="C98" t="s">
        <v>34</v>
      </c>
      <c r="D98" s="32">
        <v>1982.85</v>
      </c>
      <c r="E98">
        <v>1246014162</v>
      </c>
      <c r="F98" s="28">
        <v>50404</v>
      </c>
      <c r="H98" t="s">
        <v>23</v>
      </c>
      <c r="I98" t="s">
        <v>24</v>
      </c>
      <c r="J98">
        <v>8361</v>
      </c>
      <c r="K98" s="28">
        <v>43384</v>
      </c>
      <c r="L98">
        <v>1010100</v>
      </c>
      <c r="M98" t="s">
        <v>29</v>
      </c>
      <c r="N98">
        <v>161</v>
      </c>
      <c r="O98" t="s">
        <v>145</v>
      </c>
      <c r="P98" t="s">
        <v>448</v>
      </c>
      <c r="Q98">
        <f t="shared" si="2"/>
        <v>-4207</v>
      </c>
      <c r="R98" t="str">
        <f>_xlfn.XLOOKUP(P98,'Painel Additive'!$B:$B,'Painel Additive'!$B:$B,0)</f>
        <v>GRUPO HERINGER</v>
      </c>
      <c r="S98">
        <f t="shared" si="3"/>
        <v>7020</v>
      </c>
    </row>
    <row r="99" spans="1:19" x14ac:dyDescent="0.25">
      <c r="A99">
        <v>183</v>
      </c>
      <c r="B99" t="s">
        <v>33</v>
      </c>
      <c r="C99" t="s">
        <v>34</v>
      </c>
      <c r="D99" s="32">
        <v>2549.38</v>
      </c>
      <c r="E99">
        <v>1246014163</v>
      </c>
      <c r="F99" s="28">
        <v>50769</v>
      </c>
      <c r="H99" t="s">
        <v>23</v>
      </c>
      <c r="I99" t="s">
        <v>24</v>
      </c>
      <c r="J99">
        <v>8361</v>
      </c>
      <c r="K99" s="28">
        <v>43384</v>
      </c>
      <c r="L99">
        <v>1010100</v>
      </c>
      <c r="M99" t="s">
        <v>29</v>
      </c>
      <c r="N99">
        <v>161</v>
      </c>
      <c r="O99" t="s">
        <v>145</v>
      </c>
      <c r="P99" t="s">
        <v>448</v>
      </c>
      <c r="Q99">
        <f t="shared" si="2"/>
        <v>-4572</v>
      </c>
      <c r="R99" t="str">
        <f>_xlfn.XLOOKUP(P99,'Painel Additive'!$B:$B,'Painel Additive'!$B:$B,0)</f>
        <v>GRUPO HERINGER</v>
      </c>
      <c r="S99">
        <f t="shared" si="3"/>
        <v>7385</v>
      </c>
    </row>
    <row r="100" spans="1:19" x14ac:dyDescent="0.25">
      <c r="A100">
        <v>183</v>
      </c>
      <c r="B100" t="s">
        <v>33</v>
      </c>
      <c r="C100" t="s">
        <v>34</v>
      </c>
      <c r="D100" s="32">
        <v>5546.31</v>
      </c>
      <c r="E100">
        <v>1246014165</v>
      </c>
      <c r="F100" s="28">
        <v>51500</v>
      </c>
      <c r="H100" t="s">
        <v>23</v>
      </c>
      <c r="I100" t="s">
        <v>24</v>
      </c>
      <c r="J100">
        <v>8361</v>
      </c>
      <c r="K100" s="28">
        <v>43384</v>
      </c>
      <c r="L100">
        <v>1010100</v>
      </c>
      <c r="M100" t="s">
        <v>29</v>
      </c>
      <c r="N100">
        <v>161</v>
      </c>
      <c r="O100" t="s">
        <v>145</v>
      </c>
      <c r="P100" t="s">
        <v>448</v>
      </c>
      <c r="Q100">
        <f t="shared" si="2"/>
        <v>-5303</v>
      </c>
      <c r="R100" t="str">
        <f>_xlfn.XLOOKUP(P100,'Painel Additive'!$B:$B,'Painel Additive'!$B:$B,0)</f>
        <v>GRUPO HERINGER</v>
      </c>
      <c r="S100">
        <f t="shared" si="3"/>
        <v>8116</v>
      </c>
    </row>
    <row r="101" spans="1:19" x14ac:dyDescent="0.25">
      <c r="A101">
        <v>183</v>
      </c>
      <c r="B101" t="s">
        <v>33</v>
      </c>
      <c r="C101" t="s">
        <v>34</v>
      </c>
      <c r="D101" s="32">
        <v>5546.31</v>
      </c>
      <c r="E101">
        <v>1246014166</v>
      </c>
      <c r="F101" s="28">
        <v>51865</v>
      </c>
      <c r="H101" t="s">
        <v>23</v>
      </c>
      <c r="I101" t="s">
        <v>24</v>
      </c>
      <c r="J101">
        <v>8361</v>
      </c>
      <c r="K101" s="28">
        <v>43384</v>
      </c>
      <c r="L101">
        <v>1010100</v>
      </c>
      <c r="M101" t="s">
        <v>29</v>
      </c>
      <c r="N101">
        <v>161</v>
      </c>
      <c r="O101" t="s">
        <v>145</v>
      </c>
      <c r="P101" t="s">
        <v>448</v>
      </c>
      <c r="Q101">
        <f t="shared" si="2"/>
        <v>-5668</v>
      </c>
      <c r="R101" t="str">
        <f>_xlfn.XLOOKUP(P101,'Painel Additive'!$B:$B,'Painel Additive'!$B:$B,0)</f>
        <v>GRUPO HERINGER</v>
      </c>
      <c r="S101">
        <f t="shared" si="3"/>
        <v>8481</v>
      </c>
    </row>
    <row r="102" spans="1:19" x14ac:dyDescent="0.25">
      <c r="A102">
        <v>183</v>
      </c>
      <c r="B102" t="s">
        <v>33</v>
      </c>
      <c r="C102" t="s">
        <v>34</v>
      </c>
      <c r="D102" s="32">
        <v>5546.31</v>
      </c>
      <c r="E102">
        <v>1246014167</v>
      </c>
      <c r="F102" s="28">
        <v>52230</v>
      </c>
      <c r="H102" t="s">
        <v>23</v>
      </c>
      <c r="I102" t="s">
        <v>24</v>
      </c>
      <c r="J102">
        <v>8361</v>
      </c>
      <c r="K102" s="28">
        <v>43384</v>
      </c>
      <c r="L102">
        <v>1010100</v>
      </c>
      <c r="M102" t="s">
        <v>29</v>
      </c>
      <c r="N102">
        <v>161</v>
      </c>
      <c r="O102" t="s">
        <v>145</v>
      </c>
      <c r="P102" t="s">
        <v>448</v>
      </c>
      <c r="Q102">
        <f t="shared" si="2"/>
        <v>-6033</v>
      </c>
      <c r="R102" t="str">
        <f>_xlfn.XLOOKUP(P102,'Painel Additive'!$B:$B,'Painel Additive'!$B:$B,0)</f>
        <v>GRUPO HERINGER</v>
      </c>
      <c r="S102">
        <f t="shared" si="3"/>
        <v>8846</v>
      </c>
    </row>
    <row r="103" spans="1:19" x14ac:dyDescent="0.25">
      <c r="A103">
        <v>183</v>
      </c>
      <c r="B103" t="s">
        <v>33</v>
      </c>
      <c r="C103" t="s">
        <v>34</v>
      </c>
      <c r="D103" s="32">
        <v>5546.31</v>
      </c>
      <c r="E103">
        <v>1246014168</v>
      </c>
      <c r="F103" s="28">
        <v>52595</v>
      </c>
      <c r="H103" t="s">
        <v>23</v>
      </c>
      <c r="I103" t="s">
        <v>24</v>
      </c>
      <c r="J103">
        <v>8361</v>
      </c>
      <c r="K103" s="28">
        <v>43384</v>
      </c>
      <c r="L103">
        <v>1010100</v>
      </c>
      <c r="M103" t="s">
        <v>29</v>
      </c>
      <c r="N103">
        <v>161</v>
      </c>
      <c r="O103" t="s">
        <v>145</v>
      </c>
      <c r="P103" t="s">
        <v>448</v>
      </c>
      <c r="Q103">
        <f t="shared" si="2"/>
        <v>-6398</v>
      </c>
      <c r="R103" t="str">
        <f>_xlfn.XLOOKUP(P103,'Painel Additive'!$B:$B,'Painel Additive'!$B:$B,0)</f>
        <v>GRUPO HERINGER</v>
      </c>
      <c r="S103">
        <f t="shared" si="3"/>
        <v>9211</v>
      </c>
    </row>
    <row r="104" spans="1:19" x14ac:dyDescent="0.25">
      <c r="A104">
        <v>183</v>
      </c>
      <c r="B104" t="s">
        <v>33</v>
      </c>
      <c r="C104" t="s">
        <v>34</v>
      </c>
      <c r="D104" s="32">
        <v>5546.31</v>
      </c>
      <c r="E104">
        <v>1246014169</v>
      </c>
      <c r="F104" s="28">
        <v>52961</v>
      </c>
      <c r="H104" t="s">
        <v>23</v>
      </c>
      <c r="I104" t="s">
        <v>24</v>
      </c>
      <c r="J104">
        <v>8361</v>
      </c>
      <c r="K104" s="28">
        <v>43384</v>
      </c>
      <c r="L104">
        <v>1010100</v>
      </c>
      <c r="M104" t="s">
        <v>29</v>
      </c>
      <c r="N104">
        <v>161</v>
      </c>
      <c r="O104" t="s">
        <v>145</v>
      </c>
      <c r="P104" t="s">
        <v>448</v>
      </c>
      <c r="Q104">
        <f t="shared" si="2"/>
        <v>-6764</v>
      </c>
      <c r="R104" t="str">
        <f>_xlfn.XLOOKUP(P104,'Painel Additive'!$B:$B,'Painel Additive'!$B:$B,0)</f>
        <v>GRUPO HERINGER</v>
      </c>
      <c r="S104">
        <f t="shared" si="3"/>
        <v>9577</v>
      </c>
    </row>
    <row r="105" spans="1:19" x14ac:dyDescent="0.25">
      <c r="A105">
        <v>183</v>
      </c>
      <c r="B105" t="s">
        <v>33</v>
      </c>
      <c r="C105" t="s">
        <v>34</v>
      </c>
      <c r="D105" s="32">
        <v>5568.96</v>
      </c>
      <c r="E105">
        <v>1246014170</v>
      </c>
      <c r="F105" s="28">
        <v>53326</v>
      </c>
      <c r="H105" t="s">
        <v>23</v>
      </c>
      <c r="I105" t="s">
        <v>24</v>
      </c>
      <c r="J105">
        <v>8361</v>
      </c>
      <c r="K105" s="28">
        <v>43384</v>
      </c>
      <c r="L105">
        <v>1010100</v>
      </c>
      <c r="M105" t="s">
        <v>29</v>
      </c>
      <c r="N105">
        <v>161</v>
      </c>
      <c r="O105" t="s">
        <v>145</v>
      </c>
      <c r="P105" t="s">
        <v>448</v>
      </c>
      <c r="Q105">
        <f t="shared" si="2"/>
        <v>-7129</v>
      </c>
      <c r="R105" t="str">
        <f>_xlfn.XLOOKUP(P105,'Painel Additive'!$B:$B,'Painel Additive'!$B:$B,0)</f>
        <v>GRUPO HERINGER</v>
      </c>
      <c r="S105">
        <f t="shared" si="3"/>
        <v>9942</v>
      </c>
    </row>
    <row r="106" spans="1:19" x14ac:dyDescent="0.25">
      <c r="A106">
        <v>183</v>
      </c>
      <c r="B106" t="s">
        <v>33</v>
      </c>
      <c r="C106" t="s">
        <v>34</v>
      </c>
      <c r="D106" s="32">
        <v>2487.06</v>
      </c>
      <c r="E106">
        <v>1246137877</v>
      </c>
      <c r="F106" s="28">
        <v>49673</v>
      </c>
      <c r="H106" t="s">
        <v>23</v>
      </c>
      <c r="I106" t="s">
        <v>24</v>
      </c>
      <c r="J106">
        <v>8361</v>
      </c>
      <c r="K106" s="28">
        <v>43384</v>
      </c>
      <c r="L106">
        <v>1010100</v>
      </c>
      <c r="M106" t="s">
        <v>29</v>
      </c>
      <c r="N106">
        <v>161</v>
      </c>
      <c r="O106" t="s">
        <v>145</v>
      </c>
      <c r="P106" t="s">
        <v>448</v>
      </c>
      <c r="Q106">
        <f t="shared" si="2"/>
        <v>-3476</v>
      </c>
      <c r="R106" t="str">
        <f>_xlfn.XLOOKUP(P106,'Painel Additive'!$B:$B,'Painel Additive'!$B:$B,0)</f>
        <v>GRUPO HERINGER</v>
      </c>
      <c r="S106">
        <f t="shared" si="3"/>
        <v>6289</v>
      </c>
    </row>
    <row r="107" spans="1:19" x14ac:dyDescent="0.25">
      <c r="A107">
        <v>183</v>
      </c>
      <c r="B107" t="s">
        <v>33</v>
      </c>
      <c r="C107" t="s">
        <v>34</v>
      </c>
      <c r="D107" s="32">
        <v>2151.75</v>
      </c>
      <c r="E107">
        <v>1246265345</v>
      </c>
      <c r="F107" s="28">
        <v>47482</v>
      </c>
      <c r="H107" t="s">
        <v>23</v>
      </c>
      <c r="I107" t="s">
        <v>24</v>
      </c>
      <c r="J107">
        <v>8361</v>
      </c>
      <c r="K107" s="28">
        <v>43384</v>
      </c>
      <c r="L107">
        <v>1010100</v>
      </c>
      <c r="M107" t="s">
        <v>29</v>
      </c>
      <c r="N107">
        <v>161</v>
      </c>
      <c r="O107" t="s">
        <v>145</v>
      </c>
      <c r="P107" t="s">
        <v>448</v>
      </c>
      <c r="Q107">
        <f t="shared" si="2"/>
        <v>-1285</v>
      </c>
      <c r="R107" t="str">
        <f>_xlfn.XLOOKUP(P107,'Painel Additive'!$B:$B,'Painel Additive'!$B:$B,0)</f>
        <v>GRUPO HERINGER</v>
      </c>
      <c r="S107">
        <f t="shared" si="3"/>
        <v>4098</v>
      </c>
    </row>
    <row r="108" spans="1:19" x14ac:dyDescent="0.25">
      <c r="A108">
        <v>183</v>
      </c>
      <c r="B108" t="s">
        <v>33</v>
      </c>
      <c r="C108" t="s">
        <v>34</v>
      </c>
      <c r="D108" s="32">
        <v>2104.2399999999998</v>
      </c>
      <c r="E108">
        <v>1246233818</v>
      </c>
      <c r="F108" s="28">
        <v>51134</v>
      </c>
      <c r="H108" t="s">
        <v>23</v>
      </c>
      <c r="I108" t="s">
        <v>24</v>
      </c>
      <c r="J108">
        <v>8361</v>
      </c>
      <c r="K108" s="28">
        <v>43384</v>
      </c>
      <c r="L108">
        <v>1010100</v>
      </c>
      <c r="M108" t="s">
        <v>29</v>
      </c>
      <c r="N108">
        <v>161</v>
      </c>
      <c r="O108" t="s">
        <v>145</v>
      </c>
      <c r="P108" t="s">
        <v>448</v>
      </c>
      <c r="Q108">
        <f t="shared" si="2"/>
        <v>-4937</v>
      </c>
      <c r="R108" t="str">
        <f>_xlfn.XLOOKUP(P108,'Painel Additive'!$B:$B,'Painel Additive'!$B:$B,0)</f>
        <v>GRUPO HERINGER</v>
      </c>
      <c r="S108">
        <f t="shared" si="3"/>
        <v>7750</v>
      </c>
    </row>
    <row r="109" spans="1:19" x14ac:dyDescent="0.25">
      <c r="A109">
        <v>1023</v>
      </c>
      <c r="B109" t="s">
        <v>49</v>
      </c>
      <c r="C109" t="s">
        <v>772</v>
      </c>
      <c r="D109" s="32">
        <v>29520</v>
      </c>
      <c r="E109">
        <v>1246273185</v>
      </c>
      <c r="F109" s="28">
        <v>46202</v>
      </c>
      <c r="H109" t="s">
        <v>23</v>
      </c>
      <c r="I109" t="s">
        <v>24</v>
      </c>
      <c r="J109">
        <v>11269</v>
      </c>
      <c r="K109" s="28">
        <v>46142</v>
      </c>
      <c r="L109">
        <v>1010100</v>
      </c>
      <c r="M109" t="s">
        <v>29</v>
      </c>
      <c r="N109">
        <v>161</v>
      </c>
      <c r="O109" t="s">
        <v>145</v>
      </c>
      <c r="P109" t="s">
        <v>358</v>
      </c>
      <c r="Q109">
        <f t="shared" si="2"/>
        <v>-5</v>
      </c>
      <c r="R109" t="str">
        <f>_xlfn.XLOOKUP(P109,'Painel Additive'!$B:$B,'Painel Additive'!$B:$B,0)</f>
        <v>GRUPO ADUBOS ARAGUAIA</v>
      </c>
      <c r="S109">
        <f t="shared" si="3"/>
        <v>60</v>
      </c>
    </row>
    <row r="110" spans="1:19" x14ac:dyDescent="0.25">
      <c r="A110">
        <v>1792</v>
      </c>
      <c r="B110" t="s">
        <v>697</v>
      </c>
      <c r="C110" t="s">
        <v>63</v>
      </c>
      <c r="D110" s="32">
        <v>116676.6</v>
      </c>
      <c r="E110">
        <v>1246272414</v>
      </c>
      <c r="F110" s="28">
        <v>46226</v>
      </c>
      <c r="H110" t="s">
        <v>23</v>
      </c>
      <c r="I110" t="s">
        <v>24</v>
      </c>
      <c r="J110">
        <v>11211</v>
      </c>
      <c r="K110" s="28">
        <v>46136</v>
      </c>
      <c r="L110">
        <v>1010100</v>
      </c>
      <c r="M110" t="s">
        <v>29</v>
      </c>
      <c r="N110">
        <v>161</v>
      </c>
      <c r="O110" t="s">
        <v>145</v>
      </c>
      <c r="P110" t="s">
        <v>449</v>
      </c>
      <c r="Q110">
        <f t="shared" si="2"/>
        <v>-29</v>
      </c>
      <c r="R110" t="str">
        <f>_xlfn.XLOOKUP(P110,'Painel Additive'!$B:$B,'Painel Additive'!$B:$B,0)</f>
        <v>GRUPO MOSAIC FERTILIZANTES P K LTDA</v>
      </c>
      <c r="S110">
        <f t="shared" si="3"/>
        <v>90</v>
      </c>
    </row>
    <row r="111" spans="1:19" ht="11.4" customHeight="1" x14ac:dyDescent="0.25">
      <c r="A111">
        <v>1792</v>
      </c>
      <c r="B111" t="s">
        <v>697</v>
      </c>
      <c r="C111" t="s">
        <v>63</v>
      </c>
      <c r="D111" s="32">
        <v>122099.76</v>
      </c>
      <c r="E111">
        <v>1246280065</v>
      </c>
      <c r="F111" s="28">
        <v>46281</v>
      </c>
      <c r="H111" t="s">
        <v>23</v>
      </c>
      <c r="I111" t="s">
        <v>24</v>
      </c>
      <c r="J111">
        <v>11744</v>
      </c>
      <c r="K111" s="28">
        <v>46191</v>
      </c>
      <c r="L111">
        <v>1010100</v>
      </c>
      <c r="M111" t="s">
        <v>29</v>
      </c>
      <c r="N111">
        <v>161</v>
      </c>
      <c r="O111" t="s">
        <v>145</v>
      </c>
      <c r="P111" t="s">
        <v>449</v>
      </c>
      <c r="Q111">
        <f t="shared" si="2"/>
        <v>-84</v>
      </c>
      <c r="R111" t="str">
        <f>_xlfn.XLOOKUP(P111,'Painel Additive'!$B:$B,'Painel Additive'!$B:$B,0)</f>
        <v>GRUPO MOSAIC FERTILIZANTES P K LTDA</v>
      </c>
      <c r="S111">
        <f t="shared" si="3"/>
        <v>90</v>
      </c>
    </row>
    <row r="112" spans="1:19" x14ac:dyDescent="0.25">
      <c r="A112">
        <v>1792</v>
      </c>
      <c r="B112" t="s">
        <v>697</v>
      </c>
      <c r="C112" t="s">
        <v>63</v>
      </c>
      <c r="D112" s="32">
        <v>118681.67</v>
      </c>
      <c r="E112">
        <v>1246275366</v>
      </c>
      <c r="F112" s="28">
        <v>46247</v>
      </c>
      <c r="H112" t="s">
        <v>23</v>
      </c>
      <c r="I112" t="s">
        <v>24</v>
      </c>
      <c r="J112">
        <v>11404</v>
      </c>
      <c r="K112" s="28">
        <v>46157</v>
      </c>
      <c r="L112">
        <v>1010100</v>
      </c>
      <c r="M112" t="s">
        <v>29</v>
      </c>
      <c r="N112">
        <v>161</v>
      </c>
      <c r="O112" t="s">
        <v>145</v>
      </c>
      <c r="P112" t="s">
        <v>449</v>
      </c>
      <c r="Q112">
        <f t="shared" si="2"/>
        <v>-50</v>
      </c>
      <c r="R112" t="str">
        <f>_xlfn.XLOOKUP(P112,'Painel Additive'!$B:$B,'Painel Additive'!$B:$B,0)</f>
        <v>GRUPO MOSAIC FERTILIZANTES P K LTDA</v>
      </c>
      <c r="S112">
        <f t="shared" si="3"/>
        <v>90</v>
      </c>
    </row>
    <row r="113" spans="1:19" x14ac:dyDescent="0.25">
      <c r="A113">
        <v>1792</v>
      </c>
      <c r="B113" t="s">
        <v>697</v>
      </c>
      <c r="C113" t="s">
        <v>63</v>
      </c>
      <c r="D113" s="32">
        <v>125133.29</v>
      </c>
      <c r="E113">
        <v>1246278374</v>
      </c>
      <c r="F113" s="28">
        <v>46268</v>
      </c>
      <c r="H113" t="s">
        <v>23</v>
      </c>
      <c r="I113" t="s">
        <v>24</v>
      </c>
      <c r="J113">
        <v>11610</v>
      </c>
      <c r="K113" s="28">
        <v>46178</v>
      </c>
      <c r="L113">
        <v>1010100</v>
      </c>
      <c r="M113" t="s">
        <v>29</v>
      </c>
      <c r="N113">
        <v>161</v>
      </c>
      <c r="O113" t="s">
        <v>145</v>
      </c>
      <c r="P113" t="s">
        <v>449</v>
      </c>
      <c r="Q113">
        <f t="shared" si="2"/>
        <v>-71</v>
      </c>
      <c r="R113" t="str">
        <f>_xlfn.XLOOKUP(P113,'Painel Additive'!$B:$B,'Painel Additive'!$B:$B,0)</f>
        <v>GRUPO MOSAIC FERTILIZANTES P K LTDA</v>
      </c>
      <c r="S113">
        <f t="shared" si="3"/>
        <v>90</v>
      </c>
    </row>
    <row r="114" spans="1:19" x14ac:dyDescent="0.25">
      <c r="A114">
        <v>1792</v>
      </c>
      <c r="B114" t="s">
        <v>697</v>
      </c>
      <c r="C114" t="s">
        <v>63</v>
      </c>
      <c r="D114" s="32">
        <v>118092.47</v>
      </c>
      <c r="E114">
        <v>1246277506</v>
      </c>
      <c r="F114" s="28">
        <v>46261</v>
      </c>
      <c r="H114" t="s">
        <v>23</v>
      </c>
      <c r="I114" t="s">
        <v>24</v>
      </c>
      <c r="J114">
        <v>11561</v>
      </c>
      <c r="K114" s="28">
        <v>46171</v>
      </c>
      <c r="L114">
        <v>1010100</v>
      </c>
      <c r="M114" t="s">
        <v>29</v>
      </c>
      <c r="N114">
        <v>161</v>
      </c>
      <c r="O114" t="s">
        <v>145</v>
      </c>
      <c r="P114" t="s">
        <v>449</v>
      </c>
      <c r="Q114">
        <f t="shared" si="2"/>
        <v>-64</v>
      </c>
      <c r="R114" t="str">
        <f>_xlfn.XLOOKUP(P114,'Painel Additive'!$B:$B,'Painel Additive'!$B:$B,0)</f>
        <v>GRUPO MOSAIC FERTILIZANTES P K LTDA</v>
      </c>
      <c r="S114">
        <f t="shared" si="3"/>
        <v>90</v>
      </c>
    </row>
    <row r="115" spans="1:19" x14ac:dyDescent="0.25">
      <c r="A115">
        <v>1792</v>
      </c>
      <c r="B115" t="s">
        <v>697</v>
      </c>
      <c r="C115" t="s">
        <v>63</v>
      </c>
      <c r="D115" s="32">
        <v>117260.4</v>
      </c>
      <c r="E115">
        <v>1246270521</v>
      </c>
      <c r="F115" s="28">
        <v>46209</v>
      </c>
      <c r="H115" t="s">
        <v>23</v>
      </c>
      <c r="I115" t="s">
        <v>24</v>
      </c>
      <c r="J115">
        <v>11066</v>
      </c>
      <c r="K115" s="28">
        <v>46119</v>
      </c>
      <c r="L115">
        <v>1010100</v>
      </c>
      <c r="M115" t="s">
        <v>29</v>
      </c>
      <c r="N115">
        <v>161</v>
      </c>
      <c r="O115" t="s">
        <v>145</v>
      </c>
      <c r="P115" t="s">
        <v>449</v>
      </c>
      <c r="Q115">
        <f t="shared" si="2"/>
        <v>-12</v>
      </c>
      <c r="R115" t="str">
        <f>_xlfn.XLOOKUP(P115,'Painel Additive'!$B:$B,'Painel Additive'!$B:$B,0)</f>
        <v>GRUPO MOSAIC FERTILIZANTES P K LTDA</v>
      </c>
      <c r="S115">
        <f t="shared" si="3"/>
        <v>90</v>
      </c>
    </row>
    <row r="116" spans="1:19" x14ac:dyDescent="0.25">
      <c r="A116">
        <v>1792</v>
      </c>
      <c r="B116" t="s">
        <v>697</v>
      </c>
      <c r="C116" t="s">
        <v>63</v>
      </c>
      <c r="D116" s="32">
        <v>118892.1</v>
      </c>
      <c r="E116">
        <v>1246276278</v>
      </c>
      <c r="F116" s="28">
        <v>46254</v>
      </c>
      <c r="H116" t="s">
        <v>23</v>
      </c>
      <c r="I116" t="s">
        <v>24</v>
      </c>
      <c r="J116">
        <v>11472</v>
      </c>
      <c r="K116" s="28">
        <v>46164</v>
      </c>
      <c r="L116">
        <v>1010100</v>
      </c>
      <c r="M116" t="s">
        <v>29</v>
      </c>
      <c r="N116">
        <v>161</v>
      </c>
      <c r="O116" t="s">
        <v>145</v>
      </c>
      <c r="P116" t="s">
        <v>449</v>
      </c>
      <c r="Q116">
        <f t="shared" si="2"/>
        <v>-57</v>
      </c>
      <c r="R116" t="str">
        <f>_xlfn.XLOOKUP(P116,'Painel Additive'!$B:$B,'Painel Additive'!$B:$B,0)</f>
        <v>GRUPO MOSAIC FERTILIZANTES P K LTDA</v>
      </c>
      <c r="S116">
        <f t="shared" si="3"/>
        <v>90</v>
      </c>
    </row>
    <row r="117" spans="1:19" x14ac:dyDescent="0.25">
      <c r="A117">
        <v>1792</v>
      </c>
      <c r="B117" t="s">
        <v>697</v>
      </c>
      <c r="C117" t="s">
        <v>63</v>
      </c>
      <c r="D117" s="32">
        <v>123661.14</v>
      </c>
      <c r="E117">
        <v>1246280265</v>
      </c>
      <c r="F117" s="28">
        <v>46282</v>
      </c>
      <c r="H117" t="s">
        <v>23</v>
      </c>
      <c r="I117" t="s">
        <v>24</v>
      </c>
      <c r="J117">
        <v>11766</v>
      </c>
      <c r="K117" s="28">
        <v>46192</v>
      </c>
      <c r="L117">
        <v>1010100</v>
      </c>
      <c r="M117" t="s">
        <v>29</v>
      </c>
      <c r="N117">
        <v>161</v>
      </c>
      <c r="O117" t="s">
        <v>145</v>
      </c>
      <c r="P117" t="s">
        <v>449</v>
      </c>
      <c r="Q117">
        <f t="shared" si="2"/>
        <v>-85</v>
      </c>
      <c r="R117" t="str">
        <f>_xlfn.XLOOKUP(P117,'Painel Additive'!$B:$B,'Painel Additive'!$B:$B,0)</f>
        <v>GRUPO MOSAIC FERTILIZANTES P K LTDA</v>
      </c>
      <c r="S117">
        <f t="shared" si="3"/>
        <v>90</v>
      </c>
    </row>
    <row r="118" spans="1:19" x14ac:dyDescent="0.25">
      <c r="A118">
        <v>1792</v>
      </c>
      <c r="B118" t="s">
        <v>697</v>
      </c>
      <c r="C118" t="s">
        <v>63</v>
      </c>
      <c r="D118" s="32">
        <v>115675.8</v>
      </c>
      <c r="E118">
        <v>1246273463</v>
      </c>
      <c r="F118" s="28">
        <v>46236</v>
      </c>
      <c r="H118" t="s">
        <v>23</v>
      </c>
      <c r="I118" t="s">
        <v>24</v>
      </c>
      <c r="J118">
        <v>11288</v>
      </c>
      <c r="K118" s="28">
        <v>46146</v>
      </c>
      <c r="L118">
        <v>1010100</v>
      </c>
      <c r="M118" t="s">
        <v>29</v>
      </c>
      <c r="N118">
        <v>161</v>
      </c>
      <c r="O118" t="s">
        <v>145</v>
      </c>
      <c r="P118" t="s">
        <v>449</v>
      </c>
      <c r="Q118">
        <f t="shared" si="2"/>
        <v>-39</v>
      </c>
      <c r="R118" t="str">
        <f>_xlfn.XLOOKUP(P118,'Painel Additive'!$B:$B,'Painel Additive'!$B:$B,0)</f>
        <v>GRUPO MOSAIC FERTILIZANTES P K LTDA</v>
      </c>
      <c r="S118">
        <f t="shared" si="3"/>
        <v>90</v>
      </c>
    </row>
    <row r="119" spans="1:19" x14ac:dyDescent="0.25">
      <c r="A119">
        <v>1792</v>
      </c>
      <c r="B119" t="s">
        <v>697</v>
      </c>
      <c r="C119" t="s">
        <v>63</v>
      </c>
      <c r="D119" s="32">
        <v>127140.78</v>
      </c>
      <c r="E119">
        <v>1246278949</v>
      </c>
      <c r="F119" s="28">
        <v>46273</v>
      </c>
      <c r="H119" t="s">
        <v>23</v>
      </c>
      <c r="I119" t="s">
        <v>24</v>
      </c>
      <c r="J119">
        <v>11665</v>
      </c>
      <c r="K119" s="28">
        <v>46183</v>
      </c>
      <c r="L119">
        <v>1010100</v>
      </c>
      <c r="M119" t="s">
        <v>29</v>
      </c>
      <c r="N119">
        <v>161</v>
      </c>
      <c r="O119" t="s">
        <v>145</v>
      </c>
      <c r="P119" t="s">
        <v>449</v>
      </c>
      <c r="Q119">
        <f t="shared" si="2"/>
        <v>-76</v>
      </c>
      <c r="R119" t="str">
        <f>_xlfn.XLOOKUP(P119,'Painel Additive'!$B:$B,'Painel Additive'!$B:$B,0)</f>
        <v>GRUPO MOSAIC FERTILIZANTES P K LTDA</v>
      </c>
      <c r="S119">
        <f t="shared" si="3"/>
        <v>90</v>
      </c>
    </row>
    <row r="120" spans="1:19" x14ac:dyDescent="0.25">
      <c r="A120">
        <v>1792</v>
      </c>
      <c r="B120" t="s">
        <v>697</v>
      </c>
      <c r="C120" t="s">
        <v>63</v>
      </c>
      <c r="D120" s="32">
        <v>115314.82</v>
      </c>
      <c r="E120">
        <v>1246274283</v>
      </c>
      <c r="F120" s="28">
        <v>46243</v>
      </c>
      <c r="H120" t="s">
        <v>23</v>
      </c>
      <c r="I120" t="s">
        <v>24</v>
      </c>
      <c r="J120">
        <v>11341</v>
      </c>
      <c r="K120" s="28">
        <v>46153</v>
      </c>
      <c r="L120">
        <v>1010100</v>
      </c>
      <c r="M120" t="s">
        <v>29</v>
      </c>
      <c r="N120">
        <v>161</v>
      </c>
      <c r="O120" t="s">
        <v>145</v>
      </c>
      <c r="P120" t="s">
        <v>449</v>
      </c>
      <c r="Q120">
        <f t="shared" si="2"/>
        <v>-46</v>
      </c>
      <c r="R120" t="str">
        <f>_xlfn.XLOOKUP(P120,'Painel Additive'!$B:$B,'Painel Additive'!$B:$B,0)</f>
        <v>GRUPO MOSAIC FERTILIZANTES P K LTDA</v>
      </c>
      <c r="S120">
        <f t="shared" si="3"/>
        <v>90</v>
      </c>
    </row>
    <row r="121" spans="1:19" x14ac:dyDescent="0.25">
      <c r="A121">
        <v>1792</v>
      </c>
      <c r="B121" t="s">
        <v>697</v>
      </c>
      <c r="C121" t="s">
        <v>63</v>
      </c>
      <c r="D121" s="32">
        <v>116760</v>
      </c>
      <c r="E121">
        <v>1246270240</v>
      </c>
      <c r="F121" s="28">
        <v>46204</v>
      </c>
      <c r="H121" t="s">
        <v>23</v>
      </c>
      <c r="I121" t="s">
        <v>24</v>
      </c>
      <c r="J121">
        <v>11049</v>
      </c>
      <c r="K121" s="28">
        <v>46114</v>
      </c>
      <c r="L121">
        <v>1010100</v>
      </c>
      <c r="M121" t="s">
        <v>29</v>
      </c>
      <c r="N121">
        <v>161</v>
      </c>
      <c r="O121" t="s">
        <v>145</v>
      </c>
      <c r="P121" t="s">
        <v>449</v>
      </c>
      <c r="Q121">
        <f t="shared" si="2"/>
        <v>-7</v>
      </c>
      <c r="R121" t="str">
        <f>_xlfn.XLOOKUP(P121,'Painel Additive'!$B:$B,'Painel Additive'!$B:$B,0)</f>
        <v>GRUPO MOSAIC FERTILIZANTES P K LTDA</v>
      </c>
      <c r="S121">
        <f t="shared" si="3"/>
        <v>90</v>
      </c>
    </row>
    <row r="122" spans="1:19" x14ac:dyDescent="0.25">
      <c r="A122">
        <v>1792</v>
      </c>
      <c r="B122" t="s">
        <v>697</v>
      </c>
      <c r="C122" t="s">
        <v>63</v>
      </c>
      <c r="D122" s="32">
        <v>117051.9</v>
      </c>
      <c r="E122">
        <v>1246269741</v>
      </c>
      <c r="F122" s="28">
        <v>46202</v>
      </c>
      <c r="H122" t="s">
        <v>23</v>
      </c>
      <c r="I122" t="s">
        <v>24</v>
      </c>
      <c r="J122">
        <v>11015</v>
      </c>
      <c r="K122" s="28">
        <v>46112</v>
      </c>
      <c r="L122">
        <v>1010100</v>
      </c>
      <c r="M122" t="s">
        <v>29</v>
      </c>
      <c r="N122">
        <v>161</v>
      </c>
      <c r="O122" t="s">
        <v>145</v>
      </c>
      <c r="P122" t="s">
        <v>449</v>
      </c>
      <c r="Q122">
        <f t="shared" si="2"/>
        <v>-5</v>
      </c>
      <c r="R122" t="str">
        <f>_xlfn.XLOOKUP(P122,'Painel Additive'!$B:$B,'Painel Additive'!$B:$B,0)</f>
        <v>GRUPO MOSAIC FERTILIZANTES P K LTDA</v>
      </c>
      <c r="S122">
        <f t="shared" si="3"/>
        <v>90</v>
      </c>
    </row>
    <row r="123" spans="1:19" x14ac:dyDescent="0.25">
      <c r="A123">
        <v>1792</v>
      </c>
      <c r="B123" t="s">
        <v>697</v>
      </c>
      <c r="C123" t="s">
        <v>63</v>
      </c>
      <c r="D123" s="32">
        <v>125088.68</v>
      </c>
      <c r="E123">
        <v>1246281177</v>
      </c>
      <c r="F123" s="28">
        <v>46288</v>
      </c>
      <c r="H123" t="s">
        <v>23</v>
      </c>
      <c r="I123" t="s">
        <v>24</v>
      </c>
      <c r="J123">
        <v>11822</v>
      </c>
      <c r="K123" s="28">
        <v>46198</v>
      </c>
      <c r="L123">
        <v>1010100</v>
      </c>
      <c r="M123" t="s">
        <v>29</v>
      </c>
      <c r="N123">
        <v>161</v>
      </c>
      <c r="O123" t="s">
        <v>145</v>
      </c>
      <c r="P123" t="s">
        <v>449</v>
      </c>
      <c r="Q123">
        <f t="shared" si="2"/>
        <v>-91</v>
      </c>
      <c r="R123" t="str">
        <f>_xlfn.XLOOKUP(P123,'Painel Additive'!$B:$B,'Painel Additive'!$B:$B,0)</f>
        <v>GRUPO MOSAIC FERTILIZANTES P K LTDA</v>
      </c>
      <c r="S123">
        <f t="shared" si="3"/>
        <v>90</v>
      </c>
    </row>
    <row r="124" spans="1:19" x14ac:dyDescent="0.25">
      <c r="A124">
        <v>1792</v>
      </c>
      <c r="B124" t="s">
        <v>697</v>
      </c>
      <c r="C124" t="s">
        <v>63</v>
      </c>
      <c r="D124" s="32">
        <v>115842.6</v>
      </c>
      <c r="E124">
        <v>1246271433</v>
      </c>
      <c r="F124" s="28">
        <v>46217</v>
      </c>
      <c r="H124" t="s">
        <v>23</v>
      </c>
      <c r="I124" t="s">
        <v>24</v>
      </c>
      <c r="J124">
        <v>11125</v>
      </c>
      <c r="K124" s="28">
        <v>46127</v>
      </c>
      <c r="L124">
        <v>1010100</v>
      </c>
      <c r="M124" t="s">
        <v>29</v>
      </c>
      <c r="N124">
        <v>161</v>
      </c>
      <c r="O124" t="s">
        <v>145</v>
      </c>
      <c r="P124" t="s">
        <v>449</v>
      </c>
      <c r="Q124">
        <f t="shared" si="2"/>
        <v>-20</v>
      </c>
      <c r="R124" t="str">
        <f>_xlfn.XLOOKUP(P124,'Painel Additive'!$B:$B,'Painel Additive'!$B:$B,0)</f>
        <v>GRUPO MOSAIC FERTILIZANTES P K LTDA</v>
      </c>
      <c r="S124">
        <f t="shared" si="3"/>
        <v>90</v>
      </c>
    </row>
    <row r="125" spans="1:19" x14ac:dyDescent="0.25">
      <c r="A125">
        <v>1792</v>
      </c>
      <c r="B125" t="s">
        <v>697</v>
      </c>
      <c r="C125" t="s">
        <v>63</v>
      </c>
      <c r="D125" s="32">
        <v>116134.5</v>
      </c>
      <c r="E125">
        <v>1246271003</v>
      </c>
      <c r="F125" s="28">
        <v>46212</v>
      </c>
      <c r="H125" t="s">
        <v>23</v>
      </c>
      <c r="I125" t="s">
        <v>24</v>
      </c>
      <c r="J125">
        <v>11092</v>
      </c>
      <c r="K125" s="28">
        <v>46122</v>
      </c>
      <c r="L125">
        <v>1010100</v>
      </c>
      <c r="M125" t="s">
        <v>29</v>
      </c>
      <c r="N125">
        <v>161</v>
      </c>
      <c r="O125" t="s">
        <v>145</v>
      </c>
      <c r="P125" t="s">
        <v>449</v>
      </c>
      <c r="Q125">
        <f t="shared" si="2"/>
        <v>-15</v>
      </c>
      <c r="R125" t="str">
        <f>_xlfn.XLOOKUP(P125,'Painel Additive'!$B:$B,'Painel Additive'!$B:$B,0)</f>
        <v>GRUPO MOSAIC FERTILIZANTES P K LTDA</v>
      </c>
      <c r="S125">
        <f t="shared" si="3"/>
        <v>90</v>
      </c>
    </row>
    <row r="126" spans="1:19" x14ac:dyDescent="0.25">
      <c r="A126">
        <v>1792</v>
      </c>
      <c r="B126" t="s">
        <v>697</v>
      </c>
      <c r="C126" t="s">
        <v>63</v>
      </c>
      <c r="D126" s="32">
        <v>120471.3</v>
      </c>
      <c r="E126">
        <v>1246272043</v>
      </c>
      <c r="F126" s="28">
        <v>46224</v>
      </c>
      <c r="H126" t="s">
        <v>23</v>
      </c>
      <c r="I126" t="s">
        <v>24</v>
      </c>
      <c r="J126">
        <v>11190</v>
      </c>
      <c r="K126" s="28">
        <v>46134</v>
      </c>
      <c r="L126">
        <v>1010100</v>
      </c>
      <c r="M126" t="s">
        <v>29</v>
      </c>
      <c r="N126">
        <v>161</v>
      </c>
      <c r="O126" t="s">
        <v>145</v>
      </c>
      <c r="P126" t="s">
        <v>449</v>
      </c>
      <c r="Q126">
        <f t="shared" si="2"/>
        <v>-27</v>
      </c>
      <c r="R126" t="str">
        <f>_xlfn.XLOOKUP(P126,'Painel Additive'!$B:$B,'Painel Additive'!$B:$B,0)</f>
        <v>GRUPO MOSAIC FERTILIZANTES P K LTDA</v>
      </c>
      <c r="S126">
        <f t="shared" si="3"/>
        <v>90</v>
      </c>
    </row>
    <row r="127" spans="1:19" x14ac:dyDescent="0.25">
      <c r="A127">
        <v>506</v>
      </c>
      <c r="B127" t="s">
        <v>1039</v>
      </c>
      <c r="C127" t="s">
        <v>15620</v>
      </c>
      <c r="D127" s="32">
        <v>68500</v>
      </c>
      <c r="E127">
        <v>1246280475</v>
      </c>
      <c r="F127" s="28">
        <v>46223</v>
      </c>
      <c r="H127" t="s">
        <v>23</v>
      </c>
      <c r="I127" t="s">
        <v>24</v>
      </c>
      <c r="J127">
        <v>11786</v>
      </c>
      <c r="K127" s="28">
        <v>46195</v>
      </c>
      <c r="L127">
        <v>1010100</v>
      </c>
      <c r="M127" t="s">
        <v>29</v>
      </c>
      <c r="N127">
        <v>161</v>
      </c>
      <c r="O127" t="s">
        <v>145</v>
      </c>
      <c r="P127" t="s">
        <v>508</v>
      </c>
      <c r="Q127">
        <f t="shared" si="2"/>
        <v>-26</v>
      </c>
      <c r="R127" t="str">
        <f>_xlfn.XLOOKUP(P127,'Painel Additive'!$B:$B,'Painel Additive'!$B:$B,0)</f>
        <v>GRUPO FERTINOR</v>
      </c>
      <c r="S127">
        <f t="shared" si="3"/>
        <v>28</v>
      </c>
    </row>
    <row r="128" spans="1:19" x14ac:dyDescent="0.25">
      <c r="A128">
        <v>201</v>
      </c>
      <c r="B128" t="s">
        <v>288</v>
      </c>
      <c r="C128" t="s">
        <v>758</v>
      </c>
      <c r="D128" s="32">
        <v>185040</v>
      </c>
      <c r="E128">
        <v>1246269671</v>
      </c>
      <c r="F128" s="28">
        <v>46231</v>
      </c>
      <c r="H128" t="s">
        <v>23</v>
      </c>
      <c r="I128" t="s">
        <v>24</v>
      </c>
      <c r="J128">
        <v>2855</v>
      </c>
      <c r="K128" s="28">
        <v>46111</v>
      </c>
      <c r="L128">
        <v>1010100</v>
      </c>
      <c r="M128" t="s">
        <v>29</v>
      </c>
      <c r="N128">
        <v>161</v>
      </c>
      <c r="O128" t="s">
        <v>145</v>
      </c>
      <c r="P128" t="s">
        <v>369</v>
      </c>
      <c r="Q128">
        <f t="shared" si="2"/>
        <v>-34</v>
      </c>
      <c r="R128" t="str">
        <f>_xlfn.XLOOKUP(P128,'Painel Additive'!$B:$B,'Painel Additive'!$B:$B,0)</f>
        <v>GRUPO JOSAPAR</v>
      </c>
      <c r="S128">
        <f t="shared" si="3"/>
        <v>120</v>
      </c>
    </row>
    <row r="129" spans="1:19" x14ac:dyDescent="0.25">
      <c r="A129">
        <v>903</v>
      </c>
      <c r="B129" t="s">
        <v>47</v>
      </c>
      <c r="C129" t="s">
        <v>48</v>
      </c>
      <c r="D129" s="32">
        <v>135585.18</v>
      </c>
      <c r="E129">
        <v>1246279165</v>
      </c>
      <c r="F129" s="28">
        <v>46224</v>
      </c>
      <c r="H129" t="s">
        <v>23</v>
      </c>
      <c r="I129" t="s">
        <v>24</v>
      </c>
      <c r="J129">
        <v>11676</v>
      </c>
      <c r="K129" s="28">
        <v>46184</v>
      </c>
      <c r="L129">
        <v>1010100</v>
      </c>
      <c r="M129" t="s">
        <v>29</v>
      </c>
      <c r="N129">
        <v>161</v>
      </c>
      <c r="O129" t="s">
        <v>145</v>
      </c>
      <c r="P129" t="s">
        <v>359</v>
      </c>
      <c r="Q129">
        <f t="shared" si="2"/>
        <v>-27</v>
      </c>
      <c r="R129" t="str">
        <f>_xlfn.XLOOKUP(P129,'Painel Additive'!$B:$B,'Painel Additive'!$B:$B,0)</f>
        <v>GRUPO YARA</v>
      </c>
      <c r="S129">
        <f t="shared" si="3"/>
        <v>40</v>
      </c>
    </row>
    <row r="130" spans="1:19" x14ac:dyDescent="0.25">
      <c r="A130">
        <v>903</v>
      </c>
      <c r="B130" t="s">
        <v>47</v>
      </c>
      <c r="C130" t="s">
        <v>48</v>
      </c>
      <c r="D130" s="32">
        <v>134144.70000000001</v>
      </c>
      <c r="E130">
        <v>1246275599</v>
      </c>
      <c r="F130" s="28">
        <v>46200</v>
      </c>
      <c r="H130" t="s">
        <v>23</v>
      </c>
      <c r="I130" t="s">
        <v>24</v>
      </c>
      <c r="J130">
        <v>11425</v>
      </c>
      <c r="K130" s="28">
        <v>46160</v>
      </c>
      <c r="L130">
        <v>1010100</v>
      </c>
      <c r="M130" t="s">
        <v>29</v>
      </c>
      <c r="N130">
        <v>161</v>
      </c>
      <c r="O130" t="s">
        <v>145</v>
      </c>
      <c r="P130" t="s">
        <v>359</v>
      </c>
      <c r="Q130">
        <f t="shared" si="2"/>
        <v>-3</v>
      </c>
      <c r="R130" t="str">
        <f>_xlfn.XLOOKUP(P130,'Painel Additive'!$B:$B,'Painel Additive'!$B:$B,0)</f>
        <v>GRUPO YARA</v>
      </c>
      <c r="S130">
        <f t="shared" si="3"/>
        <v>40</v>
      </c>
    </row>
    <row r="131" spans="1:19" x14ac:dyDescent="0.25">
      <c r="A131">
        <v>903</v>
      </c>
      <c r="B131" t="s">
        <v>47</v>
      </c>
      <c r="C131" t="s">
        <v>48</v>
      </c>
      <c r="D131" s="32">
        <v>134504.82</v>
      </c>
      <c r="E131">
        <v>1246280867</v>
      </c>
      <c r="F131" s="28">
        <v>46237</v>
      </c>
      <c r="H131" t="s">
        <v>23</v>
      </c>
      <c r="I131" t="s">
        <v>24</v>
      </c>
      <c r="J131">
        <v>11807</v>
      </c>
      <c r="K131" s="28">
        <v>46197</v>
      </c>
      <c r="L131">
        <v>1010100</v>
      </c>
      <c r="M131" t="s">
        <v>29</v>
      </c>
      <c r="N131">
        <v>161</v>
      </c>
      <c r="O131" t="s">
        <v>145</v>
      </c>
      <c r="P131" t="s">
        <v>359</v>
      </c>
      <c r="Q131">
        <f t="shared" ref="Q131:Q169" si="4">$R$1-F131</f>
        <v>-40</v>
      </c>
      <c r="R131" t="str">
        <f>_xlfn.XLOOKUP(P131,'Painel Additive'!$B:$B,'Painel Additive'!$B:$B,0)</f>
        <v>GRUPO YARA</v>
      </c>
      <c r="S131">
        <f t="shared" ref="S131:S169" si="5">F131-K131</f>
        <v>40</v>
      </c>
    </row>
    <row r="132" spans="1:19" x14ac:dyDescent="0.25">
      <c r="A132">
        <v>903</v>
      </c>
      <c r="B132" t="s">
        <v>47</v>
      </c>
      <c r="C132" t="s">
        <v>48</v>
      </c>
      <c r="D132" s="32">
        <v>134864.94</v>
      </c>
      <c r="E132">
        <v>1246277080</v>
      </c>
      <c r="F132" s="28">
        <v>46209</v>
      </c>
      <c r="H132" t="s">
        <v>23</v>
      </c>
      <c r="I132" t="s">
        <v>24</v>
      </c>
      <c r="J132">
        <v>11515</v>
      </c>
      <c r="K132" s="28">
        <v>46169</v>
      </c>
      <c r="L132">
        <v>1010100</v>
      </c>
      <c r="M132" t="s">
        <v>29</v>
      </c>
      <c r="N132">
        <v>161</v>
      </c>
      <c r="O132" t="s">
        <v>145</v>
      </c>
      <c r="P132" t="s">
        <v>359</v>
      </c>
      <c r="Q132">
        <f t="shared" si="4"/>
        <v>-12</v>
      </c>
      <c r="R132" t="str">
        <f>_xlfn.XLOOKUP(P132,'Painel Additive'!$B:$B,'Painel Additive'!$B:$B,0)</f>
        <v>GRUPO YARA</v>
      </c>
      <c r="S132">
        <f t="shared" si="5"/>
        <v>40</v>
      </c>
    </row>
    <row r="133" spans="1:19" x14ac:dyDescent="0.25">
      <c r="A133">
        <v>903</v>
      </c>
      <c r="B133" t="s">
        <v>47</v>
      </c>
      <c r="C133" t="s">
        <v>48</v>
      </c>
      <c r="D133" s="32">
        <v>136035.32999999999</v>
      </c>
      <c r="E133">
        <v>1246278330</v>
      </c>
      <c r="F133" s="28">
        <v>46218</v>
      </c>
      <c r="H133" t="s">
        <v>23</v>
      </c>
      <c r="I133" t="s">
        <v>24</v>
      </c>
      <c r="J133">
        <v>11606</v>
      </c>
      <c r="K133" s="28">
        <v>46178</v>
      </c>
      <c r="L133">
        <v>1010100</v>
      </c>
      <c r="M133" t="s">
        <v>29</v>
      </c>
      <c r="N133">
        <v>161</v>
      </c>
      <c r="O133" t="s">
        <v>145</v>
      </c>
      <c r="P133" t="s">
        <v>359</v>
      </c>
      <c r="Q133">
        <f t="shared" si="4"/>
        <v>-21</v>
      </c>
      <c r="R133" t="str">
        <f>_xlfn.XLOOKUP(P133,'Painel Additive'!$B:$B,'Painel Additive'!$B:$B,0)</f>
        <v>GRUPO YARA</v>
      </c>
      <c r="S133">
        <f t="shared" si="5"/>
        <v>40</v>
      </c>
    </row>
    <row r="134" spans="1:19" x14ac:dyDescent="0.25">
      <c r="A134">
        <v>903</v>
      </c>
      <c r="B134" t="s">
        <v>47</v>
      </c>
      <c r="C134" t="s">
        <v>48</v>
      </c>
      <c r="D134" s="32">
        <v>135405.12</v>
      </c>
      <c r="E134">
        <v>1246276406</v>
      </c>
      <c r="F134" s="28">
        <v>46204</v>
      </c>
      <c r="H134" t="s">
        <v>23</v>
      </c>
      <c r="I134" t="s">
        <v>24</v>
      </c>
      <c r="J134">
        <v>11479</v>
      </c>
      <c r="K134" s="28">
        <v>46164</v>
      </c>
      <c r="L134">
        <v>1010100</v>
      </c>
      <c r="M134" t="s">
        <v>29</v>
      </c>
      <c r="N134">
        <v>161</v>
      </c>
      <c r="O134" t="s">
        <v>145</v>
      </c>
      <c r="P134" t="s">
        <v>359</v>
      </c>
      <c r="Q134">
        <f t="shared" si="4"/>
        <v>-7</v>
      </c>
      <c r="R134" t="str">
        <f>_xlfn.XLOOKUP(P134,'Painel Additive'!$B:$B,'Painel Additive'!$B:$B,0)</f>
        <v>GRUPO YARA</v>
      </c>
      <c r="S134">
        <f t="shared" si="5"/>
        <v>40</v>
      </c>
    </row>
    <row r="135" spans="1:19" x14ac:dyDescent="0.25">
      <c r="A135">
        <v>903</v>
      </c>
      <c r="B135" t="s">
        <v>47</v>
      </c>
      <c r="C135" t="s">
        <v>48</v>
      </c>
      <c r="D135" s="32">
        <v>134594.85</v>
      </c>
      <c r="E135">
        <v>1246280145</v>
      </c>
      <c r="F135" s="28">
        <v>46231</v>
      </c>
      <c r="H135" t="s">
        <v>23</v>
      </c>
      <c r="I135" t="s">
        <v>24</v>
      </c>
      <c r="J135">
        <v>11754</v>
      </c>
      <c r="K135" s="28">
        <v>46191</v>
      </c>
      <c r="L135">
        <v>1010100</v>
      </c>
      <c r="M135" t="s">
        <v>29</v>
      </c>
      <c r="N135">
        <v>161</v>
      </c>
      <c r="O135" t="s">
        <v>145</v>
      </c>
      <c r="P135" t="s">
        <v>359</v>
      </c>
      <c r="Q135">
        <f t="shared" si="4"/>
        <v>-34</v>
      </c>
      <c r="R135" t="str">
        <f>_xlfn.XLOOKUP(P135,'Painel Additive'!$B:$B,'Painel Additive'!$B:$B,0)</f>
        <v>GRUPO YARA</v>
      </c>
      <c r="S135">
        <f t="shared" si="5"/>
        <v>40</v>
      </c>
    </row>
    <row r="136" spans="1:19" x14ac:dyDescent="0.25">
      <c r="A136">
        <v>86</v>
      </c>
      <c r="B136" t="s">
        <v>31</v>
      </c>
      <c r="C136" t="s">
        <v>773</v>
      </c>
      <c r="D136" s="32">
        <v>35810</v>
      </c>
      <c r="E136">
        <v>1246273225</v>
      </c>
      <c r="F136" s="28">
        <v>46202</v>
      </c>
      <c r="H136" t="s">
        <v>23</v>
      </c>
      <c r="I136" t="s">
        <v>24</v>
      </c>
      <c r="J136">
        <v>11271</v>
      </c>
      <c r="K136" s="28">
        <v>46142</v>
      </c>
      <c r="L136">
        <v>1010100</v>
      </c>
      <c r="M136" t="s">
        <v>29</v>
      </c>
      <c r="N136">
        <v>161</v>
      </c>
      <c r="O136" t="s">
        <v>145</v>
      </c>
      <c r="P136" t="s">
        <v>358</v>
      </c>
      <c r="Q136">
        <f t="shared" si="4"/>
        <v>-5</v>
      </c>
      <c r="R136" t="str">
        <f>_xlfn.XLOOKUP(P136,'Painel Additive'!$B:$B,'Painel Additive'!$B:$B,0)</f>
        <v>GRUPO ADUBOS ARAGUAIA</v>
      </c>
      <c r="S136">
        <f t="shared" si="5"/>
        <v>60</v>
      </c>
    </row>
    <row r="137" spans="1:19" x14ac:dyDescent="0.25">
      <c r="A137">
        <v>86</v>
      </c>
      <c r="B137" t="s">
        <v>31</v>
      </c>
      <c r="C137" t="s">
        <v>773</v>
      </c>
      <c r="D137" s="32">
        <v>35810</v>
      </c>
      <c r="E137">
        <v>1246279195</v>
      </c>
      <c r="F137" s="28">
        <v>46244</v>
      </c>
      <c r="H137" t="s">
        <v>23</v>
      </c>
      <c r="I137" t="s">
        <v>24</v>
      </c>
      <c r="J137">
        <v>11680</v>
      </c>
      <c r="K137" s="28">
        <v>46184</v>
      </c>
      <c r="L137">
        <v>1010100</v>
      </c>
      <c r="M137" t="s">
        <v>29</v>
      </c>
      <c r="N137">
        <v>161</v>
      </c>
      <c r="O137" t="s">
        <v>145</v>
      </c>
      <c r="P137" t="s">
        <v>358</v>
      </c>
      <c r="Q137">
        <f t="shared" si="4"/>
        <v>-47</v>
      </c>
      <c r="R137" t="str">
        <f>_xlfn.XLOOKUP(P137,'Painel Additive'!$B:$B,'Painel Additive'!$B:$B,0)</f>
        <v>GRUPO ADUBOS ARAGUAIA</v>
      </c>
      <c r="S137">
        <f t="shared" si="5"/>
        <v>60</v>
      </c>
    </row>
    <row r="138" spans="1:19" x14ac:dyDescent="0.25">
      <c r="A138">
        <v>1159</v>
      </c>
      <c r="B138" t="s">
        <v>50</v>
      </c>
      <c r="C138" t="s">
        <v>51</v>
      </c>
      <c r="D138" s="32">
        <v>1458</v>
      </c>
      <c r="E138">
        <v>1246148463</v>
      </c>
      <c r="F138" s="28">
        <v>45443</v>
      </c>
      <c r="H138" t="s">
        <v>23</v>
      </c>
      <c r="I138" t="s">
        <v>24</v>
      </c>
      <c r="J138">
        <v>3446</v>
      </c>
      <c r="K138" s="28">
        <v>45415</v>
      </c>
      <c r="L138">
        <v>1010100</v>
      </c>
      <c r="M138" t="s">
        <v>29</v>
      </c>
      <c r="N138">
        <v>161</v>
      </c>
      <c r="O138" t="s">
        <v>145</v>
      </c>
      <c r="P138" t="s">
        <v>359</v>
      </c>
      <c r="Q138">
        <f t="shared" si="4"/>
        <v>754</v>
      </c>
      <c r="R138" t="str">
        <f>_xlfn.XLOOKUP(P138,'Painel Additive'!$B:$B,'Painel Additive'!$B:$B,0)</f>
        <v>GRUPO YARA</v>
      </c>
      <c r="S138">
        <f t="shared" si="5"/>
        <v>28</v>
      </c>
    </row>
    <row r="139" spans="1:19" x14ac:dyDescent="0.25">
      <c r="A139">
        <v>1159</v>
      </c>
      <c r="B139" t="s">
        <v>50</v>
      </c>
      <c r="C139" t="s">
        <v>51</v>
      </c>
      <c r="D139" s="32">
        <v>272103.12</v>
      </c>
      <c r="E139">
        <v>1246279380</v>
      </c>
      <c r="F139" s="28">
        <v>46225</v>
      </c>
      <c r="H139" t="s">
        <v>23</v>
      </c>
      <c r="I139" t="s">
        <v>24</v>
      </c>
      <c r="J139">
        <v>11698</v>
      </c>
      <c r="K139" s="28">
        <v>46185</v>
      </c>
      <c r="L139">
        <v>1010100</v>
      </c>
      <c r="M139" t="s">
        <v>29</v>
      </c>
      <c r="N139">
        <v>161</v>
      </c>
      <c r="O139" t="s">
        <v>145</v>
      </c>
      <c r="P139" t="s">
        <v>359</v>
      </c>
      <c r="Q139">
        <f t="shared" si="4"/>
        <v>-28</v>
      </c>
      <c r="R139" t="str">
        <f>_xlfn.XLOOKUP(P139,'Painel Additive'!$B:$B,'Painel Additive'!$B:$B,0)</f>
        <v>GRUPO YARA</v>
      </c>
      <c r="S139">
        <f t="shared" si="5"/>
        <v>40</v>
      </c>
    </row>
    <row r="140" spans="1:19" x14ac:dyDescent="0.25">
      <c r="A140">
        <v>1159</v>
      </c>
      <c r="B140" t="s">
        <v>50</v>
      </c>
      <c r="C140" t="s">
        <v>51</v>
      </c>
      <c r="D140" s="32">
        <v>270111.68</v>
      </c>
      <c r="E140">
        <v>1246279519</v>
      </c>
      <c r="F140" s="28">
        <v>46228</v>
      </c>
      <c r="H140" t="s">
        <v>23</v>
      </c>
      <c r="I140" t="s">
        <v>24</v>
      </c>
      <c r="J140">
        <v>11711</v>
      </c>
      <c r="K140" s="28">
        <v>46188</v>
      </c>
      <c r="L140">
        <v>1010100</v>
      </c>
      <c r="M140" t="s">
        <v>29</v>
      </c>
      <c r="N140">
        <v>161</v>
      </c>
      <c r="O140" t="s">
        <v>145</v>
      </c>
      <c r="P140" t="s">
        <v>359</v>
      </c>
      <c r="Q140">
        <f t="shared" si="4"/>
        <v>-31</v>
      </c>
      <c r="R140" t="str">
        <f>_xlfn.XLOOKUP(P140,'Painel Additive'!$B:$B,'Painel Additive'!$B:$B,0)</f>
        <v>GRUPO YARA</v>
      </c>
      <c r="S140">
        <f t="shared" si="5"/>
        <v>40</v>
      </c>
    </row>
    <row r="141" spans="1:19" x14ac:dyDescent="0.25">
      <c r="A141">
        <v>1159</v>
      </c>
      <c r="B141" t="s">
        <v>50</v>
      </c>
      <c r="C141" t="s">
        <v>51</v>
      </c>
      <c r="D141" s="32">
        <v>272193.64</v>
      </c>
      <c r="E141">
        <v>1246280928</v>
      </c>
      <c r="F141" s="28">
        <v>46237</v>
      </c>
      <c r="H141" t="s">
        <v>23</v>
      </c>
      <c r="I141" t="s">
        <v>24</v>
      </c>
      <c r="J141">
        <v>11813</v>
      </c>
      <c r="K141" s="28">
        <v>46197</v>
      </c>
      <c r="L141">
        <v>1010100</v>
      </c>
      <c r="M141" t="s">
        <v>29</v>
      </c>
      <c r="N141">
        <v>161</v>
      </c>
      <c r="O141" t="s">
        <v>145</v>
      </c>
      <c r="P141" t="s">
        <v>359</v>
      </c>
      <c r="Q141">
        <f t="shared" si="4"/>
        <v>-40</v>
      </c>
      <c r="R141" t="str">
        <f>_xlfn.XLOOKUP(P141,'Painel Additive'!$B:$B,'Painel Additive'!$B:$B,0)</f>
        <v>GRUPO YARA</v>
      </c>
      <c r="S141">
        <f t="shared" si="5"/>
        <v>40</v>
      </c>
    </row>
    <row r="142" spans="1:19" x14ac:dyDescent="0.25">
      <c r="A142">
        <v>1159</v>
      </c>
      <c r="B142" t="s">
        <v>50</v>
      </c>
      <c r="C142" t="s">
        <v>51</v>
      </c>
      <c r="D142" s="32">
        <v>270021.15999999997</v>
      </c>
      <c r="E142">
        <v>1246278363</v>
      </c>
      <c r="F142" s="28">
        <v>46218</v>
      </c>
      <c r="H142" t="s">
        <v>23</v>
      </c>
      <c r="I142" t="s">
        <v>24</v>
      </c>
      <c r="J142">
        <v>11609</v>
      </c>
      <c r="K142" s="28">
        <v>46178</v>
      </c>
      <c r="L142">
        <v>1010100</v>
      </c>
      <c r="M142" t="s">
        <v>29</v>
      </c>
      <c r="N142">
        <v>161</v>
      </c>
      <c r="O142" t="s">
        <v>145</v>
      </c>
      <c r="P142" t="s">
        <v>359</v>
      </c>
      <c r="Q142">
        <f t="shared" si="4"/>
        <v>-21</v>
      </c>
      <c r="R142" t="str">
        <f>_xlfn.XLOOKUP(P142,'Painel Additive'!$B:$B,'Painel Additive'!$B:$B,0)</f>
        <v>GRUPO YARA</v>
      </c>
      <c r="S142">
        <f t="shared" si="5"/>
        <v>40</v>
      </c>
    </row>
    <row r="143" spans="1:19" x14ac:dyDescent="0.25">
      <c r="A143">
        <v>1159</v>
      </c>
      <c r="B143" t="s">
        <v>50</v>
      </c>
      <c r="C143" t="s">
        <v>51</v>
      </c>
      <c r="D143" s="32">
        <v>273189.36</v>
      </c>
      <c r="E143">
        <v>1246277455</v>
      </c>
      <c r="F143" s="28">
        <v>46211</v>
      </c>
      <c r="H143" t="s">
        <v>23</v>
      </c>
      <c r="I143" t="s">
        <v>24</v>
      </c>
      <c r="J143">
        <v>11557</v>
      </c>
      <c r="K143" s="28">
        <v>46171</v>
      </c>
      <c r="L143">
        <v>1010100</v>
      </c>
      <c r="M143" t="s">
        <v>29</v>
      </c>
      <c r="N143">
        <v>161</v>
      </c>
      <c r="O143" t="s">
        <v>145</v>
      </c>
      <c r="P143" t="s">
        <v>359</v>
      </c>
      <c r="Q143">
        <f t="shared" si="4"/>
        <v>-14</v>
      </c>
      <c r="R143" t="str">
        <f>_xlfn.XLOOKUP(P143,'Painel Additive'!$B:$B,'Painel Additive'!$B:$B,0)</f>
        <v>GRUPO YARA</v>
      </c>
      <c r="S143">
        <f t="shared" si="5"/>
        <v>40</v>
      </c>
    </row>
    <row r="144" spans="1:19" x14ac:dyDescent="0.25">
      <c r="A144">
        <v>1159</v>
      </c>
      <c r="B144" t="s">
        <v>50</v>
      </c>
      <c r="C144" t="s">
        <v>51</v>
      </c>
      <c r="D144" s="32">
        <v>272917.8</v>
      </c>
      <c r="E144">
        <v>1246278606</v>
      </c>
      <c r="F144" s="28">
        <v>46221</v>
      </c>
      <c r="H144" t="s">
        <v>23</v>
      </c>
      <c r="I144" t="s">
        <v>24</v>
      </c>
      <c r="J144">
        <v>11646</v>
      </c>
      <c r="K144" s="28">
        <v>46181</v>
      </c>
      <c r="L144">
        <v>1010100</v>
      </c>
      <c r="M144" t="s">
        <v>29</v>
      </c>
      <c r="N144">
        <v>161</v>
      </c>
      <c r="O144" t="s">
        <v>145</v>
      </c>
      <c r="P144" t="s">
        <v>359</v>
      </c>
      <c r="Q144">
        <f t="shared" si="4"/>
        <v>-24</v>
      </c>
      <c r="R144" t="str">
        <f>_xlfn.XLOOKUP(P144,'Painel Additive'!$B:$B,'Painel Additive'!$B:$B,0)</f>
        <v>GRUPO YARA</v>
      </c>
      <c r="S144">
        <f t="shared" si="5"/>
        <v>40</v>
      </c>
    </row>
    <row r="145" spans="1:19" x14ac:dyDescent="0.25">
      <c r="A145">
        <v>1159</v>
      </c>
      <c r="B145" t="s">
        <v>50</v>
      </c>
      <c r="C145" t="s">
        <v>51</v>
      </c>
      <c r="D145" s="32">
        <v>271016.88</v>
      </c>
      <c r="E145">
        <v>1246276527</v>
      </c>
      <c r="F145" s="28">
        <v>46207</v>
      </c>
      <c r="H145" t="s">
        <v>23</v>
      </c>
      <c r="I145" t="s">
        <v>24</v>
      </c>
      <c r="J145">
        <v>11488</v>
      </c>
      <c r="K145" s="28">
        <v>46167</v>
      </c>
      <c r="L145">
        <v>1010100</v>
      </c>
      <c r="M145" t="s">
        <v>29</v>
      </c>
      <c r="N145">
        <v>161</v>
      </c>
      <c r="O145" t="s">
        <v>145</v>
      </c>
      <c r="P145" t="s">
        <v>359</v>
      </c>
      <c r="Q145">
        <f t="shared" si="4"/>
        <v>-10</v>
      </c>
      <c r="R145" t="str">
        <f>_xlfn.XLOOKUP(P145,'Painel Additive'!$B:$B,'Painel Additive'!$B:$B,0)</f>
        <v>GRUPO YARA</v>
      </c>
      <c r="S145">
        <f t="shared" si="5"/>
        <v>40</v>
      </c>
    </row>
    <row r="146" spans="1:19" x14ac:dyDescent="0.25">
      <c r="A146">
        <v>1159</v>
      </c>
      <c r="B146" t="s">
        <v>50</v>
      </c>
      <c r="C146" t="s">
        <v>51</v>
      </c>
      <c r="D146" s="32">
        <v>273732.47999999998</v>
      </c>
      <c r="E146">
        <v>1246276263</v>
      </c>
      <c r="F146" s="28">
        <v>46204</v>
      </c>
      <c r="H146" t="s">
        <v>23</v>
      </c>
      <c r="I146" t="s">
        <v>24</v>
      </c>
      <c r="J146">
        <v>11471</v>
      </c>
      <c r="K146" s="28">
        <v>46164</v>
      </c>
      <c r="L146">
        <v>1010100</v>
      </c>
      <c r="M146" t="s">
        <v>29</v>
      </c>
      <c r="N146">
        <v>161</v>
      </c>
      <c r="O146" t="s">
        <v>145</v>
      </c>
      <c r="P146" t="s">
        <v>359</v>
      </c>
      <c r="Q146">
        <f t="shared" si="4"/>
        <v>-7</v>
      </c>
      <c r="R146" t="str">
        <f>_xlfn.XLOOKUP(P146,'Painel Additive'!$B:$B,'Painel Additive'!$B:$B,0)</f>
        <v>GRUPO YARA</v>
      </c>
      <c r="S146">
        <f t="shared" si="5"/>
        <v>40</v>
      </c>
    </row>
    <row r="147" spans="1:19" x14ac:dyDescent="0.25">
      <c r="A147">
        <v>1159</v>
      </c>
      <c r="B147" t="s">
        <v>50</v>
      </c>
      <c r="C147" t="s">
        <v>51</v>
      </c>
      <c r="D147" s="32">
        <v>273098.84000000003</v>
      </c>
      <c r="E147">
        <v>1246278820</v>
      </c>
      <c r="F147" s="28">
        <v>46222</v>
      </c>
      <c r="H147" t="s">
        <v>23</v>
      </c>
      <c r="I147" t="s">
        <v>24</v>
      </c>
      <c r="J147">
        <v>11659</v>
      </c>
      <c r="K147" s="28">
        <v>46182</v>
      </c>
      <c r="L147">
        <v>1010100</v>
      </c>
      <c r="M147" t="s">
        <v>29</v>
      </c>
      <c r="N147">
        <v>161</v>
      </c>
      <c r="O147" t="s">
        <v>145</v>
      </c>
      <c r="P147" t="s">
        <v>359</v>
      </c>
      <c r="Q147">
        <f t="shared" si="4"/>
        <v>-25</v>
      </c>
      <c r="R147" t="str">
        <f>_xlfn.XLOOKUP(P147,'Painel Additive'!$B:$B,'Painel Additive'!$B:$B,0)</f>
        <v>GRUPO YARA</v>
      </c>
      <c r="S147">
        <f t="shared" si="5"/>
        <v>40</v>
      </c>
    </row>
    <row r="148" spans="1:19" x14ac:dyDescent="0.25">
      <c r="A148">
        <v>1159</v>
      </c>
      <c r="B148" t="s">
        <v>50</v>
      </c>
      <c r="C148" t="s">
        <v>51</v>
      </c>
      <c r="D148" s="32">
        <v>294418.8</v>
      </c>
      <c r="E148">
        <v>1246277181</v>
      </c>
      <c r="F148" s="28">
        <v>46209</v>
      </c>
      <c r="H148" t="s">
        <v>23</v>
      </c>
      <c r="I148" t="s">
        <v>24</v>
      </c>
      <c r="J148">
        <v>11527</v>
      </c>
      <c r="K148" s="28">
        <v>46169</v>
      </c>
      <c r="L148">
        <v>1010100</v>
      </c>
      <c r="M148" t="s">
        <v>29</v>
      </c>
      <c r="N148">
        <v>161</v>
      </c>
      <c r="O148" t="s">
        <v>145</v>
      </c>
      <c r="P148" t="s">
        <v>359</v>
      </c>
      <c r="Q148">
        <f t="shared" si="4"/>
        <v>-12</v>
      </c>
      <c r="R148" t="str">
        <f>_xlfn.XLOOKUP(P148,'Painel Additive'!$B:$B,'Painel Additive'!$B:$B,0)</f>
        <v>GRUPO YARA</v>
      </c>
      <c r="S148">
        <f t="shared" si="5"/>
        <v>40</v>
      </c>
    </row>
    <row r="149" spans="1:19" x14ac:dyDescent="0.25">
      <c r="A149">
        <v>1159</v>
      </c>
      <c r="B149" t="s">
        <v>50</v>
      </c>
      <c r="C149" t="s">
        <v>51</v>
      </c>
      <c r="D149" s="32">
        <v>271288.44</v>
      </c>
      <c r="E149">
        <v>1246277294</v>
      </c>
      <c r="F149" s="28">
        <v>46210</v>
      </c>
      <c r="H149" t="s">
        <v>23</v>
      </c>
      <c r="I149" t="s">
        <v>24</v>
      </c>
      <c r="J149">
        <v>11539</v>
      </c>
      <c r="K149" s="28">
        <v>46170</v>
      </c>
      <c r="L149">
        <v>1010100</v>
      </c>
      <c r="M149" t="s">
        <v>29</v>
      </c>
      <c r="N149">
        <v>161</v>
      </c>
      <c r="O149" t="s">
        <v>145</v>
      </c>
      <c r="P149" t="s">
        <v>359</v>
      </c>
      <c r="Q149">
        <f t="shared" si="4"/>
        <v>-13</v>
      </c>
      <c r="R149" t="str">
        <f>_xlfn.XLOOKUP(P149,'Painel Additive'!$B:$B,'Painel Additive'!$B:$B,0)</f>
        <v>GRUPO YARA</v>
      </c>
      <c r="S149">
        <f t="shared" si="5"/>
        <v>40</v>
      </c>
    </row>
    <row r="150" spans="1:19" x14ac:dyDescent="0.25">
      <c r="A150">
        <v>1159</v>
      </c>
      <c r="B150" t="s">
        <v>50</v>
      </c>
      <c r="C150" t="s">
        <v>51</v>
      </c>
      <c r="D150" s="32">
        <v>273823</v>
      </c>
      <c r="E150">
        <v>1246279863</v>
      </c>
      <c r="F150" s="28">
        <v>46230</v>
      </c>
      <c r="H150" t="s">
        <v>23</v>
      </c>
      <c r="I150" t="s">
        <v>24</v>
      </c>
      <c r="J150">
        <v>11737</v>
      </c>
      <c r="K150" s="28">
        <v>46190</v>
      </c>
      <c r="L150">
        <v>1010100</v>
      </c>
      <c r="M150" t="s">
        <v>29</v>
      </c>
      <c r="N150">
        <v>161</v>
      </c>
      <c r="O150" t="s">
        <v>145</v>
      </c>
      <c r="P150" t="s">
        <v>359</v>
      </c>
      <c r="Q150">
        <f t="shared" si="4"/>
        <v>-33</v>
      </c>
      <c r="R150" t="str">
        <f>_xlfn.XLOOKUP(P150,'Painel Additive'!$B:$B,'Painel Additive'!$B:$B,0)</f>
        <v>GRUPO YARA</v>
      </c>
      <c r="S150">
        <f t="shared" si="5"/>
        <v>40</v>
      </c>
    </row>
    <row r="151" spans="1:19" x14ac:dyDescent="0.25">
      <c r="A151">
        <v>1159</v>
      </c>
      <c r="B151" t="s">
        <v>50</v>
      </c>
      <c r="C151" t="s">
        <v>51</v>
      </c>
      <c r="D151" s="32">
        <v>274094.56</v>
      </c>
      <c r="E151">
        <v>1246280197</v>
      </c>
      <c r="F151" s="28">
        <v>46232</v>
      </c>
      <c r="H151" t="s">
        <v>23</v>
      </c>
      <c r="I151" t="s">
        <v>24</v>
      </c>
      <c r="J151">
        <v>11757</v>
      </c>
      <c r="K151" s="28">
        <v>46192</v>
      </c>
      <c r="L151">
        <v>1010100</v>
      </c>
      <c r="M151" t="s">
        <v>29</v>
      </c>
      <c r="N151">
        <v>161</v>
      </c>
      <c r="O151" t="s">
        <v>145</v>
      </c>
      <c r="P151" t="s">
        <v>359</v>
      </c>
      <c r="Q151">
        <f t="shared" si="4"/>
        <v>-35</v>
      </c>
      <c r="R151" t="str">
        <f>_xlfn.XLOOKUP(P151,'Painel Additive'!$B:$B,'Painel Additive'!$B:$B,0)</f>
        <v>GRUPO YARA</v>
      </c>
      <c r="S151">
        <f t="shared" si="5"/>
        <v>40</v>
      </c>
    </row>
    <row r="152" spans="1:19" x14ac:dyDescent="0.25">
      <c r="A152">
        <v>1159</v>
      </c>
      <c r="B152" t="s">
        <v>50</v>
      </c>
      <c r="C152" t="s">
        <v>51</v>
      </c>
      <c r="D152" s="32">
        <v>271378.96000000002</v>
      </c>
      <c r="E152">
        <v>1246279255</v>
      </c>
      <c r="F152" s="28">
        <v>46224</v>
      </c>
      <c r="H152" t="s">
        <v>23</v>
      </c>
      <c r="I152" t="s">
        <v>24</v>
      </c>
      <c r="J152">
        <v>11687</v>
      </c>
      <c r="K152" s="28">
        <v>46184</v>
      </c>
      <c r="L152">
        <v>1010100</v>
      </c>
      <c r="M152" t="s">
        <v>29</v>
      </c>
      <c r="N152">
        <v>161</v>
      </c>
      <c r="O152" t="s">
        <v>145</v>
      </c>
      <c r="P152" t="s">
        <v>359</v>
      </c>
      <c r="Q152">
        <f t="shared" si="4"/>
        <v>-27</v>
      </c>
      <c r="R152" t="str">
        <f>_xlfn.XLOOKUP(P152,'Painel Additive'!$B:$B,'Painel Additive'!$B:$B,0)</f>
        <v>GRUPO YARA</v>
      </c>
      <c r="S152">
        <f t="shared" si="5"/>
        <v>40</v>
      </c>
    </row>
    <row r="153" spans="1:19" x14ac:dyDescent="0.25">
      <c r="A153">
        <v>456</v>
      </c>
      <c r="B153" t="s">
        <v>312</v>
      </c>
      <c r="C153" t="s">
        <v>15409</v>
      </c>
      <c r="D153" s="32">
        <v>103200.03</v>
      </c>
      <c r="E153">
        <v>1246278380</v>
      </c>
      <c r="F153" s="28">
        <v>46206</v>
      </c>
      <c r="H153" t="s">
        <v>23</v>
      </c>
      <c r="I153" t="s">
        <v>24</v>
      </c>
      <c r="J153">
        <v>11613</v>
      </c>
      <c r="K153" s="28">
        <v>46178</v>
      </c>
      <c r="L153">
        <v>1010100</v>
      </c>
      <c r="M153" t="s">
        <v>29</v>
      </c>
      <c r="N153">
        <v>161</v>
      </c>
      <c r="O153" t="s">
        <v>145</v>
      </c>
      <c r="P153" t="s">
        <v>560</v>
      </c>
      <c r="Q153">
        <f t="shared" si="4"/>
        <v>-9</v>
      </c>
      <c r="R153" t="str">
        <f>_xlfn.XLOOKUP(P153,'Painel Additive'!$B:$B,'Painel Additive'!$B:$B,0)</f>
        <v>GRUPO FERTIPAR FERTILIZANTES DO NORDESTE</v>
      </c>
      <c r="S153">
        <f t="shared" si="5"/>
        <v>28</v>
      </c>
    </row>
    <row r="154" spans="1:19" x14ac:dyDescent="0.25">
      <c r="A154">
        <v>3232</v>
      </c>
      <c r="B154" t="s">
        <v>153</v>
      </c>
      <c r="C154" t="s">
        <v>409</v>
      </c>
      <c r="D154" s="32">
        <v>172186.49999999997</v>
      </c>
      <c r="E154">
        <v>1246274879</v>
      </c>
      <c r="F154" s="28">
        <v>46215</v>
      </c>
      <c r="H154" t="s">
        <v>23</v>
      </c>
      <c r="I154" t="s">
        <v>24</v>
      </c>
      <c r="J154">
        <v>11385</v>
      </c>
      <c r="K154" s="28">
        <v>46155</v>
      </c>
      <c r="L154">
        <v>1010100</v>
      </c>
      <c r="M154" t="s">
        <v>29</v>
      </c>
      <c r="N154">
        <v>161</v>
      </c>
      <c r="O154" t="s">
        <v>145</v>
      </c>
      <c r="P154" t="s">
        <v>450</v>
      </c>
      <c r="Q154">
        <f t="shared" si="4"/>
        <v>-18</v>
      </c>
      <c r="R154" t="str">
        <f>_xlfn.XLOOKUP(P154,'Painel Additive'!$B:$B,'Painel Additive'!$B:$B,0)</f>
        <v>GRUPO FERTILIZ TOCANTINS</v>
      </c>
      <c r="S154">
        <f t="shared" si="5"/>
        <v>60</v>
      </c>
    </row>
    <row r="155" spans="1:19" x14ac:dyDescent="0.25">
      <c r="A155">
        <v>3232</v>
      </c>
      <c r="B155" t="s">
        <v>153</v>
      </c>
      <c r="C155" t="s">
        <v>409</v>
      </c>
      <c r="D155" s="32">
        <v>182408</v>
      </c>
      <c r="E155">
        <v>1246278725</v>
      </c>
      <c r="F155" s="28">
        <v>46242</v>
      </c>
      <c r="H155" t="s">
        <v>23</v>
      </c>
      <c r="I155" t="s">
        <v>24</v>
      </c>
      <c r="J155">
        <v>11656</v>
      </c>
      <c r="K155" s="28">
        <v>46182</v>
      </c>
      <c r="L155">
        <v>1010100</v>
      </c>
      <c r="M155" t="s">
        <v>29</v>
      </c>
      <c r="N155">
        <v>161</v>
      </c>
      <c r="O155" t="s">
        <v>145</v>
      </c>
      <c r="P155" t="s">
        <v>450</v>
      </c>
      <c r="Q155">
        <f t="shared" si="4"/>
        <v>-45</v>
      </c>
      <c r="R155" t="str">
        <f>_xlfn.XLOOKUP(P155,'Painel Additive'!$B:$B,'Painel Additive'!$B:$B,0)</f>
        <v>GRUPO FERTILIZ TOCANTINS</v>
      </c>
      <c r="S155">
        <f t="shared" si="5"/>
        <v>60</v>
      </c>
    </row>
    <row r="156" spans="1:19" x14ac:dyDescent="0.25">
      <c r="A156">
        <v>3232</v>
      </c>
      <c r="B156" t="s">
        <v>153</v>
      </c>
      <c r="C156" t="s">
        <v>409</v>
      </c>
      <c r="D156" s="32">
        <v>158950.20000000001</v>
      </c>
      <c r="E156">
        <v>1246273469</v>
      </c>
      <c r="F156" s="28">
        <v>46206</v>
      </c>
      <c r="H156" t="s">
        <v>23</v>
      </c>
      <c r="I156" t="s">
        <v>24</v>
      </c>
      <c r="J156">
        <v>11289</v>
      </c>
      <c r="K156" s="28">
        <v>46146</v>
      </c>
      <c r="L156">
        <v>1010100</v>
      </c>
      <c r="M156" t="s">
        <v>29</v>
      </c>
      <c r="N156">
        <v>161</v>
      </c>
      <c r="O156" t="s">
        <v>145</v>
      </c>
      <c r="P156" t="s">
        <v>450</v>
      </c>
      <c r="Q156">
        <f t="shared" si="4"/>
        <v>-9</v>
      </c>
      <c r="R156" t="str">
        <f>_xlfn.XLOOKUP(P156,'Painel Additive'!$B:$B,'Painel Additive'!$B:$B,0)</f>
        <v>GRUPO FERTILIZ TOCANTINS</v>
      </c>
      <c r="S156">
        <f t="shared" si="5"/>
        <v>60</v>
      </c>
    </row>
    <row r="157" spans="1:19" x14ac:dyDescent="0.25">
      <c r="A157">
        <v>3232</v>
      </c>
      <c r="B157" t="s">
        <v>153</v>
      </c>
      <c r="C157" t="s">
        <v>409</v>
      </c>
      <c r="D157" s="32">
        <v>180898</v>
      </c>
      <c r="E157">
        <v>1246279367</v>
      </c>
      <c r="F157" s="28">
        <v>46245</v>
      </c>
      <c r="H157" t="s">
        <v>23</v>
      </c>
      <c r="I157" t="s">
        <v>24</v>
      </c>
      <c r="J157">
        <v>11694</v>
      </c>
      <c r="K157" s="28">
        <v>46185</v>
      </c>
      <c r="L157">
        <v>1010100</v>
      </c>
      <c r="M157" t="s">
        <v>29</v>
      </c>
      <c r="N157">
        <v>161</v>
      </c>
      <c r="O157" t="s">
        <v>145</v>
      </c>
      <c r="P157" t="s">
        <v>450</v>
      </c>
      <c r="Q157">
        <f t="shared" si="4"/>
        <v>-48</v>
      </c>
      <c r="R157" t="str">
        <f>_xlfn.XLOOKUP(P157,'Painel Additive'!$B:$B,'Painel Additive'!$B:$B,0)</f>
        <v>GRUPO FERTILIZ TOCANTINS</v>
      </c>
      <c r="S157">
        <f t="shared" si="5"/>
        <v>60</v>
      </c>
    </row>
    <row r="158" spans="1:19" x14ac:dyDescent="0.25">
      <c r="A158">
        <v>3232</v>
      </c>
      <c r="B158" t="s">
        <v>153</v>
      </c>
      <c r="C158" t="s">
        <v>409</v>
      </c>
      <c r="D158" s="32">
        <v>181502</v>
      </c>
      <c r="E158">
        <v>1246280558</v>
      </c>
      <c r="F158" s="28">
        <v>46256</v>
      </c>
      <c r="H158" t="s">
        <v>23</v>
      </c>
      <c r="I158" t="s">
        <v>24</v>
      </c>
      <c r="J158">
        <v>11793</v>
      </c>
      <c r="K158" s="28">
        <v>46196</v>
      </c>
      <c r="L158">
        <v>1010100</v>
      </c>
      <c r="M158" t="s">
        <v>29</v>
      </c>
      <c r="N158">
        <v>161</v>
      </c>
      <c r="O158" t="s">
        <v>145</v>
      </c>
      <c r="P158" t="s">
        <v>450</v>
      </c>
      <c r="Q158">
        <f t="shared" si="4"/>
        <v>-59</v>
      </c>
      <c r="R158" t="str">
        <f>_xlfn.XLOOKUP(P158,'Painel Additive'!$B:$B,'Painel Additive'!$B:$B,0)</f>
        <v>GRUPO FERTILIZ TOCANTINS</v>
      </c>
      <c r="S158">
        <f t="shared" si="5"/>
        <v>60</v>
      </c>
    </row>
    <row r="159" spans="1:19" x14ac:dyDescent="0.25">
      <c r="A159">
        <v>3232</v>
      </c>
      <c r="B159" t="s">
        <v>153</v>
      </c>
      <c r="C159" t="s">
        <v>409</v>
      </c>
      <c r="D159" s="32">
        <v>180596</v>
      </c>
      <c r="E159">
        <v>1246277369</v>
      </c>
      <c r="F159" s="28">
        <v>46231</v>
      </c>
      <c r="H159" t="s">
        <v>23</v>
      </c>
      <c r="I159" t="s">
        <v>24</v>
      </c>
      <c r="J159">
        <v>11548</v>
      </c>
      <c r="K159" s="28">
        <v>46171</v>
      </c>
      <c r="L159">
        <v>1010100</v>
      </c>
      <c r="M159" t="s">
        <v>29</v>
      </c>
      <c r="N159">
        <v>161</v>
      </c>
      <c r="O159" t="s">
        <v>145</v>
      </c>
      <c r="P159" t="s">
        <v>450</v>
      </c>
      <c r="Q159">
        <f t="shared" si="4"/>
        <v>-34</v>
      </c>
      <c r="R159" t="str">
        <f>_xlfn.XLOOKUP(P159,'Painel Additive'!$B:$B,'Painel Additive'!$B:$B,0)</f>
        <v>GRUPO FERTILIZ TOCANTINS</v>
      </c>
      <c r="S159">
        <f t="shared" si="5"/>
        <v>60</v>
      </c>
    </row>
    <row r="160" spans="1:19" x14ac:dyDescent="0.25">
      <c r="A160">
        <v>3232</v>
      </c>
      <c r="B160" t="s">
        <v>153</v>
      </c>
      <c r="C160" t="s">
        <v>409</v>
      </c>
      <c r="D160" s="32">
        <v>181079.2</v>
      </c>
      <c r="E160">
        <v>1246278422</v>
      </c>
      <c r="F160" s="28">
        <v>46238</v>
      </c>
      <c r="H160" t="s">
        <v>23</v>
      </c>
      <c r="I160" t="s">
        <v>24</v>
      </c>
      <c r="J160">
        <v>11625</v>
      </c>
      <c r="K160" s="28">
        <v>46178</v>
      </c>
      <c r="L160">
        <v>1010100</v>
      </c>
      <c r="M160" t="s">
        <v>29</v>
      </c>
      <c r="N160">
        <v>161</v>
      </c>
      <c r="O160" t="s">
        <v>145</v>
      </c>
      <c r="P160" t="s">
        <v>450</v>
      </c>
      <c r="Q160">
        <f t="shared" si="4"/>
        <v>-41</v>
      </c>
      <c r="R160" t="str">
        <f>_xlfn.XLOOKUP(P160,'Painel Additive'!$B:$B,'Painel Additive'!$B:$B,0)</f>
        <v>GRUPO FERTILIZ TOCANTINS</v>
      </c>
      <c r="S160">
        <f t="shared" si="5"/>
        <v>60</v>
      </c>
    </row>
    <row r="161" spans="1:19" x14ac:dyDescent="0.25">
      <c r="A161">
        <v>2559</v>
      </c>
      <c r="B161" t="s">
        <v>451</v>
      </c>
      <c r="C161" t="s">
        <v>69</v>
      </c>
      <c r="D161" s="32">
        <v>193644</v>
      </c>
      <c r="E161">
        <v>1246275400</v>
      </c>
      <c r="F161" s="28">
        <v>46247</v>
      </c>
      <c r="H161" t="s">
        <v>23</v>
      </c>
      <c r="I161" t="s">
        <v>24</v>
      </c>
      <c r="J161">
        <v>11409</v>
      </c>
      <c r="K161" s="28">
        <v>46157</v>
      </c>
      <c r="L161">
        <v>1010100</v>
      </c>
      <c r="M161" t="s">
        <v>29</v>
      </c>
      <c r="N161">
        <v>161</v>
      </c>
      <c r="O161" t="s">
        <v>145</v>
      </c>
      <c r="P161" t="s">
        <v>431</v>
      </c>
      <c r="Q161">
        <f t="shared" si="4"/>
        <v>-50</v>
      </c>
      <c r="R161" t="str">
        <f>_xlfn.XLOOKUP(P161,'Painel Additive'!$B:$B,'Painel Additive'!$B:$B,0)</f>
        <v>GRUPO MOSAIC FERTILIZANTES DO BRASIL</v>
      </c>
      <c r="S161">
        <f t="shared" si="5"/>
        <v>90</v>
      </c>
    </row>
    <row r="162" spans="1:19" x14ac:dyDescent="0.25">
      <c r="A162">
        <v>2559</v>
      </c>
      <c r="B162" t="s">
        <v>451</v>
      </c>
      <c r="C162" t="s">
        <v>69</v>
      </c>
      <c r="D162" s="32">
        <v>78390</v>
      </c>
      <c r="E162">
        <v>1246270082</v>
      </c>
      <c r="F162" s="28">
        <v>46204</v>
      </c>
      <c r="H162" t="s">
        <v>23</v>
      </c>
      <c r="I162" t="s">
        <v>24</v>
      </c>
      <c r="J162">
        <v>11033</v>
      </c>
      <c r="K162" s="28">
        <v>46114</v>
      </c>
      <c r="L162">
        <v>1010100</v>
      </c>
      <c r="M162" t="s">
        <v>29</v>
      </c>
      <c r="N162">
        <v>161</v>
      </c>
      <c r="O162" t="s">
        <v>145</v>
      </c>
      <c r="P162" t="s">
        <v>431</v>
      </c>
      <c r="Q162">
        <f t="shared" si="4"/>
        <v>-7</v>
      </c>
      <c r="R162" t="str">
        <f>_xlfn.XLOOKUP(P162,'Painel Additive'!$B:$B,'Painel Additive'!$B:$B,0)</f>
        <v>GRUPO MOSAIC FERTILIZANTES DO BRASIL</v>
      </c>
      <c r="S162">
        <f t="shared" si="5"/>
        <v>90</v>
      </c>
    </row>
    <row r="163" spans="1:19" x14ac:dyDescent="0.25">
      <c r="A163">
        <v>2559</v>
      </c>
      <c r="B163" t="s">
        <v>451</v>
      </c>
      <c r="C163" t="s">
        <v>69</v>
      </c>
      <c r="D163" s="32">
        <v>197816.8</v>
      </c>
      <c r="E163">
        <v>1246279656</v>
      </c>
      <c r="F163" s="28">
        <v>46279</v>
      </c>
      <c r="H163" t="s">
        <v>23</v>
      </c>
      <c r="I163" t="s">
        <v>24</v>
      </c>
      <c r="J163">
        <v>11722</v>
      </c>
      <c r="K163" s="28">
        <v>46189</v>
      </c>
      <c r="L163">
        <v>1010100</v>
      </c>
      <c r="M163" t="s">
        <v>29</v>
      </c>
      <c r="N163">
        <v>161</v>
      </c>
      <c r="O163" t="s">
        <v>145</v>
      </c>
      <c r="P163" t="s">
        <v>431</v>
      </c>
      <c r="Q163">
        <f t="shared" si="4"/>
        <v>-82</v>
      </c>
      <c r="R163" t="str">
        <f>_xlfn.XLOOKUP(P163,'Painel Additive'!$B:$B,'Painel Additive'!$B:$B,0)</f>
        <v>GRUPO MOSAIC FERTILIZANTES DO BRASIL</v>
      </c>
      <c r="S163">
        <f t="shared" si="5"/>
        <v>90</v>
      </c>
    </row>
    <row r="164" spans="1:19" x14ac:dyDescent="0.25">
      <c r="A164">
        <v>2559</v>
      </c>
      <c r="B164" t="s">
        <v>451</v>
      </c>
      <c r="C164" t="s">
        <v>69</v>
      </c>
      <c r="D164" s="32">
        <v>195730.4</v>
      </c>
      <c r="E164">
        <v>1246271698</v>
      </c>
      <c r="F164" s="28">
        <v>46219</v>
      </c>
      <c r="H164" t="s">
        <v>23</v>
      </c>
      <c r="I164" t="s">
        <v>24</v>
      </c>
      <c r="J164">
        <v>11159</v>
      </c>
      <c r="K164" s="28">
        <v>46129</v>
      </c>
      <c r="L164">
        <v>1010100</v>
      </c>
      <c r="M164" t="s">
        <v>29</v>
      </c>
      <c r="N164">
        <v>161</v>
      </c>
      <c r="O164" t="s">
        <v>145</v>
      </c>
      <c r="P164" t="s">
        <v>431</v>
      </c>
      <c r="Q164">
        <f t="shared" si="4"/>
        <v>-22</v>
      </c>
      <c r="R164" t="str">
        <f>_xlfn.XLOOKUP(P164,'Painel Additive'!$B:$B,'Painel Additive'!$B:$B,0)</f>
        <v>GRUPO MOSAIC FERTILIZANTES DO BRASIL</v>
      </c>
      <c r="S164">
        <f t="shared" si="5"/>
        <v>90</v>
      </c>
    </row>
    <row r="165" spans="1:19" x14ac:dyDescent="0.25">
      <c r="A165">
        <v>2559</v>
      </c>
      <c r="B165" t="s">
        <v>451</v>
      </c>
      <c r="C165" t="s">
        <v>69</v>
      </c>
      <c r="D165" s="32">
        <v>90758.399999999994</v>
      </c>
      <c r="E165">
        <v>1246272595</v>
      </c>
      <c r="F165" s="28">
        <v>46226</v>
      </c>
      <c r="H165" t="s">
        <v>23</v>
      </c>
      <c r="I165" t="s">
        <v>24</v>
      </c>
      <c r="J165">
        <v>11219</v>
      </c>
      <c r="K165" s="28">
        <v>46136</v>
      </c>
      <c r="L165">
        <v>1010100</v>
      </c>
      <c r="M165" t="s">
        <v>29</v>
      </c>
      <c r="N165">
        <v>161</v>
      </c>
      <c r="O165" t="s">
        <v>145</v>
      </c>
      <c r="P165" t="s">
        <v>431</v>
      </c>
      <c r="Q165">
        <f t="shared" si="4"/>
        <v>-29</v>
      </c>
      <c r="R165" t="str">
        <f>_xlfn.XLOOKUP(P165,'Painel Additive'!$B:$B,'Painel Additive'!$B:$B,0)</f>
        <v>GRUPO MOSAIC FERTILIZANTES DO BRASIL</v>
      </c>
      <c r="S165">
        <f t="shared" si="5"/>
        <v>90</v>
      </c>
    </row>
    <row r="166" spans="1:19" x14ac:dyDescent="0.25">
      <c r="A166">
        <v>2559</v>
      </c>
      <c r="B166" t="s">
        <v>451</v>
      </c>
      <c r="C166" t="s">
        <v>69</v>
      </c>
      <c r="D166" s="32">
        <v>195339.2</v>
      </c>
      <c r="E166">
        <v>1246274052</v>
      </c>
      <c r="F166" s="28">
        <v>46240</v>
      </c>
      <c r="H166" t="s">
        <v>23</v>
      </c>
      <c r="I166" t="s">
        <v>24</v>
      </c>
      <c r="J166">
        <v>11328</v>
      </c>
      <c r="K166" s="28">
        <v>46150</v>
      </c>
      <c r="L166">
        <v>1010100</v>
      </c>
      <c r="M166" t="s">
        <v>29</v>
      </c>
      <c r="N166">
        <v>161</v>
      </c>
      <c r="O166" t="s">
        <v>145</v>
      </c>
      <c r="P166" t="s">
        <v>431</v>
      </c>
      <c r="Q166">
        <f t="shared" si="4"/>
        <v>-43</v>
      </c>
      <c r="R166" t="str">
        <f>_xlfn.XLOOKUP(P166,'Painel Additive'!$B:$B,'Painel Additive'!$B:$B,0)</f>
        <v>GRUPO MOSAIC FERTILIZANTES DO BRASIL</v>
      </c>
      <c r="S166">
        <f t="shared" si="5"/>
        <v>90</v>
      </c>
    </row>
    <row r="167" spans="1:19" x14ac:dyDescent="0.25">
      <c r="A167">
        <v>2559</v>
      </c>
      <c r="B167" t="s">
        <v>451</v>
      </c>
      <c r="C167" t="s">
        <v>69</v>
      </c>
      <c r="D167" s="32">
        <v>191036</v>
      </c>
      <c r="E167">
        <v>1246277504</v>
      </c>
      <c r="F167" s="28">
        <v>46261</v>
      </c>
      <c r="H167" t="s">
        <v>23</v>
      </c>
      <c r="I167" t="s">
        <v>24</v>
      </c>
      <c r="J167">
        <v>11560</v>
      </c>
      <c r="K167" s="28">
        <v>46171</v>
      </c>
      <c r="L167">
        <v>1010100</v>
      </c>
      <c r="M167" t="s">
        <v>29</v>
      </c>
      <c r="N167">
        <v>161</v>
      </c>
      <c r="O167" t="s">
        <v>145</v>
      </c>
      <c r="P167" t="s">
        <v>431</v>
      </c>
      <c r="Q167">
        <f t="shared" si="4"/>
        <v>-64</v>
      </c>
      <c r="R167" t="str">
        <f>_xlfn.XLOOKUP(P167,'Painel Additive'!$B:$B,'Painel Additive'!$B:$B,0)</f>
        <v>GRUPO MOSAIC FERTILIZANTES DO BRASIL</v>
      </c>
      <c r="S167">
        <f t="shared" si="5"/>
        <v>90</v>
      </c>
    </row>
    <row r="168" spans="1:19" x14ac:dyDescent="0.25">
      <c r="A168">
        <v>5182</v>
      </c>
      <c r="B168" t="s">
        <v>82</v>
      </c>
      <c r="C168" t="s">
        <v>15609</v>
      </c>
      <c r="D168" s="32">
        <v>82334.399999999994</v>
      </c>
      <c r="E168">
        <v>1246278207</v>
      </c>
      <c r="F168" s="28">
        <v>46204</v>
      </c>
      <c r="H168" t="s">
        <v>23</v>
      </c>
      <c r="I168" t="s">
        <v>24</v>
      </c>
      <c r="J168">
        <v>11595</v>
      </c>
      <c r="K168" s="28">
        <v>46176</v>
      </c>
      <c r="L168">
        <v>1010100</v>
      </c>
      <c r="M168" t="s">
        <v>29</v>
      </c>
      <c r="N168">
        <v>161</v>
      </c>
      <c r="O168" t="s">
        <v>145</v>
      </c>
      <c r="P168" t="s">
        <v>489</v>
      </c>
      <c r="Q168">
        <f t="shared" si="4"/>
        <v>-7</v>
      </c>
      <c r="R168" t="str">
        <f>_xlfn.XLOOKUP(P168,'Painel Additive'!$B:$B,'Painel Additive'!$B:$B,0)</f>
        <v>GRUPO FERTIPAR FERTILIZANTES MATO GROSSO</v>
      </c>
      <c r="S168">
        <f t="shared" si="5"/>
        <v>28</v>
      </c>
    </row>
    <row r="169" spans="1:19" x14ac:dyDescent="0.25">
      <c r="A169">
        <v>6124</v>
      </c>
      <c r="B169" t="s">
        <v>695</v>
      </c>
      <c r="C169" t="s">
        <v>85</v>
      </c>
      <c r="D169" s="32">
        <v>54919.6</v>
      </c>
      <c r="E169">
        <v>1246273393</v>
      </c>
      <c r="F169" s="28">
        <v>46236</v>
      </c>
      <c r="H169" t="s">
        <v>23</v>
      </c>
      <c r="I169" t="s">
        <v>24</v>
      </c>
      <c r="J169">
        <v>11281</v>
      </c>
      <c r="K169" s="28">
        <v>46146</v>
      </c>
      <c r="L169">
        <v>1010100</v>
      </c>
      <c r="M169" t="s">
        <v>29</v>
      </c>
      <c r="N169">
        <v>161</v>
      </c>
      <c r="O169" t="s">
        <v>145</v>
      </c>
      <c r="P169" t="s">
        <v>431</v>
      </c>
      <c r="Q169">
        <f t="shared" si="4"/>
        <v>-39</v>
      </c>
      <c r="R169" t="str">
        <f>_xlfn.XLOOKUP(P169,'Painel Additive'!$B:$B,'Painel Additive'!$B:$B,0)</f>
        <v>GRUPO MOSAIC FERTILIZANTES DO BRASIL</v>
      </c>
      <c r="S169">
        <f t="shared" si="5"/>
        <v>90</v>
      </c>
    </row>
    <row r="170" spans="1:19" x14ac:dyDescent="0.25">
      <c r="A170">
        <v>6124</v>
      </c>
      <c r="B170" t="s">
        <v>695</v>
      </c>
      <c r="C170" t="s">
        <v>85</v>
      </c>
      <c r="D170" s="32">
        <v>52493.62</v>
      </c>
      <c r="E170">
        <v>1246280894</v>
      </c>
      <c r="F170" s="28">
        <v>46287</v>
      </c>
      <c r="H170" t="s">
        <v>23</v>
      </c>
      <c r="I170" t="s">
        <v>24</v>
      </c>
      <c r="J170">
        <v>11812</v>
      </c>
      <c r="K170" s="28">
        <v>46197</v>
      </c>
      <c r="L170">
        <v>1010100</v>
      </c>
      <c r="M170" t="s">
        <v>29</v>
      </c>
      <c r="N170">
        <v>161</v>
      </c>
      <c r="O170" t="s">
        <v>145</v>
      </c>
      <c r="P170" t="s">
        <v>431</v>
      </c>
      <c r="Q170">
        <f t="shared" ref="Q170:Q200" si="6">$R$1-F170</f>
        <v>-90</v>
      </c>
      <c r="R170" t="str">
        <f>_xlfn.XLOOKUP(P170,'Painel Additive'!$B:$B,'Painel Additive'!$B:$B,0)</f>
        <v>GRUPO MOSAIC FERTILIZANTES DO BRASIL</v>
      </c>
      <c r="S170">
        <f t="shared" ref="S170:S200" si="7">F170-K170</f>
        <v>90</v>
      </c>
    </row>
    <row r="171" spans="1:19" x14ac:dyDescent="0.25">
      <c r="A171">
        <v>6124</v>
      </c>
      <c r="B171" t="s">
        <v>695</v>
      </c>
      <c r="C171" t="s">
        <v>85</v>
      </c>
      <c r="D171" s="32">
        <v>51634.400000000001</v>
      </c>
      <c r="E171">
        <v>1246271329</v>
      </c>
      <c r="F171" s="28">
        <v>46216</v>
      </c>
      <c r="H171" t="s">
        <v>23</v>
      </c>
      <c r="I171" t="s">
        <v>24</v>
      </c>
      <c r="J171">
        <v>11119</v>
      </c>
      <c r="K171" s="28">
        <v>46126</v>
      </c>
      <c r="L171">
        <v>1010100</v>
      </c>
      <c r="M171" t="s">
        <v>29</v>
      </c>
      <c r="N171">
        <v>161</v>
      </c>
      <c r="O171" t="s">
        <v>145</v>
      </c>
      <c r="P171" t="s">
        <v>431</v>
      </c>
      <c r="Q171">
        <f t="shared" si="6"/>
        <v>-19</v>
      </c>
      <c r="R171" t="str">
        <f>_xlfn.XLOOKUP(P171,'Painel Additive'!$B:$B,'Painel Additive'!$B:$B,0)</f>
        <v>GRUPO MOSAIC FERTILIZANTES DO BRASIL</v>
      </c>
      <c r="S171">
        <f t="shared" si="7"/>
        <v>90</v>
      </c>
    </row>
    <row r="172" spans="1:19" x14ac:dyDescent="0.25">
      <c r="A172">
        <v>6124</v>
      </c>
      <c r="B172" t="s">
        <v>695</v>
      </c>
      <c r="C172" t="s">
        <v>85</v>
      </c>
      <c r="D172" s="32">
        <v>52129.08</v>
      </c>
      <c r="E172">
        <v>1246277258</v>
      </c>
      <c r="F172" s="28">
        <v>46260</v>
      </c>
      <c r="H172" t="s">
        <v>23</v>
      </c>
      <c r="I172" t="s">
        <v>24</v>
      </c>
      <c r="J172">
        <v>11536</v>
      </c>
      <c r="K172" s="28">
        <v>46170</v>
      </c>
      <c r="L172">
        <v>1010100</v>
      </c>
      <c r="M172" t="s">
        <v>29</v>
      </c>
      <c r="N172">
        <v>161</v>
      </c>
      <c r="O172" t="s">
        <v>145</v>
      </c>
      <c r="P172" t="s">
        <v>431</v>
      </c>
      <c r="Q172">
        <f t="shared" si="6"/>
        <v>-63</v>
      </c>
      <c r="R172" t="str">
        <f>_xlfn.XLOOKUP(P172,'Painel Additive'!$B:$B,'Painel Additive'!$B:$B,0)</f>
        <v>GRUPO MOSAIC FERTILIZANTES DO BRASIL</v>
      </c>
      <c r="S172">
        <f t="shared" si="7"/>
        <v>90</v>
      </c>
    </row>
    <row r="173" spans="1:19" x14ac:dyDescent="0.25">
      <c r="A173">
        <v>7102</v>
      </c>
      <c r="B173" t="s">
        <v>676</v>
      </c>
      <c r="C173" t="s">
        <v>480</v>
      </c>
      <c r="D173" s="32">
        <v>63616.49</v>
      </c>
      <c r="E173">
        <v>1246275577</v>
      </c>
      <c r="F173" s="28">
        <v>46250</v>
      </c>
      <c r="H173" t="s">
        <v>23</v>
      </c>
      <c r="I173" t="s">
        <v>24</v>
      </c>
      <c r="J173">
        <v>11421</v>
      </c>
      <c r="K173" s="28">
        <v>46160</v>
      </c>
      <c r="L173">
        <v>1010100</v>
      </c>
      <c r="M173" t="s">
        <v>29</v>
      </c>
      <c r="N173">
        <v>161</v>
      </c>
      <c r="O173" t="s">
        <v>145</v>
      </c>
      <c r="P173" t="s">
        <v>431</v>
      </c>
      <c r="Q173">
        <f t="shared" si="6"/>
        <v>-53</v>
      </c>
      <c r="R173" t="str">
        <f>_xlfn.XLOOKUP(P173,'Painel Additive'!$B:$B,'Painel Additive'!$B:$B,0)</f>
        <v>GRUPO MOSAIC FERTILIZANTES DO BRASIL</v>
      </c>
      <c r="S173">
        <f t="shared" si="7"/>
        <v>90</v>
      </c>
    </row>
    <row r="174" spans="1:19" x14ac:dyDescent="0.25">
      <c r="A174">
        <v>7102</v>
      </c>
      <c r="B174" t="s">
        <v>676</v>
      </c>
      <c r="C174" t="s">
        <v>480</v>
      </c>
      <c r="D174" s="32">
        <v>63327</v>
      </c>
      <c r="E174">
        <v>1246270569</v>
      </c>
      <c r="F174" s="28">
        <v>46210</v>
      </c>
      <c r="H174" t="s">
        <v>23</v>
      </c>
      <c r="I174" t="s">
        <v>24</v>
      </c>
      <c r="J174">
        <v>11069</v>
      </c>
      <c r="K174" s="28">
        <v>46120</v>
      </c>
      <c r="L174">
        <v>1010100</v>
      </c>
      <c r="M174" t="s">
        <v>29</v>
      </c>
      <c r="N174">
        <v>161</v>
      </c>
      <c r="O174" t="s">
        <v>145</v>
      </c>
      <c r="P174" t="s">
        <v>431</v>
      </c>
      <c r="Q174">
        <f t="shared" si="6"/>
        <v>-13</v>
      </c>
      <c r="R174" t="str">
        <f>_xlfn.XLOOKUP(P174,'Painel Additive'!$B:$B,'Painel Additive'!$B:$B,0)</f>
        <v>GRUPO MOSAIC FERTILIZANTES DO BRASIL</v>
      </c>
      <c r="S174">
        <f t="shared" si="7"/>
        <v>90</v>
      </c>
    </row>
    <row r="175" spans="1:19" x14ac:dyDescent="0.25">
      <c r="A175">
        <v>7102</v>
      </c>
      <c r="B175" t="s">
        <v>676</v>
      </c>
      <c r="C175" t="s">
        <v>480</v>
      </c>
      <c r="D175" s="32">
        <v>63152.44</v>
      </c>
      <c r="E175">
        <v>1246277905</v>
      </c>
      <c r="F175" s="28">
        <v>46265</v>
      </c>
      <c r="H175" t="s">
        <v>23</v>
      </c>
      <c r="I175" t="s">
        <v>24</v>
      </c>
      <c r="J175">
        <v>11585</v>
      </c>
      <c r="K175" s="28">
        <v>46175</v>
      </c>
      <c r="L175">
        <v>1010100</v>
      </c>
      <c r="M175" t="s">
        <v>29</v>
      </c>
      <c r="N175">
        <v>161</v>
      </c>
      <c r="O175" t="s">
        <v>145</v>
      </c>
      <c r="P175" t="s">
        <v>431</v>
      </c>
      <c r="Q175">
        <f t="shared" si="6"/>
        <v>-68</v>
      </c>
      <c r="R175" t="str">
        <f>_xlfn.XLOOKUP(P175,'Painel Additive'!$B:$B,'Painel Additive'!$B:$B,0)</f>
        <v>GRUPO MOSAIC FERTILIZANTES DO BRASIL</v>
      </c>
      <c r="S175">
        <f t="shared" si="7"/>
        <v>90</v>
      </c>
    </row>
    <row r="176" spans="1:19" x14ac:dyDescent="0.25">
      <c r="A176">
        <v>7102</v>
      </c>
      <c r="B176" t="s">
        <v>676</v>
      </c>
      <c r="C176" t="s">
        <v>480</v>
      </c>
      <c r="D176" s="32">
        <v>63173.54</v>
      </c>
      <c r="E176">
        <v>1246279684</v>
      </c>
      <c r="F176" s="28">
        <v>46279</v>
      </c>
      <c r="H176" t="s">
        <v>23</v>
      </c>
      <c r="I176" t="s">
        <v>24</v>
      </c>
      <c r="J176">
        <v>11726</v>
      </c>
      <c r="K176" s="28">
        <v>46189</v>
      </c>
      <c r="L176">
        <v>1010100</v>
      </c>
      <c r="M176" t="s">
        <v>29</v>
      </c>
      <c r="N176">
        <v>161</v>
      </c>
      <c r="O176" t="s">
        <v>145</v>
      </c>
      <c r="P176" t="s">
        <v>431</v>
      </c>
      <c r="Q176">
        <f t="shared" si="6"/>
        <v>-82</v>
      </c>
      <c r="R176" t="str">
        <f>_xlfn.XLOOKUP(P176,'Painel Additive'!$B:$B,'Painel Additive'!$B:$B,0)</f>
        <v>GRUPO MOSAIC FERTILIZANTES DO BRASIL</v>
      </c>
      <c r="S176">
        <f t="shared" si="7"/>
        <v>90</v>
      </c>
    </row>
    <row r="177" spans="1:20" x14ac:dyDescent="0.25">
      <c r="A177">
        <v>7102</v>
      </c>
      <c r="B177" t="s">
        <v>676</v>
      </c>
      <c r="C177" t="s">
        <v>480</v>
      </c>
      <c r="D177" s="32">
        <v>63257.91</v>
      </c>
      <c r="E177">
        <v>1246278476</v>
      </c>
      <c r="F177" s="28">
        <v>46271</v>
      </c>
      <c r="H177" t="s">
        <v>23</v>
      </c>
      <c r="I177" t="s">
        <v>24</v>
      </c>
      <c r="J177">
        <v>11631</v>
      </c>
      <c r="K177" s="28">
        <v>46181</v>
      </c>
      <c r="L177">
        <v>1010100</v>
      </c>
      <c r="M177" t="s">
        <v>29</v>
      </c>
      <c r="N177">
        <v>161</v>
      </c>
      <c r="O177" t="s">
        <v>145</v>
      </c>
      <c r="P177" t="s">
        <v>431</v>
      </c>
      <c r="Q177">
        <f t="shared" si="6"/>
        <v>-74</v>
      </c>
      <c r="R177" t="str">
        <f>_xlfn.XLOOKUP(P177,'Painel Additive'!$B:$B,'Painel Additive'!$B:$B,0)</f>
        <v>GRUPO MOSAIC FERTILIZANTES DO BRASIL</v>
      </c>
      <c r="S177">
        <f t="shared" si="7"/>
        <v>90</v>
      </c>
    </row>
    <row r="178" spans="1:20" x14ac:dyDescent="0.25">
      <c r="A178">
        <v>7102</v>
      </c>
      <c r="B178" t="s">
        <v>676</v>
      </c>
      <c r="C178" t="s">
        <v>480</v>
      </c>
      <c r="D178" s="32">
        <v>63405.56</v>
      </c>
      <c r="E178">
        <v>1246281004</v>
      </c>
      <c r="F178" s="28">
        <v>46287</v>
      </c>
      <c r="H178" t="s">
        <v>23</v>
      </c>
      <c r="I178" t="s">
        <v>24</v>
      </c>
      <c r="J178">
        <v>11817</v>
      </c>
      <c r="K178" s="28">
        <v>46197</v>
      </c>
      <c r="L178">
        <v>1010100</v>
      </c>
      <c r="M178" t="s">
        <v>29</v>
      </c>
      <c r="N178">
        <v>161</v>
      </c>
      <c r="O178" t="s">
        <v>145</v>
      </c>
      <c r="P178" t="s">
        <v>431</v>
      </c>
      <c r="Q178">
        <f t="shared" si="6"/>
        <v>-90</v>
      </c>
      <c r="R178" t="str">
        <f>_xlfn.XLOOKUP(P178,'Painel Additive'!$B:$B,'Painel Additive'!$B:$B,0)</f>
        <v>GRUPO MOSAIC FERTILIZANTES DO BRASIL</v>
      </c>
      <c r="S178">
        <f t="shared" si="7"/>
        <v>90</v>
      </c>
    </row>
    <row r="179" spans="1:20" x14ac:dyDescent="0.25">
      <c r="A179">
        <v>7102</v>
      </c>
      <c r="B179" t="s">
        <v>676</v>
      </c>
      <c r="C179" t="s">
        <v>480</v>
      </c>
      <c r="D179" s="32">
        <v>63785.23</v>
      </c>
      <c r="E179">
        <v>1246279378</v>
      </c>
      <c r="F179" s="28">
        <v>46275</v>
      </c>
      <c r="H179" t="s">
        <v>23</v>
      </c>
      <c r="I179" t="s">
        <v>24</v>
      </c>
      <c r="J179">
        <v>11696</v>
      </c>
      <c r="K179" s="28">
        <v>46185</v>
      </c>
      <c r="L179">
        <v>1010100</v>
      </c>
      <c r="M179" t="s">
        <v>29</v>
      </c>
      <c r="N179">
        <v>161</v>
      </c>
      <c r="O179" t="s">
        <v>145</v>
      </c>
      <c r="P179" t="s">
        <v>431</v>
      </c>
      <c r="Q179">
        <f t="shared" si="6"/>
        <v>-78</v>
      </c>
      <c r="R179" t="str">
        <f>_xlfn.XLOOKUP(P179,'Painel Additive'!$B:$B,'Painel Additive'!$B:$B,0)</f>
        <v>GRUPO MOSAIC FERTILIZANTES DO BRASIL</v>
      </c>
      <c r="S179">
        <f t="shared" si="7"/>
        <v>90</v>
      </c>
    </row>
    <row r="180" spans="1:20" x14ac:dyDescent="0.25">
      <c r="A180">
        <v>7102</v>
      </c>
      <c r="B180" t="s">
        <v>676</v>
      </c>
      <c r="C180" t="s">
        <v>480</v>
      </c>
      <c r="D180" s="32">
        <v>63257.91</v>
      </c>
      <c r="E180">
        <v>1246277067</v>
      </c>
      <c r="F180" s="28">
        <v>46259</v>
      </c>
      <c r="H180" t="s">
        <v>23</v>
      </c>
      <c r="I180" t="s">
        <v>24</v>
      </c>
      <c r="J180">
        <v>11514</v>
      </c>
      <c r="K180" s="28">
        <v>46169</v>
      </c>
      <c r="L180">
        <v>1010100</v>
      </c>
      <c r="M180" t="s">
        <v>29</v>
      </c>
      <c r="N180">
        <v>161</v>
      </c>
      <c r="O180" t="s">
        <v>145</v>
      </c>
      <c r="P180" t="s">
        <v>431</v>
      </c>
      <c r="Q180">
        <f t="shared" si="6"/>
        <v>-62</v>
      </c>
      <c r="R180" t="str">
        <f>_xlfn.XLOOKUP(P180,'Painel Additive'!$B:$B,'Painel Additive'!$B:$B,0)</f>
        <v>GRUPO MOSAIC FERTILIZANTES DO BRASIL</v>
      </c>
      <c r="S180">
        <f t="shared" si="7"/>
        <v>90</v>
      </c>
    </row>
    <row r="181" spans="1:20" x14ac:dyDescent="0.25">
      <c r="A181">
        <v>7102</v>
      </c>
      <c r="B181" t="s">
        <v>676</v>
      </c>
      <c r="C181" t="s">
        <v>480</v>
      </c>
      <c r="D181" s="32">
        <v>63616.49</v>
      </c>
      <c r="E181">
        <v>1246280441</v>
      </c>
      <c r="F181" s="28">
        <v>46285</v>
      </c>
      <c r="H181" t="s">
        <v>23</v>
      </c>
      <c r="I181" t="s">
        <v>24</v>
      </c>
      <c r="J181">
        <v>11782</v>
      </c>
      <c r="K181" s="28">
        <v>46195</v>
      </c>
      <c r="L181">
        <v>1010100</v>
      </c>
      <c r="M181" t="s">
        <v>29</v>
      </c>
      <c r="N181">
        <v>161</v>
      </c>
      <c r="O181" t="s">
        <v>145</v>
      </c>
      <c r="P181" t="s">
        <v>431</v>
      </c>
      <c r="Q181">
        <f t="shared" si="6"/>
        <v>-88</v>
      </c>
      <c r="R181" t="str">
        <f>_xlfn.XLOOKUP(P181,'Painel Additive'!$B:$B,'Painel Additive'!$B:$B,0)</f>
        <v>GRUPO MOSAIC FERTILIZANTES DO BRASIL</v>
      </c>
      <c r="S181">
        <f t="shared" si="7"/>
        <v>90</v>
      </c>
    </row>
    <row r="182" spans="1:20" x14ac:dyDescent="0.25">
      <c r="A182">
        <v>7662</v>
      </c>
      <c r="B182" t="s">
        <v>95</v>
      </c>
      <c r="C182" t="s">
        <v>465</v>
      </c>
      <c r="D182" s="32">
        <v>112800</v>
      </c>
      <c r="E182">
        <v>1246276582</v>
      </c>
      <c r="F182" s="28">
        <v>46212</v>
      </c>
      <c r="H182" t="s">
        <v>23</v>
      </c>
      <c r="I182" t="s">
        <v>24</v>
      </c>
      <c r="J182">
        <v>2961</v>
      </c>
      <c r="K182" s="28">
        <v>46167</v>
      </c>
      <c r="L182">
        <v>1010100</v>
      </c>
      <c r="M182" t="s">
        <v>29</v>
      </c>
      <c r="N182">
        <v>161</v>
      </c>
      <c r="O182" t="s">
        <v>145</v>
      </c>
      <c r="P182" t="s">
        <v>526</v>
      </c>
      <c r="Q182">
        <f t="shared" si="6"/>
        <v>-15</v>
      </c>
      <c r="R182" t="str">
        <f>_xlfn.XLOOKUP(P182,'Painel Additive'!$B:$B,'Painel Additive'!$B:$B,0)</f>
        <v>BENTONIT UNIAO - CAMPINA GRANDE</v>
      </c>
      <c r="S182">
        <f t="shared" si="7"/>
        <v>45</v>
      </c>
    </row>
    <row r="183" spans="1:20" x14ac:dyDescent="0.25">
      <c r="A183">
        <v>7662</v>
      </c>
      <c r="B183" t="s">
        <v>95</v>
      </c>
      <c r="C183" t="s">
        <v>465</v>
      </c>
      <c r="D183" s="32">
        <v>112800</v>
      </c>
      <c r="E183">
        <v>1246276583</v>
      </c>
      <c r="F183" s="28">
        <v>46227</v>
      </c>
      <c r="H183" t="s">
        <v>23</v>
      </c>
      <c r="I183" t="s">
        <v>24</v>
      </c>
      <c r="J183">
        <v>2961</v>
      </c>
      <c r="K183" s="28">
        <v>46167</v>
      </c>
      <c r="L183">
        <v>1010100</v>
      </c>
      <c r="M183" t="s">
        <v>29</v>
      </c>
      <c r="N183">
        <v>161</v>
      </c>
      <c r="O183" t="s">
        <v>145</v>
      </c>
      <c r="P183" t="s">
        <v>526</v>
      </c>
      <c r="Q183">
        <f t="shared" si="6"/>
        <v>-30</v>
      </c>
      <c r="R183" t="str">
        <f>_xlfn.XLOOKUP(P183,'Painel Additive'!$B:$B,'Painel Additive'!$B:$B,0)</f>
        <v>BENTONIT UNIAO - CAMPINA GRANDE</v>
      </c>
      <c r="S183">
        <f t="shared" si="7"/>
        <v>60</v>
      </c>
    </row>
    <row r="184" spans="1:20" x14ac:dyDescent="0.25">
      <c r="A184">
        <v>7662</v>
      </c>
      <c r="B184" t="s">
        <v>95</v>
      </c>
      <c r="C184" t="s">
        <v>465</v>
      </c>
      <c r="D184" s="32">
        <v>91675</v>
      </c>
      <c r="E184">
        <v>1246273180</v>
      </c>
      <c r="F184" s="28">
        <v>46202</v>
      </c>
      <c r="H184" t="s">
        <v>23</v>
      </c>
      <c r="I184" t="s">
        <v>24</v>
      </c>
      <c r="J184">
        <v>2902</v>
      </c>
      <c r="K184" s="28">
        <v>46142</v>
      </c>
      <c r="L184">
        <v>1010100</v>
      </c>
      <c r="M184" t="s">
        <v>29</v>
      </c>
      <c r="N184">
        <v>161</v>
      </c>
      <c r="O184" t="s">
        <v>145</v>
      </c>
      <c r="P184" t="s">
        <v>526</v>
      </c>
      <c r="Q184">
        <f t="shared" si="6"/>
        <v>-5</v>
      </c>
      <c r="R184" t="str">
        <f>_xlfn.XLOOKUP(P184,'Painel Additive'!$B:$B,'Painel Additive'!$B:$B,0)</f>
        <v>BENTONIT UNIAO - CAMPINA GRANDE</v>
      </c>
      <c r="S184">
        <f t="shared" si="7"/>
        <v>60</v>
      </c>
    </row>
    <row r="185" spans="1:20" x14ac:dyDescent="0.25">
      <c r="A185">
        <v>6477</v>
      </c>
      <c r="B185" t="s">
        <v>87</v>
      </c>
      <c r="C185" t="s">
        <v>88</v>
      </c>
      <c r="D185" s="32">
        <v>181536</v>
      </c>
      <c r="E185">
        <v>1246280462</v>
      </c>
      <c r="F185" s="28">
        <v>46285</v>
      </c>
      <c r="H185" t="s">
        <v>23</v>
      </c>
      <c r="I185" t="s">
        <v>24</v>
      </c>
      <c r="J185">
        <v>11785</v>
      </c>
      <c r="K185" s="28">
        <v>46195</v>
      </c>
      <c r="L185">
        <v>1010100</v>
      </c>
      <c r="M185" t="s">
        <v>29</v>
      </c>
      <c r="N185">
        <v>161</v>
      </c>
      <c r="O185" t="s">
        <v>145</v>
      </c>
      <c r="P185" t="s">
        <v>431</v>
      </c>
      <c r="Q185">
        <f t="shared" si="6"/>
        <v>-88</v>
      </c>
      <c r="R185" t="str">
        <f>_xlfn.XLOOKUP(P185,'Painel Additive'!$B:$B,'Painel Additive'!$B:$B,0)</f>
        <v>GRUPO MOSAIC FERTILIZANTES DO BRASIL</v>
      </c>
      <c r="S185">
        <f t="shared" si="7"/>
        <v>90</v>
      </c>
    </row>
    <row r="186" spans="1:20" x14ac:dyDescent="0.25">
      <c r="A186">
        <v>6477</v>
      </c>
      <c r="B186" t="s">
        <v>87</v>
      </c>
      <c r="C186" t="s">
        <v>88</v>
      </c>
      <c r="D186" s="32">
        <v>120170</v>
      </c>
      <c r="E186">
        <v>1246277591</v>
      </c>
      <c r="F186" s="28">
        <v>46264</v>
      </c>
      <c r="H186" t="s">
        <v>23</v>
      </c>
      <c r="I186" t="s">
        <v>24</v>
      </c>
      <c r="J186">
        <v>11569</v>
      </c>
      <c r="K186" s="28">
        <v>46174</v>
      </c>
      <c r="L186">
        <v>1010100</v>
      </c>
      <c r="M186" t="s">
        <v>29</v>
      </c>
      <c r="N186">
        <v>161</v>
      </c>
      <c r="O186" t="s">
        <v>145</v>
      </c>
      <c r="P186" t="s">
        <v>431</v>
      </c>
      <c r="Q186">
        <f t="shared" si="6"/>
        <v>-67</v>
      </c>
      <c r="R186" t="str">
        <f>_xlfn.XLOOKUP(P186,'Painel Additive'!$B:$B,'Painel Additive'!$B:$B,0)</f>
        <v>GRUPO MOSAIC FERTILIZANTES DO BRASIL</v>
      </c>
      <c r="S186">
        <f t="shared" si="7"/>
        <v>90</v>
      </c>
    </row>
    <row r="187" spans="1:20" x14ac:dyDescent="0.25">
      <c r="A187">
        <v>6477</v>
      </c>
      <c r="B187" t="s">
        <v>87</v>
      </c>
      <c r="C187" t="s">
        <v>88</v>
      </c>
      <c r="D187" s="32">
        <v>92903</v>
      </c>
      <c r="E187">
        <v>1246275478</v>
      </c>
      <c r="F187" s="28">
        <v>46247</v>
      </c>
      <c r="H187" t="s">
        <v>23</v>
      </c>
      <c r="I187" t="s">
        <v>24</v>
      </c>
      <c r="J187">
        <v>11413</v>
      </c>
      <c r="K187" s="28">
        <v>46157</v>
      </c>
      <c r="L187">
        <v>1010100</v>
      </c>
      <c r="M187" t="s">
        <v>29</v>
      </c>
      <c r="N187">
        <v>161</v>
      </c>
      <c r="O187" t="s">
        <v>145</v>
      </c>
      <c r="P187" t="s">
        <v>431</v>
      </c>
      <c r="Q187">
        <f t="shared" si="6"/>
        <v>-50</v>
      </c>
      <c r="R187" t="str">
        <f>_xlfn.XLOOKUP(P187,'Painel Additive'!$B:$B,'Painel Additive'!$B:$B,0)</f>
        <v>GRUPO MOSAIC FERTILIZANTES DO BRASIL</v>
      </c>
      <c r="S187">
        <f t="shared" si="7"/>
        <v>90</v>
      </c>
    </row>
    <row r="188" spans="1:20" x14ac:dyDescent="0.25">
      <c r="A188">
        <v>6477</v>
      </c>
      <c r="B188" t="s">
        <v>87</v>
      </c>
      <c r="C188" t="s">
        <v>88</v>
      </c>
      <c r="D188" s="32">
        <v>181963</v>
      </c>
      <c r="E188">
        <v>1246279053</v>
      </c>
      <c r="F188" s="28">
        <v>46273</v>
      </c>
      <c r="H188" t="s">
        <v>23</v>
      </c>
      <c r="I188" t="s">
        <v>24</v>
      </c>
      <c r="J188">
        <v>11674</v>
      </c>
      <c r="K188" s="28">
        <v>46183</v>
      </c>
      <c r="L188">
        <v>1010100</v>
      </c>
      <c r="M188" t="s">
        <v>29</v>
      </c>
      <c r="N188">
        <v>161</v>
      </c>
      <c r="O188" t="s">
        <v>145</v>
      </c>
      <c r="P188" t="s">
        <v>431</v>
      </c>
      <c r="Q188">
        <f t="shared" si="6"/>
        <v>-76</v>
      </c>
      <c r="R188" t="str">
        <f>_xlfn.XLOOKUP(P188,'Painel Additive'!$B:$B,'Painel Additive'!$B:$B,0)</f>
        <v>GRUPO MOSAIC FERTILIZANTES DO BRASIL</v>
      </c>
      <c r="S188">
        <f t="shared" si="7"/>
        <v>90</v>
      </c>
    </row>
    <row r="189" spans="1:20" x14ac:dyDescent="0.25">
      <c r="A189">
        <v>6477</v>
      </c>
      <c r="B189" t="s">
        <v>87</v>
      </c>
      <c r="C189" t="s">
        <v>88</v>
      </c>
      <c r="D189" s="32">
        <v>120475</v>
      </c>
      <c r="E189">
        <v>1246279407</v>
      </c>
      <c r="F189" s="28">
        <v>46275</v>
      </c>
      <c r="H189" t="s">
        <v>23</v>
      </c>
      <c r="I189" t="s">
        <v>24</v>
      </c>
      <c r="J189">
        <v>11705</v>
      </c>
      <c r="K189" s="28">
        <v>46185</v>
      </c>
      <c r="L189">
        <v>1010100</v>
      </c>
      <c r="M189" t="s">
        <v>29</v>
      </c>
      <c r="N189">
        <v>161</v>
      </c>
      <c r="O189" t="s">
        <v>145</v>
      </c>
      <c r="P189" t="s">
        <v>431</v>
      </c>
      <c r="Q189">
        <f t="shared" si="6"/>
        <v>-78</v>
      </c>
      <c r="R189" t="str">
        <f>_xlfn.XLOOKUP(P189,'Painel Additive'!$B:$B,'Painel Additive'!$B:$B,0)</f>
        <v>GRUPO MOSAIC FERTILIZANTES DO BRASIL</v>
      </c>
      <c r="S189">
        <f t="shared" si="7"/>
        <v>90</v>
      </c>
    </row>
    <row r="190" spans="1:20" x14ac:dyDescent="0.25">
      <c r="A190">
        <v>6477</v>
      </c>
      <c r="B190" t="s">
        <v>87</v>
      </c>
      <c r="C190" t="s">
        <v>88</v>
      </c>
      <c r="D190" s="32">
        <v>184525</v>
      </c>
      <c r="E190">
        <v>1246275783</v>
      </c>
      <c r="F190" s="28">
        <v>46251</v>
      </c>
      <c r="H190" t="s">
        <v>23</v>
      </c>
      <c r="I190" t="s">
        <v>24</v>
      </c>
      <c r="J190">
        <v>11440</v>
      </c>
      <c r="K190" s="28">
        <v>46161</v>
      </c>
      <c r="L190">
        <v>1010100</v>
      </c>
      <c r="M190" t="s">
        <v>29</v>
      </c>
      <c r="N190">
        <v>161</v>
      </c>
      <c r="O190" t="s">
        <v>145</v>
      </c>
      <c r="P190" t="s">
        <v>431</v>
      </c>
      <c r="Q190">
        <f t="shared" si="6"/>
        <v>-54</v>
      </c>
      <c r="R190" t="str">
        <f>_xlfn.XLOOKUP(P190,'Painel Additive'!$B:$B,'Painel Additive'!$B:$B,0)</f>
        <v>GRUPO MOSAIC FERTILIZANTES DO BRASIL</v>
      </c>
      <c r="S190">
        <f t="shared" si="7"/>
        <v>90</v>
      </c>
    </row>
    <row r="191" spans="1:20" x14ac:dyDescent="0.25">
      <c r="A191">
        <v>6477</v>
      </c>
      <c r="B191" t="s">
        <v>87</v>
      </c>
      <c r="C191" t="s">
        <v>88</v>
      </c>
      <c r="D191" s="32">
        <v>185135</v>
      </c>
      <c r="E191">
        <v>1246276345</v>
      </c>
      <c r="F191" s="28">
        <v>46254</v>
      </c>
      <c r="H191" t="s">
        <v>23</v>
      </c>
      <c r="I191" t="s">
        <v>24</v>
      </c>
      <c r="J191">
        <v>11476</v>
      </c>
      <c r="K191" s="28">
        <v>46164</v>
      </c>
      <c r="L191">
        <v>1010100</v>
      </c>
      <c r="M191" t="s">
        <v>29</v>
      </c>
      <c r="N191">
        <v>161</v>
      </c>
      <c r="O191" t="s">
        <v>145</v>
      </c>
      <c r="P191" t="s">
        <v>431</v>
      </c>
      <c r="Q191">
        <f t="shared" si="6"/>
        <v>-57</v>
      </c>
      <c r="R191" t="str">
        <f>_xlfn.XLOOKUP(P191,'Painel Additive'!$B:$B,'Painel Additive'!$B:$B,0)</f>
        <v>GRUPO MOSAIC FERTILIZANTES DO BRASIL</v>
      </c>
      <c r="S191">
        <f t="shared" si="7"/>
        <v>90</v>
      </c>
      <c r="T191">
        <f>F191-$R$1</f>
        <v>57</v>
      </c>
    </row>
    <row r="192" spans="1:20" x14ac:dyDescent="0.25">
      <c r="A192">
        <v>6477</v>
      </c>
      <c r="B192" t="s">
        <v>87</v>
      </c>
      <c r="C192" t="s">
        <v>88</v>
      </c>
      <c r="D192" s="32">
        <v>122000</v>
      </c>
      <c r="E192">
        <v>1246280250</v>
      </c>
      <c r="F192" s="28">
        <v>46282</v>
      </c>
      <c r="H192" t="s">
        <v>23</v>
      </c>
      <c r="I192" t="s">
        <v>24</v>
      </c>
      <c r="J192">
        <v>11762</v>
      </c>
      <c r="K192" s="28">
        <v>46192</v>
      </c>
      <c r="L192">
        <v>1010100</v>
      </c>
      <c r="M192" t="s">
        <v>29</v>
      </c>
      <c r="N192">
        <v>161</v>
      </c>
      <c r="O192" t="s">
        <v>145</v>
      </c>
      <c r="P192" t="s">
        <v>431</v>
      </c>
      <c r="Q192">
        <f t="shared" si="6"/>
        <v>-85</v>
      </c>
      <c r="R192" t="str">
        <f>_xlfn.XLOOKUP(P192,'Painel Additive'!$B:$B,'Painel Additive'!$B:$B,0)</f>
        <v>GRUPO MOSAIC FERTILIZANTES DO BRASIL</v>
      </c>
      <c r="S192">
        <f t="shared" si="7"/>
        <v>90</v>
      </c>
      <c r="T192">
        <f>F192-$R$1</f>
        <v>85</v>
      </c>
    </row>
    <row r="193" spans="1:20" x14ac:dyDescent="0.25">
      <c r="A193">
        <v>6477</v>
      </c>
      <c r="B193" t="s">
        <v>87</v>
      </c>
      <c r="C193" t="s">
        <v>88</v>
      </c>
      <c r="D193" s="32">
        <v>35057.43</v>
      </c>
      <c r="E193">
        <v>1246277377</v>
      </c>
      <c r="F193" s="28">
        <v>46261</v>
      </c>
      <c r="H193" t="s">
        <v>23</v>
      </c>
      <c r="I193" t="s">
        <v>24</v>
      </c>
      <c r="J193">
        <v>11552</v>
      </c>
      <c r="K193" s="28">
        <v>46171</v>
      </c>
      <c r="L193">
        <v>1010100</v>
      </c>
      <c r="M193" t="s">
        <v>29</v>
      </c>
      <c r="N193">
        <v>161</v>
      </c>
      <c r="O193" t="s">
        <v>145</v>
      </c>
      <c r="P193" t="s">
        <v>431</v>
      </c>
      <c r="Q193">
        <f t="shared" si="6"/>
        <v>-64</v>
      </c>
      <c r="R193" t="str">
        <f>_xlfn.XLOOKUP(P193,'Painel Additive'!$B:$B,'Painel Additive'!$B:$B,0)</f>
        <v>GRUPO MOSAIC FERTILIZANTES DO BRASIL</v>
      </c>
      <c r="S193">
        <f t="shared" si="7"/>
        <v>90</v>
      </c>
      <c r="T193">
        <f>F193-$R$1</f>
        <v>64</v>
      </c>
    </row>
    <row r="194" spans="1:20" x14ac:dyDescent="0.25">
      <c r="A194">
        <v>6477</v>
      </c>
      <c r="B194" t="s">
        <v>87</v>
      </c>
      <c r="C194" t="s">
        <v>88</v>
      </c>
      <c r="D194" s="32">
        <v>34213.5</v>
      </c>
      <c r="E194">
        <v>1246274569</v>
      </c>
      <c r="F194" s="28">
        <v>46244</v>
      </c>
      <c r="H194" t="s">
        <v>23</v>
      </c>
      <c r="I194" t="s">
        <v>24</v>
      </c>
      <c r="J194">
        <v>11361</v>
      </c>
      <c r="K194" s="28">
        <v>46154</v>
      </c>
      <c r="L194">
        <v>1010100</v>
      </c>
      <c r="M194" t="s">
        <v>29</v>
      </c>
      <c r="N194">
        <v>161</v>
      </c>
      <c r="O194" t="s">
        <v>145</v>
      </c>
      <c r="P194" t="s">
        <v>431</v>
      </c>
      <c r="Q194">
        <f t="shared" si="6"/>
        <v>-47</v>
      </c>
      <c r="R194" t="str">
        <f>_xlfn.XLOOKUP(P194,'Painel Additive'!$B:$B,'Painel Additive'!$B:$B,0)</f>
        <v>GRUPO MOSAIC FERTILIZANTES DO BRASIL</v>
      </c>
      <c r="S194">
        <f t="shared" si="7"/>
        <v>90</v>
      </c>
    </row>
    <row r="195" spans="1:20" x14ac:dyDescent="0.25">
      <c r="A195">
        <v>6477</v>
      </c>
      <c r="B195" t="s">
        <v>87</v>
      </c>
      <c r="C195" t="s">
        <v>88</v>
      </c>
      <c r="D195" s="32">
        <v>121878</v>
      </c>
      <c r="E195">
        <v>1246278399</v>
      </c>
      <c r="F195" s="28">
        <v>46268</v>
      </c>
      <c r="H195" t="s">
        <v>23</v>
      </c>
      <c r="I195" t="s">
        <v>24</v>
      </c>
      <c r="J195">
        <v>11617</v>
      </c>
      <c r="K195" s="28">
        <v>46178</v>
      </c>
      <c r="L195">
        <v>1010100</v>
      </c>
      <c r="M195" t="s">
        <v>29</v>
      </c>
      <c r="N195">
        <v>161</v>
      </c>
      <c r="O195" t="s">
        <v>145</v>
      </c>
      <c r="P195" t="s">
        <v>431</v>
      </c>
      <c r="Q195">
        <f t="shared" si="6"/>
        <v>-71</v>
      </c>
      <c r="R195" t="str">
        <f>_xlfn.XLOOKUP(P195,'Painel Additive'!$B:$B,'Painel Additive'!$B:$B,0)</f>
        <v>GRUPO MOSAIC FERTILIZANTES DO BRASIL</v>
      </c>
      <c r="S195">
        <f t="shared" si="7"/>
        <v>90</v>
      </c>
    </row>
    <row r="196" spans="1:20" x14ac:dyDescent="0.25">
      <c r="A196">
        <v>6477</v>
      </c>
      <c r="B196" t="s">
        <v>87</v>
      </c>
      <c r="C196" t="s">
        <v>88</v>
      </c>
      <c r="D196" s="32">
        <v>68404.19</v>
      </c>
      <c r="E196">
        <v>1246280278</v>
      </c>
      <c r="F196" s="28">
        <v>46282</v>
      </c>
      <c r="H196" t="s">
        <v>23</v>
      </c>
      <c r="I196" t="s">
        <v>24</v>
      </c>
      <c r="J196">
        <v>11769</v>
      </c>
      <c r="K196" s="28">
        <v>46192</v>
      </c>
      <c r="L196">
        <v>1010100</v>
      </c>
      <c r="M196" t="s">
        <v>29</v>
      </c>
      <c r="N196">
        <v>161</v>
      </c>
      <c r="O196" t="s">
        <v>145</v>
      </c>
      <c r="P196" t="s">
        <v>431</v>
      </c>
      <c r="Q196">
        <f t="shared" si="6"/>
        <v>-85</v>
      </c>
      <c r="R196" t="str">
        <f>_xlfn.XLOOKUP(P196,'Painel Additive'!$B:$B,'Painel Additive'!$B:$B,0)</f>
        <v>GRUPO MOSAIC FERTILIZANTES DO BRASIL</v>
      </c>
      <c r="S196">
        <f t="shared" si="7"/>
        <v>90</v>
      </c>
    </row>
    <row r="197" spans="1:20" x14ac:dyDescent="0.25">
      <c r="A197">
        <v>6477</v>
      </c>
      <c r="B197" t="s">
        <v>87</v>
      </c>
      <c r="C197" t="s">
        <v>88</v>
      </c>
      <c r="D197" s="32">
        <v>64184.53</v>
      </c>
      <c r="E197">
        <v>1246278952</v>
      </c>
      <c r="F197" s="28">
        <v>46273</v>
      </c>
      <c r="H197" t="s">
        <v>23</v>
      </c>
      <c r="I197" t="s">
        <v>24</v>
      </c>
      <c r="J197">
        <v>11666</v>
      </c>
      <c r="K197" s="28">
        <v>46183</v>
      </c>
      <c r="L197">
        <v>1010100</v>
      </c>
      <c r="M197" t="s">
        <v>29</v>
      </c>
      <c r="N197">
        <v>161</v>
      </c>
      <c r="O197" t="s">
        <v>145</v>
      </c>
      <c r="P197" t="s">
        <v>431</v>
      </c>
      <c r="Q197">
        <f t="shared" si="6"/>
        <v>-76</v>
      </c>
      <c r="R197" t="str">
        <f>_xlfn.XLOOKUP(P197,'Painel Additive'!$B:$B,'Painel Additive'!$B:$B,0)</f>
        <v>GRUPO MOSAIC FERTILIZANTES DO BRASIL</v>
      </c>
      <c r="S197">
        <f t="shared" si="7"/>
        <v>90</v>
      </c>
    </row>
    <row r="198" spans="1:20" x14ac:dyDescent="0.25">
      <c r="A198">
        <v>6477</v>
      </c>
      <c r="B198" t="s">
        <v>87</v>
      </c>
      <c r="C198" t="s">
        <v>88</v>
      </c>
      <c r="D198" s="32">
        <v>183427</v>
      </c>
      <c r="E198">
        <v>1246273826</v>
      </c>
      <c r="F198" s="28">
        <v>46238</v>
      </c>
      <c r="H198" t="s">
        <v>23</v>
      </c>
      <c r="I198" t="s">
        <v>24</v>
      </c>
      <c r="J198">
        <v>11314</v>
      </c>
      <c r="K198" s="28">
        <v>46148</v>
      </c>
      <c r="L198">
        <v>1010100</v>
      </c>
      <c r="M198" t="s">
        <v>29</v>
      </c>
      <c r="N198">
        <v>161</v>
      </c>
      <c r="O198" t="s">
        <v>145</v>
      </c>
      <c r="P198" t="s">
        <v>431</v>
      </c>
      <c r="Q198">
        <f t="shared" si="6"/>
        <v>-41</v>
      </c>
      <c r="R198" t="str">
        <f>_xlfn.XLOOKUP(P198,'Painel Additive'!$B:$B,'Painel Additive'!$B:$B,0)</f>
        <v>GRUPO MOSAIC FERTILIZANTES DO BRASIL</v>
      </c>
      <c r="S198">
        <f t="shared" si="7"/>
        <v>90</v>
      </c>
    </row>
    <row r="199" spans="1:20" x14ac:dyDescent="0.25">
      <c r="A199">
        <v>6477</v>
      </c>
      <c r="B199" t="s">
        <v>87</v>
      </c>
      <c r="C199" t="s">
        <v>88</v>
      </c>
      <c r="D199" s="32">
        <v>6302.6</v>
      </c>
      <c r="E199">
        <v>1246212732</v>
      </c>
      <c r="F199" s="28">
        <v>45682</v>
      </c>
      <c r="H199" t="s">
        <v>23</v>
      </c>
      <c r="I199" t="s">
        <v>24</v>
      </c>
      <c r="J199">
        <v>6197</v>
      </c>
      <c r="K199" s="28">
        <v>45622</v>
      </c>
      <c r="L199">
        <v>1010100</v>
      </c>
      <c r="M199" t="s">
        <v>29</v>
      </c>
      <c r="N199">
        <v>161</v>
      </c>
      <c r="O199" t="s">
        <v>145</v>
      </c>
      <c r="P199" t="s">
        <v>431</v>
      </c>
      <c r="Q199">
        <f t="shared" si="6"/>
        <v>515</v>
      </c>
      <c r="R199" t="str">
        <f>_xlfn.XLOOKUP(P199,'Painel Additive'!$B:$B,'Painel Additive'!$B:$B,0)</f>
        <v>GRUPO MOSAIC FERTILIZANTES DO BRASIL</v>
      </c>
      <c r="S199">
        <f t="shared" si="7"/>
        <v>60</v>
      </c>
    </row>
    <row r="200" spans="1:20" x14ac:dyDescent="0.25">
      <c r="A200">
        <v>7097</v>
      </c>
      <c r="B200" t="s">
        <v>91</v>
      </c>
      <c r="C200" t="s">
        <v>92</v>
      </c>
      <c r="D200" s="32">
        <v>174501</v>
      </c>
      <c r="E200">
        <v>1246279050</v>
      </c>
      <c r="F200" s="28">
        <v>46273</v>
      </c>
      <c r="H200" t="s">
        <v>23</v>
      </c>
      <c r="I200" t="s">
        <v>24</v>
      </c>
      <c r="J200">
        <v>11673</v>
      </c>
      <c r="K200" s="28">
        <v>46183</v>
      </c>
      <c r="L200">
        <v>1010100</v>
      </c>
      <c r="M200" t="s">
        <v>29</v>
      </c>
      <c r="N200">
        <v>161</v>
      </c>
      <c r="O200" t="s">
        <v>145</v>
      </c>
      <c r="P200" t="s">
        <v>431</v>
      </c>
      <c r="Q200">
        <f t="shared" si="6"/>
        <v>-76</v>
      </c>
      <c r="R200" t="str">
        <f>_xlfn.XLOOKUP(P200,'Painel Additive'!$B:$B,'Painel Additive'!$B:$B,0)</f>
        <v>GRUPO MOSAIC FERTILIZANTES DO BRASIL</v>
      </c>
      <c r="S200">
        <f t="shared" si="7"/>
        <v>90</v>
      </c>
    </row>
    <row r="201" spans="1:20" x14ac:dyDescent="0.25">
      <c r="A201">
        <v>7648</v>
      </c>
      <c r="B201" t="s">
        <v>273</v>
      </c>
      <c r="C201" t="s">
        <v>803</v>
      </c>
      <c r="D201" s="32">
        <v>69092.100000000006</v>
      </c>
      <c r="E201">
        <v>1246279181</v>
      </c>
      <c r="F201" s="28">
        <v>46219</v>
      </c>
      <c r="H201" t="s">
        <v>23</v>
      </c>
      <c r="I201" t="s">
        <v>24</v>
      </c>
      <c r="J201">
        <v>11678</v>
      </c>
      <c r="K201" s="28">
        <v>46184</v>
      </c>
      <c r="L201">
        <v>1010100</v>
      </c>
      <c r="M201" t="s">
        <v>29</v>
      </c>
      <c r="N201">
        <v>161</v>
      </c>
      <c r="O201" t="s">
        <v>145</v>
      </c>
      <c r="P201" t="s">
        <v>364</v>
      </c>
      <c r="Q201">
        <f t="shared" ref="Q201:Q202" si="8">$R$1-F201</f>
        <v>-22</v>
      </c>
      <c r="R201" t="str">
        <f>_xlfn.XLOOKUP(P201,'Painel Additive'!$B:$B,'Painel Additive'!$B:$B,0)</f>
        <v>GRUPO LOUIS DREYFUS</v>
      </c>
      <c r="S201">
        <f t="shared" ref="S201:S202" si="9">F201-K201</f>
        <v>35</v>
      </c>
    </row>
    <row r="202" spans="1:20" x14ac:dyDescent="0.25">
      <c r="A202">
        <v>7024</v>
      </c>
      <c r="B202" t="s">
        <v>721</v>
      </c>
      <c r="C202" t="s">
        <v>722</v>
      </c>
      <c r="D202" s="32">
        <v>70855.199999999997</v>
      </c>
      <c r="E202">
        <v>1246269662</v>
      </c>
      <c r="F202" s="28">
        <v>46201</v>
      </c>
      <c r="H202" t="s">
        <v>23</v>
      </c>
      <c r="I202" t="s">
        <v>24</v>
      </c>
      <c r="J202">
        <v>11011</v>
      </c>
      <c r="K202" s="28">
        <v>46111</v>
      </c>
      <c r="L202">
        <v>1010100</v>
      </c>
      <c r="M202" t="s">
        <v>29</v>
      </c>
      <c r="N202">
        <v>161</v>
      </c>
      <c r="O202" t="s">
        <v>145</v>
      </c>
      <c r="P202" t="s">
        <v>431</v>
      </c>
      <c r="Q202">
        <f t="shared" si="8"/>
        <v>-4</v>
      </c>
      <c r="R202" t="str">
        <f>_xlfn.XLOOKUP(P202,'Painel Additive'!$B:$B,'Painel Additive'!$B:$B,0)</f>
        <v>GRUPO MOSAIC FERTILIZANTES DO BRASIL</v>
      </c>
      <c r="S202">
        <f t="shared" si="9"/>
        <v>90</v>
      </c>
    </row>
    <row r="203" spans="1:20" x14ac:dyDescent="0.25">
      <c r="A203">
        <v>7024</v>
      </c>
      <c r="B203" t="s">
        <v>721</v>
      </c>
      <c r="C203" t="s">
        <v>722</v>
      </c>
      <c r="D203" s="32">
        <v>70849.5</v>
      </c>
      <c r="E203">
        <v>1246278281</v>
      </c>
      <c r="F203" s="28">
        <v>46268</v>
      </c>
      <c r="H203" t="s">
        <v>23</v>
      </c>
      <c r="I203" t="s">
        <v>24</v>
      </c>
      <c r="J203">
        <v>11597</v>
      </c>
      <c r="K203" s="28">
        <v>46178</v>
      </c>
      <c r="L203">
        <v>1010100</v>
      </c>
      <c r="M203" t="s">
        <v>29</v>
      </c>
      <c r="N203">
        <v>161</v>
      </c>
      <c r="O203" t="s">
        <v>145</v>
      </c>
      <c r="P203" t="s">
        <v>431</v>
      </c>
      <c r="Q203">
        <f t="shared" ref="Q203:Q216" si="10">$R$1-F203</f>
        <v>-71</v>
      </c>
      <c r="R203" t="str">
        <f>_xlfn.XLOOKUP(P203,'Painel Additive'!$B:$B,'Painel Additive'!$B:$B,0)</f>
        <v>GRUPO MOSAIC FERTILIZANTES DO BRASIL</v>
      </c>
      <c r="S203">
        <f t="shared" ref="S203:S216" si="11">F203-K203</f>
        <v>90</v>
      </c>
    </row>
    <row r="204" spans="1:20" x14ac:dyDescent="0.25">
      <c r="A204">
        <v>7024</v>
      </c>
      <c r="B204" t="s">
        <v>721</v>
      </c>
      <c r="C204" t="s">
        <v>722</v>
      </c>
      <c r="D204" s="32">
        <v>71323.199999999997</v>
      </c>
      <c r="E204">
        <v>1246270943</v>
      </c>
      <c r="F204" s="28">
        <v>46212</v>
      </c>
      <c r="H204" t="s">
        <v>23</v>
      </c>
      <c r="I204" t="s">
        <v>24</v>
      </c>
      <c r="J204">
        <v>11084</v>
      </c>
      <c r="K204" s="28">
        <v>46122</v>
      </c>
      <c r="L204">
        <v>1010100</v>
      </c>
      <c r="M204" t="s">
        <v>29</v>
      </c>
      <c r="N204">
        <v>161</v>
      </c>
      <c r="O204" t="s">
        <v>145</v>
      </c>
      <c r="P204" t="s">
        <v>431</v>
      </c>
      <c r="Q204">
        <f t="shared" si="10"/>
        <v>-15</v>
      </c>
      <c r="R204" t="str">
        <f>_xlfn.XLOOKUP(P204,'Painel Additive'!$B:$B,'Painel Additive'!$B:$B,0)</f>
        <v>GRUPO MOSAIC FERTILIZANTES DO BRASIL</v>
      </c>
      <c r="S204">
        <f t="shared" si="11"/>
        <v>90</v>
      </c>
    </row>
    <row r="205" spans="1:20" x14ac:dyDescent="0.25">
      <c r="A205">
        <v>7024</v>
      </c>
      <c r="B205" t="s">
        <v>721</v>
      </c>
      <c r="C205" t="s">
        <v>722</v>
      </c>
      <c r="D205" s="32">
        <v>71038.429999999993</v>
      </c>
      <c r="E205">
        <v>1246279215</v>
      </c>
      <c r="F205" s="28">
        <v>46274</v>
      </c>
      <c r="H205" t="s">
        <v>23</v>
      </c>
      <c r="I205" t="s">
        <v>24</v>
      </c>
      <c r="J205">
        <v>11682</v>
      </c>
      <c r="K205" s="28">
        <v>46184</v>
      </c>
      <c r="L205">
        <v>1010100</v>
      </c>
      <c r="M205" t="s">
        <v>29</v>
      </c>
      <c r="N205">
        <v>161</v>
      </c>
      <c r="O205" t="s">
        <v>145</v>
      </c>
      <c r="P205" t="s">
        <v>431</v>
      </c>
      <c r="Q205">
        <f t="shared" si="10"/>
        <v>-77</v>
      </c>
      <c r="R205" t="str">
        <f>_xlfn.XLOOKUP(P205,'Painel Additive'!$B:$B,'Painel Additive'!$B:$B,0)</f>
        <v>GRUPO MOSAIC FERTILIZANTES DO BRASIL</v>
      </c>
      <c r="S205">
        <f t="shared" si="11"/>
        <v>90</v>
      </c>
    </row>
    <row r="206" spans="1:20" x14ac:dyDescent="0.25">
      <c r="A206">
        <v>7024</v>
      </c>
      <c r="B206" t="s">
        <v>721</v>
      </c>
      <c r="C206" t="s">
        <v>722</v>
      </c>
      <c r="D206" s="32">
        <v>70518.87</v>
      </c>
      <c r="E206">
        <v>1246280696</v>
      </c>
      <c r="F206" s="28">
        <v>46286</v>
      </c>
      <c r="H206" t="s">
        <v>23</v>
      </c>
      <c r="I206" t="s">
        <v>24</v>
      </c>
      <c r="J206">
        <v>11801</v>
      </c>
      <c r="K206" s="28">
        <v>46196</v>
      </c>
      <c r="L206">
        <v>1010100</v>
      </c>
      <c r="M206" t="s">
        <v>29</v>
      </c>
      <c r="N206">
        <v>161</v>
      </c>
      <c r="O206" t="s">
        <v>145</v>
      </c>
      <c r="P206" t="s">
        <v>431</v>
      </c>
      <c r="Q206">
        <f t="shared" si="10"/>
        <v>-89</v>
      </c>
      <c r="R206" t="str">
        <f>_xlfn.XLOOKUP(P206,'Painel Additive'!$B:$B,'Painel Additive'!$B:$B,0)</f>
        <v>GRUPO MOSAIC FERTILIZANTES DO BRASIL</v>
      </c>
      <c r="S206">
        <f t="shared" si="11"/>
        <v>90</v>
      </c>
    </row>
    <row r="207" spans="1:20" x14ac:dyDescent="0.25">
      <c r="A207">
        <v>7024</v>
      </c>
      <c r="B207" t="s">
        <v>721</v>
      </c>
      <c r="C207" t="s">
        <v>722</v>
      </c>
      <c r="D207" s="32">
        <v>71203.75</v>
      </c>
      <c r="E207">
        <v>1246275490</v>
      </c>
      <c r="F207" s="28">
        <v>46247</v>
      </c>
      <c r="H207" t="s">
        <v>23</v>
      </c>
      <c r="I207" t="s">
        <v>24</v>
      </c>
      <c r="J207">
        <v>11414</v>
      </c>
      <c r="K207" s="28">
        <v>46157</v>
      </c>
      <c r="L207">
        <v>1010100</v>
      </c>
      <c r="M207" t="s">
        <v>29</v>
      </c>
      <c r="N207">
        <v>161</v>
      </c>
      <c r="O207" t="s">
        <v>145</v>
      </c>
      <c r="P207" t="s">
        <v>431</v>
      </c>
      <c r="Q207">
        <f t="shared" si="10"/>
        <v>-50</v>
      </c>
      <c r="R207" t="str">
        <f>_xlfn.XLOOKUP(P207,'Painel Additive'!$B:$B,'Painel Additive'!$B:$B,0)</f>
        <v>GRUPO MOSAIC FERTILIZANTES DO BRASIL</v>
      </c>
      <c r="S207">
        <f t="shared" si="11"/>
        <v>90</v>
      </c>
    </row>
    <row r="208" spans="1:20" x14ac:dyDescent="0.25">
      <c r="A208">
        <v>7302</v>
      </c>
      <c r="B208" t="s">
        <v>93</v>
      </c>
      <c r="C208" t="s">
        <v>94</v>
      </c>
      <c r="D208" s="32">
        <v>2517.4</v>
      </c>
      <c r="E208">
        <v>1246055324</v>
      </c>
      <c r="F208" s="28">
        <v>44887</v>
      </c>
      <c r="H208" t="s">
        <v>23</v>
      </c>
      <c r="I208" t="s">
        <v>24</v>
      </c>
      <c r="J208">
        <v>19314</v>
      </c>
      <c r="K208" s="28">
        <v>44827</v>
      </c>
      <c r="L208">
        <v>1010100</v>
      </c>
      <c r="M208" t="s">
        <v>29</v>
      </c>
      <c r="N208">
        <v>161</v>
      </c>
      <c r="O208" t="s">
        <v>145</v>
      </c>
      <c r="P208" t="s">
        <v>431</v>
      </c>
      <c r="Q208">
        <f t="shared" si="10"/>
        <v>1310</v>
      </c>
      <c r="R208" t="str">
        <f>_xlfn.XLOOKUP(P208,'Painel Additive'!$B:$B,'Painel Additive'!$B:$B,0)</f>
        <v>GRUPO MOSAIC FERTILIZANTES DO BRASIL</v>
      </c>
      <c r="S208">
        <f t="shared" si="11"/>
        <v>60</v>
      </c>
    </row>
    <row r="209" spans="1:19" x14ac:dyDescent="0.25">
      <c r="A209">
        <v>7302</v>
      </c>
      <c r="B209" t="s">
        <v>93</v>
      </c>
      <c r="C209" t="s">
        <v>94</v>
      </c>
      <c r="D209" s="32">
        <v>36679.800000000003</v>
      </c>
      <c r="E209">
        <v>1246272740</v>
      </c>
      <c r="F209" s="28">
        <v>46229</v>
      </c>
      <c r="H209" t="s">
        <v>23</v>
      </c>
      <c r="I209" t="s">
        <v>24</v>
      </c>
      <c r="J209">
        <v>11223</v>
      </c>
      <c r="K209" s="28">
        <v>46139</v>
      </c>
      <c r="L209">
        <v>1010100</v>
      </c>
      <c r="M209" t="s">
        <v>29</v>
      </c>
      <c r="N209">
        <v>161</v>
      </c>
      <c r="O209" t="s">
        <v>145</v>
      </c>
      <c r="P209" t="s">
        <v>431</v>
      </c>
      <c r="Q209">
        <f t="shared" si="10"/>
        <v>-32</v>
      </c>
      <c r="R209" t="str">
        <f>_xlfn.XLOOKUP(P209,'Painel Additive'!$B:$B,'Painel Additive'!$B:$B,0)</f>
        <v>GRUPO MOSAIC FERTILIZANTES DO BRASIL</v>
      </c>
      <c r="S209">
        <f t="shared" si="11"/>
        <v>90</v>
      </c>
    </row>
    <row r="210" spans="1:19" x14ac:dyDescent="0.25">
      <c r="A210">
        <v>7302</v>
      </c>
      <c r="B210" t="s">
        <v>93</v>
      </c>
      <c r="C210" t="s">
        <v>94</v>
      </c>
      <c r="D210" s="32">
        <v>62037</v>
      </c>
      <c r="E210">
        <v>1246280248</v>
      </c>
      <c r="F210" s="28">
        <v>46282</v>
      </c>
      <c r="H210" t="s">
        <v>23</v>
      </c>
      <c r="I210" t="s">
        <v>24</v>
      </c>
      <c r="J210">
        <v>11761</v>
      </c>
      <c r="K210" s="28">
        <v>46192</v>
      </c>
      <c r="L210">
        <v>1010100</v>
      </c>
      <c r="M210" t="s">
        <v>29</v>
      </c>
      <c r="N210">
        <v>161</v>
      </c>
      <c r="O210" t="s">
        <v>145</v>
      </c>
      <c r="P210" t="s">
        <v>431</v>
      </c>
      <c r="Q210">
        <f t="shared" si="10"/>
        <v>-85</v>
      </c>
      <c r="R210" t="str">
        <f>_xlfn.XLOOKUP(P210,'Painel Additive'!$B:$B,'Painel Additive'!$B:$B,0)</f>
        <v>GRUPO MOSAIC FERTILIZANTES DO BRASIL</v>
      </c>
      <c r="S210">
        <f t="shared" si="11"/>
        <v>90</v>
      </c>
    </row>
    <row r="211" spans="1:19" x14ac:dyDescent="0.25">
      <c r="A211">
        <v>7302</v>
      </c>
      <c r="B211" t="s">
        <v>93</v>
      </c>
      <c r="C211" t="s">
        <v>94</v>
      </c>
      <c r="D211" s="32">
        <v>61000</v>
      </c>
      <c r="E211">
        <v>1246277590</v>
      </c>
      <c r="F211" s="28">
        <v>46264</v>
      </c>
      <c r="H211" t="s">
        <v>23</v>
      </c>
      <c r="I211" t="s">
        <v>24</v>
      </c>
      <c r="J211">
        <v>11570</v>
      </c>
      <c r="K211" s="28">
        <v>46174</v>
      </c>
      <c r="L211">
        <v>1010100</v>
      </c>
      <c r="M211" t="s">
        <v>29</v>
      </c>
      <c r="N211">
        <v>161</v>
      </c>
      <c r="O211" t="s">
        <v>145</v>
      </c>
      <c r="P211" t="s">
        <v>431</v>
      </c>
      <c r="Q211">
        <f t="shared" si="10"/>
        <v>-67</v>
      </c>
      <c r="R211" t="str">
        <f>_xlfn.XLOOKUP(P211,'Painel Additive'!$B:$B,'Painel Additive'!$B:$B,0)</f>
        <v>GRUPO MOSAIC FERTILIZANTES DO BRASIL</v>
      </c>
      <c r="S211">
        <f t="shared" si="11"/>
        <v>90</v>
      </c>
    </row>
    <row r="212" spans="1:19" x14ac:dyDescent="0.25">
      <c r="A212">
        <v>7302</v>
      </c>
      <c r="B212" t="s">
        <v>93</v>
      </c>
      <c r="C212" t="s">
        <v>94</v>
      </c>
      <c r="D212" s="32">
        <v>67867.8</v>
      </c>
      <c r="E212">
        <v>1246270495</v>
      </c>
      <c r="F212" s="28">
        <v>46209</v>
      </c>
      <c r="H212" t="s">
        <v>23</v>
      </c>
      <c r="I212" t="s">
        <v>24</v>
      </c>
      <c r="J212">
        <v>11064</v>
      </c>
      <c r="K212" s="28">
        <v>46119</v>
      </c>
      <c r="L212">
        <v>1010100</v>
      </c>
      <c r="M212" t="s">
        <v>29</v>
      </c>
      <c r="N212">
        <v>161</v>
      </c>
      <c r="O212" t="s">
        <v>145</v>
      </c>
      <c r="P212" t="s">
        <v>431</v>
      </c>
      <c r="Q212">
        <f t="shared" si="10"/>
        <v>-12</v>
      </c>
      <c r="R212" t="str">
        <f>_xlfn.XLOOKUP(P212,'Painel Additive'!$B:$B,'Painel Additive'!$B:$B,0)</f>
        <v>GRUPO MOSAIC FERTILIZANTES DO BRASIL</v>
      </c>
      <c r="S212">
        <f t="shared" si="11"/>
        <v>90</v>
      </c>
    </row>
    <row r="213" spans="1:19" x14ac:dyDescent="0.25">
      <c r="A213">
        <v>7302</v>
      </c>
      <c r="B213" t="s">
        <v>93</v>
      </c>
      <c r="C213" t="s">
        <v>94</v>
      </c>
      <c r="D213" s="32">
        <v>181231</v>
      </c>
      <c r="E213">
        <v>1246273299</v>
      </c>
      <c r="F213" s="28">
        <v>46232</v>
      </c>
      <c r="H213" t="s">
        <v>23</v>
      </c>
      <c r="I213" t="s">
        <v>24</v>
      </c>
      <c r="J213">
        <v>11276</v>
      </c>
      <c r="K213" s="28">
        <v>46142</v>
      </c>
      <c r="L213">
        <v>1010100</v>
      </c>
      <c r="M213" t="s">
        <v>29</v>
      </c>
      <c r="N213">
        <v>161</v>
      </c>
      <c r="O213" t="s">
        <v>145</v>
      </c>
      <c r="P213" t="s">
        <v>431</v>
      </c>
      <c r="Q213">
        <f t="shared" si="10"/>
        <v>-35</v>
      </c>
      <c r="R213" t="str">
        <f>_xlfn.XLOOKUP(P213,'Painel Additive'!$B:$B,'Painel Additive'!$B:$B,0)</f>
        <v>GRUPO MOSAIC FERTILIZANTES DO BRASIL</v>
      </c>
      <c r="S213">
        <f t="shared" si="11"/>
        <v>90</v>
      </c>
    </row>
    <row r="214" spans="1:19" x14ac:dyDescent="0.25">
      <c r="A214">
        <v>7302</v>
      </c>
      <c r="B214" t="s">
        <v>93</v>
      </c>
      <c r="C214" t="s">
        <v>94</v>
      </c>
      <c r="D214" s="32">
        <v>34441.589999999997</v>
      </c>
      <c r="E214">
        <v>1246274568</v>
      </c>
      <c r="F214" s="28">
        <v>46244</v>
      </c>
      <c r="H214" t="s">
        <v>23</v>
      </c>
      <c r="I214" t="s">
        <v>24</v>
      </c>
      <c r="J214">
        <v>11362</v>
      </c>
      <c r="K214" s="28">
        <v>46154</v>
      </c>
      <c r="L214">
        <v>1010100</v>
      </c>
      <c r="M214" t="s">
        <v>29</v>
      </c>
      <c r="N214">
        <v>161</v>
      </c>
      <c r="O214" t="s">
        <v>145</v>
      </c>
      <c r="P214" t="s">
        <v>431</v>
      </c>
      <c r="Q214">
        <f t="shared" si="10"/>
        <v>-47</v>
      </c>
      <c r="R214" t="str">
        <f>_xlfn.XLOOKUP(P214,'Painel Additive'!$B:$B,'Painel Additive'!$B:$B,0)</f>
        <v>GRUPO MOSAIC FERTILIZANTES DO BRASIL</v>
      </c>
      <c r="S214">
        <f t="shared" si="11"/>
        <v>90</v>
      </c>
    </row>
    <row r="215" spans="1:19" x14ac:dyDescent="0.25">
      <c r="A215">
        <v>7302</v>
      </c>
      <c r="B215" t="s">
        <v>93</v>
      </c>
      <c r="C215" t="s">
        <v>94</v>
      </c>
      <c r="D215" s="32">
        <v>91500</v>
      </c>
      <c r="E215">
        <v>1246275476</v>
      </c>
      <c r="F215" s="28">
        <v>46247</v>
      </c>
      <c r="H215" t="s">
        <v>23</v>
      </c>
      <c r="I215" t="s">
        <v>24</v>
      </c>
      <c r="J215">
        <v>11412</v>
      </c>
      <c r="K215" s="28">
        <v>46157</v>
      </c>
      <c r="L215">
        <v>1010100</v>
      </c>
      <c r="M215" t="s">
        <v>29</v>
      </c>
      <c r="N215">
        <v>161</v>
      </c>
      <c r="O215" t="s">
        <v>145</v>
      </c>
      <c r="P215" t="s">
        <v>431</v>
      </c>
      <c r="Q215">
        <f t="shared" si="10"/>
        <v>-50</v>
      </c>
      <c r="R215" t="str">
        <f>_xlfn.XLOOKUP(P215,'Painel Additive'!$B:$B,'Painel Additive'!$B:$B,0)</f>
        <v>GRUPO MOSAIC FERTILIZANTES DO BRASIL</v>
      </c>
      <c r="S215">
        <f t="shared" si="11"/>
        <v>90</v>
      </c>
    </row>
    <row r="216" spans="1:19" x14ac:dyDescent="0.25">
      <c r="A216">
        <v>7302</v>
      </c>
      <c r="B216" t="s">
        <v>93</v>
      </c>
      <c r="C216" t="s">
        <v>94</v>
      </c>
      <c r="D216" s="32">
        <v>61000</v>
      </c>
      <c r="E216">
        <v>1246279400</v>
      </c>
      <c r="F216" s="28">
        <v>46275</v>
      </c>
      <c r="H216" t="s">
        <v>23</v>
      </c>
      <c r="I216" t="s">
        <v>24</v>
      </c>
      <c r="J216">
        <v>11704</v>
      </c>
      <c r="K216" s="28">
        <v>46185</v>
      </c>
      <c r="L216">
        <v>1010100</v>
      </c>
      <c r="M216" t="s">
        <v>29</v>
      </c>
      <c r="N216">
        <v>161</v>
      </c>
      <c r="O216" t="s">
        <v>145</v>
      </c>
      <c r="P216" t="s">
        <v>431</v>
      </c>
      <c r="Q216">
        <f t="shared" si="10"/>
        <v>-78</v>
      </c>
      <c r="R216" t="str">
        <f>_xlfn.XLOOKUP(P216,'Painel Additive'!$B:$B,'Painel Additive'!$B:$B,0)</f>
        <v>GRUPO MOSAIC FERTILIZANTES DO BRASIL</v>
      </c>
      <c r="S216">
        <f t="shared" si="11"/>
        <v>90</v>
      </c>
    </row>
    <row r="217" spans="1:19" x14ac:dyDescent="0.25">
      <c r="A217">
        <v>7302</v>
      </c>
      <c r="B217" t="s">
        <v>93</v>
      </c>
      <c r="C217" t="s">
        <v>94</v>
      </c>
      <c r="D217" s="32">
        <v>64.2</v>
      </c>
      <c r="E217">
        <v>1246226087</v>
      </c>
      <c r="F217" s="28">
        <v>45919</v>
      </c>
      <c r="H217" t="s">
        <v>23</v>
      </c>
      <c r="I217" t="s">
        <v>24</v>
      </c>
      <c r="J217">
        <v>8559</v>
      </c>
      <c r="K217" s="28">
        <v>45859</v>
      </c>
      <c r="L217">
        <v>1010100</v>
      </c>
      <c r="M217" t="s">
        <v>29</v>
      </c>
      <c r="N217">
        <v>161</v>
      </c>
      <c r="O217" t="s">
        <v>145</v>
      </c>
      <c r="P217" t="s">
        <v>431</v>
      </c>
      <c r="Q217">
        <f t="shared" ref="Q217:Q226" si="12">$R$1-F217</f>
        <v>278</v>
      </c>
      <c r="R217" t="str">
        <f>_xlfn.XLOOKUP(P217,'Painel Additive'!$B:$B,'Painel Additive'!$B:$B,0)</f>
        <v>GRUPO MOSAIC FERTILIZANTES DO BRASIL</v>
      </c>
      <c r="S217">
        <f t="shared" ref="S217:S226" si="13">F217-K217</f>
        <v>60</v>
      </c>
    </row>
    <row r="218" spans="1:19" x14ac:dyDescent="0.25">
      <c r="A218">
        <v>7103</v>
      </c>
      <c r="B218" t="s">
        <v>482</v>
      </c>
      <c r="C218" t="s">
        <v>483</v>
      </c>
      <c r="D218" s="32">
        <v>57019</v>
      </c>
      <c r="E218">
        <v>1246269403</v>
      </c>
      <c r="F218" s="28">
        <v>46198</v>
      </c>
      <c r="H218" t="s">
        <v>23</v>
      </c>
      <c r="I218" t="s">
        <v>24</v>
      </c>
      <c r="J218">
        <v>10985</v>
      </c>
      <c r="K218" s="28">
        <v>46108</v>
      </c>
      <c r="L218">
        <v>1010100</v>
      </c>
      <c r="M218" t="s">
        <v>29</v>
      </c>
      <c r="N218">
        <v>161</v>
      </c>
      <c r="O218" t="s">
        <v>145</v>
      </c>
      <c r="P218" t="s">
        <v>431</v>
      </c>
      <c r="Q218">
        <f t="shared" si="12"/>
        <v>-1</v>
      </c>
      <c r="R218" t="str">
        <f>_xlfn.XLOOKUP(P218,'Painel Additive'!$B:$B,'Painel Additive'!$B:$B,0)</f>
        <v>GRUPO MOSAIC FERTILIZANTES DO BRASIL</v>
      </c>
      <c r="S218">
        <f t="shared" si="13"/>
        <v>90</v>
      </c>
    </row>
    <row r="219" spans="1:19" x14ac:dyDescent="0.25">
      <c r="A219">
        <v>7103</v>
      </c>
      <c r="B219" t="s">
        <v>482</v>
      </c>
      <c r="C219" t="s">
        <v>483</v>
      </c>
      <c r="D219" s="32">
        <v>57680.81</v>
      </c>
      <c r="E219">
        <v>1246280238</v>
      </c>
      <c r="F219" s="28">
        <v>46282</v>
      </c>
      <c r="H219" t="s">
        <v>23</v>
      </c>
      <c r="I219" t="s">
        <v>24</v>
      </c>
      <c r="J219">
        <v>11759</v>
      </c>
      <c r="K219" s="28">
        <v>46192</v>
      </c>
      <c r="L219">
        <v>1010100</v>
      </c>
      <c r="M219" t="s">
        <v>29</v>
      </c>
      <c r="N219">
        <v>161</v>
      </c>
      <c r="O219" t="s">
        <v>145</v>
      </c>
      <c r="P219" t="s">
        <v>431</v>
      </c>
      <c r="Q219">
        <f t="shared" si="12"/>
        <v>-85</v>
      </c>
      <c r="R219" t="str">
        <f>_xlfn.XLOOKUP(P219,'Painel Additive'!$B:$B,'Painel Additive'!$B:$B,0)</f>
        <v>GRUPO MOSAIC FERTILIZANTES DO BRASIL</v>
      </c>
      <c r="S219">
        <f t="shared" si="13"/>
        <v>90</v>
      </c>
    </row>
    <row r="220" spans="1:19" x14ac:dyDescent="0.25">
      <c r="A220">
        <v>8413</v>
      </c>
      <c r="B220" t="s">
        <v>97</v>
      </c>
      <c r="C220" t="s">
        <v>774</v>
      </c>
      <c r="D220" s="32">
        <v>94346</v>
      </c>
      <c r="E220">
        <v>1246273107</v>
      </c>
      <c r="F220" s="28">
        <v>46201</v>
      </c>
      <c r="H220" t="s">
        <v>23</v>
      </c>
      <c r="I220" t="s">
        <v>24</v>
      </c>
      <c r="J220">
        <v>11262</v>
      </c>
      <c r="K220" s="28">
        <v>46141</v>
      </c>
      <c r="L220">
        <v>1010100</v>
      </c>
      <c r="M220" t="s">
        <v>29</v>
      </c>
      <c r="N220">
        <v>161</v>
      </c>
      <c r="O220" t="s">
        <v>145</v>
      </c>
      <c r="P220" t="s">
        <v>353</v>
      </c>
      <c r="Q220">
        <f t="shared" si="12"/>
        <v>-4</v>
      </c>
      <c r="R220" t="str">
        <f>_xlfn.XLOOKUP(P220,'Painel Additive'!$B:$B,'Painel Additive'!$B:$B,0)</f>
        <v>GRUPO AMAGGI</v>
      </c>
      <c r="S220">
        <f t="shared" si="13"/>
        <v>60</v>
      </c>
    </row>
    <row r="221" spans="1:19" x14ac:dyDescent="0.25">
      <c r="A221">
        <v>8414</v>
      </c>
      <c r="B221" t="s">
        <v>98</v>
      </c>
      <c r="C221" t="s">
        <v>804</v>
      </c>
      <c r="D221" s="32">
        <v>52654.7</v>
      </c>
      <c r="E221">
        <v>1246278429</v>
      </c>
      <c r="F221" s="28">
        <v>46239</v>
      </c>
      <c r="H221" t="s">
        <v>23</v>
      </c>
      <c r="I221" t="s">
        <v>24</v>
      </c>
      <c r="J221">
        <v>11629</v>
      </c>
      <c r="K221" s="28">
        <v>46179</v>
      </c>
      <c r="L221">
        <v>1010100</v>
      </c>
      <c r="M221" t="s">
        <v>29</v>
      </c>
      <c r="N221">
        <v>161</v>
      </c>
      <c r="O221" t="s">
        <v>145</v>
      </c>
      <c r="P221" t="s">
        <v>353</v>
      </c>
      <c r="Q221">
        <f t="shared" si="12"/>
        <v>-42</v>
      </c>
      <c r="R221" t="str">
        <f>_xlfn.XLOOKUP(P221,'Painel Additive'!$B:$B,'Painel Additive'!$B:$B,0)</f>
        <v>GRUPO AMAGGI</v>
      </c>
      <c r="S221">
        <f t="shared" si="13"/>
        <v>60</v>
      </c>
    </row>
    <row r="222" spans="1:19" x14ac:dyDescent="0.25">
      <c r="A222">
        <v>8414</v>
      </c>
      <c r="B222" t="s">
        <v>98</v>
      </c>
      <c r="C222" t="s">
        <v>804</v>
      </c>
      <c r="D222" s="32">
        <v>79884.2</v>
      </c>
      <c r="E222">
        <v>1246274298</v>
      </c>
      <c r="F222" s="28">
        <v>46213</v>
      </c>
      <c r="H222" t="s">
        <v>23</v>
      </c>
      <c r="I222" t="s">
        <v>24</v>
      </c>
      <c r="J222">
        <v>11344</v>
      </c>
      <c r="K222" s="28">
        <v>46153</v>
      </c>
      <c r="L222">
        <v>1010100</v>
      </c>
      <c r="M222" t="s">
        <v>29</v>
      </c>
      <c r="N222">
        <v>161</v>
      </c>
      <c r="O222" t="s">
        <v>145</v>
      </c>
      <c r="P222" t="s">
        <v>353</v>
      </c>
      <c r="Q222">
        <f t="shared" si="12"/>
        <v>-16</v>
      </c>
      <c r="R222" t="str">
        <f>_xlfn.XLOOKUP(P222,'Painel Additive'!$B:$B,'Painel Additive'!$B:$B,0)</f>
        <v>GRUPO AMAGGI</v>
      </c>
      <c r="S222">
        <f t="shared" si="13"/>
        <v>60</v>
      </c>
    </row>
    <row r="223" spans="1:19" x14ac:dyDescent="0.25">
      <c r="A223">
        <v>8414</v>
      </c>
      <c r="B223" t="s">
        <v>98</v>
      </c>
      <c r="C223" t="s">
        <v>804</v>
      </c>
      <c r="D223" s="32">
        <v>51452.4</v>
      </c>
      <c r="E223">
        <v>1246280126</v>
      </c>
      <c r="F223" s="28">
        <v>46251</v>
      </c>
      <c r="H223" t="s">
        <v>23</v>
      </c>
      <c r="I223" t="s">
        <v>24</v>
      </c>
      <c r="J223">
        <v>11749</v>
      </c>
      <c r="K223" s="28">
        <v>46191</v>
      </c>
      <c r="L223">
        <v>1010100</v>
      </c>
      <c r="M223" t="s">
        <v>29</v>
      </c>
      <c r="N223">
        <v>161</v>
      </c>
      <c r="O223" t="s">
        <v>145</v>
      </c>
      <c r="P223" t="s">
        <v>353</v>
      </c>
      <c r="Q223">
        <f t="shared" si="12"/>
        <v>-54</v>
      </c>
      <c r="R223" t="str">
        <f>_xlfn.XLOOKUP(P223,'Painel Additive'!$B:$B,'Painel Additive'!$B:$B,0)</f>
        <v>GRUPO AMAGGI</v>
      </c>
      <c r="S223">
        <f t="shared" si="13"/>
        <v>60</v>
      </c>
    </row>
    <row r="224" spans="1:19" x14ac:dyDescent="0.25">
      <c r="A224">
        <v>10473</v>
      </c>
      <c r="B224" t="s">
        <v>768</v>
      </c>
      <c r="C224" t="s">
        <v>769</v>
      </c>
      <c r="D224" s="32">
        <v>62670.400000000001</v>
      </c>
      <c r="E224">
        <v>1246278206</v>
      </c>
      <c r="F224" s="28">
        <v>46211</v>
      </c>
      <c r="H224" t="s">
        <v>23</v>
      </c>
      <c r="I224" t="s">
        <v>24</v>
      </c>
      <c r="J224">
        <v>11594</v>
      </c>
      <c r="K224" s="28">
        <v>46176</v>
      </c>
      <c r="L224">
        <v>1010100</v>
      </c>
      <c r="M224" t="s">
        <v>29</v>
      </c>
      <c r="N224">
        <v>161</v>
      </c>
      <c r="O224" t="s">
        <v>145</v>
      </c>
      <c r="P224" t="s">
        <v>364</v>
      </c>
      <c r="Q224">
        <f t="shared" si="12"/>
        <v>-14</v>
      </c>
      <c r="R224" t="str">
        <f>_xlfn.XLOOKUP(P224,'Painel Additive'!$B:$B,'Painel Additive'!$B:$B,0)</f>
        <v>GRUPO LOUIS DREYFUS</v>
      </c>
      <c r="S224">
        <f t="shared" si="13"/>
        <v>35</v>
      </c>
    </row>
    <row r="225" spans="1:19" x14ac:dyDescent="0.25">
      <c r="A225">
        <v>11133</v>
      </c>
      <c r="B225" t="s">
        <v>105</v>
      </c>
      <c r="C225" t="s">
        <v>15613</v>
      </c>
      <c r="D225" s="32">
        <v>33000</v>
      </c>
      <c r="E225">
        <v>1246280274</v>
      </c>
      <c r="F225" s="28">
        <v>46252</v>
      </c>
      <c r="H225" t="s">
        <v>23</v>
      </c>
      <c r="I225" t="s">
        <v>24</v>
      </c>
      <c r="J225">
        <v>11768</v>
      </c>
      <c r="K225" s="28">
        <v>46192</v>
      </c>
      <c r="L225">
        <v>1010100</v>
      </c>
      <c r="M225" t="s">
        <v>29</v>
      </c>
      <c r="N225">
        <v>161</v>
      </c>
      <c r="O225" t="s">
        <v>145</v>
      </c>
      <c r="P225" t="s">
        <v>358</v>
      </c>
      <c r="Q225">
        <f t="shared" si="12"/>
        <v>-55</v>
      </c>
      <c r="R225" t="str">
        <f>_xlfn.XLOOKUP(P225,'Painel Additive'!$B:$B,'Painel Additive'!$B:$B,0)</f>
        <v>GRUPO ADUBOS ARAGUAIA</v>
      </c>
      <c r="S225">
        <f t="shared" si="13"/>
        <v>60</v>
      </c>
    </row>
    <row r="226" spans="1:19" x14ac:dyDescent="0.25">
      <c r="A226">
        <v>11133</v>
      </c>
      <c r="B226" t="s">
        <v>105</v>
      </c>
      <c r="C226" t="s">
        <v>15613</v>
      </c>
      <c r="D226" s="32">
        <v>36819.4</v>
      </c>
      <c r="E226">
        <v>1246278600</v>
      </c>
      <c r="F226" s="28">
        <v>46241</v>
      </c>
      <c r="H226" t="s">
        <v>23</v>
      </c>
      <c r="I226" t="s">
        <v>24</v>
      </c>
      <c r="J226">
        <v>11643</v>
      </c>
      <c r="K226" s="28">
        <v>46181</v>
      </c>
      <c r="L226">
        <v>1010100</v>
      </c>
      <c r="M226" t="s">
        <v>29</v>
      </c>
      <c r="N226">
        <v>161</v>
      </c>
      <c r="O226" t="s">
        <v>145</v>
      </c>
      <c r="P226" t="s">
        <v>358</v>
      </c>
      <c r="Q226">
        <f t="shared" si="12"/>
        <v>-44</v>
      </c>
      <c r="R226" t="str">
        <f>_xlfn.XLOOKUP(P226,'Painel Additive'!$B:$B,'Painel Additive'!$B:$B,0)</f>
        <v>GRUPO ADUBOS ARAGUAIA</v>
      </c>
      <c r="S226">
        <f t="shared" si="13"/>
        <v>60</v>
      </c>
    </row>
    <row r="227" spans="1:19" x14ac:dyDescent="0.25">
      <c r="A227">
        <v>11724</v>
      </c>
      <c r="B227" t="s">
        <v>107</v>
      </c>
      <c r="C227" t="s">
        <v>108</v>
      </c>
      <c r="D227" s="32">
        <v>72162</v>
      </c>
      <c r="E227">
        <v>1246271964</v>
      </c>
      <c r="F227" s="28">
        <v>46198</v>
      </c>
      <c r="H227" t="s">
        <v>23</v>
      </c>
      <c r="I227" t="s">
        <v>24</v>
      </c>
      <c r="J227">
        <v>11187</v>
      </c>
      <c r="K227" s="28">
        <v>46132</v>
      </c>
      <c r="L227">
        <v>1010100</v>
      </c>
      <c r="M227" t="s">
        <v>29</v>
      </c>
      <c r="N227">
        <v>161</v>
      </c>
      <c r="O227" t="s">
        <v>145</v>
      </c>
      <c r="P227" t="s">
        <v>367</v>
      </c>
      <c r="Q227">
        <f t="shared" ref="Q227:Q228" si="14">$R$1-F227</f>
        <v>-1</v>
      </c>
      <c r="R227" t="str">
        <f>_xlfn.XLOOKUP(P227,'Painel Additive'!$B:$B,'Painel Additive'!$B:$B,0)</f>
        <v>GRUPO HINOVE</v>
      </c>
      <c r="S227">
        <f t="shared" ref="S227:S228" si="15">F227-K227</f>
        <v>66</v>
      </c>
    </row>
    <row r="228" spans="1:19" x14ac:dyDescent="0.25">
      <c r="A228">
        <v>11724</v>
      </c>
      <c r="B228" t="s">
        <v>107</v>
      </c>
      <c r="C228" t="s">
        <v>108</v>
      </c>
      <c r="D228" s="32">
        <v>72162</v>
      </c>
      <c r="E228">
        <v>1246271962</v>
      </c>
      <c r="F228" s="28">
        <v>46198</v>
      </c>
      <c r="H228" t="s">
        <v>23</v>
      </c>
      <c r="I228" t="s">
        <v>24</v>
      </c>
      <c r="J228">
        <v>11186</v>
      </c>
      <c r="K228" s="28">
        <v>46132</v>
      </c>
      <c r="L228">
        <v>1010100</v>
      </c>
      <c r="M228" t="s">
        <v>29</v>
      </c>
      <c r="N228">
        <v>161</v>
      </c>
      <c r="O228" t="s">
        <v>145</v>
      </c>
      <c r="P228" t="s">
        <v>367</v>
      </c>
      <c r="Q228">
        <f t="shared" si="14"/>
        <v>-1</v>
      </c>
      <c r="R228" t="str">
        <f>_xlfn.XLOOKUP(P228,'Painel Additive'!$B:$B,'Painel Additive'!$B:$B,0)</f>
        <v>GRUPO HINOVE</v>
      </c>
      <c r="S228">
        <f t="shared" si="15"/>
        <v>66</v>
      </c>
    </row>
    <row r="229" spans="1:19" x14ac:dyDescent="0.25">
      <c r="A229">
        <v>10660</v>
      </c>
      <c r="B229" t="s">
        <v>102</v>
      </c>
      <c r="C229" t="s">
        <v>103</v>
      </c>
      <c r="D229" s="32">
        <v>1282.56</v>
      </c>
      <c r="E229">
        <v>1246157883</v>
      </c>
      <c r="F229" s="28">
        <v>45472</v>
      </c>
      <c r="H229" t="s">
        <v>23</v>
      </c>
      <c r="I229" t="s">
        <v>24</v>
      </c>
      <c r="J229">
        <v>3740</v>
      </c>
      <c r="K229" s="28">
        <v>45444</v>
      </c>
      <c r="L229">
        <v>1010100</v>
      </c>
      <c r="M229" t="s">
        <v>29</v>
      </c>
      <c r="N229">
        <v>161</v>
      </c>
      <c r="O229" t="s">
        <v>145</v>
      </c>
      <c r="P229" t="s">
        <v>359</v>
      </c>
      <c r="Q229">
        <f t="shared" ref="Q229:Q250" si="16">$R$1-F229</f>
        <v>725</v>
      </c>
      <c r="R229" t="str">
        <f>_xlfn.XLOOKUP(P229,'Painel Additive'!$B:$B,'Painel Additive'!$B:$B,0)</f>
        <v>GRUPO YARA</v>
      </c>
      <c r="S229">
        <f t="shared" ref="S229:S250" si="17">F229-K229</f>
        <v>28</v>
      </c>
    </row>
    <row r="230" spans="1:19" x14ac:dyDescent="0.25">
      <c r="A230">
        <v>10660</v>
      </c>
      <c r="B230" t="s">
        <v>102</v>
      </c>
      <c r="C230" t="s">
        <v>103</v>
      </c>
      <c r="D230" s="32">
        <v>1603.2</v>
      </c>
      <c r="E230">
        <v>1246176576</v>
      </c>
      <c r="F230" s="28">
        <v>45577</v>
      </c>
      <c r="H230" t="s">
        <v>23</v>
      </c>
      <c r="I230" t="s">
        <v>24</v>
      </c>
      <c r="J230">
        <v>5264</v>
      </c>
      <c r="K230" s="28">
        <v>45549</v>
      </c>
      <c r="L230">
        <v>1010100</v>
      </c>
      <c r="M230" t="s">
        <v>29</v>
      </c>
      <c r="N230">
        <v>161</v>
      </c>
      <c r="O230" t="s">
        <v>145</v>
      </c>
      <c r="P230" t="s">
        <v>359</v>
      </c>
      <c r="Q230">
        <f t="shared" si="16"/>
        <v>620</v>
      </c>
      <c r="R230" t="str">
        <f>_xlfn.XLOOKUP(P230,'Painel Additive'!$B:$B,'Painel Additive'!$B:$B,0)</f>
        <v>GRUPO YARA</v>
      </c>
      <c r="S230">
        <f t="shared" si="17"/>
        <v>28</v>
      </c>
    </row>
    <row r="231" spans="1:19" x14ac:dyDescent="0.25">
      <c r="A231">
        <v>10660</v>
      </c>
      <c r="B231" t="s">
        <v>102</v>
      </c>
      <c r="C231" t="s">
        <v>103</v>
      </c>
      <c r="D231" s="32">
        <v>1282.56</v>
      </c>
      <c r="E231">
        <v>1246184893</v>
      </c>
      <c r="F231" s="28">
        <v>45623</v>
      </c>
      <c r="H231" t="s">
        <v>23</v>
      </c>
      <c r="I231" t="s">
        <v>24</v>
      </c>
      <c r="J231">
        <v>5907</v>
      </c>
      <c r="K231" s="28">
        <v>45595</v>
      </c>
      <c r="L231">
        <v>1010100</v>
      </c>
      <c r="M231" t="s">
        <v>29</v>
      </c>
      <c r="N231">
        <v>161</v>
      </c>
      <c r="O231" t="s">
        <v>145</v>
      </c>
      <c r="P231" t="s">
        <v>359</v>
      </c>
      <c r="Q231">
        <f t="shared" si="16"/>
        <v>574</v>
      </c>
      <c r="R231" t="str">
        <f>_xlfn.XLOOKUP(P231,'Painel Additive'!$B:$B,'Painel Additive'!$B:$B,0)</f>
        <v>GRUPO YARA</v>
      </c>
      <c r="S231">
        <f t="shared" si="17"/>
        <v>28</v>
      </c>
    </row>
    <row r="232" spans="1:19" x14ac:dyDescent="0.25">
      <c r="A232">
        <v>10434</v>
      </c>
      <c r="B232" t="s">
        <v>99</v>
      </c>
      <c r="C232" t="s">
        <v>100</v>
      </c>
      <c r="D232" s="32">
        <v>102078</v>
      </c>
      <c r="E232">
        <v>1246278529</v>
      </c>
      <c r="F232" s="28">
        <v>46209</v>
      </c>
      <c r="H232" t="s">
        <v>23</v>
      </c>
      <c r="I232" t="s">
        <v>24</v>
      </c>
      <c r="J232">
        <v>11637</v>
      </c>
      <c r="K232" s="28">
        <v>46181</v>
      </c>
      <c r="L232">
        <v>1010100</v>
      </c>
      <c r="M232" t="s">
        <v>29</v>
      </c>
      <c r="N232">
        <v>161</v>
      </c>
      <c r="O232" t="s">
        <v>145</v>
      </c>
      <c r="P232" t="s">
        <v>355</v>
      </c>
      <c r="Q232">
        <f t="shared" si="16"/>
        <v>-12</v>
      </c>
      <c r="R232" t="str">
        <f>_xlfn.XLOOKUP(P232,'Painel Additive'!$B:$B,'Painel Additive'!$B:$B,0)</f>
        <v>GRUPO CIBRA</v>
      </c>
      <c r="S232">
        <f t="shared" si="17"/>
        <v>28</v>
      </c>
    </row>
    <row r="233" spans="1:19" x14ac:dyDescent="0.25">
      <c r="A233">
        <v>10492</v>
      </c>
      <c r="B233" t="s">
        <v>101</v>
      </c>
      <c r="C233" t="s">
        <v>732</v>
      </c>
      <c r="D233" s="32">
        <v>83061.3</v>
      </c>
      <c r="E233">
        <v>1246279511</v>
      </c>
      <c r="F233" s="28">
        <v>46216</v>
      </c>
      <c r="H233" t="s">
        <v>23</v>
      </c>
      <c r="I233" t="s">
        <v>24</v>
      </c>
      <c r="J233">
        <v>11709</v>
      </c>
      <c r="K233" s="28">
        <v>46188</v>
      </c>
      <c r="L233">
        <v>1010100</v>
      </c>
      <c r="M233" t="s">
        <v>29</v>
      </c>
      <c r="N233">
        <v>161</v>
      </c>
      <c r="O233" t="s">
        <v>145</v>
      </c>
      <c r="P233" t="s">
        <v>356</v>
      </c>
      <c r="Q233">
        <f t="shared" si="16"/>
        <v>-19</v>
      </c>
      <c r="R233" t="str">
        <f>_xlfn.XLOOKUP(P233,'Painel Additive'!$B:$B,'Painel Additive'!$B:$B,0)</f>
        <v>GRUPO UNIFERTIL</v>
      </c>
      <c r="S233">
        <f t="shared" si="17"/>
        <v>28</v>
      </c>
    </row>
    <row r="234" spans="1:19" x14ac:dyDescent="0.25">
      <c r="A234">
        <v>10492</v>
      </c>
      <c r="B234" t="s">
        <v>101</v>
      </c>
      <c r="C234" t="s">
        <v>732</v>
      </c>
      <c r="D234" s="32">
        <v>98972.7</v>
      </c>
      <c r="E234">
        <v>1246278309</v>
      </c>
      <c r="F234" s="28">
        <v>46206</v>
      </c>
      <c r="H234" t="s">
        <v>23</v>
      </c>
      <c r="I234" t="s">
        <v>24</v>
      </c>
      <c r="J234">
        <v>11605</v>
      </c>
      <c r="K234" s="28">
        <v>46178</v>
      </c>
      <c r="L234">
        <v>1010100</v>
      </c>
      <c r="M234" t="s">
        <v>29</v>
      </c>
      <c r="N234">
        <v>161</v>
      </c>
      <c r="O234" t="s">
        <v>145</v>
      </c>
      <c r="P234" t="s">
        <v>356</v>
      </c>
      <c r="Q234">
        <f t="shared" si="16"/>
        <v>-9</v>
      </c>
      <c r="R234" t="str">
        <f>_xlfn.XLOOKUP(P234,'Painel Additive'!$B:$B,'Painel Additive'!$B:$B,0)</f>
        <v>GRUPO UNIFERTIL</v>
      </c>
      <c r="S234">
        <f t="shared" si="17"/>
        <v>28</v>
      </c>
    </row>
    <row r="235" spans="1:19" x14ac:dyDescent="0.25">
      <c r="A235">
        <v>10492</v>
      </c>
      <c r="B235" t="s">
        <v>101</v>
      </c>
      <c r="C235" t="s">
        <v>732</v>
      </c>
      <c r="D235" s="32">
        <v>98416.5</v>
      </c>
      <c r="E235">
        <v>1246279489</v>
      </c>
      <c r="F235" s="28">
        <v>46216</v>
      </c>
      <c r="H235" t="s">
        <v>23</v>
      </c>
      <c r="I235" t="s">
        <v>24</v>
      </c>
      <c r="J235">
        <v>11707</v>
      </c>
      <c r="K235" s="28">
        <v>46188</v>
      </c>
      <c r="L235">
        <v>1010100</v>
      </c>
      <c r="M235" t="s">
        <v>29</v>
      </c>
      <c r="N235">
        <v>161</v>
      </c>
      <c r="O235" t="s">
        <v>145</v>
      </c>
      <c r="P235" t="s">
        <v>356</v>
      </c>
      <c r="Q235">
        <f t="shared" si="16"/>
        <v>-19</v>
      </c>
      <c r="R235" t="str">
        <f>_xlfn.XLOOKUP(P235,'Painel Additive'!$B:$B,'Painel Additive'!$B:$B,0)</f>
        <v>GRUPO UNIFERTIL</v>
      </c>
      <c r="S235">
        <f t="shared" si="17"/>
        <v>28</v>
      </c>
    </row>
    <row r="236" spans="1:19" x14ac:dyDescent="0.25">
      <c r="A236">
        <v>13018</v>
      </c>
      <c r="B236" t="s">
        <v>15614</v>
      </c>
      <c r="C236" t="s">
        <v>586</v>
      </c>
      <c r="D236" s="32">
        <v>63720</v>
      </c>
      <c r="E236">
        <v>1246280943</v>
      </c>
      <c r="F236" s="28">
        <v>46239</v>
      </c>
      <c r="H236" t="s">
        <v>23</v>
      </c>
      <c r="I236" t="s">
        <v>24</v>
      </c>
      <c r="J236">
        <v>11814</v>
      </c>
      <c r="K236" s="28">
        <v>46197</v>
      </c>
      <c r="L236">
        <v>1010100</v>
      </c>
      <c r="M236" t="s">
        <v>29</v>
      </c>
      <c r="N236">
        <v>161</v>
      </c>
      <c r="O236" t="s">
        <v>145</v>
      </c>
      <c r="P236" t="s">
        <v>583</v>
      </c>
      <c r="Q236">
        <f t="shared" si="16"/>
        <v>-42</v>
      </c>
      <c r="R236" t="str">
        <f>_xlfn.XLOOKUP(P236,'Painel Additive'!$B:$B,'Painel Additive'!$B:$B,0)</f>
        <v>ULTRAFERTIL</v>
      </c>
      <c r="S236">
        <f t="shared" si="17"/>
        <v>42</v>
      </c>
    </row>
    <row r="237" spans="1:19" x14ac:dyDescent="0.25">
      <c r="A237">
        <v>13018</v>
      </c>
      <c r="B237" t="s">
        <v>15614</v>
      </c>
      <c r="C237" t="s">
        <v>586</v>
      </c>
      <c r="D237" s="32">
        <v>66788</v>
      </c>
      <c r="E237">
        <v>1246280964</v>
      </c>
      <c r="F237" s="28">
        <v>46225</v>
      </c>
      <c r="H237" t="s">
        <v>23</v>
      </c>
      <c r="I237" t="s">
        <v>24</v>
      </c>
      <c r="J237">
        <v>11816</v>
      </c>
      <c r="K237" s="28">
        <v>46197</v>
      </c>
      <c r="L237">
        <v>1010100</v>
      </c>
      <c r="M237" t="s">
        <v>29</v>
      </c>
      <c r="N237">
        <v>161</v>
      </c>
      <c r="O237" t="s">
        <v>145</v>
      </c>
      <c r="P237" t="s">
        <v>583</v>
      </c>
      <c r="Q237">
        <f t="shared" si="16"/>
        <v>-28</v>
      </c>
      <c r="R237" t="str">
        <f>_xlfn.XLOOKUP(P237,'Painel Additive'!$B:$B,'Painel Additive'!$B:$B,0)</f>
        <v>ULTRAFERTIL</v>
      </c>
      <c r="S237">
        <f t="shared" si="17"/>
        <v>28</v>
      </c>
    </row>
    <row r="238" spans="1:19" x14ac:dyDescent="0.25">
      <c r="A238">
        <v>13018</v>
      </c>
      <c r="B238" t="s">
        <v>15614</v>
      </c>
      <c r="C238" t="s">
        <v>586</v>
      </c>
      <c r="D238" s="32">
        <v>61360</v>
      </c>
      <c r="E238">
        <v>1246280961</v>
      </c>
      <c r="F238" s="28">
        <v>46239</v>
      </c>
      <c r="H238" t="s">
        <v>23</v>
      </c>
      <c r="I238" t="s">
        <v>24</v>
      </c>
      <c r="J238">
        <v>11815</v>
      </c>
      <c r="K238" s="28">
        <v>46197</v>
      </c>
      <c r="L238">
        <v>1010100</v>
      </c>
      <c r="M238" t="s">
        <v>29</v>
      </c>
      <c r="N238">
        <v>161</v>
      </c>
      <c r="O238" t="s">
        <v>145</v>
      </c>
      <c r="P238" t="s">
        <v>583</v>
      </c>
      <c r="Q238">
        <f t="shared" si="16"/>
        <v>-42</v>
      </c>
      <c r="R238" t="str">
        <f>_xlfn.XLOOKUP(P238,'Painel Additive'!$B:$B,'Painel Additive'!$B:$B,0)</f>
        <v>ULTRAFERTIL</v>
      </c>
      <c r="S238">
        <f t="shared" si="17"/>
        <v>42</v>
      </c>
    </row>
    <row r="239" spans="1:19" x14ac:dyDescent="0.25">
      <c r="A239">
        <v>13018</v>
      </c>
      <c r="B239" t="s">
        <v>15614</v>
      </c>
      <c r="C239" t="s">
        <v>586</v>
      </c>
      <c r="D239" s="32">
        <v>327740.59999999998</v>
      </c>
      <c r="E239">
        <v>1246272485</v>
      </c>
      <c r="F239" s="28">
        <v>46209</v>
      </c>
      <c r="H239" t="s">
        <v>23</v>
      </c>
      <c r="I239" t="s">
        <v>24</v>
      </c>
      <c r="J239">
        <v>11214</v>
      </c>
      <c r="K239" s="28">
        <v>46136</v>
      </c>
      <c r="L239">
        <v>1010100</v>
      </c>
      <c r="M239" t="s">
        <v>29</v>
      </c>
      <c r="N239">
        <v>161</v>
      </c>
      <c r="O239" t="s">
        <v>145</v>
      </c>
      <c r="P239" t="s">
        <v>583</v>
      </c>
      <c r="Q239">
        <f t="shared" si="16"/>
        <v>-12</v>
      </c>
      <c r="R239" t="str">
        <f>_xlfn.XLOOKUP(P239,'Painel Additive'!$B:$B,'Painel Additive'!$B:$B,0)</f>
        <v>ULTRAFERTIL</v>
      </c>
      <c r="S239">
        <f t="shared" si="17"/>
        <v>73</v>
      </c>
    </row>
    <row r="240" spans="1:19" x14ac:dyDescent="0.25">
      <c r="A240">
        <v>14765</v>
      </c>
      <c r="B240" t="s">
        <v>14383</v>
      </c>
      <c r="C240" t="s">
        <v>15621</v>
      </c>
      <c r="D240" s="32">
        <v>46590.02</v>
      </c>
      <c r="E240">
        <v>1246280485</v>
      </c>
      <c r="F240" s="28">
        <v>46223</v>
      </c>
      <c r="H240" t="s">
        <v>23</v>
      </c>
      <c r="I240" t="s">
        <v>24</v>
      </c>
      <c r="J240">
        <v>11788</v>
      </c>
      <c r="K240" s="28">
        <v>46195</v>
      </c>
      <c r="L240">
        <v>1010100</v>
      </c>
      <c r="M240" t="s">
        <v>29</v>
      </c>
      <c r="N240">
        <v>161</v>
      </c>
      <c r="O240" t="s">
        <v>145</v>
      </c>
      <c r="P240" t="s">
        <v>370</v>
      </c>
      <c r="Q240">
        <f t="shared" si="16"/>
        <v>-26</v>
      </c>
      <c r="R240" t="str">
        <f>_xlfn.XLOOKUP(P240,'Painel Additive'!$B:$B,'Painel Additive'!$B:$B,0)</f>
        <v>GRUPO GEN FERTILIZANTES</v>
      </c>
      <c r="S240">
        <f t="shared" si="17"/>
        <v>28</v>
      </c>
    </row>
    <row r="241" spans="1:19" x14ac:dyDescent="0.25">
      <c r="A241">
        <v>16099</v>
      </c>
      <c r="B241" t="s">
        <v>1118</v>
      </c>
      <c r="C241" t="s">
        <v>15618</v>
      </c>
      <c r="D241" s="32">
        <v>88185.43</v>
      </c>
      <c r="E241">
        <v>1246280413</v>
      </c>
      <c r="F241" s="28">
        <v>46285</v>
      </c>
      <c r="H241" t="s">
        <v>23</v>
      </c>
      <c r="I241" t="s">
        <v>24</v>
      </c>
      <c r="J241">
        <v>11775</v>
      </c>
      <c r="K241" s="28">
        <v>46195</v>
      </c>
      <c r="L241">
        <v>1010100</v>
      </c>
      <c r="M241" t="s">
        <v>29</v>
      </c>
      <c r="N241">
        <v>161</v>
      </c>
      <c r="O241" t="s">
        <v>145</v>
      </c>
      <c r="P241" t="s">
        <v>431</v>
      </c>
      <c r="Q241">
        <f t="shared" si="16"/>
        <v>-88</v>
      </c>
      <c r="R241" t="str">
        <f>_xlfn.XLOOKUP(P241,'Painel Additive'!$B:$B,'Painel Additive'!$B:$B,0)</f>
        <v>GRUPO MOSAIC FERTILIZANTES DO BRASIL</v>
      </c>
      <c r="S241">
        <f t="shared" si="17"/>
        <v>90</v>
      </c>
    </row>
    <row r="242" spans="1:19" x14ac:dyDescent="0.25">
      <c r="A242">
        <v>16189</v>
      </c>
      <c r="B242" t="s">
        <v>709</v>
      </c>
      <c r="C242" t="s">
        <v>710</v>
      </c>
      <c r="D242" s="32">
        <v>49440</v>
      </c>
      <c r="E242">
        <v>1246261824</v>
      </c>
      <c r="F242" s="28">
        <v>46087</v>
      </c>
      <c r="I242" t="s">
        <v>326</v>
      </c>
      <c r="J242">
        <v>1246261824</v>
      </c>
      <c r="K242" s="28">
        <v>46055</v>
      </c>
      <c r="L242">
        <v>7240000</v>
      </c>
      <c r="M242" t="s">
        <v>711</v>
      </c>
      <c r="N242">
        <v>46</v>
      </c>
      <c r="O242" t="s">
        <v>147</v>
      </c>
      <c r="P242" t="s">
        <v>709</v>
      </c>
      <c r="Q242">
        <f t="shared" si="16"/>
        <v>110</v>
      </c>
      <c r="R242" t="str">
        <f>_xlfn.XLOOKUP(P242,'Painel Additive'!$B:$B,'Painel Additive'!$B:$B,0)</f>
        <v>ARSLOG SOLUCOES EM TRANSPORTE</v>
      </c>
      <c r="S242">
        <f t="shared" si="17"/>
        <v>32</v>
      </c>
    </row>
    <row r="243" spans="1:19" x14ac:dyDescent="0.25">
      <c r="A243">
        <v>10413</v>
      </c>
      <c r="B243" t="s">
        <v>265</v>
      </c>
      <c r="C243" t="s">
        <v>15420</v>
      </c>
      <c r="D243" s="32">
        <v>78993</v>
      </c>
      <c r="E243">
        <v>1246279827</v>
      </c>
      <c r="F243" s="28">
        <v>46218</v>
      </c>
      <c r="H243" t="s">
        <v>23</v>
      </c>
      <c r="I243" t="s">
        <v>24</v>
      </c>
      <c r="J243">
        <v>11733</v>
      </c>
      <c r="K243" s="28">
        <v>46189</v>
      </c>
      <c r="L243">
        <v>1010100</v>
      </c>
      <c r="M243" t="s">
        <v>29</v>
      </c>
      <c r="N243">
        <v>56</v>
      </c>
      <c r="O243" t="s">
        <v>146</v>
      </c>
      <c r="P243" t="s">
        <v>265</v>
      </c>
      <c r="Q243">
        <f t="shared" si="16"/>
        <v>-21</v>
      </c>
      <c r="R243" t="str">
        <f>_xlfn.XLOOKUP(P243,'Painel Additive'!$B:$B,'Painel Additive'!$B:$B,0)</f>
        <v>BUNGE - SANTOS</v>
      </c>
      <c r="S243">
        <f t="shared" si="17"/>
        <v>29</v>
      </c>
    </row>
    <row r="244" spans="1:19" x14ac:dyDescent="0.25">
      <c r="A244">
        <v>10413</v>
      </c>
      <c r="B244" t="s">
        <v>265</v>
      </c>
      <c r="C244" t="s">
        <v>15420</v>
      </c>
      <c r="D244" s="32">
        <v>79019.199999999997</v>
      </c>
      <c r="E244">
        <v>1246278424</v>
      </c>
      <c r="F244" s="28">
        <v>46218</v>
      </c>
      <c r="H244" t="s">
        <v>23</v>
      </c>
      <c r="I244" t="s">
        <v>24</v>
      </c>
      <c r="J244">
        <v>11626</v>
      </c>
      <c r="K244" s="28">
        <v>46178</v>
      </c>
      <c r="L244">
        <v>1010100</v>
      </c>
      <c r="M244" t="s">
        <v>29</v>
      </c>
      <c r="N244">
        <v>56</v>
      </c>
      <c r="O244" t="s">
        <v>146</v>
      </c>
      <c r="P244" t="s">
        <v>265</v>
      </c>
      <c r="Q244">
        <f t="shared" si="16"/>
        <v>-21</v>
      </c>
      <c r="R244" t="str">
        <f>_xlfn.XLOOKUP(P244,'Painel Additive'!$B:$B,'Painel Additive'!$B:$B,0)</f>
        <v>BUNGE - SANTOS</v>
      </c>
      <c r="S244">
        <f t="shared" si="17"/>
        <v>40</v>
      </c>
    </row>
    <row r="245" spans="1:19" x14ac:dyDescent="0.25">
      <c r="A245">
        <v>10677</v>
      </c>
      <c r="B245" t="s">
        <v>770</v>
      </c>
      <c r="C245" t="s">
        <v>771</v>
      </c>
      <c r="D245" s="32">
        <v>581</v>
      </c>
      <c r="E245">
        <v>1246272911</v>
      </c>
      <c r="F245" s="28">
        <v>46175</v>
      </c>
      <c r="I245" t="s">
        <v>326</v>
      </c>
      <c r="J245">
        <v>11244</v>
      </c>
      <c r="K245" s="28">
        <v>46140</v>
      </c>
      <c r="L245">
        <v>4011600</v>
      </c>
      <c r="M245" t="s">
        <v>597</v>
      </c>
      <c r="N245">
        <v>244</v>
      </c>
      <c r="O245" t="s">
        <v>174</v>
      </c>
      <c r="P245" t="s">
        <v>770</v>
      </c>
      <c r="Q245">
        <f t="shared" si="16"/>
        <v>22</v>
      </c>
      <c r="R245" t="str">
        <f>_xlfn.XLOOKUP(P245,'Painel Additive'!$B:$B,'Painel Additive'!$B:$B,0)</f>
        <v>MARCELO HONORIO DE CARVALHO RAMOS</v>
      </c>
      <c r="S245">
        <f t="shared" si="17"/>
        <v>35</v>
      </c>
    </row>
    <row r="246" spans="1:19" x14ac:dyDescent="0.25">
      <c r="A246">
        <v>10677</v>
      </c>
      <c r="B246" t="s">
        <v>770</v>
      </c>
      <c r="C246" t="s">
        <v>771</v>
      </c>
      <c r="D246" s="32">
        <v>581</v>
      </c>
      <c r="E246">
        <v>1246272912</v>
      </c>
      <c r="F246" s="28">
        <v>46200</v>
      </c>
      <c r="I246" t="s">
        <v>326</v>
      </c>
      <c r="J246">
        <v>11244</v>
      </c>
      <c r="K246" s="28">
        <v>46140</v>
      </c>
      <c r="L246">
        <v>4011600</v>
      </c>
      <c r="M246" t="s">
        <v>597</v>
      </c>
      <c r="N246">
        <v>244</v>
      </c>
      <c r="O246" t="s">
        <v>174</v>
      </c>
      <c r="P246" t="s">
        <v>770</v>
      </c>
      <c r="Q246">
        <f t="shared" si="16"/>
        <v>-3</v>
      </c>
      <c r="R246" t="str">
        <f>_xlfn.XLOOKUP(P246,'Painel Additive'!$B:$B,'Painel Additive'!$B:$B,0)</f>
        <v>MARCELO HONORIO DE CARVALHO RAMOS</v>
      </c>
      <c r="S246">
        <f t="shared" si="17"/>
        <v>60</v>
      </c>
    </row>
    <row r="247" spans="1:19" x14ac:dyDescent="0.25">
      <c r="A247">
        <v>10677</v>
      </c>
      <c r="B247" t="s">
        <v>770</v>
      </c>
      <c r="C247" t="s">
        <v>771</v>
      </c>
      <c r="D247" s="32">
        <v>581</v>
      </c>
      <c r="E247">
        <v>1246272913</v>
      </c>
      <c r="F247" s="28">
        <v>46230</v>
      </c>
      <c r="I247" t="s">
        <v>326</v>
      </c>
      <c r="J247">
        <v>11244</v>
      </c>
      <c r="K247" s="28">
        <v>46140</v>
      </c>
      <c r="L247">
        <v>4011600</v>
      </c>
      <c r="M247" t="s">
        <v>597</v>
      </c>
      <c r="N247">
        <v>244</v>
      </c>
      <c r="O247" t="s">
        <v>174</v>
      </c>
      <c r="P247" t="s">
        <v>770</v>
      </c>
      <c r="Q247">
        <f t="shared" si="16"/>
        <v>-33</v>
      </c>
      <c r="R247" t="str">
        <f>_xlfn.XLOOKUP(P247,'Painel Additive'!$B:$B,'Painel Additive'!$B:$B,0)</f>
        <v>MARCELO HONORIO DE CARVALHO RAMOS</v>
      </c>
      <c r="S247">
        <f t="shared" si="17"/>
        <v>90</v>
      </c>
    </row>
    <row r="248" spans="1:19" x14ac:dyDescent="0.25">
      <c r="A248">
        <v>14094</v>
      </c>
      <c r="B248" t="s">
        <v>237</v>
      </c>
      <c r="C248" t="s">
        <v>238</v>
      </c>
      <c r="D248" s="32">
        <v>100</v>
      </c>
      <c r="E248">
        <v>1246154530</v>
      </c>
      <c r="F248" s="28">
        <v>45474</v>
      </c>
      <c r="I248" t="s">
        <v>326</v>
      </c>
      <c r="J248">
        <v>4088</v>
      </c>
      <c r="K248" s="28">
        <v>45474</v>
      </c>
      <c r="L248">
        <v>4010300</v>
      </c>
      <c r="M248" t="s">
        <v>128</v>
      </c>
      <c r="N248">
        <v>244</v>
      </c>
      <c r="O248" t="s">
        <v>174</v>
      </c>
      <c r="P248" t="s">
        <v>237</v>
      </c>
      <c r="Q248">
        <f t="shared" si="16"/>
        <v>723</v>
      </c>
      <c r="R248" t="str">
        <f>_xlfn.XLOOKUP(P248,'Painel Additive'!$B:$B,'Painel Additive'!$B:$B,0)</f>
        <v>KLEYTON DUARTE SOARES</v>
      </c>
      <c r="S248">
        <f t="shared" si="17"/>
        <v>0</v>
      </c>
    </row>
    <row r="249" spans="1:19" x14ac:dyDescent="0.25">
      <c r="A249">
        <v>13873</v>
      </c>
      <c r="B249" t="s">
        <v>278</v>
      </c>
      <c r="C249" t="s">
        <v>279</v>
      </c>
      <c r="D249" s="32">
        <v>50</v>
      </c>
      <c r="E249">
        <v>1246166396</v>
      </c>
      <c r="F249" s="28">
        <v>45525</v>
      </c>
      <c r="I249" t="s">
        <v>326</v>
      </c>
      <c r="J249">
        <v>4854</v>
      </c>
      <c r="K249" s="28">
        <v>45525</v>
      </c>
      <c r="L249">
        <v>4010300</v>
      </c>
      <c r="M249" t="s">
        <v>128</v>
      </c>
      <c r="N249">
        <v>244</v>
      </c>
      <c r="O249" t="s">
        <v>174</v>
      </c>
      <c r="P249" t="s">
        <v>278</v>
      </c>
      <c r="Q249">
        <f t="shared" si="16"/>
        <v>672</v>
      </c>
      <c r="R249" t="str">
        <f>_xlfn.XLOOKUP(P249,'Painel Additive'!$B:$B,'Painel Additive'!$B:$B,0)</f>
        <v>MARIA JOSE DA SILVA</v>
      </c>
      <c r="S249">
        <f t="shared" si="17"/>
        <v>0</v>
      </c>
    </row>
    <row r="250" spans="1:19" x14ac:dyDescent="0.25">
      <c r="A250">
        <v>14106</v>
      </c>
      <c r="B250" t="s">
        <v>334</v>
      </c>
      <c r="C250" t="s">
        <v>335</v>
      </c>
      <c r="D250" s="32">
        <v>300</v>
      </c>
      <c r="E250">
        <v>1246182736</v>
      </c>
      <c r="F250" s="28">
        <v>45625</v>
      </c>
      <c r="I250" t="s">
        <v>326</v>
      </c>
      <c r="J250">
        <v>6092</v>
      </c>
      <c r="K250" s="28">
        <v>45610</v>
      </c>
      <c r="L250">
        <v>1020400</v>
      </c>
      <c r="M250" t="s">
        <v>130</v>
      </c>
      <c r="N250">
        <v>136</v>
      </c>
      <c r="O250" t="s">
        <v>130</v>
      </c>
      <c r="P250" t="s">
        <v>334</v>
      </c>
      <c r="Q250">
        <f t="shared" si="16"/>
        <v>572</v>
      </c>
      <c r="R250" t="str">
        <f>_xlfn.XLOOKUP(P250,'Painel Additive'!$B:$B,'Painel Additive'!$B:$B,0)</f>
        <v>SEU LIXO</v>
      </c>
      <c r="S250">
        <f t="shared" si="17"/>
        <v>15</v>
      </c>
    </row>
    <row r="251" spans="1:19" x14ac:dyDescent="0.25">
      <c r="A251">
        <v>707</v>
      </c>
      <c r="B251" t="s">
        <v>44</v>
      </c>
      <c r="C251" t="s">
        <v>45</v>
      </c>
      <c r="D251" s="32">
        <v>40320</v>
      </c>
      <c r="E251">
        <v>1246146706</v>
      </c>
      <c r="F251" s="28">
        <v>45461</v>
      </c>
      <c r="H251" t="s">
        <v>23</v>
      </c>
      <c r="I251" t="s">
        <v>24</v>
      </c>
      <c r="J251">
        <v>3619</v>
      </c>
      <c r="K251" s="28">
        <v>45433</v>
      </c>
      <c r="L251">
        <v>1010100</v>
      </c>
      <c r="M251" t="s">
        <v>29</v>
      </c>
      <c r="N251">
        <v>161</v>
      </c>
      <c r="O251" t="s">
        <v>145</v>
      </c>
      <c r="P251" t="s">
        <v>44</v>
      </c>
      <c r="Q251">
        <f t="shared" ref="Q251:Q286" si="18">$R$1-F251</f>
        <v>736</v>
      </c>
      <c r="R251" t="str">
        <f>_xlfn.XLOOKUP(P251,'Painel Additive'!$B:$B,'Painel Additive'!$B:$B,0)</f>
        <v>TERRA FERTILIZANTES LTDA - ARAXÁ</v>
      </c>
      <c r="S251">
        <f t="shared" ref="S251:S286" si="19">F251-K251</f>
        <v>28</v>
      </c>
    </row>
    <row r="252" spans="1:19" x14ac:dyDescent="0.25">
      <c r="A252">
        <v>707</v>
      </c>
      <c r="B252" t="s">
        <v>44</v>
      </c>
      <c r="C252" t="s">
        <v>45</v>
      </c>
      <c r="D252" s="32">
        <v>14640</v>
      </c>
      <c r="E252">
        <v>1246145696</v>
      </c>
      <c r="F252" s="28">
        <v>45454</v>
      </c>
      <c r="H252" t="s">
        <v>23</v>
      </c>
      <c r="I252" t="s">
        <v>24</v>
      </c>
      <c r="J252">
        <v>3538</v>
      </c>
      <c r="K252" s="28">
        <v>45426</v>
      </c>
      <c r="L252">
        <v>1010100</v>
      </c>
      <c r="M252" t="s">
        <v>29</v>
      </c>
      <c r="N252">
        <v>161</v>
      </c>
      <c r="O252" t="s">
        <v>145</v>
      </c>
      <c r="P252" t="s">
        <v>44</v>
      </c>
      <c r="Q252">
        <f t="shared" si="18"/>
        <v>743</v>
      </c>
      <c r="R252" t="str">
        <f>_xlfn.XLOOKUP(P252,'Painel Additive'!$B:$B,'Painel Additive'!$B:$B,0)</f>
        <v>TERRA FERTILIZANTES LTDA - ARAXÁ</v>
      </c>
      <c r="S252">
        <f t="shared" si="19"/>
        <v>28</v>
      </c>
    </row>
    <row r="253" spans="1:19" x14ac:dyDescent="0.25">
      <c r="A253">
        <v>707</v>
      </c>
      <c r="B253" t="s">
        <v>44</v>
      </c>
      <c r="C253" t="s">
        <v>45</v>
      </c>
      <c r="D253" s="32">
        <v>43920</v>
      </c>
      <c r="E253">
        <v>1246148035</v>
      </c>
      <c r="F253" s="28">
        <v>45469</v>
      </c>
      <c r="H253" t="s">
        <v>23</v>
      </c>
      <c r="I253" t="s">
        <v>24</v>
      </c>
      <c r="J253">
        <v>3722</v>
      </c>
      <c r="K253" s="28">
        <v>45441</v>
      </c>
      <c r="L253">
        <v>1010100</v>
      </c>
      <c r="M253" t="s">
        <v>29</v>
      </c>
      <c r="N253">
        <v>161</v>
      </c>
      <c r="O253" t="s">
        <v>145</v>
      </c>
      <c r="P253" t="s">
        <v>44</v>
      </c>
      <c r="Q253">
        <f t="shared" si="18"/>
        <v>728</v>
      </c>
      <c r="R253" t="str">
        <f>_xlfn.XLOOKUP(P253,'Painel Additive'!$B:$B,'Painel Additive'!$B:$B,0)</f>
        <v>TERRA FERTILIZANTES LTDA - ARAXÁ</v>
      </c>
      <c r="S253">
        <f t="shared" si="19"/>
        <v>28</v>
      </c>
    </row>
    <row r="254" spans="1:19" x14ac:dyDescent="0.25">
      <c r="A254">
        <v>707</v>
      </c>
      <c r="B254" t="s">
        <v>44</v>
      </c>
      <c r="C254" t="s">
        <v>45</v>
      </c>
      <c r="D254" s="32">
        <v>36600</v>
      </c>
      <c r="E254">
        <v>1246146938</v>
      </c>
      <c r="F254" s="28">
        <v>45462</v>
      </c>
      <c r="H254" t="s">
        <v>23</v>
      </c>
      <c r="I254" t="s">
        <v>24</v>
      </c>
      <c r="J254">
        <v>3637</v>
      </c>
      <c r="K254" s="28">
        <v>45434</v>
      </c>
      <c r="L254">
        <v>1010100</v>
      </c>
      <c r="M254" t="s">
        <v>29</v>
      </c>
      <c r="N254">
        <v>161</v>
      </c>
      <c r="O254" t="s">
        <v>145</v>
      </c>
      <c r="P254" t="s">
        <v>44</v>
      </c>
      <c r="Q254">
        <f t="shared" si="18"/>
        <v>735</v>
      </c>
      <c r="R254" t="str">
        <f>_xlfn.XLOOKUP(P254,'Painel Additive'!$B:$B,'Painel Additive'!$B:$B,0)</f>
        <v>TERRA FERTILIZANTES LTDA - ARAXÁ</v>
      </c>
      <c r="S254">
        <f t="shared" si="19"/>
        <v>28</v>
      </c>
    </row>
    <row r="255" spans="1:19" x14ac:dyDescent="0.25">
      <c r="A255">
        <v>707</v>
      </c>
      <c r="B255" t="s">
        <v>44</v>
      </c>
      <c r="C255" t="s">
        <v>45</v>
      </c>
      <c r="D255" s="32">
        <v>33600</v>
      </c>
      <c r="E255">
        <v>1246148036</v>
      </c>
      <c r="F255" s="28">
        <v>45469</v>
      </c>
      <c r="H255" t="s">
        <v>23</v>
      </c>
      <c r="I255" t="s">
        <v>24</v>
      </c>
      <c r="J255">
        <v>3723</v>
      </c>
      <c r="K255" s="28">
        <v>45441</v>
      </c>
      <c r="L255">
        <v>1010100</v>
      </c>
      <c r="M255" t="s">
        <v>29</v>
      </c>
      <c r="N255">
        <v>161</v>
      </c>
      <c r="O255" t="s">
        <v>145</v>
      </c>
      <c r="P255" t="s">
        <v>44</v>
      </c>
      <c r="Q255">
        <f t="shared" si="18"/>
        <v>728</v>
      </c>
      <c r="R255" t="str">
        <f>_xlfn.XLOOKUP(P255,'Painel Additive'!$B:$B,'Painel Additive'!$B:$B,0)</f>
        <v>TERRA FERTILIZANTES LTDA - ARAXÁ</v>
      </c>
      <c r="S255">
        <f t="shared" si="19"/>
        <v>28</v>
      </c>
    </row>
    <row r="256" spans="1:19" x14ac:dyDescent="0.25">
      <c r="A256">
        <v>707</v>
      </c>
      <c r="B256" t="s">
        <v>44</v>
      </c>
      <c r="C256" t="s">
        <v>45</v>
      </c>
      <c r="D256" s="32">
        <v>16800</v>
      </c>
      <c r="E256">
        <v>1246141445</v>
      </c>
      <c r="F256" s="28">
        <v>45433</v>
      </c>
      <c r="H256" t="s">
        <v>23</v>
      </c>
      <c r="I256" t="s">
        <v>24</v>
      </c>
      <c r="J256">
        <v>3345</v>
      </c>
      <c r="K256" s="28">
        <v>45405</v>
      </c>
      <c r="L256">
        <v>1010100</v>
      </c>
      <c r="M256" t="s">
        <v>29</v>
      </c>
      <c r="N256">
        <v>161</v>
      </c>
      <c r="O256" t="s">
        <v>145</v>
      </c>
      <c r="P256" t="s">
        <v>44</v>
      </c>
      <c r="Q256">
        <f t="shared" si="18"/>
        <v>764</v>
      </c>
      <c r="R256" t="str">
        <f>_xlfn.XLOOKUP(P256,'Painel Additive'!$B:$B,'Painel Additive'!$B:$B,0)</f>
        <v>TERRA FERTILIZANTES LTDA - ARAXÁ</v>
      </c>
      <c r="S256">
        <f t="shared" si="19"/>
        <v>28</v>
      </c>
    </row>
    <row r="257" spans="1:19" x14ac:dyDescent="0.25">
      <c r="A257">
        <v>707</v>
      </c>
      <c r="B257" t="s">
        <v>44</v>
      </c>
      <c r="C257" t="s">
        <v>45</v>
      </c>
      <c r="D257" s="32">
        <v>40353.599999999999</v>
      </c>
      <c r="E257">
        <v>1246143397</v>
      </c>
      <c r="F257" s="28">
        <v>45443</v>
      </c>
      <c r="H257" t="s">
        <v>23</v>
      </c>
      <c r="I257" t="s">
        <v>24</v>
      </c>
      <c r="J257">
        <v>3448</v>
      </c>
      <c r="K257" s="28">
        <v>45415</v>
      </c>
      <c r="L257">
        <v>1010100</v>
      </c>
      <c r="M257" t="s">
        <v>29</v>
      </c>
      <c r="N257">
        <v>161</v>
      </c>
      <c r="O257" t="s">
        <v>145</v>
      </c>
      <c r="P257" t="s">
        <v>44</v>
      </c>
      <c r="Q257">
        <f t="shared" si="18"/>
        <v>754</v>
      </c>
      <c r="R257" t="str">
        <f>_xlfn.XLOOKUP(P257,'Painel Additive'!$B:$B,'Painel Additive'!$B:$B,0)</f>
        <v>TERRA FERTILIZANTES LTDA - ARAXÁ</v>
      </c>
      <c r="S257">
        <f t="shared" si="19"/>
        <v>28</v>
      </c>
    </row>
    <row r="258" spans="1:19" x14ac:dyDescent="0.25">
      <c r="A258">
        <v>1462</v>
      </c>
      <c r="B258" t="s">
        <v>55</v>
      </c>
      <c r="C258" t="s">
        <v>56</v>
      </c>
      <c r="D258" s="32">
        <v>38067.25</v>
      </c>
      <c r="E258">
        <v>1246274419</v>
      </c>
      <c r="F258" s="28">
        <v>46213</v>
      </c>
      <c r="H258" t="s">
        <v>23</v>
      </c>
      <c r="I258" t="s">
        <v>24</v>
      </c>
      <c r="J258">
        <v>11350</v>
      </c>
      <c r="K258" s="28">
        <v>46153</v>
      </c>
      <c r="L258">
        <v>1010100</v>
      </c>
      <c r="M258" t="s">
        <v>29</v>
      </c>
      <c r="N258">
        <v>161</v>
      </c>
      <c r="O258" t="s">
        <v>145</v>
      </c>
      <c r="P258" t="s">
        <v>55</v>
      </c>
      <c r="Q258">
        <f t="shared" si="18"/>
        <v>-16</v>
      </c>
      <c r="R258" t="str">
        <f>_xlfn.XLOOKUP(P258,'Painel Additive'!$B:$B,'Painel Additive'!$B:$B,0)</f>
        <v>AURORA MINERAÇÃO LTDA</v>
      </c>
      <c r="S258">
        <f t="shared" si="19"/>
        <v>60</v>
      </c>
    </row>
    <row r="259" spans="1:19" x14ac:dyDescent="0.25">
      <c r="A259">
        <v>1462</v>
      </c>
      <c r="B259" t="s">
        <v>55</v>
      </c>
      <c r="C259" t="s">
        <v>56</v>
      </c>
      <c r="D259" s="32">
        <v>38067.25</v>
      </c>
      <c r="E259">
        <v>1246274420</v>
      </c>
      <c r="F259" s="28">
        <v>46223</v>
      </c>
      <c r="H259" t="s">
        <v>23</v>
      </c>
      <c r="I259" t="s">
        <v>24</v>
      </c>
      <c r="J259">
        <v>11350</v>
      </c>
      <c r="K259" s="28">
        <v>46153</v>
      </c>
      <c r="L259">
        <v>1010100</v>
      </c>
      <c r="M259" t="s">
        <v>29</v>
      </c>
      <c r="N259">
        <v>161</v>
      </c>
      <c r="O259" t="s">
        <v>145</v>
      </c>
      <c r="P259" t="s">
        <v>55</v>
      </c>
      <c r="Q259">
        <f t="shared" si="18"/>
        <v>-26</v>
      </c>
      <c r="R259" t="str">
        <f>_xlfn.XLOOKUP(P259,'Painel Additive'!$B:$B,'Painel Additive'!$B:$B,0)</f>
        <v>AURORA MINERAÇÃO LTDA</v>
      </c>
      <c r="S259">
        <f t="shared" si="19"/>
        <v>70</v>
      </c>
    </row>
    <row r="260" spans="1:19" x14ac:dyDescent="0.25">
      <c r="A260">
        <v>1462</v>
      </c>
      <c r="B260" t="s">
        <v>55</v>
      </c>
      <c r="C260" t="s">
        <v>56</v>
      </c>
      <c r="D260" s="32">
        <v>38160.199999999997</v>
      </c>
      <c r="E260">
        <v>1246270126</v>
      </c>
      <c r="F260" s="28">
        <v>46174</v>
      </c>
      <c r="H260" t="s">
        <v>23</v>
      </c>
      <c r="I260" t="s">
        <v>24</v>
      </c>
      <c r="J260">
        <v>11041</v>
      </c>
      <c r="K260" s="28">
        <v>46114</v>
      </c>
      <c r="L260">
        <v>1010100</v>
      </c>
      <c r="M260" t="s">
        <v>29</v>
      </c>
      <c r="N260">
        <v>161</v>
      </c>
      <c r="O260" t="s">
        <v>145</v>
      </c>
      <c r="P260" t="s">
        <v>55</v>
      </c>
      <c r="Q260">
        <f t="shared" si="18"/>
        <v>23</v>
      </c>
      <c r="R260" t="str">
        <f>_xlfn.XLOOKUP(P260,'Painel Additive'!$B:$B,'Painel Additive'!$B:$B,0)</f>
        <v>AURORA MINERAÇÃO LTDA</v>
      </c>
      <c r="S260">
        <f t="shared" si="19"/>
        <v>60</v>
      </c>
    </row>
    <row r="261" spans="1:19" x14ac:dyDescent="0.25">
      <c r="A261">
        <v>1462</v>
      </c>
      <c r="B261" t="s">
        <v>55</v>
      </c>
      <c r="C261" t="s">
        <v>56</v>
      </c>
      <c r="D261" s="32">
        <v>38160.199999999997</v>
      </c>
      <c r="E261">
        <v>1246270127</v>
      </c>
      <c r="F261" s="28">
        <v>46184</v>
      </c>
      <c r="H261" t="s">
        <v>23</v>
      </c>
      <c r="I261" t="s">
        <v>24</v>
      </c>
      <c r="J261">
        <v>11041</v>
      </c>
      <c r="K261" s="28">
        <v>46114</v>
      </c>
      <c r="L261">
        <v>1010100</v>
      </c>
      <c r="M261" t="s">
        <v>29</v>
      </c>
      <c r="N261">
        <v>161</v>
      </c>
      <c r="O261" t="s">
        <v>145</v>
      </c>
      <c r="P261" t="s">
        <v>55</v>
      </c>
      <c r="Q261">
        <f t="shared" si="18"/>
        <v>13</v>
      </c>
      <c r="R261" t="str">
        <f>_xlfn.XLOOKUP(P261,'Painel Additive'!$B:$B,'Painel Additive'!$B:$B,0)</f>
        <v>AURORA MINERAÇÃO LTDA</v>
      </c>
      <c r="S261">
        <f t="shared" si="19"/>
        <v>70</v>
      </c>
    </row>
    <row r="262" spans="1:19" x14ac:dyDescent="0.25">
      <c r="A262">
        <v>1462</v>
      </c>
      <c r="B262" t="s">
        <v>55</v>
      </c>
      <c r="C262" t="s">
        <v>56</v>
      </c>
      <c r="D262" s="32">
        <v>38236.25</v>
      </c>
      <c r="E262">
        <v>1246277330</v>
      </c>
      <c r="F262" s="28">
        <v>46230</v>
      </c>
      <c r="H262" t="s">
        <v>23</v>
      </c>
      <c r="I262" t="s">
        <v>24</v>
      </c>
      <c r="J262">
        <v>11543</v>
      </c>
      <c r="K262" s="28">
        <v>46170</v>
      </c>
      <c r="L262">
        <v>1010100</v>
      </c>
      <c r="M262" t="s">
        <v>29</v>
      </c>
      <c r="N262">
        <v>161</v>
      </c>
      <c r="O262" t="s">
        <v>145</v>
      </c>
      <c r="P262" t="s">
        <v>55</v>
      </c>
      <c r="Q262">
        <f t="shared" si="18"/>
        <v>-33</v>
      </c>
      <c r="R262" t="str">
        <f>_xlfn.XLOOKUP(P262,'Painel Additive'!$B:$B,'Painel Additive'!$B:$B,0)</f>
        <v>AURORA MINERAÇÃO LTDA</v>
      </c>
      <c r="S262">
        <f t="shared" si="19"/>
        <v>60</v>
      </c>
    </row>
    <row r="263" spans="1:19" x14ac:dyDescent="0.25">
      <c r="A263">
        <v>1462</v>
      </c>
      <c r="B263" t="s">
        <v>55</v>
      </c>
      <c r="C263" t="s">
        <v>56</v>
      </c>
      <c r="D263" s="32">
        <v>38236.25</v>
      </c>
      <c r="E263">
        <v>1246277331</v>
      </c>
      <c r="F263" s="28">
        <v>46240</v>
      </c>
      <c r="H263" t="s">
        <v>23</v>
      </c>
      <c r="I263" t="s">
        <v>24</v>
      </c>
      <c r="J263">
        <v>11543</v>
      </c>
      <c r="K263" s="28">
        <v>46170</v>
      </c>
      <c r="L263">
        <v>1010100</v>
      </c>
      <c r="M263" t="s">
        <v>29</v>
      </c>
      <c r="N263">
        <v>161</v>
      </c>
      <c r="O263" t="s">
        <v>145</v>
      </c>
      <c r="P263" t="s">
        <v>55</v>
      </c>
      <c r="Q263">
        <f t="shared" si="18"/>
        <v>-43</v>
      </c>
      <c r="R263" t="str">
        <f>_xlfn.XLOOKUP(P263,'Painel Additive'!$B:$B,'Painel Additive'!$B:$B,0)</f>
        <v>AURORA MINERAÇÃO LTDA</v>
      </c>
      <c r="S263">
        <f t="shared" si="19"/>
        <v>70</v>
      </c>
    </row>
    <row r="264" spans="1:19" x14ac:dyDescent="0.25">
      <c r="A264">
        <v>2011</v>
      </c>
      <c r="B264" t="s">
        <v>616</v>
      </c>
      <c r="C264" t="s">
        <v>462</v>
      </c>
      <c r="D264" s="32">
        <v>105617.60000000001</v>
      </c>
      <c r="E264">
        <v>1246278485</v>
      </c>
      <c r="F264" s="28">
        <v>46209</v>
      </c>
      <c r="H264" t="s">
        <v>23</v>
      </c>
      <c r="I264" t="s">
        <v>24</v>
      </c>
      <c r="J264">
        <v>11634</v>
      </c>
      <c r="K264" s="28">
        <v>46181</v>
      </c>
      <c r="L264">
        <v>1010100</v>
      </c>
      <c r="M264" t="s">
        <v>29</v>
      </c>
      <c r="N264">
        <v>161</v>
      </c>
      <c r="O264" t="s">
        <v>145</v>
      </c>
      <c r="P264" t="s">
        <v>616</v>
      </c>
      <c r="Q264">
        <f t="shared" si="18"/>
        <v>-12</v>
      </c>
      <c r="R264" t="str">
        <f>_xlfn.XLOOKUP(P264,'Painel Additive'!$B:$B,'Painel Additive'!$B:$B,0)</f>
        <v>FERTGROW S.A</v>
      </c>
      <c r="S264">
        <f t="shared" si="19"/>
        <v>28</v>
      </c>
    </row>
    <row r="265" spans="1:19" x14ac:dyDescent="0.25">
      <c r="A265">
        <v>2011</v>
      </c>
      <c r="B265" t="s">
        <v>616</v>
      </c>
      <c r="C265" t="s">
        <v>462</v>
      </c>
      <c r="D265" s="32">
        <v>105582.3</v>
      </c>
      <c r="E265">
        <v>1246277600</v>
      </c>
      <c r="F265" s="28">
        <v>46202</v>
      </c>
      <c r="H265" t="s">
        <v>23</v>
      </c>
      <c r="I265" t="s">
        <v>24</v>
      </c>
      <c r="J265">
        <v>11573</v>
      </c>
      <c r="K265" s="28">
        <v>46174</v>
      </c>
      <c r="L265">
        <v>1010100</v>
      </c>
      <c r="M265" t="s">
        <v>29</v>
      </c>
      <c r="N265">
        <v>161</v>
      </c>
      <c r="O265" t="s">
        <v>145</v>
      </c>
      <c r="P265" t="s">
        <v>616</v>
      </c>
      <c r="Q265">
        <f t="shared" si="18"/>
        <v>-5</v>
      </c>
      <c r="R265" t="str">
        <f>_xlfn.XLOOKUP(P265,'Painel Additive'!$B:$B,'Painel Additive'!$B:$B,0)</f>
        <v>FERTGROW S.A</v>
      </c>
      <c r="S265">
        <f t="shared" si="19"/>
        <v>28</v>
      </c>
    </row>
    <row r="266" spans="1:19" x14ac:dyDescent="0.25">
      <c r="A266">
        <v>2011</v>
      </c>
      <c r="B266" t="s">
        <v>616</v>
      </c>
      <c r="C266" t="s">
        <v>462</v>
      </c>
      <c r="D266" s="32">
        <v>105229.3</v>
      </c>
      <c r="E266">
        <v>1246278427</v>
      </c>
      <c r="F266" s="28">
        <v>46207</v>
      </c>
      <c r="H266" t="s">
        <v>23</v>
      </c>
      <c r="I266" t="s">
        <v>24</v>
      </c>
      <c r="J266">
        <v>11628</v>
      </c>
      <c r="K266" s="28">
        <v>46179</v>
      </c>
      <c r="L266">
        <v>1010100</v>
      </c>
      <c r="M266" t="s">
        <v>29</v>
      </c>
      <c r="N266">
        <v>161</v>
      </c>
      <c r="O266" t="s">
        <v>145</v>
      </c>
      <c r="P266" t="s">
        <v>616</v>
      </c>
      <c r="Q266">
        <f t="shared" si="18"/>
        <v>-10</v>
      </c>
      <c r="R266" t="str">
        <f>_xlfn.XLOOKUP(P266,'Painel Additive'!$B:$B,'Painel Additive'!$B:$B,0)</f>
        <v>FERTGROW S.A</v>
      </c>
      <c r="S266">
        <f t="shared" si="19"/>
        <v>28</v>
      </c>
    </row>
    <row r="267" spans="1:19" x14ac:dyDescent="0.25">
      <c r="A267">
        <v>2011</v>
      </c>
      <c r="B267" t="s">
        <v>616</v>
      </c>
      <c r="C267" t="s">
        <v>462</v>
      </c>
      <c r="D267" s="32">
        <v>105547</v>
      </c>
      <c r="E267">
        <v>1246278413</v>
      </c>
      <c r="F267" s="28">
        <v>46206</v>
      </c>
      <c r="H267" t="s">
        <v>23</v>
      </c>
      <c r="I267" t="s">
        <v>24</v>
      </c>
      <c r="J267">
        <v>11622</v>
      </c>
      <c r="K267" s="28">
        <v>46178</v>
      </c>
      <c r="L267">
        <v>1010100</v>
      </c>
      <c r="M267" t="s">
        <v>29</v>
      </c>
      <c r="N267">
        <v>161</v>
      </c>
      <c r="O267" t="s">
        <v>145</v>
      </c>
      <c r="P267" t="s">
        <v>616</v>
      </c>
      <c r="Q267">
        <f t="shared" si="18"/>
        <v>-9</v>
      </c>
      <c r="R267" t="str">
        <f>_xlfn.XLOOKUP(P267,'Painel Additive'!$B:$B,'Painel Additive'!$B:$B,0)</f>
        <v>FERTGROW S.A</v>
      </c>
      <c r="S267">
        <f t="shared" si="19"/>
        <v>28</v>
      </c>
    </row>
    <row r="268" spans="1:19" x14ac:dyDescent="0.25">
      <c r="A268">
        <v>2011</v>
      </c>
      <c r="B268" t="s">
        <v>616</v>
      </c>
      <c r="C268" t="s">
        <v>462</v>
      </c>
      <c r="D268" s="32">
        <v>104876.3</v>
      </c>
      <c r="E268">
        <v>1246277476</v>
      </c>
      <c r="F268" s="28">
        <v>46199</v>
      </c>
      <c r="H268" t="s">
        <v>23</v>
      </c>
      <c r="I268" t="s">
        <v>24</v>
      </c>
      <c r="J268">
        <v>11558</v>
      </c>
      <c r="K268" s="28">
        <v>46171</v>
      </c>
      <c r="L268">
        <v>1010100</v>
      </c>
      <c r="M268" t="s">
        <v>29</v>
      </c>
      <c r="N268">
        <v>161</v>
      </c>
      <c r="O268" t="s">
        <v>145</v>
      </c>
      <c r="P268" t="s">
        <v>616</v>
      </c>
      <c r="Q268">
        <f t="shared" si="18"/>
        <v>-2</v>
      </c>
      <c r="R268" t="str">
        <f>_xlfn.XLOOKUP(P268,'Painel Additive'!$B:$B,'Painel Additive'!$B:$B,0)</f>
        <v>FERTGROW S.A</v>
      </c>
      <c r="S268">
        <f t="shared" si="19"/>
        <v>28</v>
      </c>
    </row>
    <row r="269" spans="1:19" x14ac:dyDescent="0.25">
      <c r="A269">
        <v>507</v>
      </c>
      <c r="B269" t="s">
        <v>42</v>
      </c>
      <c r="C269" t="s">
        <v>15622</v>
      </c>
      <c r="D269" s="32">
        <v>69596</v>
      </c>
      <c r="E269">
        <v>1246280476</v>
      </c>
      <c r="F269" s="28">
        <v>46223</v>
      </c>
      <c r="H269" t="s">
        <v>23</v>
      </c>
      <c r="I269" t="s">
        <v>24</v>
      </c>
      <c r="J269">
        <v>11787</v>
      </c>
      <c r="K269" s="28">
        <v>46195</v>
      </c>
      <c r="L269">
        <v>1010100</v>
      </c>
      <c r="M269" t="s">
        <v>29</v>
      </c>
      <c r="N269">
        <v>161</v>
      </c>
      <c r="O269" t="s">
        <v>145</v>
      </c>
      <c r="P269" t="s">
        <v>42</v>
      </c>
      <c r="Q269">
        <f t="shared" si="18"/>
        <v>-26</v>
      </c>
      <c r="R269" t="str">
        <f>_xlfn.XLOOKUP(P269,'Painel Additive'!$B:$B,'Painel Additive'!$B:$B,0)</f>
        <v>FERTIAL FERTILIZANTES USIFERTIL - MACEIO</v>
      </c>
      <c r="S269">
        <f t="shared" si="19"/>
        <v>28</v>
      </c>
    </row>
    <row r="270" spans="1:19" x14ac:dyDescent="0.25">
      <c r="A270">
        <v>2247</v>
      </c>
      <c r="B270" t="s">
        <v>425</v>
      </c>
      <c r="C270" t="s">
        <v>15615</v>
      </c>
      <c r="D270" s="32">
        <v>37660</v>
      </c>
      <c r="E270">
        <v>1246279269</v>
      </c>
      <c r="F270" s="28">
        <v>46212</v>
      </c>
      <c r="H270" t="s">
        <v>23</v>
      </c>
      <c r="I270" t="s">
        <v>24</v>
      </c>
      <c r="J270">
        <v>3010</v>
      </c>
      <c r="K270" s="28">
        <v>46184</v>
      </c>
      <c r="L270">
        <v>1010100</v>
      </c>
      <c r="M270" t="s">
        <v>29</v>
      </c>
      <c r="N270">
        <v>161</v>
      </c>
      <c r="O270" t="s">
        <v>145</v>
      </c>
      <c r="P270" t="s">
        <v>425</v>
      </c>
      <c r="Q270">
        <f t="shared" si="18"/>
        <v>-15</v>
      </c>
      <c r="R270" t="str">
        <f>_xlfn.XLOOKUP(P270,'Painel Additive'!$B:$B,'Painel Additive'!$B:$B,0)</f>
        <v>ADUBOS LEAO - LARANJEIRAS</v>
      </c>
      <c r="S270">
        <f t="shared" si="19"/>
        <v>28</v>
      </c>
    </row>
    <row r="271" spans="1:19" x14ac:dyDescent="0.25">
      <c r="A271">
        <v>3142</v>
      </c>
      <c r="B271" t="s">
        <v>78</v>
      </c>
      <c r="C271" t="s">
        <v>735</v>
      </c>
      <c r="D271" s="32">
        <v>83393.100000000006</v>
      </c>
      <c r="E271">
        <v>1246279113</v>
      </c>
      <c r="F271" s="28">
        <v>46211</v>
      </c>
      <c r="H271" t="s">
        <v>23</v>
      </c>
      <c r="I271" t="s">
        <v>24</v>
      </c>
      <c r="J271">
        <v>11675</v>
      </c>
      <c r="K271" s="28">
        <v>46183</v>
      </c>
      <c r="L271">
        <v>1010100</v>
      </c>
      <c r="M271" t="s">
        <v>29</v>
      </c>
      <c r="N271">
        <v>161</v>
      </c>
      <c r="O271" t="s">
        <v>145</v>
      </c>
      <c r="P271" t="s">
        <v>78</v>
      </c>
      <c r="Q271">
        <f t="shared" si="18"/>
        <v>-14</v>
      </c>
      <c r="R271" t="str">
        <f>_xlfn.XLOOKUP(P271,'Painel Additive'!$B:$B,'Painel Additive'!$B:$B,0)</f>
        <v>INTERFERTIL - SAO FRANCISCO DO SUL</v>
      </c>
      <c r="S271">
        <f t="shared" si="19"/>
        <v>28</v>
      </c>
    </row>
    <row r="272" spans="1:19" x14ac:dyDescent="0.25">
      <c r="A272">
        <v>2622</v>
      </c>
      <c r="B272" t="s">
        <v>73</v>
      </c>
      <c r="C272" t="s">
        <v>478</v>
      </c>
      <c r="D272" s="32">
        <v>382561.45</v>
      </c>
      <c r="E272">
        <v>1246274802</v>
      </c>
      <c r="F272" s="28">
        <v>46245</v>
      </c>
      <c r="H272" t="s">
        <v>23</v>
      </c>
      <c r="I272" t="s">
        <v>24</v>
      </c>
      <c r="J272">
        <v>2939</v>
      </c>
      <c r="K272" s="28">
        <v>46155</v>
      </c>
      <c r="L272">
        <v>1010100</v>
      </c>
      <c r="M272" t="s">
        <v>29</v>
      </c>
      <c r="N272">
        <v>161</v>
      </c>
      <c r="O272" t="s">
        <v>145</v>
      </c>
      <c r="P272" t="s">
        <v>73</v>
      </c>
      <c r="Q272">
        <f t="shared" si="18"/>
        <v>-48</v>
      </c>
      <c r="R272" t="str">
        <f>_xlfn.XLOOKUP(P272,'Painel Additive'!$B:$B,'Painel Additive'!$B:$B,0)</f>
        <v>ADUFERTIL JUNDIAI</v>
      </c>
      <c r="S272">
        <f t="shared" si="19"/>
        <v>90</v>
      </c>
    </row>
    <row r="273" spans="1:19" x14ac:dyDescent="0.25">
      <c r="A273">
        <v>2975</v>
      </c>
      <c r="B273" t="s">
        <v>420</v>
      </c>
      <c r="C273" t="s">
        <v>76</v>
      </c>
      <c r="D273" s="32">
        <v>61840.800000000003</v>
      </c>
      <c r="E273">
        <v>1246278376</v>
      </c>
      <c r="F273" s="28">
        <v>46206</v>
      </c>
      <c r="H273" t="s">
        <v>23</v>
      </c>
      <c r="I273" t="s">
        <v>24</v>
      </c>
      <c r="J273">
        <v>11611</v>
      </c>
      <c r="K273" s="28">
        <v>46178</v>
      </c>
      <c r="L273">
        <v>1010100</v>
      </c>
      <c r="M273" t="s">
        <v>29</v>
      </c>
      <c r="N273">
        <v>161</v>
      </c>
      <c r="O273" t="s">
        <v>145</v>
      </c>
      <c r="P273" t="s">
        <v>420</v>
      </c>
      <c r="Q273">
        <f t="shared" si="18"/>
        <v>-9</v>
      </c>
      <c r="R273" t="str">
        <f>_xlfn.XLOOKUP(P273,'Painel Additive'!$B:$B,'Painel Additive'!$B:$B,0)</f>
        <v>COONAGRO COOPERATIVA - PARANAGUA</v>
      </c>
      <c r="S273">
        <f t="shared" si="19"/>
        <v>28</v>
      </c>
    </row>
    <row r="274" spans="1:19" x14ac:dyDescent="0.25">
      <c r="A274">
        <v>2975</v>
      </c>
      <c r="B274" t="s">
        <v>420</v>
      </c>
      <c r="C274" t="s">
        <v>76</v>
      </c>
      <c r="D274" s="32">
        <v>79919.7</v>
      </c>
      <c r="E274">
        <v>1246280427</v>
      </c>
      <c r="F274" s="28">
        <v>46223</v>
      </c>
      <c r="H274" t="s">
        <v>23</v>
      </c>
      <c r="I274" t="s">
        <v>24</v>
      </c>
      <c r="J274">
        <v>11781</v>
      </c>
      <c r="K274" s="28">
        <v>46195</v>
      </c>
      <c r="L274">
        <v>1010100</v>
      </c>
      <c r="M274" t="s">
        <v>29</v>
      </c>
      <c r="N274">
        <v>161</v>
      </c>
      <c r="O274" t="s">
        <v>145</v>
      </c>
      <c r="P274" t="s">
        <v>420</v>
      </c>
      <c r="Q274">
        <f t="shared" si="18"/>
        <v>-26</v>
      </c>
      <c r="R274" t="str">
        <f>_xlfn.XLOOKUP(P274,'Painel Additive'!$B:$B,'Painel Additive'!$B:$B,0)</f>
        <v>COONAGRO COOPERATIVA - PARANAGUA</v>
      </c>
      <c r="S274">
        <f t="shared" si="19"/>
        <v>28</v>
      </c>
    </row>
    <row r="275" spans="1:19" x14ac:dyDescent="0.25">
      <c r="A275">
        <v>2975</v>
      </c>
      <c r="B275" t="s">
        <v>420</v>
      </c>
      <c r="C275" t="s">
        <v>76</v>
      </c>
      <c r="D275" s="32">
        <v>20069.7</v>
      </c>
      <c r="E275">
        <v>1246278383</v>
      </c>
      <c r="F275" s="28">
        <v>46206</v>
      </c>
      <c r="H275" t="s">
        <v>23</v>
      </c>
      <c r="I275" t="s">
        <v>24</v>
      </c>
      <c r="J275">
        <v>11614</v>
      </c>
      <c r="K275" s="28">
        <v>46178</v>
      </c>
      <c r="L275">
        <v>1010100</v>
      </c>
      <c r="M275" t="s">
        <v>29</v>
      </c>
      <c r="N275">
        <v>161</v>
      </c>
      <c r="O275" t="s">
        <v>145</v>
      </c>
      <c r="P275" t="s">
        <v>420</v>
      </c>
      <c r="Q275">
        <f t="shared" si="18"/>
        <v>-9</v>
      </c>
      <c r="R275" t="str">
        <f>_xlfn.XLOOKUP(P275,'Painel Additive'!$B:$B,'Painel Additive'!$B:$B,0)</f>
        <v>COONAGRO COOPERATIVA - PARANAGUA</v>
      </c>
      <c r="S275">
        <f t="shared" si="19"/>
        <v>28</v>
      </c>
    </row>
    <row r="276" spans="1:19" x14ac:dyDescent="0.25">
      <c r="A276">
        <v>2809</v>
      </c>
      <c r="B276" t="s">
        <v>159</v>
      </c>
      <c r="C276" t="s">
        <v>15616</v>
      </c>
      <c r="D276" s="32">
        <v>48336</v>
      </c>
      <c r="E276">
        <v>1246279479</v>
      </c>
      <c r="F276" s="28">
        <v>46216</v>
      </c>
      <c r="H276" t="s">
        <v>23</v>
      </c>
      <c r="I276" t="s">
        <v>24</v>
      </c>
      <c r="J276">
        <v>11706</v>
      </c>
      <c r="K276" s="28">
        <v>46188</v>
      </c>
      <c r="L276">
        <v>1010100</v>
      </c>
      <c r="M276" t="s">
        <v>29</v>
      </c>
      <c r="N276">
        <v>161</v>
      </c>
      <c r="O276" t="s">
        <v>145</v>
      </c>
      <c r="P276" t="s">
        <v>159</v>
      </c>
      <c r="Q276">
        <f t="shared" si="18"/>
        <v>-19</v>
      </c>
      <c r="R276" t="str">
        <f>_xlfn.XLOOKUP(P276,'Painel Additive'!$B:$B,'Painel Additive'!$B:$B,0)</f>
        <v>CISBRA QUIMICA - FORMOSA</v>
      </c>
      <c r="S276">
        <f t="shared" si="19"/>
        <v>28</v>
      </c>
    </row>
    <row r="277" spans="1:19" x14ac:dyDescent="0.25">
      <c r="A277">
        <v>5519</v>
      </c>
      <c r="B277" t="s">
        <v>272</v>
      </c>
      <c r="C277" t="s">
        <v>759</v>
      </c>
      <c r="D277" s="32">
        <v>45716.4</v>
      </c>
      <c r="E277">
        <v>1246275472</v>
      </c>
      <c r="F277" s="28">
        <v>46217</v>
      </c>
      <c r="H277" t="s">
        <v>23</v>
      </c>
      <c r="I277" t="s">
        <v>24</v>
      </c>
      <c r="J277">
        <v>11411</v>
      </c>
      <c r="K277" s="28">
        <v>46157</v>
      </c>
      <c r="L277">
        <v>1010100</v>
      </c>
      <c r="M277" t="s">
        <v>29</v>
      </c>
      <c r="N277">
        <v>161</v>
      </c>
      <c r="O277" t="s">
        <v>145</v>
      </c>
      <c r="P277" t="s">
        <v>272</v>
      </c>
      <c r="Q277">
        <f t="shared" si="18"/>
        <v>-20</v>
      </c>
      <c r="R277" t="str">
        <f>_xlfn.XLOOKUP(P277,'Painel Additive'!$B:$B,'Painel Additive'!$B:$B,0)</f>
        <v>GRANUPAR - RIO BRANCO DO SUL</v>
      </c>
      <c r="S277">
        <f t="shared" si="19"/>
        <v>60</v>
      </c>
    </row>
    <row r="278" spans="1:19" x14ac:dyDescent="0.25">
      <c r="A278">
        <v>5519</v>
      </c>
      <c r="B278" t="s">
        <v>272</v>
      </c>
      <c r="C278" t="s">
        <v>759</v>
      </c>
      <c r="D278" s="32">
        <v>59118</v>
      </c>
      <c r="E278">
        <v>1246280797</v>
      </c>
      <c r="F278" s="28">
        <v>46227</v>
      </c>
      <c r="H278" t="s">
        <v>23</v>
      </c>
      <c r="I278" t="s">
        <v>24</v>
      </c>
      <c r="J278">
        <v>11803</v>
      </c>
      <c r="K278" s="28">
        <v>46197</v>
      </c>
      <c r="L278">
        <v>1010100</v>
      </c>
      <c r="M278" t="s">
        <v>29</v>
      </c>
      <c r="N278">
        <v>161</v>
      </c>
      <c r="O278" t="s">
        <v>145</v>
      </c>
      <c r="P278" t="s">
        <v>272</v>
      </c>
      <c r="Q278">
        <f t="shared" si="18"/>
        <v>-30</v>
      </c>
      <c r="R278" t="str">
        <f>_xlfn.XLOOKUP(P278,'Painel Additive'!$B:$B,'Painel Additive'!$B:$B,0)</f>
        <v>GRANUPAR - RIO BRANCO DO SUL</v>
      </c>
      <c r="S278">
        <f t="shared" si="19"/>
        <v>30</v>
      </c>
    </row>
    <row r="279" spans="1:19" x14ac:dyDescent="0.25">
      <c r="A279">
        <v>5519</v>
      </c>
      <c r="B279" t="s">
        <v>272</v>
      </c>
      <c r="C279" t="s">
        <v>759</v>
      </c>
      <c r="D279" s="32">
        <v>59118</v>
      </c>
      <c r="E279">
        <v>1246280798</v>
      </c>
      <c r="F279" s="28">
        <v>46257</v>
      </c>
      <c r="H279" t="s">
        <v>23</v>
      </c>
      <c r="I279" t="s">
        <v>24</v>
      </c>
      <c r="J279">
        <v>11803</v>
      </c>
      <c r="K279" s="28">
        <v>46197</v>
      </c>
      <c r="L279">
        <v>1010100</v>
      </c>
      <c r="M279" t="s">
        <v>29</v>
      </c>
      <c r="N279">
        <v>161</v>
      </c>
      <c r="O279" t="s">
        <v>145</v>
      </c>
      <c r="P279" t="s">
        <v>272</v>
      </c>
      <c r="Q279">
        <f t="shared" si="18"/>
        <v>-60</v>
      </c>
      <c r="R279" t="str">
        <f>_xlfn.XLOOKUP(P279,'Painel Additive'!$B:$B,'Painel Additive'!$B:$B,0)</f>
        <v>GRANUPAR - RIO BRANCO DO SUL</v>
      </c>
      <c r="S279">
        <f t="shared" si="19"/>
        <v>60</v>
      </c>
    </row>
    <row r="280" spans="1:19" x14ac:dyDescent="0.25">
      <c r="A280">
        <v>6177</v>
      </c>
      <c r="B280" t="s">
        <v>633</v>
      </c>
      <c r="C280" t="s">
        <v>692</v>
      </c>
      <c r="D280" s="32">
        <v>122180</v>
      </c>
      <c r="E280">
        <v>1246273001</v>
      </c>
      <c r="F280" s="28">
        <v>46200</v>
      </c>
      <c r="H280" t="s">
        <v>23</v>
      </c>
      <c r="I280" t="s">
        <v>24</v>
      </c>
      <c r="J280">
        <v>11247</v>
      </c>
      <c r="K280" s="28">
        <v>46140</v>
      </c>
      <c r="L280">
        <v>1010100</v>
      </c>
      <c r="M280" t="s">
        <v>29</v>
      </c>
      <c r="N280">
        <v>161</v>
      </c>
      <c r="O280" t="s">
        <v>145</v>
      </c>
      <c r="P280" t="s">
        <v>633</v>
      </c>
      <c r="Q280">
        <f t="shared" si="18"/>
        <v>-3</v>
      </c>
      <c r="R280" t="str">
        <f>_xlfn.XLOOKUP(P280,'Painel Additive'!$B:$B,'Painel Additive'!$B:$B,0)</f>
        <v>NUTRIENTES IND DE FERTILIZANTES LTDA</v>
      </c>
      <c r="S280">
        <f t="shared" si="19"/>
        <v>60</v>
      </c>
    </row>
    <row r="281" spans="1:19" x14ac:dyDescent="0.25">
      <c r="A281">
        <v>5300</v>
      </c>
      <c r="B281" t="s">
        <v>25</v>
      </c>
      <c r="C281" t="s">
        <v>464</v>
      </c>
      <c r="D281" s="32">
        <v>172292.2</v>
      </c>
      <c r="E281">
        <v>1246279383</v>
      </c>
      <c r="F281" s="28">
        <v>46213</v>
      </c>
      <c r="H281" t="s">
        <v>23</v>
      </c>
      <c r="I281" t="s">
        <v>24</v>
      </c>
      <c r="J281">
        <v>11699</v>
      </c>
      <c r="K281" s="28">
        <v>46185</v>
      </c>
      <c r="L281">
        <v>1010100</v>
      </c>
      <c r="M281" t="s">
        <v>29</v>
      </c>
      <c r="N281">
        <v>161</v>
      </c>
      <c r="O281" t="s">
        <v>145</v>
      </c>
      <c r="P281" t="s">
        <v>25</v>
      </c>
      <c r="Q281">
        <f t="shared" si="18"/>
        <v>-16</v>
      </c>
      <c r="R281" t="str">
        <f>_xlfn.XLOOKUP(P281,'Painel Additive'!$B:$B,'Painel Additive'!$B:$B,0)</f>
        <v>FOSNOR - LUIS EDUARDO MAGALHAES</v>
      </c>
      <c r="S281">
        <f t="shared" si="19"/>
        <v>28</v>
      </c>
    </row>
    <row r="282" spans="1:19" x14ac:dyDescent="0.25">
      <c r="A282">
        <v>5300</v>
      </c>
      <c r="B282" t="s">
        <v>25</v>
      </c>
      <c r="C282" t="s">
        <v>464</v>
      </c>
      <c r="D282" s="32">
        <v>172926.9</v>
      </c>
      <c r="E282">
        <v>1246280812</v>
      </c>
      <c r="F282" s="28">
        <v>46225</v>
      </c>
      <c r="H282" t="s">
        <v>23</v>
      </c>
      <c r="I282" t="s">
        <v>24</v>
      </c>
      <c r="J282">
        <v>11804</v>
      </c>
      <c r="K282" s="28">
        <v>46197</v>
      </c>
      <c r="L282">
        <v>1010100</v>
      </c>
      <c r="M282" t="s">
        <v>29</v>
      </c>
      <c r="N282">
        <v>161</v>
      </c>
      <c r="O282" t="s">
        <v>145</v>
      </c>
      <c r="P282" t="s">
        <v>25</v>
      </c>
      <c r="Q282">
        <f t="shared" si="18"/>
        <v>-28</v>
      </c>
      <c r="R282" t="str">
        <f>_xlfn.XLOOKUP(P282,'Painel Additive'!$B:$B,'Painel Additive'!$B:$B,0)</f>
        <v>FOSNOR - LUIS EDUARDO MAGALHAES</v>
      </c>
      <c r="S282">
        <f t="shared" si="19"/>
        <v>28</v>
      </c>
    </row>
    <row r="283" spans="1:19" x14ac:dyDescent="0.25">
      <c r="A283">
        <v>5300</v>
      </c>
      <c r="B283" t="s">
        <v>25</v>
      </c>
      <c r="C283" t="s">
        <v>464</v>
      </c>
      <c r="D283" s="32">
        <v>174484.8</v>
      </c>
      <c r="E283">
        <v>1246278418</v>
      </c>
      <c r="F283" s="28">
        <v>46206</v>
      </c>
      <c r="H283" t="s">
        <v>23</v>
      </c>
      <c r="I283" t="s">
        <v>24</v>
      </c>
      <c r="J283">
        <v>11624</v>
      </c>
      <c r="K283" s="28">
        <v>46178</v>
      </c>
      <c r="L283">
        <v>1010100</v>
      </c>
      <c r="M283" t="s">
        <v>29</v>
      </c>
      <c r="N283">
        <v>161</v>
      </c>
      <c r="O283" t="s">
        <v>145</v>
      </c>
      <c r="P283" t="s">
        <v>25</v>
      </c>
      <c r="Q283">
        <f t="shared" si="18"/>
        <v>-9</v>
      </c>
      <c r="R283" t="str">
        <f>_xlfn.XLOOKUP(P283,'Painel Additive'!$B:$B,'Painel Additive'!$B:$B,0)</f>
        <v>FOSNOR - LUIS EDUARDO MAGALHAES</v>
      </c>
      <c r="S283">
        <f t="shared" si="19"/>
        <v>28</v>
      </c>
    </row>
    <row r="284" spans="1:19" x14ac:dyDescent="0.25">
      <c r="A284">
        <v>5300</v>
      </c>
      <c r="B284" t="s">
        <v>25</v>
      </c>
      <c r="C284" t="s">
        <v>464</v>
      </c>
      <c r="D284" s="32">
        <v>174023.2</v>
      </c>
      <c r="E284">
        <v>1246278685</v>
      </c>
      <c r="F284" s="28">
        <v>46210</v>
      </c>
      <c r="H284" t="s">
        <v>23</v>
      </c>
      <c r="I284" t="s">
        <v>24</v>
      </c>
      <c r="J284">
        <v>11651</v>
      </c>
      <c r="K284" s="28">
        <v>46182</v>
      </c>
      <c r="L284">
        <v>1010100</v>
      </c>
      <c r="M284" t="s">
        <v>29</v>
      </c>
      <c r="N284">
        <v>161</v>
      </c>
      <c r="O284" t="s">
        <v>145</v>
      </c>
      <c r="P284" t="s">
        <v>25</v>
      </c>
      <c r="Q284">
        <f t="shared" si="18"/>
        <v>-13</v>
      </c>
      <c r="R284" t="str">
        <f>_xlfn.XLOOKUP(P284,'Painel Additive'!$B:$B,'Painel Additive'!$B:$B,0)</f>
        <v>FOSNOR - LUIS EDUARDO MAGALHAES</v>
      </c>
      <c r="S284">
        <f t="shared" si="19"/>
        <v>28</v>
      </c>
    </row>
    <row r="285" spans="1:19" x14ac:dyDescent="0.25">
      <c r="A285">
        <v>4575</v>
      </c>
      <c r="B285" t="s">
        <v>80</v>
      </c>
      <c r="C285" t="s">
        <v>81</v>
      </c>
      <c r="D285" s="32">
        <v>20940</v>
      </c>
      <c r="E285">
        <v>1246113043</v>
      </c>
      <c r="F285" s="28">
        <v>45311</v>
      </c>
      <c r="H285" t="s">
        <v>23</v>
      </c>
      <c r="I285" t="s">
        <v>24</v>
      </c>
      <c r="J285">
        <v>1821</v>
      </c>
      <c r="K285" s="28">
        <v>45233</v>
      </c>
      <c r="L285">
        <v>1010100</v>
      </c>
      <c r="M285" t="s">
        <v>29</v>
      </c>
      <c r="N285">
        <v>161</v>
      </c>
      <c r="O285" t="s">
        <v>145</v>
      </c>
      <c r="P285" t="s">
        <v>80</v>
      </c>
      <c r="Q285">
        <f t="shared" si="18"/>
        <v>886</v>
      </c>
      <c r="R285" t="str">
        <f>_xlfn.XLOOKUP(P285,'Painel Additive'!$B:$B,'Painel Additive'!$B:$B,0)</f>
        <v>GLINFERTIL - SAO FRANCISCO DO SUL</v>
      </c>
      <c r="S285">
        <f t="shared" si="19"/>
        <v>78</v>
      </c>
    </row>
    <row r="286" spans="1:19" x14ac:dyDescent="0.25">
      <c r="A286">
        <v>4577</v>
      </c>
      <c r="B286" t="s">
        <v>224</v>
      </c>
      <c r="C286" t="s">
        <v>15611</v>
      </c>
      <c r="D286" s="32">
        <v>65758</v>
      </c>
      <c r="E286">
        <v>1246277819</v>
      </c>
      <c r="F286" s="28">
        <v>46203</v>
      </c>
      <c r="H286" t="s">
        <v>23</v>
      </c>
      <c r="I286" t="s">
        <v>24</v>
      </c>
      <c r="J286">
        <v>11579</v>
      </c>
      <c r="K286" s="28">
        <v>46175</v>
      </c>
      <c r="L286">
        <v>1010100</v>
      </c>
      <c r="M286" t="s">
        <v>29</v>
      </c>
      <c r="N286">
        <v>161</v>
      </c>
      <c r="O286" t="s">
        <v>145</v>
      </c>
      <c r="P286" t="s">
        <v>224</v>
      </c>
      <c r="Q286">
        <f t="shared" si="18"/>
        <v>-6</v>
      </c>
      <c r="R286" t="str">
        <f>_xlfn.XLOOKUP(P286,'Painel Additive'!$B:$B,'Painel Additive'!$B:$B,0)</f>
        <v>MICROSOLO INDUSTRIAL - SETE LAGOAS</v>
      </c>
      <c r="S286">
        <f t="shared" si="19"/>
        <v>28</v>
      </c>
    </row>
    <row r="287" spans="1:19" x14ac:dyDescent="0.25">
      <c r="A287">
        <v>5657</v>
      </c>
      <c r="B287" t="s">
        <v>84</v>
      </c>
      <c r="C287" t="s">
        <v>15401</v>
      </c>
      <c r="D287" s="32">
        <v>31780</v>
      </c>
      <c r="E287">
        <v>1246280515</v>
      </c>
      <c r="F287" s="28">
        <v>46224</v>
      </c>
      <c r="H287" t="s">
        <v>23</v>
      </c>
      <c r="I287" t="s">
        <v>24</v>
      </c>
      <c r="J287">
        <v>3025</v>
      </c>
      <c r="K287" s="28">
        <v>46196</v>
      </c>
      <c r="L287">
        <v>1010100</v>
      </c>
      <c r="M287" t="s">
        <v>29</v>
      </c>
      <c r="N287">
        <v>161</v>
      </c>
      <c r="O287" t="s">
        <v>145</v>
      </c>
      <c r="P287" t="s">
        <v>84</v>
      </c>
      <c r="Q287">
        <f t="shared" ref="Q287:Q294" si="20">$R$1-F287</f>
        <v>-27</v>
      </c>
      <c r="R287" t="str">
        <f>_xlfn.XLOOKUP(P287,'Painel Additive'!$B:$B,'Painel Additive'!$B:$B,0)</f>
        <v>FERTIPLANTA - VARGEM GRANDE DO SUL</v>
      </c>
      <c r="S287">
        <f t="shared" ref="S287:S294" si="21">F287-K287</f>
        <v>28</v>
      </c>
    </row>
    <row r="288" spans="1:19" x14ac:dyDescent="0.25">
      <c r="A288">
        <v>5657</v>
      </c>
      <c r="B288" t="s">
        <v>84</v>
      </c>
      <c r="C288" t="s">
        <v>15401</v>
      </c>
      <c r="D288" s="32">
        <v>18100</v>
      </c>
      <c r="E288">
        <v>1246280550</v>
      </c>
      <c r="F288" s="28">
        <v>46224</v>
      </c>
      <c r="H288" t="s">
        <v>23</v>
      </c>
      <c r="I288" t="s">
        <v>24</v>
      </c>
      <c r="J288">
        <v>11792</v>
      </c>
      <c r="K288" s="28">
        <v>46196</v>
      </c>
      <c r="L288">
        <v>1010100</v>
      </c>
      <c r="M288" t="s">
        <v>29</v>
      </c>
      <c r="N288">
        <v>161</v>
      </c>
      <c r="O288" t="s">
        <v>145</v>
      </c>
      <c r="P288" t="s">
        <v>84</v>
      </c>
      <c r="Q288">
        <f t="shared" si="20"/>
        <v>-27</v>
      </c>
      <c r="R288" t="str">
        <f>_xlfn.XLOOKUP(P288,'Painel Additive'!$B:$B,'Painel Additive'!$B:$B,0)</f>
        <v>FERTIPLANTA - VARGEM GRANDE DO SUL</v>
      </c>
      <c r="S288">
        <f t="shared" si="21"/>
        <v>28</v>
      </c>
    </row>
    <row r="289" spans="1:19" x14ac:dyDescent="0.25">
      <c r="A289">
        <v>7022</v>
      </c>
      <c r="B289" t="s">
        <v>15419</v>
      </c>
      <c r="C289" t="s">
        <v>90</v>
      </c>
      <c r="D289" s="32">
        <v>71224.800000000003</v>
      </c>
      <c r="E289">
        <v>1246280421</v>
      </c>
      <c r="F289" s="28">
        <v>46285</v>
      </c>
      <c r="H289" t="s">
        <v>23</v>
      </c>
      <c r="I289" t="s">
        <v>24</v>
      </c>
      <c r="J289">
        <v>11778</v>
      </c>
      <c r="K289" s="28">
        <v>46195</v>
      </c>
      <c r="L289">
        <v>1010100</v>
      </c>
      <c r="M289" t="s">
        <v>29</v>
      </c>
      <c r="N289">
        <v>161</v>
      </c>
      <c r="O289" t="s">
        <v>145</v>
      </c>
      <c r="P289" t="s">
        <v>15419</v>
      </c>
      <c r="Q289">
        <f t="shared" si="20"/>
        <v>-88</v>
      </c>
      <c r="R289" t="str">
        <f>_xlfn.XLOOKUP(P289,'Painel Additive'!$B:$B,'Painel Additive'!$B:$B,0)</f>
        <v>STRATOS - ROSARIO DO CATETE</v>
      </c>
      <c r="S289">
        <f t="shared" si="21"/>
        <v>90</v>
      </c>
    </row>
    <row r="290" spans="1:19" x14ac:dyDescent="0.25">
      <c r="A290">
        <v>7022</v>
      </c>
      <c r="B290" t="s">
        <v>15419</v>
      </c>
      <c r="C290" t="s">
        <v>90</v>
      </c>
      <c r="D290" s="32">
        <v>70540.399999999994</v>
      </c>
      <c r="E290">
        <v>1246275322</v>
      </c>
      <c r="F290" s="28">
        <v>46247</v>
      </c>
      <c r="H290" t="s">
        <v>23</v>
      </c>
      <c r="I290" t="s">
        <v>24</v>
      </c>
      <c r="J290">
        <v>11403</v>
      </c>
      <c r="K290" s="28">
        <v>46157</v>
      </c>
      <c r="L290">
        <v>1010100</v>
      </c>
      <c r="M290" t="s">
        <v>29</v>
      </c>
      <c r="N290">
        <v>161</v>
      </c>
      <c r="O290" t="s">
        <v>145</v>
      </c>
      <c r="P290" t="s">
        <v>15419</v>
      </c>
      <c r="Q290">
        <f t="shared" si="20"/>
        <v>-50</v>
      </c>
      <c r="R290" t="str">
        <f>_xlfn.XLOOKUP(P290,'Painel Additive'!$B:$B,'Painel Additive'!$B:$B,0)</f>
        <v>STRATOS - ROSARIO DO CATETE</v>
      </c>
      <c r="S290">
        <f t="shared" si="21"/>
        <v>90</v>
      </c>
    </row>
    <row r="291" spans="1:19" x14ac:dyDescent="0.25">
      <c r="A291">
        <v>7022</v>
      </c>
      <c r="B291" t="s">
        <v>15419</v>
      </c>
      <c r="C291" t="s">
        <v>90</v>
      </c>
      <c r="D291" s="32">
        <v>70776.399999999994</v>
      </c>
      <c r="E291">
        <v>1246276033</v>
      </c>
      <c r="F291" s="28">
        <v>46253</v>
      </c>
      <c r="H291" t="s">
        <v>23</v>
      </c>
      <c r="I291" t="s">
        <v>24</v>
      </c>
      <c r="J291">
        <v>11461</v>
      </c>
      <c r="K291" s="28">
        <v>46163</v>
      </c>
      <c r="L291">
        <v>1010100</v>
      </c>
      <c r="M291" t="s">
        <v>29</v>
      </c>
      <c r="N291">
        <v>161</v>
      </c>
      <c r="O291" t="s">
        <v>145</v>
      </c>
      <c r="P291" t="s">
        <v>15419</v>
      </c>
      <c r="Q291">
        <f t="shared" si="20"/>
        <v>-56</v>
      </c>
      <c r="R291" t="str">
        <f>_xlfn.XLOOKUP(P291,'Painel Additive'!$B:$B,'Painel Additive'!$B:$B,0)</f>
        <v>STRATOS - ROSARIO DO CATETE</v>
      </c>
      <c r="S291">
        <f t="shared" si="21"/>
        <v>90</v>
      </c>
    </row>
    <row r="292" spans="1:19" x14ac:dyDescent="0.25">
      <c r="A292">
        <v>7022</v>
      </c>
      <c r="B292" t="s">
        <v>15419</v>
      </c>
      <c r="C292" t="s">
        <v>90</v>
      </c>
      <c r="D292" s="32">
        <v>70800</v>
      </c>
      <c r="E292">
        <v>1246279372</v>
      </c>
      <c r="F292" s="28">
        <v>46275</v>
      </c>
      <c r="H292" t="s">
        <v>23</v>
      </c>
      <c r="I292" t="s">
        <v>24</v>
      </c>
      <c r="J292">
        <v>11695</v>
      </c>
      <c r="K292" s="28">
        <v>46185</v>
      </c>
      <c r="L292">
        <v>1010100</v>
      </c>
      <c r="M292" t="s">
        <v>29</v>
      </c>
      <c r="N292">
        <v>161</v>
      </c>
      <c r="O292" t="s">
        <v>145</v>
      </c>
      <c r="P292" t="s">
        <v>15419</v>
      </c>
      <c r="Q292">
        <f t="shared" si="20"/>
        <v>-78</v>
      </c>
      <c r="R292" t="str">
        <f>_xlfn.XLOOKUP(P292,'Painel Additive'!$B:$B,'Painel Additive'!$B:$B,0)</f>
        <v>STRATOS - ROSARIO DO CATETE</v>
      </c>
      <c r="S292">
        <f t="shared" si="21"/>
        <v>90</v>
      </c>
    </row>
    <row r="293" spans="1:19" x14ac:dyDescent="0.25">
      <c r="A293">
        <v>7022</v>
      </c>
      <c r="B293" t="s">
        <v>15419</v>
      </c>
      <c r="C293" t="s">
        <v>90</v>
      </c>
      <c r="D293" s="32">
        <v>71177.600000000006</v>
      </c>
      <c r="E293">
        <v>1246280091</v>
      </c>
      <c r="F293" s="28">
        <v>46281</v>
      </c>
      <c r="H293" t="s">
        <v>23</v>
      </c>
      <c r="I293" t="s">
        <v>24</v>
      </c>
      <c r="J293">
        <v>11746</v>
      </c>
      <c r="K293" s="28">
        <v>46191</v>
      </c>
      <c r="L293">
        <v>1010100</v>
      </c>
      <c r="M293" t="s">
        <v>29</v>
      </c>
      <c r="N293">
        <v>161</v>
      </c>
      <c r="O293" t="s">
        <v>145</v>
      </c>
      <c r="P293" t="s">
        <v>15419</v>
      </c>
      <c r="Q293">
        <f t="shared" si="20"/>
        <v>-84</v>
      </c>
      <c r="R293" t="str">
        <f>_xlfn.XLOOKUP(P293,'Painel Additive'!$B:$B,'Painel Additive'!$B:$B,0)</f>
        <v>STRATOS - ROSARIO DO CATETE</v>
      </c>
      <c r="S293">
        <f t="shared" si="21"/>
        <v>90</v>
      </c>
    </row>
    <row r="294" spans="1:19" x14ac:dyDescent="0.25">
      <c r="A294">
        <v>7022</v>
      </c>
      <c r="B294" t="s">
        <v>15419</v>
      </c>
      <c r="C294" t="s">
        <v>90</v>
      </c>
      <c r="D294" s="32">
        <v>71862</v>
      </c>
      <c r="E294">
        <v>1246276474</v>
      </c>
      <c r="F294" s="28">
        <v>46257</v>
      </c>
      <c r="H294" t="s">
        <v>23</v>
      </c>
      <c r="I294" t="s">
        <v>24</v>
      </c>
      <c r="J294">
        <v>11485</v>
      </c>
      <c r="K294" s="28">
        <v>46167</v>
      </c>
      <c r="L294">
        <v>1010100</v>
      </c>
      <c r="M294" t="s">
        <v>29</v>
      </c>
      <c r="N294">
        <v>161</v>
      </c>
      <c r="O294" t="s">
        <v>145</v>
      </c>
      <c r="P294" t="s">
        <v>15419</v>
      </c>
      <c r="Q294">
        <f t="shared" si="20"/>
        <v>-60</v>
      </c>
      <c r="R294" t="str">
        <f>_xlfn.XLOOKUP(P294,'Painel Additive'!$B:$B,'Painel Additive'!$B:$B,0)</f>
        <v>STRATOS - ROSARIO DO CATETE</v>
      </c>
      <c r="S294">
        <f t="shared" si="21"/>
        <v>90</v>
      </c>
    </row>
    <row r="295" spans="1:19" x14ac:dyDescent="0.25">
      <c r="A295">
        <v>7022</v>
      </c>
      <c r="B295" t="s">
        <v>15419</v>
      </c>
      <c r="C295" t="s">
        <v>90</v>
      </c>
      <c r="D295" s="32">
        <v>71154</v>
      </c>
      <c r="E295">
        <v>1246278604</v>
      </c>
      <c r="F295" s="28">
        <v>46271</v>
      </c>
      <c r="H295" t="s">
        <v>23</v>
      </c>
      <c r="I295" t="s">
        <v>24</v>
      </c>
      <c r="J295">
        <v>11645</v>
      </c>
      <c r="K295" s="28">
        <v>46181</v>
      </c>
      <c r="L295">
        <v>1010100</v>
      </c>
      <c r="M295" t="s">
        <v>29</v>
      </c>
      <c r="N295">
        <v>161</v>
      </c>
      <c r="O295" t="s">
        <v>145</v>
      </c>
      <c r="P295" t="s">
        <v>15419</v>
      </c>
      <c r="Q295">
        <f t="shared" ref="Q295:Q296" si="22">$R$1-F295</f>
        <v>-74</v>
      </c>
      <c r="R295" t="str">
        <f>_xlfn.XLOOKUP(P295,'Painel Additive'!$B:$B,'Painel Additive'!$B:$B,0)</f>
        <v>STRATOS - ROSARIO DO CATETE</v>
      </c>
      <c r="S295">
        <f t="shared" ref="S295:S296" si="23">F295-K295</f>
        <v>90</v>
      </c>
    </row>
    <row r="296" spans="1:19" x14ac:dyDescent="0.25">
      <c r="A296">
        <v>7022</v>
      </c>
      <c r="B296" t="s">
        <v>15419</v>
      </c>
      <c r="C296" t="s">
        <v>90</v>
      </c>
      <c r="D296" s="32">
        <v>70587.600000000006</v>
      </c>
      <c r="E296">
        <v>1246274256</v>
      </c>
      <c r="F296" s="28">
        <v>46243</v>
      </c>
      <c r="H296" t="s">
        <v>23</v>
      </c>
      <c r="I296" t="s">
        <v>24</v>
      </c>
      <c r="J296">
        <v>11338</v>
      </c>
      <c r="K296" s="28">
        <v>46153</v>
      </c>
      <c r="L296">
        <v>1010100</v>
      </c>
      <c r="M296" t="s">
        <v>29</v>
      </c>
      <c r="N296">
        <v>161</v>
      </c>
      <c r="O296" t="s">
        <v>145</v>
      </c>
      <c r="P296" t="s">
        <v>15419</v>
      </c>
      <c r="Q296">
        <f t="shared" si="22"/>
        <v>-46</v>
      </c>
      <c r="R296" t="str">
        <f>_xlfn.XLOOKUP(P296,'Painel Additive'!$B:$B,'Painel Additive'!$B:$B,0)</f>
        <v>STRATOS - ROSARIO DO CATETE</v>
      </c>
      <c r="S296">
        <f t="shared" si="23"/>
        <v>90</v>
      </c>
    </row>
    <row r="297" spans="1:19" x14ac:dyDescent="0.25">
      <c r="A297">
        <v>7022</v>
      </c>
      <c r="B297" t="s">
        <v>15419</v>
      </c>
      <c r="C297" t="s">
        <v>90</v>
      </c>
      <c r="D297" s="32">
        <v>71909.2</v>
      </c>
      <c r="E297">
        <v>1246273912</v>
      </c>
      <c r="F297" s="28">
        <v>46239</v>
      </c>
      <c r="H297" t="s">
        <v>23</v>
      </c>
      <c r="I297" t="s">
        <v>24</v>
      </c>
      <c r="J297">
        <v>11322</v>
      </c>
      <c r="K297" s="28">
        <v>46149</v>
      </c>
      <c r="L297">
        <v>1010100</v>
      </c>
      <c r="M297" t="s">
        <v>29</v>
      </c>
      <c r="N297">
        <v>161</v>
      </c>
      <c r="O297" t="s">
        <v>145</v>
      </c>
      <c r="P297" t="s">
        <v>15419</v>
      </c>
      <c r="Q297">
        <f t="shared" ref="Q297:Q303" si="24">$R$1-F297</f>
        <v>-42</v>
      </c>
      <c r="R297" t="str">
        <f>_xlfn.XLOOKUP(P297,'Painel Additive'!$B:$B,'Painel Additive'!$B:$B,0)</f>
        <v>STRATOS - ROSARIO DO CATETE</v>
      </c>
      <c r="S297">
        <f t="shared" ref="S297:S303" si="25">F297-K297</f>
        <v>90</v>
      </c>
    </row>
    <row r="298" spans="1:19" x14ac:dyDescent="0.25">
      <c r="A298">
        <v>7022</v>
      </c>
      <c r="B298" t="s">
        <v>15419</v>
      </c>
      <c r="C298" t="s">
        <v>90</v>
      </c>
      <c r="D298" s="32">
        <v>70847.199999999997</v>
      </c>
      <c r="E298">
        <v>1246278023</v>
      </c>
      <c r="F298" s="28">
        <v>46266</v>
      </c>
      <c r="H298" t="s">
        <v>23</v>
      </c>
      <c r="I298" t="s">
        <v>24</v>
      </c>
      <c r="J298">
        <v>11588</v>
      </c>
      <c r="K298" s="28">
        <v>46176</v>
      </c>
      <c r="L298">
        <v>1010100</v>
      </c>
      <c r="M298" t="s">
        <v>29</v>
      </c>
      <c r="N298">
        <v>161</v>
      </c>
      <c r="O298" t="s">
        <v>145</v>
      </c>
      <c r="P298" t="s">
        <v>15419</v>
      </c>
      <c r="Q298">
        <f t="shared" si="24"/>
        <v>-69</v>
      </c>
      <c r="R298" t="str">
        <f>_xlfn.XLOOKUP(P298,'Painel Additive'!$B:$B,'Painel Additive'!$B:$B,0)</f>
        <v>STRATOS - ROSARIO DO CATETE</v>
      </c>
      <c r="S298">
        <f t="shared" si="25"/>
        <v>90</v>
      </c>
    </row>
    <row r="299" spans="1:19" x14ac:dyDescent="0.25">
      <c r="A299">
        <v>12943</v>
      </c>
      <c r="B299" t="s">
        <v>263</v>
      </c>
      <c r="C299" t="s">
        <v>348</v>
      </c>
      <c r="D299" s="32">
        <v>82290</v>
      </c>
      <c r="E299">
        <v>1246187828</v>
      </c>
      <c r="F299" s="28">
        <v>45667</v>
      </c>
      <c r="H299" t="s">
        <v>23</v>
      </c>
      <c r="I299" t="s">
        <v>24</v>
      </c>
      <c r="J299">
        <v>1585</v>
      </c>
      <c r="K299" s="28">
        <v>45639</v>
      </c>
      <c r="L299">
        <v>1010100</v>
      </c>
      <c r="M299" t="s">
        <v>29</v>
      </c>
      <c r="N299">
        <v>161</v>
      </c>
      <c r="O299" t="s">
        <v>145</v>
      </c>
      <c r="P299" t="s">
        <v>263</v>
      </c>
      <c r="Q299">
        <f t="shared" si="24"/>
        <v>530</v>
      </c>
      <c r="R299" t="str">
        <f>_xlfn.XLOOKUP(P299,'Painel Additive'!$B:$B,'Painel Additive'!$B:$B,0)</f>
        <v>ITERUM - RONDONOPOLIS</v>
      </c>
      <c r="S299">
        <f t="shared" si="25"/>
        <v>28</v>
      </c>
    </row>
    <row r="300" spans="1:19" x14ac:dyDescent="0.25">
      <c r="A300">
        <v>12943</v>
      </c>
      <c r="B300" t="s">
        <v>263</v>
      </c>
      <c r="C300" t="s">
        <v>348</v>
      </c>
      <c r="D300" s="32">
        <v>82290</v>
      </c>
      <c r="E300">
        <v>1246187829</v>
      </c>
      <c r="F300" s="28">
        <v>45695</v>
      </c>
      <c r="H300" t="s">
        <v>23</v>
      </c>
      <c r="I300" t="s">
        <v>24</v>
      </c>
      <c r="J300">
        <v>1585</v>
      </c>
      <c r="K300" s="28">
        <v>45639</v>
      </c>
      <c r="L300">
        <v>1010100</v>
      </c>
      <c r="M300" t="s">
        <v>29</v>
      </c>
      <c r="N300">
        <v>161</v>
      </c>
      <c r="O300" t="s">
        <v>145</v>
      </c>
      <c r="P300" t="s">
        <v>263</v>
      </c>
      <c r="Q300">
        <f t="shared" si="24"/>
        <v>502</v>
      </c>
      <c r="R300" t="str">
        <f>_xlfn.XLOOKUP(P300,'Painel Additive'!$B:$B,'Painel Additive'!$B:$B,0)</f>
        <v>ITERUM - RONDONOPOLIS</v>
      </c>
      <c r="S300">
        <f t="shared" si="25"/>
        <v>56</v>
      </c>
    </row>
    <row r="301" spans="1:19" x14ac:dyDescent="0.25">
      <c r="A301">
        <v>12943</v>
      </c>
      <c r="B301" t="s">
        <v>263</v>
      </c>
      <c r="C301" t="s">
        <v>348</v>
      </c>
      <c r="D301" s="32">
        <v>49170</v>
      </c>
      <c r="E301">
        <v>1246183176</v>
      </c>
      <c r="F301" s="28">
        <v>45642</v>
      </c>
      <c r="H301" t="s">
        <v>23</v>
      </c>
      <c r="I301" t="s">
        <v>24</v>
      </c>
      <c r="J301">
        <v>6129</v>
      </c>
      <c r="K301" s="28">
        <v>45614</v>
      </c>
      <c r="L301">
        <v>1010100</v>
      </c>
      <c r="M301" t="s">
        <v>29</v>
      </c>
      <c r="N301">
        <v>161</v>
      </c>
      <c r="O301" t="s">
        <v>145</v>
      </c>
      <c r="P301" t="s">
        <v>263</v>
      </c>
      <c r="Q301">
        <f t="shared" si="24"/>
        <v>555</v>
      </c>
      <c r="R301" t="str">
        <f>_xlfn.XLOOKUP(P301,'Painel Additive'!$B:$B,'Painel Additive'!$B:$B,0)</f>
        <v>ITERUM - RONDONOPOLIS</v>
      </c>
      <c r="S301">
        <f t="shared" si="25"/>
        <v>28</v>
      </c>
    </row>
    <row r="302" spans="1:19" x14ac:dyDescent="0.25">
      <c r="A302">
        <v>12629</v>
      </c>
      <c r="B302" t="s">
        <v>109</v>
      </c>
      <c r="C302" t="s">
        <v>406</v>
      </c>
      <c r="D302" s="32">
        <v>161488.20000000001</v>
      </c>
      <c r="E302">
        <v>1246275947</v>
      </c>
      <c r="F302" s="28">
        <v>46222</v>
      </c>
      <c r="H302" t="s">
        <v>23</v>
      </c>
      <c r="I302" t="s">
        <v>24</v>
      </c>
      <c r="J302">
        <v>11452</v>
      </c>
      <c r="K302" s="28">
        <v>46162</v>
      </c>
      <c r="L302">
        <v>1010100</v>
      </c>
      <c r="M302" t="s">
        <v>29</v>
      </c>
      <c r="N302">
        <v>161</v>
      </c>
      <c r="O302" t="s">
        <v>145</v>
      </c>
      <c r="P302" t="s">
        <v>109</v>
      </c>
      <c r="Q302">
        <f t="shared" si="24"/>
        <v>-25</v>
      </c>
      <c r="R302" t="str">
        <f>_xlfn.XLOOKUP(P302,'Painel Additive'!$B:$B,'Painel Additive'!$B:$B,0)</f>
        <v>EUROCHEM SERRA DO SALITRE</v>
      </c>
      <c r="S302">
        <f t="shared" si="25"/>
        <v>60</v>
      </c>
    </row>
    <row r="303" spans="1:19" x14ac:dyDescent="0.25">
      <c r="A303">
        <v>12629</v>
      </c>
      <c r="B303" t="s">
        <v>109</v>
      </c>
      <c r="C303" t="s">
        <v>406</v>
      </c>
      <c r="D303" s="32">
        <v>171957.9</v>
      </c>
      <c r="E303">
        <v>1246278080</v>
      </c>
      <c r="F303" s="28">
        <v>46236</v>
      </c>
      <c r="H303" t="s">
        <v>23</v>
      </c>
      <c r="I303" t="s">
        <v>24</v>
      </c>
      <c r="J303">
        <v>11589</v>
      </c>
      <c r="K303" s="28">
        <v>46176</v>
      </c>
      <c r="L303">
        <v>1010100</v>
      </c>
      <c r="M303" t="s">
        <v>29</v>
      </c>
      <c r="N303">
        <v>161</v>
      </c>
      <c r="O303" t="s">
        <v>145</v>
      </c>
      <c r="P303" t="s">
        <v>109</v>
      </c>
      <c r="Q303">
        <f t="shared" si="24"/>
        <v>-39</v>
      </c>
      <c r="R303" t="str">
        <f>_xlfn.XLOOKUP(P303,'Painel Additive'!$B:$B,'Painel Additive'!$B:$B,0)</f>
        <v>EUROCHEM SERRA DO SALITRE</v>
      </c>
      <c r="S303">
        <f t="shared" si="25"/>
        <v>60</v>
      </c>
    </row>
    <row r="304" spans="1:19" x14ac:dyDescent="0.25">
      <c r="A304">
        <v>12629</v>
      </c>
      <c r="B304" t="s">
        <v>109</v>
      </c>
      <c r="C304" t="s">
        <v>406</v>
      </c>
      <c r="D304" s="32">
        <v>185285.1</v>
      </c>
      <c r="E304">
        <v>1246279025</v>
      </c>
      <c r="F304" s="28">
        <v>46243</v>
      </c>
      <c r="H304" t="s">
        <v>23</v>
      </c>
      <c r="I304" t="s">
        <v>24</v>
      </c>
      <c r="J304">
        <v>11671</v>
      </c>
      <c r="K304" s="28">
        <v>46183</v>
      </c>
      <c r="L304">
        <v>1010100</v>
      </c>
      <c r="M304" t="s">
        <v>29</v>
      </c>
      <c r="N304">
        <v>161</v>
      </c>
      <c r="O304" t="s">
        <v>145</v>
      </c>
      <c r="P304" t="s">
        <v>109</v>
      </c>
      <c r="Q304">
        <f t="shared" ref="Q304:Q318" si="26">$R$1-F304</f>
        <v>-46</v>
      </c>
      <c r="R304" t="str">
        <f>_xlfn.XLOOKUP(P304,'Painel Additive'!$B:$B,'Painel Additive'!$B:$B,0)</f>
        <v>EUROCHEM SERRA DO SALITRE</v>
      </c>
      <c r="S304">
        <f t="shared" ref="S304:S318" si="27">F304-K304</f>
        <v>60</v>
      </c>
    </row>
    <row r="305" spans="1:19" x14ac:dyDescent="0.25">
      <c r="A305">
        <v>12629</v>
      </c>
      <c r="B305" t="s">
        <v>109</v>
      </c>
      <c r="C305" t="s">
        <v>406</v>
      </c>
      <c r="D305" s="32">
        <v>173685.50000000003</v>
      </c>
      <c r="E305">
        <v>1246276919</v>
      </c>
      <c r="F305" s="28">
        <v>46228</v>
      </c>
      <c r="H305" t="s">
        <v>23</v>
      </c>
      <c r="I305" t="s">
        <v>24</v>
      </c>
      <c r="J305">
        <v>11501</v>
      </c>
      <c r="K305" s="28">
        <v>46168</v>
      </c>
      <c r="L305">
        <v>1010100</v>
      </c>
      <c r="M305" t="s">
        <v>29</v>
      </c>
      <c r="N305">
        <v>161</v>
      </c>
      <c r="O305" t="s">
        <v>145</v>
      </c>
      <c r="P305" t="s">
        <v>109</v>
      </c>
      <c r="Q305">
        <f t="shared" si="26"/>
        <v>-31</v>
      </c>
      <c r="R305" t="str">
        <f>_xlfn.XLOOKUP(P305,'Painel Additive'!$B:$B,'Painel Additive'!$B:$B,0)</f>
        <v>EUROCHEM SERRA DO SALITRE</v>
      </c>
      <c r="S305">
        <f t="shared" si="27"/>
        <v>60</v>
      </c>
    </row>
    <row r="306" spans="1:19" x14ac:dyDescent="0.25">
      <c r="A306">
        <v>12629</v>
      </c>
      <c r="B306" t="s">
        <v>109</v>
      </c>
      <c r="C306" t="s">
        <v>406</v>
      </c>
      <c r="D306" s="32">
        <v>186642.49999999997</v>
      </c>
      <c r="E306">
        <v>1246280415</v>
      </c>
      <c r="F306" s="28">
        <v>46255</v>
      </c>
      <c r="H306" t="s">
        <v>23</v>
      </c>
      <c r="I306" t="s">
        <v>24</v>
      </c>
      <c r="J306">
        <v>11776</v>
      </c>
      <c r="K306" s="28">
        <v>46195</v>
      </c>
      <c r="L306">
        <v>1010100</v>
      </c>
      <c r="M306" t="s">
        <v>29</v>
      </c>
      <c r="N306">
        <v>161</v>
      </c>
      <c r="O306" t="s">
        <v>145</v>
      </c>
      <c r="P306" t="s">
        <v>109</v>
      </c>
      <c r="Q306">
        <f t="shared" si="26"/>
        <v>-58</v>
      </c>
      <c r="R306" t="str">
        <f>_xlfn.XLOOKUP(P306,'Painel Additive'!$B:$B,'Painel Additive'!$B:$B,0)</f>
        <v>EUROCHEM SERRA DO SALITRE</v>
      </c>
      <c r="S306">
        <f t="shared" si="27"/>
        <v>60</v>
      </c>
    </row>
    <row r="307" spans="1:19" x14ac:dyDescent="0.25">
      <c r="A307">
        <v>12629</v>
      </c>
      <c r="B307" t="s">
        <v>109</v>
      </c>
      <c r="C307" t="s">
        <v>406</v>
      </c>
      <c r="D307" s="32">
        <v>185285.1</v>
      </c>
      <c r="E307">
        <v>1246277480</v>
      </c>
      <c r="F307" s="28">
        <v>46231</v>
      </c>
      <c r="H307" t="s">
        <v>23</v>
      </c>
      <c r="I307" t="s">
        <v>24</v>
      </c>
      <c r="J307">
        <v>11559</v>
      </c>
      <c r="K307" s="28">
        <v>46171</v>
      </c>
      <c r="L307">
        <v>1010100</v>
      </c>
      <c r="M307" t="s">
        <v>29</v>
      </c>
      <c r="N307">
        <v>161</v>
      </c>
      <c r="O307" t="s">
        <v>145</v>
      </c>
      <c r="P307" t="s">
        <v>109</v>
      </c>
      <c r="Q307">
        <f t="shared" si="26"/>
        <v>-34</v>
      </c>
      <c r="R307" t="str">
        <f>_xlfn.XLOOKUP(P307,'Painel Additive'!$B:$B,'Painel Additive'!$B:$B,0)</f>
        <v>EUROCHEM SERRA DO SALITRE</v>
      </c>
      <c r="S307">
        <f t="shared" si="27"/>
        <v>60</v>
      </c>
    </row>
    <row r="308" spans="1:19" x14ac:dyDescent="0.25">
      <c r="A308">
        <v>12629</v>
      </c>
      <c r="B308" t="s">
        <v>109</v>
      </c>
      <c r="C308" t="s">
        <v>406</v>
      </c>
      <c r="D308" s="32">
        <v>183804.3</v>
      </c>
      <c r="E308">
        <v>1246279897</v>
      </c>
      <c r="F308" s="28">
        <v>46250</v>
      </c>
      <c r="H308" t="s">
        <v>23</v>
      </c>
      <c r="I308" t="s">
        <v>24</v>
      </c>
      <c r="J308">
        <v>11741</v>
      </c>
      <c r="K308" s="28">
        <v>46190</v>
      </c>
      <c r="L308">
        <v>1010100</v>
      </c>
      <c r="M308" t="s">
        <v>29</v>
      </c>
      <c r="N308">
        <v>161</v>
      </c>
      <c r="O308" t="s">
        <v>145</v>
      </c>
      <c r="P308" t="s">
        <v>109</v>
      </c>
      <c r="Q308">
        <f t="shared" si="26"/>
        <v>-53</v>
      </c>
      <c r="R308" t="str">
        <f>_xlfn.XLOOKUP(P308,'Painel Additive'!$B:$B,'Painel Additive'!$B:$B,0)</f>
        <v>EUROCHEM SERRA DO SALITRE</v>
      </c>
      <c r="S308">
        <f t="shared" si="27"/>
        <v>60</v>
      </c>
    </row>
    <row r="309" spans="1:19" x14ac:dyDescent="0.25">
      <c r="A309">
        <v>13836</v>
      </c>
      <c r="B309" t="s">
        <v>349</v>
      </c>
      <c r="C309" t="s">
        <v>802</v>
      </c>
      <c r="D309" s="32">
        <v>17125</v>
      </c>
      <c r="E309">
        <v>1246273812</v>
      </c>
      <c r="F309" s="28">
        <v>46208</v>
      </c>
      <c r="H309" t="s">
        <v>23</v>
      </c>
      <c r="I309" t="s">
        <v>24</v>
      </c>
      <c r="J309">
        <v>11313</v>
      </c>
      <c r="K309" s="28">
        <v>46148</v>
      </c>
      <c r="L309">
        <v>1010100</v>
      </c>
      <c r="M309" t="s">
        <v>29</v>
      </c>
      <c r="N309">
        <v>161</v>
      </c>
      <c r="O309" t="s">
        <v>145</v>
      </c>
      <c r="P309" t="s">
        <v>349</v>
      </c>
      <c r="Q309">
        <f t="shared" si="26"/>
        <v>-11</v>
      </c>
      <c r="R309" t="str">
        <f>_xlfn.XLOOKUP(P309,'Painel Additive'!$B:$B,'Painel Additive'!$B:$B,0)</f>
        <v>FERTALVO FERTILIZANTES - RONDONÓPOLIS</v>
      </c>
      <c r="S309">
        <f t="shared" si="27"/>
        <v>60</v>
      </c>
    </row>
    <row r="310" spans="1:19" x14ac:dyDescent="0.25">
      <c r="A310">
        <v>14632</v>
      </c>
      <c r="B310" t="s">
        <v>399</v>
      </c>
      <c r="C310" t="s">
        <v>15466</v>
      </c>
      <c r="D310" s="32">
        <v>96686.49</v>
      </c>
      <c r="E310">
        <v>1246277240</v>
      </c>
      <c r="F310" s="28">
        <v>46220</v>
      </c>
      <c r="H310" t="s">
        <v>23</v>
      </c>
      <c r="I310" t="s">
        <v>24</v>
      </c>
      <c r="J310">
        <v>11532</v>
      </c>
      <c r="K310" s="28">
        <v>46170</v>
      </c>
      <c r="L310">
        <v>1010100</v>
      </c>
      <c r="M310" t="s">
        <v>29</v>
      </c>
      <c r="N310">
        <v>161</v>
      </c>
      <c r="O310" t="s">
        <v>145</v>
      </c>
      <c r="P310" t="s">
        <v>399</v>
      </c>
      <c r="Q310">
        <f t="shared" si="26"/>
        <v>-23</v>
      </c>
      <c r="R310" t="str">
        <f>_xlfn.XLOOKUP(P310,'Painel Additive'!$B:$B,'Painel Additive'!$B:$B,0)</f>
        <v>BIGFERTIL - CANDEIAS</v>
      </c>
      <c r="S310">
        <f t="shared" si="27"/>
        <v>50</v>
      </c>
    </row>
    <row r="311" spans="1:19" x14ac:dyDescent="0.25">
      <c r="A311">
        <v>14632</v>
      </c>
      <c r="B311" t="s">
        <v>399</v>
      </c>
      <c r="C311" t="s">
        <v>15466</v>
      </c>
      <c r="D311" s="32">
        <v>96686.49</v>
      </c>
      <c r="E311">
        <v>1246277241</v>
      </c>
      <c r="F311" s="28">
        <v>46240</v>
      </c>
      <c r="H311" t="s">
        <v>23</v>
      </c>
      <c r="I311" t="s">
        <v>24</v>
      </c>
      <c r="J311">
        <v>11532</v>
      </c>
      <c r="K311" s="28">
        <v>46170</v>
      </c>
      <c r="L311">
        <v>1010100</v>
      </c>
      <c r="M311" t="s">
        <v>29</v>
      </c>
      <c r="N311">
        <v>161</v>
      </c>
      <c r="O311" t="s">
        <v>145</v>
      </c>
      <c r="P311" t="s">
        <v>399</v>
      </c>
      <c r="Q311">
        <f t="shared" si="26"/>
        <v>-43</v>
      </c>
      <c r="R311" t="str">
        <f>_xlfn.XLOOKUP(P311,'Painel Additive'!$B:$B,'Painel Additive'!$B:$B,0)</f>
        <v>BIGFERTIL - CANDEIAS</v>
      </c>
      <c r="S311">
        <f t="shared" si="27"/>
        <v>70</v>
      </c>
    </row>
    <row r="312" spans="1:19" x14ac:dyDescent="0.25">
      <c r="A312">
        <v>14632</v>
      </c>
      <c r="B312" t="s">
        <v>399</v>
      </c>
      <c r="C312" t="s">
        <v>15466</v>
      </c>
      <c r="D312" s="32">
        <v>24596.45</v>
      </c>
      <c r="E312">
        <v>1246277244</v>
      </c>
      <c r="F312" s="28">
        <v>46220</v>
      </c>
      <c r="H312" t="s">
        <v>23</v>
      </c>
      <c r="I312" t="s">
        <v>24</v>
      </c>
      <c r="J312">
        <v>11533</v>
      </c>
      <c r="K312" s="28">
        <v>46170</v>
      </c>
      <c r="L312">
        <v>1010100</v>
      </c>
      <c r="M312" t="s">
        <v>29</v>
      </c>
      <c r="N312">
        <v>161</v>
      </c>
      <c r="O312" t="s">
        <v>145</v>
      </c>
      <c r="P312" t="s">
        <v>399</v>
      </c>
      <c r="Q312">
        <f t="shared" si="26"/>
        <v>-23</v>
      </c>
      <c r="R312" t="str">
        <f>_xlfn.XLOOKUP(P312,'Painel Additive'!$B:$B,'Painel Additive'!$B:$B,0)</f>
        <v>BIGFERTIL - CANDEIAS</v>
      </c>
      <c r="S312">
        <f t="shared" si="27"/>
        <v>50</v>
      </c>
    </row>
    <row r="313" spans="1:19" x14ac:dyDescent="0.25">
      <c r="A313">
        <v>14632</v>
      </c>
      <c r="B313" t="s">
        <v>399</v>
      </c>
      <c r="C313" t="s">
        <v>15466</v>
      </c>
      <c r="D313" s="32">
        <v>24596.45</v>
      </c>
      <c r="E313">
        <v>1246277245</v>
      </c>
      <c r="F313" s="28">
        <v>46240</v>
      </c>
      <c r="H313" t="s">
        <v>23</v>
      </c>
      <c r="I313" t="s">
        <v>24</v>
      </c>
      <c r="J313">
        <v>11533</v>
      </c>
      <c r="K313" s="28">
        <v>46170</v>
      </c>
      <c r="L313">
        <v>1010100</v>
      </c>
      <c r="M313" t="s">
        <v>29</v>
      </c>
      <c r="N313">
        <v>161</v>
      </c>
      <c r="O313" t="s">
        <v>145</v>
      </c>
      <c r="P313" t="s">
        <v>399</v>
      </c>
      <c r="Q313">
        <f t="shared" si="26"/>
        <v>-43</v>
      </c>
      <c r="R313" t="str">
        <f>_xlfn.XLOOKUP(P313,'Painel Additive'!$B:$B,'Painel Additive'!$B:$B,0)</f>
        <v>BIGFERTIL - CANDEIAS</v>
      </c>
      <c r="S313">
        <f t="shared" si="27"/>
        <v>70</v>
      </c>
    </row>
    <row r="314" spans="1:19" x14ac:dyDescent="0.25">
      <c r="A314">
        <v>15749</v>
      </c>
      <c r="B314" t="s">
        <v>468</v>
      </c>
      <c r="C314" t="s">
        <v>15617</v>
      </c>
      <c r="D314" s="32">
        <v>66740</v>
      </c>
      <c r="E314">
        <v>1246279766</v>
      </c>
      <c r="F314" s="28">
        <v>46217</v>
      </c>
      <c r="H314" t="s">
        <v>23</v>
      </c>
      <c r="I314" t="s">
        <v>24</v>
      </c>
      <c r="J314">
        <v>3021</v>
      </c>
      <c r="K314" s="28">
        <v>46189</v>
      </c>
      <c r="L314">
        <v>1010100</v>
      </c>
      <c r="M314" t="s">
        <v>29</v>
      </c>
      <c r="N314">
        <v>161</v>
      </c>
      <c r="O314" t="s">
        <v>145</v>
      </c>
      <c r="P314" t="s">
        <v>468</v>
      </c>
      <c r="Q314">
        <f t="shared" si="26"/>
        <v>-20</v>
      </c>
      <c r="R314" t="str">
        <f>_xlfn.XLOOKUP(P314,'Painel Additive'!$B:$B,'Painel Additive'!$B:$B,0)</f>
        <v>FASS AGRO FERTILIZANTES - SERTAOZINHO</v>
      </c>
      <c r="S314">
        <f t="shared" si="27"/>
        <v>28</v>
      </c>
    </row>
    <row r="315" spans="1:19" x14ac:dyDescent="0.25">
      <c r="D315" s="32"/>
      <c r="F315" s="28"/>
      <c r="K315" s="28"/>
      <c r="Q315">
        <f t="shared" si="26"/>
        <v>46197</v>
      </c>
      <c r="R315">
        <f>_xlfn.XLOOKUP(P315,'Painel Additive'!$B:$B,'Painel Additive'!$B:$B,0)</f>
        <v>0</v>
      </c>
      <c r="S315">
        <f t="shared" si="27"/>
        <v>0</v>
      </c>
    </row>
    <row r="316" spans="1:19" x14ac:dyDescent="0.25">
      <c r="D316" s="32"/>
      <c r="F316" s="28"/>
      <c r="K316" s="28"/>
      <c r="Q316">
        <f t="shared" si="26"/>
        <v>46197</v>
      </c>
      <c r="R316">
        <f>_xlfn.XLOOKUP(P316,'Painel Additive'!$B:$B,'Painel Additive'!$B:$B,0)</f>
        <v>0</v>
      </c>
      <c r="S316">
        <f t="shared" si="27"/>
        <v>0</v>
      </c>
    </row>
    <row r="317" spans="1:19" x14ac:dyDescent="0.25">
      <c r="D317" s="32"/>
      <c r="F317" s="28"/>
      <c r="K317" s="28"/>
      <c r="Q317">
        <f t="shared" si="26"/>
        <v>46197</v>
      </c>
      <c r="R317">
        <f>_xlfn.XLOOKUP(P317,'Painel Additive'!$B:$B,'Painel Additive'!$B:$B,0)</f>
        <v>0</v>
      </c>
      <c r="S317">
        <f t="shared" si="27"/>
        <v>0</v>
      </c>
    </row>
    <row r="318" spans="1:19" x14ac:dyDescent="0.25">
      <c r="D318" s="32"/>
      <c r="F318" s="28"/>
      <c r="K318" s="28"/>
      <c r="Q318">
        <f t="shared" si="26"/>
        <v>46197</v>
      </c>
      <c r="R318">
        <f>_xlfn.XLOOKUP(P318,'Painel Additive'!$B:$B,'Painel Additive'!$B:$B,0)</f>
        <v>0</v>
      </c>
      <c r="S318">
        <f t="shared" si="27"/>
        <v>0</v>
      </c>
    </row>
    <row r="319" spans="1:19" x14ac:dyDescent="0.25">
      <c r="D319" s="32"/>
      <c r="F319" s="28"/>
      <c r="K319" s="28"/>
      <c r="Q319">
        <f t="shared" ref="Q319" si="28">$R$1-F319</f>
        <v>46197</v>
      </c>
      <c r="R319">
        <f>_xlfn.XLOOKUP(P319,'Painel Additive'!$B:$B,'Painel Additive'!$B:$B,0)</f>
        <v>0</v>
      </c>
      <c r="S319">
        <f t="shared" ref="S319" si="29">F319-K319</f>
        <v>0</v>
      </c>
    </row>
    <row r="320" spans="1:19" x14ac:dyDescent="0.25">
      <c r="D320" s="32"/>
      <c r="F320" s="28"/>
      <c r="K320" s="28"/>
      <c r="Q320">
        <f t="shared" ref="Q320:Q321" si="30">$R$1-F320</f>
        <v>46197</v>
      </c>
      <c r="R320">
        <f>_xlfn.XLOOKUP(P320,'Painel Additive'!$B:$B,'Painel Additive'!$B:$B,0)</f>
        <v>0</v>
      </c>
      <c r="S320">
        <f t="shared" ref="S320:S321" si="31">F320-K320</f>
        <v>0</v>
      </c>
    </row>
    <row r="321" spans="4:19" x14ac:dyDescent="0.25">
      <c r="D321" s="32"/>
      <c r="F321" s="28"/>
      <c r="K321" s="28"/>
      <c r="Q321">
        <f t="shared" si="30"/>
        <v>46197</v>
      </c>
      <c r="R321">
        <f>_xlfn.XLOOKUP(P321,'Painel Additive'!$B:$B,'Painel Additive'!$B:$B,0)</f>
        <v>0</v>
      </c>
      <c r="S321">
        <f t="shared" si="31"/>
        <v>0</v>
      </c>
    </row>
    <row r="322" spans="4:19" x14ac:dyDescent="0.25">
      <c r="D322" s="32"/>
      <c r="F322" s="28"/>
      <c r="K322" s="28"/>
    </row>
    <row r="323" spans="4:19" x14ac:dyDescent="0.25">
      <c r="D323" s="32"/>
      <c r="F323" s="28"/>
      <c r="K323" s="28"/>
    </row>
    <row r="324" spans="4:19" x14ac:dyDescent="0.25">
      <c r="D324" s="32"/>
      <c r="F324" s="28"/>
      <c r="K324" s="28"/>
    </row>
    <row r="325" spans="4:19" x14ac:dyDescent="0.25">
      <c r="D325" s="32"/>
      <c r="F325" s="28"/>
      <c r="K325" s="28"/>
    </row>
    <row r="326" spans="4:19" x14ac:dyDescent="0.25">
      <c r="D326" s="32"/>
      <c r="F326" s="28"/>
      <c r="K326" s="28"/>
    </row>
    <row r="327" spans="4:19" x14ac:dyDescent="0.25">
      <c r="D327" s="32"/>
      <c r="F327" s="28"/>
      <c r="K327" s="28"/>
    </row>
    <row r="328" spans="4:19" x14ac:dyDescent="0.25">
      <c r="D328" s="32"/>
      <c r="F328" s="28"/>
      <c r="K328" s="28"/>
    </row>
    <row r="329" spans="4:19" x14ac:dyDescent="0.25">
      <c r="D329" s="32"/>
      <c r="F329" s="28"/>
      <c r="K329" s="28"/>
    </row>
    <row r="330" spans="4:19" x14ac:dyDescent="0.25">
      <c r="D330" s="32"/>
      <c r="F330" s="28"/>
      <c r="K330" s="28"/>
    </row>
    <row r="331" spans="4:19" x14ac:dyDescent="0.25">
      <c r="D331" s="32"/>
      <c r="F331" s="28"/>
      <c r="K331" s="28"/>
    </row>
    <row r="332" spans="4:19" x14ac:dyDescent="0.25">
      <c r="D332" s="32"/>
      <c r="F332" s="28"/>
      <c r="K332" s="28"/>
    </row>
    <row r="333" spans="4:19" x14ac:dyDescent="0.25">
      <c r="D333" s="32"/>
      <c r="F333" s="28"/>
      <c r="K333" s="28"/>
    </row>
    <row r="334" spans="4:19" x14ac:dyDescent="0.25">
      <c r="D334" s="32"/>
      <c r="F334" s="28"/>
      <c r="K334" s="28"/>
    </row>
    <row r="335" spans="4:19" x14ac:dyDescent="0.25">
      <c r="D335" s="32"/>
      <c r="F335" s="28"/>
      <c r="K335" s="28"/>
    </row>
    <row r="336" spans="4:19" x14ac:dyDescent="0.25">
      <c r="D336" s="32"/>
      <c r="F336" s="28"/>
      <c r="K336" s="28"/>
    </row>
    <row r="337" spans="4:11" x14ac:dyDescent="0.25">
      <c r="D337" s="32"/>
      <c r="F337" s="28"/>
      <c r="K337" s="28"/>
    </row>
    <row r="338" spans="4:11" x14ac:dyDescent="0.25">
      <c r="D338" s="32"/>
      <c r="F338" s="28"/>
      <c r="K338" s="28"/>
    </row>
    <row r="339" spans="4:11" x14ac:dyDescent="0.25">
      <c r="D339" s="32"/>
      <c r="F339" s="28"/>
      <c r="K339" s="28"/>
    </row>
    <row r="340" spans="4:11" x14ac:dyDescent="0.25">
      <c r="D340" s="32"/>
      <c r="F340" s="28"/>
      <c r="K340" s="28"/>
    </row>
    <row r="341" spans="4:11" x14ac:dyDescent="0.25">
      <c r="D341" s="32"/>
      <c r="F341" s="28"/>
      <c r="K341" s="28"/>
    </row>
    <row r="342" spans="4:11" x14ac:dyDescent="0.25">
      <c r="D342" s="32"/>
      <c r="F342" s="28"/>
      <c r="K342" s="28"/>
    </row>
    <row r="343" spans="4:11" x14ac:dyDescent="0.25">
      <c r="D343" s="32"/>
      <c r="F343" s="28"/>
      <c r="K343" s="28"/>
    </row>
    <row r="344" spans="4:11" x14ac:dyDescent="0.25">
      <c r="D344" s="32"/>
      <c r="F344" s="28"/>
      <c r="K344" s="28"/>
    </row>
    <row r="345" spans="4:11" x14ac:dyDescent="0.25">
      <c r="D345" s="32"/>
      <c r="F345" s="28"/>
      <c r="K345" s="28"/>
    </row>
    <row r="346" spans="4:11" x14ac:dyDescent="0.25">
      <c r="D346" s="32"/>
      <c r="F346" s="28"/>
      <c r="K346" s="28"/>
    </row>
    <row r="347" spans="4:11" x14ac:dyDescent="0.25">
      <c r="D347" s="32"/>
      <c r="F347" s="28"/>
      <c r="K347" s="28"/>
    </row>
    <row r="348" spans="4:11" x14ac:dyDescent="0.25">
      <c r="D348" s="32"/>
      <c r="F348" s="28"/>
      <c r="K348" s="28"/>
    </row>
    <row r="349" spans="4:11" x14ac:dyDescent="0.25">
      <c r="D349" s="32"/>
      <c r="F349" s="28"/>
      <c r="K349" s="28"/>
    </row>
    <row r="350" spans="4:11" x14ac:dyDescent="0.25">
      <c r="D350" s="32"/>
      <c r="F350" s="28"/>
      <c r="K350" s="28"/>
    </row>
    <row r="351" spans="4:11" x14ac:dyDescent="0.25">
      <c r="D351" s="32"/>
      <c r="F351" s="28"/>
      <c r="K351" s="28"/>
    </row>
    <row r="352" spans="4:11" x14ac:dyDescent="0.25">
      <c r="D352" s="32"/>
      <c r="F352" s="28"/>
      <c r="K352" s="28"/>
    </row>
    <row r="353" spans="4:11" x14ac:dyDescent="0.25">
      <c r="D353" s="32"/>
      <c r="F353" s="28"/>
      <c r="K353" s="28"/>
    </row>
    <row r="354" spans="4:11" x14ac:dyDescent="0.25">
      <c r="D354" s="32"/>
      <c r="F354" s="28"/>
      <c r="K354" s="28"/>
    </row>
    <row r="355" spans="4:11" x14ac:dyDescent="0.25">
      <c r="D355" s="32"/>
      <c r="F355" s="28"/>
      <c r="K355" s="28"/>
    </row>
    <row r="356" spans="4:11" x14ac:dyDescent="0.25">
      <c r="D356" s="32"/>
      <c r="F356" s="28"/>
      <c r="K356" s="28"/>
    </row>
    <row r="357" spans="4:11" x14ac:dyDescent="0.25">
      <c r="D357" s="32"/>
      <c r="F357" s="28"/>
      <c r="K357" s="28"/>
    </row>
    <row r="358" spans="4:11" x14ac:dyDescent="0.25">
      <c r="D358" s="32"/>
      <c r="F358" s="28"/>
      <c r="K358" s="28"/>
    </row>
    <row r="359" spans="4:11" x14ac:dyDescent="0.25">
      <c r="D359" s="32"/>
      <c r="F359" s="28"/>
      <c r="K359" s="28"/>
    </row>
    <row r="360" spans="4:11" x14ac:dyDescent="0.25">
      <c r="D360" s="32"/>
      <c r="F360" s="28"/>
      <c r="K360" s="28"/>
    </row>
    <row r="361" spans="4:11" x14ac:dyDescent="0.25">
      <c r="D361" s="32"/>
      <c r="F361" s="28"/>
      <c r="K361" s="28"/>
    </row>
    <row r="362" spans="4:11" x14ac:dyDescent="0.25">
      <c r="D362" s="32"/>
      <c r="F362" s="28"/>
      <c r="K362" s="28"/>
    </row>
    <row r="363" spans="4:11" x14ac:dyDescent="0.25">
      <c r="D363" s="32"/>
      <c r="F363" s="28"/>
      <c r="K363" s="28"/>
    </row>
    <row r="364" spans="4:11" x14ac:dyDescent="0.25">
      <c r="D364" s="32"/>
      <c r="F364" s="28"/>
      <c r="K364" s="28"/>
    </row>
    <row r="365" spans="4:11" x14ac:dyDescent="0.25">
      <c r="D365" s="32"/>
      <c r="F365" s="28"/>
      <c r="K365" s="28"/>
    </row>
    <row r="366" spans="4:11" x14ac:dyDescent="0.25">
      <c r="D366" s="32"/>
      <c r="F366" s="28"/>
      <c r="K366" s="28"/>
    </row>
    <row r="367" spans="4:11" x14ac:dyDescent="0.25">
      <c r="D367" s="32"/>
      <c r="F367" s="28"/>
      <c r="K367" s="28"/>
    </row>
    <row r="368" spans="4:11" x14ac:dyDescent="0.25">
      <c r="D368" s="32"/>
      <c r="F368" s="28"/>
      <c r="K368" s="28"/>
    </row>
    <row r="369" spans="4:11" x14ac:dyDescent="0.25">
      <c r="D369" s="32"/>
      <c r="F369" s="28"/>
      <c r="K369" s="28"/>
    </row>
    <row r="370" spans="4:11" x14ac:dyDescent="0.25">
      <c r="D370" s="32"/>
      <c r="F370" s="28"/>
      <c r="K370" s="28"/>
    </row>
    <row r="371" spans="4:11" x14ac:dyDescent="0.25">
      <c r="D371" s="32"/>
      <c r="F371" s="28"/>
      <c r="K371" s="28"/>
    </row>
    <row r="372" spans="4:11" x14ac:dyDescent="0.25">
      <c r="D372" s="32"/>
      <c r="F372" s="28"/>
      <c r="K372" s="28"/>
    </row>
    <row r="373" spans="4:11" x14ac:dyDescent="0.25">
      <c r="D373" s="32"/>
      <c r="F373" s="28"/>
      <c r="K373" s="28"/>
    </row>
    <row r="374" spans="4:11" x14ac:dyDescent="0.25">
      <c r="D374" s="32"/>
      <c r="F374" s="28"/>
      <c r="K374" s="28"/>
    </row>
    <row r="375" spans="4:11" x14ac:dyDescent="0.25">
      <c r="D375" s="32"/>
      <c r="F375" s="28"/>
      <c r="K375" s="28"/>
    </row>
    <row r="376" spans="4:11" x14ac:dyDescent="0.25">
      <c r="D376" s="32"/>
      <c r="F376" s="28"/>
      <c r="K376" s="28"/>
    </row>
    <row r="377" spans="4:11" x14ac:dyDescent="0.25">
      <c r="D377" s="32"/>
      <c r="F377" s="28"/>
      <c r="K377" s="28"/>
    </row>
    <row r="378" spans="4:11" x14ac:dyDescent="0.25">
      <c r="D378" s="32"/>
      <c r="F378" s="28"/>
      <c r="K378" s="28"/>
    </row>
    <row r="379" spans="4:11" x14ac:dyDescent="0.25">
      <c r="D379" s="32"/>
      <c r="F379" s="28"/>
      <c r="K379" s="28"/>
    </row>
    <row r="380" spans="4:11" x14ac:dyDescent="0.25">
      <c r="D380" s="32"/>
      <c r="F380" s="28"/>
      <c r="K380" s="28"/>
    </row>
    <row r="381" spans="4:11" x14ac:dyDescent="0.25">
      <c r="D381" s="32"/>
      <c r="F381" s="28"/>
      <c r="K381" s="28"/>
    </row>
    <row r="382" spans="4:11" x14ac:dyDescent="0.25">
      <c r="D382" s="32"/>
      <c r="F382" s="28"/>
      <c r="K382" s="28"/>
    </row>
    <row r="383" spans="4:11" x14ac:dyDescent="0.25">
      <c r="D383" s="32"/>
      <c r="F383" s="28"/>
      <c r="K383" s="28"/>
    </row>
    <row r="384" spans="4:11" x14ac:dyDescent="0.25">
      <c r="D384" s="32"/>
      <c r="F384" s="28"/>
      <c r="K384" s="28"/>
    </row>
    <row r="385" spans="4:11" x14ac:dyDescent="0.25">
      <c r="D385" s="32"/>
      <c r="F385" s="28"/>
      <c r="K385" s="28"/>
    </row>
    <row r="386" spans="4:11" x14ac:dyDescent="0.25">
      <c r="D386" s="32"/>
      <c r="F386" s="28"/>
      <c r="K386" s="28"/>
    </row>
    <row r="387" spans="4:11" x14ac:dyDescent="0.25">
      <c r="D387" s="32"/>
      <c r="F387" s="28"/>
      <c r="K387" s="28"/>
    </row>
    <row r="388" spans="4:11" x14ac:dyDescent="0.25">
      <c r="D388" s="32"/>
      <c r="F388" s="28"/>
      <c r="K388" s="28"/>
    </row>
    <row r="389" spans="4:11" x14ac:dyDescent="0.25">
      <c r="D389" s="32"/>
      <c r="F389" s="28"/>
      <c r="K389" s="28"/>
    </row>
    <row r="390" spans="4:11" x14ac:dyDescent="0.25">
      <c r="D390" s="32"/>
      <c r="F390" s="28"/>
      <c r="K390" s="28"/>
    </row>
    <row r="391" spans="4:11" x14ac:dyDescent="0.25">
      <c r="D391" s="32"/>
      <c r="F391" s="28"/>
      <c r="K391" s="28"/>
    </row>
    <row r="392" spans="4:11" x14ac:dyDescent="0.25">
      <c r="D392" s="32"/>
      <c r="F392" s="28"/>
      <c r="K392" s="28"/>
    </row>
    <row r="393" spans="4:11" x14ac:dyDescent="0.25">
      <c r="D393" s="32"/>
      <c r="F393" s="28"/>
      <c r="K393" s="28"/>
    </row>
    <row r="394" spans="4:11" x14ac:dyDescent="0.25">
      <c r="D394" s="32"/>
      <c r="F394" s="28"/>
      <c r="K394" s="28"/>
    </row>
    <row r="395" spans="4:11" x14ac:dyDescent="0.25">
      <c r="D395" s="32"/>
      <c r="F395" s="28"/>
      <c r="K395" s="28"/>
    </row>
    <row r="396" spans="4:11" x14ac:dyDescent="0.25">
      <c r="D396" s="32"/>
      <c r="F396" s="28"/>
      <c r="K396" s="28"/>
    </row>
    <row r="397" spans="4:11" x14ac:dyDescent="0.25">
      <c r="D397" s="32"/>
      <c r="F397" s="28"/>
      <c r="K397" s="28"/>
    </row>
    <row r="398" spans="4:11" x14ac:dyDescent="0.25">
      <c r="D398" s="32"/>
      <c r="F398" s="28"/>
      <c r="K398" s="28"/>
    </row>
    <row r="399" spans="4:11" x14ac:dyDescent="0.25">
      <c r="D399" s="32"/>
      <c r="F399" s="28"/>
      <c r="K399" s="28"/>
    </row>
    <row r="400" spans="4:11" x14ac:dyDescent="0.25">
      <c r="D400" s="32"/>
      <c r="F400" s="28"/>
      <c r="K400" s="28"/>
    </row>
    <row r="401" spans="4:11" x14ac:dyDescent="0.25">
      <c r="D401" s="32"/>
      <c r="F401" s="28"/>
      <c r="K401" s="28"/>
    </row>
    <row r="402" spans="4:11" x14ac:dyDescent="0.25">
      <c r="D402" s="32"/>
      <c r="F402" s="28"/>
      <c r="K402" s="28"/>
    </row>
    <row r="403" spans="4:11" x14ac:dyDescent="0.25">
      <c r="D403" s="32"/>
      <c r="F403" s="28"/>
      <c r="K403" s="28"/>
    </row>
    <row r="404" spans="4:11" x14ac:dyDescent="0.25">
      <c r="D404" s="32"/>
      <c r="F404" s="28"/>
      <c r="K404" s="28"/>
    </row>
    <row r="405" spans="4:11" x14ac:dyDescent="0.25">
      <c r="D405" s="32"/>
      <c r="F405" s="28"/>
      <c r="K405" s="28"/>
    </row>
    <row r="406" spans="4:11" x14ac:dyDescent="0.25">
      <c r="D406" s="32"/>
      <c r="F406" s="28"/>
      <c r="K406" s="28"/>
    </row>
    <row r="407" spans="4:11" x14ac:dyDescent="0.25">
      <c r="D407" s="32"/>
      <c r="F407" s="28"/>
      <c r="K407" s="28"/>
    </row>
    <row r="408" spans="4:11" x14ac:dyDescent="0.25">
      <c r="D408" s="32"/>
      <c r="F408" s="28"/>
      <c r="K408" s="28"/>
    </row>
    <row r="409" spans="4:11" x14ac:dyDescent="0.25">
      <c r="D409" s="32"/>
      <c r="F409" s="28"/>
      <c r="K409" s="28"/>
    </row>
    <row r="410" spans="4:11" x14ac:dyDescent="0.25">
      <c r="D410" s="32"/>
      <c r="F410" s="28"/>
      <c r="K410" s="28"/>
    </row>
    <row r="411" spans="4:11" x14ac:dyDescent="0.25">
      <c r="D411" s="32"/>
      <c r="F411" s="28"/>
      <c r="K411" s="28"/>
    </row>
    <row r="412" spans="4:11" x14ac:dyDescent="0.25">
      <c r="D412" s="32"/>
      <c r="F412" s="28"/>
      <c r="K412" s="28"/>
    </row>
    <row r="413" spans="4:11" x14ac:dyDescent="0.25">
      <c r="D413" s="32"/>
      <c r="F413" s="28"/>
      <c r="K413" s="28"/>
    </row>
    <row r="414" spans="4:11" x14ac:dyDescent="0.25">
      <c r="D414" s="32"/>
      <c r="F414" s="28"/>
      <c r="K414" s="28"/>
    </row>
    <row r="415" spans="4:11" x14ac:dyDescent="0.25">
      <c r="D415" s="32"/>
      <c r="F415" s="28"/>
      <c r="K415" s="28"/>
    </row>
    <row r="416" spans="4:11" x14ac:dyDescent="0.25">
      <c r="D416" s="32"/>
      <c r="F416" s="28"/>
      <c r="K416" s="28"/>
    </row>
    <row r="417" spans="4:11" x14ac:dyDescent="0.25">
      <c r="D417" s="32"/>
      <c r="F417" s="28"/>
      <c r="K417" s="28"/>
    </row>
    <row r="418" spans="4:11" x14ac:dyDescent="0.25">
      <c r="D418" s="32"/>
      <c r="F418" s="28"/>
      <c r="K418" s="28"/>
    </row>
    <row r="419" spans="4:11" x14ac:dyDescent="0.25">
      <c r="D419" s="32"/>
      <c r="F419" s="28"/>
      <c r="K419" s="28"/>
    </row>
    <row r="420" spans="4:11" x14ac:dyDescent="0.25">
      <c r="D420" s="32"/>
      <c r="F420" s="28"/>
      <c r="K420" s="28"/>
    </row>
    <row r="421" spans="4:11" x14ac:dyDescent="0.25">
      <c r="D421" s="32"/>
      <c r="F421" s="28"/>
      <c r="K421" s="28"/>
    </row>
    <row r="422" spans="4:11" x14ac:dyDescent="0.25">
      <c r="D422" s="32"/>
      <c r="F422" s="28"/>
      <c r="K422" s="28"/>
    </row>
    <row r="423" spans="4:11" x14ac:dyDescent="0.25">
      <c r="D423" s="32"/>
      <c r="F423" s="28"/>
      <c r="K423" s="28"/>
    </row>
    <row r="424" spans="4:11" x14ac:dyDescent="0.25">
      <c r="D424" s="32"/>
      <c r="F424" s="28"/>
      <c r="K424" s="28"/>
    </row>
    <row r="425" spans="4:11" x14ac:dyDescent="0.25">
      <c r="D425" s="32"/>
      <c r="F425" s="28"/>
      <c r="K425" s="28"/>
    </row>
    <row r="426" spans="4:11" x14ac:dyDescent="0.25">
      <c r="D426" s="32"/>
      <c r="F426" s="28"/>
      <c r="K426" s="28"/>
    </row>
    <row r="427" spans="4:11" x14ac:dyDescent="0.25">
      <c r="D427" s="32"/>
      <c r="F427" s="28"/>
      <c r="K427" s="28"/>
    </row>
    <row r="428" spans="4:11" x14ac:dyDescent="0.25">
      <c r="D428" s="32"/>
      <c r="F428" s="28"/>
      <c r="K428" s="28"/>
    </row>
    <row r="429" spans="4:11" x14ac:dyDescent="0.25">
      <c r="D429" s="32"/>
      <c r="F429" s="28"/>
      <c r="K429" s="28"/>
    </row>
    <row r="430" spans="4:11" x14ac:dyDescent="0.25">
      <c r="D430" s="32"/>
      <c r="F430" s="28"/>
      <c r="K430" s="28"/>
    </row>
    <row r="431" spans="4:11" x14ac:dyDescent="0.25">
      <c r="D431" s="32"/>
      <c r="F431" s="28"/>
      <c r="K431" s="28"/>
    </row>
    <row r="432" spans="4:11" x14ac:dyDescent="0.25">
      <c r="D432" s="32"/>
      <c r="F432" s="28"/>
      <c r="K432" s="28"/>
    </row>
    <row r="433" spans="4:11" x14ac:dyDescent="0.25">
      <c r="D433" s="32"/>
      <c r="F433" s="28"/>
      <c r="K433" s="28"/>
    </row>
    <row r="434" spans="4:11" x14ac:dyDescent="0.25">
      <c r="D434" s="32"/>
      <c r="F434" s="28"/>
      <c r="K434" s="28"/>
    </row>
    <row r="435" spans="4:11" x14ac:dyDescent="0.25">
      <c r="D435" s="32"/>
      <c r="F435" s="28"/>
      <c r="K435" s="28"/>
    </row>
    <row r="436" spans="4:11" x14ac:dyDescent="0.25">
      <c r="D436" s="32"/>
      <c r="F436" s="28"/>
      <c r="K436" s="28"/>
    </row>
    <row r="437" spans="4:11" x14ac:dyDescent="0.25">
      <c r="D437" s="32"/>
      <c r="F437" s="28"/>
      <c r="K437" s="28"/>
    </row>
    <row r="438" spans="4:11" x14ac:dyDescent="0.25">
      <c r="D438" s="32"/>
      <c r="F438" s="28"/>
      <c r="K438" s="28"/>
    </row>
    <row r="439" spans="4:11" x14ac:dyDescent="0.25">
      <c r="D439" s="32"/>
      <c r="F439" s="28"/>
      <c r="K439" s="28"/>
    </row>
    <row r="440" spans="4:11" x14ac:dyDescent="0.25">
      <c r="D440" s="32"/>
      <c r="F440" s="28"/>
      <c r="K440" s="28"/>
    </row>
    <row r="441" spans="4:11" x14ac:dyDescent="0.25">
      <c r="D441" s="32"/>
      <c r="F441" s="28"/>
      <c r="K441" s="28"/>
    </row>
    <row r="442" spans="4:11" x14ac:dyDescent="0.25">
      <c r="D442" s="32"/>
      <c r="F442" s="28"/>
      <c r="K442" s="28"/>
    </row>
    <row r="443" spans="4:11" x14ac:dyDescent="0.25">
      <c r="D443" s="32"/>
      <c r="F443" s="28"/>
      <c r="K443" s="28"/>
    </row>
    <row r="444" spans="4:11" x14ac:dyDescent="0.25">
      <c r="D444" s="32"/>
      <c r="F444" s="28"/>
      <c r="K444" s="28"/>
    </row>
    <row r="445" spans="4:11" x14ac:dyDescent="0.25">
      <c r="D445" s="32"/>
      <c r="F445" s="28"/>
      <c r="K445" s="28"/>
    </row>
    <row r="446" spans="4:11" x14ac:dyDescent="0.25">
      <c r="D446" s="32"/>
      <c r="F446" s="28"/>
      <c r="K446" s="28"/>
    </row>
    <row r="447" spans="4:11" x14ac:dyDescent="0.25">
      <c r="D447" s="32"/>
      <c r="F447" s="28"/>
      <c r="K447" s="28"/>
    </row>
    <row r="448" spans="4:11" x14ac:dyDescent="0.25">
      <c r="D448" s="32"/>
      <c r="F448" s="28"/>
      <c r="K448" s="28"/>
    </row>
    <row r="449" spans="4:11" x14ac:dyDescent="0.25">
      <c r="D449" s="32"/>
      <c r="F449" s="28"/>
      <c r="K449" s="28"/>
    </row>
    <row r="450" spans="4:11" x14ac:dyDescent="0.25">
      <c r="D450" s="32"/>
      <c r="F450" s="28"/>
      <c r="K450" s="28"/>
    </row>
    <row r="451" spans="4:11" x14ac:dyDescent="0.25">
      <c r="D451" s="32"/>
      <c r="F451" s="28"/>
      <c r="K451" s="28"/>
    </row>
    <row r="452" spans="4:11" x14ac:dyDescent="0.25">
      <c r="D452" s="32"/>
      <c r="F452" s="28"/>
      <c r="K452" s="28"/>
    </row>
    <row r="453" spans="4:11" x14ac:dyDescent="0.25">
      <c r="D453" s="32"/>
      <c r="F453" s="28"/>
      <c r="K453" s="28"/>
    </row>
    <row r="454" spans="4:11" x14ac:dyDescent="0.25">
      <c r="D454" s="32"/>
      <c r="F454" s="28"/>
      <c r="K454" s="28"/>
    </row>
    <row r="455" spans="4:11" x14ac:dyDescent="0.25">
      <c r="D455" s="32"/>
      <c r="F455" s="28"/>
      <c r="K455" s="28"/>
    </row>
    <row r="456" spans="4:11" x14ac:dyDescent="0.25">
      <c r="D456" s="32"/>
      <c r="F456" s="28"/>
      <c r="K456" s="28"/>
    </row>
    <row r="457" spans="4:11" x14ac:dyDescent="0.25">
      <c r="D457" s="32"/>
      <c r="F457" s="28"/>
      <c r="K457" s="28"/>
    </row>
    <row r="458" spans="4:11" x14ac:dyDescent="0.25">
      <c r="D458" s="32"/>
      <c r="F458" s="28"/>
      <c r="K458" s="28"/>
    </row>
    <row r="459" spans="4:11" x14ac:dyDescent="0.25">
      <c r="D459" s="32"/>
      <c r="F459" s="28"/>
      <c r="K459" s="28"/>
    </row>
    <row r="460" spans="4:11" x14ac:dyDescent="0.25">
      <c r="D460" s="32"/>
      <c r="F460" s="28"/>
      <c r="K460" s="28"/>
    </row>
    <row r="461" spans="4:11" x14ac:dyDescent="0.25">
      <c r="D461" s="32"/>
      <c r="F461" s="28"/>
      <c r="K461" s="28"/>
    </row>
    <row r="462" spans="4:11" x14ac:dyDescent="0.25">
      <c r="D462" s="32"/>
      <c r="F462" s="28"/>
      <c r="K462" s="28"/>
    </row>
    <row r="463" spans="4:11" x14ac:dyDescent="0.25">
      <c r="D463" s="32"/>
      <c r="F463" s="28"/>
      <c r="K463" s="28"/>
    </row>
    <row r="464" spans="4:11" x14ac:dyDescent="0.25">
      <c r="D464" s="32"/>
      <c r="F464" s="28"/>
      <c r="K464" s="28"/>
    </row>
    <row r="465" spans="4:11" x14ac:dyDescent="0.25">
      <c r="D465" s="32"/>
      <c r="F465" s="28"/>
      <c r="K465" s="28"/>
    </row>
    <row r="466" spans="4:11" x14ac:dyDescent="0.25">
      <c r="D466" s="32"/>
      <c r="F466" s="28"/>
      <c r="K466" s="28"/>
    </row>
    <row r="467" spans="4:11" x14ac:dyDescent="0.25">
      <c r="D467" s="32"/>
      <c r="F467" s="28"/>
      <c r="K467" s="28"/>
    </row>
    <row r="468" spans="4:11" x14ac:dyDescent="0.25">
      <c r="D468" s="32"/>
      <c r="F468" s="28"/>
      <c r="K468" s="28"/>
    </row>
    <row r="469" spans="4:11" x14ac:dyDescent="0.25">
      <c r="D469" s="32"/>
      <c r="F469" s="28"/>
      <c r="K469" s="28"/>
    </row>
    <row r="470" spans="4:11" x14ac:dyDescent="0.25">
      <c r="D470" s="32"/>
      <c r="F470" s="28"/>
      <c r="K470" s="28"/>
    </row>
    <row r="471" spans="4:11" x14ac:dyDescent="0.25">
      <c r="D471" s="32"/>
      <c r="F471" s="28"/>
      <c r="K471" s="28"/>
    </row>
    <row r="472" spans="4:11" x14ac:dyDescent="0.25">
      <c r="D472" s="32"/>
      <c r="F472" s="28"/>
      <c r="K472" s="28"/>
    </row>
    <row r="473" spans="4:11" x14ac:dyDescent="0.25">
      <c r="D473" s="32"/>
      <c r="F473" s="28"/>
      <c r="K473" s="28"/>
    </row>
    <row r="474" spans="4:11" x14ac:dyDescent="0.25">
      <c r="D474" s="32"/>
      <c r="F474" s="28"/>
      <c r="K474" s="28"/>
    </row>
    <row r="475" spans="4:11" x14ac:dyDescent="0.25">
      <c r="D475" s="32"/>
      <c r="F475" s="28"/>
      <c r="K475" s="28"/>
    </row>
    <row r="476" spans="4:11" x14ac:dyDescent="0.25">
      <c r="D476" s="32"/>
      <c r="F476" s="28"/>
      <c r="K476" s="28"/>
    </row>
    <row r="477" spans="4:11" x14ac:dyDescent="0.25">
      <c r="D477" s="32"/>
      <c r="F477" s="28"/>
      <c r="K477" s="28"/>
    </row>
    <row r="478" spans="4:11" x14ac:dyDescent="0.25">
      <c r="D478" s="32"/>
      <c r="F478" s="28"/>
      <c r="K478" s="28"/>
    </row>
    <row r="479" spans="4:11" x14ac:dyDescent="0.25">
      <c r="D479" s="32"/>
      <c r="F479" s="28"/>
      <c r="K479" s="28"/>
    </row>
    <row r="480" spans="4:11" x14ac:dyDescent="0.25">
      <c r="D480" s="32"/>
      <c r="F480" s="28"/>
      <c r="K480" s="28"/>
    </row>
    <row r="481" spans="4:11" x14ac:dyDescent="0.25">
      <c r="D481" s="32"/>
      <c r="F481" s="28"/>
      <c r="K481" s="28"/>
    </row>
    <row r="482" spans="4:11" x14ac:dyDescent="0.25">
      <c r="D482" s="32"/>
      <c r="F482" s="28"/>
      <c r="K482" s="28"/>
    </row>
    <row r="483" spans="4:11" x14ac:dyDescent="0.25">
      <c r="D483" s="32"/>
      <c r="F483" s="28"/>
      <c r="K483" s="28"/>
    </row>
    <row r="484" spans="4:11" x14ac:dyDescent="0.25">
      <c r="D484" s="32"/>
      <c r="F484" s="28"/>
      <c r="K484" s="28"/>
    </row>
    <row r="485" spans="4:11" x14ac:dyDescent="0.25">
      <c r="D485" s="32"/>
      <c r="F485" s="28"/>
      <c r="K485" s="28"/>
    </row>
    <row r="486" spans="4:11" x14ac:dyDescent="0.25">
      <c r="D486" s="32"/>
      <c r="F486" s="28"/>
      <c r="K486" s="28"/>
    </row>
    <row r="487" spans="4:11" x14ac:dyDescent="0.25">
      <c r="D487" s="32"/>
      <c r="F487" s="28"/>
      <c r="K487" s="28"/>
    </row>
    <row r="488" spans="4:11" x14ac:dyDescent="0.25">
      <c r="D488" s="32"/>
      <c r="F488" s="28"/>
      <c r="K488" s="28"/>
    </row>
    <row r="489" spans="4:11" x14ac:dyDescent="0.25">
      <c r="D489" s="32"/>
      <c r="F489" s="28"/>
      <c r="K489" s="28"/>
    </row>
    <row r="490" spans="4:11" x14ac:dyDescent="0.25">
      <c r="D490" s="32"/>
      <c r="F490" s="28"/>
      <c r="K490" s="28"/>
    </row>
    <row r="491" spans="4:11" x14ac:dyDescent="0.25">
      <c r="D491" s="32"/>
      <c r="F491" s="28"/>
      <c r="K491" s="28"/>
    </row>
    <row r="492" spans="4:11" x14ac:dyDescent="0.25">
      <c r="D492" s="32"/>
      <c r="F492" s="28"/>
      <c r="K492" s="28"/>
    </row>
    <row r="493" spans="4:11" x14ac:dyDescent="0.25">
      <c r="D493" s="32"/>
      <c r="F493" s="28"/>
      <c r="K493" s="28"/>
    </row>
    <row r="494" spans="4:11" x14ac:dyDescent="0.25">
      <c r="D494" s="32"/>
      <c r="F494" s="28"/>
      <c r="K494" s="28"/>
    </row>
    <row r="495" spans="4:11" x14ac:dyDescent="0.25">
      <c r="D495" s="32"/>
      <c r="F495" s="28"/>
      <c r="K495" s="28"/>
    </row>
    <row r="496" spans="4:11" x14ac:dyDescent="0.25">
      <c r="D496" s="32"/>
      <c r="F496" s="28"/>
      <c r="K496" s="28"/>
    </row>
    <row r="497" spans="4:11" x14ac:dyDescent="0.25">
      <c r="D497" s="32"/>
      <c r="F497" s="28"/>
      <c r="K497" s="28"/>
    </row>
    <row r="498" spans="4:11" x14ac:dyDescent="0.25">
      <c r="D498" s="32"/>
      <c r="F498" s="28"/>
      <c r="K498" s="28"/>
    </row>
    <row r="499" spans="4:11" x14ac:dyDescent="0.25">
      <c r="D499" s="32"/>
      <c r="F499" s="28"/>
      <c r="K499" s="28"/>
    </row>
    <row r="500" spans="4:11" x14ac:dyDescent="0.25">
      <c r="D500" s="32"/>
      <c r="F500" s="28"/>
      <c r="K500" s="28"/>
    </row>
    <row r="501" spans="4:11" x14ac:dyDescent="0.25">
      <c r="D501" s="32"/>
      <c r="F501" s="28"/>
      <c r="K501" s="28"/>
    </row>
    <row r="502" spans="4:11" x14ac:dyDescent="0.25">
      <c r="D502" s="32"/>
      <c r="F502" s="28"/>
      <c r="K502" s="28"/>
    </row>
    <row r="503" spans="4:11" x14ac:dyDescent="0.25">
      <c r="D503" s="32"/>
      <c r="F503" s="28"/>
      <c r="K503" s="28"/>
    </row>
    <row r="504" spans="4:11" x14ac:dyDescent="0.25">
      <c r="D504" s="32"/>
      <c r="F504" s="28"/>
      <c r="K504" s="28"/>
    </row>
    <row r="505" spans="4:11" x14ac:dyDescent="0.25">
      <c r="D505" s="32"/>
      <c r="F505" s="28"/>
      <c r="K505" s="28"/>
    </row>
    <row r="506" spans="4:11" x14ac:dyDescent="0.25">
      <c r="D506" s="32"/>
      <c r="F506" s="28"/>
      <c r="K506" s="28"/>
    </row>
    <row r="507" spans="4:11" x14ac:dyDescent="0.25">
      <c r="D507" s="32"/>
      <c r="F507" s="28"/>
      <c r="K507" s="28"/>
    </row>
    <row r="508" spans="4:11" x14ac:dyDescent="0.25">
      <c r="D508" s="32"/>
      <c r="F508" s="28"/>
      <c r="K508" s="28"/>
    </row>
    <row r="509" spans="4:11" x14ac:dyDescent="0.25">
      <c r="D509" s="32"/>
      <c r="F509" s="28"/>
      <c r="K509" s="28"/>
    </row>
    <row r="510" spans="4:11" x14ac:dyDescent="0.25">
      <c r="D510" s="32"/>
      <c r="F510" s="28"/>
      <c r="K510" s="28"/>
    </row>
    <row r="511" spans="4:11" x14ac:dyDescent="0.25">
      <c r="D511" s="32"/>
      <c r="F511" s="28"/>
      <c r="K511" s="28"/>
    </row>
    <row r="512" spans="4:11" x14ac:dyDescent="0.25">
      <c r="D512" s="32"/>
      <c r="F512" s="28"/>
      <c r="K512" s="28"/>
    </row>
    <row r="513" spans="4:11" x14ac:dyDescent="0.25">
      <c r="D513" s="32"/>
      <c r="F513" s="28"/>
      <c r="K513" s="28"/>
    </row>
    <row r="514" spans="4:11" x14ac:dyDescent="0.25">
      <c r="D514" s="32"/>
      <c r="F514" s="28"/>
      <c r="K514" s="28"/>
    </row>
    <row r="515" spans="4:11" x14ac:dyDescent="0.25">
      <c r="D515" s="32"/>
      <c r="F515" s="28"/>
      <c r="K515" s="28"/>
    </row>
    <row r="516" spans="4:11" x14ac:dyDescent="0.25">
      <c r="D516" s="32"/>
      <c r="F516" s="28"/>
      <c r="K516" s="28"/>
    </row>
    <row r="517" spans="4:11" x14ac:dyDescent="0.25">
      <c r="D517" s="32"/>
      <c r="F517" s="28"/>
      <c r="K517" s="28"/>
    </row>
    <row r="518" spans="4:11" x14ac:dyDescent="0.25">
      <c r="D518" s="32"/>
      <c r="F518" s="28"/>
      <c r="K518" s="28"/>
    </row>
    <row r="519" spans="4:11" x14ac:dyDescent="0.25">
      <c r="D519" s="32"/>
      <c r="F519" s="28"/>
      <c r="K519" s="28"/>
    </row>
    <row r="520" spans="4:11" x14ac:dyDescent="0.25">
      <c r="D520" s="32"/>
      <c r="F520" s="28"/>
      <c r="K520" s="28"/>
    </row>
    <row r="521" spans="4:11" x14ac:dyDescent="0.25">
      <c r="D521" s="32"/>
      <c r="F521" s="28"/>
      <c r="K521" s="28"/>
    </row>
    <row r="522" spans="4:11" x14ac:dyDescent="0.25">
      <c r="D522" s="32"/>
      <c r="F522" s="28"/>
      <c r="K522" s="28"/>
    </row>
    <row r="523" spans="4:11" x14ac:dyDescent="0.25">
      <c r="D523" s="32"/>
      <c r="F523" s="28"/>
      <c r="K523" s="28"/>
    </row>
    <row r="524" spans="4:11" x14ac:dyDescent="0.25">
      <c r="D524" s="32"/>
      <c r="F524" s="28"/>
      <c r="K524" s="28"/>
    </row>
    <row r="525" spans="4:11" x14ac:dyDescent="0.25">
      <c r="D525" s="32"/>
      <c r="F525" s="28"/>
      <c r="K525" s="28"/>
    </row>
    <row r="526" spans="4:11" x14ac:dyDescent="0.25">
      <c r="D526" s="32"/>
      <c r="F526" s="28"/>
      <c r="K526" s="28"/>
    </row>
    <row r="527" spans="4:11" x14ac:dyDescent="0.25">
      <c r="D527" s="32"/>
      <c r="F527" s="28"/>
      <c r="K527" s="28"/>
    </row>
    <row r="528" spans="4:11" x14ac:dyDescent="0.25">
      <c r="D528" s="32"/>
      <c r="F528" s="28"/>
      <c r="K528" s="28"/>
    </row>
    <row r="529" spans="4:11" x14ac:dyDescent="0.25">
      <c r="D529" s="32"/>
      <c r="F529" s="28"/>
      <c r="K529" s="28"/>
    </row>
    <row r="530" spans="4:11" x14ac:dyDescent="0.25">
      <c r="D530" s="32"/>
      <c r="F530" s="28"/>
      <c r="K530" s="28"/>
    </row>
    <row r="531" spans="4:11" x14ac:dyDescent="0.25">
      <c r="D531" s="32"/>
      <c r="F531" s="28"/>
      <c r="K531" s="28"/>
    </row>
    <row r="532" spans="4:11" x14ac:dyDescent="0.25">
      <c r="D532" s="32"/>
      <c r="F532" s="28"/>
      <c r="K532" s="28"/>
    </row>
    <row r="533" spans="4:11" x14ac:dyDescent="0.25">
      <c r="D533" s="32"/>
      <c r="F533" s="28"/>
      <c r="K533" s="28"/>
    </row>
    <row r="534" spans="4:11" x14ac:dyDescent="0.25">
      <c r="D534" s="32"/>
      <c r="F534" s="28"/>
      <c r="K534" s="28"/>
    </row>
    <row r="535" spans="4:11" x14ac:dyDescent="0.25">
      <c r="D535" s="32"/>
      <c r="F535" s="28"/>
      <c r="K535" s="28"/>
    </row>
    <row r="536" spans="4:11" x14ac:dyDescent="0.25">
      <c r="D536" s="32"/>
      <c r="F536" s="28"/>
      <c r="K536" s="28"/>
    </row>
    <row r="537" spans="4:11" x14ac:dyDescent="0.25">
      <c r="D537" s="32"/>
      <c r="F537" s="28"/>
      <c r="K537" s="28"/>
    </row>
    <row r="538" spans="4:11" x14ac:dyDescent="0.25">
      <c r="D538" s="32"/>
      <c r="F538" s="28"/>
      <c r="K538" s="28"/>
    </row>
    <row r="539" spans="4:11" x14ac:dyDescent="0.25">
      <c r="D539" s="32"/>
      <c r="F539" s="28"/>
      <c r="K539" s="28"/>
    </row>
    <row r="540" spans="4:11" x14ac:dyDescent="0.25">
      <c r="D540" s="32"/>
      <c r="F540" s="28"/>
      <c r="K540" s="28"/>
    </row>
    <row r="541" spans="4:11" x14ac:dyDescent="0.25">
      <c r="D541" s="32"/>
      <c r="F541" s="28"/>
      <c r="K541" s="28"/>
    </row>
    <row r="542" spans="4:11" x14ac:dyDescent="0.25">
      <c r="D542" s="32"/>
      <c r="F542" s="28"/>
      <c r="K542" s="28"/>
    </row>
    <row r="543" spans="4:11" x14ac:dyDescent="0.25">
      <c r="D543" s="32"/>
      <c r="F543" s="28"/>
      <c r="K543" s="28"/>
    </row>
    <row r="544" spans="4:11" x14ac:dyDescent="0.25">
      <c r="D544" s="32"/>
      <c r="F544" s="28"/>
      <c r="K544" s="28"/>
    </row>
    <row r="545" spans="4:11" x14ac:dyDescent="0.25">
      <c r="D545" s="32"/>
      <c r="F545" s="28"/>
      <c r="K545" s="28"/>
    </row>
    <row r="546" spans="4:11" x14ac:dyDescent="0.25">
      <c r="D546" s="32"/>
      <c r="F546" s="28"/>
      <c r="K546" s="28"/>
    </row>
    <row r="547" spans="4:11" x14ac:dyDescent="0.25">
      <c r="D547" s="32"/>
      <c r="F547" s="28"/>
      <c r="K547" s="28"/>
    </row>
    <row r="548" spans="4:11" x14ac:dyDescent="0.25">
      <c r="D548" s="32"/>
      <c r="F548" s="28"/>
      <c r="K548" s="28"/>
    </row>
    <row r="549" spans="4:11" x14ac:dyDescent="0.25">
      <c r="D549" s="32"/>
      <c r="F549" s="28"/>
      <c r="K549" s="28"/>
    </row>
    <row r="550" spans="4:11" x14ac:dyDescent="0.25">
      <c r="D550" s="32"/>
      <c r="F550" s="28"/>
      <c r="K550" s="28"/>
    </row>
    <row r="551" spans="4:11" x14ac:dyDescent="0.25">
      <c r="D551" s="32"/>
      <c r="F551" s="28"/>
      <c r="K551" s="28"/>
    </row>
    <row r="552" spans="4:11" x14ac:dyDescent="0.25">
      <c r="D552" s="32"/>
      <c r="F552" s="28"/>
      <c r="K552" s="28"/>
    </row>
    <row r="553" spans="4:11" x14ac:dyDescent="0.25">
      <c r="D553" s="32"/>
      <c r="F553" s="28"/>
      <c r="K553" s="28"/>
    </row>
    <row r="554" spans="4:11" x14ac:dyDescent="0.25">
      <c r="D554" s="32"/>
      <c r="F554" s="28"/>
      <c r="K554" s="28"/>
    </row>
    <row r="555" spans="4:11" x14ac:dyDescent="0.25">
      <c r="D555" s="32"/>
      <c r="F555" s="28"/>
      <c r="K555" s="28"/>
    </row>
    <row r="556" spans="4:11" x14ac:dyDescent="0.25">
      <c r="D556" s="32"/>
      <c r="F556" s="28"/>
      <c r="K556" s="28"/>
    </row>
    <row r="557" spans="4:11" x14ac:dyDescent="0.25">
      <c r="D557" s="32"/>
      <c r="F557" s="28"/>
      <c r="K557" s="28"/>
    </row>
    <row r="558" spans="4:11" x14ac:dyDescent="0.25">
      <c r="D558" s="32"/>
      <c r="F558" s="28"/>
      <c r="K558" s="28"/>
    </row>
    <row r="559" spans="4:11" x14ac:dyDescent="0.25">
      <c r="D559" s="32"/>
      <c r="F559" s="28"/>
      <c r="K559" s="28"/>
    </row>
    <row r="560" spans="4:11" x14ac:dyDescent="0.25">
      <c r="D560" s="32"/>
      <c r="F560" s="28"/>
      <c r="K560" s="28"/>
    </row>
    <row r="561" spans="4:11" x14ac:dyDescent="0.25">
      <c r="D561" s="32"/>
      <c r="F561" s="28"/>
      <c r="K561" s="28"/>
    </row>
    <row r="562" spans="4:11" x14ac:dyDescent="0.25">
      <c r="D562" s="32"/>
      <c r="F562" s="28"/>
      <c r="K562" s="28"/>
    </row>
    <row r="563" spans="4:11" x14ac:dyDescent="0.25">
      <c r="D563" s="32"/>
      <c r="F563" s="28"/>
      <c r="K563" s="28"/>
    </row>
    <row r="564" spans="4:11" x14ac:dyDescent="0.25">
      <c r="D564" s="32"/>
      <c r="F564" s="28"/>
      <c r="K564" s="28"/>
    </row>
    <row r="565" spans="4:11" x14ac:dyDescent="0.25">
      <c r="D565" s="32"/>
      <c r="F565" s="28"/>
      <c r="K565" s="28"/>
    </row>
    <row r="566" spans="4:11" x14ac:dyDescent="0.25">
      <c r="D566" s="32"/>
      <c r="F566" s="28"/>
      <c r="K566" s="28"/>
    </row>
    <row r="567" spans="4:11" x14ac:dyDescent="0.25">
      <c r="D567" s="32"/>
      <c r="F567" s="28"/>
      <c r="K567" s="28"/>
    </row>
    <row r="568" spans="4:11" x14ac:dyDescent="0.25">
      <c r="D568" s="32"/>
      <c r="F568" s="28"/>
      <c r="K568" s="28"/>
    </row>
    <row r="569" spans="4:11" x14ac:dyDescent="0.25">
      <c r="D569" s="32"/>
      <c r="F569" s="28"/>
      <c r="K569" s="28"/>
    </row>
    <row r="570" spans="4:11" x14ac:dyDescent="0.25">
      <c r="D570" s="32"/>
      <c r="F570" s="28"/>
      <c r="K570" s="28"/>
    </row>
    <row r="571" spans="4:11" x14ac:dyDescent="0.25">
      <c r="D571" s="32"/>
      <c r="F571" s="28"/>
      <c r="K571" s="28"/>
    </row>
    <row r="572" spans="4:11" x14ac:dyDescent="0.25">
      <c r="D572" s="32"/>
      <c r="F572" s="28"/>
      <c r="K572" s="28"/>
    </row>
    <row r="573" spans="4:11" x14ac:dyDescent="0.25">
      <c r="D573" s="32"/>
      <c r="F573" s="28"/>
      <c r="K573" s="28"/>
    </row>
    <row r="574" spans="4:11" x14ac:dyDescent="0.25">
      <c r="D574" s="32"/>
      <c r="F574" s="28"/>
      <c r="K574" s="28"/>
    </row>
    <row r="575" spans="4:11" x14ac:dyDescent="0.25">
      <c r="D575" s="32"/>
      <c r="F575" s="28"/>
      <c r="K575" s="28"/>
    </row>
    <row r="576" spans="4:11" x14ac:dyDescent="0.25">
      <c r="D576" s="32"/>
      <c r="F576" s="28"/>
      <c r="K576" s="28"/>
    </row>
    <row r="577" spans="4:11" x14ac:dyDescent="0.25">
      <c r="D577" s="32"/>
      <c r="F577" s="28"/>
      <c r="K577" s="28"/>
    </row>
    <row r="578" spans="4:11" x14ac:dyDescent="0.25">
      <c r="D578" s="32"/>
      <c r="F578" s="28"/>
      <c r="K578" s="28"/>
    </row>
    <row r="579" spans="4:11" x14ac:dyDescent="0.25">
      <c r="D579" s="32"/>
      <c r="F579" s="28"/>
      <c r="K579" s="28"/>
    </row>
    <row r="580" spans="4:11" x14ac:dyDescent="0.25">
      <c r="D580" s="32"/>
      <c r="F580" s="28"/>
      <c r="K580" s="28"/>
    </row>
    <row r="581" spans="4:11" x14ac:dyDescent="0.25">
      <c r="D581" s="32"/>
      <c r="F581" s="28"/>
      <c r="K581" s="28"/>
    </row>
    <row r="582" spans="4:11" x14ac:dyDescent="0.25">
      <c r="D582" s="32"/>
      <c r="F582" s="28"/>
      <c r="K582" s="28"/>
    </row>
    <row r="583" spans="4:11" x14ac:dyDescent="0.25">
      <c r="D583" s="32"/>
      <c r="F583" s="28"/>
      <c r="K583" s="28"/>
    </row>
    <row r="584" spans="4:11" x14ac:dyDescent="0.25">
      <c r="D584" s="32"/>
      <c r="F584" s="28"/>
      <c r="K584" s="28"/>
    </row>
    <row r="585" spans="4:11" x14ac:dyDescent="0.25">
      <c r="D585" s="32"/>
      <c r="F585" s="28"/>
      <c r="K585" s="28"/>
    </row>
    <row r="586" spans="4:11" x14ac:dyDescent="0.25">
      <c r="D586" s="32"/>
      <c r="F586" s="28"/>
      <c r="K586" s="28"/>
    </row>
    <row r="587" spans="4:11" x14ac:dyDescent="0.25">
      <c r="D587" s="32"/>
      <c r="F587" s="28"/>
      <c r="K587" s="28"/>
    </row>
    <row r="588" spans="4:11" x14ac:dyDescent="0.25">
      <c r="D588" s="32"/>
      <c r="F588" s="28"/>
      <c r="K588" s="28"/>
    </row>
  </sheetData>
  <autoFilter ref="A2:R319" xr:uid="{00000000-0001-0000-00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7"/>
  <sheetViews>
    <sheetView zoomScale="80" zoomScaleNormal="80" workbookViewId="0">
      <pane xSplit="2" ySplit="2" topLeftCell="E3" activePane="bottomRight" state="frozen"/>
      <selection activeCell="A3" sqref="A3:P649"/>
      <selection pane="topRight" activeCell="A3" sqref="A3:P649"/>
      <selection pane="bottomLeft" activeCell="A3" sqref="A3:P649"/>
      <selection pane="bottomRight" activeCell="A3" sqref="A3:P649"/>
    </sheetView>
  </sheetViews>
  <sheetFormatPr defaultRowHeight="13.2" x14ac:dyDescent="0.25"/>
  <cols>
    <col min="1" max="1" width="12.6640625" bestFit="1" customWidth="1"/>
    <col min="2" max="2" width="39.44140625" bestFit="1" customWidth="1"/>
    <col min="3" max="3" width="18.33203125" bestFit="1" customWidth="1"/>
    <col min="4" max="4" width="15.44140625" style="23"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0"/>
      <c r="D1" s="1">
        <f>SUBTOTAL(9,D3:D994)</f>
        <v>7575530.0000000009</v>
      </c>
      <c r="E1" s="1"/>
      <c r="R1" s="3">
        <v>46197</v>
      </c>
    </row>
    <row r="2" spans="1:18" x14ac:dyDescent="0.25">
      <c r="A2" s="2" t="s">
        <v>4</v>
      </c>
      <c r="B2" s="2" t="s">
        <v>3</v>
      </c>
      <c r="C2" s="2" t="s">
        <v>0</v>
      </c>
      <c r="D2" s="29" t="s">
        <v>6</v>
      </c>
      <c r="E2" s="2" t="s">
        <v>199</v>
      </c>
      <c r="F2" s="2" t="s">
        <v>2</v>
      </c>
      <c r="G2" s="2" t="s">
        <v>198</v>
      </c>
      <c r="H2" s="2" t="s">
        <v>200</v>
      </c>
      <c r="I2" s="2" t="s">
        <v>201</v>
      </c>
      <c r="J2" s="2" t="s">
        <v>1</v>
      </c>
      <c r="K2" s="2" t="s">
        <v>202</v>
      </c>
      <c r="L2" s="2" t="s">
        <v>203</v>
      </c>
      <c r="M2" s="2" t="s">
        <v>204</v>
      </c>
      <c r="N2" s="2" t="s">
        <v>205</v>
      </c>
      <c r="O2" s="2" t="s">
        <v>206</v>
      </c>
      <c r="P2" s="2" t="s">
        <v>352</v>
      </c>
      <c r="Q2" s="4" t="s">
        <v>5</v>
      </c>
    </row>
    <row r="3" spans="1:18" x14ac:dyDescent="0.25">
      <c r="A3">
        <v>3297</v>
      </c>
      <c r="B3" t="s">
        <v>550</v>
      </c>
      <c r="C3" t="s">
        <v>26</v>
      </c>
      <c r="D3" s="32">
        <v>49956.68</v>
      </c>
      <c r="E3">
        <v>1246271355</v>
      </c>
      <c r="F3" s="28">
        <v>46200</v>
      </c>
      <c r="H3" t="s">
        <v>23</v>
      </c>
      <c r="I3" t="s">
        <v>24</v>
      </c>
      <c r="J3">
        <v>11123</v>
      </c>
      <c r="K3" s="28">
        <v>46126</v>
      </c>
      <c r="L3">
        <v>1010200</v>
      </c>
      <c r="M3" t="s">
        <v>113</v>
      </c>
      <c r="N3">
        <v>40</v>
      </c>
      <c r="O3" t="s">
        <v>155</v>
      </c>
      <c r="P3" t="s">
        <v>550</v>
      </c>
      <c r="Q3">
        <f t="shared" ref="Q3:Q35" si="0">$R$1-F3</f>
        <v>-3</v>
      </c>
      <c r="R3" t="str">
        <f>_xlfn.XLOOKUP(P3,'Painel International'!$B:$B,'Painel International'!$B:$B,0)</f>
        <v>MACROSOURCE PERU S.R.L.</v>
      </c>
    </row>
    <row r="4" spans="1:18" x14ac:dyDescent="0.25">
      <c r="A4">
        <v>2680</v>
      </c>
      <c r="B4" t="s">
        <v>313</v>
      </c>
      <c r="C4" t="s">
        <v>26</v>
      </c>
      <c r="D4" s="32">
        <v>175275.24</v>
      </c>
      <c r="E4">
        <v>1246272069</v>
      </c>
      <c r="F4" s="28">
        <v>46194</v>
      </c>
      <c r="H4" t="s">
        <v>23</v>
      </c>
      <c r="I4" t="s">
        <v>24</v>
      </c>
      <c r="J4">
        <v>11191</v>
      </c>
      <c r="K4" s="28">
        <v>46134</v>
      </c>
      <c r="L4">
        <v>1010200</v>
      </c>
      <c r="M4" t="s">
        <v>113</v>
      </c>
      <c r="N4">
        <v>40</v>
      </c>
      <c r="O4" t="s">
        <v>155</v>
      </c>
      <c r="P4" t="s">
        <v>313</v>
      </c>
      <c r="Q4">
        <f t="shared" si="0"/>
        <v>3</v>
      </c>
      <c r="R4" t="str">
        <f>_xlfn.XLOOKUP(P4,'Painel International'!$B:$B,'Painel International'!$B:$B,0)</f>
        <v>FERMAGRI S.A - EQUADOR</v>
      </c>
    </row>
    <row r="5" spans="1:18" x14ac:dyDescent="0.25">
      <c r="A5">
        <v>2696</v>
      </c>
      <c r="B5" t="s">
        <v>119</v>
      </c>
      <c r="C5" t="s">
        <v>26</v>
      </c>
      <c r="D5" s="32">
        <v>94148.95</v>
      </c>
      <c r="E5">
        <v>1246279520</v>
      </c>
      <c r="F5" s="28">
        <v>46278</v>
      </c>
      <c r="H5" t="s">
        <v>23</v>
      </c>
      <c r="I5" t="s">
        <v>24</v>
      </c>
      <c r="J5">
        <v>11712</v>
      </c>
      <c r="K5" s="28">
        <v>46188</v>
      </c>
      <c r="L5">
        <v>1010200</v>
      </c>
      <c r="M5" t="s">
        <v>113</v>
      </c>
      <c r="N5">
        <v>40</v>
      </c>
      <c r="O5" t="s">
        <v>155</v>
      </c>
      <c r="P5" t="s">
        <v>119</v>
      </c>
      <c r="Q5">
        <f t="shared" si="0"/>
        <v>-81</v>
      </c>
      <c r="R5" t="str">
        <f>_xlfn.XLOOKUP(P5,'Painel International'!$B:$B,'Painel International'!$B:$B,0)</f>
        <v>MOSAIC FERTILIZANTES PARAGUAY S.R.L.</v>
      </c>
    </row>
    <row r="6" spans="1:18" x14ac:dyDescent="0.25">
      <c r="A6">
        <v>2696</v>
      </c>
      <c r="B6" t="s">
        <v>119</v>
      </c>
      <c r="C6" t="s">
        <v>26</v>
      </c>
      <c r="D6" s="32">
        <v>91784.41</v>
      </c>
      <c r="E6">
        <v>1246274791</v>
      </c>
      <c r="F6" s="28">
        <v>46245</v>
      </c>
      <c r="H6" t="s">
        <v>23</v>
      </c>
      <c r="I6" t="s">
        <v>24</v>
      </c>
      <c r="J6">
        <v>11378</v>
      </c>
      <c r="K6" s="28">
        <v>46155</v>
      </c>
      <c r="L6">
        <v>1010200</v>
      </c>
      <c r="M6" t="s">
        <v>113</v>
      </c>
      <c r="N6">
        <v>40</v>
      </c>
      <c r="O6" t="s">
        <v>155</v>
      </c>
      <c r="P6" t="s">
        <v>119</v>
      </c>
      <c r="Q6">
        <f t="shared" si="0"/>
        <v>-48</v>
      </c>
      <c r="R6" t="str">
        <f>_xlfn.XLOOKUP(P6,'Painel International'!$B:$B,'Painel International'!$B:$B,0)</f>
        <v>MOSAIC FERTILIZANTES PARAGUAY S.R.L.</v>
      </c>
    </row>
    <row r="7" spans="1:18" x14ac:dyDescent="0.25">
      <c r="A7">
        <v>2696</v>
      </c>
      <c r="B7" t="s">
        <v>119</v>
      </c>
      <c r="C7" t="s">
        <v>26</v>
      </c>
      <c r="D7" s="32">
        <v>118833.22</v>
      </c>
      <c r="E7">
        <v>1246278569</v>
      </c>
      <c r="F7" s="28">
        <v>46271</v>
      </c>
      <c r="H7" t="s">
        <v>23</v>
      </c>
      <c r="I7" t="s">
        <v>24</v>
      </c>
      <c r="J7">
        <v>11641</v>
      </c>
      <c r="K7" s="28">
        <v>46181</v>
      </c>
      <c r="L7">
        <v>1010200</v>
      </c>
      <c r="M7" t="s">
        <v>113</v>
      </c>
      <c r="N7">
        <v>40</v>
      </c>
      <c r="O7" t="s">
        <v>155</v>
      </c>
      <c r="P7" t="s">
        <v>119</v>
      </c>
      <c r="Q7">
        <f t="shared" si="0"/>
        <v>-74</v>
      </c>
      <c r="R7" t="str">
        <f>_xlfn.XLOOKUP(P7,'Painel International'!$B:$B,'Painel International'!$B:$B,0)</f>
        <v>MOSAIC FERTILIZANTES PARAGUAY S.R.L.</v>
      </c>
    </row>
    <row r="8" spans="1:18" x14ac:dyDescent="0.25">
      <c r="A8">
        <v>2696</v>
      </c>
      <c r="B8" t="s">
        <v>119</v>
      </c>
      <c r="C8" t="s">
        <v>26</v>
      </c>
      <c r="D8" s="32">
        <v>116719.31</v>
      </c>
      <c r="E8">
        <v>1246277374</v>
      </c>
      <c r="F8" s="28">
        <v>46261</v>
      </c>
      <c r="H8" t="s">
        <v>23</v>
      </c>
      <c r="I8" t="s">
        <v>24</v>
      </c>
      <c r="J8">
        <v>11551</v>
      </c>
      <c r="K8" s="28">
        <v>46171</v>
      </c>
      <c r="L8">
        <v>1010200</v>
      </c>
      <c r="M8" t="s">
        <v>113</v>
      </c>
      <c r="N8">
        <v>40</v>
      </c>
      <c r="O8" t="s">
        <v>155</v>
      </c>
      <c r="P8" t="s">
        <v>119</v>
      </c>
      <c r="Q8">
        <f t="shared" si="0"/>
        <v>-64</v>
      </c>
      <c r="R8" t="str">
        <f>_xlfn.XLOOKUP(P8,'Painel International'!$B:$B,'Painel International'!$B:$B,0)</f>
        <v>MOSAIC FERTILIZANTES PARAGUAY S.R.L.</v>
      </c>
    </row>
    <row r="9" spans="1:18" x14ac:dyDescent="0.25">
      <c r="A9">
        <v>2696</v>
      </c>
      <c r="B9" t="s">
        <v>119</v>
      </c>
      <c r="C9" t="s">
        <v>26</v>
      </c>
      <c r="D9" s="32">
        <v>116211.91</v>
      </c>
      <c r="E9">
        <v>1246278291</v>
      </c>
      <c r="F9" s="28">
        <v>46268</v>
      </c>
      <c r="H9" t="s">
        <v>23</v>
      </c>
      <c r="I9" t="s">
        <v>24</v>
      </c>
      <c r="J9">
        <v>11599</v>
      </c>
      <c r="K9" s="28">
        <v>46178</v>
      </c>
      <c r="L9">
        <v>1010200</v>
      </c>
      <c r="M9" t="s">
        <v>113</v>
      </c>
      <c r="N9">
        <v>40</v>
      </c>
      <c r="O9" t="s">
        <v>155</v>
      </c>
      <c r="P9" t="s">
        <v>119</v>
      </c>
      <c r="Q9">
        <f t="shared" si="0"/>
        <v>-71</v>
      </c>
      <c r="R9" t="str">
        <f>_xlfn.XLOOKUP(P9,'Painel International'!$B:$B,'Painel International'!$B:$B,0)</f>
        <v>MOSAIC FERTILIZANTES PARAGUAY S.R.L.</v>
      </c>
    </row>
    <row r="10" spans="1:18" x14ac:dyDescent="0.25">
      <c r="A10">
        <v>2645</v>
      </c>
      <c r="B10" t="s">
        <v>342</v>
      </c>
      <c r="C10" t="s">
        <v>26</v>
      </c>
      <c r="D10" s="32">
        <v>143222.74</v>
      </c>
      <c r="E10">
        <v>1246277225</v>
      </c>
      <c r="F10" s="28">
        <v>46200</v>
      </c>
      <c r="H10" t="s">
        <v>23</v>
      </c>
      <c r="I10" t="s">
        <v>24</v>
      </c>
      <c r="J10">
        <v>11529</v>
      </c>
      <c r="K10" s="28">
        <v>46170</v>
      </c>
      <c r="L10">
        <v>1010200</v>
      </c>
      <c r="M10" t="s">
        <v>113</v>
      </c>
      <c r="N10">
        <v>40</v>
      </c>
      <c r="O10" t="s">
        <v>155</v>
      </c>
      <c r="P10" t="s">
        <v>342</v>
      </c>
      <c r="Q10">
        <f t="shared" si="0"/>
        <v>-3</v>
      </c>
      <c r="R10" t="str">
        <f>_xlfn.XLOOKUP(P10,'Painel International'!$B:$B,'Painel International'!$B:$B,0)</f>
        <v>ANAGRA - CHILE</v>
      </c>
    </row>
    <row r="11" spans="1:18" x14ac:dyDescent="0.25">
      <c r="A11">
        <v>2651</v>
      </c>
      <c r="B11" t="s">
        <v>116</v>
      </c>
      <c r="C11" t="s">
        <v>26</v>
      </c>
      <c r="D11" s="32">
        <v>132309.32999999999</v>
      </c>
      <c r="E11">
        <v>1246278533</v>
      </c>
      <c r="F11" s="28">
        <v>46241</v>
      </c>
      <c r="H11" t="s">
        <v>23</v>
      </c>
      <c r="I11" t="s">
        <v>24</v>
      </c>
      <c r="J11">
        <v>3002</v>
      </c>
      <c r="K11" s="28">
        <v>46181</v>
      </c>
      <c r="L11">
        <v>1010200</v>
      </c>
      <c r="M11" t="s">
        <v>113</v>
      </c>
      <c r="N11">
        <v>40</v>
      </c>
      <c r="O11" t="s">
        <v>155</v>
      </c>
      <c r="P11" t="s">
        <v>116</v>
      </c>
      <c r="Q11">
        <f t="shared" si="0"/>
        <v>-44</v>
      </c>
      <c r="R11" t="str">
        <f>_xlfn.XLOOKUP(P11,'Painel International'!$B:$B,'Painel International'!$B:$B,0)</f>
        <v>AGROBROKERS - COLÔMBIA</v>
      </c>
    </row>
    <row r="12" spans="1:18" x14ac:dyDescent="0.25">
      <c r="A12">
        <v>2652</v>
      </c>
      <c r="B12" t="s">
        <v>117</v>
      </c>
      <c r="C12" t="s">
        <v>26</v>
      </c>
      <c r="D12" s="32">
        <v>166161.39000000001</v>
      </c>
      <c r="E12">
        <v>1246279339</v>
      </c>
      <c r="F12" s="28">
        <v>46215</v>
      </c>
      <c r="H12" t="s">
        <v>23</v>
      </c>
      <c r="I12" t="s">
        <v>24</v>
      </c>
      <c r="J12">
        <v>11691</v>
      </c>
      <c r="K12" s="28">
        <v>46185</v>
      </c>
      <c r="L12">
        <v>1010200</v>
      </c>
      <c r="M12" t="s">
        <v>113</v>
      </c>
      <c r="N12">
        <v>40</v>
      </c>
      <c r="O12" t="s">
        <v>155</v>
      </c>
      <c r="P12" t="s">
        <v>117</v>
      </c>
      <c r="Q12">
        <f t="shared" si="0"/>
        <v>-18</v>
      </c>
      <c r="R12" t="str">
        <f>_xlfn.XLOOKUP(P12,'Painel International'!$B:$B,'Painel International'!$B:$B,0)</f>
        <v>FERTIMAX PARAGUAY</v>
      </c>
    </row>
    <row r="13" spans="1:18" x14ac:dyDescent="0.25">
      <c r="A13">
        <v>2287</v>
      </c>
      <c r="B13" t="s">
        <v>114</v>
      </c>
      <c r="C13" t="s">
        <v>115</v>
      </c>
      <c r="D13" s="32">
        <v>152321.98999999996</v>
      </c>
      <c r="E13">
        <v>1246279865</v>
      </c>
      <c r="F13" s="28">
        <v>46220</v>
      </c>
      <c r="H13" t="s">
        <v>23</v>
      </c>
      <c r="I13" t="s">
        <v>24</v>
      </c>
      <c r="J13">
        <v>11738</v>
      </c>
      <c r="K13" s="28">
        <v>46190</v>
      </c>
      <c r="L13">
        <v>1010200</v>
      </c>
      <c r="M13" t="s">
        <v>113</v>
      </c>
      <c r="N13">
        <v>40</v>
      </c>
      <c r="O13" t="s">
        <v>155</v>
      </c>
      <c r="P13" t="s">
        <v>114</v>
      </c>
      <c r="Q13">
        <f t="shared" si="0"/>
        <v>-23</v>
      </c>
      <c r="R13" t="str">
        <f>_xlfn.XLOOKUP(P13,'Painel International'!$B:$B,'Painel International'!$B:$B,0)</f>
        <v>BUNGE PARAGUAY S.A</v>
      </c>
    </row>
    <row r="14" spans="1:18" x14ac:dyDescent="0.25">
      <c r="A14">
        <v>2287</v>
      </c>
      <c r="B14" t="s">
        <v>114</v>
      </c>
      <c r="C14" t="s">
        <v>115</v>
      </c>
      <c r="D14" s="32">
        <v>155118.66</v>
      </c>
      <c r="E14">
        <v>1246278696</v>
      </c>
      <c r="F14" s="28">
        <v>46212</v>
      </c>
      <c r="H14" t="s">
        <v>23</v>
      </c>
      <c r="I14" t="s">
        <v>24</v>
      </c>
      <c r="J14">
        <v>11655</v>
      </c>
      <c r="K14" s="28">
        <v>46182</v>
      </c>
      <c r="L14">
        <v>1010200</v>
      </c>
      <c r="M14" t="s">
        <v>113</v>
      </c>
      <c r="N14">
        <v>40</v>
      </c>
      <c r="O14" t="s">
        <v>155</v>
      </c>
      <c r="P14" t="s">
        <v>114</v>
      </c>
      <c r="Q14">
        <f t="shared" si="0"/>
        <v>-15</v>
      </c>
      <c r="R14" t="str">
        <f>_xlfn.XLOOKUP(P14,'Painel International'!$B:$B,'Painel International'!$B:$B,0)</f>
        <v>BUNGE PARAGUAY S.A</v>
      </c>
    </row>
    <row r="15" spans="1:18" x14ac:dyDescent="0.25">
      <c r="A15">
        <v>2656</v>
      </c>
      <c r="B15" t="s">
        <v>118</v>
      </c>
      <c r="C15" t="s">
        <v>26</v>
      </c>
      <c r="D15" s="32">
        <v>161121.25</v>
      </c>
      <c r="E15">
        <v>1246279391</v>
      </c>
      <c r="F15" s="28">
        <v>46215</v>
      </c>
      <c r="H15" t="s">
        <v>23</v>
      </c>
      <c r="I15" t="s">
        <v>24</v>
      </c>
      <c r="J15">
        <v>11700</v>
      </c>
      <c r="K15" s="28">
        <v>46185</v>
      </c>
      <c r="L15">
        <v>1010200</v>
      </c>
      <c r="M15" t="s">
        <v>113</v>
      </c>
      <c r="N15">
        <v>40</v>
      </c>
      <c r="O15" t="s">
        <v>155</v>
      </c>
      <c r="P15" t="s">
        <v>118</v>
      </c>
      <c r="Q15">
        <f t="shared" si="0"/>
        <v>-18</v>
      </c>
      <c r="R15" t="str">
        <f>_xlfn.XLOOKUP(P15,'Painel International'!$B:$B,'Painel International'!$B:$B,0)</f>
        <v>ISUSA - URUGUAI</v>
      </c>
    </row>
    <row r="16" spans="1:18" x14ac:dyDescent="0.25">
      <c r="A16">
        <v>2656</v>
      </c>
      <c r="B16" t="s">
        <v>118</v>
      </c>
      <c r="C16" t="s">
        <v>26</v>
      </c>
      <c r="D16" s="32">
        <v>443929.79000000004</v>
      </c>
      <c r="E16">
        <v>1246277257</v>
      </c>
      <c r="F16" s="28">
        <v>46200</v>
      </c>
      <c r="H16" t="s">
        <v>23</v>
      </c>
      <c r="I16" t="s">
        <v>24</v>
      </c>
      <c r="J16">
        <v>2977</v>
      </c>
      <c r="K16" s="28">
        <v>46170</v>
      </c>
      <c r="L16">
        <v>1010200</v>
      </c>
      <c r="M16" t="s">
        <v>113</v>
      </c>
      <c r="N16">
        <v>40</v>
      </c>
      <c r="O16" t="s">
        <v>155</v>
      </c>
      <c r="P16" t="s">
        <v>118</v>
      </c>
      <c r="Q16">
        <f t="shared" si="0"/>
        <v>-3</v>
      </c>
      <c r="R16" t="str">
        <f>_xlfn.XLOOKUP(P16,'Painel International'!$B:$B,'Painel International'!$B:$B,0)</f>
        <v>ISUSA - URUGUAI</v>
      </c>
    </row>
    <row r="17" spans="1:18" x14ac:dyDescent="0.25">
      <c r="A17">
        <v>5882</v>
      </c>
      <c r="B17" t="s">
        <v>162</v>
      </c>
      <c r="C17" t="s">
        <v>26</v>
      </c>
      <c r="D17" s="32">
        <v>131282.87</v>
      </c>
      <c r="E17">
        <v>1246273745</v>
      </c>
      <c r="F17" s="28">
        <v>46238</v>
      </c>
      <c r="H17" t="s">
        <v>23</v>
      </c>
      <c r="I17" t="s">
        <v>24</v>
      </c>
      <c r="J17">
        <v>11311</v>
      </c>
      <c r="K17" s="28">
        <v>46148</v>
      </c>
      <c r="L17">
        <v>1010200</v>
      </c>
      <c r="M17" t="s">
        <v>113</v>
      </c>
      <c r="N17">
        <v>40</v>
      </c>
      <c r="O17" t="s">
        <v>155</v>
      </c>
      <c r="P17" t="s">
        <v>162</v>
      </c>
      <c r="Q17">
        <f t="shared" si="0"/>
        <v>-41</v>
      </c>
      <c r="R17" t="str">
        <f>_xlfn.XLOOKUP(P17,'Painel International'!$B:$B,'Painel International'!$B:$B,0)</f>
        <v>ABOPAR - PARAGUAY</v>
      </c>
    </row>
    <row r="18" spans="1:18" x14ac:dyDescent="0.25">
      <c r="A18">
        <v>5882</v>
      </c>
      <c r="B18" t="s">
        <v>162</v>
      </c>
      <c r="C18" t="s">
        <v>26</v>
      </c>
      <c r="D18" s="32">
        <v>133551.97</v>
      </c>
      <c r="E18">
        <v>1246275785</v>
      </c>
      <c r="F18" s="28">
        <v>46191</v>
      </c>
      <c r="H18" t="s">
        <v>23</v>
      </c>
      <c r="I18" t="s">
        <v>24</v>
      </c>
      <c r="J18">
        <v>11439</v>
      </c>
      <c r="K18" s="28">
        <v>46161</v>
      </c>
      <c r="L18">
        <v>1010200</v>
      </c>
      <c r="M18" t="s">
        <v>113</v>
      </c>
      <c r="N18">
        <v>40</v>
      </c>
      <c r="O18" t="s">
        <v>155</v>
      </c>
      <c r="P18" t="s">
        <v>162</v>
      </c>
      <c r="Q18">
        <f t="shared" si="0"/>
        <v>6</v>
      </c>
      <c r="R18" t="str">
        <f>_xlfn.XLOOKUP(P18,'Painel International'!$B:$B,'Painel International'!$B:$B,0)</f>
        <v>ABOPAR - PARAGUAY</v>
      </c>
    </row>
    <row r="19" spans="1:18" x14ac:dyDescent="0.25">
      <c r="A19">
        <v>6370</v>
      </c>
      <c r="B19" t="s">
        <v>264</v>
      </c>
      <c r="C19" t="s">
        <v>27</v>
      </c>
      <c r="D19" s="32">
        <v>191959.21</v>
      </c>
      <c r="E19">
        <v>1246276420</v>
      </c>
      <c r="F19" s="28">
        <v>46194</v>
      </c>
      <c r="H19" t="s">
        <v>23</v>
      </c>
      <c r="I19" t="s">
        <v>24</v>
      </c>
      <c r="J19">
        <v>11482</v>
      </c>
      <c r="K19" s="28">
        <v>46164</v>
      </c>
      <c r="L19">
        <v>1010200</v>
      </c>
      <c r="M19" t="s">
        <v>113</v>
      </c>
      <c r="N19">
        <v>40</v>
      </c>
      <c r="O19" t="s">
        <v>155</v>
      </c>
      <c r="P19" t="s">
        <v>264</v>
      </c>
      <c r="Q19">
        <f t="shared" si="0"/>
        <v>3</v>
      </c>
      <c r="R19" t="str">
        <f>_xlfn.XLOOKUP(P19,'Painel International'!$B:$B,'Painel International'!$B:$B,0)</f>
        <v>YTL S.A. - PARAGUAI</v>
      </c>
    </row>
    <row r="20" spans="1:18" x14ac:dyDescent="0.25">
      <c r="A20">
        <v>6370</v>
      </c>
      <c r="B20" t="s">
        <v>264</v>
      </c>
      <c r="C20" t="s">
        <v>27</v>
      </c>
      <c r="D20" s="32">
        <v>153585.79</v>
      </c>
      <c r="E20">
        <v>1246279180</v>
      </c>
      <c r="F20" s="28">
        <v>46214</v>
      </c>
      <c r="H20" t="s">
        <v>23</v>
      </c>
      <c r="I20" t="s">
        <v>24</v>
      </c>
      <c r="J20">
        <v>11677</v>
      </c>
      <c r="K20" s="28">
        <v>46184</v>
      </c>
      <c r="L20">
        <v>1010200</v>
      </c>
      <c r="M20" t="s">
        <v>113</v>
      </c>
      <c r="N20">
        <v>40</v>
      </c>
      <c r="O20" t="s">
        <v>155</v>
      </c>
      <c r="P20" t="s">
        <v>264</v>
      </c>
      <c r="Q20">
        <f t="shared" si="0"/>
        <v>-17</v>
      </c>
      <c r="R20" t="str">
        <f>_xlfn.XLOOKUP(P20,'Painel International'!$B:$B,'Painel International'!$B:$B,0)</f>
        <v>YTL S.A. - PARAGUAI</v>
      </c>
    </row>
    <row r="21" spans="1:18" x14ac:dyDescent="0.25">
      <c r="A21">
        <v>6370</v>
      </c>
      <c r="B21" t="s">
        <v>264</v>
      </c>
      <c r="C21" t="s">
        <v>27</v>
      </c>
      <c r="D21" s="32">
        <v>148168.94</v>
      </c>
      <c r="E21">
        <v>1246277816</v>
      </c>
      <c r="F21" s="28">
        <v>46205</v>
      </c>
      <c r="H21" t="s">
        <v>23</v>
      </c>
      <c r="I21" t="s">
        <v>24</v>
      </c>
      <c r="J21">
        <v>11578</v>
      </c>
      <c r="K21" s="28">
        <v>46175</v>
      </c>
      <c r="L21">
        <v>1010200</v>
      </c>
      <c r="M21" t="s">
        <v>113</v>
      </c>
      <c r="N21">
        <v>40</v>
      </c>
      <c r="O21" t="s">
        <v>155</v>
      </c>
      <c r="P21" t="s">
        <v>264</v>
      </c>
      <c r="Q21">
        <f t="shared" si="0"/>
        <v>-8</v>
      </c>
      <c r="R21" t="str">
        <f>_xlfn.XLOOKUP(P21,'Painel International'!$B:$B,'Painel International'!$B:$B,0)</f>
        <v>YTL S.A. - PARAGUAI</v>
      </c>
    </row>
    <row r="22" spans="1:18" x14ac:dyDescent="0.25">
      <c r="A22">
        <v>6370</v>
      </c>
      <c r="B22" t="s">
        <v>264</v>
      </c>
      <c r="C22" t="s">
        <v>27</v>
      </c>
      <c r="D22" s="32">
        <v>151926.89000000001</v>
      </c>
      <c r="E22">
        <v>1246280227</v>
      </c>
      <c r="F22" s="28">
        <v>46222</v>
      </c>
      <c r="H22" t="s">
        <v>23</v>
      </c>
      <c r="I22" t="s">
        <v>24</v>
      </c>
      <c r="J22">
        <v>11758</v>
      </c>
      <c r="K22" s="28">
        <v>46192</v>
      </c>
      <c r="L22">
        <v>1010200</v>
      </c>
      <c r="M22" t="s">
        <v>113</v>
      </c>
      <c r="N22">
        <v>40</v>
      </c>
      <c r="O22" t="s">
        <v>155</v>
      </c>
      <c r="P22" t="s">
        <v>264</v>
      </c>
      <c r="Q22">
        <f t="shared" si="0"/>
        <v>-25</v>
      </c>
      <c r="R22" t="str">
        <f>_xlfn.XLOOKUP(P22,'Painel International'!$B:$B,'Painel International'!$B:$B,0)</f>
        <v>YTL S.A. - PARAGUAI</v>
      </c>
    </row>
    <row r="23" spans="1:18" x14ac:dyDescent="0.25">
      <c r="A23">
        <v>9295</v>
      </c>
      <c r="B23" t="s">
        <v>333</v>
      </c>
      <c r="C23" t="s">
        <v>115</v>
      </c>
      <c r="D23" s="32">
        <v>132702.97</v>
      </c>
      <c r="E23">
        <v>1246279968</v>
      </c>
      <c r="F23" s="28">
        <v>46220</v>
      </c>
      <c r="H23" t="s">
        <v>23</v>
      </c>
      <c r="I23" t="s">
        <v>24</v>
      </c>
      <c r="J23">
        <v>11743</v>
      </c>
      <c r="K23" s="28">
        <v>46190</v>
      </c>
      <c r="L23">
        <v>1010200</v>
      </c>
      <c r="M23" t="s">
        <v>113</v>
      </c>
      <c r="N23">
        <v>40</v>
      </c>
      <c r="O23" t="s">
        <v>155</v>
      </c>
      <c r="P23" t="s">
        <v>333</v>
      </c>
      <c r="Q23">
        <f t="shared" si="0"/>
        <v>-23</v>
      </c>
      <c r="R23" t="str">
        <f>_xlfn.XLOOKUP(P23,'Painel International'!$B:$B,'Painel International'!$B:$B,0)</f>
        <v>TECNOMYL S.A. - PARAGUAY</v>
      </c>
    </row>
    <row r="24" spans="1:18" x14ac:dyDescent="0.25">
      <c r="A24">
        <v>9295</v>
      </c>
      <c r="B24" t="s">
        <v>333</v>
      </c>
      <c r="C24" t="s">
        <v>115</v>
      </c>
      <c r="D24" s="32">
        <v>132339.60999999999</v>
      </c>
      <c r="E24">
        <v>1246280075</v>
      </c>
      <c r="F24" s="28">
        <v>46221</v>
      </c>
      <c r="H24" t="s">
        <v>23</v>
      </c>
      <c r="I24" t="s">
        <v>24</v>
      </c>
      <c r="J24">
        <v>11745</v>
      </c>
      <c r="K24" s="28">
        <v>46191</v>
      </c>
      <c r="L24">
        <v>1010200</v>
      </c>
      <c r="M24" t="s">
        <v>113</v>
      </c>
      <c r="N24">
        <v>40</v>
      </c>
      <c r="O24" t="s">
        <v>155</v>
      </c>
      <c r="P24" t="s">
        <v>333</v>
      </c>
      <c r="Q24">
        <f t="shared" si="0"/>
        <v>-24</v>
      </c>
      <c r="R24" t="str">
        <f>_xlfn.XLOOKUP(P24,'Painel International'!$B:$B,'Painel International'!$B:$B,0)</f>
        <v>TECNOMYL S.A. - PARAGUAY</v>
      </c>
    </row>
    <row r="25" spans="1:18" x14ac:dyDescent="0.25">
      <c r="A25">
        <v>9355</v>
      </c>
      <c r="B25" t="s">
        <v>302</v>
      </c>
      <c r="C25" t="s">
        <v>26</v>
      </c>
      <c r="D25" s="32">
        <v>1211001.23</v>
      </c>
      <c r="E25">
        <v>1246277386</v>
      </c>
      <c r="F25" s="28">
        <v>46261</v>
      </c>
      <c r="H25" t="s">
        <v>23</v>
      </c>
      <c r="I25" t="s">
        <v>24</v>
      </c>
      <c r="J25">
        <v>2980</v>
      </c>
      <c r="K25" s="28">
        <v>46171</v>
      </c>
      <c r="L25">
        <v>1010200</v>
      </c>
      <c r="M25" t="s">
        <v>113</v>
      </c>
      <c r="N25">
        <v>40</v>
      </c>
      <c r="O25" t="s">
        <v>155</v>
      </c>
      <c r="P25" t="s">
        <v>302</v>
      </c>
      <c r="Q25">
        <f t="shared" si="0"/>
        <v>-64</v>
      </c>
      <c r="R25" t="str">
        <f>_xlfn.XLOOKUP(P25,'Painel International'!$B:$B,'Painel International'!$B:$B,0)</f>
        <v>NITROFERT SAS - COLOMBIA</v>
      </c>
    </row>
    <row r="26" spans="1:18" x14ac:dyDescent="0.25">
      <c r="A26">
        <v>9355</v>
      </c>
      <c r="B26" t="s">
        <v>302</v>
      </c>
      <c r="C26" t="s">
        <v>26</v>
      </c>
      <c r="D26" s="32">
        <v>684201.35</v>
      </c>
      <c r="E26">
        <v>1246278408</v>
      </c>
      <c r="F26" s="28">
        <v>46268</v>
      </c>
      <c r="H26" t="s">
        <v>23</v>
      </c>
      <c r="I26" t="s">
        <v>24</v>
      </c>
      <c r="J26">
        <v>11620</v>
      </c>
      <c r="K26" s="28">
        <v>46178</v>
      </c>
      <c r="L26">
        <v>1010200</v>
      </c>
      <c r="M26" t="s">
        <v>113</v>
      </c>
      <c r="N26">
        <v>40</v>
      </c>
      <c r="O26" t="s">
        <v>155</v>
      </c>
      <c r="P26" t="s">
        <v>302</v>
      </c>
      <c r="Q26">
        <f t="shared" si="0"/>
        <v>-71</v>
      </c>
      <c r="R26" t="str">
        <f>_xlfn.XLOOKUP(P26,'Painel International'!$B:$B,'Painel International'!$B:$B,0)</f>
        <v>NITROFERT SAS - COLOMBIA</v>
      </c>
    </row>
    <row r="27" spans="1:18" x14ac:dyDescent="0.25">
      <c r="A27">
        <v>9355</v>
      </c>
      <c r="B27" t="s">
        <v>302</v>
      </c>
      <c r="C27" t="s">
        <v>26</v>
      </c>
      <c r="D27" s="32">
        <v>337183.81</v>
      </c>
      <c r="E27">
        <v>1246273399</v>
      </c>
      <c r="F27" s="28">
        <v>46236</v>
      </c>
      <c r="H27" t="s">
        <v>23</v>
      </c>
      <c r="I27" t="s">
        <v>24</v>
      </c>
      <c r="J27">
        <v>11285</v>
      </c>
      <c r="K27" s="28">
        <v>46146</v>
      </c>
      <c r="L27">
        <v>1010200</v>
      </c>
      <c r="M27" t="s">
        <v>113</v>
      </c>
      <c r="N27">
        <v>40</v>
      </c>
      <c r="O27" t="s">
        <v>155</v>
      </c>
      <c r="P27" t="s">
        <v>302</v>
      </c>
      <c r="Q27">
        <f t="shared" si="0"/>
        <v>-39</v>
      </c>
      <c r="R27" t="str">
        <f>_xlfn.XLOOKUP(P27,'Painel International'!$B:$B,'Painel International'!$B:$B,0)</f>
        <v>NITROFERT SAS - COLOMBIA</v>
      </c>
    </row>
    <row r="28" spans="1:18" x14ac:dyDescent="0.25">
      <c r="A28">
        <v>9355</v>
      </c>
      <c r="B28" t="s">
        <v>302</v>
      </c>
      <c r="C28" t="s">
        <v>26</v>
      </c>
      <c r="D28" s="32">
        <v>1211001.23</v>
      </c>
      <c r="E28">
        <v>1246277365</v>
      </c>
      <c r="F28" s="28">
        <v>46261</v>
      </c>
      <c r="H28" t="s">
        <v>23</v>
      </c>
      <c r="I28" t="s">
        <v>24</v>
      </c>
      <c r="J28">
        <v>2978</v>
      </c>
      <c r="K28" s="28">
        <v>46171</v>
      </c>
      <c r="L28">
        <v>1010200</v>
      </c>
      <c r="M28" t="s">
        <v>113</v>
      </c>
      <c r="N28">
        <v>40</v>
      </c>
      <c r="O28" t="s">
        <v>155</v>
      </c>
      <c r="P28" t="s">
        <v>302</v>
      </c>
      <c r="Q28">
        <f t="shared" si="0"/>
        <v>-64</v>
      </c>
      <c r="R28" t="str">
        <f>_xlfn.XLOOKUP(P28,'Painel International'!$B:$B,'Painel International'!$B:$B,0)</f>
        <v>NITROFERT SAS - COLOMBIA</v>
      </c>
    </row>
    <row r="29" spans="1:18" x14ac:dyDescent="0.25">
      <c r="A29">
        <v>9355</v>
      </c>
      <c r="B29" t="s">
        <v>302</v>
      </c>
      <c r="C29" t="s">
        <v>26</v>
      </c>
      <c r="D29" s="32">
        <v>331187.78000000003</v>
      </c>
      <c r="E29">
        <v>1246274319</v>
      </c>
      <c r="F29" s="28">
        <v>46243</v>
      </c>
      <c r="H29" t="s">
        <v>23</v>
      </c>
      <c r="I29" t="s">
        <v>24</v>
      </c>
      <c r="J29">
        <v>11346</v>
      </c>
      <c r="K29" s="28">
        <v>46153</v>
      </c>
      <c r="L29">
        <v>1010200</v>
      </c>
      <c r="M29" t="s">
        <v>113</v>
      </c>
      <c r="N29">
        <v>40</v>
      </c>
      <c r="O29" t="s">
        <v>155</v>
      </c>
      <c r="P29" t="s">
        <v>302</v>
      </c>
      <c r="Q29">
        <f t="shared" si="0"/>
        <v>-46</v>
      </c>
      <c r="R29" t="str">
        <f>_xlfn.XLOOKUP(P29,'Painel International'!$B:$B,'Painel International'!$B:$B,0)</f>
        <v>NITROFERT SAS - COLOMBIA</v>
      </c>
    </row>
    <row r="30" spans="1:18" x14ac:dyDescent="0.25">
      <c r="A30">
        <v>11768</v>
      </c>
      <c r="B30" t="s">
        <v>274</v>
      </c>
      <c r="C30" t="s">
        <v>26</v>
      </c>
      <c r="D30" s="32">
        <v>86689.1</v>
      </c>
      <c r="E30">
        <v>1246264534</v>
      </c>
      <c r="F30" s="28">
        <v>46158</v>
      </c>
      <c r="H30" t="s">
        <v>23</v>
      </c>
      <c r="I30" t="s">
        <v>24</v>
      </c>
      <c r="J30">
        <v>10744</v>
      </c>
      <c r="K30" s="28">
        <v>46076</v>
      </c>
      <c r="L30">
        <v>1010200</v>
      </c>
      <c r="M30" t="s">
        <v>113</v>
      </c>
      <c r="N30">
        <v>40</v>
      </c>
      <c r="O30" t="s">
        <v>155</v>
      </c>
      <c r="P30" t="s">
        <v>274</v>
      </c>
      <c r="Q30">
        <f t="shared" si="0"/>
        <v>39</v>
      </c>
      <c r="R30" t="str">
        <f>_xlfn.XLOOKUP(P30,'Painel International'!$B:$B,'Painel International'!$B:$B,0)</f>
        <v>CERES PERU S.A</v>
      </c>
    </row>
    <row r="31" spans="1:18" x14ac:dyDescent="0.25">
      <c r="A31">
        <v>11580</v>
      </c>
      <c r="B31" t="s">
        <v>424</v>
      </c>
      <c r="C31" t="s">
        <v>26</v>
      </c>
      <c r="D31" s="32">
        <v>76480.23</v>
      </c>
      <c r="E31">
        <v>1246268734</v>
      </c>
      <c r="F31" s="28">
        <v>46440</v>
      </c>
      <c r="H31" t="s">
        <v>23</v>
      </c>
      <c r="I31" t="s">
        <v>24</v>
      </c>
      <c r="J31">
        <v>2837</v>
      </c>
      <c r="K31" s="28">
        <v>46105</v>
      </c>
      <c r="L31">
        <v>1010200</v>
      </c>
      <c r="M31" t="s">
        <v>113</v>
      </c>
      <c r="N31">
        <v>40</v>
      </c>
      <c r="O31" t="s">
        <v>155</v>
      </c>
      <c r="P31" t="s">
        <v>424</v>
      </c>
      <c r="Q31">
        <f t="shared" si="0"/>
        <v>-243</v>
      </c>
      <c r="R31" t="str">
        <f>_xlfn.XLOOKUP(P31,'Painel International'!$B:$B,'Painel International'!$B:$B,0)</f>
        <v>AGRO MIL AGROS SAS - COLOMBIA</v>
      </c>
    </row>
    <row r="32" spans="1:18" x14ac:dyDescent="0.25">
      <c r="A32">
        <v>12031</v>
      </c>
      <c r="B32" t="s">
        <v>296</v>
      </c>
      <c r="C32" t="s">
        <v>26</v>
      </c>
      <c r="D32" s="32">
        <v>164297.04999999999</v>
      </c>
      <c r="E32">
        <v>1246275610</v>
      </c>
      <c r="F32" s="28">
        <v>46220</v>
      </c>
      <c r="H32" t="s">
        <v>23</v>
      </c>
      <c r="I32" t="s">
        <v>24</v>
      </c>
      <c r="J32">
        <v>2948</v>
      </c>
      <c r="K32" s="28">
        <v>46160</v>
      </c>
      <c r="L32">
        <v>1010200</v>
      </c>
      <c r="M32" t="s">
        <v>113</v>
      </c>
      <c r="N32">
        <v>40</v>
      </c>
      <c r="O32" t="s">
        <v>155</v>
      </c>
      <c r="P32" t="s">
        <v>296</v>
      </c>
      <c r="Q32">
        <f t="shared" si="0"/>
        <v>-23</v>
      </c>
      <c r="R32" t="str">
        <f>_xlfn.XLOOKUP(P32,'Painel International'!$B:$B,'Painel International'!$B:$B,0)</f>
        <v>EVOAGRO NUTRICION S.A.S - COLOMBIA</v>
      </c>
    </row>
    <row r="33" spans="1:18" x14ac:dyDescent="0.25">
      <c r="A33">
        <v>13330</v>
      </c>
      <c r="B33" t="s">
        <v>579</v>
      </c>
      <c r="C33" t="s">
        <v>580</v>
      </c>
      <c r="D33" s="32">
        <v>853.24</v>
      </c>
      <c r="E33">
        <v>1246272264</v>
      </c>
      <c r="F33" s="28">
        <v>46148</v>
      </c>
      <c r="I33" t="s">
        <v>326</v>
      </c>
      <c r="J33">
        <v>11057</v>
      </c>
      <c r="K33" s="28">
        <v>46118</v>
      </c>
      <c r="L33">
        <v>1010200</v>
      </c>
      <c r="M33" t="s">
        <v>113</v>
      </c>
      <c r="N33">
        <v>40</v>
      </c>
      <c r="O33" t="s">
        <v>155</v>
      </c>
      <c r="P33" t="s">
        <v>579</v>
      </c>
      <c r="Q33">
        <f t="shared" si="0"/>
        <v>49</v>
      </c>
      <c r="R33" t="str">
        <f>_xlfn.XLOOKUP(P33,'Painel International'!$B:$B,'Painel International'!$B:$B,0)</f>
        <v>ORGANITEC - PARAGUAY</v>
      </c>
    </row>
    <row r="34" spans="1:18" x14ac:dyDescent="0.25">
      <c r="A34">
        <v>13330</v>
      </c>
      <c r="B34" t="s">
        <v>579</v>
      </c>
      <c r="C34" t="s">
        <v>580</v>
      </c>
      <c r="D34" s="32">
        <v>527.28</v>
      </c>
      <c r="E34">
        <v>1246238356</v>
      </c>
      <c r="F34" s="28">
        <v>45927</v>
      </c>
      <c r="I34" t="s">
        <v>326</v>
      </c>
      <c r="J34">
        <v>9092</v>
      </c>
      <c r="K34" s="28">
        <v>45897</v>
      </c>
      <c r="L34">
        <v>1010200</v>
      </c>
      <c r="M34" t="s">
        <v>113</v>
      </c>
      <c r="N34">
        <v>40</v>
      </c>
      <c r="O34" t="s">
        <v>155</v>
      </c>
      <c r="P34" t="s">
        <v>579</v>
      </c>
      <c r="Q34">
        <f t="shared" si="0"/>
        <v>270</v>
      </c>
      <c r="R34" t="str">
        <f>_xlfn.XLOOKUP(P34,'Painel International'!$B:$B,'Painel International'!$B:$B,0)</f>
        <v>ORGANITEC - PARAGUAY</v>
      </c>
    </row>
    <row r="35" spans="1:18" x14ac:dyDescent="0.25">
      <c r="A35">
        <v>15543</v>
      </c>
      <c r="B35" t="s">
        <v>716</v>
      </c>
      <c r="C35" t="s">
        <v>717</v>
      </c>
      <c r="D35" s="32">
        <v>45718.46</v>
      </c>
      <c r="E35">
        <v>1246264533</v>
      </c>
      <c r="F35" s="28">
        <v>46181</v>
      </c>
      <c r="H35" t="s">
        <v>23</v>
      </c>
      <c r="I35" t="s">
        <v>24</v>
      </c>
      <c r="J35">
        <v>10745</v>
      </c>
      <c r="K35" s="28">
        <v>46076</v>
      </c>
      <c r="L35">
        <v>1010200</v>
      </c>
      <c r="M35" t="s">
        <v>113</v>
      </c>
      <c r="N35">
        <v>40</v>
      </c>
      <c r="O35" t="s">
        <v>155</v>
      </c>
      <c r="P35" t="s">
        <v>716</v>
      </c>
      <c r="Q35">
        <f t="shared" si="0"/>
        <v>16</v>
      </c>
      <c r="R35" t="str">
        <f>_xlfn.XLOOKUP(P35,'Painel International'!$B:$B,'Painel International'!$B:$B,0)</f>
        <v>GOTLAND EQUADOR (SOLINAG)</v>
      </c>
    </row>
    <row r="36" spans="1:18" x14ac:dyDescent="0.25">
      <c r="A36">
        <v>15543</v>
      </c>
      <c r="B36" t="s">
        <v>716</v>
      </c>
      <c r="C36" t="s">
        <v>717</v>
      </c>
      <c r="D36" s="32">
        <v>133756.12</v>
      </c>
      <c r="E36">
        <v>1246277124</v>
      </c>
      <c r="F36" s="28">
        <v>46259</v>
      </c>
      <c r="H36" t="s">
        <v>23</v>
      </c>
      <c r="I36" t="s">
        <v>24</v>
      </c>
      <c r="J36">
        <v>11522</v>
      </c>
      <c r="K36" s="28">
        <v>46169</v>
      </c>
      <c r="L36">
        <v>1010200</v>
      </c>
      <c r="M36" t="s">
        <v>113</v>
      </c>
      <c r="N36">
        <v>40</v>
      </c>
      <c r="O36" t="s">
        <v>155</v>
      </c>
      <c r="P36" t="s">
        <v>716</v>
      </c>
      <c r="Q36">
        <f t="shared" ref="Q36" si="1">$R$1-F36</f>
        <v>-62</v>
      </c>
      <c r="R36" t="str">
        <f>_xlfn.XLOOKUP(P36,'Painel International'!$B:$B,'Painel International'!$B:$B,0)</f>
        <v>GOTLAND EQUADOR (SOLINAG)</v>
      </c>
    </row>
    <row r="37" spans="1:18" x14ac:dyDescent="0.25">
      <c r="D37" s="32"/>
      <c r="F37" s="28"/>
      <c r="K37" s="28"/>
      <c r="Q37">
        <f t="shared" ref="Q37" si="2">$R$1-F37</f>
        <v>46197</v>
      </c>
      <c r="R37">
        <f>_xlfn.XLOOKUP(P37,'Painel International'!$B:$B,'Painel International'!$B:$B,0)</f>
        <v>0</v>
      </c>
    </row>
    <row r="38" spans="1:18" x14ac:dyDescent="0.25">
      <c r="D38" s="32"/>
      <c r="F38" s="28"/>
      <c r="K38" s="28"/>
      <c r="Q38">
        <f>$R$1-F38</f>
        <v>46197</v>
      </c>
      <c r="R38">
        <f>_xlfn.XLOOKUP(P38,'Painel International'!$B:$B,'Painel International'!$B:$B,0)</f>
        <v>0</v>
      </c>
    </row>
    <row r="39" spans="1:18" x14ac:dyDescent="0.25">
      <c r="D39" s="32"/>
      <c r="F39" s="28"/>
      <c r="K39" s="28"/>
      <c r="Q39">
        <f t="shared" ref="Q39:Q43" si="3">$R$1-F39</f>
        <v>46197</v>
      </c>
      <c r="R39">
        <f>_xlfn.XLOOKUP(P39,'Painel International'!$B:$B,'Painel International'!$B:$B,0)</f>
        <v>0</v>
      </c>
    </row>
    <row r="40" spans="1:18" x14ac:dyDescent="0.25">
      <c r="D40" s="32"/>
      <c r="F40" s="28"/>
      <c r="K40" s="28"/>
      <c r="Q40">
        <f t="shared" si="3"/>
        <v>46197</v>
      </c>
      <c r="R40">
        <f>_xlfn.XLOOKUP(P40,'Painel International'!$B:$B,'Painel International'!$B:$B,0)</f>
        <v>0</v>
      </c>
    </row>
    <row r="41" spans="1:18" x14ac:dyDescent="0.25">
      <c r="D41" s="32"/>
      <c r="F41" s="28"/>
      <c r="K41" s="28"/>
      <c r="Q41">
        <f t="shared" si="3"/>
        <v>46197</v>
      </c>
      <c r="R41">
        <f>_xlfn.XLOOKUP(P41,'Painel International'!$B:$B,'Painel International'!$B:$B,0)</f>
        <v>0</v>
      </c>
    </row>
    <row r="42" spans="1:18" x14ac:dyDescent="0.25">
      <c r="D42" s="32"/>
      <c r="F42" s="28"/>
      <c r="K42" s="28"/>
      <c r="Q42">
        <f t="shared" si="3"/>
        <v>46197</v>
      </c>
      <c r="R42">
        <f>_xlfn.XLOOKUP(P42,'Painel International'!$B:$B,'Painel International'!$B:$B,0)</f>
        <v>0</v>
      </c>
    </row>
    <row r="43" spans="1:18" x14ac:dyDescent="0.25">
      <c r="D43" s="32"/>
      <c r="F43" s="28"/>
      <c r="K43" s="28"/>
      <c r="Q43">
        <f t="shared" si="3"/>
        <v>46197</v>
      </c>
      <c r="R43">
        <f>_xlfn.XLOOKUP(P43,'Painel International'!$B:$B,'Painel International'!$B:$B,0)</f>
        <v>0</v>
      </c>
    </row>
    <row r="44" spans="1:18" x14ac:dyDescent="0.25">
      <c r="D44" s="32"/>
      <c r="F44" s="28"/>
      <c r="K44" s="28"/>
      <c r="Q44">
        <f t="shared" ref="Q44:Q47" si="4">$R$1-F44</f>
        <v>46197</v>
      </c>
      <c r="R44">
        <f>_xlfn.XLOOKUP(P44,'Painel International'!$B:$B,'Painel International'!$B:$B,0)</f>
        <v>0</v>
      </c>
    </row>
    <row r="45" spans="1:18" x14ac:dyDescent="0.25">
      <c r="D45" s="32"/>
      <c r="F45" s="28"/>
      <c r="G45" s="28"/>
      <c r="K45" s="28"/>
      <c r="Q45">
        <f t="shared" si="4"/>
        <v>46197</v>
      </c>
      <c r="R45">
        <f>_xlfn.XLOOKUP(P45,'Painel International'!$B:$B,'Painel International'!$B:$B,0)</f>
        <v>0</v>
      </c>
    </row>
    <row r="46" spans="1:18" x14ac:dyDescent="0.25">
      <c r="D46" s="32"/>
      <c r="F46" s="28"/>
      <c r="G46" s="28"/>
      <c r="K46" s="28"/>
      <c r="Q46">
        <f t="shared" si="4"/>
        <v>46197</v>
      </c>
      <c r="R46">
        <f>_xlfn.XLOOKUP(P46,'Painel International'!$B:$B,'Painel International'!$B:$B,0)</f>
        <v>0</v>
      </c>
    </row>
    <row r="47" spans="1:18" x14ac:dyDescent="0.25">
      <c r="D47" s="32"/>
      <c r="F47" s="28"/>
      <c r="G47" s="28"/>
      <c r="K47" s="28"/>
      <c r="Q47">
        <f t="shared" si="4"/>
        <v>46197</v>
      </c>
      <c r="R47">
        <f>_xlfn.XLOOKUP(P47,'Painel International'!$B:$B,'Painel International'!$B:$B,0)</f>
        <v>0</v>
      </c>
    </row>
  </sheetData>
  <autoFilter ref="A2:S47" xr:uid="{D22997FA-10A2-4C0A-9CCA-48F9A22A414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430"/>
  <sheetViews>
    <sheetView zoomScale="80" zoomScaleNormal="80" workbookViewId="0">
      <pane xSplit="2" ySplit="2" topLeftCell="C3" activePane="bottomRight" state="frozen"/>
      <selection activeCell="A3" sqref="A3:P649"/>
      <selection pane="topRight" activeCell="A3" sqref="A3:P649"/>
      <selection pane="bottomLeft" activeCell="A3" sqref="A3:P649"/>
      <selection pane="bottomRight" activeCell="A3" sqref="A3:P649"/>
    </sheetView>
  </sheetViews>
  <sheetFormatPr defaultRowHeight="13.2" x14ac:dyDescent="0.25"/>
  <cols>
    <col min="1" max="1" width="12.6640625" bestFit="1" customWidth="1"/>
    <col min="2" max="2" width="29.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4.6640625" bestFit="1"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0">
        <f>SUBTOTAL(9,D3:D995)</f>
        <v>24577392.660000004</v>
      </c>
      <c r="E1" s="33"/>
      <c r="F1" s="33"/>
      <c r="G1" s="33"/>
      <c r="R1" s="3">
        <v>46197</v>
      </c>
    </row>
    <row r="2" spans="1:18" x14ac:dyDescent="0.25">
      <c r="A2" s="2" t="s">
        <v>4</v>
      </c>
      <c r="B2" s="2" t="s">
        <v>3</v>
      </c>
      <c r="C2" s="2" t="s">
        <v>0</v>
      </c>
      <c r="D2" s="29" t="s">
        <v>6</v>
      </c>
      <c r="E2" s="2" t="s">
        <v>199</v>
      </c>
      <c r="F2" s="2" t="s">
        <v>2</v>
      </c>
      <c r="G2" s="2" t="s">
        <v>198</v>
      </c>
      <c r="H2" s="2" t="s">
        <v>200</v>
      </c>
      <c r="I2" s="2" t="s">
        <v>201</v>
      </c>
      <c r="J2" s="2" t="s">
        <v>1</v>
      </c>
      <c r="K2" s="2" t="s">
        <v>202</v>
      </c>
      <c r="L2" s="2" t="s">
        <v>203</v>
      </c>
      <c r="M2" s="2" t="s">
        <v>204</v>
      </c>
      <c r="N2" s="2" t="s">
        <v>205</v>
      </c>
      <c r="O2" s="2" t="s">
        <v>206</v>
      </c>
      <c r="P2" s="2" t="s">
        <v>351</v>
      </c>
      <c r="Q2" s="4" t="s">
        <v>5</v>
      </c>
    </row>
    <row r="3" spans="1:18" x14ac:dyDescent="0.25">
      <c r="A3">
        <v>9824</v>
      </c>
      <c r="B3" t="s">
        <v>618</v>
      </c>
      <c r="C3" t="s">
        <v>173</v>
      </c>
      <c r="D3" s="32">
        <v>69971.199999999997</v>
      </c>
      <c r="E3">
        <v>1246154720</v>
      </c>
      <c r="F3" s="28">
        <v>45738</v>
      </c>
      <c r="H3" t="s">
        <v>156</v>
      </c>
      <c r="I3" t="s">
        <v>157</v>
      </c>
      <c r="J3">
        <v>4113</v>
      </c>
      <c r="K3" s="28">
        <v>45475</v>
      </c>
      <c r="L3">
        <v>1010100</v>
      </c>
      <c r="M3" t="s">
        <v>29</v>
      </c>
      <c r="N3">
        <v>161</v>
      </c>
      <c r="O3" t="s">
        <v>145</v>
      </c>
      <c r="P3" t="s">
        <v>366</v>
      </c>
      <c r="Q3">
        <f t="shared" ref="Q3:Q65" si="0">$R$1-F3</f>
        <v>459</v>
      </c>
      <c r="R3" t="str">
        <f>_xlfn.XLOOKUP(P3,'Painel Fertilizers'!$B:$B,'Painel Fertilizers'!$B:$B,0)</f>
        <v>GRUPO TRIANGULO AGRO</v>
      </c>
    </row>
    <row r="4" spans="1:18" x14ac:dyDescent="0.25">
      <c r="A4">
        <v>9824</v>
      </c>
      <c r="B4" t="s">
        <v>618</v>
      </c>
      <c r="C4" t="s">
        <v>173</v>
      </c>
      <c r="D4" s="32">
        <v>60656</v>
      </c>
      <c r="E4">
        <v>1246154724</v>
      </c>
      <c r="F4" s="28">
        <v>45738</v>
      </c>
      <c r="H4" t="s">
        <v>156</v>
      </c>
      <c r="I4" t="s">
        <v>157</v>
      </c>
      <c r="J4">
        <v>4114</v>
      </c>
      <c r="K4" s="28">
        <v>45475</v>
      </c>
      <c r="L4">
        <v>1010100</v>
      </c>
      <c r="M4" t="s">
        <v>29</v>
      </c>
      <c r="N4">
        <v>161</v>
      </c>
      <c r="O4" t="s">
        <v>145</v>
      </c>
      <c r="P4" t="s">
        <v>366</v>
      </c>
      <c r="Q4">
        <f t="shared" si="0"/>
        <v>459</v>
      </c>
      <c r="R4" t="str">
        <f>_xlfn.XLOOKUP(P4,'Painel Fertilizers'!$B:$B,'Painel Fertilizers'!$B:$B,0)</f>
        <v>GRUPO TRIANGULO AGRO</v>
      </c>
    </row>
    <row r="5" spans="1:18" x14ac:dyDescent="0.25">
      <c r="A5">
        <v>10371</v>
      </c>
      <c r="B5" t="s">
        <v>227</v>
      </c>
      <c r="C5" t="s">
        <v>228</v>
      </c>
      <c r="D5" s="32">
        <v>56674.77</v>
      </c>
      <c r="E5">
        <v>1246161059</v>
      </c>
      <c r="F5" s="28">
        <v>45736</v>
      </c>
      <c r="H5" t="s">
        <v>156</v>
      </c>
      <c r="I5" t="s">
        <v>157</v>
      </c>
      <c r="J5">
        <v>4516</v>
      </c>
      <c r="K5" s="28">
        <v>45502</v>
      </c>
      <c r="L5">
        <v>1010100</v>
      </c>
      <c r="M5" t="s">
        <v>29</v>
      </c>
      <c r="N5">
        <v>161</v>
      </c>
      <c r="O5" t="s">
        <v>145</v>
      </c>
      <c r="P5" t="s">
        <v>366</v>
      </c>
      <c r="Q5">
        <f t="shared" si="0"/>
        <v>461</v>
      </c>
      <c r="R5" t="str">
        <f>_xlfn.XLOOKUP(P5,'Painel Fertilizers'!$B:$B,'Painel Fertilizers'!$B:$B,0)</f>
        <v>GRUPO TRIANGULO AGRO</v>
      </c>
    </row>
    <row r="6" spans="1:18" x14ac:dyDescent="0.25">
      <c r="A6">
        <v>10371</v>
      </c>
      <c r="B6" t="s">
        <v>227</v>
      </c>
      <c r="C6" t="s">
        <v>228</v>
      </c>
      <c r="D6" s="32">
        <v>50007.15</v>
      </c>
      <c r="E6">
        <v>1246161057</v>
      </c>
      <c r="F6" s="28">
        <v>45736</v>
      </c>
      <c r="H6" t="s">
        <v>156</v>
      </c>
      <c r="I6" t="s">
        <v>157</v>
      </c>
      <c r="J6">
        <v>4515</v>
      </c>
      <c r="K6" s="28">
        <v>45502</v>
      </c>
      <c r="L6">
        <v>1010100</v>
      </c>
      <c r="M6" t="s">
        <v>29</v>
      </c>
      <c r="N6">
        <v>161</v>
      </c>
      <c r="O6" t="s">
        <v>145</v>
      </c>
      <c r="P6" t="s">
        <v>366</v>
      </c>
      <c r="Q6">
        <f t="shared" si="0"/>
        <v>461</v>
      </c>
      <c r="R6" t="str">
        <f>_xlfn.XLOOKUP(P6,'Painel Fertilizers'!$B:$B,'Painel Fertilizers'!$B:$B,0)</f>
        <v>GRUPO TRIANGULO AGRO</v>
      </c>
    </row>
    <row r="7" spans="1:18" x14ac:dyDescent="0.25">
      <c r="A7">
        <v>11207</v>
      </c>
      <c r="B7" t="s">
        <v>619</v>
      </c>
      <c r="C7" t="s">
        <v>176</v>
      </c>
      <c r="D7" s="32">
        <v>153825.49</v>
      </c>
      <c r="E7">
        <v>1246067872</v>
      </c>
      <c r="F7" s="28">
        <v>45412</v>
      </c>
      <c r="H7" t="s">
        <v>156</v>
      </c>
      <c r="I7" t="s">
        <v>157</v>
      </c>
      <c r="J7">
        <v>20696</v>
      </c>
      <c r="K7" s="28">
        <v>44973</v>
      </c>
      <c r="L7">
        <v>1010100</v>
      </c>
      <c r="M7" t="s">
        <v>29</v>
      </c>
      <c r="N7">
        <v>161</v>
      </c>
      <c r="O7" t="s">
        <v>145</v>
      </c>
      <c r="P7" t="s">
        <v>368</v>
      </c>
      <c r="Q7">
        <f t="shared" si="0"/>
        <v>785</v>
      </c>
      <c r="R7" t="str">
        <f>_xlfn.XLOOKUP(P7,'Painel Fertilizers'!$B:$B,'Painel Fertilizers'!$B:$B,0)</f>
        <v>GRUPO LEANDRO SARTI</v>
      </c>
    </row>
    <row r="8" spans="1:18" x14ac:dyDescent="0.25">
      <c r="A8">
        <v>11207</v>
      </c>
      <c r="B8" t="s">
        <v>619</v>
      </c>
      <c r="C8" t="s">
        <v>176</v>
      </c>
      <c r="D8" s="32">
        <v>118231.86</v>
      </c>
      <c r="E8">
        <v>1246074301</v>
      </c>
      <c r="F8" s="28">
        <v>45412</v>
      </c>
      <c r="H8" t="s">
        <v>156</v>
      </c>
      <c r="I8" t="s">
        <v>157</v>
      </c>
      <c r="J8">
        <v>21005</v>
      </c>
      <c r="K8" s="28">
        <v>45015</v>
      </c>
      <c r="L8">
        <v>1010100</v>
      </c>
      <c r="M8" t="s">
        <v>29</v>
      </c>
      <c r="N8">
        <v>161</v>
      </c>
      <c r="O8" t="s">
        <v>145</v>
      </c>
      <c r="P8" t="s">
        <v>368</v>
      </c>
      <c r="Q8">
        <f t="shared" si="0"/>
        <v>785</v>
      </c>
      <c r="R8" t="str">
        <f>_xlfn.XLOOKUP(P8,'Painel Fertilizers'!$B:$B,'Painel Fertilizers'!$B:$B,0)</f>
        <v>GRUPO LEANDRO SARTI</v>
      </c>
    </row>
    <row r="9" spans="1:18" x14ac:dyDescent="0.25">
      <c r="A9">
        <v>11207</v>
      </c>
      <c r="B9" t="s">
        <v>619</v>
      </c>
      <c r="C9" t="s">
        <v>176</v>
      </c>
      <c r="D9" s="32">
        <v>91167.15</v>
      </c>
      <c r="E9">
        <v>1246075550</v>
      </c>
      <c r="F9" s="28">
        <v>45412</v>
      </c>
      <c r="H9" t="s">
        <v>156</v>
      </c>
      <c r="I9" t="s">
        <v>157</v>
      </c>
      <c r="J9">
        <v>21053</v>
      </c>
      <c r="K9" s="28">
        <v>45022</v>
      </c>
      <c r="L9">
        <v>1010100</v>
      </c>
      <c r="M9" t="s">
        <v>29</v>
      </c>
      <c r="N9">
        <v>161</v>
      </c>
      <c r="O9" t="s">
        <v>145</v>
      </c>
      <c r="P9" t="s">
        <v>368</v>
      </c>
      <c r="Q9">
        <f t="shared" si="0"/>
        <v>785</v>
      </c>
      <c r="R9" t="str">
        <f>_xlfn.XLOOKUP(P9,'Painel Fertilizers'!$B:$B,'Painel Fertilizers'!$B:$B,0)</f>
        <v>GRUPO LEANDRO SARTI</v>
      </c>
    </row>
    <row r="10" spans="1:18" x14ac:dyDescent="0.25">
      <c r="A10">
        <v>11207</v>
      </c>
      <c r="B10" t="s">
        <v>619</v>
      </c>
      <c r="C10" t="s">
        <v>176</v>
      </c>
      <c r="D10" s="32">
        <v>43771.16</v>
      </c>
      <c r="E10">
        <v>1246094423</v>
      </c>
      <c r="F10" s="28">
        <v>45423</v>
      </c>
      <c r="H10" t="s">
        <v>156</v>
      </c>
      <c r="I10" t="s">
        <v>157</v>
      </c>
      <c r="J10">
        <v>356</v>
      </c>
      <c r="K10" s="28">
        <v>45133</v>
      </c>
      <c r="L10">
        <v>1010100</v>
      </c>
      <c r="M10" t="s">
        <v>29</v>
      </c>
      <c r="N10">
        <v>161</v>
      </c>
      <c r="O10" t="s">
        <v>145</v>
      </c>
      <c r="P10" t="s">
        <v>368</v>
      </c>
      <c r="Q10">
        <f t="shared" si="0"/>
        <v>774</v>
      </c>
      <c r="R10" t="str">
        <f>_xlfn.XLOOKUP(P10,'Painel Fertilizers'!$B:$B,'Painel Fertilizers'!$B:$B,0)</f>
        <v>GRUPO LEANDRO SARTI</v>
      </c>
    </row>
    <row r="11" spans="1:18" x14ac:dyDescent="0.25">
      <c r="A11">
        <v>11207</v>
      </c>
      <c r="B11" t="s">
        <v>619</v>
      </c>
      <c r="C11" t="s">
        <v>176</v>
      </c>
      <c r="D11" s="32">
        <v>44760.26</v>
      </c>
      <c r="E11">
        <v>1246092027</v>
      </c>
      <c r="F11" s="28">
        <v>45504</v>
      </c>
      <c r="H11" t="s">
        <v>156</v>
      </c>
      <c r="I11" t="s">
        <v>157</v>
      </c>
      <c r="J11">
        <v>138</v>
      </c>
      <c r="K11" s="28">
        <v>45119</v>
      </c>
      <c r="L11">
        <v>1010100</v>
      </c>
      <c r="M11" t="s">
        <v>29</v>
      </c>
      <c r="N11">
        <v>161</v>
      </c>
      <c r="O11" t="s">
        <v>145</v>
      </c>
      <c r="P11" t="s">
        <v>368</v>
      </c>
      <c r="Q11">
        <f t="shared" si="0"/>
        <v>693</v>
      </c>
      <c r="R11" t="str">
        <f>_xlfn.XLOOKUP(P11,'Painel Fertilizers'!$B:$B,'Painel Fertilizers'!$B:$B,0)</f>
        <v>GRUPO LEANDRO SARTI</v>
      </c>
    </row>
    <row r="12" spans="1:18" x14ac:dyDescent="0.25">
      <c r="A12">
        <v>11207</v>
      </c>
      <c r="B12" t="s">
        <v>619</v>
      </c>
      <c r="C12" t="s">
        <v>176</v>
      </c>
      <c r="D12" s="32">
        <v>43771.16</v>
      </c>
      <c r="E12">
        <v>1246093362</v>
      </c>
      <c r="F12" s="28">
        <v>45417</v>
      </c>
      <c r="H12" t="s">
        <v>156</v>
      </c>
      <c r="I12" t="s">
        <v>157</v>
      </c>
      <c r="J12">
        <v>253</v>
      </c>
      <c r="K12" s="28">
        <v>45127</v>
      </c>
      <c r="L12">
        <v>1010100</v>
      </c>
      <c r="M12" t="s">
        <v>29</v>
      </c>
      <c r="N12">
        <v>161</v>
      </c>
      <c r="O12" t="s">
        <v>145</v>
      </c>
      <c r="P12" t="s">
        <v>368</v>
      </c>
      <c r="Q12">
        <f t="shared" si="0"/>
        <v>780</v>
      </c>
      <c r="R12" t="str">
        <f>_xlfn.XLOOKUP(P12,'Painel Fertilizers'!$B:$B,'Painel Fertilizers'!$B:$B,0)</f>
        <v>GRUPO LEANDRO SARTI</v>
      </c>
    </row>
    <row r="13" spans="1:18" x14ac:dyDescent="0.25">
      <c r="A13">
        <v>11207</v>
      </c>
      <c r="B13" t="s">
        <v>619</v>
      </c>
      <c r="C13" t="s">
        <v>176</v>
      </c>
      <c r="D13" s="32">
        <v>47925.4</v>
      </c>
      <c r="E13">
        <v>1246094864</v>
      </c>
      <c r="F13" s="28">
        <v>45544</v>
      </c>
      <c r="H13" t="s">
        <v>156</v>
      </c>
      <c r="I13" t="s">
        <v>157</v>
      </c>
      <c r="J13">
        <v>407</v>
      </c>
      <c r="K13" s="28">
        <v>45135</v>
      </c>
      <c r="L13">
        <v>1010100</v>
      </c>
      <c r="M13" t="s">
        <v>29</v>
      </c>
      <c r="N13">
        <v>161</v>
      </c>
      <c r="O13" t="s">
        <v>145</v>
      </c>
      <c r="P13" t="s">
        <v>368</v>
      </c>
      <c r="Q13">
        <f t="shared" si="0"/>
        <v>653</v>
      </c>
      <c r="R13" t="str">
        <f>_xlfn.XLOOKUP(P13,'Painel Fertilizers'!$B:$B,'Painel Fertilizers'!$B:$B,0)</f>
        <v>GRUPO LEANDRO SARTI</v>
      </c>
    </row>
    <row r="14" spans="1:18" x14ac:dyDescent="0.25">
      <c r="A14">
        <v>11207</v>
      </c>
      <c r="B14" t="s">
        <v>619</v>
      </c>
      <c r="C14" t="s">
        <v>176</v>
      </c>
      <c r="D14" s="32">
        <v>106301.38</v>
      </c>
      <c r="E14">
        <v>1246094863</v>
      </c>
      <c r="F14" s="28">
        <v>45425</v>
      </c>
      <c r="H14" t="s">
        <v>156</v>
      </c>
      <c r="I14" t="s">
        <v>157</v>
      </c>
      <c r="J14">
        <v>406</v>
      </c>
      <c r="K14" s="28">
        <v>45135</v>
      </c>
      <c r="L14">
        <v>1010100</v>
      </c>
      <c r="M14" t="s">
        <v>29</v>
      </c>
      <c r="N14">
        <v>161</v>
      </c>
      <c r="O14" t="s">
        <v>145</v>
      </c>
      <c r="P14" t="s">
        <v>368</v>
      </c>
      <c r="Q14">
        <f t="shared" si="0"/>
        <v>772</v>
      </c>
      <c r="R14" t="str">
        <f>_xlfn.XLOOKUP(P14,'Painel Fertilizers'!$B:$B,'Painel Fertilizers'!$B:$B,0)</f>
        <v>GRUPO LEANDRO SARTI</v>
      </c>
    </row>
    <row r="15" spans="1:18" x14ac:dyDescent="0.25">
      <c r="A15">
        <v>11207</v>
      </c>
      <c r="B15" t="s">
        <v>619</v>
      </c>
      <c r="C15" t="s">
        <v>176</v>
      </c>
      <c r="D15" s="32">
        <v>150072.54</v>
      </c>
      <c r="E15">
        <v>1246095554</v>
      </c>
      <c r="F15" s="28">
        <v>45415</v>
      </c>
      <c r="H15" t="s">
        <v>156</v>
      </c>
      <c r="I15" t="s">
        <v>157</v>
      </c>
      <c r="J15">
        <v>485</v>
      </c>
      <c r="K15" s="28">
        <v>45140</v>
      </c>
      <c r="L15">
        <v>1010100</v>
      </c>
      <c r="M15" t="s">
        <v>29</v>
      </c>
      <c r="N15">
        <v>161</v>
      </c>
      <c r="O15" t="s">
        <v>145</v>
      </c>
      <c r="P15" t="s">
        <v>368</v>
      </c>
      <c r="Q15">
        <f t="shared" si="0"/>
        <v>782</v>
      </c>
      <c r="R15" t="str">
        <f>_xlfn.XLOOKUP(P15,'Painel Fertilizers'!$B:$B,'Painel Fertilizers'!$B:$B,0)</f>
        <v>GRUPO LEANDRO SARTI</v>
      </c>
    </row>
    <row r="16" spans="1:18" x14ac:dyDescent="0.25">
      <c r="A16">
        <v>11207</v>
      </c>
      <c r="B16" t="s">
        <v>619</v>
      </c>
      <c r="C16" t="s">
        <v>176</v>
      </c>
      <c r="D16" s="32">
        <v>150072.54999999999</v>
      </c>
      <c r="E16">
        <v>1246098101</v>
      </c>
      <c r="F16" s="28">
        <v>45414</v>
      </c>
      <c r="H16" t="s">
        <v>156</v>
      </c>
      <c r="I16" t="s">
        <v>157</v>
      </c>
      <c r="J16">
        <v>151</v>
      </c>
      <c r="K16" s="28">
        <v>45154</v>
      </c>
      <c r="L16">
        <v>1010100</v>
      </c>
      <c r="M16" t="s">
        <v>29</v>
      </c>
      <c r="N16">
        <v>161</v>
      </c>
      <c r="O16" t="s">
        <v>145</v>
      </c>
      <c r="P16" t="s">
        <v>368</v>
      </c>
      <c r="Q16">
        <f t="shared" si="0"/>
        <v>783</v>
      </c>
      <c r="R16" t="str">
        <f>_xlfn.XLOOKUP(P16,'Painel Fertilizers'!$B:$B,'Painel Fertilizers'!$B:$B,0)</f>
        <v>GRUPO LEANDRO SARTI</v>
      </c>
    </row>
    <row r="17" spans="1:18" x14ac:dyDescent="0.25">
      <c r="A17">
        <v>11207</v>
      </c>
      <c r="B17" t="s">
        <v>619</v>
      </c>
      <c r="C17" t="s">
        <v>176</v>
      </c>
      <c r="D17" s="32">
        <v>43771.16</v>
      </c>
      <c r="E17">
        <v>1246098102</v>
      </c>
      <c r="F17" s="28">
        <v>45414</v>
      </c>
      <c r="H17" t="s">
        <v>156</v>
      </c>
      <c r="I17" t="s">
        <v>157</v>
      </c>
      <c r="J17">
        <v>152</v>
      </c>
      <c r="K17" s="28">
        <v>45154</v>
      </c>
      <c r="L17">
        <v>1010100</v>
      </c>
      <c r="M17" t="s">
        <v>29</v>
      </c>
      <c r="N17">
        <v>161</v>
      </c>
      <c r="O17" t="s">
        <v>145</v>
      </c>
      <c r="P17" t="s">
        <v>368</v>
      </c>
      <c r="Q17">
        <f t="shared" si="0"/>
        <v>783</v>
      </c>
      <c r="R17" t="str">
        <f>_xlfn.XLOOKUP(P17,'Painel Fertilizers'!$B:$B,'Painel Fertilizers'!$B:$B,0)</f>
        <v>GRUPO LEANDRO SARTI</v>
      </c>
    </row>
    <row r="18" spans="1:18" x14ac:dyDescent="0.25">
      <c r="A18">
        <v>11207</v>
      </c>
      <c r="B18" t="s">
        <v>619</v>
      </c>
      <c r="C18" t="s">
        <v>176</v>
      </c>
      <c r="D18" s="32">
        <v>150072.54</v>
      </c>
      <c r="E18">
        <v>1246096042</v>
      </c>
      <c r="F18" s="28">
        <v>45417</v>
      </c>
      <c r="H18" t="s">
        <v>156</v>
      </c>
      <c r="I18" t="s">
        <v>157</v>
      </c>
      <c r="J18">
        <v>520</v>
      </c>
      <c r="K18" s="28">
        <v>45142</v>
      </c>
      <c r="L18">
        <v>1010100</v>
      </c>
      <c r="M18" t="s">
        <v>29</v>
      </c>
      <c r="N18">
        <v>161</v>
      </c>
      <c r="O18" t="s">
        <v>145</v>
      </c>
      <c r="P18" t="s">
        <v>368</v>
      </c>
      <c r="Q18">
        <f t="shared" si="0"/>
        <v>780</v>
      </c>
      <c r="R18" t="str">
        <f>_xlfn.XLOOKUP(P18,'Painel Fertilizers'!$B:$B,'Painel Fertilizers'!$B:$B,0)</f>
        <v>GRUPO LEANDRO SARTI</v>
      </c>
    </row>
    <row r="19" spans="1:18" x14ac:dyDescent="0.25">
      <c r="A19">
        <v>11207</v>
      </c>
      <c r="B19" t="s">
        <v>619</v>
      </c>
      <c r="C19" t="s">
        <v>176</v>
      </c>
      <c r="D19" s="32">
        <v>150072.54999999999</v>
      </c>
      <c r="E19">
        <v>1246098739</v>
      </c>
      <c r="F19" s="28">
        <v>45446</v>
      </c>
      <c r="H19" t="s">
        <v>156</v>
      </c>
      <c r="I19" t="s">
        <v>157</v>
      </c>
      <c r="J19">
        <v>161</v>
      </c>
      <c r="K19" s="28">
        <v>45156</v>
      </c>
      <c r="L19">
        <v>1010100</v>
      </c>
      <c r="M19" t="s">
        <v>29</v>
      </c>
      <c r="N19">
        <v>161</v>
      </c>
      <c r="O19" t="s">
        <v>145</v>
      </c>
      <c r="P19" t="s">
        <v>368</v>
      </c>
      <c r="Q19">
        <f t="shared" si="0"/>
        <v>751</v>
      </c>
      <c r="R19" t="str">
        <f>_xlfn.XLOOKUP(P19,'Painel Fertilizers'!$B:$B,'Painel Fertilizers'!$B:$B,0)</f>
        <v>GRUPO LEANDRO SARTI</v>
      </c>
    </row>
    <row r="20" spans="1:18" x14ac:dyDescent="0.25">
      <c r="A20">
        <v>11207</v>
      </c>
      <c r="B20" t="s">
        <v>619</v>
      </c>
      <c r="C20" t="s">
        <v>176</v>
      </c>
      <c r="D20" s="32">
        <v>150072.54</v>
      </c>
      <c r="E20">
        <v>1246103409</v>
      </c>
      <c r="F20" s="28">
        <v>45421</v>
      </c>
      <c r="H20" t="s">
        <v>156</v>
      </c>
      <c r="I20" t="s">
        <v>157</v>
      </c>
      <c r="J20">
        <v>231</v>
      </c>
      <c r="K20" s="28">
        <v>45181</v>
      </c>
      <c r="L20">
        <v>1010100</v>
      </c>
      <c r="M20" t="s">
        <v>29</v>
      </c>
      <c r="N20">
        <v>161</v>
      </c>
      <c r="O20" t="s">
        <v>145</v>
      </c>
      <c r="P20" t="s">
        <v>368</v>
      </c>
      <c r="Q20">
        <f t="shared" si="0"/>
        <v>776</v>
      </c>
      <c r="R20" t="str">
        <f>_xlfn.XLOOKUP(P20,'Painel Fertilizers'!$B:$B,'Painel Fertilizers'!$B:$B,0)</f>
        <v>GRUPO LEANDRO SARTI</v>
      </c>
    </row>
    <row r="21" spans="1:18" x14ac:dyDescent="0.25">
      <c r="A21">
        <v>11207</v>
      </c>
      <c r="B21" t="s">
        <v>619</v>
      </c>
      <c r="C21" t="s">
        <v>176</v>
      </c>
      <c r="D21" s="32">
        <v>150072.54999999999</v>
      </c>
      <c r="E21">
        <v>1246104480</v>
      </c>
      <c r="F21" s="28">
        <v>45427</v>
      </c>
      <c r="H21" t="s">
        <v>156</v>
      </c>
      <c r="I21" t="s">
        <v>157</v>
      </c>
      <c r="J21">
        <v>1209</v>
      </c>
      <c r="K21" s="28">
        <v>45187</v>
      </c>
      <c r="L21">
        <v>1010100</v>
      </c>
      <c r="M21" t="s">
        <v>29</v>
      </c>
      <c r="N21">
        <v>161</v>
      </c>
      <c r="O21" t="s">
        <v>145</v>
      </c>
      <c r="P21" t="s">
        <v>368</v>
      </c>
      <c r="Q21">
        <f t="shared" si="0"/>
        <v>770</v>
      </c>
      <c r="R21" t="str">
        <f>_xlfn.XLOOKUP(P21,'Painel Fertilizers'!$B:$B,'Painel Fertilizers'!$B:$B,0)</f>
        <v>GRUPO LEANDRO SARTI</v>
      </c>
    </row>
    <row r="22" spans="1:18" x14ac:dyDescent="0.25">
      <c r="A22">
        <v>11207</v>
      </c>
      <c r="B22" t="s">
        <v>619</v>
      </c>
      <c r="C22" t="s">
        <v>176</v>
      </c>
      <c r="D22" s="32">
        <v>98152.42</v>
      </c>
      <c r="E22">
        <v>1246128194</v>
      </c>
      <c r="F22" s="28">
        <v>45595</v>
      </c>
      <c r="H22" t="s">
        <v>156</v>
      </c>
      <c r="I22" t="s">
        <v>157</v>
      </c>
      <c r="J22">
        <v>2705</v>
      </c>
      <c r="K22" s="28">
        <v>45327</v>
      </c>
      <c r="L22">
        <v>1010100</v>
      </c>
      <c r="M22" t="s">
        <v>29</v>
      </c>
      <c r="N22">
        <v>161</v>
      </c>
      <c r="O22" t="s">
        <v>145</v>
      </c>
      <c r="P22" t="s">
        <v>368</v>
      </c>
      <c r="Q22">
        <f t="shared" si="0"/>
        <v>602</v>
      </c>
      <c r="R22" t="str">
        <f>_xlfn.XLOOKUP(P22,'Painel Fertilizers'!$B:$B,'Painel Fertilizers'!$B:$B,0)</f>
        <v>GRUPO LEANDRO SARTI</v>
      </c>
    </row>
    <row r="23" spans="1:18" x14ac:dyDescent="0.25">
      <c r="A23">
        <v>11207</v>
      </c>
      <c r="B23" t="s">
        <v>619</v>
      </c>
      <c r="C23" t="s">
        <v>176</v>
      </c>
      <c r="D23" s="32">
        <v>98152.43</v>
      </c>
      <c r="E23">
        <v>1246128212</v>
      </c>
      <c r="F23" s="28">
        <v>45595</v>
      </c>
      <c r="H23" t="s">
        <v>156</v>
      </c>
      <c r="I23" t="s">
        <v>157</v>
      </c>
      <c r="J23">
        <v>2708</v>
      </c>
      <c r="K23" s="28">
        <v>45327</v>
      </c>
      <c r="L23">
        <v>1010100</v>
      </c>
      <c r="M23" t="s">
        <v>29</v>
      </c>
      <c r="N23">
        <v>161</v>
      </c>
      <c r="O23" t="s">
        <v>145</v>
      </c>
      <c r="P23" t="s">
        <v>368</v>
      </c>
      <c r="Q23">
        <f t="shared" si="0"/>
        <v>602</v>
      </c>
      <c r="R23" t="str">
        <f>_xlfn.XLOOKUP(P23,'Painel Fertilizers'!$B:$B,'Painel Fertilizers'!$B:$B,0)</f>
        <v>GRUPO LEANDRO SARTI</v>
      </c>
    </row>
    <row r="24" spans="1:18" x14ac:dyDescent="0.25">
      <c r="A24">
        <v>11207</v>
      </c>
      <c r="B24" t="s">
        <v>619</v>
      </c>
      <c r="C24" t="s">
        <v>176</v>
      </c>
      <c r="D24" s="32">
        <v>43771.16</v>
      </c>
      <c r="E24">
        <v>1246102312</v>
      </c>
      <c r="F24" s="28">
        <v>45414</v>
      </c>
      <c r="H24" t="s">
        <v>156</v>
      </c>
      <c r="I24" t="s">
        <v>157</v>
      </c>
      <c r="J24">
        <v>1038</v>
      </c>
      <c r="K24" s="28">
        <v>45174</v>
      </c>
      <c r="L24">
        <v>1010100</v>
      </c>
      <c r="M24" t="s">
        <v>29</v>
      </c>
      <c r="N24">
        <v>161</v>
      </c>
      <c r="O24" t="s">
        <v>145</v>
      </c>
      <c r="P24" t="s">
        <v>368</v>
      </c>
      <c r="Q24">
        <f t="shared" si="0"/>
        <v>783</v>
      </c>
      <c r="R24" t="str">
        <f>_xlfn.XLOOKUP(P24,'Painel Fertilizers'!$B:$B,'Painel Fertilizers'!$B:$B,0)</f>
        <v>GRUPO LEANDRO SARTI</v>
      </c>
    </row>
    <row r="25" spans="1:18" x14ac:dyDescent="0.25">
      <c r="A25">
        <v>11207</v>
      </c>
      <c r="B25" t="s">
        <v>619</v>
      </c>
      <c r="C25" t="s">
        <v>176</v>
      </c>
      <c r="D25" s="32">
        <v>43771.16</v>
      </c>
      <c r="E25">
        <v>1246103425</v>
      </c>
      <c r="F25" s="28">
        <v>45421</v>
      </c>
      <c r="H25" t="s">
        <v>156</v>
      </c>
      <c r="I25" t="s">
        <v>157</v>
      </c>
      <c r="J25">
        <v>232</v>
      </c>
      <c r="K25" s="28">
        <v>45181</v>
      </c>
      <c r="L25">
        <v>1010100</v>
      </c>
      <c r="M25" t="s">
        <v>29</v>
      </c>
      <c r="N25">
        <v>161</v>
      </c>
      <c r="O25" t="s">
        <v>145</v>
      </c>
      <c r="P25" t="s">
        <v>368</v>
      </c>
      <c r="Q25">
        <f t="shared" si="0"/>
        <v>776</v>
      </c>
      <c r="R25" t="str">
        <f>_xlfn.XLOOKUP(P25,'Painel Fertilizers'!$B:$B,'Painel Fertilizers'!$B:$B,0)</f>
        <v>GRUPO LEANDRO SARTI</v>
      </c>
    </row>
    <row r="26" spans="1:18" x14ac:dyDescent="0.25">
      <c r="A26">
        <v>11207</v>
      </c>
      <c r="B26" t="s">
        <v>619</v>
      </c>
      <c r="C26" t="s">
        <v>176</v>
      </c>
      <c r="D26" s="32">
        <v>85883.37</v>
      </c>
      <c r="E26">
        <v>1246128634</v>
      </c>
      <c r="F26" s="28">
        <v>45597</v>
      </c>
      <c r="H26" t="s">
        <v>156</v>
      </c>
      <c r="I26" t="s">
        <v>157</v>
      </c>
      <c r="J26">
        <v>2731</v>
      </c>
      <c r="K26" s="28">
        <v>45329</v>
      </c>
      <c r="L26">
        <v>1010100</v>
      </c>
      <c r="M26" t="s">
        <v>29</v>
      </c>
      <c r="N26">
        <v>161</v>
      </c>
      <c r="O26" t="s">
        <v>145</v>
      </c>
      <c r="P26" t="s">
        <v>368</v>
      </c>
      <c r="Q26">
        <f t="shared" si="0"/>
        <v>600</v>
      </c>
      <c r="R26" t="str">
        <f>_xlfn.XLOOKUP(P26,'Painel Fertilizers'!$B:$B,'Painel Fertilizers'!$B:$B,0)</f>
        <v>GRUPO LEANDRO SARTI</v>
      </c>
    </row>
    <row r="27" spans="1:18" x14ac:dyDescent="0.25">
      <c r="A27">
        <v>11207</v>
      </c>
      <c r="B27" t="s">
        <v>619</v>
      </c>
      <c r="C27" t="s">
        <v>176</v>
      </c>
      <c r="D27" s="32">
        <v>150072.54</v>
      </c>
      <c r="E27">
        <v>1246106013</v>
      </c>
      <c r="F27" s="28">
        <v>45416</v>
      </c>
      <c r="H27" t="s">
        <v>156</v>
      </c>
      <c r="I27" t="s">
        <v>157</v>
      </c>
      <c r="J27">
        <v>1329</v>
      </c>
      <c r="K27" s="28">
        <v>45194</v>
      </c>
      <c r="L27">
        <v>1010100</v>
      </c>
      <c r="M27" t="s">
        <v>29</v>
      </c>
      <c r="N27">
        <v>161</v>
      </c>
      <c r="O27" t="s">
        <v>145</v>
      </c>
      <c r="P27" t="s">
        <v>368</v>
      </c>
      <c r="Q27">
        <f t="shared" si="0"/>
        <v>781</v>
      </c>
      <c r="R27" t="str">
        <f>_xlfn.XLOOKUP(P27,'Painel Fertilizers'!$B:$B,'Painel Fertilizers'!$B:$B,0)</f>
        <v>GRUPO LEANDRO SARTI</v>
      </c>
    </row>
    <row r="28" spans="1:18" x14ac:dyDescent="0.25">
      <c r="A28">
        <v>11207</v>
      </c>
      <c r="B28" t="s">
        <v>619</v>
      </c>
      <c r="C28" t="s">
        <v>176</v>
      </c>
      <c r="D28" s="32">
        <v>150072.54</v>
      </c>
      <c r="E28">
        <v>1246102752</v>
      </c>
      <c r="F28" s="28">
        <v>45415</v>
      </c>
      <c r="H28" t="s">
        <v>156</v>
      </c>
      <c r="I28" t="s">
        <v>157</v>
      </c>
      <c r="J28">
        <v>1071</v>
      </c>
      <c r="K28" s="28">
        <v>45175</v>
      </c>
      <c r="L28">
        <v>1010100</v>
      </c>
      <c r="M28" t="s">
        <v>29</v>
      </c>
      <c r="N28">
        <v>161</v>
      </c>
      <c r="O28" t="s">
        <v>145</v>
      </c>
      <c r="P28" t="s">
        <v>368</v>
      </c>
      <c r="Q28">
        <f t="shared" si="0"/>
        <v>782</v>
      </c>
      <c r="R28" t="str">
        <f>_xlfn.XLOOKUP(P28,'Painel Fertilizers'!$B:$B,'Painel Fertilizers'!$B:$B,0)</f>
        <v>GRUPO LEANDRO SARTI</v>
      </c>
    </row>
    <row r="29" spans="1:18" x14ac:dyDescent="0.25">
      <c r="A29">
        <v>11207</v>
      </c>
      <c r="B29" t="s">
        <v>619</v>
      </c>
      <c r="C29" t="s">
        <v>176</v>
      </c>
      <c r="D29" s="32">
        <v>43771.16</v>
      </c>
      <c r="E29">
        <v>1246103933</v>
      </c>
      <c r="F29" s="28">
        <v>45423</v>
      </c>
      <c r="H29" t="s">
        <v>156</v>
      </c>
      <c r="I29" t="s">
        <v>157</v>
      </c>
      <c r="J29">
        <v>1167</v>
      </c>
      <c r="K29" s="28">
        <v>45183</v>
      </c>
      <c r="L29">
        <v>1010100</v>
      </c>
      <c r="M29" t="s">
        <v>29</v>
      </c>
      <c r="N29">
        <v>161</v>
      </c>
      <c r="O29" t="s">
        <v>145</v>
      </c>
      <c r="P29" t="s">
        <v>368</v>
      </c>
      <c r="Q29">
        <f t="shared" si="0"/>
        <v>774</v>
      </c>
      <c r="R29" t="str">
        <f>_xlfn.XLOOKUP(P29,'Painel Fertilizers'!$B:$B,'Painel Fertilizers'!$B:$B,0)</f>
        <v>GRUPO LEANDRO SARTI</v>
      </c>
    </row>
    <row r="30" spans="1:18" x14ac:dyDescent="0.25">
      <c r="A30">
        <v>11207</v>
      </c>
      <c r="B30" t="s">
        <v>619</v>
      </c>
      <c r="C30" t="s">
        <v>176</v>
      </c>
      <c r="D30" s="32">
        <v>150072.54</v>
      </c>
      <c r="E30">
        <v>1246105096</v>
      </c>
      <c r="F30" s="28">
        <v>45429</v>
      </c>
      <c r="H30" t="s">
        <v>156</v>
      </c>
      <c r="I30" t="s">
        <v>157</v>
      </c>
      <c r="J30">
        <v>1263</v>
      </c>
      <c r="K30" s="28">
        <v>45189</v>
      </c>
      <c r="L30">
        <v>1010100</v>
      </c>
      <c r="M30" t="s">
        <v>29</v>
      </c>
      <c r="N30">
        <v>161</v>
      </c>
      <c r="O30" t="s">
        <v>145</v>
      </c>
      <c r="P30" t="s">
        <v>368</v>
      </c>
      <c r="Q30">
        <f t="shared" si="0"/>
        <v>768</v>
      </c>
      <c r="R30" t="str">
        <f>_xlfn.XLOOKUP(P30,'Painel Fertilizers'!$B:$B,'Painel Fertilizers'!$B:$B,0)</f>
        <v>GRUPO LEANDRO SARTI</v>
      </c>
    </row>
    <row r="31" spans="1:18" x14ac:dyDescent="0.25">
      <c r="A31">
        <v>11207</v>
      </c>
      <c r="B31" t="s">
        <v>619</v>
      </c>
      <c r="C31" t="s">
        <v>176</v>
      </c>
      <c r="D31" s="32">
        <v>85883.37</v>
      </c>
      <c r="E31">
        <v>1246131973</v>
      </c>
      <c r="F31" s="28">
        <v>45595</v>
      </c>
      <c r="H31" t="s">
        <v>156</v>
      </c>
      <c r="I31" t="s">
        <v>157</v>
      </c>
      <c r="J31">
        <v>2972</v>
      </c>
      <c r="K31" s="28">
        <v>45352</v>
      </c>
      <c r="L31">
        <v>1010100</v>
      </c>
      <c r="M31" t="s">
        <v>29</v>
      </c>
      <c r="N31">
        <v>161</v>
      </c>
      <c r="O31" t="s">
        <v>145</v>
      </c>
      <c r="P31" t="s">
        <v>368</v>
      </c>
      <c r="Q31">
        <f t="shared" si="0"/>
        <v>602</v>
      </c>
      <c r="R31" t="str">
        <f>_xlfn.XLOOKUP(P31,'Painel Fertilizers'!$B:$B,'Painel Fertilizers'!$B:$B,0)</f>
        <v>GRUPO LEANDRO SARTI</v>
      </c>
    </row>
    <row r="32" spans="1:18" x14ac:dyDescent="0.25">
      <c r="A32">
        <v>11456</v>
      </c>
      <c r="B32" t="s">
        <v>183</v>
      </c>
      <c r="C32" t="s">
        <v>184</v>
      </c>
      <c r="D32" s="32">
        <v>108608.88999999998</v>
      </c>
      <c r="E32">
        <v>1246074872</v>
      </c>
      <c r="F32" s="28">
        <v>45412</v>
      </c>
      <c r="H32" t="s">
        <v>156</v>
      </c>
      <c r="I32" t="s">
        <v>157</v>
      </c>
      <c r="J32">
        <v>21029</v>
      </c>
      <c r="K32" s="28">
        <v>45019</v>
      </c>
      <c r="L32">
        <v>1010100</v>
      </c>
      <c r="M32" t="s">
        <v>29</v>
      </c>
      <c r="N32">
        <v>161</v>
      </c>
      <c r="O32" t="s">
        <v>145</v>
      </c>
      <c r="P32" t="s">
        <v>368</v>
      </c>
      <c r="Q32">
        <f t="shared" si="0"/>
        <v>785</v>
      </c>
      <c r="R32" t="str">
        <f>_xlfn.XLOOKUP(P32,'Painel Fertilizers'!$B:$B,'Painel Fertilizers'!$B:$B,0)</f>
        <v>GRUPO LEANDRO SARTI</v>
      </c>
    </row>
    <row r="33" spans="1:18" x14ac:dyDescent="0.25">
      <c r="A33">
        <v>11456</v>
      </c>
      <c r="B33" t="s">
        <v>183</v>
      </c>
      <c r="C33" t="s">
        <v>184</v>
      </c>
      <c r="D33" s="32">
        <v>136139</v>
      </c>
      <c r="E33">
        <v>1246074571</v>
      </c>
      <c r="F33" s="28">
        <v>45412</v>
      </c>
      <c r="H33" t="s">
        <v>156</v>
      </c>
      <c r="I33" t="s">
        <v>157</v>
      </c>
      <c r="J33">
        <v>21023</v>
      </c>
      <c r="K33" s="28">
        <v>45017</v>
      </c>
      <c r="L33">
        <v>1010100</v>
      </c>
      <c r="M33" t="s">
        <v>29</v>
      </c>
      <c r="N33">
        <v>161</v>
      </c>
      <c r="O33" t="s">
        <v>145</v>
      </c>
      <c r="P33" t="s">
        <v>368</v>
      </c>
      <c r="Q33">
        <f t="shared" si="0"/>
        <v>785</v>
      </c>
      <c r="R33" t="str">
        <f>_xlfn.XLOOKUP(P33,'Painel Fertilizers'!$B:$B,'Painel Fertilizers'!$B:$B,0)</f>
        <v>GRUPO LEANDRO SARTI</v>
      </c>
    </row>
    <row r="34" spans="1:18" x14ac:dyDescent="0.25">
      <c r="A34">
        <v>11456</v>
      </c>
      <c r="B34" t="s">
        <v>183</v>
      </c>
      <c r="C34" t="s">
        <v>184</v>
      </c>
      <c r="D34" s="32">
        <v>150110.1</v>
      </c>
      <c r="E34">
        <v>1246127149</v>
      </c>
      <c r="F34" s="28">
        <v>45615</v>
      </c>
      <c r="H34" t="s">
        <v>156</v>
      </c>
      <c r="I34" t="s">
        <v>157</v>
      </c>
      <c r="J34">
        <v>2634</v>
      </c>
      <c r="K34" s="28">
        <v>45320</v>
      </c>
      <c r="L34">
        <v>1010100</v>
      </c>
      <c r="M34" t="s">
        <v>29</v>
      </c>
      <c r="N34">
        <v>161</v>
      </c>
      <c r="O34" t="s">
        <v>145</v>
      </c>
      <c r="P34" t="s">
        <v>368</v>
      </c>
      <c r="Q34">
        <f t="shared" si="0"/>
        <v>582</v>
      </c>
      <c r="R34" t="str">
        <f>_xlfn.XLOOKUP(P34,'Painel Fertilizers'!$B:$B,'Painel Fertilizers'!$B:$B,0)</f>
        <v>GRUPO LEANDRO SARTI</v>
      </c>
    </row>
    <row r="35" spans="1:18" x14ac:dyDescent="0.25">
      <c r="A35">
        <v>11456</v>
      </c>
      <c r="B35" t="s">
        <v>183</v>
      </c>
      <c r="C35" t="s">
        <v>184</v>
      </c>
      <c r="D35" s="32">
        <v>150110.1</v>
      </c>
      <c r="E35">
        <v>1246128463</v>
      </c>
      <c r="F35" s="28">
        <v>45623</v>
      </c>
      <c r="H35" t="s">
        <v>156</v>
      </c>
      <c r="I35" t="s">
        <v>157</v>
      </c>
      <c r="J35">
        <v>2720</v>
      </c>
      <c r="K35" s="28">
        <v>45328</v>
      </c>
      <c r="L35">
        <v>1010100</v>
      </c>
      <c r="M35" t="s">
        <v>29</v>
      </c>
      <c r="N35">
        <v>161</v>
      </c>
      <c r="O35" t="s">
        <v>145</v>
      </c>
      <c r="P35" t="s">
        <v>368</v>
      </c>
      <c r="Q35">
        <f t="shared" si="0"/>
        <v>574</v>
      </c>
      <c r="R35" t="str">
        <f>_xlfn.XLOOKUP(P35,'Painel Fertilizers'!$B:$B,'Painel Fertilizers'!$B:$B,0)</f>
        <v>GRUPO LEANDRO SARTI</v>
      </c>
    </row>
    <row r="36" spans="1:18" x14ac:dyDescent="0.25">
      <c r="A36">
        <v>15908</v>
      </c>
      <c r="B36" t="s">
        <v>748</v>
      </c>
      <c r="C36" t="s">
        <v>749</v>
      </c>
      <c r="D36" s="32">
        <v>46034.400000000001</v>
      </c>
      <c r="E36">
        <v>1246273647</v>
      </c>
      <c r="F36" s="28">
        <v>46237</v>
      </c>
      <c r="H36" t="s">
        <v>156</v>
      </c>
      <c r="I36" t="s">
        <v>157</v>
      </c>
      <c r="J36">
        <v>11302</v>
      </c>
      <c r="K36" s="28">
        <v>46147</v>
      </c>
      <c r="L36">
        <v>1010100</v>
      </c>
      <c r="M36" t="s">
        <v>29</v>
      </c>
      <c r="N36">
        <v>161</v>
      </c>
      <c r="O36" t="s">
        <v>145</v>
      </c>
      <c r="P36" t="s">
        <v>784</v>
      </c>
      <c r="Q36">
        <f t="shared" si="0"/>
        <v>-40</v>
      </c>
      <c r="R36" t="str">
        <f>_xlfn.XLOOKUP(P36,'Painel Fertilizers'!$B:$B,'Painel Fertilizers'!$B:$B,0)</f>
        <v>ADUFÉRTIL - CAMPEVO</v>
      </c>
    </row>
    <row r="37" spans="1:18" x14ac:dyDescent="0.25">
      <c r="A37">
        <v>15905</v>
      </c>
      <c r="B37" t="s">
        <v>750</v>
      </c>
      <c r="C37" t="s">
        <v>751</v>
      </c>
      <c r="D37" s="32">
        <v>62496.02</v>
      </c>
      <c r="E37">
        <v>1246273651</v>
      </c>
      <c r="F37" s="28">
        <v>46237</v>
      </c>
      <c r="H37" t="s">
        <v>156</v>
      </c>
      <c r="I37" t="s">
        <v>157</v>
      </c>
      <c r="J37">
        <v>11304</v>
      </c>
      <c r="K37" s="28">
        <v>46147</v>
      </c>
      <c r="L37">
        <v>1010100</v>
      </c>
      <c r="M37" t="s">
        <v>29</v>
      </c>
      <c r="N37">
        <v>161</v>
      </c>
      <c r="O37" t="s">
        <v>145</v>
      </c>
      <c r="P37" t="s">
        <v>784</v>
      </c>
      <c r="Q37">
        <f t="shared" si="0"/>
        <v>-40</v>
      </c>
      <c r="R37" t="str">
        <f>_xlfn.XLOOKUP(P37,'Painel Fertilizers'!$B:$B,'Painel Fertilizers'!$B:$B,0)</f>
        <v>ADUFÉRTIL - CAMPEVO</v>
      </c>
    </row>
    <row r="38" spans="1:18" x14ac:dyDescent="0.25">
      <c r="A38">
        <v>15905</v>
      </c>
      <c r="B38" t="s">
        <v>750</v>
      </c>
      <c r="C38" t="s">
        <v>751</v>
      </c>
      <c r="D38" s="32">
        <v>72587.789999999994</v>
      </c>
      <c r="E38">
        <v>1246271194</v>
      </c>
      <c r="F38" s="28">
        <v>46215</v>
      </c>
      <c r="H38" t="s">
        <v>156</v>
      </c>
      <c r="I38" t="s">
        <v>157</v>
      </c>
      <c r="J38">
        <v>11111</v>
      </c>
      <c r="K38" s="28">
        <v>46125</v>
      </c>
      <c r="L38">
        <v>1010100</v>
      </c>
      <c r="M38" t="s">
        <v>29</v>
      </c>
      <c r="N38">
        <v>161</v>
      </c>
      <c r="O38" t="s">
        <v>145</v>
      </c>
      <c r="P38" t="s">
        <v>784</v>
      </c>
      <c r="Q38">
        <f t="shared" si="0"/>
        <v>-18</v>
      </c>
      <c r="R38" t="str">
        <f>_xlfn.XLOOKUP(P38,'Painel Fertilizers'!$B:$B,'Painel Fertilizers'!$B:$B,0)</f>
        <v>ADUFÉRTIL - CAMPEVO</v>
      </c>
    </row>
    <row r="39" spans="1:18" x14ac:dyDescent="0.25">
      <c r="A39">
        <v>16387</v>
      </c>
      <c r="B39" t="s">
        <v>634</v>
      </c>
      <c r="C39" t="s">
        <v>635</v>
      </c>
      <c r="D39" s="32">
        <v>5030.5</v>
      </c>
      <c r="E39">
        <v>1246250305</v>
      </c>
      <c r="F39" s="28">
        <v>46254</v>
      </c>
      <c r="H39" t="s">
        <v>156</v>
      </c>
      <c r="I39" t="s">
        <v>157</v>
      </c>
      <c r="J39">
        <v>10088</v>
      </c>
      <c r="K39" s="28">
        <v>45982</v>
      </c>
      <c r="L39">
        <v>1010100</v>
      </c>
      <c r="M39" t="s">
        <v>29</v>
      </c>
      <c r="N39">
        <v>161</v>
      </c>
      <c r="O39" t="s">
        <v>145</v>
      </c>
      <c r="P39" t="s">
        <v>365</v>
      </c>
      <c r="Q39">
        <f t="shared" si="0"/>
        <v>-57</v>
      </c>
      <c r="R39" t="str">
        <f>_xlfn.XLOOKUP(P39,'Painel Fertilizers'!$B:$B,'Painel Fertilizers'!$B:$B,0)</f>
        <v>GRUPO SAGRA</v>
      </c>
    </row>
    <row r="40" spans="1:18" x14ac:dyDescent="0.25">
      <c r="A40">
        <v>15906</v>
      </c>
      <c r="B40" t="s">
        <v>752</v>
      </c>
      <c r="C40" t="s">
        <v>753</v>
      </c>
      <c r="D40" s="32">
        <v>60112.54</v>
      </c>
      <c r="E40">
        <v>1246273649</v>
      </c>
      <c r="F40" s="28">
        <v>46237</v>
      </c>
      <c r="H40" t="s">
        <v>156</v>
      </c>
      <c r="I40" t="s">
        <v>157</v>
      </c>
      <c r="J40">
        <v>11303</v>
      </c>
      <c r="K40" s="28">
        <v>46147</v>
      </c>
      <c r="L40">
        <v>1010100</v>
      </c>
      <c r="M40" t="s">
        <v>29</v>
      </c>
      <c r="N40">
        <v>161</v>
      </c>
      <c r="O40" t="s">
        <v>145</v>
      </c>
      <c r="P40" t="s">
        <v>784</v>
      </c>
      <c r="Q40">
        <f t="shared" si="0"/>
        <v>-40</v>
      </c>
      <c r="R40" t="str">
        <f>_xlfn.XLOOKUP(P40,'Painel Fertilizers'!$B:$B,'Painel Fertilizers'!$B:$B,0)</f>
        <v>ADUFÉRTIL - CAMPEVO</v>
      </c>
    </row>
    <row r="41" spans="1:18" x14ac:dyDescent="0.25">
      <c r="A41">
        <v>15904</v>
      </c>
      <c r="B41" t="s">
        <v>754</v>
      </c>
      <c r="C41" t="s">
        <v>755</v>
      </c>
      <c r="D41" s="32">
        <v>49794.11</v>
      </c>
      <c r="E41">
        <v>1246273644</v>
      </c>
      <c r="F41" s="28">
        <v>46237</v>
      </c>
      <c r="H41" t="s">
        <v>156</v>
      </c>
      <c r="I41" t="s">
        <v>157</v>
      </c>
      <c r="J41">
        <v>11301</v>
      </c>
      <c r="K41" s="28">
        <v>46147</v>
      </c>
      <c r="L41">
        <v>1010100</v>
      </c>
      <c r="M41" t="s">
        <v>29</v>
      </c>
      <c r="N41">
        <v>161</v>
      </c>
      <c r="O41" t="s">
        <v>145</v>
      </c>
      <c r="P41" t="s">
        <v>784</v>
      </c>
      <c r="Q41">
        <f t="shared" si="0"/>
        <v>-40</v>
      </c>
      <c r="R41" t="str">
        <f>_xlfn.XLOOKUP(P41,'Painel Fertilizers'!$B:$B,'Painel Fertilizers'!$B:$B,0)</f>
        <v>ADUFÉRTIL - CAMPEVO</v>
      </c>
    </row>
    <row r="42" spans="1:18" x14ac:dyDescent="0.25">
      <c r="A42">
        <v>7</v>
      </c>
      <c r="B42" t="s">
        <v>562</v>
      </c>
      <c r="C42" t="s">
        <v>15610</v>
      </c>
      <c r="D42" s="32">
        <v>861.6</v>
      </c>
      <c r="E42">
        <v>1246278022</v>
      </c>
      <c r="F42" s="28">
        <v>46211</v>
      </c>
      <c r="H42" t="s">
        <v>156</v>
      </c>
      <c r="I42" t="s">
        <v>157</v>
      </c>
      <c r="J42">
        <v>2996</v>
      </c>
      <c r="K42" s="28">
        <v>46176</v>
      </c>
      <c r="L42">
        <v>1010100</v>
      </c>
      <c r="M42" t="s">
        <v>29</v>
      </c>
      <c r="N42">
        <v>39</v>
      </c>
      <c r="O42" t="s">
        <v>15325</v>
      </c>
      <c r="P42" t="s">
        <v>562</v>
      </c>
      <c r="Q42">
        <f t="shared" si="0"/>
        <v>-14</v>
      </c>
      <c r="R42" t="str">
        <f>_xlfn.XLOOKUP(P42,'Painel Fertilizers'!$B:$B,'Painel Fertilizers'!$B:$B,0)</f>
        <v>START QUIMICA - 22.685.341/0006-95</v>
      </c>
    </row>
    <row r="43" spans="1:18" x14ac:dyDescent="0.25">
      <c r="A43">
        <v>7060</v>
      </c>
      <c r="B43" t="s">
        <v>165</v>
      </c>
      <c r="C43" t="s">
        <v>166</v>
      </c>
      <c r="D43" s="32">
        <v>202489.44</v>
      </c>
      <c r="E43">
        <v>1246233024</v>
      </c>
      <c r="F43" s="28">
        <v>46264</v>
      </c>
      <c r="H43" t="s">
        <v>156</v>
      </c>
      <c r="I43" t="s">
        <v>157</v>
      </c>
      <c r="J43">
        <v>9046</v>
      </c>
      <c r="K43" s="28">
        <v>45895</v>
      </c>
      <c r="L43">
        <v>1010100</v>
      </c>
      <c r="M43" t="s">
        <v>29</v>
      </c>
      <c r="N43">
        <v>56</v>
      </c>
      <c r="O43" t="s">
        <v>146</v>
      </c>
      <c r="P43" t="s">
        <v>165</v>
      </c>
      <c r="Q43">
        <f t="shared" si="0"/>
        <v>-67</v>
      </c>
      <c r="R43" t="str">
        <f>_xlfn.XLOOKUP(P43,'Painel Fertilizers'!$B:$B,'Painel Fertilizers'!$B:$B,0)</f>
        <v>AGROVIVA</v>
      </c>
    </row>
    <row r="44" spans="1:18" x14ac:dyDescent="0.25">
      <c r="A44">
        <v>7060</v>
      </c>
      <c r="B44" t="s">
        <v>165</v>
      </c>
      <c r="C44" t="s">
        <v>166</v>
      </c>
      <c r="D44" s="32">
        <v>210926.49999999997</v>
      </c>
      <c r="E44">
        <v>1246232491</v>
      </c>
      <c r="F44" s="28">
        <v>46264</v>
      </c>
      <c r="H44" t="s">
        <v>156</v>
      </c>
      <c r="I44" t="s">
        <v>157</v>
      </c>
      <c r="J44">
        <v>9006</v>
      </c>
      <c r="K44" s="28">
        <v>45891</v>
      </c>
      <c r="L44">
        <v>1010100</v>
      </c>
      <c r="M44" t="s">
        <v>29</v>
      </c>
      <c r="N44">
        <v>56</v>
      </c>
      <c r="O44" t="s">
        <v>146</v>
      </c>
      <c r="P44" t="s">
        <v>165</v>
      </c>
      <c r="Q44">
        <f t="shared" si="0"/>
        <v>-67</v>
      </c>
      <c r="R44" t="str">
        <f>_xlfn.XLOOKUP(P44,'Painel Fertilizers'!$B:$B,'Painel Fertilizers'!$B:$B,0)</f>
        <v>AGROVIVA</v>
      </c>
    </row>
    <row r="45" spans="1:18" x14ac:dyDescent="0.25">
      <c r="A45">
        <v>7060</v>
      </c>
      <c r="B45" t="s">
        <v>165</v>
      </c>
      <c r="C45" t="s">
        <v>166</v>
      </c>
      <c r="D45" s="32">
        <v>135891.48000000001</v>
      </c>
      <c r="E45">
        <v>1246233319</v>
      </c>
      <c r="F45" s="28">
        <v>46266</v>
      </c>
      <c r="H45" t="s">
        <v>156</v>
      </c>
      <c r="I45" t="s">
        <v>157</v>
      </c>
      <c r="J45">
        <v>9076</v>
      </c>
      <c r="K45" s="28">
        <v>45896</v>
      </c>
      <c r="L45">
        <v>1010100</v>
      </c>
      <c r="M45" t="s">
        <v>29</v>
      </c>
      <c r="N45">
        <v>56</v>
      </c>
      <c r="O45" t="s">
        <v>146</v>
      </c>
      <c r="P45" t="s">
        <v>165</v>
      </c>
      <c r="Q45">
        <f t="shared" si="0"/>
        <v>-69</v>
      </c>
      <c r="R45" t="str">
        <f>_xlfn.XLOOKUP(P45,'Painel Fertilizers'!$B:$B,'Painel Fertilizers'!$B:$B,0)</f>
        <v>AGROVIVA</v>
      </c>
    </row>
    <row r="46" spans="1:18" x14ac:dyDescent="0.25">
      <c r="A46">
        <v>7060</v>
      </c>
      <c r="B46" t="s">
        <v>165</v>
      </c>
      <c r="C46" t="s">
        <v>166</v>
      </c>
      <c r="D46" s="32">
        <v>160304.14000000001</v>
      </c>
      <c r="E46">
        <v>1246232724</v>
      </c>
      <c r="F46" s="28">
        <v>46264</v>
      </c>
      <c r="H46" t="s">
        <v>156</v>
      </c>
      <c r="I46" t="s">
        <v>157</v>
      </c>
      <c r="J46">
        <v>9023</v>
      </c>
      <c r="K46" s="28">
        <v>45894</v>
      </c>
      <c r="L46">
        <v>1010100</v>
      </c>
      <c r="M46" t="s">
        <v>29</v>
      </c>
      <c r="N46">
        <v>56</v>
      </c>
      <c r="O46" t="s">
        <v>146</v>
      </c>
      <c r="P46" t="s">
        <v>165</v>
      </c>
      <c r="Q46">
        <f t="shared" si="0"/>
        <v>-67</v>
      </c>
      <c r="R46" t="str">
        <f>_xlfn.XLOOKUP(P46,'Painel Fertilizers'!$B:$B,'Painel Fertilizers'!$B:$B,0)</f>
        <v>AGROVIVA</v>
      </c>
    </row>
    <row r="47" spans="1:18" x14ac:dyDescent="0.25">
      <c r="A47">
        <v>7060</v>
      </c>
      <c r="B47" t="s">
        <v>165</v>
      </c>
      <c r="C47" t="s">
        <v>166</v>
      </c>
      <c r="D47" s="32">
        <v>134992.95999999999</v>
      </c>
      <c r="E47">
        <v>1246233318</v>
      </c>
      <c r="F47" s="28">
        <v>46265</v>
      </c>
      <c r="H47" t="s">
        <v>156</v>
      </c>
      <c r="I47" t="s">
        <v>157</v>
      </c>
      <c r="J47">
        <v>9075</v>
      </c>
      <c r="K47" s="28">
        <v>45896</v>
      </c>
      <c r="L47">
        <v>1010100</v>
      </c>
      <c r="M47" t="s">
        <v>29</v>
      </c>
      <c r="N47">
        <v>56</v>
      </c>
      <c r="O47" t="s">
        <v>146</v>
      </c>
      <c r="P47" t="s">
        <v>165</v>
      </c>
      <c r="Q47">
        <f t="shared" si="0"/>
        <v>-68</v>
      </c>
      <c r="R47" t="str">
        <f>_xlfn.XLOOKUP(P47,'Painel Fertilizers'!$B:$B,'Painel Fertilizers'!$B:$B,0)</f>
        <v>AGROVIVA</v>
      </c>
    </row>
    <row r="48" spans="1:18" x14ac:dyDescent="0.25">
      <c r="A48">
        <v>6132</v>
      </c>
      <c r="B48" t="s">
        <v>160</v>
      </c>
      <c r="C48" t="s">
        <v>161</v>
      </c>
      <c r="D48" s="32">
        <v>131993.79999999999</v>
      </c>
      <c r="E48">
        <v>1246090615</v>
      </c>
      <c r="F48" s="28">
        <v>45471</v>
      </c>
      <c r="H48" t="s">
        <v>156</v>
      </c>
      <c r="I48" t="s">
        <v>157</v>
      </c>
      <c r="J48">
        <v>33</v>
      </c>
      <c r="K48" s="28">
        <v>45111</v>
      </c>
      <c r="L48">
        <v>1010100</v>
      </c>
      <c r="M48" t="s">
        <v>29</v>
      </c>
      <c r="N48">
        <v>161</v>
      </c>
      <c r="O48" t="s">
        <v>145</v>
      </c>
      <c r="P48" t="s">
        <v>160</v>
      </c>
      <c r="Q48">
        <f t="shared" si="0"/>
        <v>726</v>
      </c>
      <c r="R48" t="str">
        <f>_xlfn.XLOOKUP(P48,'Painel Fertilizers'!$B:$B,'Painel Fertilizers'!$B:$B,0)</f>
        <v>CENTRAL DO ADUBO COM E REPRESENTACAO LTD</v>
      </c>
    </row>
    <row r="49" spans="1:18" x14ac:dyDescent="0.25">
      <c r="A49">
        <v>6132</v>
      </c>
      <c r="B49" t="s">
        <v>160</v>
      </c>
      <c r="C49" t="s">
        <v>161</v>
      </c>
      <c r="D49" s="32">
        <v>178370</v>
      </c>
      <c r="E49">
        <v>1246091907</v>
      </c>
      <c r="F49" s="28">
        <v>45437</v>
      </c>
      <c r="H49" t="s">
        <v>156</v>
      </c>
      <c r="I49" t="s">
        <v>157</v>
      </c>
      <c r="J49">
        <v>129</v>
      </c>
      <c r="K49" s="28">
        <v>45119</v>
      </c>
      <c r="L49">
        <v>1010100</v>
      </c>
      <c r="M49" t="s">
        <v>29</v>
      </c>
      <c r="N49">
        <v>161</v>
      </c>
      <c r="O49" t="s">
        <v>145</v>
      </c>
      <c r="P49" t="s">
        <v>160</v>
      </c>
      <c r="Q49">
        <f t="shared" si="0"/>
        <v>760</v>
      </c>
      <c r="R49" t="str">
        <f>_xlfn.XLOOKUP(P49,'Painel Fertilizers'!$B:$B,'Painel Fertilizers'!$B:$B,0)</f>
        <v>CENTRAL DO ADUBO COM E REPRESENTACAO LTD</v>
      </c>
    </row>
    <row r="50" spans="1:18" x14ac:dyDescent="0.25">
      <c r="A50">
        <v>6132</v>
      </c>
      <c r="B50" t="s">
        <v>160</v>
      </c>
      <c r="C50" t="s">
        <v>161</v>
      </c>
      <c r="D50" s="32">
        <v>178370</v>
      </c>
      <c r="E50">
        <v>1246090579</v>
      </c>
      <c r="F50" s="28">
        <v>45470</v>
      </c>
      <c r="H50" t="s">
        <v>156</v>
      </c>
      <c r="I50" t="s">
        <v>157</v>
      </c>
      <c r="J50">
        <v>28</v>
      </c>
      <c r="K50" s="28">
        <v>45110</v>
      </c>
      <c r="L50">
        <v>1010100</v>
      </c>
      <c r="M50" t="s">
        <v>29</v>
      </c>
      <c r="N50">
        <v>161</v>
      </c>
      <c r="O50" t="s">
        <v>145</v>
      </c>
      <c r="P50" t="s">
        <v>160</v>
      </c>
      <c r="Q50">
        <f t="shared" si="0"/>
        <v>727</v>
      </c>
      <c r="R50" t="str">
        <f>_xlfn.XLOOKUP(P50,'Painel Fertilizers'!$B:$B,'Painel Fertilizers'!$B:$B,0)</f>
        <v>CENTRAL DO ADUBO COM E REPRESENTACAO LTD</v>
      </c>
    </row>
    <row r="51" spans="1:18" x14ac:dyDescent="0.25">
      <c r="A51">
        <v>6132</v>
      </c>
      <c r="B51" t="s">
        <v>160</v>
      </c>
      <c r="C51" t="s">
        <v>161</v>
      </c>
      <c r="D51" s="32">
        <v>142696</v>
      </c>
      <c r="E51">
        <v>1246091833</v>
      </c>
      <c r="F51" s="28">
        <v>45436</v>
      </c>
      <c r="H51" t="s">
        <v>156</v>
      </c>
      <c r="I51" t="s">
        <v>157</v>
      </c>
      <c r="J51">
        <v>116</v>
      </c>
      <c r="K51" s="28">
        <v>45118</v>
      </c>
      <c r="L51">
        <v>1010100</v>
      </c>
      <c r="M51" t="s">
        <v>29</v>
      </c>
      <c r="N51">
        <v>161</v>
      </c>
      <c r="O51" t="s">
        <v>145</v>
      </c>
      <c r="P51" t="s">
        <v>160</v>
      </c>
      <c r="Q51">
        <f t="shared" si="0"/>
        <v>761</v>
      </c>
      <c r="R51" t="str">
        <f>_xlfn.XLOOKUP(P51,'Painel Fertilizers'!$B:$B,'Painel Fertilizers'!$B:$B,0)</f>
        <v>CENTRAL DO ADUBO COM E REPRESENTACAO LTD</v>
      </c>
    </row>
    <row r="52" spans="1:18" x14ac:dyDescent="0.25">
      <c r="A52">
        <v>6132</v>
      </c>
      <c r="B52" t="s">
        <v>160</v>
      </c>
      <c r="C52" t="s">
        <v>161</v>
      </c>
      <c r="D52" s="32">
        <v>60766.2</v>
      </c>
      <c r="E52">
        <v>1246095119</v>
      </c>
      <c r="F52" s="28">
        <v>45447</v>
      </c>
      <c r="H52" t="s">
        <v>156</v>
      </c>
      <c r="I52" t="s">
        <v>157</v>
      </c>
      <c r="J52">
        <v>93</v>
      </c>
      <c r="K52" s="28">
        <v>45138</v>
      </c>
      <c r="L52">
        <v>1010100</v>
      </c>
      <c r="M52" t="s">
        <v>29</v>
      </c>
      <c r="N52">
        <v>161</v>
      </c>
      <c r="O52" t="s">
        <v>145</v>
      </c>
      <c r="P52" t="s">
        <v>160</v>
      </c>
      <c r="Q52">
        <f t="shared" si="0"/>
        <v>750</v>
      </c>
      <c r="R52" t="str">
        <f>_xlfn.XLOOKUP(P52,'Painel Fertilizers'!$B:$B,'Painel Fertilizers'!$B:$B,0)</f>
        <v>CENTRAL DO ADUBO COM E REPRESENTACAO LTD</v>
      </c>
    </row>
    <row r="53" spans="1:18" x14ac:dyDescent="0.25">
      <c r="A53">
        <v>6132</v>
      </c>
      <c r="B53" t="s">
        <v>160</v>
      </c>
      <c r="C53" t="s">
        <v>161</v>
      </c>
      <c r="D53" s="32">
        <v>178260</v>
      </c>
      <c r="E53">
        <v>1246091832</v>
      </c>
      <c r="F53" s="28">
        <v>45436</v>
      </c>
      <c r="H53" t="s">
        <v>156</v>
      </c>
      <c r="I53" t="s">
        <v>157</v>
      </c>
      <c r="J53">
        <v>115</v>
      </c>
      <c r="K53" s="28">
        <v>45118</v>
      </c>
      <c r="L53">
        <v>1010100</v>
      </c>
      <c r="M53" t="s">
        <v>29</v>
      </c>
      <c r="N53">
        <v>161</v>
      </c>
      <c r="O53" t="s">
        <v>145</v>
      </c>
      <c r="P53" t="s">
        <v>160</v>
      </c>
      <c r="Q53">
        <f t="shared" si="0"/>
        <v>761</v>
      </c>
      <c r="R53" t="str">
        <f>_xlfn.XLOOKUP(P53,'Painel Fertilizers'!$B:$B,'Painel Fertilizers'!$B:$B,0)</f>
        <v>CENTRAL DO ADUBO COM E REPRESENTACAO LTD</v>
      </c>
    </row>
    <row r="54" spans="1:18" x14ac:dyDescent="0.25">
      <c r="A54">
        <v>6132</v>
      </c>
      <c r="B54" t="s">
        <v>160</v>
      </c>
      <c r="C54" t="s">
        <v>161</v>
      </c>
      <c r="D54" s="32">
        <v>151915.50000000003</v>
      </c>
      <c r="E54">
        <v>1246095049</v>
      </c>
      <c r="F54" s="28">
        <v>45447</v>
      </c>
      <c r="H54" t="s">
        <v>156</v>
      </c>
      <c r="I54" t="s">
        <v>157</v>
      </c>
      <c r="J54">
        <v>92</v>
      </c>
      <c r="K54" s="28">
        <v>45138</v>
      </c>
      <c r="L54">
        <v>1010100</v>
      </c>
      <c r="M54" t="s">
        <v>29</v>
      </c>
      <c r="N54">
        <v>161</v>
      </c>
      <c r="O54" t="s">
        <v>145</v>
      </c>
      <c r="P54" t="s">
        <v>160</v>
      </c>
      <c r="Q54">
        <f t="shared" si="0"/>
        <v>750</v>
      </c>
      <c r="R54" t="str">
        <f>_xlfn.XLOOKUP(P54,'Painel Fertilizers'!$B:$B,'Painel Fertilizers'!$B:$B,0)</f>
        <v>CENTRAL DO ADUBO COM E REPRESENTACAO LTD</v>
      </c>
    </row>
    <row r="55" spans="1:18" x14ac:dyDescent="0.25">
      <c r="A55">
        <v>6132</v>
      </c>
      <c r="B55" t="s">
        <v>160</v>
      </c>
      <c r="C55" t="s">
        <v>161</v>
      </c>
      <c r="D55" s="32">
        <v>91149.3</v>
      </c>
      <c r="E55">
        <v>1246095124</v>
      </c>
      <c r="F55" s="28">
        <v>45447</v>
      </c>
      <c r="H55" t="s">
        <v>156</v>
      </c>
      <c r="I55" t="s">
        <v>157</v>
      </c>
      <c r="J55">
        <v>94</v>
      </c>
      <c r="K55" s="28">
        <v>45138</v>
      </c>
      <c r="L55">
        <v>1010100</v>
      </c>
      <c r="M55" t="s">
        <v>29</v>
      </c>
      <c r="N55">
        <v>161</v>
      </c>
      <c r="O55" t="s">
        <v>145</v>
      </c>
      <c r="P55" t="s">
        <v>160</v>
      </c>
      <c r="Q55">
        <f t="shared" si="0"/>
        <v>750</v>
      </c>
      <c r="R55" t="str">
        <f>_xlfn.XLOOKUP(P55,'Painel Fertilizers'!$B:$B,'Painel Fertilizers'!$B:$B,0)</f>
        <v>CENTRAL DO ADUBO COM E REPRESENTACAO LTD</v>
      </c>
    </row>
    <row r="56" spans="1:18" x14ac:dyDescent="0.25">
      <c r="A56">
        <v>6132</v>
      </c>
      <c r="B56" t="s">
        <v>160</v>
      </c>
      <c r="C56" t="s">
        <v>161</v>
      </c>
      <c r="D56" s="32">
        <v>85223.34</v>
      </c>
      <c r="E56">
        <v>1246097799</v>
      </c>
      <c r="F56" s="28">
        <v>45442</v>
      </c>
      <c r="H56" t="s">
        <v>156</v>
      </c>
      <c r="I56" t="s">
        <v>157</v>
      </c>
      <c r="J56">
        <v>678</v>
      </c>
      <c r="K56" s="28">
        <v>45152</v>
      </c>
      <c r="L56">
        <v>1010100</v>
      </c>
      <c r="M56" t="s">
        <v>29</v>
      </c>
      <c r="N56">
        <v>161</v>
      </c>
      <c r="O56" t="s">
        <v>145</v>
      </c>
      <c r="P56" t="s">
        <v>160</v>
      </c>
      <c r="Q56">
        <f t="shared" si="0"/>
        <v>755</v>
      </c>
      <c r="R56" t="str">
        <f>_xlfn.XLOOKUP(P56,'Painel Fertilizers'!$B:$B,'Painel Fertilizers'!$B:$B,0)</f>
        <v>CENTRAL DO ADUBO COM E REPRESENTACAO LTD</v>
      </c>
    </row>
    <row r="57" spans="1:18" x14ac:dyDescent="0.25">
      <c r="A57">
        <v>6132</v>
      </c>
      <c r="B57" t="s">
        <v>160</v>
      </c>
      <c r="C57" t="s">
        <v>161</v>
      </c>
      <c r="D57" s="32">
        <v>84323.41</v>
      </c>
      <c r="E57">
        <v>1246121990</v>
      </c>
      <c r="F57" s="28">
        <v>45557</v>
      </c>
      <c r="H57" t="s">
        <v>156</v>
      </c>
      <c r="I57" t="s">
        <v>157</v>
      </c>
      <c r="J57">
        <v>2361</v>
      </c>
      <c r="K57" s="28">
        <v>45289</v>
      </c>
      <c r="L57">
        <v>1010100</v>
      </c>
      <c r="M57" t="s">
        <v>29</v>
      </c>
      <c r="N57">
        <v>161</v>
      </c>
      <c r="O57" t="s">
        <v>145</v>
      </c>
      <c r="P57" t="s">
        <v>160</v>
      </c>
      <c r="Q57">
        <f t="shared" si="0"/>
        <v>640</v>
      </c>
      <c r="R57" t="str">
        <f>_xlfn.XLOOKUP(P57,'Painel Fertilizers'!$B:$B,'Painel Fertilizers'!$B:$B,0)</f>
        <v>CENTRAL DO ADUBO COM E REPRESENTACAO LTD</v>
      </c>
    </row>
    <row r="58" spans="1:18" x14ac:dyDescent="0.25">
      <c r="A58">
        <v>6132</v>
      </c>
      <c r="B58" t="s">
        <v>160</v>
      </c>
      <c r="C58" t="s">
        <v>161</v>
      </c>
      <c r="D58" s="32">
        <v>63251.12</v>
      </c>
      <c r="E58">
        <v>1246128996</v>
      </c>
      <c r="F58" s="28">
        <v>45571</v>
      </c>
      <c r="H58" t="s">
        <v>156</v>
      </c>
      <c r="I58" t="s">
        <v>157</v>
      </c>
      <c r="J58">
        <v>2766</v>
      </c>
      <c r="K58" s="28">
        <v>45331</v>
      </c>
      <c r="L58">
        <v>1010100</v>
      </c>
      <c r="M58" t="s">
        <v>29</v>
      </c>
      <c r="N58">
        <v>161</v>
      </c>
      <c r="O58" t="s">
        <v>145</v>
      </c>
      <c r="P58" t="s">
        <v>160</v>
      </c>
      <c r="Q58">
        <f t="shared" si="0"/>
        <v>626</v>
      </c>
      <c r="R58" t="str">
        <f>_xlfn.XLOOKUP(P58,'Painel Fertilizers'!$B:$B,'Painel Fertilizers'!$B:$B,0)</f>
        <v>CENTRAL DO ADUBO COM E REPRESENTACAO LTD</v>
      </c>
    </row>
    <row r="59" spans="1:18" x14ac:dyDescent="0.25">
      <c r="A59">
        <v>6132</v>
      </c>
      <c r="B59" t="s">
        <v>160</v>
      </c>
      <c r="C59" t="s">
        <v>161</v>
      </c>
      <c r="D59" s="32">
        <v>52062</v>
      </c>
      <c r="E59">
        <v>1246115169</v>
      </c>
      <c r="F59" s="28">
        <v>45466</v>
      </c>
      <c r="H59" t="s">
        <v>156</v>
      </c>
      <c r="I59" t="s">
        <v>157</v>
      </c>
      <c r="J59">
        <v>1974</v>
      </c>
      <c r="K59" s="28">
        <v>45244</v>
      </c>
      <c r="L59">
        <v>1010100</v>
      </c>
      <c r="M59" t="s">
        <v>29</v>
      </c>
      <c r="N59">
        <v>161</v>
      </c>
      <c r="O59" t="s">
        <v>145</v>
      </c>
      <c r="P59" t="s">
        <v>160</v>
      </c>
      <c r="Q59">
        <f t="shared" si="0"/>
        <v>731</v>
      </c>
      <c r="R59" t="str">
        <f>_xlfn.XLOOKUP(P59,'Painel Fertilizers'!$B:$B,'Painel Fertilizers'!$B:$B,0)</f>
        <v>CENTRAL DO ADUBO COM E REPRESENTACAO LTD</v>
      </c>
    </row>
    <row r="60" spans="1:18" x14ac:dyDescent="0.25">
      <c r="A60">
        <v>6132</v>
      </c>
      <c r="B60" t="s">
        <v>160</v>
      </c>
      <c r="C60" t="s">
        <v>161</v>
      </c>
      <c r="D60" s="32">
        <v>32002.66</v>
      </c>
      <c r="E60">
        <v>1246120211</v>
      </c>
      <c r="F60" s="28">
        <v>45518</v>
      </c>
      <c r="H60" t="s">
        <v>156</v>
      </c>
      <c r="I60" t="s">
        <v>157</v>
      </c>
      <c r="J60">
        <v>2284</v>
      </c>
      <c r="K60" s="28">
        <v>45278</v>
      </c>
      <c r="L60">
        <v>1010100</v>
      </c>
      <c r="M60" t="s">
        <v>29</v>
      </c>
      <c r="N60">
        <v>161</v>
      </c>
      <c r="O60" t="s">
        <v>145</v>
      </c>
      <c r="P60" t="s">
        <v>160</v>
      </c>
      <c r="Q60">
        <f t="shared" si="0"/>
        <v>679</v>
      </c>
      <c r="R60" t="str">
        <f>_xlfn.XLOOKUP(P60,'Painel Fertilizers'!$B:$B,'Painel Fertilizers'!$B:$B,0)</f>
        <v>CENTRAL DO ADUBO COM E REPRESENTACAO LTD</v>
      </c>
    </row>
    <row r="61" spans="1:18" x14ac:dyDescent="0.25">
      <c r="A61">
        <v>6132</v>
      </c>
      <c r="B61" t="s">
        <v>160</v>
      </c>
      <c r="C61" t="s">
        <v>161</v>
      </c>
      <c r="D61" s="32">
        <v>112435.2</v>
      </c>
      <c r="E61">
        <v>1246116054</v>
      </c>
      <c r="F61" s="28">
        <v>45491</v>
      </c>
      <c r="H61" t="s">
        <v>156</v>
      </c>
      <c r="I61" t="s">
        <v>157</v>
      </c>
      <c r="J61">
        <v>2046</v>
      </c>
      <c r="K61" s="28">
        <v>45251</v>
      </c>
      <c r="L61">
        <v>1010100</v>
      </c>
      <c r="M61" t="s">
        <v>29</v>
      </c>
      <c r="N61">
        <v>161</v>
      </c>
      <c r="O61" t="s">
        <v>145</v>
      </c>
      <c r="P61" t="s">
        <v>160</v>
      </c>
      <c r="Q61">
        <f t="shared" si="0"/>
        <v>706</v>
      </c>
      <c r="R61" t="str">
        <f>_xlfn.XLOOKUP(P61,'Painel Fertilizers'!$B:$B,'Painel Fertilizers'!$B:$B,0)</f>
        <v>CENTRAL DO ADUBO COM E REPRESENTACAO LTD</v>
      </c>
    </row>
    <row r="62" spans="1:18" x14ac:dyDescent="0.25">
      <c r="A62">
        <v>6132</v>
      </c>
      <c r="B62" t="s">
        <v>160</v>
      </c>
      <c r="C62" t="s">
        <v>161</v>
      </c>
      <c r="D62" s="32">
        <v>29450.6</v>
      </c>
      <c r="E62">
        <v>1246128801</v>
      </c>
      <c r="F62" s="28">
        <v>45605</v>
      </c>
      <c r="H62" t="s">
        <v>156</v>
      </c>
      <c r="I62" t="s">
        <v>157</v>
      </c>
      <c r="J62">
        <v>2746</v>
      </c>
      <c r="K62" s="28">
        <v>45330</v>
      </c>
      <c r="L62">
        <v>1010100</v>
      </c>
      <c r="M62" t="s">
        <v>29</v>
      </c>
      <c r="N62">
        <v>161</v>
      </c>
      <c r="O62" t="s">
        <v>145</v>
      </c>
      <c r="P62" t="s">
        <v>160</v>
      </c>
      <c r="Q62">
        <f t="shared" si="0"/>
        <v>592</v>
      </c>
      <c r="R62" t="str">
        <f>_xlfn.XLOOKUP(P62,'Painel Fertilizers'!$B:$B,'Painel Fertilizers'!$B:$B,0)</f>
        <v>CENTRAL DO ADUBO COM E REPRESENTACAO LTD</v>
      </c>
    </row>
    <row r="63" spans="1:18" x14ac:dyDescent="0.25">
      <c r="A63">
        <v>6132</v>
      </c>
      <c r="B63" t="s">
        <v>160</v>
      </c>
      <c r="C63" t="s">
        <v>161</v>
      </c>
      <c r="D63" s="32">
        <v>87840</v>
      </c>
      <c r="E63">
        <v>1246113431</v>
      </c>
      <c r="F63" s="28">
        <v>45476</v>
      </c>
      <c r="H63" t="s">
        <v>156</v>
      </c>
      <c r="I63" t="s">
        <v>157</v>
      </c>
      <c r="J63">
        <v>1852</v>
      </c>
      <c r="K63" s="28">
        <v>45236</v>
      </c>
      <c r="L63">
        <v>1010100</v>
      </c>
      <c r="M63" t="s">
        <v>29</v>
      </c>
      <c r="N63">
        <v>161</v>
      </c>
      <c r="O63" t="s">
        <v>145</v>
      </c>
      <c r="P63" t="s">
        <v>160</v>
      </c>
      <c r="Q63">
        <f t="shared" si="0"/>
        <v>721</v>
      </c>
      <c r="R63" t="str">
        <f>_xlfn.XLOOKUP(P63,'Painel Fertilizers'!$B:$B,'Painel Fertilizers'!$B:$B,0)</f>
        <v>CENTRAL DO ADUBO COM E REPRESENTACAO LTD</v>
      </c>
    </row>
    <row r="64" spans="1:18" x14ac:dyDescent="0.25">
      <c r="A64">
        <v>6132</v>
      </c>
      <c r="B64" t="s">
        <v>160</v>
      </c>
      <c r="C64" t="s">
        <v>161</v>
      </c>
      <c r="D64" s="32">
        <v>27201.1</v>
      </c>
      <c r="E64">
        <v>1246124199</v>
      </c>
      <c r="F64" s="28">
        <v>45557</v>
      </c>
      <c r="H64" t="s">
        <v>156</v>
      </c>
      <c r="I64" t="s">
        <v>157</v>
      </c>
      <c r="J64">
        <v>2454</v>
      </c>
      <c r="K64" s="28">
        <v>45301</v>
      </c>
      <c r="L64">
        <v>1010100</v>
      </c>
      <c r="M64" t="s">
        <v>29</v>
      </c>
      <c r="N64">
        <v>161</v>
      </c>
      <c r="O64" t="s">
        <v>145</v>
      </c>
      <c r="P64" t="s">
        <v>160</v>
      </c>
      <c r="Q64">
        <f t="shared" si="0"/>
        <v>640</v>
      </c>
      <c r="R64" t="str">
        <f>_xlfn.XLOOKUP(P64,'Painel Fertilizers'!$B:$B,'Painel Fertilizers'!$B:$B,0)</f>
        <v>CENTRAL DO ADUBO COM E REPRESENTACAO LTD</v>
      </c>
    </row>
    <row r="65" spans="1:18" x14ac:dyDescent="0.25">
      <c r="A65">
        <v>6132</v>
      </c>
      <c r="B65" t="s">
        <v>160</v>
      </c>
      <c r="C65" t="s">
        <v>161</v>
      </c>
      <c r="D65" s="32">
        <v>86529.600000000006</v>
      </c>
      <c r="E65">
        <v>1246116354</v>
      </c>
      <c r="F65" s="28">
        <v>45475</v>
      </c>
      <c r="H65" t="s">
        <v>156</v>
      </c>
      <c r="I65" t="s">
        <v>157</v>
      </c>
      <c r="J65">
        <v>2068</v>
      </c>
      <c r="K65" s="28">
        <v>45253</v>
      </c>
      <c r="L65">
        <v>1010100</v>
      </c>
      <c r="M65" t="s">
        <v>29</v>
      </c>
      <c r="N65">
        <v>161</v>
      </c>
      <c r="O65" t="s">
        <v>145</v>
      </c>
      <c r="P65" t="s">
        <v>160</v>
      </c>
      <c r="Q65">
        <f t="shared" si="0"/>
        <v>722</v>
      </c>
      <c r="R65" t="str">
        <f>_xlfn.XLOOKUP(P65,'Painel Fertilizers'!$B:$B,'Painel Fertilizers'!$B:$B,0)</f>
        <v>CENTRAL DO ADUBO COM E REPRESENTACAO LTD</v>
      </c>
    </row>
    <row r="66" spans="1:18" x14ac:dyDescent="0.25">
      <c r="A66">
        <v>6132</v>
      </c>
      <c r="B66" t="s">
        <v>160</v>
      </c>
      <c r="C66" t="s">
        <v>161</v>
      </c>
      <c r="D66" s="32">
        <v>171010</v>
      </c>
      <c r="E66">
        <v>1246117256</v>
      </c>
      <c r="F66" s="28">
        <v>45474</v>
      </c>
      <c r="H66" t="s">
        <v>156</v>
      </c>
      <c r="I66" t="s">
        <v>157</v>
      </c>
      <c r="J66">
        <v>2130</v>
      </c>
      <c r="K66" s="28">
        <v>45260</v>
      </c>
      <c r="L66">
        <v>1010100</v>
      </c>
      <c r="M66" t="s">
        <v>29</v>
      </c>
      <c r="N66">
        <v>161</v>
      </c>
      <c r="O66" t="s">
        <v>145</v>
      </c>
      <c r="P66" t="s">
        <v>160</v>
      </c>
      <c r="Q66">
        <f t="shared" ref="Q66:Q126" si="1">$R$1-F66</f>
        <v>723</v>
      </c>
      <c r="R66" t="str">
        <f>_xlfn.XLOOKUP(P66,'Painel Fertilizers'!$B:$B,'Painel Fertilizers'!$B:$B,0)</f>
        <v>CENTRAL DO ADUBO COM E REPRESENTACAO LTD</v>
      </c>
    </row>
    <row r="67" spans="1:18" x14ac:dyDescent="0.25">
      <c r="A67">
        <v>6132</v>
      </c>
      <c r="B67" t="s">
        <v>160</v>
      </c>
      <c r="C67" t="s">
        <v>161</v>
      </c>
      <c r="D67" s="32">
        <v>94461</v>
      </c>
      <c r="E67">
        <v>1246125716</v>
      </c>
      <c r="F67" s="28">
        <v>45578</v>
      </c>
      <c r="H67" t="s">
        <v>156</v>
      </c>
      <c r="I67" t="s">
        <v>157</v>
      </c>
      <c r="J67">
        <v>2541</v>
      </c>
      <c r="K67" s="28">
        <v>45310</v>
      </c>
      <c r="L67">
        <v>1010100</v>
      </c>
      <c r="M67" t="s">
        <v>29</v>
      </c>
      <c r="N67">
        <v>161</v>
      </c>
      <c r="O67" t="s">
        <v>145</v>
      </c>
      <c r="P67" t="s">
        <v>160</v>
      </c>
      <c r="Q67">
        <f t="shared" si="1"/>
        <v>619</v>
      </c>
      <c r="R67" t="str">
        <f>_xlfn.XLOOKUP(P67,'Painel Fertilizers'!$B:$B,'Painel Fertilizers'!$B:$B,0)</f>
        <v>CENTRAL DO ADUBO COM E REPRESENTACAO LTD</v>
      </c>
    </row>
    <row r="68" spans="1:18" x14ac:dyDescent="0.25">
      <c r="A68">
        <v>6132</v>
      </c>
      <c r="B68" t="s">
        <v>160</v>
      </c>
      <c r="C68" t="s">
        <v>161</v>
      </c>
      <c r="D68" s="32">
        <v>67967</v>
      </c>
      <c r="E68">
        <v>1246128327</v>
      </c>
      <c r="F68" s="28">
        <v>45567</v>
      </c>
      <c r="H68" t="s">
        <v>156</v>
      </c>
      <c r="I68" t="s">
        <v>157</v>
      </c>
      <c r="J68">
        <v>2712</v>
      </c>
      <c r="K68" s="28">
        <v>45327</v>
      </c>
      <c r="L68">
        <v>1010100</v>
      </c>
      <c r="M68" t="s">
        <v>29</v>
      </c>
      <c r="N68">
        <v>161</v>
      </c>
      <c r="O68" t="s">
        <v>145</v>
      </c>
      <c r="P68" t="s">
        <v>160</v>
      </c>
      <c r="Q68">
        <f t="shared" si="1"/>
        <v>630</v>
      </c>
      <c r="R68" t="str">
        <f>_xlfn.XLOOKUP(P68,'Painel Fertilizers'!$B:$B,'Painel Fertilizers'!$B:$B,0)</f>
        <v>CENTRAL DO ADUBO COM E REPRESENTACAO LTD</v>
      </c>
    </row>
    <row r="69" spans="1:18" x14ac:dyDescent="0.25">
      <c r="A69">
        <v>6132</v>
      </c>
      <c r="B69" t="s">
        <v>160</v>
      </c>
      <c r="C69" t="s">
        <v>161</v>
      </c>
      <c r="D69" s="32">
        <v>77852.5</v>
      </c>
      <c r="E69">
        <v>1246128328</v>
      </c>
      <c r="F69" s="28">
        <v>45567</v>
      </c>
      <c r="H69" t="s">
        <v>156</v>
      </c>
      <c r="I69" t="s">
        <v>157</v>
      </c>
      <c r="J69">
        <v>2713</v>
      </c>
      <c r="K69" s="28">
        <v>45327</v>
      </c>
      <c r="L69">
        <v>1010100</v>
      </c>
      <c r="M69" t="s">
        <v>29</v>
      </c>
      <c r="N69">
        <v>161</v>
      </c>
      <c r="O69" t="s">
        <v>145</v>
      </c>
      <c r="P69" t="s">
        <v>160</v>
      </c>
      <c r="Q69">
        <f t="shared" si="1"/>
        <v>630</v>
      </c>
      <c r="R69" t="str">
        <f>_xlfn.XLOOKUP(P69,'Painel Fertilizers'!$B:$B,'Painel Fertilizers'!$B:$B,0)</f>
        <v>CENTRAL DO ADUBO COM E REPRESENTACAO LTD</v>
      </c>
    </row>
    <row r="70" spans="1:18" x14ac:dyDescent="0.25">
      <c r="A70">
        <v>6132</v>
      </c>
      <c r="B70" t="s">
        <v>160</v>
      </c>
      <c r="C70" t="s">
        <v>161</v>
      </c>
      <c r="D70" s="32">
        <v>41610.269999999997</v>
      </c>
      <c r="E70">
        <v>1246128682</v>
      </c>
      <c r="F70" s="28">
        <v>45604</v>
      </c>
      <c r="H70" t="s">
        <v>156</v>
      </c>
      <c r="I70" t="s">
        <v>157</v>
      </c>
      <c r="J70">
        <v>2737</v>
      </c>
      <c r="K70" s="28">
        <v>45329</v>
      </c>
      <c r="L70">
        <v>1010100</v>
      </c>
      <c r="M70" t="s">
        <v>29</v>
      </c>
      <c r="N70">
        <v>161</v>
      </c>
      <c r="O70" t="s">
        <v>145</v>
      </c>
      <c r="P70" t="s">
        <v>160</v>
      </c>
      <c r="Q70">
        <f t="shared" si="1"/>
        <v>593</v>
      </c>
      <c r="R70" t="str">
        <f>_xlfn.XLOOKUP(P70,'Painel Fertilizers'!$B:$B,'Painel Fertilizers'!$B:$B,0)</f>
        <v>CENTRAL DO ADUBO COM E REPRESENTACAO LTD</v>
      </c>
    </row>
    <row r="71" spans="1:18" x14ac:dyDescent="0.25">
      <c r="A71">
        <v>6132</v>
      </c>
      <c r="B71" t="s">
        <v>160</v>
      </c>
      <c r="C71" t="s">
        <v>161</v>
      </c>
      <c r="D71" s="32">
        <v>107254.39999999999</v>
      </c>
      <c r="E71">
        <v>1246126442</v>
      </c>
      <c r="F71" s="28">
        <v>45565</v>
      </c>
      <c r="H71" t="s">
        <v>156</v>
      </c>
      <c r="I71" t="s">
        <v>157</v>
      </c>
      <c r="J71">
        <v>2587</v>
      </c>
      <c r="K71" s="28">
        <v>45315</v>
      </c>
      <c r="L71">
        <v>1010100</v>
      </c>
      <c r="M71" t="s">
        <v>29</v>
      </c>
      <c r="N71">
        <v>161</v>
      </c>
      <c r="O71" t="s">
        <v>145</v>
      </c>
      <c r="P71" t="s">
        <v>160</v>
      </c>
      <c r="Q71">
        <f t="shared" si="1"/>
        <v>632</v>
      </c>
      <c r="R71" t="str">
        <f>_xlfn.XLOOKUP(P71,'Painel Fertilizers'!$B:$B,'Painel Fertilizers'!$B:$B,0)</f>
        <v>CENTRAL DO ADUBO COM E REPRESENTACAO LTD</v>
      </c>
    </row>
    <row r="72" spans="1:18" x14ac:dyDescent="0.25">
      <c r="A72">
        <v>6132</v>
      </c>
      <c r="B72" t="s">
        <v>160</v>
      </c>
      <c r="C72" t="s">
        <v>161</v>
      </c>
      <c r="D72" s="32">
        <v>56218.2</v>
      </c>
      <c r="E72">
        <v>1246128800</v>
      </c>
      <c r="F72" s="28">
        <v>45605</v>
      </c>
      <c r="H72" t="s">
        <v>156</v>
      </c>
      <c r="I72" t="s">
        <v>157</v>
      </c>
      <c r="J72">
        <v>2745</v>
      </c>
      <c r="K72" s="28">
        <v>45330</v>
      </c>
      <c r="L72">
        <v>1010100</v>
      </c>
      <c r="M72" t="s">
        <v>29</v>
      </c>
      <c r="N72">
        <v>161</v>
      </c>
      <c r="O72" t="s">
        <v>145</v>
      </c>
      <c r="P72" t="s">
        <v>160</v>
      </c>
      <c r="Q72">
        <f t="shared" si="1"/>
        <v>592</v>
      </c>
      <c r="R72" t="str">
        <f>_xlfn.XLOOKUP(P72,'Painel Fertilizers'!$B:$B,'Painel Fertilizers'!$B:$B,0)</f>
        <v>CENTRAL DO ADUBO COM E REPRESENTACAO LTD</v>
      </c>
    </row>
    <row r="73" spans="1:18" x14ac:dyDescent="0.25">
      <c r="A73">
        <v>6132</v>
      </c>
      <c r="B73" t="s">
        <v>160</v>
      </c>
      <c r="C73" t="s">
        <v>161</v>
      </c>
      <c r="D73" s="32">
        <v>24480.99</v>
      </c>
      <c r="E73">
        <v>1246127802</v>
      </c>
      <c r="F73" s="28">
        <v>45603</v>
      </c>
      <c r="H73" t="s">
        <v>156</v>
      </c>
      <c r="I73" t="s">
        <v>157</v>
      </c>
      <c r="J73">
        <v>2674</v>
      </c>
      <c r="K73" s="28">
        <v>45323</v>
      </c>
      <c r="L73">
        <v>1010100</v>
      </c>
      <c r="M73" t="s">
        <v>29</v>
      </c>
      <c r="N73">
        <v>161</v>
      </c>
      <c r="O73" t="s">
        <v>145</v>
      </c>
      <c r="P73" t="s">
        <v>160</v>
      </c>
      <c r="Q73">
        <f t="shared" si="1"/>
        <v>594</v>
      </c>
      <c r="R73" t="str">
        <f>_xlfn.XLOOKUP(P73,'Painel Fertilizers'!$B:$B,'Painel Fertilizers'!$B:$B,0)</f>
        <v>CENTRAL DO ADUBO COM E REPRESENTACAO LTD</v>
      </c>
    </row>
    <row r="74" spans="1:18" x14ac:dyDescent="0.25">
      <c r="A74">
        <v>6132</v>
      </c>
      <c r="B74" t="s">
        <v>160</v>
      </c>
      <c r="C74" t="s">
        <v>161</v>
      </c>
      <c r="D74" s="32">
        <v>87043.520000000004</v>
      </c>
      <c r="E74">
        <v>1246120531</v>
      </c>
      <c r="F74" s="28">
        <v>45559</v>
      </c>
      <c r="H74" t="s">
        <v>156</v>
      </c>
      <c r="I74" t="s">
        <v>157</v>
      </c>
      <c r="J74">
        <v>2295</v>
      </c>
      <c r="K74" s="28">
        <v>45279</v>
      </c>
      <c r="L74">
        <v>1010100</v>
      </c>
      <c r="M74" t="s">
        <v>29</v>
      </c>
      <c r="N74">
        <v>161</v>
      </c>
      <c r="O74" t="s">
        <v>145</v>
      </c>
      <c r="P74" t="s">
        <v>160</v>
      </c>
      <c r="Q74">
        <f t="shared" si="1"/>
        <v>638</v>
      </c>
      <c r="R74" t="str">
        <f>_xlfn.XLOOKUP(P74,'Painel Fertilizers'!$B:$B,'Painel Fertilizers'!$B:$B,0)</f>
        <v>CENTRAL DO ADUBO COM E REPRESENTACAO LTD</v>
      </c>
    </row>
    <row r="75" spans="1:18" x14ac:dyDescent="0.25">
      <c r="A75">
        <v>6132</v>
      </c>
      <c r="B75" t="s">
        <v>160</v>
      </c>
      <c r="C75" t="s">
        <v>161</v>
      </c>
      <c r="D75" s="32">
        <v>87504.97</v>
      </c>
      <c r="E75">
        <v>1246119910</v>
      </c>
      <c r="F75" s="28">
        <v>45555</v>
      </c>
      <c r="H75" t="s">
        <v>156</v>
      </c>
      <c r="I75" t="s">
        <v>157</v>
      </c>
      <c r="J75">
        <v>2248</v>
      </c>
      <c r="K75" s="28">
        <v>45275</v>
      </c>
      <c r="L75">
        <v>1010100</v>
      </c>
      <c r="M75" t="s">
        <v>29</v>
      </c>
      <c r="N75">
        <v>161</v>
      </c>
      <c r="O75" t="s">
        <v>145</v>
      </c>
      <c r="P75" t="s">
        <v>160</v>
      </c>
      <c r="Q75">
        <f t="shared" si="1"/>
        <v>642</v>
      </c>
      <c r="R75" t="str">
        <f>_xlfn.XLOOKUP(P75,'Painel Fertilizers'!$B:$B,'Painel Fertilizers'!$B:$B,0)</f>
        <v>CENTRAL DO ADUBO COM E REPRESENTACAO LTD</v>
      </c>
    </row>
    <row r="76" spans="1:18" x14ac:dyDescent="0.25">
      <c r="A76">
        <v>6132</v>
      </c>
      <c r="B76" t="s">
        <v>160</v>
      </c>
      <c r="C76" t="s">
        <v>161</v>
      </c>
      <c r="D76" s="32">
        <v>22997.32</v>
      </c>
      <c r="E76">
        <v>1246119982</v>
      </c>
      <c r="F76" s="28">
        <v>45515</v>
      </c>
      <c r="H76" t="s">
        <v>156</v>
      </c>
      <c r="I76" t="s">
        <v>157</v>
      </c>
      <c r="J76">
        <v>2263</v>
      </c>
      <c r="K76" s="28">
        <v>45275</v>
      </c>
      <c r="L76">
        <v>1010100</v>
      </c>
      <c r="M76" t="s">
        <v>29</v>
      </c>
      <c r="N76">
        <v>161</v>
      </c>
      <c r="O76" t="s">
        <v>145</v>
      </c>
      <c r="P76" t="s">
        <v>160</v>
      </c>
      <c r="Q76">
        <f t="shared" si="1"/>
        <v>682</v>
      </c>
      <c r="R76" t="str">
        <f>_xlfn.XLOOKUP(P76,'Painel Fertilizers'!$B:$B,'Painel Fertilizers'!$B:$B,0)</f>
        <v>CENTRAL DO ADUBO COM E REPRESENTACAO LTD</v>
      </c>
    </row>
    <row r="77" spans="1:18" x14ac:dyDescent="0.25">
      <c r="A77">
        <v>6132</v>
      </c>
      <c r="B77" t="s">
        <v>160</v>
      </c>
      <c r="C77" t="s">
        <v>161</v>
      </c>
      <c r="D77" s="32">
        <v>10860</v>
      </c>
      <c r="E77">
        <v>1246122169</v>
      </c>
      <c r="F77" s="28">
        <v>45469</v>
      </c>
      <c r="H77" t="s">
        <v>156</v>
      </c>
      <c r="I77" t="s">
        <v>157</v>
      </c>
      <c r="J77">
        <v>2373</v>
      </c>
      <c r="K77" s="28">
        <v>45289</v>
      </c>
      <c r="L77">
        <v>1010100</v>
      </c>
      <c r="M77" t="s">
        <v>29</v>
      </c>
      <c r="N77">
        <v>161</v>
      </c>
      <c r="O77" t="s">
        <v>145</v>
      </c>
      <c r="P77" t="s">
        <v>160</v>
      </c>
      <c r="Q77">
        <f t="shared" si="1"/>
        <v>728</v>
      </c>
      <c r="R77" t="str">
        <f>_xlfn.XLOOKUP(P77,'Painel Fertilizers'!$B:$B,'Painel Fertilizers'!$B:$B,0)</f>
        <v>CENTRAL DO ADUBO COM E REPRESENTACAO LTD</v>
      </c>
    </row>
    <row r="78" spans="1:18" x14ac:dyDescent="0.25">
      <c r="A78">
        <v>6132</v>
      </c>
      <c r="B78" t="s">
        <v>160</v>
      </c>
      <c r="C78" t="s">
        <v>161</v>
      </c>
      <c r="D78" s="32">
        <v>57205.5</v>
      </c>
      <c r="E78">
        <v>1246122168</v>
      </c>
      <c r="F78" s="28">
        <v>45557</v>
      </c>
      <c r="H78" t="s">
        <v>156</v>
      </c>
      <c r="I78" t="s">
        <v>157</v>
      </c>
      <c r="J78">
        <v>2372</v>
      </c>
      <c r="K78" s="28">
        <v>45289</v>
      </c>
      <c r="L78">
        <v>1010100</v>
      </c>
      <c r="M78" t="s">
        <v>29</v>
      </c>
      <c r="N78">
        <v>161</v>
      </c>
      <c r="O78" t="s">
        <v>145</v>
      </c>
      <c r="P78" t="s">
        <v>160</v>
      </c>
      <c r="Q78">
        <f t="shared" si="1"/>
        <v>640</v>
      </c>
      <c r="R78" t="str">
        <f>_xlfn.XLOOKUP(P78,'Painel Fertilizers'!$B:$B,'Painel Fertilizers'!$B:$B,0)</f>
        <v>CENTRAL DO ADUBO COM E REPRESENTACAO LTD</v>
      </c>
    </row>
    <row r="79" spans="1:18" x14ac:dyDescent="0.25">
      <c r="A79">
        <v>6132</v>
      </c>
      <c r="B79" t="s">
        <v>160</v>
      </c>
      <c r="C79" t="s">
        <v>161</v>
      </c>
      <c r="D79" s="32">
        <v>109750.39999999999</v>
      </c>
      <c r="E79">
        <v>1246117165</v>
      </c>
      <c r="F79" s="28">
        <v>45473</v>
      </c>
      <c r="H79" t="s">
        <v>156</v>
      </c>
      <c r="I79" t="s">
        <v>157</v>
      </c>
      <c r="J79">
        <v>2128</v>
      </c>
      <c r="K79" s="28">
        <v>45259</v>
      </c>
      <c r="L79">
        <v>1010100</v>
      </c>
      <c r="M79" t="s">
        <v>29</v>
      </c>
      <c r="N79">
        <v>161</v>
      </c>
      <c r="O79" t="s">
        <v>145</v>
      </c>
      <c r="P79" t="s">
        <v>160</v>
      </c>
      <c r="Q79">
        <f t="shared" si="1"/>
        <v>724</v>
      </c>
      <c r="R79" t="str">
        <f>_xlfn.XLOOKUP(P79,'Painel Fertilizers'!$B:$B,'Painel Fertilizers'!$B:$B,0)</f>
        <v>CENTRAL DO ADUBO COM E REPRESENTACAO LTD</v>
      </c>
    </row>
    <row r="80" spans="1:18" x14ac:dyDescent="0.25">
      <c r="A80">
        <v>6132</v>
      </c>
      <c r="B80" t="s">
        <v>160</v>
      </c>
      <c r="C80" t="s">
        <v>161</v>
      </c>
      <c r="D80" s="32">
        <v>111644.8</v>
      </c>
      <c r="E80">
        <v>1246117516</v>
      </c>
      <c r="F80" s="28">
        <v>45536</v>
      </c>
      <c r="H80" t="s">
        <v>156</v>
      </c>
      <c r="I80" t="s">
        <v>157</v>
      </c>
      <c r="J80">
        <v>2140</v>
      </c>
      <c r="K80" s="28">
        <v>45261</v>
      </c>
      <c r="L80">
        <v>1010100</v>
      </c>
      <c r="M80" t="s">
        <v>29</v>
      </c>
      <c r="N80">
        <v>161</v>
      </c>
      <c r="O80" t="s">
        <v>145</v>
      </c>
      <c r="P80" t="s">
        <v>160</v>
      </c>
      <c r="Q80">
        <f t="shared" si="1"/>
        <v>661</v>
      </c>
      <c r="R80" t="str">
        <f>_xlfn.XLOOKUP(P80,'Painel Fertilizers'!$B:$B,'Painel Fertilizers'!$B:$B,0)</f>
        <v>CENTRAL DO ADUBO COM E REPRESENTACAO LTD</v>
      </c>
    </row>
    <row r="81" spans="1:18" x14ac:dyDescent="0.25">
      <c r="A81">
        <v>6132</v>
      </c>
      <c r="B81" t="s">
        <v>160</v>
      </c>
      <c r="C81" t="s">
        <v>161</v>
      </c>
      <c r="D81" s="32">
        <v>136005.5</v>
      </c>
      <c r="E81">
        <v>1246120768</v>
      </c>
      <c r="F81" s="28">
        <v>45560</v>
      </c>
      <c r="H81" t="s">
        <v>156</v>
      </c>
      <c r="I81" t="s">
        <v>157</v>
      </c>
      <c r="J81">
        <v>2299</v>
      </c>
      <c r="K81" s="28">
        <v>45280</v>
      </c>
      <c r="L81">
        <v>1010100</v>
      </c>
      <c r="M81" t="s">
        <v>29</v>
      </c>
      <c r="N81">
        <v>161</v>
      </c>
      <c r="O81" t="s">
        <v>145</v>
      </c>
      <c r="P81" t="s">
        <v>160</v>
      </c>
      <c r="Q81">
        <f t="shared" si="1"/>
        <v>637</v>
      </c>
      <c r="R81" t="str">
        <f>_xlfn.XLOOKUP(P81,'Painel Fertilizers'!$B:$B,'Painel Fertilizers'!$B:$B,0)</f>
        <v>CENTRAL DO ADUBO COM E REPRESENTACAO LTD</v>
      </c>
    </row>
    <row r="82" spans="1:18" x14ac:dyDescent="0.25">
      <c r="A82">
        <v>6132</v>
      </c>
      <c r="B82" t="s">
        <v>160</v>
      </c>
      <c r="C82" t="s">
        <v>161</v>
      </c>
      <c r="D82" s="32">
        <v>136005.5</v>
      </c>
      <c r="E82">
        <v>1246124946</v>
      </c>
      <c r="F82" s="28">
        <v>45566</v>
      </c>
      <c r="H82" t="s">
        <v>156</v>
      </c>
      <c r="I82" t="s">
        <v>157</v>
      </c>
      <c r="J82">
        <v>2498</v>
      </c>
      <c r="K82" s="28">
        <v>45306</v>
      </c>
      <c r="L82">
        <v>1010100</v>
      </c>
      <c r="M82" t="s">
        <v>29</v>
      </c>
      <c r="N82">
        <v>161</v>
      </c>
      <c r="O82" t="s">
        <v>145</v>
      </c>
      <c r="P82" t="s">
        <v>160</v>
      </c>
      <c r="Q82">
        <f t="shared" si="1"/>
        <v>631</v>
      </c>
      <c r="R82" t="str">
        <f>_xlfn.XLOOKUP(P82,'Painel Fertilizers'!$B:$B,'Painel Fertilizers'!$B:$B,0)</f>
        <v>CENTRAL DO ADUBO COM E REPRESENTACAO LTD</v>
      </c>
    </row>
    <row r="83" spans="1:18" x14ac:dyDescent="0.25">
      <c r="A83">
        <v>6132</v>
      </c>
      <c r="B83" t="s">
        <v>160</v>
      </c>
      <c r="C83" t="s">
        <v>161</v>
      </c>
      <c r="D83" s="32">
        <v>87043.520000000004</v>
      </c>
      <c r="E83">
        <v>1246120099</v>
      </c>
      <c r="F83" s="28">
        <v>45558</v>
      </c>
      <c r="H83" t="s">
        <v>156</v>
      </c>
      <c r="I83" t="s">
        <v>157</v>
      </c>
      <c r="J83">
        <v>2279</v>
      </c>
      <c r="K83" s="28">
        <v>45278</v>
      </c>
      <c r="L83">
        <v>1010100</v>
      </c>
      <c r="M83" t="s">
        <v>29</v>
      </c>
      <c r="N83">
        <v>161</v>
      </c>
      <c r="O83" t="s">
        <v>145</v>
      </c>
      <c r="P83" t="s">
        <v>160</v>
      </c>
      <c r="Q83">
        <f t="shared" si="1"/>
        <v>639</v>
      </c>
      <c r="R83" t="str">
        <f>_xlfn.XLOOKUP(P83,'Painel Fertilizers'!$B:$B,'Painel Fertilizers'!$B:$B,0)</f>
        <v>CENTRAL DO ADUBO COM E REPRESENTACAO LTD</v>
      </c>
    </row>
    <row r="84" spans="1:18" x14ac:dyDescent="0.25">
      <c r="A84">
        <v>6132</v>
      </c>
      <c r="B84" t="s">
        <v>160</v>
      </c>
      <c r="C84" t="s">
        <v>161</v>
      </c>
      <c r="D84" s="32">
        <v>111465.88</v>
      </c>
      <c r="E84">
        <v>1246127801</v>
      </c>
      <c r="F84" s="28">
        <v>45603</v>
      </c>
      <c r="H84" t="s">
        <v>156</v>
      </c>
      <c r="I84" t="s">
        <v>157</v>
      </c>
      <c r="J84">
        <v>2673</v>
      </c>
      <c r="K84" s="28">
        <v>45323</v>
      </c>
      <c r="L84">
        <v>1010100</v>
      </c>
      <c r="M84" t="s">
        <v>29</v>
      </c>
      <c r="N84">
        <v>161</v>
      </c>
      <c r="O84" t="s">
        <v>145</v>
      </c>
      <c r="P84" t="s">
        <v>160</v>
      </c>
      <c r="Q84">
        <f t="shared" si="1"/>
        <v>594</v>
      </c>
      <c r="R84" t="str">
        <f>_xlfn.XLOOKUP(P84,'Painel Fertilizers'!$B:$B,'Painel Fertilizers'!$B:$B,0)</f>
        <v>CENTRAL DO ADUBO COM E REPRESENTACAO LTD</v>
      </c>
    </row>
    <row r="85" spans="1:18" x14ac:dyDescent="0.25">
      <c r="A85">
        <v>6132</v>
      </c>
      <c r="B85" t="s">
        <v>160</v>
      </c>
      <c r="C85" t="s">
        <v>161</v>
      </c>
      <c r="D85" s="32">
        <v>47937.4</v>
      </c>
      <c r="E85">
        <v>1246118354</v>
      </c>
      <c r="F85" s="28">
        <v>45541</v>
      </c>
      <c r="H85" t="s">
        <v>156</v>
      </c>
      <c r="I85" t="s">
        <v>157</v>
      </c>
      <c r="J85">
        <v>2184</v>
      </c>
      <c r="K85" s="28">
        <v>45266</v>
      </c>
      <c r="L85">
        <v>1010100</v>
      </c>
      <c r="M85" t="s">
        <v>29</v>
      </c>
      <c r="N85">
        <v>161</v>
      </c>
      <c r="O85" t="s">
        <v>145</v>
      </c>
      <c r="P85" t="s">
        <v>160</v>
      </c>
      <c r="Q85">
        <f t="shared" si="1"/>
        <v>656</v>
      </c>
      <c r="R85" t="str">
        <f>_xlfn.XLOOKUP(P85,'Painel Fertilizers'!$B:$B,'Painel Fertilizers'!$B:$B,0)</f>
        <v>CENTRAL DO ADUBO COM E REPRESENTACAO LTD</v>
      </c>
    </row>
    <row r="86" spans="1:18" x14ac:dyDescent="0.25">
      <c r="A86">
        <v>6132</v>
      </c>
      <c r="B86" t="s">
        <v>160</v>
      </c>
      <c r="C86" t="s">
        <v>161</v>
      </c>
      <c r="D86" s="32">
        <v>155705</v>
      </c>
      <c r="E86">
        <v>1246129974</v>
      </c>
      <c r="F86" s="28">
        <v>45568</v>
      </c>
      <c r="H86" t="s">
        <v>156</v>
      </c>
      <c r="I86" t="s">
        <v>157</v>
      </c>
      <c r="J86">
        <v>2839</v>
      </c>
      <c r="K86" s="28">
        <v>45341</v>
      </c>
      <c r="L86">
        <v>1010100</v>
      </c>
      <c r="M86" t="s">
        <v>29</v>
      </c>
      <c r="N86">
        <v>161</v>
      </c>
      <c r="O86" t="s">
        <v>145</v>
      </c>
      <c r="P86" t="s">
        <v>160</v>
      </c>
      <c r="Q86">
        <f t="shared" si="1"/>
        <v>629</v>
      </c>
      <c r="R86" t="str">
        <f>_xlfn.XLOOKUP(P86,'Painel Fertilizers'!$B:$B,'Painel Fertilizers'!$B:$B,0)</f>
        <v>CENTRAL DO ADUBO COM E REPRESENTACAO LTD</v>
      </c>
    </row>
    <row r="87" spans="1:18" x14ac:dyDescent="0.25">
      <c r="A87">
        <v>6132</v>
      </c>
      <c r="B87" t="s">
        <v>160</v>
      </c>
      <c r="C87" t="s">
        <v>161</v>
      </c>
      <c r="D87" s="32">
        <v>42163.65</v>
      </c>
      <c r="E87">
        <v>1246124200</v>
      </c>
      <c r="F87" s="28">
        <v>45569</v>
      </c>
      <c r="H87" t="s">
        <v>156</v>
      </c>
      <c r="I87" t="s">
        <v>157</v>
      </c>
      <c r="J87">
        <v>2455</v>
      </c>
      <c r="K87" s="28">
        <v>45301</v>
      </c>
      <c r="L87">
        <v>1010100</v>
      </c>
      <c r="M87" t="s">
        <v>29</v>
      </c>
      <c r="N87">
        <v>161</v>
      </c>
      <c r="O87" t="s">
        <v>145</v>
      </c>
      <c r="P87" t="s">
        <v>160</v>
      </c>
      <c r="Q87">
        <f t="shared" si="1"/>
        <v>628</v>
      </c>
      <c r="R87" t="str">
        <f>_xlfn.XLOOKUP(P87,'Painel Fertilizers'!$B:$B,'Painel Fertilizers'!$B:$B,0)</f>
        <v>CENTRAL DO ADUBO COM E REPRESENTACAO LTD</v>
      </c>
    </row>
    <row r="88" spans="1:18" x14ac:dyDescent="0.25">
      <c r="A88">
        <v>6132</v>
      </c>
      <c r="B88" t="s">
        <v>160</v>
      </c>
      <c r="C88" t="s">
        <v>161</v>
      </c>
      <c r="D88" s="32">
        <v>111065.60000000001</v>
      </c>
      <c r="E88">
        <v>1246114703</v>
      </c>
      <c r="F88" s="28">
        <v>45463</v>
      </c>
      <c r="H88" t="s">
        <v>156</v>
      </c>
      <c r="I88" t="s">
        <v>157</v>
      </c>
      <c r="J88">
        <v>1937</v>
      </c>
      <c r="K88" s="28">
        <v>45241</v>
      </c>
      <c r="L88">
        <v>1010100</v>
      </c>
      <c r="M88" t="s">
        <v>29</v>
      </c>
      <c r="N88">
        <v>161</v>
      </c>
      <c r="O88" t="s">
        <v>145</v>
      </c>
      <c r="P88" t="s">
        <v>160</v>
      </c>
      <c r="Q88">
        <f t="shared" si="1"/>
        <v>734</v>
      </c>
      <c r="R88" t="str">
        <f>_xlfn.XLOOKUP(P88,'Painel Fertilizers'!$B:$B,'Painel Fertilizers'!$B:$B,0)</f>
        <v>CENTRAL DO ADUBO COM E REPRESENTACAO LTD</v>
      </c>
    </row>
    <row r="89" spans="1:18" x14ac:dyDescent="0.25">
      <c r="A89">
        <v>6132</v>
      </c>
      <c r="B89" t="s">
        <v>160</v>
      </c>
      <c r="C89" t="s">
        <v>161</v>
      </c>
      <c r="D89" s="32">
        <v>27201.1</v>
      </c>
      <c r="E89">
        <v>1246125717</v>
      </c>
      <c r="F89" s="28">
        <v>45566</v>
      </c>
      <c r="H89" t="s">
        <v>156</v>
      </c>
      <c r="I89" t="s">
        <v>157</v>
      </c>
      <c r="J89">
        <v>2542</v>
      </c>
      <c r="K89" s="28">
        <v>45310</v>
      </c>
      <c r="L89">
        <v>1010100</v>
      </c>
      <c r="M89" t="s">
        <v>29</v>
      </c>
      <c r="N89">
        <v>161</v>
      </c>
      <c r="O89" t="s">
        <v>145</v>
      </c>
      <c r="P89" t="s">
        <v>160</v>
      </c>
      <c r="Q89">
        <f t="shared" si="1"/>
        <v>631</v>
      </c>
      <c r="R89" t="str">
        <f>_xlfn.XLOOKUP(P89,'Painel Fertilizers'!$B:$B,'Painel Fertilizers'!$B:$B,0)</f>
        <v>CENTRAL DO ADUBO COM E REPRESENTACAO LTD</v>
      </c>
    </row>
    <row r="90" spans="1:18" x14ac:dyDescent="0.25">
      <c r="A90">
        <v>6132</v>
      </c>
      <c r="B90" t="s">
        <v>160</v>
      </c>
      <c r="C90" t="s">
        <v>161</v>
      </c>
      <c r="D90" s="32">
        <v>136005.5</v>
      </c>
      <c r="E90">
        <v>1246124718</v>
      </c>
      <c r="F90" s="28">
        <v>45563</v>
      </c>
      <c r="H90" t="s">
        <v>156</v>
      </c>
      <c r="I90" t="s">
        <v>157</v>
      </c>
      <c r="J90">
        <v>2489</v>
      </c>
      <c r="K90" s="28">
        <v>45303</v>
      </c>
      <c r="L90">
        <v>1010100</v>
      </c>
      <c r="M90" t="s">
        <v>29</v>
      </c>
      <c r="N90">
        <v>161</v>
      </c>
      <c r="O90" t="s">
        <v>145</v>
      </c>
      <c r="P90" t="s">
        <v>160</v>
      </c>
      <c r="Q90">
        <f t="shared" si="1"/>
        <v>634</v>
      </c>
      <c r="R90" t="str">
        <f>_xlfn.XLOOKUP(P90,'Painel Fertilizers'!$B:$B,'Painel Fertilizers'!$B:$B,0)</f>
        <v>CENTRAL DO ADUBO COM E REPRESENTACAO LTD</v>
      </c>
    </row>
    <row r="91" spans="1:18" x14ac:dyDescent="0.25">
      <c r="A91">
        <v>6132</v>
      </c>
      <c r="B91" t="s">
        <v>160</v>
      </c>
      <c r="C91" t="s">
        <v>161</v>
      </c>
      <c r="D91" s="32">
        <v>45093</v>
      </c>
      <c r="E91">
        <v>1246128683</v>
      </c>
      <c r="F91" s="28">
        <v>45604</v>
      </c>
      <c r="H91" t="s">
        <v>156</v>
      </c>
      <c r="I91" t="s">
        <v>157</v>
      </c>
      <c r="J91">
        <v>2738</v>
      </c>
      <c r="K91" s="28">
        <v>45329</v>
      </c>
      <c r="L91">
        <v>1010100</v>
      </c>
      <c r="M91" t="s">
        <v>29</v>
      </c>
      <c r="N91">
        <v>161</v>
      </c>
      <c r="O91" t="s">
        <v>145</v>
      </c>
      <c r="P91" t="s">
        <v>160</v>
      </c>
      <c r="Q91">
        <f t="shared" si="1"/>
        <v>593</v>
      </c>
      <c r="R91" t="str">
        <f>_xlfn.XLOOKUP(P91,'Painel Fertilizers'!$B:$B,'Painel Fertilizers'!$B:$B,0)</f>
        <v>CENTRAL DO ADUBO COM E REPRESENTACAO LTD</v>
      </c>
    </row>
    <row r="92" spans="1:18" x14ac:dyDescent="0.25">
      <c r="A92">
        <v>6132</v>
      </c>
      <c r="B92" t="s">
        <v>160</v>
      </c>
      <c r="C92" t="s">
        <v>161</v>
      </c>
      <c r="D92" s="32">
        <v>82986.649999999994</v>
      </c>
      <c r="E92">
        <v>1246113430</v>
      </c>
      <c r="F92" s="28">
        <v>45476</v>
      </c>
      <c r="H92" t="s">
        <v>156</v>
      </c>
      <c r="I92" t="s">
        <v>157</v>
      </c>
      <c r="J92">
        <v>1851</v>
      </c>
      <c r="K92" s="28">
        <v>45236</v>
      </c>
      <c r="L92">
        <v>1010100</v>
      </c>
      <c r="M92" t="s">
        <v>29</v>
      </c>
      <c r="N92">
        <v>161</v>
      </c>
      <c r="O92" t="s">
        <v>145</v>
      </c>
      <c r="P92" t="s">
        <v>160</v>
      </c>
      <c r="Q92">
        <f t="shared" si="1"/>
        <v>721</v>
      </c>
      <c r="R92" t="str">
        <f>_xlfn.XLOOKUP(P92,'Painel Fertilizers'!$B:$B,'Painel Fertilizers'!$B:$B,0)</f>
        <v>CENTRAL DO ADUBO COM E REPRESENTACAO LTD</v>
      </c>
    </row>
    <row r="93" spans="1:18" x14ac:dyDescent="0.25">
      <c r="A93">
        <v>6132</v>
      </c>
      <c r="B93" t="s">
        <v>160</v>
      </c>
      <c r="C93" t="s">
        <v>161</v>
      </c>
      <c r="D93" s="32">
        <v>174445</v>
      </c>
      <c r="E93">
        <v>1246116577</v>
      </c>
      <c r="F93" s="28">
        <v>45468</v>
      </c>
      <c r="H93" t="s">
        <v>156</v>
      </c>
      <c r="I93" t="s">
        <v>157</v>
      </c>
      <c r="J93">
        <v>2091</v>
      </c>
      <c r="K93" s="28">
        <v>45254</v>
      </c>
      <c r="L93">
        <v>1010100</v>
      </c>
      <c r="M93" t="s">
        <v>29</v>
      </c>
      <c r="N93">
        <v>161</v>
      </c>
      <c r="O93" t="s">
        <v>145</v>
      </c>
      <c r="P93" t="s">
        <v>160</v>
      </c>
      <c r="Q93">
        <f t="shared" si="1"/>
        <v>729</v>
      </c>
      <c r="R93" t="str">
        <f>_xlfn.XLOOKUP(P93,'Painel Fertilizers'!$B:$B,'Painel Fertilizers'!$B:$B,0)</f>
        <v>CENTRAL DO ADUBO COM E REPRESENTACAO LTD</v>
      </c>
    </row>
    <row r="94" spans="1:18" x14ac:dyDescent="0.25">
      <c r="A94">
        <v>6132</v>
      </c>
      <c r="B94" t="s">
        <v>160</v>
      </c>
      <c r="C94" t="s">
        <v>161</v>
      </c>
      <c r="D94" s="32">
        <v>158956.25</v>
      </c>
      <c r="E94">
        <v>1246104181</v>
      </c>
      <c r="F94" s="28">
        <v>45444</v>
      </c>
      <c r="H94" t="s">
        <v>156</v>
      </c>
      <c r="I94" t="s">
        <v>157</v>
      </c>
      <c r="J94">
        <v>1180</v>
      </c>
      <c r="K94" s="28">
        <v>45184</v>
      </c>
      <c r="L94">
        <v>1010100</v>
      </c>
      <c r="M94" t="s">
        <v>29</v>
      </c>
      <c r="N94">
        <v>161</v>
      </c>
      <c r="O94" t="s">
        <v>145</v>
      </c>
      <c r="P94" t="s">
        <v>160</v>
      </c>
      <c r="Q94">
        <f t="shared" si="1"/>
        <v>753</v>
      </c>
      <c r="R94" t="str">
        <f>_xlfn.XLOOKUP(P94,'Painel Fertilizers'!$B:$B,'Painel Fertilizers'!$B:$B,0)</f>
        <v>CENTRAL DO ADUBO COM E REPRESENTACAO LTD</v>
      </c>
    </row>
    <row r="95" spans="1:18" x14ac:dyDescent="0.25">
      <c r="A95">
        <v>6132</v>
      </c>
      <c r="B95" t="s">
        <v>160</v>
      </c>
      <c r="C95" t="s">
        <v>161</v>
      </c>
      <c r="D95" s="32">
        <v>171662.49999999997</v>
      </c>
      <c r="E95">
        <v>1246112815</v>
      </c>
      <c r="F95" s="28">
        <v>45471</v>
      </c>
      <c r="H95" t="s">
        <v>156</v>
      </c>
      <c r="I95" t="s">
        <v>157</v>
      </c>
      <c r="J95">
        <v>1799</v>
      </c>
      <c r="K95" s="28">
        <v>45231</v>
      </c>
      <c r="L95">
        <v>1010100</v>
      </c>
      <c r="M95" t="s">
        <v>29</v>
      </c>
      <c r="N95">
        <v>161</v>
      </c>
      <c r="O95" t="s">
        <v>145</v>
      </c>
      <c r="P95" t="s">
        <v>160</v>
      </c>
      <c r="Q95">
        <f t="shared" si="1"/>
        <v>726</v>
      </c>
      <c r="R95" t="str">
        <f>_xlfn.XLOOKUP(P95,'Painel Fertilizers'!$B:$B,'Painel Fertilizers'!$B:$B,0)</f>
        <v>CENTRAL DO ADUBO COM E REPRESENTACAO LTD</v>
      </c>
    </row>
    <row r="96" spans="1:18" x14ac:dyDescent="0.25">
      <c r="A96">
        <v>6132</v>
      </c>
      <c r="B96" t="s">
        <v>160</v>
      </c>
      <c r="C96" t="s">
        <v>161</v>
      </c>
      <c r="D96" s="32">
        <v>174610</v>
      </c>
      <c r="E96">
        <v>1246113736</v>
      </c>
      <c r="F96" s="28">
        <v>45478</v>
      </c>
      <c r="H96" t="s">
        <v>156</v>
      </c>
      <c r="I96" t="s">
        <v>157</v>
      </c>
      <c r="J96">
        <v>1878</v>
      </c>
      <c r="K96" s="28">
        <v>45238</v>
      </c>
      <c r="L96">
        <v>1010100</v>
      </c>
      <c r="M96" t="s">
        <v>29</v>
      </c>
      <c r="N96">
        <v>161</v>
      </c>
      <c r="O96" t="s">
        <v>145</v>
      </c>
      <c r="P96" t="s">
        <v>160</v>
      </c>
      <c r="Q96">
        <f t="shared" si="1"/>
        <v>719</v>
      </c>
      <c r="R96" t="str">
        <f>_xlfn.XLOOKUP(P96,'Painel Fertilizers'!$B:$B,'Painel Fertilizers'!$B:$B,0)</f>
        <v>CENTRAL DO ADUBO COM E REPRESENTACAO LTD</v>
      </c>
    </row>
    <row r="97" spans="1:18" x14ac:dyDescent="0.25">
      <c r="A97">
        <v>6132</v>
      </c>
      <c r="B97" t="s">
        <v>160</v>
      </c>
      <c r="C97" t="s">
        <v>161</v>
      </c>
      <c r="D97" s="32">
        <v>87840</v>
      </c>
      <c r="E97">
        <v>1246111212</v>
      </c>
      <c r="F97" s="28">
        <v>45464</v>
      </c>
      <c r="H97" t="s">
        <v>156</v>
      </c>
      <c r="I97" t="s">
        <v>157</v>
      </c>
      <c r="J97">
        <v>1720</v>
      </c>
      <c r="K97" s="28">
        <v>45224</v>
      </c>
      <c r="L97">
        <v>1010100</v>
      </c>
      <c r="M97" t="s">
        <v>29</v>
      </c>
      <c r="N97">
        <v>161</v>
      </c>
      <c r="O97" t="s">
        <v>145</v>
      </c>
      <c r="P97" t="s">
        <v>160</v>
      </c>
      <c r="Q97">
        <f t="shared" si="1"/>
        <v>733</v>
      </c>
      <c r="R97" t="str">
        <f>_xlfn.XLOOKUP(P97,'Painel Fertilizers'!$B:$B,'Painel Fertilizers'!$B:$B,0)</f>
        <v>CENTRAL DO ADUBO COM E REPRESENTACAO LTD</v>
      </c>
    </row>
    <row r="98" spans="1:18" x14ac:dyDescent="0.25">
      <c r="A98">
        <v>6132</v>
      </c>
      <c r="B98" t="s">
        <v>160</v>
      </c>
      <c r="C98" t="s">
        <v>161</v>
      </c>
      <c r="D98" s="32">
        <v>23787.68</v>
      </c>
      <c r="E98">
        <v>1246115170</v>
      </c>
      <c r="F98" s="28">
        <v>45466</v>
      </c>
      <c r="H98" t="s">
        <v>156</v>
      </c>
      <c r="I98" t="s">
        <v>157</v>
      </c>
      <c r="J98">
        <v>1975</v>
      </c>
      <c r="K98" s="28">
        <v>45244</v>
      </c>
      <c r="L98">
        <v>1010100</v>
      </c>
      <c r="M98" t="s">
        <v>29</v>
      </c>
      <c r="N98">
        <v>161</v>
      </c>
      <c r="O98" t="s">
        <v>145</v>
      </c>
      <c r="P98" t="s">
        <v>160</v>
      </c>
      <c r="Q98">
        <f t="shared" si="1"/>
        <v>731</v>
      </c>
      <c r="R98" t="str">
        <f>_xlfn.XLOOKUP(P98,'Painel Fertilizers'!$B:$B,'Painel Fertilizers'!$B:$B,0)</f>
        <v>CENTRAL DO ADUBO COM E REPRESENTACAO LTD</v>
      </c>
    </row>
    <row r="99" spans="1:18" x14ac:dyDescent="0.25">
      <c r="A99">
        <v>6132</v>
      </c>
      <c r="B99" t="s">
        <v>160</v>
      </c>
      <c r="C99" t="s">
        <v>161</v>
      </c>
      <c r="D99" s="32">
        <v>30381.599999999999</v>
      </c>
      <c r="E99">
        <v>1246115171</v>
      </c>
      <c r="F99" s="28">
        <v>45466</v>
      </c>
      <c r="H99" t="s">
        <v>156</v>
      </c>
      <c r="I99" t="s">
        <v>157</v>
      </c>
      <c r="J99">
        <v>1976</v>
      </c>
      <c r="K99" s="28">
        <v>45244</v>
      </c>
      <c r="L99">
        <v>1010100</v>
      </c>
      <c r="M99" t="s">
        <v>29</v>
      </c>
      <c r="N99">
        <v>161</v>
      </c>
      <c r="O99" t="s">
        <v>145</v>
      </c>
      <c r="P99" t="s">
        <v>160</v>
      </c>
      <c r="Q99">
        <f t="shared" si="1"/>
        <v>731</v>
      </c>
      <c r="R99" t="str">
        <f>_xlfn.XLOOKUP(P99,'Painel Fertilizers'!$B:$B,'Painel Fertilizers'!$B:$B,0)</f>
        <v>CENTRAL DO ADUBO COM E REPRESENTACAO LTD</v>
      </c>
    </row>
    <row r="100" spans="1:18" x14ac:dyDescent="0.25">
      <c r="A100">
        <v>6132</v>
      </c>
      <c r="B100" t="s">
        <v>160</v>
      </c>
      <c r="C100" t="s">
        <v>161</v>
      </c>
      <c r="D100" s="32">
        <v>107022</v>
      </c>
      <c r="E100">
        <v>1246110109</v>
      </c>
      <c r="F100" s="28">
        <v>45439</v>
      </c>
      <c r="H100" t="s">
        <v>156</v>
      </c>
      <c r="I100" t="s">
        <v>157</v>
      </c>
      <c r="J100">
        <v>347</v>
      </c>
      <c r="K100" s="28">
        <v>45217</v>
      </c>
      <c r="L100">
        <v>1010100</v>
      </c>
      <c r="M100" t="s">
        <v>29</v>
      </c>
      <c r="N100">
        <v>161</v>
      </c>
      <c r="O100" t="s">
        <v>145</v>
      </c>
      <c r="P100" t="s">
        <v>160</v>
      </c>
      <c r="Q100">
        <f t="shared" si="1"/>
        <v>758</v>
      </c>
      <c r="R100" t="str">
        <f>_xlfn.XLOOKUP(P100,'Painel Fertilizers'!$B:$B,'Painel Fertilizers'!$B:$B,0)</f>
        <v>CENTRAL DO ADUBO COM E REPRESENTACAO LTD</v>
      </c>
    </row>
    <row r="101" spans="1:18" x14ac:dyDescent="0.25">
      <c r="A101">
        <v>6132</v>
      </c>
      <c r="B101" t="s">
        <v>160</v>
      </c>
      <c r="C101" t="s">
        <v>161</v>
      </c>
      <c r="D101" s="32">
        <v>83822.5</v>
      </c>
      <c r="E101">
        <v>1246111211</v>
      </c>
      <c r="F101" s="28">
        <v>45464</v>
      </c>
      <c r="H101" t="s">
        <v>156</v>
      </c>
      <c r="I101" t="s">
        <v>157</v>
      </c>
      <c r="J101">
        <v>1719</v>
      </c>
      <c r="K101" s="28">
        <v>45224</v>
      </c>
      <c r="L101">
        <v>1010100</v>
      </c>
      <c r="M101" t="s">
        <v>29</v>
      </c>
      <c r="N101">
        <v>161</v>
      </c>
      <c r="O101" t="s">
        <v>145</v>
      </c>
      <c r="P101" t="s">
        <v>160</v>
      </c>
      <c r="Q101">
        <f t="shared" si="1"/>
        <v>733</v>
      </c>
      <c r="R101" t="str">
        <f>_xlfn.XLOOKUP(P101,'Painel Fertilizers'!$B:$B,'Painel Fertilizers'!$B:$B,0)</f>
        <v>CENTRAL DO ADUBO COM E REPRESENTACAO LTD</v>
      </c>
    </row>
    <row r="102" spans="1:18" x14ac:dyDescent="0.25">
      <c r="A102">
        <v>6132</v>
      </c>
      <c r="B102" t="s">
        <v>160</v>
      </c>
      <c r="C102" t="s">
        <v>161</v>
      </c>
      <c r="D102" s="32">
        <v>169458.49999999997</v>
      </c>
      <c r="E102">
        <v>1246110264</v>
      </c>
      <c r="F102" s="28">
        <v>45440</v>
      </c>
      <c r="H102" t="s">
        <v>156</v>
      </c>
      <c r="I102" t="s">
        <v>157</v>
      </c>
      <c r="J102">
        <v>1662</v>
      </c>
      <c r="K102" s="28">
        <v>45218</v>
      </c>
      <c r="L102">
        <v>1010100</v>
      </c>
      <c r="M102" t="s">
        <v>29</v>
      </c>
      <c r="N102">
        <v>161</v>
      </c>
      <c r="O102" t="s">
        <v>145</v>
      </c>
      <c r="P102" t="s">
        <v>160</v>
      </c>
      <c r="Q102">
        <f t="shared" si="1"/>
        <v>757</v>
      </c>
      <c r="R102" t="str">
        <f>_xlfn.XLOOKUP(P102,'Painel Fertilizers'!$B:$B,'Painel Fertilizers'!$B:$B,0)</f>
        <v>CENTRAL DO ADUBO COM E REPRESENTACAO LTD</v>
      </c>
    </row>
    <row r="103" spans="1:18" x14ac:dyDescent="0.25">
      <c r="A103">
        <v>6132</v>
      </c>
      <c r="B103" t="s">
        <v>160</v>
      </c>
      <c r="C103" t="s">
        <v>161</v>
      </c>
      <c r="D103" s="32">
        <v>135934</v>
      </c>
      <c r="E103">
        <v>1246131961</v>
      </c>
      <c r="F103" s="28">
        <v>45566</v>
      </c>
      <c r="H103" t="s">
        <v>156</v>
      </c>
      <c r="I103" t="s">
        <v>157</v>
      </c>
      <c r="J103">
        <v>2969</v>
      </c>
      <c r="K103" s="28">
        <v>45352</v>
      </c>
      <c r="L103">
        <v>1010100</v>
      </c>
      <c r="M103" t="s">
        <v>29</v>
      </c>
      <c r="N103">
        <v>161</v>
      </c>
      <c r="O103" t="s">
        <v>145</v>
      </c>
      <c r="P103" t="s">
        <v>160</v>
      </c>
      <c r="Q103">
        <f t="shared" si="1"/>
        <v>631</v>
      </c>
      <c r="R103" t="str">
        <f>_xlfn.XLOOKUP(P103,'Painel Fertilizers'!$B:$B,'Painel Fertilizers'!$B:$B,0)</f>
        <v>CENTRAL DO ADUBO COM E REPRESENTACAO LTD</v>
      </c>
    </row>
    <row r="104" spans="1:18" x14ac:dyDescent="0.25">
      <c r="A104">
        <v>6132</v>
      </c>
      <c r="B104" t="s">
        <v>160</v>
      </c>
      <c r="C104" t="s">
        <v>161</v>
      </c>
      <c r="D104" s="32">
        <v>108747.2</v>
      </c>
      <c r="E104">
        <v>1246132951</v>
      </c>
      <c r="F104" s="28">
        <v>45572</v>
      </c>
      <c r="H104" t="s">
        <v>156</v>
      </c>
      <c r="I104" t="s">
        <v>157</v>
      </c>
      <c r="J104">
        <v>3007</v>
      </c>
      <c r="K104" s="28">
        <v>45358</v>
      </c>
      <c r="L104">
        <v>1010100</v>
      </c>
      <c r="M104" t="s">
        <v>29</v>
      </c>
      <c r="N104">
        <v>161</v>
      </c>
      <c r="O104" t="s">
        <v>145</v>
      </c>
      <c r="P104" t="s">
        <v>160</v>
      </c>
      <c r="Q104">
        <f t="shared" si="1"/>
        <v>625</v>
      </c>
      <c r="R104" t="str">
        <f>_xlfn.XLOOKUP(P104,'Painel Fertilizers'!$B:$B,'Painel Fertilizers'!$B:$B,0)</f>
        <v>CENTRAL DO ADUBO COM E REPRESENTACAO LTD</v>
      </c>
    </row>
    <row r="105" spans="1:18" x14ac:dyDescent="0.25">
      <c r="A105">
        <v>6132</v>
      </c>
      <c r="B105" t="s">
        <v>160</v>
      </c>
      <c r="C105" t="s">
        <v>161</v>
      </c>
      <c r="D105" s="32">
        <v>86997.759999999995</v>
      </c>
      <c r="E105">
        <v>1246131102</v>
      </c>
      <c r="F105" s="28">
        <v>45570</v>
      </c>
      <c r="H105" t="s">
        <v>156</v>
      </c>
      <c r="I105" t="s">
        <v>157</v>
      </c>
      <c r="J105">
        <v>2917</v>
      </c>
      <c r="K105" s="28">
        <v>45348</v>
      </c>
      <c r="L105">
        <v>1010100</v>
      </c>
      <c r="M105" t="s">
        <v>29</v>
      </c>
      <c r="N105">
        <v>161</v>
      </c>
      <c r="O105" t="s">
        <v>145</v>
      </c>
      <c r="P105" t="s">
        <v>160</v>
      </c>
      <c r="Q105">
        <f t="shared" si="1"/>
        <v>627</v>
      </c>
      <c r="R105" t="str">
        <f>_xlfn.XLOOKUP(P105,'Painel Fertilizers'!$B:$B,'Painel Fertilizers'!$B:$B,0)</f>
        <v>CENTRAL DO ADUBO COM E REPRESENTACAO LTD</v>
      </c>
    </row>
    <row r="106" spans="1:18" x14ac:dyDescent="0.25">
      <c r="A106">
        <v>6132</v>
      </c>
      <c r="B106" t="s">
        <v>160</v>
      </c>
      <c r="C106" t="s">
        <v>161</v>
      </c>
      <c r="D106" s="32">
        <v>29450.6</v>
      </c>
      <c r="E106">
        <v>1246146931</v>
      </c>
      <c r="F106" s="28">
        <v>45584</v>
      </c>
      <c r="H106" t="s">
        <v>156</v>
      </c>
      <c r="I106" t="s">
        <v>157</v>
      </c>
      <c r="J106">
        <v>3632</v>
      </c>
      <c r="K106" s="28">
        <v>45434</v>
      </c>
      <c r="L106">
        <v>1010100</v>
      </c>
      <c r="M106" t="s">
        <v>29</v>
      </c>
      <c r="N106">
        <v>161</v>
      </c>
      <c r="O106" t="s">
        <v>145</v>
      </c>
      <c r="P106" t="s">
        <v>160</v>
      </c>
      <c r="Q106">
        <f t="shared" si="1"/>
        <v>613</v>
      </c>
      <c r="R106" t="str">
        <f>_xlfn.XLOOKUP(P106,'Painel Fertilizers'!$B:$B,'Painel Fertilizers'!$B:$B,0)</f>
        <v>CENTRAL DO ADUBO COM E REPRESENTACAO LTD</v>
      </c>
    </row>
    <row r="107" spans="1:18" x14ac:dyDescent="0.25">
      <c r="A107">
        <v>6132</v>
      </c>
      <c r="B107" t="s">
        <v>160</v>
      </c>
      <c r="C107" t="s">
        <v>161</v>
      </c>
      <c r="D107" s="32">
        <v>38061.519999999997</v>
      </c>
      <c r="E107">
        <v>1246146932</v>
      </c>
      <c r="F107" s="28">
        <v>45569</v>
      </c>
      <c r="H107" t="s">
        <v>156</v>
      </c>
      <c r="I107" t="s">
        <v>157</v>
      </c>
      <c r="J107">
        <v>3633</v>
      </c>
      <c r="K107" s="28">
        <v>45434</v>
      </c>
      <c r="L107">
        <v>1010100</v>
      </c>
      <c r="M107" t="s">
        <v>29</v>
      </c>
      <c r="N107">
        <v>161</v>
      </c>
      <c r="O107" t="s">
        <v>145</v>
      </c>
      <c r="P107" t="s">
        <v>160</v>
      </c>
      <c r="Q107">
        <f t="shared" si="1"/>
        <v>628</v>
      </c>
      <c r="R107" t="str">
        <f>_xlfn.XLOOKUP(P107,'Painel Fertilizers'!$B:$B,'Painel Fertilizers'!$B:$B,0)</f>
        <v>CENTRAL DO ADUBO COM E REPRESENTACAO LTD</v>
      </c>
    </row>
    <row r="108" spans="1:18" x14ac:dyDescent="0.25">
      <c r="A108">
        <v>6132</v>
      </c>
      <c r="B108" t="s">
        <v>160</v>
      </c>
      <c r="C108" t="s">
        <v>161</v>
      </c>
      <c r="D108" s="32">
        <v>8760</v>
      </c>
      <c r="E108">
        <v>1246146933</v>
      </c>
      <c r="F108" s="28">
        <v>45462</v>
      </c>
      <c r="H108" t="s">
        <v>156</v>
      </c>
      <c r="I108" t="s">
        <v>157</v>
      </c>
      <c r="J108">
        <v>3634</v>
      </c>
      <c r="K108" s="28">
        <v>45434</v>
      </c>
      <c r="L108">
        <v>1010100</v>
      </c>
      <c r="M108" t="s">
        <v>29</v>
      </c>
      <c r="N108">
        <v>161</v>
      </c>
      <c r="O108" t="s">
        <v>145</v>
      </c>
      <c r="P108" t="s">
        <v>160</v>
      </c>
      <c r="Q108">
        <f t="shared" si="1"/>
        <v>735</v>
      </c>
      <c r="R108" t="str">
        <f>_xlfn.XLOOKUP(P108,'Painel Fertilizers'!$B:$B,'Painel Fertilizers'!$B:$B,0)</f>
        <v>CENTRAL DO ADUBO COM E REPRESENTACAO LTD</v>
      </c>
    </row>
    <row r="109" spans="1:18" x14ac:dyDescent="0.25">
      <c r="A109">
        <v>6132</v>
      </c>
      <c r="B109" t="s">
        <v>160</v>
      </c>
      <c r="C109" t="s">
        <v>161</v>
      </c>
      <c r="D109" s="32">
        <v>14851.85</v>
      </c>
      <c r="E109">
        <v>1246132474</v>
      </c>
      <c r="F109" s="28">
        <v>45570</v>
      </c>
      <c r="H109" t="s">
        <v>156</v>
      </c>
      <c r="I109" t="s">
        <v>157</v>
      </c>
      <c r="J109">
        <v>2989</v>
      </c>
      <c r="K109" s="28">
        <v>45356</v>
      </c>
      <c r="L109">
        <v>1010100</v>
      </c>
      <c r="M109" t="s">
        <v>29</v>
      </c>
      <c r="N109">
        <v>161</v>
      </c>
      <c r="O109" t="s">
        <v>145</v>
      </c>
      <c r="P109" t="s">
        <v>160</v>
      </c>
      <c r="Q109">
        <f t="shared" si="1"/>
        <v>627</v>
      </c>
      <c r="R109" t="str">
        <f>_xlfn.XLOOKUP(P109,'Painel Fertilizers'!$B:$B,'Painel Fertilizers'!$B:$B,0)</f>
        <v>CENTRAL DO ADUBO COM E REPRESENTACAO LTD</v>
      </c>
    </row>
    <row r="110" spans="1:18" x14ac:dyDescent="0.25">
      <c r="A110">
        <v>6132</v>
      </c>
      <c r="B110" t="s">
        <v>160</v>
      </c>
      <c r="C110" t="s">
        <v>161</v>
      </c>
      <c r="D110" s="32">
        <v>99200.52</v>
      </c>
      <c r="E110">
        <v>1246147269</v>
      </c>
      <c r="F110" s="28">
        <v>45571</v>
      </c>
      <c r="H110" t="s">
        <v>156</v>
      </c>
      <c r="I110" t="s">
        <v>157</v>
      </c>
      <c r="J110">
        <v>3665</v>
      </c>
      <c r="K110" s="28">
        <v>45436</v>
      </c>
      <c r="L110">
        <v>1010100</v>
      </c>
      <c r="M110" t="s">
        <v>29</v>
      </c>
      <c r="N110">
        <v>161</v>
      </c>
      <c r="O110" t="s">
        <v>145</v>
      </c>
      <c r="P110" t="s">
        <v>160</v>
      </c>
      <c r="Q110">
        <f t="shared" si="1"/>
        <v>626</v>
      </c>
      <c r="R110" t="str">
        <f>_xlfn.XLOOKUP(P110,'Painel Fertilizers'!$B:$B,'Painel Fertilizers'!$B:$B,0)</f>
        <v>CENTRAL DO ADUBO COM E REPRESENTACAO LTD</v>
      </c>
    </row>
    <row r="111" spans="1:18" x14ac:dyDescent="0.25">
      <c r="A111">
        <v>6132</v>
      </c>
      <c r="B111" t="s">
        <v>160</v>
      </c>
      <c r="C111" t="s">
        <v>161</v>
      </c>
      <c r="D111" s="32">
        <v>33509.519999999997</v>
      </c>
      <c r="E111">
        <v>1246148020</v>
      </c>
      <c r="F111" s="28">
        <v>45576</v>
      </c>
      <c r="H111" t="s">
        <v>156</v>
      </c>
      <c r="I111" t="s">
        <v>157</v>
      </c>
      <c r="J111">
        <v>3714</v>
      </c>
      <c r="K111" s="28">
        <v>45441</v>
      </c>
      <c r="L111">
        <v>1010100</v>
      </c>
      <c r="M111" t="s">
        <v>29</v>
      </c>
      <c r="N111">
        <v>161</v>
      </c>
      <c r="O111" t="s">
        <v>145</v>
      </c>
      <c r="P111" t="s">
        <v>160</v>
      </c>
      <c r="Q111">
        <f t="shared" si="1"/>
        <v>621</v>
      </c>
      <c r="R111" t="str">
        <f>_xlfn.XLOOKUP(P111,'Painel Fertilizers'!$B:$B,'Painel Fertilizers'!$B:$B,0)</f>
        <v>CENTRAL DO ADUBO COM E REPRESENTACAO LTD</v>
      </c>
    </row>
    <row r="112" spans="1:18" x14ac:dyDescent="0.25">
      <c r="A112">
        <v>6132</v>
      </c>
      <c r="B112" t="s">
        <v>160</v>
      </c>
      <c r="C112" t="s">
        <v>161</v>
      </c>
      <c r="D112" s="32">
        <v>56218.2</v>
      </c>
      <c r="E112">
        <v>1246148019</v>
      </c>
      <c r="F112" s="28">
        <v>45576</v>
      </c>
      <c r="H112" t="s">
        <v>156</v>
      </c>
      <c r="I112" t="s">
        <v>157</v>
      </c>
      <c r="J112">
        <v>3713</v>
      </c>
      <c r="K112" s="28">
        <v>45441</v>
      </c>
      <c r="L112">
        <v>1010100</v>
      </c>
      <c r="M112" t="s">
        <v>29</v>
      </c>
      <c r="N112">
        <v>161</v>
      </c>
      <c r="O112" t="s">
        <v>145</v>
      </c>
      <c r="P112" t="s">
        <v>160</v>
      </c>
      <c r="Q112">
        <f t="shared" si="1"/>
        <v>621</v>
      </c>
      <c r="R112" t="str">
        <f>_xlfn.XLOOKUP(P112,'Painel Fertilizers'!$B:$B,'Painel Fertilizers'!$B:$B,0)</f>
        <v>CENTRAL DO ADUBO COM E REPRESENTACAO LTD</v>
      </c>
    </row>
    <row r="113" spans="1:18" x14ac:dyDescent="0.25">
      <c r="A113">
        <v>6132</v>
      </c>
      <c r="B113" t="s">
        <v>160</v>
      </c>
      <c r="C113" t="s">
        <v>161</v>
      </c>
      <c r="D113" s="32">
        <v>95220.3</v>
      </c>
      <c r="E113">
        <v>1246135170</v>
      </c>
      <c r="F113" s="28">
        <v>45566</v>
      </c>
      <c r="H113" t="s">
        <v>156</v>
      </c>
      <c r="I113" t="s">
        <v>157</v>
      </c>
      <c r="J113">
        <v>3136</v>
      </c>
      <c r="K113" s="28">
        <v>45372</v>
      </c>
      <c r="L113">
        <v>1010100</v>
      </c>
      <c r="M113" t="s">
        <v>29</v>
      </c>
      <c r="N113">
        <v>161</v>
      </c>
      <c r="O113" t="s">
        <v>145</v>
      </c>
      <c r="P113" t="s">
        <v>160</v>
      </c>
      <c r="Q113">
        <f t="shared" si="1"/>
        <v>631</v>
      </c>
      <c r="R113" t="str">
        <f>_xlfn.XLOOKUP(P113,'Painel Fertilizers'!$B:$B,'Painel Fertilizers'!$B:$B,0)</f>
        <v>CENTRAL DO ADUBO COM E REPRESENTACAO LTD</v>
      </c>
    </row>
    <row r="114" spans="1:18" x14ac:dyDescent="0.25">
      <c r="A114">
        <v>6132</v>
      </c>
      <c r="B114" t="s">
        <v>160</v>
      </c>
      <c r="C114" t="s">
        <v>161</v>
      </c>
      <c r="D114" s="32">
        <v>29542.9</v>
      </c>
      <c r="E114">
        <v>1246135172</v>
      </c>
      <c r="F114" s="28">
        <v>45566</v>
      </c>
      <c r="H114" t="s">
        <v>156</v>
      </c>
      <c r="I114" t="s">
        <v>157</v>
      </c>
      <c r="J114">
        <v>3137</v>
      </c>
      <c r="K114" s="28">
        <v>45372</v>
      </c>
      <c r="L114">
        <v>1010100</v>
      </c>
      <c r="M114" t="s">
        <v>29</v>
      </c>
      <c r="N114">
        <v>161</v>
      </c>
      <c r="O114" t="s">
        <v>145</v>
      </c>
      <c r="P114" t="s">
        <v>160</v>
      </c>
      <c r="Q114">
        <f t="shared" si="1"/>
        <v>631</v>
      </c>
      <c r="R114" t="str">
        <f>_xlfn.XLOOKUP(P114,'Painel Fertilizers'!$B:$B,'Painel Fertilizers'!$B:$B,0)</f>
        <v>CENTRAL DO ADUBO COM E REPRESENTACAO LTD</v>
      </c>
    </row>
    <row r="115" spans="1:18" x14ac:dyDescent="0.25">
      <c r="A115">
        <v>6132</v>
      </c>
      <c r="B115" t="s">
        <v>160</v>
      </c>
      <c r="C115" t="s">
        <v>161</v>
      </c>
      <c r="D115" s="32">
        <v>92588.02</v>
      </c>
      <c r="E115">
        <v>1246138275</v>
      </c>
      <c r="F115" s="28">
        <v>45570</v>
      </c>
      <c r="H115" t="s">
        <v>156</v>
      </c>
      <c r="I115" t="s">
        <v>157</v>
      </c>
      <c r="J115">
        <v>3249</v>
      </c>
      <c r="K115" s="28">
        <v>45390</v>
      </c>
      <c r="L115">
        <v>1010100</v>
      </c>
      <c r="M115" t="s">
        <v>29</v>
      </c>
      <c r="N115">
        <v>161</v>
      </c>
      <c r="O115" t="s">
        <v>145</v>
      </c>
      <c r="P115" t="s">
        <v>160</v>
      </c>
      <c r="Q115">
        <f t="shared" si="1"/>
        <v>627</v>
      </c>
      <c r="R115" t="str">
        <f>_xlfn.XLOOKUP(P115,'Painel Fertilizers'!$B:$B,'Painel Fertilizers'!$B:$B,0)</f>
        <v>CENTRAL DO ADUBO COM E REPRESENTACAO LTD</v>
      </c>
    </row>
    <row r="116" spans="1:18" x14ac:dyDescent="0.25">
      <c r="A116">
        <v>6132</v>
      </c>
      <c r="B116" t="s">
        <v>160</v>
      </c>
      <c r="C116" t="s">
        <v>161</v>
      </c>
      <c r="D116" s="32">
        <v>97872.48</v>
      </c>
      <c r="E116">
        <v>1246135813</v>
      </c>
      <c r="F116" s="28">
        <v>45570</v>
      </c>
      <c r="H116" t="s">
        <v>156</v>
      </c>
      <c r="I116" t="s">
        <v>157</v>
      </c>
      <c r="J116">
        <v>3160</v>
      </c>
      <c r="K116" s="28">
        <v>45376</v>
      </c>
      <c r="L116">
        <v>1010100</v>
      </c>
      <c r="M116" t="s">
        <v>29</v>
      </c>
      <c r="N116">
        <v>161</v>
      </c>
      <c r="O116" t="s">
        <v>145</v>
      </c>
      <c r="P116" t="s">
        <v>160</v>
      </c>
      <c r="Q116">
        <f t="shared" si="1"/>
        <v>627</v>
      </c>
      <c r="R116" t="str">
        <f>_xlfn.XLOOKUP(P116,'Painel Fertilizers'!$B:$B,'Painel Fertilizers'!$B:$B,0)</f>
        <v>CENTRAL DO ADUBO COM E REPRESENTACAO LTD</v>
      </c>
    </row>
    <row r="117" spans="1:18" x14ac:dyDescent="0.25">
      <c r="A117">
        <v>6132</v>
      </c>
      <c r="B117" t="s">
        <v>160</v>
      </c>
      <c r="C117" t="s">
        <v>161</v>
      </c>
      <c r="D117" s="32">
        <v>155705</v>
      </c>
      <c r="E117">
        <v>1246130904</v>
      </c>
      <c r="F117" s="28">
        <v>45567</v>
      </c>
      <c r="H117" t="s">
        <v>156</v>
      </c>
      <c r="I117" t="s">
        <v>157</v>
      </c>
      <c r="J117">
        <v>2906</v>
      </c>
      <c r="K117" s="28">
        <v>45345</v>
      </c>
      <c r="L117">
        <v>1010100</v>
      </c>
      <c r="M117" t="s">
        <v>29</v>
      </c>
      <c r="N117">
        <v>161</v>
      </c>
      <c r="O117" t="s">
        <v>145</v>
      </c>
      <c r="P117" t="s">
        <v>160</v>
      </c>
      <c r="Q117">
        <f t="shared" si="1"/>
        <v>630</v>
      </c>
      <c r="R117" t="str">
        <f>_xlfn.XLOOKUP(P117,'Painel Fertilizers'!$B:$B,'Painel Fertilizers'!$B:$B,0)</f>
        <v>CENTRAL DO ADUBO COM E REPRESENTACAO LTD</v>
      </c>
    </row>
    <row r="118" spans="1:18" x14ac:dyDescent="0.25">
      <c r="A118">
        <v>6132</v>
      </c>
      <c r="B118" t="s">
        <v>160</v>
      </c>
      <c r="C118" t="s">
        <v>161</v>
      </c>
      <c r="D118" s="32">
        <v>86997.759999999995</v>
      </c>
      <c r="E118">
        <v>1246137598</v>
      </c>
      <c r="F118" s="28">
        <v>45566</v>
      </c>
      <c r="H118" t="s">
        <v>156</v>
      </c>
      <c r="I118" t="s">
        <v>157</v>
      </c>
      <c r="J118">
        <v>3223</v>
      </c>
      <c r="K118" s="28">
        <v>45386</v>
      </c>
      <c r="L118">
        <v>1010100</v>
      </c>
      <c r="M118" t="s">
        <v>29</v>
      </c>
      <c r="N118">
        <v>161</v>
      </c>
      <c r="O118" t="s">
        <v>145</v>
      </c>
      <c r="P118" t="s">
        <v>160</v>
      </c>
      <c r="Q118">
        <f t="shared" si="1"/>
        <v>631</v>
      </c>
      <c r="R118" t="str">
        <f>_xlfn.XLOOKUP(P118,'Painel Fertilizers'!$B:$B,'Painel Fertilizers'!$B:$B,0)</f>
        <v>CENTRAL DO ADUBO COM E REPRESENTACAO LTD</v>
      </c>
    </row>
    <row r="119" spans="1:18" x14ac:dyDescent="0.25">
      <c r="A119">
        <v>6132</v>
      </c>
      <c r="B119" t="s">
        <v>160</v>
      </c>
      <c r="C119" t="s">
        <v>161</v>
      </c>
      <c r="D119" s="32">
        <v>55849.2</v>
      </c>
      <c r="E119">
        <v>1246147270</v>
      </c>
      <c r="F119" s="28">
        <v>45571</v>
      </c>
      <c r="H119" t="s">
        <v>156</v>
      </c>
      <c r="I119" t="s">
        <v>157</v>
      </c>
      <c r="J119">
        <v>3666</v>
      </c>
      <c r="K119" s="28">
        <v>45436</v>
      </c>
      <c r="L119">
        <v>1010100</v>
      </c>
      <c r="M119" t="s">
        <v>29</v>
      </c>
      <c r="N119">
        <v>161</v>
      </c>
      <c r="O119" t="s">
        <v>145</v>
      </c>
      <c r="P119" t="s">
        <v>160</v>
      </c>
      <c r="Q119">
        <f t="shared" si="1"/>
        <v>626</v>
      </c>
      <c r="R119" t="str">
        <f>_xlfn.XLOOKUP(P119,'Painel Fertilizers'!$B:$B,'Painel Fertilizers'!$B:$B,0)</f>
        <v>CENTRAL DO ADUBO COM E REPRESENTACAO LTD</v>
      </c>
    </row>
    <row r="120" spans="1:18" x14ac:dyDescent="0.25">
      <c r="A120">
        <v>6132</v>
      </c>
      <c r="B120" t="s">
        <v>160</v>
      </c>
      <c r="C120" t="s">
        <v>161</v>
      </c>
      <c r="D120" s="32">
        <v>97872.48</v>
      </c>
      <c r="E120">
        <v>1246131241</v>
      </c>
      <c r="F120" s="28">
        <v>45571</v>
      </c>
      <c r="H120" t="s">
        <v>156</v>
      </c>
      <c r="I120" t="s">
        <v>157</v>
      </c>
      <c r="J120">
        <v>2928</v>
      </c>
      <c r="K120" s="28">
        <v>45349</v>
      </c>
      <c r="L120">
        <v>1010100</v>
      </c>
      <c r="M120" t="s">
        <v>29</v>
      </c>
      <c r="N120">
        <v>161</v>
      </c>
      <c r="O120" t="s">
        <v>145</v>
      </c>
      <c r="P120" t="s">
        <v>160</v>
      </c>
      <c r="Q120">
        <f t="shared" si="1"/>
        <v>626</v>
      </c>
      <c r="R120" t="str">
        <f>_xlfn.XLOOKUP(P120,'Painel Fertilizers'!$B:$B,'Painel Fertilizers'!$B:$B,0)</f>
        <v>CENTRAL DO ADUBO COM E REPRESENTACAO LTD</v>
      </c>
    </row>
    <row r="121" spans="1:18" x14ac:dyDescent="0.25">
      <c r="A121">
        <v>6132</v>
      </c>
      <c r="B121" t="s">
        <v>160</v>
      </c>
      <c r="C121" t="s">
        <v>161</v>
      </c>
      <c r="D121" s="32">
        <v>57092.28</v>
      </c>
      <c r="E121">
        <v>1246133070</v>
      </c>
      <c r="F121" s="28">
        <v>45573</v>
      </c>
      <c r="H121" t="s">
        <v>156</v>
      </c>
      <c r="I121" t="s">
        <v>157</v>
      </c>
      <c r="J121">
        <v>3012</v>
      </c>
      <c r="K121" s="28">
        <v>45359</v>
      </c>
      <c r="L121">
        <v>1010100</v>
      </c>
      <c r="M121" t="s">
        <v>29</v>
      </c>
      <c r="N121">
        <v>161</v>
      </c>
      <c r="O121" t="s">
        <v>145</v>
      </c>
      <c r="P121" t="s">
        <v>160</v>
      </c>
      <c r="Q121">
        <f t="shared" si="1"/>
        <v>624</v>
      </c>
      <c r="R121" t="str">
        <f>_xlfn.XLOOKUP(P121,'Painel Fertilizers'!$B:$B,'Painel Fertilizers'!$B:$B,0)</f>
        <v>CENTRAL DO ADUBO COM E REPRESENTACAO LTD</v>
      </c>
    </row>
    <row r="122" spans="1:18" x14ac:dyDescent="0.25">
      <c r="A122">
        <v>6132</v>
      </c>
      <c r="B122" t="s">
        <v>160</v>
      </c>
      <c r="C122" t="s">
        <v>161</v>
      </c>
      <c r="D122" s="32">
        <v>86997.759999999995</v>
      </c>
      <c r="E122">
        <v>1246131594</v>
      </c>
      <c r="F122" s="28">
        <v>45573</v>
      </c>
      <c r="H122" t="s">
        <v>156</v>
      </c>
      <c r="I122" t="s">
        <v>157</v>
      </c>
      <c r="J122">
        <v>2956</v>
      </c>
      <c r="K122" s="28">
        <v>45351</v>
      </c>
      <c r="L122">
        <v>1010100</v>
      </c>
      <c r="M122" t="s">
        <v>29</v>
      </c>
      <c r="N122">
        <v>161</v>
      </c>
      <c r="O122" t="s">
        <v>145</v>
      </c>
      <c r="P122" t="s">
        <v>160</v>
      </c>
      <c r="Q122">
        <f t="shared" si="1"/>
        <v>624</v>
      </c>
      <c r="R122" t="str">
        <f>_xlfn.XLOOKUP(P122,'Painel Fertilizers'!$B:$B,'Painel Fertilizers'!$B:$B,0)</f>
        <v>CENTRAL DO ADUBO COM E REPRESENTACAO LTD</v>
      </c>
    </row>
    <row r="123" spans="1:18" x14ac:dyDescent="0.25">
      <c r="A123">
        <v>6132</v>
      </c>
      <c r="B123" t="s">
        <v>160</v>
      </c>
      <c r="C123" t="s">
        <v>161</v>
      </c>
      <c r="D123" s="32">
        <v>86997.759999999995</v>
      </c>
      <c r="E123">
        <v>1246133332</v>
      </c>
      <c r="F123" s="28">
        <v>45576</v>
      </c>
      <c r="H123" t="s">
        <v>156</v>
      </c>
      <c r="I123" t="s">
        <v>157</v>
      </c>
      <c r="J123">
        <v>3028</v>
      </c>
      <c r="K123" s="28">
        <v>45362</v>
      </c>
      <c r="L123">
        <v>1010100</v>
      </c>
      <c r="M123" t="s">
        <v>29</v>
      </c>
      <c r="N123">
        <v>161</v>
      </c>
      <c r="O123" t="s">
        <v>145</v>
      </c>
      <c r="P123" t="s">
        <v>160</v>
      </c>
      <c r="Q123">
        <f t="shared" si="1"/>
        <v>621</v>
      </c>
      <c r="R123" t="str">
        <f>_xlfn.XLOOKUP(P123,'Painel Fertilizers'!$B:$B,'Painel Fertilizers'!$B:$B,0)</f>
        <v>CENTRAL DO ADUBO COM E REPRESENTACAO LTD</v>
      </c>
    </row>
    <row r="124" spans="1:18" x14ac:dyDescent="0.25">
      <c r="A124">
        <v>6132</v>
      </c>
      <c r="B124" t="s">
        <v>160</v>
      </c>
      <c r="C124" t="s">
        <v>161</v>
      </c>
      <c r="D124" s="32">
        <v>95153.8</v>
      </c>
      <c r="E124">
        <v>1246133718</v>
      </c>
      <c r="F124" s="28">
        <v>45578</v>
      </c>
      <c r="H124" t="s">
        <v>156</v>
      </c>
      <c r="I124" t="s">
        <v>157</v>
      </c>
      <c r="J124">
        <v>3051</v>
      </c>
      <c r="K124" s="28">
        <v>45364</v>
      </c>
      <c r="L124">
        <v>1010100</v>
      </c>
      <c r="M124" t="s">
        <v>29</v>
      </c>
      <c r="N124">
        <v>161</v>
      </c>
      <c r="O124" t="s">
        <v>145</v>
      </c>
      <c r="P124" t="s">
        <v>160</v>
      </c>
      <c r="Q124">
        <f t="shared" si="1"/>
        <v>619</v>
      </c>
      <c r="R124" t="str">
        <f>_xlfn.XLOOKUP(P124,'Painel Fertilizers'!$B:$B,'Painel Fertilizers'!$B:$B,0)</f>
        <v>CENTRAL DO ADUBO COM E REPRESENTACAO LTD</v>
      </c>
    </row>
    <row r="125" spans="1:18" x14ac:dyDescent="0.25">
      <c r="A125">
        <v>6132</v>
      </c>
      <c r="B125" t="s">
        <v>160</v>
      </c>
      <c r="C125" t="s">
        <v>161</v>
      </c>
      <c r="D125" s="32">
        <v>116501.9</v>
      </c>
      <c r="E125">
        <v>1246138114</v>
      </c>
      <c r="F125" s="28">
        <v>45570</v>
      </c>
      <c r="H125" t="s">
        <v>156</v>
      </c>
      <c r="I125" t="s">
        <v>157</v>
      </c>
      <c r="J125">
        <v>3243</v>
      </c>
      <c r="K125" s="28">
        <v>45390</v>
      </c>
      <c r="L125">
        <v>1010100</v>
      </c>
      <c r="M125" t="s">
        <v>29</v>
      </c>
      <c r="N125">
        <v>161</v>
      </c>
      <c r="O125" t="s">
        <v>145</v>
      </c>
      <c r="P125" t="s">
        <v>160</v>
      </c>
      <c r="Q125">
        <f t="shared" si="1"/>
        <v>627</v>
      </c>
      <c r="R125" t="str">
        <f>_xlfn.XLOOKUP(P125,'Painel Fertilizers'!$B:$B,'Painel Fertilizers'!$B:$B,0)</f>
        <v>CENTRAL DO ADUBO COM E REPRESENTACAO LTD</v>
      </c>
    </row>
    <row r="126" spans="1:18" x14ac:dyDescent="0.25">
      <c r="A126">
        <v>6132</v>
      </c>
      <c r="B126" t="s">
        <v>160</v>
      </c>
      <c r="C126" t="s">
        <v>161</v>
      </c>
      <c r="D126" s="32">
        <v>134954</v>
      </c>
      <c r="E126">
        <v>1246130651</v>
      </c>
      <c r="F126" s="28">
        <v>45566</v>
      </c>
      <c r="H126" t="s">
        <v>156</v>
      </c>
      <c r="I126" t="s">
        <v>157</v>
      </c>
      <c r="J126">
        <v>2889</v>
      </c>
      <c r="K126" s="28">
        <v>45344</v>
      </c>
      <c r="L126">
        <v>1010100</v>
      </c>
      <c r="M126" t="s">
        <v>29</v>
      </c>
      <c r="N126">
        <v>161</v>
      </c>
      <c r="O126" t="s">
        <v>145</v>
      </c>
      <c r="P126" t="s">
        <v>160</v>
      </c>
      <c r="Q126">
        <f t="shared" si="1"/>
        <v>631</v>
      </c>
      <c r="R126" t="str">
        <f>_xlfn.XLOOKUP(P126,'Painel Fertilizers'!$B:$B,'Painel Fertilizers'!$B:$B,0)</f>
        <v>CENTRAL DO ADUBO COM E REPRESENTACAO LTD</v>
      </c>
    </row>
    <row r="127" spans="1:18" x14ac:dyDescent="0.25">
      <c r="A127">
        <v>6132</v>
      </c>
      <c r="B127" t="s">
        <v>160</v>
      </c>
      <c r="C127" t="s">
        <v>161</v>
      </c>
      <c r="D127" s="32">
        <v>86997.759999999995</v>
      </c>
      <c r="E127">
        <v>1246131630</v>
      </c>
      <c r="F127" s="28">
        <v>45573</v>
      </c>
      <c r="H127" t="s">
        <v>156</v>
      </c>
      <c r="I127" t="s">
        <v>157</v>
      </c>
      <c r="J127">
        <v>2958</v>
      </c>
      <c r="K127" s="28">
        <v>45351</v>
      </c>
      <c r="L127">
        <v>1010100</v>
      </c>
      <c r="M127" t="s">
        <v>29</v>
      </c>
      <c r="N127">
        <v>161</v>
      </c>
      <c r="O127" t="s">
        <v>145</v>
      </c>
      <c r="P127" t="s">
        <v>160</v>
      </c>
      <c r="Q127">
        <f t="shared" ref="Q127:Q187" si="2">$R$1-F127</f>
        <v>624</v>
      </c>
      <c r="R127" t="str">
        <f>_xlfn.XLOOKUP(P127,'Painel Fertilizers'!$B:$B,'Painel Fertilizers'!$B:$B,0)</f>
        <v>CENTRAL DO ADUBO COM E REPRESENTACAO LTD</v>
      </c>
    </row>
    <row r="128" spans="1:18" x14ac:dyDescent="0.25">
      <c r="A128">
        <v>6132</v>
      </c>
      <c r="B128" t="s">
        <v>160</v>
      </c>
      <c r="C128" t="s">
        <v>161</v>
      </c>
      <c r="D128" s="32">
        <v>29949.599999999999</v>
      </c>
      <c r="E128">
        <v>1246133071</v>
      </c>
      <c r="F128" s="28">
        <v>45573</v>
      </c>
      <c r="H128" t="s">
        <v>156</v>
      </c>
      <c r="I128" t="s">
        <v>157</v>
      </c>
      <c r="J128">
        <v>3013</v>
      </c>
      <c r="K128" s="28">
        <v>45359</v>
      </c>
      <c r="L128">
        <v>1010100</v>
      </c>
      <c r="M128" t="s">
        <v>29</v>
      </c>
      <c r="N128">
        <v>161</v>
      </c>
      <c r="O128" t="s">
        <v>145</v>
      </c>
      <c r="P128" t="s">
        <v>160</v>
      </c>
      <c r="Q128">
        <f t="shared" si="2"/>
        <v>624</v>
      </c>
      <c r="R128" t="str">
        <f>_xlfn.XLOOKUP(P128,'Painel Fertilizers'!$B:$B,'Painel Fertilizers'!$B:$B,0)</f>
        <v>CENTRAL DO ADUBO COM E REPRESENTACAO LTD</v>
      </c>
    </row>
    <row r="129" spans="1:18" x14ac:dyDescent="0.25">
      <c r="A129">
        <v>6132</v>
      </c>
      <c r="B129" t="s">
        <v>160</v>
      </c>
      <c r="C129" t="s">
        <v>161</v>
      </c>
      <c r="D129" s="32">
        <v>54275.6</v>
      </c>
      <c r="E129">
        <v>1246132475</v>
      </c>
      <c r="F129" s="28">
        <v>45570</v>
      </c>
      <c r="H129" t="s">
        <v>156</v>
      </c>
      <c r="I129" t="s">
        <v>157</v>
      </c>
      <c r="J129">
        <v>2990</v>
      </c>
      <c r="K129" s="28">
        <v>45356</v>
      </c>
      <c r="L129">
        <v>1010100</v>
      </c>
      <c r="M129" t="s">
        <v>29</v>
      </c>
      <c r="N129">
        <v>161</v>
      </c>
      <c r="O129" t="s">
        <v>145</v>
      </c>
      <c r="P129" t="s">
        <v>160</v>
      </c>
      <c r="Q129">
        <f t="shared" si="2"/>
        <v>627</v>
      </c>
      <c r="R129" t="str">
        <f>_xlfn.XLOOKUP(P129,'Painel Fertilizers'!$B:$B,'Painel Fertilizers'!$B:$B,0)</f>
        <v>CENTRAL DO ADUBO COM E REPRESENTACAO LTD</v>
      </c>
    </row>
    <row r="130" spans="1:18" x14ac:dyDescent="0.25">
      <c r="A130">
        <v>6132</v>
      </c>
      <c r="B130" t="s">
        <v>160</v>
      </c>
      <c r="C130" t="s">
        <v>161</v>
      </c>
      <c r="D130" s="32">
        <v>97872.48</v>
      </c>
      <c r="E130">
        <v>1246132869</v>
      </c>
      <c r="F130" s="28">
        <v>45572</v>
      </c>
      <c r="H130" t="s">
        <v>156</v>
      </c>
      <c r="I130" t="s">
        <v>157</v>
      </c>
      <c r="J130">
        <v>3001</v>
      </c>
      <c r="K130" s="28">
        <v>45358</v>
      </c>
      <c r="L130">
        <v>1010100</v>
      </c>
      <c r="M130" t="s">
        <v>29</v>
      </c>
      <c r="N130">
        <v>161</v>
      </c>
      <c r="O130" t="s">
        <v>145</v>
      </c>
      <c r="P130" t="s">
        <v>160</v>
      </c>
      <c r="Q130">
        <f t="shared" si="2"/>
        <v>625</v>
      </c>
      <c r="R130" t="str">
        <f>_xlfn.XLOOKUP(P130,'Painel Fertilizers'!$B:$B,'Painel Fertilizers'!$B:$B,0)</f>
        <v>CENTRAL DO ADUBO COM E REPRESENTACAO LTD</v>
      </c>
    </row>
    <row r="131" spans="1:18" x14ac:dyDescent="0.25">
      <c r="A131">
        <v>6132</v>
      </c>
      <c r="B131" t="s">
        <v>160</v>
      </c>
      <c r="C131" t="s">
        <v>161</v>
      </c>
      <c r="D131" s="32">
        <v>86997.759999999995</v>
      </c>
      <c r="E131">
        <v>1246147192</v>
      </c>
      <c r="F131" s="28">
        <v>45571</v>
      </c>
      <c r="H131" t="s">
        <v>156</v>
      </c>
      <c r="I131" t="s">
        <v>157</v>
      </c>
      <c r="J131">
        <v>3654</v>
      </c>
      <c r="K131" s="28">
        <v>45436</v>
      </c>
      <c r="L131">
        <v>1010100</v>
      </c>
      <c r="M131" t="s">
        <v>29</v>
      </c>
      <c r="N131">
        <v>161</v>
      </c>
      <c r="O131" t="s">
        <v>145</v>
      </c>
      <c r="P131" t="s">
        <v>160</v>
      </c>
      <c r="Q131">
        <f t="shared" si="2"/>
        <v>626</v>
      </c>
      <c r="R131" t="str">
        <f>_xlfn.XLOOKUP(P131,'Painel Fertilizers'!$B:$B,'Painel Fertilizers'!$B:$B,0)</f>
        <v>CENTRAL DO ADUBO COM E REPRESENTACAO LTD</v>
      </c>
    </row>
    <row r="132" spans="1:18" x14ac:dyDescent="0.25">
      <c r="A132">
        <v>6132</v>
      </c>
      <c r="B132" t="s">
        <v>160</v>
      </c>
      <c r="C132" t="s">
        <v>161</v>
      </c>
      <c r="D132" s="32">
        <v>101192.76</v>
      </c>
      <c r="E132">
        <v>1246148270</v>
      </c>
      <c r="F132" s="28">
        <v>45578</v>
      </c>
      <c r="H132" t="s">
        <v>156</v>
      </c>
      <c r="I132" t="s">
        <v>157</v>
      </c>
      <c r="J132">
        <v>3731</v>
      </c>
      <c r="K132" s="28">
        <v>45443</v>
      </c>
      <c r="L132">
        <v>1010100</v>
      </c>
      <c r="M132" t="s">
        <v>29</v>
      </c>
      <c r="N132">
        <v>161</v>
      </c>
      <c r="O132" t="s">
        <v>145</v>
      </c>
      <c r="P132" t="s">
        <v>160</v>
      </c>
      <c r="Q132">
        <f t="shared" si="2"/>
        <v>619</v>
      </c>
      <c r="R132" t="str">
        <f>_xlfn.XLOOKUP(P132,'Painel Fertilizers'!$B:$B,'Painel Fertilizers'!$B:$B,0)</f>
        <v>CENTRAL DO ADUBO COM E REPRESENTACAO LTD</v>
      </c>
    </row>
    <row r="133" spans="1:18" x14ac:dyDescent="0.25">
      <c r="A133">
        <v>7060</v>
      </c>
      <c r="B133" t="s">
        <v>165</v>
      </c>
      <c r="C133" t="s">
        <v>166</v>
      </c>
      <c r="D133" s="32">
        <v>5180.3999999999996</v>
      </c>
      <c r="E133">
        <v>1246254161</v>
      </c>
      <c r="F133" s="28">
        <v>46281</v>
      </c>
      <c r="H133" t="s">
        <v>156</v>
      </c>
      <c r="I133" t="s">
        <v>157</v>
      </c>
      <c r="J133">
        <v>10278</v>
      </c>
      <c r="K133" s="28">
        <v>46006</v>
      </c>
      <c r="L133">
        <v>1010100</v>
      </c>
      <c r="M133" t="s">
        <v>29</v>
      </c>
      <c r="N133">
        <v>161</v>
      </c>
      <c r="O133" t="s">
        <v>145</v>
      </c>
      <c r="P133" t="s">
        <v>165</v>
      </c>
      <c r="Q133">
        <f t="shared" si="2"/>
        <v>-84</v>
      </c>
      <c r="R133" t="str">
        <f>_xlfn.XLOOKUP(P133,'Painel Fertilizers'!$B:$B,'Painel Fertilizers'!$B:$B,0)</f>
        <v>AGROVIVA</v>
      </c>
    </row>
    <row r="134" spans="1:18" x14ac:dyDescent="0.25">
      <c r="A134">
        <v>7060</v>
      </c>
      <c r="B134" t="s">
        <v>165</v>
      </c>
      <c r="C134" t="s">
        <v>166</v>
      </c>
      <c r="D134" s="32">
        <v>8288.64</v>
      </c>
      <c r="E134">
        <v>1246252321</v>
      </c>
      <c r="F134" s="28">
        <v>46269</v>
      </c>
      <c r="H134" t="s">
        <v>156</v>
      </c>
      <c r="I134" t="s">
        <v>157</v>
      </c>
      <c r="J134">
        <v>10183</v>
      </c>
      <c r="K134" s="28">
        <v>45994</v>
      </c>
      <c r="L134">
        <v>1010100</v>
      </c>
      <c r="M134" t="s">
        <v>29</v>
      </c>
      <c r="N134">
        <v>161</v>
      </c>
      <c r="O134" t="s">
        <v>145</v>
      </c>
      <c r="P134" t="s">
        <v>165</v>
      </c>
      <c r="Q134">
        <f t="shared" si="2"/>
        <v>-72</v>
      </c>
      <c r="R134" t="str">
        <f>_xlfn.XLOOKUP(P134,'Painel Fertilizers'!$B:$B,'Painel Fertilizers'!$B:$B,0)</f>
        <v>AGROVIVA</v>
      </c>
    </row>
    <row r="135" spans="1:18" x14ac:dyDescent="0.25">
      <c r="A135">
        <v>7060</v>
      </c>
      <c r="B135" t="s">
        <v>165</v>
      </c>
      <c r="C135" t="s">
        <v>166</v>
      </c>
      <c r="D135" s="32">
        <v>67383.5</v>
      </c>
      <c r="E135">
        <v>1246254471</v>
      </c>
      <c r="F135" s="28">
        <v>46279</v>
      </c>
      <c r="H135" t="s">
        <v>156</v>
      </c>
      <c r="I135" t="s">
        <v>157</v>
      </c>
      <c r="J135">
        <v>10301</v>
      </c>
      <c r="K135" s="28">
        <v>46007</v>
      </c>
      <c r="L135">
        <v>1010100</v>
      </c>
      <c r="M135" t="s">
        <v>29</v>
      </c>
      <c r="N135">
        <v>161</v>
      </c>
      <c r="O135" t="s">
        <v>145</v>
      </c>
      <c r="P135" t="s">
        <v>165</v>
      </c>
      <c r="Q135">
        <f t="shared" si="2"/>
        <v>-82</v>
      </c>
      <c r="R135" t="str">
        <f>_xlfn.XLOOKUP(P135,'Painel Fertilizers'!$B:$B,'Painel Fertilizers'!$B:$B,0)</f>
        <v>AGROVIVA</v>
      </c>
    </row>
    <row r="136" spans="1:18" x14ac:dyDescent="0.25">
      <c r="A136">
        <v>8187</v>
      </c>
      <c r="B136" t="s">
        <v>466</v>
      </c>
      <c r="C136" t="s">
        <v>284</v>
      </c>
      <c r="D136" s="32">
        <v>299642.08</v>
      </c>
      <c r="E136">
        <v>1246270723</v>
      </c>
      <c r="F136" s="28">
        <v>46357</v>
      </c>
      <c r="H136" t="s">
        <v>156</v>
      </c>
      <c r="I136" t="s">
        <v>157</v>
      </c>
      <c r="J136">
        <v>11075</v>
      </c>
      <c r="K136" s="28">
        <v>46120</v>
      </c>
      <c r="L136">
        <v>1010100</v>
      </c>
      <c r="M136" t="s">
        <v>29</v>
      </c>
      <c r="N136">
        <v>161</v>
      </c>
      <c r="O136" t="s">
        <v>145</v>
      </c>
      <c r="P136" t="s">
        <v>466</v>
      </c>
      <c r="Q136">
        <f t="shared" si="2"/>
        <v>-160</v>
      </c>
      <c r="R136" t="str">
        <f>_xlfn.XLOOKUP(P136,'Painel Fertilizers'!$B:$B,'Painel Fertilizers'!$B:$B,0)</f>
        <v>AGROREP. REPRESENTACOES AGRICOLAS</v>
      </c>
    </row>
    <row r="137" spans="1:18" x14ac:dyDescent="0.25">
      <c r="A137">
        <v>9298</v>
      </c>
      <c r="B137" t="s">
        <v>170</v>
      </c>
      <c r="C137" t="s">
        <v>171</v>
      </c>
      <c r="D137" s="32">
        <v>111799</v>
      </c>
      <c r="E137">
        <v>1246070436</v>
      </c>
      <c r="F137" s="28">
        <v>45555</v>
      </c>
      <c r="H137" t="s">
        <v>156</v>
      </c>
      <c r="I137" t="s">
        <v>157</v>
      </c>
      <c r="J137">
        <v>20815</v>
      </c>
      <c r="K137" s="28">
        <v>44991</v>
      </c>
      <c r="L137">
        <v>1010100</v>
      </c>
      <c r="M137" t="s">
        <v>29</v>
      </c>
      <c r="N137">
        <v>161</v>
      </c>
      <c r="O137" t="s">
        <v>145</v>
      </c>
      <c r="P137" t="s">
        <v>170</v>
      </c>
      <c r="Q137">
        <f t="shared" si="2"/>
        <v>642</v>
      </c>
      <c r="R137" t="str">
        <f>_xlfn.XLOOKUP(P137,'Painel Fertilizers'!$B:$B,'Painel Fertilizers'!$B:$B,0)</f>
        <v>TERRA FERTIL - MACHADO</v>
      </c>
    </row>
    <row r="138" spans="1:18" x14ac:dyDescent="0.25">
      <c r="A138">
        <v>9298</v>
      </c>
      <c r="B138" t="s">
        <v>170</v>
      </c>
      <c r="C138" t="s">
        <v>171</v>
      </c>
      <c r="D138" s="32">
        <v>65548</v>
      </c>
      <c r="E138">
        <v>1246070905</v>
      </c>
      <c r="F138" s="28">
        <v>45555</v>
      </c>
      <c r="H138" t="s">
        <v>156</v>
      </c>
      <c r="I138" t="s">
        <v>157</v>
      </c>
      <c r="J138">
        <v>20839</v>
      </c>
      <c r="K138" s="28">
        <v>44994</v>
      </c>
      <c r="L138">
        <v>1010100</v>
      </c>
      <c r="M138" t="s">
        <v>29</v>
      </c>
      <c r="N138">
        <v>161</v>
      </c>
      <c r="O138" t="s">
        <v>145</v>
      </c>
      <c r="P138" t="s">
        <v>170</v>
      </c>
      <c r="Q138">
        <f t="shared" si="2"/>
        <v>642</v>
      </c>
      <c r="R138" t="str">
        <f>_xlfn.XLOOKUP(P138,'Painel Fertilizers'!$B:$B,'Painel Fertilizers'!$B:$B,0)</f>
        <v>TERRA FERTIL - MACHADO</v>
      </c>
    </row>
    <row r="139" spans="1:18" x14ac:dyDescent="0.25">
      <c r="A139">
        <v>9298</v>
      </c>
      <c r="B139" t="s">
        <v>170</v>
      </c>
      <c r="C139" t="s">
        <v>171</v>
      </c>
      <c r="D139" s="32">
        <v>112475</v>
      </c>
      <c r="E139">
        <v>1246068948</v>
      </c>
      <c r="F139" s="28">
        <v>45555</v>
      </c>
      <c r="H139" t="s">
        <v>156</v>
      </c>
      <c r="I139" t="s">
        <v>157</v>
      </c>
      <c r="J139">
        <v>20763</v>
      </c>
      <c r="K139" s="28">
        <v>44984</v>
      </c>
      <c r="L139">
        <v>1010100</v>
      </c>
      <c r="M139" t="s">
        <v>29</v>
      </c>
      <c r="N139">
        <v>161</v>
      </c>
      <c r="O139" t="s">
        <v>145</v>
      </c>
      <c r="P139" t="s">
        <v>170</v>
      </c>
      <c r="Q139">
        <f t="shared" si="2"/>
        <v>642</v>
      </c>
      <c r="R139" t="str">
        <f>_xlfn.XLOOKUP(P139,'Painel Fertilizers'!$B:$B,'Painel Fertilizers'!$B:$B,0)</f>
        <v>TERRA FERTIL - MACHADO</v>
      </c>
    </row>
    <row r="140" spans="1:18" x14ac:dyDescent="0.25">
      <c r="A140">
        <v>9298</v>
      </c>
      <c r="B140" t="s">
        <v>170</v>
      </c>
      <c r="C140" t="s">
        <v>171</v>
      </c>
      <c r="D140" s="32">
        <v>149824</v>
      </c>
      <c r="E140">
        <v>1246068778</v>
      </c>
      <c r="F140" s="28">
        <v>45555</v>
      </c>
      <c r="H140" t="s">
        <v>156</v>
      </c>
      <c r="I140" t="s">
        <v>157</v>
      </c>
      <c r="J140">
        <v>20750</v>
      </c>
      <c r="K140" s="28">
        <v>44981</v>
      </c>
      <c r="L140">
        <v>1010100</v>
      </c>
      <c r="M140" t="s">
        <v>29</v>
      </c>
      <c r="N140">
        <v>161</v>
      </c>
      <c r="O140" t="s">
        <v>145</v>
      </c>
      <c r="P140" t="s">
        <v>170</v>
      </c>
      <c r="Q140">
        <f t="shared" si="2"/>
        <v>642</v>
      </c>
      <c r="R140" t="str">
        <f>_xlfn.XLOOKUP(P140,'Painel Fertilizers'!$B:$B,'Painel Fertilizers'!$B:$B,0)</f>
        <v>TERRA FERTIL - MACHADO</v>
      </c>
    </row>
    <row r="141" spans="1:18" x14ac:dyDescent="0.25">
      <c r="A141">
        <v>9298</v>
      </c>
      <c r="B141" t="s">
        <v>170</v>
      </c>
      <c r="C141" t="s">
        <v>171</v>
      </c>
      <c r="D141" s="32">
        <v>131203</v>
      </c>
      <c r="E141">
        <v>1246070820</v>
      </c>
      <c r="F141" s="28">
        <v>45555</v>
      </c>
      <c r="H141" t="s">
        <v>156</v>
      </c>
      <c r="I141" t="s">
        <v>157</v>
      </c>
      <c r="J141">
        <v>20836</v>
      </c>
      <c r="K141" s="28">
        <v>44993</v>
      </c>
      <c r="L141">
        <v>1010100</v>
      </c>
      <c r="M141" t="s">
        <v>29</v>
      </c>
      <c r="N141">
        <v>161</v>
      </c>
      <c r="O141" t="s">
        <v>145</v>
      </c>
      <c r="P141" t="s">
        <v>170</v>
      </c>
      <c r="Q141">
        <f t="shared" si="2"/>
        <v>642</v>
      </c>
      <c r="R141" t="str">
        <f>_xlfn.XLOOKUP(P141,'Painel Fertilizers'!$B:$B,'Painel Fertilizers'!$B:$B,0)</f>
        <v>TERRA FERTIL - MACHADO</v>
      </c>
    </row>
    <row r="142" spans="1:18" x14ac:dyDescent="0.25">
      <c r="A142">
        <v>9298</v>
      </c>
      <c r="B142" t="s">
        <v>170</v>
      </c>
      <c r="C142" t="s">
        <v>171</v>
      </c>
      <c r="D142" s="32">
        <v>119356.2</v>
      </c>
      <c r="E142">
        <v>1246068614</v>
      </c>
      <c r="F142" s="28">
        <v>45555</v>
      </c>
      <c r="H142" t="s">
        <v>156</v>
      </c>
      <c r="I142" t="s">
        <v>157</v>
      </c>
      <c r="J142">
        <v>20734</v>
      </c>
      <c r="K142" s="28">
        <v>44980</v>
      </c>
      <c r="L142">
        <v>1010100</v>
      </c>
      <c r="M142" t="s">
        <v>29</v>
      </c>
      <c r="N142">
        <v>161</v>
      </c>
      <c r="O142" t="s">
        <v>145</v>
      </c>
      <c r="P142" t="s">
        <v>170</v>
      </c>
      <c r="Q142">
        <f t="shared" si="2"/>
        <v>642</v>
      </c>
      <c r="R142" t="str">
        <f>_xlfn.XLOOKUP(P142,'Painel Fertilizers'!$B:$B,'Painel Fertilizers'!$B:$B,0)</f>
        <v>TERRA FERTIL - MACHADO</v>
      </c>
    </row>
    <row r="143" spans="1:18" x14ac:dyDescent="0.25">
      <c r="A143">
        <v>9298</v>
      </c>
      <c r="B143" t="s">
        <v>170</v>
      </c>
      <c r="C143" t="s">
        <v>171</v>
      </c>
      <c r="D143" s="32">
        <v>122521</v>
      </c>
      <c r="E143">
        <v>1246068997</v>
      </c>
      <c r="F143" s="28">
        <v>45555</v>
      </c>
      <c r="H143" t="s">
        <v>156</v>
      </c>
      <c r="I143" t="s">
        <v>157</v>
      </c>
      <c r="J143">
        <v>20767</v>
      </c>
      <c r="K143" s="28">
        <v>44984</v>
      </c>
      <c r="L143">
        <v>1010100</v>
      </c>
      <c r="M143" t="s">
        <v>29</v>
      </c>
      <c r="N143">
        <v>161</v>
      </c>
      <c r="O143" t="s">
        <v>145</v>
      </c>
      <c r="P143" t="s">
        <v>170</v>
      </c>
      <c r="Q143">
        <f t="shared" si="2"/>
        <v>642</v>
      </c>
      <c r="R143" t="str">
        <f>_xlfn.XLOOKUP(P143,'Painel Fertilizers'!$B:$B,'Painel Fertilizers'!$B:$B,0)</f>
        <v>TERRA FERTIL - MACHADO</v>
      </c>
    </row>
    <row r="144" spans="1:18" x14ac:dyDescent="0.25">
      <c r="A144">
        <v>9298</v>
      </c>
      <c r="B144" t="s">
        <v>170</v>
      </c>
      <c r="C144" t="s">
        <v>171</v>
      </c>
      <c r="D144" s="32">
        <v>118731.49</v>
      </c>
      <c r="E144">
        <v>1246083500</v>
      </c>
      <c r="F144" s="28">
        <v>45555</v>
      </c>
      <c r="H144" t="s">
        <v>156</v>
      </c>
      <c r="I144" t="s">
        <v>157</v>
      </c>
      <c r="J144">
        <v>21456</v>
      </c>
      <c r="K144" s="28">
        <v>45070</v>
      </c>
      <c r="L144">
        <v>1010100</v>
      </c>
      <c r="M144" t="s">
        <v>29</v>
      </c>
      <c r="N144">
        <v>161</v>
      </c>
      <c r="O144" t="s">
        <v>145</v>
      </c>
      <c r="P144" t="s">
        <v>170</v>
      </c>
      <c r="Q144">
        <f t="shared" si="2"/>
        <v>642</v>
      </c>
      <c r="R144" t="str">
        <f>_xlfn.XLOOKUP(P144,'Painel Fertilizers'!$B:$B,'Painel Fertilizers'!$B:$B,0)</f>
        <v>TERRA FERTIL - MACHADO</v>
      </c>
    </row>
    <row r="145" spans="1:18" x14ac:dyDescent="0.25">
      <c r="A145">
        <v>9298</v>
      </c>
      <c r="B145" t="s">
        <v>170</v>
      </c>
      <c r="C145" t="s">
        <v>171</v>
      </c>
      <c r="D145" s="32">
        <v>52557.4</v>
      </c>
      <c r="E145">
        <v>1246083593</v>
      </c>
      <c r="F145" s="28">
        <v>45555</v>
      </c>
      <c r="H145" t="s">
        <v>156</v>
      </c>
      <c r="I145" t="s">
        <v>157</v>
      </c>
      <c r="J145">
        <v>21460</v>
      </c>
      <c r="K145" s="28">
        <v>45070</v>
      </c>
      <c r="L145">
        <v>1010100</v>
      </c>
      <c r="M145" t="s">
        <v>29</v>
      </c>
      <c r="N145">
        <v>161</v>
      </c>
      <c r="O145" t="s">
        <v>145</v>
      </c>
      <c r="P145" t="s">
        <v>170</v>
      </c>
      <c r="Q145">
        <f t="shared" si="2"/>
        <v>642</v>
      </c>
      <c r="R145" t="str">
        <f>_xlfn.XLOOKUP(P145,'Painel Fertilizers'!$B:$B,'Painel Fertilizers'!$B:$B,0)</f>
        <v>TERRA FERTIL - MACHADO</v>
      </c>
    </row>
    <row r="146" spans="1:18" x14ac:dyDescent="0.25">
      <c r="A146">
        <v>9298</v>
      </c>
      <c r="B146" t="s">
        <v>170</v>
      </c>
      <c r="C146" t="s">
        <v>171</v>
      </c>
      <c r="D146" s="32">
        <v>52557.4</v>
      </c>
      <c r="E146">
        <v>1246083373</v>
      </c>
      <c r="F146" s="28">
        <v>45555</v>
      </c>
      <c r="H146" t="s">
        <v>156</v>
      </c>
      <c r="I146" t="s">
        <v>157</v>
      </c>
      <c r="J146">
        <v>21444</v>
      </c>
      <c r="K146" s="28">
        <v>45069</v>
      </c>
      <c r="L146">
        <v>1010100</v>
      </c>
      <c r="M146" t="s">
        <v>29</v>
      </c>
      <c r="N146">
        <v>161</v>
      </c>
      <c r="O146" t="s">
        <v>145</v>
      </c>
      <c r="P146" t="s">
        <v>170</v>
      </c>
      <c r="Q146">
        <f t="shared" si="2"/>
        <v>642</v>
      </c>
      <c r="R146" t="str">
        <f>_xlfn.XLOOKUP(P146,'Painel Fertilizers'!$B:$B,'Painel Fertilizers'!$B:$B,0)</f>
        <v>TERRA FERTIL - MACHADO</v>
      </c>
    </row>
    <row r="147" spans="1:18" x14ac:dyDescent="0.25">
      <c r="A147">
        <v>9298</v>
      </c>
      <c r="B147" t="s">
        <v>170</v>
      </c>
      <c r="C147" t="s">
        <v>171</v>
      </c>
      <c r="D147" s="32">
        <v>13957.5</v>
      </c>
      <c r="E147">
        <v>1246084673</v>
      </c>
      <c r="F147" s="28">
        <v>45555</v>
      </c>
      <c r="H147" t="s">
        <v>156</v>
      </c>
      <c r="I147" t="s">
        <v>157</v>
      </c>
      <c r="J147">
        <v>21538</v>
      </c>
      <c r="K147" s="28">
        <v>45077</v>
      </c>
      <c r="L147">
        <v>1010100</v>
      </c>
      <c r="M147" t="s">
        <v>29</v>
      </c>
      <c r="N147">
        <v>161</v>
      </c>
      <c r="O147" t="s">
        <v>145</v>
      </c>
      <c r="P147" t="s">
        <v>170</v>
      </c>
      <c r="Q147">
        <f t="shared" ref="Q147:Q157" si="3">$R$1-F147</f>
        <v>642</v>
      </c>
      <c r="R147" t="str">
        <f>_xlfn.XLOOKUP(P147,'Painel Fertilizers'!$B:$B,'Painel Fertilizers'!$B:$B,0)</f>
        <v>TERRA FERTIL - MACHADO</v>
      </c>
    </row>
    <row r="148" spans="1:18" x14ac:dyDescent="0.25">
      <c r="A148">
        <v>9298</v>
      </c>
      <c r="B148" t="s">
        <v>170</v>
      </c>
      <c r="C148" t="s">
        <v>171</v>
      </c>
      <c r="D148" s="32">
        <v>40756.75</v>
      </c>
      <c r="E148">
        <v>1246084671</v>
      </c>
      <c r="F148" s="28">
        <v>45555</v>
      </c>
      <c r="H148" t="s">
        <v>156</v>
      </c>
      <c r="I148" t="s">
        <v>157</v>
      </c>
      <c r="J148">
        <v>21537</v>
      </c>
      <c r="K148" s="28">
        <v>45077</v>
      </c>
      <c r="L148">
        <v>1010100</v>
      </c>
      <c r="M148" t="s">
        <v>29</v>
      </c>
      <c r="N148">
        <v>161</v>
      </c>
      <c r="O148" t="s">
        <v>145</v>
      </c>
      <c r="P148" t="s">
        <v>170</v>
      </c>
      <c r="Q148">
        <f t="shared" si="3"/>
        <v>642</v>
      </c>
      <c r="R148" t="str">
        <f>_xlfn.XLOOKUP(P148,'Painel Fertilizers'!$B:$B,'Painel Fertilizers'!$B:$B,0)</f>
        <v>TERRA FERTIL - MACHADO</v>
      </c>
    </row>
    <row r="149" spans="1:18" x14ac:dyDescent="0.25">
      <c r="A149">
        <v>9298</v>
      </c>
      <c r="B149" t="s">
        <v>170</v>
      </c>
      <c r="C149" t="s">
        <v>171</v>
      </c>
      <c r="D149" s="32">
        <v>13238.05</v>
      </c>
      <c r="E149">
        <v>1246088994</v>
      </c>
      <c r="F149" s="28">
        <v>45555</v>
      </c>
      <c r="H149" t="s">
        <v>156</v>
      </c>
      <c r="I149" t="s">
        <v>157</v>
      </c>
      <c r="J149">
        <v>20723</v>
      </c>
      <c r="K149" s="28">
        <v>44979</v>
      </c>
      <c r="L149">
        <v>1010100</v>
      </c>
      <c r="M149" t="s">
        <v>29</v>
      </c>
      <c r="N149">
        <v>161</v>
      </c>
      <c r="O149" t="s">
        <v>145</v>
      </c>
      <c r="P149" t="s">
        <v>170</v>
      </c>
      <c r="Q149">
        <f t="shared" si="3"/>
        <v>642</v>
      </c>
      <c r="R149" t="str">
        <f>_xlfn.XLOOKUP(P149,'Painel Fertilizers'!$B:$B,'Painel Fertilizers'!$B:$B,0)</f>
        <v>TERRA FERTIL - MACHADO</v>
      </c>
    </row>
    <row r="150" spans="1:18" x14ac:dyDescent="0.25">
      <c r="A150">
        <v>9298</v>
      </c>
      <c r="B150" t="s">
        <v>170</v>
      </c>
      <c r="C150" t="s">
        <v>171</v>
      </c>
      <c r="D150" s="32">
        <v>118788.8</v>
      </c>
      <c r="E150">
        <v>1246099199</v>
      </c>
      <c r="F150" s="28">
        <v>45562</v>
      </c>
      <c r="H150" t="s">
        <v>156</v>
      </c>
      <c r="I150" t="s">
        <v>157</v>
      </c>
      <c r="J150">
        <v>768</v>
      </c>
      <c r="K150" s="28">
        <v>45159</v>
      </c>
      <c r="L150">
        <v>1010100</v>
      </c>
      <c r="M150" t="s">
        <v>29</v>
      </c>
      <c r="N150">
        <v>161</v>
      </c>
      <c r="O150" t="s">
        <v>145</v>
      </c>
      <c r="P150" t="s">
        <v>170</v>
      </c>
      <c r="Q150">
        <f t="shared" si="3"/>
        <v>635</v>
      </c>
      <c r="R150" t="str">
        <f>_xlfn.XLOOKUP(P150,'Painel Fertilizers'!$B:$B,'Painel Fertilizers'!$B:$B,0)</f>
        <v>TERRA FERTIL - MACHADO</v>
      </c>
    </row>
    <row r="151" spans="1:18" x14ac:dyDescent="0.25">
      <c r="A151">
        <v>9298</v>
      </c>
      <c r="B151" t="s">
        <v>170</v>
      </c>
      <c r="C151" t="s">
        <v>171</v>
      </c>
      <c r="D151" s="32">
        <v>118788.8</v>
      </c>
      <c r="E151">
        <v>1246099294</v>
      </c>
      <c r="F151" s="28">
        <v>45562</v>
      </c>
      <c r="H151" t="s">
        <v>156</v>
      </c>
      <c r="I151" t="s">
        <v>157</v>
      </c>
      <c r="J151">
        <v>777</v>
      </c>
      <c r="K151" s="28">
        <v>45159</v>
      </c>
      <c r="L151">
        <v>1010100</v>
      </c>
      <c r="M151" t="s">
        <v>29</v>
      </c>
      <c r="N151">
        <v>161</v>
      </c>
      <c r="O151" t="s">
        <v>145</v>
      </c>
      <c r="P151" t="s">
        <v>170</v>
      </c>
      <c r="Q151">
        <f t="shared" si="3"/>
        <v>635</v>
      </c>
      <c r="R151" t="str">
        <f>_xlfn.XLOOKUP(P151,'Painel Fertilizers'!$B:$B,'Painel Fertilizers'!$B:$B,0)</f>
        <v>TERRA FERTIL - MACHADO</v>
      </c>
    </row>
    <row r="152" spans="1:18" x14ac:dyDescent="0.25">
      <c r="A152">
        <v>9298</v>
      </c>
      <c r="B152" t="s">
        <v>170</v>
      </c>
      <c r="C152" t="s">
        <v>171</v>
      </c>
      <c r="D152" s="32">
        <v>148492.1</v>
      </c>
      <c r="E152">
        <v>1246105304</v>
      </c>
      <c r="F152" s="28">
        <v>45555</v>
      </c>
      <c r="H152" t="s">
        <v>156</v>
      </c>
      <c r="I152" t="s">
        <v>157</v>
      </c>
      <c r="J152">
        <v>1270</v>
      </c>
      <c r="K152" s="28">
        <v>45190</v>
      </c>
      <c r="L152">
        <v>1010100</v>
      </c>
      <c r="M152" t="s">
        <v>29</v>
      </c>
      <c r="N152">
        <v>161</v>
      </c>
      <c r="O152" t="s">
        <v>145</v>
      </c>
      <c r="P152" t="s">
        <v>170</v>
      </c>
      <c r="Q152">
        <f t="shared" si="3"/>
        <v>642</v>
      </c>
      <c r="R152" t="str">
        <f>_xlfn.XLOOKUP(P152,'Painel Fertilizers'!$B:$B,'Painel Fertilizers'!$B:$B,0)</f>
        <v>TERRA FERTIL - MACHADO</v>
      </c>
    </row>
    <row r="153" spans="1:18" x14ac:dyDescent="0.25">
      <c r="A153">
        <v>9298</v>
      </c>
      <c r="B153" t="s">
        <v>170</v>
      </c>
      <c r="C153" t="s">
        <v>171</v>
      </c>
      <c r="D153" s="32">
        <v>79894</v>
      </c>
      <c r="E153">
        <v>1246114860</v>
      </c>
      <c r="F153" s="28">
        <v>45555</v>
      </c>
      <c r="H153" t="s">
        <v>156</v>
      </c>
      <c r="I153" t="s">
        <v>157</v>
      </c>
      <c r="J153">
        <v>1951</v>
      </c>
      <c r="K153" s="28">
        <v>45243</v>
      </c>
      <c r="L153">
        <v>1010100</v>
      </c>
      <c r="M153" t="s">
        <v>29</v>
      </c>
      <c r="N153">
        <v>161</v>
      </c>
      <c r="O153" t="s">
        <v>145</v>
      </c>
      <c r="P153" t="s">
        <v>170</v>
      </c>
      <c r="Q153">
        <f t="shared" si="3"/>
        <v>642</v>
      </c>
      <c r="R153" t="str">
        <f>_xlfn.XLOOKUP(P153,'Painel Fertilizers'!$B:$B,'Painel Fertilizers'!$B:$B,0)</f>
        <v>TERRA FERTIL - MACHADO</v>
      </c>
    </row>
    <row r="154" spans="1:18" x14ac:dyDescent="0.25">
      <c r="A154">
        <v>9298</v>
      </c>
      <c r="B154" t="s">
        <v>170</v>
      </c>
      <c r="C154" t="s">
        <v>171</v>
      </c>
      <c r="D154" s="32">
        <v>123567.8</v>
      </c>
      <c r="E154">
        <v>1246103672</v>
      </c>
      <c r="F154" s="28">
        <v>45567</v>
      </c>
      <c r="H154" t="s">
        <v>156</v>
      </c>
      <c r="I154" t="s">
        <v>157</v>
      </c>
      <c r="J154">
        <v>1150</v>
      </c>
      <c r="K154" s="28">
        <v>45182</v>
      </c>
      <c r="L154">
        <v>1010100</v>
      </c>
      <c r="M154" t="s">
        <v>29</v>
      </c>
      <c r="N154">
        <v>161</v>
      </c>
      <c r="O154" t="s">
        <v>145</v>
      </c>
      <c r="P154" t="s">
        <v>170</v>
      </c>
      <c r="Q154">
        <f t="shared" si="3"/>
        <v>630</v>
      </c>
      <c r="R154" t="str">
        <f>_xlfn.XLOOKUP(P154,'Painel Fertilizers'!$B:$B,'Painel Fertilizers'!$B:$B,0)</f>
        <v>TERRA FERTIL - MACHADO</v>
      </c>
    </row>
    <row r="155" spans="1:18" x14ac:dyDescent="0.25">
      <c r="A155">
        <v>9298</v>
      </c>
      <c r="B155" t="s">
        <v>170</v>
      </c>
      <c r="C155" t="s">
        <v>171</v>
      </c>
      <c r="D155" s="32">
        <v>113355.6</v>
      </c>
      <c r="E155">
        <v>1246116199</v>
      </c>
      <c r="F155" s="28">
        <v>45561</v>
      </c>
      <c r="H155" t="s">
        <v>156</v>
      </c>
      <c r="I155" t="s">
        <v>157</v>
      </c>
      <c r="J155">
        <v>2054</v>
      </c>
      <c r="K155" s="28">
        <v>45252</v>
      </c>
      <c r="L155">
        <v>1010100</v>
      </c>
      <c r="M155" t="s">
        <v>29</v>
      </c>
      <c r="N155">
        <v>161</v>
      </c>
      <c r="O155" t="s">
        <v>145</v>
      </c>
      <c r="P155" t="s">
        <v>170</v>
      </c>
      <c r="Q155">
        <f t="shared" si="3"/>
        <v>636</v>
      </c>
      <c r="R155" t="str">
        <f>_xlfn.XLOOKUP(P155,'Painel Fertilizers'!$B:$B,'Painel Fertilizers'!$B:$B,0)</f>
        <v>TERRA FERTIL - MACHADO</v>
      </c>
    </row>
    <row r="156" spans="1:18" x14ac:dyDescent="0.25">
      <c r="A156">
        <v>9298</v>
      </c>
      <c r="B156" t="s">
        <v>170</v>
      </c>
      <c r="C156" t="s">
        <v>171</v>
      </c>
      <c r="D156" s="32">
        <v>143583.76</v>
      </c>
      <c r="E156">
        <v>1246106222</v>
      </c>
      <c r="F156" s="28">
        <v>45560</v>
      </c>
      <c r="H156" t="s">
        <v>156</v>
      </c>
      <c r="I156" t="s">
        <v>157</v>
      </c>
      <c r="J156">
        <v>1341</v>
      </c>
      <c r="K156" s="28">
        <v>45195</v>
      </c>
      <c r="L156">
        <v>1010100</v>
      </c>
      <c r="M156" t="s">
        <v>29</v>
      </c>
      <c r="N156">
        <v>161</v>
      </c>
      <c r="O156" t="s">
        <v>145</v>
      </c>
      <c r="P156" t="s">
        <v>170</v>
      </c>
      <c r="Q156">
        <f t="shared" si="3"/>
        <v>637</v>
      </c>
      <c r="R156" t="str">
        <f>_xlfn.XLOOKUP(P156,'Painel Fertilizers'!$B:$B,'Painel Fertilizers'!$B:$B,0)</f>
        <v>TERRA FERTIL - MACHADO</v>
      </c>
    </row>
    <row r="157" spans="1:18" x14ac:dyDescent="0.25">
      <c r="A157">
        <v>9298</v>
      </c>
      <c r="B157" t="s">
        <v>170</v>
      </c>
      <c r="C157" t="s">
        <v>171</v>
      </c>
      <c r="D157" s="32">
        <v>55612.2</v>
      </c>
      <c r="E157">
        <v>1246104999</v>
      </c>
      <c r="F157" s="28">
        <v>45555</v>
      </c>
      <c r="H157" t="s">
        <v>156</v>
      </c>
      <c r="I157" t="s">
        <v>157</v>
      </c>
      <c r="J157">
        <v>1249</v>
      </c>
      <c r="K157" s="28">
        <v>45189</v>
      </c>
      <c r="L157">
        <v>1010100</v>
      </c>
      <c r="M157" t="s">
        <v>29</v>
      </c>
      <c r="N157">
        <v>161</v>
      </c>
      <c r="O157" t="s">
        <v>145</v>
      </c>
      <c r="P157" t="s">
        <v>170</v>
      </c>
      <c r="Q157">
        <f t="shared" si="3"/>
        <v>642</v>
      </c>
      <c r="R157" t="str">
        <f>_xlfn.XLOOKUP(P157,'Painel Fertilizers'!$B:$B,'Painel Fertilizers'!$B:$B,0)</f>
        <v>TERRA FERTIL - MACHADO</v>
      </c>
    </row>
    <row r="158" spans="1:18" x14ac:dyDescent="0.25">
      <c r="A158">
        <v>9298</v>
      </c>
      <c r="B158" t="s">
        <v>170</v>
      </c>
      <c r="C158" t="s">
        <v>171</v>
      </c>
      <c r="D158" s="32">
        <v>64234.84</v>
      </c>
      <c r="E158">
        <v>1246115394</v>
      </c>
      <c r="F158" s="28">
        <v>45555</v>
      </c>
      <c r="H158" t="s">
        <v>156</v>
      </c>
      <c r="I158" t="s">
        <v>157</v>
      </c>
      <c r="J158">
        <v>1991</v>
      </c>
      <c r="K158" s="28">
        <v>45246</v>
      </c>
      <c r="L158">
        <v>1010100</v>
      </c>
      <c r="M158" t="s">
        <v>29</v>
      </c>
      <c r="N158">
        <v>161</v>
      </c>
      <c r="O158" t="s">
        <v>145</v>
      </c>
      <c r="P158" t="s">
        <v>170</v>
      </c>
      <c r="Q158">
        <f t="shared" si="2"/>
        <v>642</v>
      </c>
      <c r="R158" t="str">
        <f>_xlfn.XLOOKUP(P158,'Painel Fertilizers'!$B:$B,'Painel Fertilizers'!$B:$B,0)</f>
        <v>TERRA FERTIL - MACHADO</v>
      </c>
    </row>
    <row r="159" spans="1:18" x14ac:dyDescent="0.25">
      <c r="A159">
        <v>9298</v>
      </c>
      <c r="B159" t="s">
        <v>170</v>
      </c>
      <c r="C159" t="s">
        <v>171</v>
      </c>
      <c r="D159" s="32">
        <v>54534.2</v>
      </c>
      <c r="E159">
        <v>1246115392</v>
      </c>
      <c r="F159" s="28">
        <v>45555</v>
      </c>
      <c r="H159" t="s">
        <v>156</v>
      </c>
      <c r="I159" t="s">
        <v>157</v>
      </c>
      <c r="J159">
        <v>1990</v>
      </c>
      <c r="K159" s="28">
        <v>45246</v>
      </c>
      <c r="L159">
        <v>1010100</v>
      </c>
      <c r="M159" t="s">
        <v>29</v>
      </c>
      <c r="N159">
        <v>161</v>
      </c>
      <c r="O159" t="s">
        <v>145</v>
      </c>
      <c r="P159" t="s">
        <v>170</v>
      </c>
      <c r="Q159">
        <f t="shared" si="2"/>
        <v>642</v>
      </c>
      <c r="R159" t="str">
        <f>_xlfn.XLOOKUP(P159,'Painel Fertilizers'!$B:$B,'Painel Fertilizers'!$B:$B,0)</f>
        <v>TERRA FERTIL - MACHADO</v>
      </c>
    </row>
    <row r="160" spans="1:18" x14ac:dyDescent="0.25">
      <c r="A160">
        <v>9298</v>
      </c>
      <c r="B160" t="s">
        <v>170</v>
      </c>
      <c r="C160" t="s">
        <v>171</v>
      </c>
      <c r="D160" s="32">
        <v>139293.64000000001</v>
      </c>
      <c r="E160">
        <v>1246105902</v>
      </c>
      <c r="F160" s="28">
        <v>45559</v>
      </c>
      <c r="H160" t="s">
        <v>156</v>
      </c>
      <c r="I160" t="s">
        <v>157</v>
      </c>
      <c r="J160">
        <v>1319</v>
      </c>
      <c r="K160" s="28">
        <v>45194</v>
      </c>
      <c r="L160">
        <v>1010100</v>
      </c>
      <c r="M160" t="s">
        <v>29</v>
      </c>
      <c r="N160">
        <v>161</v>
      </c>
      <c r="O160" t="s">
        <v>145</v>
      </c>
      <c r="P160" t="s">
        <v>170</v>
      </c>
      <c r="Q160">
        <f t="shared" si="2"/>
        <v>638</v>
      </c>
      <c r="R160" t="str">
        <f>_xlfn.XLOOKUP(P160,'Painel Fertilizers'!$B:$B,'Painel Fertilizers'!$B:$B,0)</f>
        <v>TERRA FERTIL - MACHADO</v>
      </c>
    </row>
    <row r="161" spans="1:18" x14ac:dyDescent="0.25">
      <c r="A161">
        <v>9298</v>
      </c>
      <c r="B161" t="s">
        <v>170</v>
      </c>
      <c r="C161" t="s">
        <v>171</v>
      </c>
      <c r="D161" s="32">
        <v>68013.36</v>
      </c>
      <c r="E161">
        <v>1246114866</v>
      </c>
      <c r="F161" s="28">
        <v>45555</v>
      </c>
      <c r="H161" t="s">
        <v>156</v>
      </c>
      <c r="I161" t="s">
        <v>157</v>
      </c>
      <c r="J161">
        <v>1952</v>
      </c>
      <c r="K161" s="28">
        <v>45243</v>
      </c>
      <c r="L161">
        <v>1010100</v>
      </c>
      <c r="M161" t="s">
        <v>29</v>
      </c>
      <c r="N161">
        <v>161</v>
      </c>
      <c r="O161" t="s">
        <v>145</v>
      </c>
      <c r="P161" t="s">
        <v>170</v>
      </c>
      <c r="Q161">
        <f t="shared" si="2"/>
        <v>642</v>
      </c>
      <c r="R161" t="str">
        <f>_xlfn.XLOOKUP(P161,'Painel Fertilizers'!$B:$B,'Painel Fertilizers'!$B:$B,0)</f>
        <v>TERRA FERTIL - MACHADO</v>
      </c>
    </row>
    <row r="162" spans="1:18" x14ac:dyDescent="0.25">
      <c r="A162">
        <v>9298</v>
      </c>
      <c r="B162" t="s">
        <v>170</v>
      </c>
      <c r="C162" t="s">
        <v>171</v>
      </c>
      <c r="D162" s="32">
        <v>55611.199999999997</v>
      </c>
      <c r="E162">
        <v>1246167304</v>
      </c>
      <c r="F162" s="28">
        <v>45555</v>
      </c>
      <c r="H162" t="s">
        <v>156</v>
      </c>
      <c r="I162" t="s">
        <v>157</v>
      </c>
      <c r="J162">
        <v>1244</v>
      </c>
      <c r="K162" s="28">
        <v>45189</v>
      </c>
      <c r="L162">
        <v>1010100</v>
      </c>
      <c r="M162" t="s">
        <v>29</v>
      </c>
      <c r="N162">
        <v>161</v>
      </c>
      <c r="O162" t="s">
        <v>145</v>
      </c>
      <c r="P162" t="s">
        <v>170</v>
      </c>
      <c r="Q162">
        <f t="shared" si="2"/>
        <v>642</v>
      </c>
      <c r="R162" t="str">
        <f>_xlfn.XLOOKUP(P162,'Painel Fertilizers'!$B:$B,'Painel Fertilizers'!$B:$B,0)</f>
        <v>TERRA FERTIL - MACHADO</v>
      </c>
    </row>
    <row r="163" spans="1:18" x14ac:dyDescent="0.25">
      <c r="A163">
        <v>9298</v>
      </c>
      <c r="B163" t="s">
        <v>170</v>
      </c>
      <c r="C163" t="s">
        <v>171</v>
      </c>
      <c r="D163" s="32">
        <v>104546.96</v>
      </c>
      <c r="E163">
        <v>1246244742</v>
      </c>
      <c r="F163" s="28">
        <v>45555</v>
      </c>
      <c r="H163" t="s">
        <v>156</v>
      </c>
      <c r="I163" t="s">
        <v>157</v>
      </c>
      <c r="J163">
        <v>20726</v>
      </c>
      <c r="K163" s="28">
        <v>44979</v>
      </c>
      <c r="L163">
        <v>1010100</v>
      </c>
      <c r="M163" t="s">
        <v>29</v>
      </c>
      <c r="N163">
        <v>161</v>
      </c>
      <c r="O163" t="s">
        <v>145</v>
      </c>
      <c r="P163" t="s">
        <v>170</v>
      </c>
      <c r="Q163">
        <f t="shared" si="2"/>
        <v>642</v>
      </c>
      <c r="R163" t="str">
        <f>_xlfn.XLOOKUP(P163,'Painel Fertilizers'!$B:$B,'Painel Fertilizers'!$B:$B,0)</f>
        <v>TERRA FERTIL - MACHADO</v>
      </c>
    </row>
    <row r="164" spans="1:18" x14ac:dyDescent="0.25">
      <c r="A164">
        <v>10454</v>
      </c>
      <c r="B164" t="s">
        <v>177</v>
      </c>
      <c r="C164" t="s">
        <v>178</v>
      </c>
      <c r="D164" s="32">
        <v>144418.20000000001</v>
      </c>
      <c r="E164">
        <v>1246051128</v>
      </c>
      <c r="F164" s="28">
        <v>45229</v>
      </c>
      <c r="H164" t="s">
        <v>156</v>
      </c>
      <c r="I164" t="s">
        <v>157</v>
      </c>
      <c r="J164">
        <v>19700</v>
      </c>
      <c r="K164" s="28">
        <v>44860</v>
      </c>
      <c r="L164">
        <v>1010100</v>
      </c>
      <c r="M164" t="s">
        <v>29</v>
      </c>
      <c r="N164">
        <v>161</v>
      </c>
      <c r="O164" t="s">
        <v>145</v>
      </c>
      <c r="P164" t="s">
        <v>177</v>
      </c>
      <c r="Q164">
        <f t="shared" si="2"/>
        <v>968</v>
      </c>
      <c r="R164" t="str">
        <f>_xlfn.XLOOKUP(P164,'Painel Fertilizers'!$B:$B,'Painel Fertilizers'!$B:$B,0)</f>
        <v>MOGIANA TECNO AGRO</v>
      </c>
    </row>
    <row r="165" spans="1:18" x14ac:dyDescent="0.25">
      <c r="A165">
        <v>10454</v>
      </c>
      <c r="B165" t="s">
        <v>177</v>
      </c>
      <c r="C165" t="s">
        <v>178</v>
      </c>
      <c r="D165" s="32">
        <v>144418.20000000001</v>
      </c>
      <c r="E165">
        <v>1246049220</v>
      </c>
      <c r="F165" s="28">
        <v>45229</v>
      </c>
      <c r="H165" t="s">
        <v>156</v>
      </c>
      <c r="I165" t="s">
        <v>157</v>
      </c>
      <c r="J165">
        <v>19589</v>
      </c>
      <c r="K165" s="28">
        <v>44852</v>
      </c>
      <c r="L165">
        <v>1010100</v>
      </c>
      <c r="M165" t="s">
        <v>29</v>
      </c>
      <c r="N165">
        <v>161</v>
      </c>
      <c r="O165" t="s">
        <v>145</v>
      </c>
      <c r="P165" t="s">
        <v>177</v>
      </c>
      <c r="Q165">
        <f t="shared" si="2"/>
        <v>968</v>
      </c>
      <c r="R165" t="str">
        <f>_xlfn.XLOOKUP(P165,'Painel Fertilizers'!$B:$B,'Painel Fertilizers'!$B:$B,0)</f>
        <v>MOGIANA TECNO AGRO</v>
      </c>
    </row>
    <row r="166" spans="1:18" x14ac:dyDescent="0.25">
      <c r="A166">
        <v>10454</v>
      </c>
      <c r="B166" t="s">
        <v>177</v>
      </c>
      <c r="C166" t="s">
        <v>178</v>
      </c>
      <c r="D166" s="32">
        <v>149099.07999999999</v>
      </c>
      <c r="E166">
        <v>1246058414</v>
      </c>
      <c r="F166" s="28">
        <v>45229</v>
      </c>
      <c r="H166" t="s">
        <v>156</v>
      </c>
      <c r="I166" t="s">
        <v>157</v>
      </c>
      <c r="J166">
        <v>20191</v>
      </c>
      <c r="K166" s="28">
        <v>44909</v>
      </c>
      <c r="L166">
        <v>1010100</v>
      </c>
      <c r="M166" t="s">
        <v>29</v>
      </c>
      <c r="N166">
        <v>161</v>
      </c>
      <c r="O166" t="s">
        <v>145</v>
      </c>
      <c r="P166" t="s">
        <v>177</v>
      </c>
      <c r="Q166">
        <f t="shared" si="2"/>
        <v>968</v>
      </c>
      <c r="R166" t="str">
        <f>_xlfn.XLOOKUP(P166,'Painel Fertilizers'!$B:$B,'Painel Fertilizers'!$B:$B,0)</f>
        <v>MOGIANA TECNO AGRO</v>
      </c>
    </row>
    <row r="167" spans="1:18" x14ac:dyDescent="0.25">
      <c r="A167">
        <v>10454</v>
      </c>
      <c r="B167" t="s">
        <v>177</v>
      </c>
      <c r="C167" t="s">
        <v>178</v>
      </c>
      <c r="D167" s="32">
        <v>151022.07999999999</v>
      </c>
      <c r="E167">
        <v>1246066481</v>
      </c>
      <c r="F167" s="28">
        <v>45229</v>
      </c>
      <c r="H167" t="s">
        <v>156</v>
      </c>
      <c r="I167" t="s">
        <v>157</v>
      </c>
      <c r="J167">
        <v>20644</v>
      </c>
      <c r="K167" s="28">
        <v>44965</v>
      </c>
      <c r="L167">
        <v>1010100</v>
      </c>
      <c r="M167" t="s">
        <v>29</v>
      </c>
      <c r="N167">
        <v>161</v>
      </c>
      <c r="O167" t="s">
        <v>145</v>
      </c>
      <c r="P167" t="s">
        <v>177</v>
      </c>
      <c r="Q167">
        <f t="shared" si="2"/>
        <v>968</v>
      </c>
      <c r="R167" t="str">
        <f>_xlfn.XLOOKUP(P167,'Painel Fertilizers'!$B:$B,'Painel Fertilizers'!$B:$B,0)</f>
        <v>MOGIANA TECNO AGRO</v>
      </c>
    </row>
    <row r="168" spans="1:18" x14ac:dyDescent="0.25">
      <c r="A168">
        <v>10454</v>
      </c>
      <c r="B168" t="s">
        <v>177</v>
      </c>
      <c r="C168" t="s">
        <v>178</v>
      </c>
      <c r="D168" s="32">
        <v>248498.47</v>
      </c>
      <c r="E168">
        <v>1246058556</v>
      </c>
      <c r="F168" s="28">
        <v>45229</v>
      </c>
      <c r="H168" t="s">
        <v>156</v>
      </c>
      <c r="I168" t="s">
        <v>157</v>
      </c>
      <c r="J168">
        <v>20197</v>
      </c>
      <c r="K168" s="28">
        <v>44909</v>
      </c>
      <c r="L168">
        <v>1010100</v>
      </c>
      <c r="M168" t="s">
        <v>29</v>
      </c>
      <c r="N168">
        <v>161</v>
      </c>
      <c r="O168" t="s">
        <v>145</v>
      </c>
      <c r="P168" t="s">
        <v>177</v>
      </c>
      <c r="Q168">
        <f t="shared" si="2"/>
        <v>968</v>
      </c>
      <c r="R168" t="str">
        <f>_xlfn.XLOOKUP(P168,'Painel Fertilizers'!$B:$B,'Painel Fertilizers'!$B:$B,0)</f>
        <v>MOGIANA TECNO AGRO</v>
      </c>
    </row>
    <row r="169" spans="1:18" x14ac:dyDescent="0.25">
      <c r="A169">
        <v>10454</v>
      </c>
      <c r="B169" t="s">
        <v>177</v>
      </c>
      <c r="C169" t="s">
        <v>178</v>
      </c>
      <c r="D169" s="32">
        <v>122816.13</v>
      </c>
      <c r="E169">
        <v>1246065495</v>
      </c>
      <c r="F169" s="28">
        <v>45229</v>
      </c>
      <c r="H169" t="s">
        <v>156</v>
      </c>
      <c r="I169" t="s">
        <v>157</v>
      </c>
      <c r="J169">
        <v>20599</v>
      </c>
      <c r="K169" s="28">
        <v>44958</v>
      </c>
      <c r="L169">
        <v>1010100</v>
      </c>
      <c r="M169" t="s">
        <v>29</v>
      </c>
      <c r="N169">
        <v>161</v>
      </c>
      <c r="O169" t="s">
        <v>145</v>
      </c>
      <c r="P169" t="s">
        <v>177</v>
      </c>
      <c r="Q169">
        <f t="shared" si="2"/>
        <v>968</v>
      </c>
      <c r="R169" t="str">
        <f>_xlfn.XLOOKUP(P169,'Painel Fertilizers'!$B:$B,'Painel Fertilizers'!$B:$B,0)</f>
        <v>MOGIANA TECNO AGRO</v>
      </c>
    </row>
    <row r="170" spans="1:18" x14ac:dyDescent="0.25">
      <c r="A170">
        <v>10454</v>
      </c>
      <c r="B170" t="s">
        <v>177</v>
      </c>
      <c r="C170" t="s">
        <v>178</v>
      </c>
      <c r="D170" s="32">
        <v>97567.15</v>
      </c>
      <c r="E170">
        <v>1246059110</v>
      </c>
      <c r="F170" s="28">
        <v>45229</v>
      </c>
      <c r="H170" t="s">
        <v>156</v>
      </c>
      <c r="I170" t="s">
        <v>157</v>
      </c>
      <c r="J170">
        <v>20229</v>
      </c>
      <c r="K170" s="28">
        <v>44911</v>
      </c>
      <c r="L170">
        <v>1010100</v>
      </c>
      <c r="M170" t="s">
        <v>29</v>
      </c>
      <c r="N170">
        <v>161</v>
      </c>
      <c r="O170" t="s">
        <v>145</v>
      </c>
      <c r="P170" t="s">
        <v>177</v>
      </c>
      <c r="Q170">
        <f t="shared" si="2"/>
        <v>968</v>
      </c>
      <c r="R170" t="str">
        <f>_xlfn.XLOOKUP(P170,'Painel Fertilizers'!$B:$B,'Painel Fertilizers'!$B:$B,0)</f>
        <v>MOGIANA TECNO AGRO</v>
      </c>
    </row>
    <row r="171" spans="1:18" x14ac:dyDescent="0.25">
      <c r="A171">
        <v>10454</v>
      </c>
      <c r="B171" t="s">
        <v>177</v>
      </c>
      <c r="C171" t="s">
        <v>178</v>
      </c>
      <c r="D171" s="32">
        <v>145199.79999999999</v>
      </c>
      <c r="E171">
        <v>1246057926</v>
      </c>
      <c r="F171" s="28">
        <v>45229</v>
      </c>
      <c r="H171" t="s">
        <v>156</v>
      </c>
      <c r="I171" t="s">
        <v>157</v>
      </c>
      <c r="J171">
        <v>20177</v>
      </c>
      <c r="K171" s="28">
        <v>44907</v>
      </c>
      <c r="L171">
        <v>1010100</v>
      </c>
      <c r="M171" t="s">
        <v>29</v>
      </c>
      <c r="N171">
        <v>161</v>
      </c>
      <c r="O171" t="s">
        <v>145</v>
      </c>
      <c r="P171" t="s">
        <v>177</v>
      </c>
      <c r="Q171">
        <f t="shared" si="2"/>
        <v>968</v>
      </c>
      <c r="R171" t="str">
        <f>_xlfn.XLOOKUP(P171,'Painel Fertilizers'!$B:$B,'Painel Fertilizers'!$B:$B,0)</f>
        <v>MOGIANA TECNO AGRO</v>
      </c>
    </row>
    <row r="172" spans="1:18" x14ac:dyDescent="0.25">
      <c r="A172">
        <v>10454</v>
      </c>
      <c r="B172" t="s">
        <v>177</v>
      </c>
      <c r="C172" t="s">
        <v>178</v>
      </c>
      <c r="D172" s="32">
        <v>85824.21</v>
      </c>
      <c r="E172">
        <v>1246058924</v>
      </c>
      <c r="F172" s="28">
        <v>45229</v>
      </c>
      <c r="H172" t="s">
        <v>156</v>
      </c>
      <c r="I172" t="s">
        <v>157</v>
      </c>
      <c r="J172">
        <v>20209</v>
      </c>
      <c r="K172" s="28">
        <v>44910</v>
      </c>
      <c r="L172">
        <v>1010100</v>
      </c>
      <c r="M172" t="s">
        <v>29</v>
      </c>
      <c r="N172">
        <v>161</v>
      </c>
      <c r="O172" t="s">
        <v>145</v>
      </c>
      <c r="P172" t="s">
        <v>177</v>
      </c>
      <c r="Q172">
        <f t="shared" si="2"/>
        <v>968</v>
      </c>
      <c r="R172" t="str">
        <f>_xlfn.XLOOKUP(P172,'Painel Fertilizers'!$B:$B,'Painel Fertilizers'!$B:$B,0)</f>
        <v>MOGIANA TECNO AGRO</v>
      </c>
    </row>
    <row r="173" spans="1:18" x14ac:dyDescent="0.25">
      <c r="A173">
        <v>10454</v>
      </c>
      <c r="B173" t="s">
        <v>177</v>
      </c>
      <c r="C173" t="s">
        <v>178</v>
      </c>
      <c r="D173" s="32">
        <v>154779.14000000001</v>
      </c>
      <c r="E173">
        <v>1246058289</v>
      </c>
      <c r="F173" s="28">
        <v>45229</v>
      </c>
      <c r="H173" t="s">
        <v>156</v>
      </c>
      <c r="I173" t="s">
        <v>157</v>
      </c>
      <c r="J173">
        <v>20187</v>
      </c>
      <c r="K173" s="28">
        <v>44908</v>
      </c>
      <c r="L173">
        <v>1010100</v>
      </c>
      <c r="M173" t="s">
        <v>29</v>
      </c>
      <c r="N173">
        <v>161</v>
      </c>
      <c r="O173" t="s">
        <v>145</v>
      </c>
      <c r="P173" t="s">
        <v>177</v>
      </c>
      <c r="Q173">
        <f t="shared" si="2"/>
        <v>968</v>
      </c>
      <c r="R173" t="str">
        <f>_xlfn.XLOOKUP(P173,'Painel Fertilizers'!$B:$B,'Painel Fertilizers'!$B:$B,0)</f>
        <v>MOGIANA TECNO AGRO</v>
      </c>
    </row>
    <row r="174" spans="1:18" x14ac:dyDescent="0.25">
      <c r="A174">
        <v>10454</v>
      </c>
      <c r="B174" t="s">
        <v>177</v>
      </c>
      <c r="C174" t="s">
        <v>178</v>
      </c>
      <c r="D174" s="32">
        <v>166124.28999999998</v>
      </c>
      <c r="E174">
        <v>1246066059</v>
      </c>
      <c r="F174" s="28">
        <v>45229</v>
      </c>
      <c r="H174" t="s">
        <v>156</v>
      </c>
      <c r="I174" t="s">
        <v>157</v>
      </c>
      <c r="J174">
        <v>20622</v>
      </c>
      <c r="K174" s="28">
        <v>44963</v>
      </c>
      <c r="L174">
        <v>1010100</v>
      </c>
      <c r="M174" t="s">
        <v>29</v>
      </c>
      <c r="N174">
        <v>161</v>
      </c>
      <c r="O174" t="s">
        <v>145</v>
      </c>
      <c r="P174" t="s">
        <v>177</v>
      </c>
      <c r="Q174">
        <f t="shared" si="2"/>
        <v>968</v>
      </c>
      <c r="R174" t="str">
        <f>_xlfn.XLOOKUP(P174,'Painel Fertilizers'!$B:$B,'Painel Fertilizers'!$B:$B,0)</f>
        <v>MOGIANA TECNO AGRO</v>
      </c>
    </row>
    <row r="175" spans="1:18" x14ac:dyDescent="0.25">
      <c r="A175">
        <v>10454</v>
      </c>
      <c r="B175" t="s">
        <v>177</v>
      </c>
      <c r="C175" t="s">
        <v>178</v>
      </c>
      <c r="D175" s="32">
        <v>151240.47</v>
      </c>
      <c r="E175">
        <v>1246059634</v>
      </c>
      <c r="F175" s="28">
        <v>45229</v>
      </c>
      <c r="H175" t="s">
        <v>156</v>
      </c>
      <c r="I175" t="s">
        <v>157</v>
      </c>
      <c r="J175">
        <v>20268</v>
      </c>
      <c r="K175" s="28">
        <v>44916</v>
      </c>
      <c r="L175">
        <v>1010100</v>
      </c>
      <c r="M175" t="s">
        <v>29</v>
      </c>
      <c r="N175">
        <v>161</v>
      </c>
      <c r="O175" t="s">
        <v>145</v>
      </c>
      <c r="P175" t="s">
        <v>177</v>
      </c>
      <c r="Q175">
        <f t="shared" si="2"/>
        <v>968</v>
      </c>
      <c r="R175" t="str">
        <f>_xlfn.XLOOKUP(P175,'Painel Fertilizers'!$B:$B,'Painel Fertilizers'!$B:$B,0)</f>
        <v>MOGIANA TECNO AGRO</v>
      </c>
    </row>
    <row r="176" spans="1:18" x14ac:dyDescent="0.25">
      <c r="A176">
        <v>10454</v>
      </c>
      <c r="B176" t="s">
        <v>177</v>
      </c>
      <c r="C176" t="s">
        <v>178</v>
      </c>
      <c r="D176" s="32">
        <v>102193.68</v>
      </c>
      <c r="E176">
        <v>1246216830</v>
      </c>
      <c r="F176" s="28">
        <v>45168</v>
      </c>
      <c r="H176" t="s">
        <v>156</v>
      </c>
      <c r="I176" t="s">
        <v>157</v>
      </c>
      <c r="J176">
        <v>19263</v>
      </c>
      <c r="K176" s="28">
        <v>44824</v>
      </c>
      <c r="L176">
        <v>1010100</v>
      </c>
      <c r="M176" t="s">
        <v>29</v>
      </c>
      <c r="N176">
        <v>161</v>
      </c>
      <c r="O176" t="s">
        <v>145</v>
      </c>
      <c r="P176" t="s">
        <v>177</v>
      </c>
      <c r="Q176">
        <f t="shared" si="2"/>
        <v>1029</v>
      </c>
      <c r="R176" t="str">
        <f>_xlfn.XLOOKUP(P176,'Painel Fertilizers'!$B:$B,'Painel Fertilizers'!$B:$B,0)</f>
        <v>MOGIANA TECNO AGRO</v>
      </c>
    </row>
    <row r="177" spans="1:18" x14ac:dyDescent="0.25">
      <c r="A177">
        <v>11326</v>
      </c>
      <c r="B177" t="s">
        <v>179</v>
      </c>
      <c r="C177" t="s">
        <v>180</v>
      </c>
      <c r="D177" s="32">
        <v>131680</v>
      </c>
      <c r="E177">
        <v>1246234342</v>
      </c>
      <c r="F177" s="28">
        <v>46264</v>
      </c>
      <c r="H177" t="s">
        <v>156</v>
      </c>
      <c r="I177" t="s">
        <v>157</v>
      </c>
      <c r="J177">
        <v>9141</v>
      </c>
      <c r="K177" s="28">
        <v>45901</v>
      </c>
      <c r="L177">
        <v>1010100</v>
      </c>
      <c r="M177" t="s">
        <v>29</v>
      </c>
      <c r="N177">
        <v>161</v>
      </c>
      <c r="O177" t="s">
        <v>145</v>
      </c>
      <c r="P177" t="s">
        <v>179</v>
      </c>
      <c r="Q177">
        <f t="shared" si="2"/>
        <v>-67</v>
      </c>
      <c r="R177" t="str">
        <f>_xlfn.XLOOKUP(P177,'Painel Fertilizers'!$B:$B,'Painel Fertilizers'!$B:$B,0)</f>
        <v>VEGA AGRO</v>
      </c>
    </row>
    <row r="178" spans="1:18" x14ac:dyDescent="0.25">
      <c r="A178">
        <v>10456</v>
      </c>
      <c r="B178" t="s">
        <v>181</v>
      </c>
      <c r="C178" t="s">
        <v>182</v>
      </c>
      <c r="D178" s="32">
        <v>111322.27</v>
      </c>
      <c r="E178">
        <v>1246093334</v>
      </c>
      <c r="F178" s="28">
        <v>45537</v>
      </c>
      <c r="H178" t="s">
        <v>156</v>
      </c>
      <c r="I178" t="s">
        <v>157</v>
      </c>
      <c r="J178">
        <v>251</v>
      </c>
      <c r="K178" s="28">
        <v>45127</v>
      </c>
      <c r="L178">
        <v>1010100</v>
      </c>
      <c r="M178" t="s">
        <v>29</v>
      </c>
      <c r="N178">
        <v>161</v>
      </c>
      <c r="O178" t="s">
        <v>145</v>
      </c>
      <c r="P178" t="s">
        <v>181</v>
      </c>
      <c r="Q178">
        <f t="shared" si="2"/>
        <v>660</v>
      </c>
      <c r="R178" t="str">
        <f>_xlfn.XLOOKUP(P178,'Painel Fertilizers'!$B:$B,'Painel Fertilizers'!$B:$B,0)</f>
        <v>CASA DAS SEMENTES</v>
      </c>
    </row>
    <row r="179" spans="1:18" x14ac:dyDescent="0.25">
      <c r="A179">
        <v>10456</v>
      </c>
      <c r="B179" t="s">
        <v>181</v>
      </c>
      <c r="C179" t="s">
        <v>182</v>
      </c>
      <c r="D179" s="32">
        <v>118491.86</v>
      </c>
      <c r="E179">
        <v>1246097861</v>
      </c>
      <c r="F179" s="28">
        <v>45565</v>
      </c>
      <c r="H179" t="s">
        <v>156</v>
      </c>
      <c r="I179" t="s">
        <v>157</v>
      </c>
      <c r="J179">
        <v>683</v>
      </c>
      <c r="K179" s="28">
        <v>45152</v>
      </c>
      <c r="L179">
        <v>1010100</v>
      </c>
      <c r="M179" t="s">
        <v>29</v>
      </c>
      <c r="N179">
        <v>161</v>
      </c>
      <c r="O179" t="s">
        <v>145</v>
      </c>
      <c r="P179" t="s">
        <v>181</v>
      </c>
      <c r="Q179">
        <f t="shared" si="2"/>
        <v>632</v>
      </c>
      <c r="R179" t="str">
        <f>_xlfn.XLOOKUP(P179,'Painel Fertilizers'!$B:$B,'Painel Fertilizers'!$B:$B,0)</f>
        <v>CASA DAS SEMENTES</v>
      </c>
    </row>
    <row r="180" spans="1:18" x14ac:dyDescent="0.25">
      <c r="A180">
        <v>10456</v>
      </c>
      <c r="B180" t="s">
        <v>181</v>
      </c>
      <c r="C180" t="s">
        <v>182</v>
      </c>
      <c r="D180" s="32">
        <v>117498.04</v>
      </c>
      <c r="E180">
        <v>1246099432</v>
      </c>
      <c r="F180" s="28">
        <v>45545</v>
      </c>
      <c r="H180" t="s">
        <v>156</v>
      </c>
      <c r="I180" t="s">
        <v>157</v>
      </c>
      <c r="J180">
        <v>787</v>
      </c>
      <c r="K180" s="28">
        <v>45160</v>
      </c>
      <c r="L180">
        <v>1010100</v>
      </c>
      <c r="M180" t="s">
        <v>29</v>
      </c>
      <c r="N180">
        <v>161</v>
      </c>
      <c r="O180" t="s">
        <v>145</v>
      </c>
      <c r="P180" t="s">
        <v>181</v>
      </c>
      <c r="Q180">
        <f t="shared" si="2"/>
        <v>652</v>
      </c>
      <c r="R180" t="str">
        <f>_xlfn.XLOOKUP(P180,'Painel Fertilizers'!$B:$B,'Painel Fertilizers'!$B:$B,0)</f>
        <v>CASA DAS SEMENTES</v>
      </c>
    </row>
    <row r="181" spans="1:18" x14ac:dyDescent="0.25">
      <c r="A181">
        <v>10456</v>
      </c>
      <c r="B181" t="s">
        <v>181</v>
      </c>
      <c r="C181" t="s">
        <v>182</v>
      </c>
      <c r="D181" s="32">
        <v>100560.82</v>
      </c>
      <c r="E181">
        <v>1246100417</v>
      </c>
      <c r="F181" s="28">
        <v>45548</v>
      </c>
      <c r="H181" t="s">
        <v>156</v>
      </c>
      <c r="I181" t="s">
        <v>157</v>
      </c>
      <c r="J181">
        <v>183</v>
      </c>
      <c r="K181" s="28">
        <v>45163</v>
      </c>
      <c r="L181">
        <v>1010100</v>
      </c>
      <c r="M181" t="s">
        <v>29</v>
      </c>
      <c r="N181">
        <v>161</v>
      </c>
      <c r="O181" t="s">
        <v>145</v>
      </c>
      <c r="P181" t="s">
        <v>181</v>
      </c>
      <c r="Q181">
        <f t="shared" si="2"/>
        <v>649</v>
      </c>
      <c r="R181" t="str">
        <f>_xlfn.XLOOKUP(P181,'Painel Fertilizers'!$B:$B,'Painel Fertilizers'!$B:$B,0)</f>
        <v>CASA DAS SEMENTES</v>
      </c>
    </row>
    <row r="182" spans="1:18" x14ac:dyDescent="0.25">
      <c r="A182">
        <v>10456</v>
      </c>
      <c r="B182" t="s">
        <v>181</v>
      </c>
      <c r="C182" t="s">
        <v>182</v>
      </c>
      <c r="D182" s="32">
        <v>61416.78</v>
      </c>
      <c r="E182">
        <v>1246065449</v>
      </c>
      <c r="F182" s="28">
        <v>45199</v>
      </c>
      <c r="H182" t="s">
        <v>156</v>
      </c>
      <c r="I182" t="s">
        <v>157</v>
      </c>
      <c r="J182">
        <v>20596</v>
      </c>
      <c r="K182" s="28">
        <v>44958</v>
      </c>
      <c r="L182">
        <v>1010100</v>
      </c>
      <c r="M182" t="s">
        <v>29</v>
      </c>
      <c r="N182">
        <v>161</v>
      </c>
      <c r="O182" t="s">
        <v>145</v>
      </c>
      <c r="P182" t="s">
        <v>181</v>
      </c>
      <c r="Q182">
        <f t="shared" si="2"/>
        <v>998</v>
      </c>
      <c r="R182" t="str">
        <f>_xlfn.XLOOKUP(P182,'Painel Fertilizers'!$B:$B,'Painel Fertilizers'!$B:$B,0)</f>
        <v>CASA DAS SEMENTES</v>
      </c>
    </row>
    <row r="183" spans="1:18" x14ac:dyDescent="0.25">
      <c r="A183">
        <v>10456</v>
      </c>
      <c r="B183" t="s">
        <v>181</v>
      </c>
      <c r="C183" t="s">
        <v>182</v>
      </c>
      <c r="D183" s="32">
        <v>106537.82</v>
      </c>
      <c r="E183">
        <v>1246110763</v>
      </c>
      <c r="F183" s="28">
        <v>45534</v>
      </c>
      <c r="H183" t="s">
        <v>156</v>
      </c>
      <c r="I183" t="s">
        <v>157</v>
      </c>
      <c r="J183">
        <v>1702</v>
      </c>
      <c r="K183" s="28">
        <v>45222</v>
      </c>
      <c r="L183">
        <v>1010100</v>
      </c>
      <c r="M183" t="s">
        <v>29</v>
      </c>
      <c r="N183">
        <v>161</v>
      </c>
      <c r="O183" t="s">
        <v>145</v>
      </c>
      <c r="P183" t="s">
        <v>181</v>
      </c>
      <c r="Q183">
        <f t="shared" si="2"/>
        <v>663</v>
      </c>
      <c r="R183" t="str">
        <f>_xlfn.XLOOKUP(P183,'Painel Fertilizers'!$B:$B,'Painel Fertilizers'!$B:$B,0)</f>
        <v>CASA DAS SEMENTES</v>
      </c>
    </row>
    <row r="184" spans="1:18" x14ac:dyDescent="0.25">
      <c r="A184">
        <v>10456</v>
      </c>
      <c r="B184" t="s">
        <v>181</v>
      </c>
      <c r="C184" t="s">
        <v>182</v>
      </c>
      <c r="D184" s="32">
        <v>110173.77</v>
      </c>
      <c r="E184">
        <v>1246067444</v>
      </c>
      <c r="F184" s="28">
        <v>45199</v>
      </c>
      <c r="H184" t="s">
        <v>156</v>
      </c>
      <c r="I184" t="s">
        <v>157</v>
      </c>
      <c r="J184">
        <v>20680</v>
      </c>
      <c r="K184" s="28">
        <v>44971</v>
      </c>
      <c r="L184">
        <v>1010100</v>
      </c>
      <c r="M184" t="s">
        <v>29</v>
      </c>
      <c r="N184">
        <v>161</v>
      </c>
      <c r="O184" t="s">
        <v>145</v>
      </c>
      <c r="P184" t="s">
        <v>181</v>
      </c>
      <c r="Q184">
        <f t="shared" si="2"/>
        <v>998</v>
      </c>
      <c r="R184" t="str">
        <f>_xlfn.XLOOKUP(P184,'Painel Fertilizers'!$B:$B,'Painel Fertilizers'!$B:$B,0)</f>
        <v>CASA DAS SEMENTES</v>
      </c>
    </row>
    <row r="185" spans="1:18" x14ac:dyDescent="0.25">
      <c r="A185">
        <v>10456</v>
      </c>
      <c r="B185" t="s">
        <v>181</v>
      </c>
      <c r="C185" t="s">
        <v>182</v>
      </c>
      <c r="D185" s="32">
        <v>153644.62</v>
      </c>
      <c r="E185">
        <v>1246066037</v>
      </c>
      <c r="F185" s="28">
        <v>45199</v>
      </c>
      <c r="H185" t="s">
        <v>156</v>
      </c>
      <c r="I185" t="s">
        <v>157</v>
      </c>
      <c r="J185">
        <v>20619</v>
      </c>
      <c r="K185" s="28">
        <v>44963</v>
      </c>
      <c r="L185">
        <v>1010100</v>
      </c>
      <c r="M185" t="s">
        <v>29</v>
      </c>
      <c r="N185">
        <v>161</v>
      </c>
      <c r="O185" t="s">
        <v>145</v>
      </c>
      <c r="P185" t="s">
        <v>181</v>
      </c>
      <c r="Q185">
        <f t="shared" si="2"/>
        <v>998</v>
      </c>
      <c r="R185" t="str">
        <f>_xlfn.XLOOKUP(P185,'Painel Fertilizers'!$B:$B,'Painel Fertilizers'!$B:$B,0)</f>
        <v>CASA DAS SEMENTES</v>
      </c>
    </row>
    <row r="186" spans="1:18" x14ac:dyDescent="0.25">
      <c r="A186">
        <v>10456</v>
      </c>
      <c r="B186" t="s">
        <v>181</v>
      </c>
      <c r="C186" t="s">
        <v>182</v>
      </c>
      <c r="D186" s="32">
        <v>121627.64</v>
      </c>
      <c r="E186">
        <v>1246061337</v>
      </c>
      <c r="F186" s="28">
        <v>45199</v>
      </c>
      <c r="H186" t="s">
        <v>156</v>
      </c>
      <c r="I186" t="s">
        <v>157</v>
      </c>
      <c r="J186">
        <v>20371</v>
      </c>
      <c r="K186" s="28">
        <v>44930</v>
      </c>
      <c r="L186">
        <v>1010100</v>
      </c>
      <c r="M186" t="s">
        <v>29</v>
      </c>
      <c r="N186">
        <v>161</v>
      </c>
      <c r="O186" t="s">
        <v>145</v>
      </c>
      <c r="P186" t="s">
        <v>181</v>
      </c>
      <c r="Q186">
        <f t="shared" si="2"/>
        <v>998</v>
      </c>
      <c r="R186" t="str">
        <f>_xlfn.XLOOKUP(P186,'Painel Fertilizers'!$B:$B,'Painel Fertilizers'!$B:$B,0)</f>
        <v>CASA DAS SEMENTES</v>
      </c>
    </row>
    <row r="187" spans="1:18" x14ac:dyDescent="0.25">
      <c r="A187">
        <v>10456</v>
      </c>
      <c r="B187" t="s">
        <v>181</v>
      </c>
      <c r="C187" t="s">
        <v>182</v>
      </c>
      <c r="D187" s="32">
        <v>119763.56</v>
      </c>
      <c r="E187">
        <v>1246107272</v>
      </c>
      <c r="F187" s="28">
        <v>45536</v>
      </c>
      <c r="H187" t="s">
        <v>156</v>
      </c>
      <c r="I187" t="s">
        <v>157</v>
      </c>
      <c r="J187">
        <v>1444</v>
      </c>
      <c r="K187" s="28">
        <v>45201</v>
      </c>
      <c r="L187">
        <v>1010100</v>
      </c>
      <c r="M187" t="s">
        <v>29</v>
      </c>
      <c r="N187">
        <v>161</v>
      </c>
      <c r="O187" t="s">
        <v>145</v>
      </c>
      <c r="P187" t="s">
        <v>181</v>
      </c>
      <c r="Q187">
        <f t="shared" si="2"/>
        <v>661</v>
      </c>
      <c r="R187" t="str">
        <f>_xlfn.XLOOKUP(P187,'Painel Fertilizers'!$B:$B,'Painel Fertilizers'!$B:$B,0)</f>
        <v>CASA DAS SEMENTES</v>
      </c>
    </row>
    <row r="188" spans="1:18" x14ac:dyDescent="0.25">
      <c r="A188">
        <v>10456</v>
      </c>
      <c r="B188" t="s">
        <v>181</v>
      </c>
      <c r="C188" t="s">
        <v>182</v>
      </c>
      <c r="D188" s="32">
        <v>129996.55</v>
      </c>
      <c r="E188">
        <v>1246063009</v>
      </c>
      <c r="F188" s="28">
        <v>45199</v>
      </c>
      <c r="H188" t="s">
        <v>156</v>
      </c>
      <c r="I188" t="s">
        <v>157</v>
      </c>
      <c r="J188">
        <v>20458</v>
      </c>
      <c r="K188" s="28">
        <v>44943</v>
      </c>
      <c r="L188">
        <v>1010100</v>
      </c>
      <c r="M188" t="s">
        <v>29</v>
      </c>
      <c r="N188">
        <v>161</v>
      </c>
      <c r="O188" t="s">
        <v>145</v>
      </c>
      <c r="P188" t="s">
        <v>181</v>
      </c>
      <c r="Q188">
        <f t="shared" ref="Q188:Q245" si="4">$R$1-F188</f>
        <v>998</v>
      </c>
      <c r="R188" t="str">
        <f>_xlfn.XLOOKUP(P188,'Painel Fertilizers'!$B:$B,'Painel Fertilizers'!$B:$B,0)</f>
        <v>CASA DAS SEMENTES</v>
      </c>
    </row>
    <row r="189" spans="1:18" x14ac:dyDescent="0.25">
      <c r="A189">
        <v>10456</v>
      </c>
      <c r="B189" t="s">
        <v>181</v>
      </c>
      <c r="C189" t="s">
        <v>182</v>
      </c>
      <c r="D189" s="32">
        <v>61021.61</v>
      </c>
      <c r="E189">
        <v>1246063058</v>
      </c>
      <c r="F189" s="28">
        <v>45199</v>
      </c>
      <c r="H189" t="s">
        <v>156</v>
      </c>
      <c r="I189" t="s">
        <v>157</v>
      </c>
      <c r="J189">
        <v>20480</v>
      </c>
      <c r="K189" s="28">
        <v>44943</v>
      </c>
      <c r="L189">
        <v>1010100</v>
      </c>
      <c r="M189" t="s">
        <v>29</v>
      </c>
      <c r="N189">
        <v>161</v>
      </c>
      <c r="O189" t="s">
        <v>145</v>
      </c>
      <c r="P189" t="s">
        <v>181</v>
      </c>
      <c r="Q189">
        <f t="shared" si="4"/>
        <v>998</v>
      </c>
      <c r="R189" t="str">
        <f>_xlfn.XLOOKUP(P189,'Painel Fertilizers'!$B:$B,'Painel Fertilizers'!$B:$B,0)</f>
        <v>CASA DAS SEMENTES</v>
      </c>
    </row>
    <row r="190" spans="1:18" x14ac:dyDescent="0.25">
      <c r="A190">
        <v>10456</v>
      </c>
      <c r="B190" t="s">
        <v>181</v>
      </c>
      <c r="C190" t="s">
        <v>182</v>
      </c>
      <c r="D190" s="32">
        <v>111090.76</v>
      </c>
      <c r="E190">
        <v>1246063995</v>
      </c>
      <c r="F190" s="28">
        <v>45199</v>
      </c>
      <c r="H190" t="s">
        <v>156</v>
      </c>
      <c r="I190" t="s">
        <v>157</v>
      </c>
      <c r="J190">
        <v>20513</v>
      </c>
      <c r="K190" s="28">
        <v>44949</v>
      </c>
      <c r="L190">
        <v>1010100</v>
      </c>
      <c r="M190" t="s">
        <v>29</v>
      </c>
      <c r="N190">
        <v>161</v>
      </c>
      <c r="O190" t="s">
        <v>145</v>
      </c>
      <c r="P190" t="s">
        <v>181</v>
      </c>
      <c r="Q190">
        <f t="shared" si="4"/>
        <v>998</v>
      </c>
      <c r="R190" t="str">
        <f>_xlfn.XLOOKUP(P190,'Painel Fertilizers'!$B:$B,'Painel Fertilizers'!$B:$B,0)</f>
        <v>CASA DAS SEMENTES</v>
      </c>
    </row>
    <row r="191" spans="1:18" x14ac:dyDescent="0.25">
      <c r="A191">
        <v>10456</v>
      </c>
      <c r="B191" t="s">
        <v>181</v>
      </c>
      <c r="C191" t="s">
        <v>182</v>
      </c>
      <c r="D191" s="32">
        <v>110522.5</v>
      </c>
      <c r="E191">
        <v>1246106689</v>
      </c>
      <c r="F191" s="28">
        <v>45557</v>
      </c>
      <c r="H191" t="s">
        <v>156</v>
      </c>
      <c r="I191" t="s">
        <v>157</v>
      </c>
      <c r="J191">
        <v>1400</v>
      </c>
      <c r="K191" s="28">
        <v>45197</v>
      </c>
      <c r="L191">
        <v>1010100</v>
      </c>
      <c r="M191" t="s">
        <v>29</v>
      </c>
      <c r="N191">
        <v>161</v>
      </c>
      <c r="O191" t="s">
        <v>145</v>
      </c>
      <c r="P191" t="s">
        <v>181</v>
      </c>
      <c r="Q191">
        <f t="shared" si="4"/>
        <v>640</v>
      </c>
      <c r="R191" t="str">
        <f>_xlfn.XLOOKUP(P191,'Painel Fertilizers'!$B:$B,'Painel Fertilizers'!$B:$B,0)</f>
        <v>CASA DAS SEMENTES</v>
      </c>
    </row>
    <row r="192" spans="1:18" x14ac:dyDescent="0.25">
      <c r="A192">
        <v>10456</v>
      </c>
      <c r="B192" t="s">
        <v>181</v>
      </c>
      <c r="C192" t="s">
        <v>182</v>
      </c>
      <c r="D192" s="32">
        <v>94275.76</v>
      </c>
      <c r="E192">
        <v>1246103838</v>
      </c>
      <c r="F192" s="28">
        <v>45543</v>
      </c>
      <c r="H192" t="s">
        <v>156</v>
      </c>
      <c r="I192" t="s">
        <v>157</v>
      </c>
      <c r="J192">
        <v>1159</v>
      </c>
      <c r="K192" s="28">
        <v>45183</v>
      </c>
      <c r="L192">
        <v>1010100</v>
      </c>
      <c r="M192" t="s">
        <v>29</v>
      </c>
      <c r="N192">
        <v>161</v>
      </c>
      <c r="O192" t="s">
        <v>145</v>
      </c>
      <c r="P192" t="s">
        <v>181</v>
      </c>
      <c r="Q192">
        <f t="shared" si="4"/>
        <v>654</v>
      </c>
      <c r="R192" t="str">
        <f>_xlfn.XLOOKUP(P192,'Painel Fertilizers'!$B:$B,'Painel Fertilizers'!$B:$B,0)</f>
        <v>CASA DAS SEMENTES</v>
      </c>
    </row>
    <row r="193" spans="1:18" x14ac:dyDescent="0.25">
      <c r="A193">
        <v>10456</v>
      </c>
      <c r="B193" t="s">
        <v>181</v>
      </c>
      <c r="C193" t="s">
        <v>182</v>
      </c>
      <c r="D193" s="32">
        <v>74904.38</v>
      </c>
      <c r="E193">
        <v>1246269261</v>
      </c>
      <c r="F193" s="28">
        <v>45199</v>
      </c>
      <c r="H193" t="s">
        <v>156</v>
      </c>
      <c r="I193" t="s">
        <v>157</v>
      </c>
      <c r="J193">
        <v>20898</v>
      </c>
      <c r="K193" s="28">
        <v>45000</v>
      </c>
      <c r="L193">
        <v>1010100</v>
      </c>
      <c r="M193" t="s">
        <v>29</v>
      </c>
      <c r="N193">
        <v>161</v>
      </c>
      <c r="O193" t="s">
        <v>145</v>
      </c>
      <c r="P193" t="s">
        <v>181</v>
      </c>
      <c r="Q193">
        <f t="shared" si="4"/>
        <v>998</v>
      </c>
      <c r="R193" t="str">
        <f>_xlfn.XLOOKUP(P193,'Painel Fertilizers'!$B:$B,'Painel Fertilizers'!$B:$B,0)</f>
        <v>CASA DAS SEMENTES</v>
      </c>
    </row>
    <row r="194" spans="1:18" x14ac:dyDescent="0.25">
      <c r="A194">
        <v>12295</v>
      </c>
      <c r="B194" t="s">
        <v>189</v>
      </c>
      <c r="C194" t="s">
        <v>190</v>
      </c>
      <c r="D194" s="32">
        <v>129728</v>
      </c>
      <c r="E194">
        <v>1246100036</v>
      </c>
      <c r="F194" s="28">
        <v>45547</v>
      </c>
      <c r="H194" t="s">
        <v>156</v>
      </c>
      <c r="I194" t="s">
        <v>157</v>
      </c>
      <c r="J194">
        <v>843</v>
      </c>
      <c r="K194" s="28">
        <v>45162</v>
      </c>
      <c r="L194">
        <v>1010100</v>
      </c>
      <c r="M194" t="s">
        <v>29</v>
      </c>
      <c r="N194">
        <v>161</v>
      </c>
      <c r="O194" t="s">
        <v>145</v>
      </c>
      <c r="P194" t="s">
        <v>189</v>
      </c>
      <c r="Q194">
        <f t="shared" si="4"/>
        <v>650</v>
      </c>
      <c r="R194" t="str">
        <f>_xlfn.XLOOKUP(P194,'Painel Fertilizers'!$B:$B,'Painel Fertilizers'!$B:$B,0)</f>
        <v>CBM FERTILIZANTES</v>
      </c>
    </row>
    <row r="195" spans="1:18" x14ac:dyDescent="0.25">
      <c r="A195">
        <v>12295</v>
      </c>
      <c r="B195" t="s">
        <v>189</v>
      </c>
      <c r="C195" t="s">
        <v>190</v>
      </c>
      <c r="D195" s="32">
        <v>126208</v>
      </c>
      <c r="E195">
        <v>1246106003</v>
      </c>
      <c r="F195" s="28">
        <v>45559</v>
      </c>
      <c r="H195" t="s">
        <v>156</v>
      </c>
      <c r="I195" t="s">
        <v>157</v>
      </c>
      <c r="J195">
        <v>1328</v>
      </c>
      <c r="K195" s="28">
        <v>45194</v>
      </c>
      <c r="L195">
        <v>1010100</v>
      </c>
      <c r="M195" t="s">
        <v>29</v>
      </c>
      <c r="N195">
        <v>161</v>
      </c>
      <c r="O195" t="s">
        <v>145</v>
      </c>
      <c r="P195" t="s">
        <v>189</v>
      </c>
      <c r="Q195">
        <f t="shared" si="4"/>
        <v>638</v>
      </c>
      <c r="R195" t="str">
        <f>_xlfn.XLOOKUP(P195,'Painel Fertilizers'!$B:$B,'Painel Fertilizers'!$B:$B,0)</f>
        <v>CBM FERTILIZANTES</v>
      </c>
    </row>
    <row r="196" spans="1:18" x14ac:dyDescent="0.25">
      <c r="A196">
        <v>12295</v>
      </c>
      <c r="B196" t="s">
        <v>189</v>
      </c>
      <c r="C196" t="s">
        <v>190</v>
      </c>
      <c r="D196" s="32">
        <v>19965</v>
      </c>
      <c r="E196">
        <v>1246100409</v>
      </c>
      <c r="F196" s="28">
        <v>45548</v>
      </c>
      <c r="H196" t="s">
        <v>156</v>
      </c>
      <c r="I196" t="s">
        <v>157</v>
      </c>
      <c r="J196">
        <v>864</v>
      </c>
      <c r="K196" s="28">
        <v>45163</v>
      </c>
      <c r="L196">
        <v>1010100</v>
      </c>
      <c r="M196" t="s">
        <v>29</v>
      </c>
      <c r="N196">
        <v>161</v>
      </c>
      <c r="O196" t="s">
        <v>145</v>
      </c>
      <c r="P196" t="s">
        <v>189</v>
      </c>
      <c r="Q196">
        <f t="shared" si="4"/>
        <v>649</v>
      </c>
      <c r="R196" t="str">
        <f>_xlfn.XLOOKUP(P196,'Painel Fertilizers'!$B:$B,'Painel Fertilizers'!$B:$B,0)</f>
        <v>CBM FERTILIZANTES</v>
      </c>
    </row>
    <row r="197" spans="1:18" x14ac:dyDescent="0.25">
      <c r="A197">
        <v>12295</v>
      </c>
      <c r="B197" t="s">
        <v>189</v>
      </c>
      <c r="C197" t="s">
        <v>190</v>
      </c>
      <c r="D197" s="32">
        <v>102625</v>
      </c>
      <c r="E197">
        <v>1246100411</v>
      </c>
      <c r="F197" s="28">
        <v>45548</v>
      </c>
      <c r="H197" t="s">
        <v>156</v>
      </c>
      <c r="I197" t="s">
        <v>157</v>
      </c>
      <c r="J197">
        <v>865</v>
      </c>
      <c r="K197" s="28">
        <v>45163</v>
      </c>
      <c r="L197">
        <v>1010100</v>
      </c>
      <c r="M197" t="s">
        <v>29</v>
      </c>
      <c r="N197">
        <v>161</v>
      </c>
      <c r="O197" t="s">
        <v>145</v>
      </c>
      <c r="P197" t="s">
        <v>189</v>
      </c>
      <c r="Q197">
        <f t="shared" si="4"/>
        <v>649</v>
      </c>
      <c r="R197" t="str">
        <f>_xlfn.XLOOKUP(P197,'Painel Fertilizers'!$B:$B,'Painel Fertilizers'!$B:$B,0)</f>
        <v>CBM FERTILIZANTES</v>
      </c>
    </row>
    <row r="198" spans="1:18" x14ac:dyDescent="0.25">
      <c r="A198">
        <v>12295</v>
      </c>
      <c r="B198" t="s">
        <v>189</v>
      </c>
      <c r="C198" t="s">
        <v>190</v>
      </c>
      <c r="D198" s="32">
        <v>23664</v>
      </c>
      <c r="E198">
        <v>1246100034</v>
      </c>
      <c r="F198" s="28">
        <v>45547</v>
      </c>
      <c r="H198" t="s">
        <v>156</v>
      </c>
      <c r="I198" t="s">
        <v>157</v>
      </c>
      <c r="J198">
        <v>842</v>
      </c>
      <c r="K198" s="28">
        <v>45162</v>
      </c>
      <c r="L198">
        <v>1010100</v>
      </c>
      <c r="M198" t="s">
        <v>29</v>
      </c>
      <c r="N198">
        <v>161</v>
      </c>
      <c r="O198" t="s">
        <v>145</v>
      </c>
      <c r="P198" t="s">
        <v>189</v>
      </c>
      <c r="Q198">
        <f t="shared" si="4"/>
        <v>650</v>
      </c>
      <c r="R198" t="str">
        <f>_xlfn.XLOOKUP(P198,'Painel Fertilizers'!$B:$B,'Painel Fertilizers'!$B:$B,0)</f>
        <v>CBM FERTILIZANTES</v>
      </c>
    </row>
    <row r="199" spans="1:18" x14ac:dyDescent="0.25">
      <c r="A199">
        <v>12295</v>
      </c>
      <c r="B199" t="s">
        <v>189</v>
      </c>
      <c r="C199" t="s">
        <v>190</v>
      </c>
      <c r="D199" s="32">
        <v>126845</v>
      </c>
      <c r="E199">
        <v>1246102685</v>
      </c>
      <c r="F199" s="28">
        <v>45560</v>
      </c>
      <c r="H199" t="s">
        <v>156</v>
      </c>
      <c r="I199" t="s">
        <v>157</v>
      </c>
      <c r="J199">
        <v>1060</v>
      </c>
      <c r="K199" s="28">
        <v>45175</v>
      </c>
      <c r="L199">
        <v>1010100</v>
      </c>
      <c r="M199" t="s">
        <v>29</v>
      </c>
      <c r="N199">
        <v>161</v>
      </c>
      <c r="O199" t="s">
        <v>145</v>
      </c>
      <c r="P199" t="s">
        <v>189</v>
      </c>
      <c r="Q199">
        <f t="shared" si="4"/>
        <v>637</v>
      </c>
      <c r="R199" t="str">
        <f>_xlfn.XLOOKUP(P199,'Painel Fertilizers'!$B:$B,'Painel Fertilizers'!$B:$B,0)</f>
        <v>CBM FERTILIZANTES</v>
      </c>
    </row>
    <row r="200" spans="1:18" x14ac:dyDescent="0.25">
      <c r="A200">
        <v>12295</v>
      </c>
      <c r="B200" t="s">
        <v>189</v>
      </c>
      <c r="C200" t="s">
        <v>190</v>
      </c>
      <c r="D200" s="32">
        <v>119790</v>
      </c>
      <c r="E200">
        <v>1246100311</v>
      </c>
      <c r="F200" s="28">
        <v>45548</v>
      </c>
      <c r="H200" t="s">
        <v>156</v>
      </c>
      <c r="I200" t="s">
        <v>157</v>
      </c>
      <c r="J200">
        <v>851</v>
      </c>
      <c r="K200" s="28">
        <v>45163</v>
      </c>
      <c r="L200">
        <v>1010100</v>
      </c>
      <c r="M200" t="s">
        <v>29</v>
      </c>
      <c r="N200">
        <v>161</v>
      </c>
      <c r="O200" t="s">
        <v>145</v>
      </c>
      <c r="P200" t="s">
        <v>189</v>
      </c>
      <c r="Q200">
        <f t="shared" si="4"/>
        <v>649</v>
      </c>
      <c r="R200" t="str">
        <f>_xlfn.XLOOKUP(P200,'Painel Fertilizers'!$B:$B,'Painel Fertilizers'!$B:$B,0)</f>
        <v>CBM FERTILIZANTES</v>
      </c>
    </row>
    <row r="201" spans="1:18" x14ac:dyDescent="0.25">
      <c r="A201">
        <v>12295</v>
      </c>
      <c r="B201" t="s">
        <v>189</v>
      </c>
      <c r="C201" t="s">
        <v>190</v>
      </c>
      <c r="D201" s="32">
        <v>127776</v>
      </c>
      <c r="E201">
        <v>1246102654</v>
      </c>
      <c r="F201" s="28">
        <v>45560</v>
      </c>
      <c r="H201" t="s">
        <v>156</v>
      </c>
      <c r="I201" t="s">
        <v>157</v>
      </c>
      <c r="J201">
        <v>1053</v>
      </c>
      <c r="K201" s="28">
        <v>45175</v>
      </c>
      <c r="L201">
        <v>1010100</v>
      </c>
      <c r="M201" t="s">
        <v>29</v>
      </c>
      <c r="N201">
        <v>161</v>
      </c>
      <c r="O201" t="s">
        <v>145</v>
      </c>
      <c r="P201" t="s">
        <v>189</v>
      </c>
      <c r="Q201">
        <f t="shared" si="4"/>
        <v>637</v>
      </c>
      <c r="R201" t="str">
        <f>_xlfn.XLOOKUP(P201,'Painel Fertilizers'!$B:$B,'Painel Fertilizers'!$B:$B,0)</f>
        <v>CBM FERTILIZANTES</v>
      </c>
    </row>
    <row r="202" spans="1:18" x14ac:dyDescent="0.25">
      <c r="A202">
        <v>12295</v>
      </c>
      <c r="B202" t="s">
        <v>189</v>
      </c>
      <c r="C202" t="s">
        <v>190</v>
      </c>
      <c r="D202" s="32">
        <v>99410.750000000015</v>
      </c>
      <c r="E202">
        <v>1246240412</v>
      </c>
      <c r="F202" s="28">
        <v>45546</v>
      </c>
      <c r="H202" t="s">
        <v>156</v>
      </c>
      <c r="I202" t="s">
        <v>157</v>
      </c>
      <c r="J202">
        <v>176</v>
      </c>
      <c r="K202" s="28">
        <v>45161</v>
      </c>
      <c r="L202">
        <v>1010100</v>
      </c>
      <c r="M202" t="s">
        <v>29</v>
      </c>
      <c r="N202">
        <v>161</v>
      </c>
      <c r="O202" t="s">
        <v>145</v>
      </c>
      <c r="P202" t="s">
        <v>189</v>
      </c>
      <c r="Q202">
        <f t="shared" si="4"/>
        <v>651</v>
      </c>
      <c r="R202" t="str">
        <f>_xlfn.XLOOKUP(P202,'Painel Fertilizers'!$B:$B,'Painel Fertilizers'!$B:$B,0)</f>
        <v>CBM FERTILIZANTES</v>
      </c>
    </row>
    <row r="203" spans="1:18" x14ac:dyDescent="0.25">
      <c r="A203">
        <v>13193</v>
      </c>
      <c r="B203" t="s">
        <v>192</v>
      </c>
      <c r="C203" t="s">
        <v>193</v>
      </c>
      <c r="D203" s="32">
        <v>39218.19</v>
      </c>
      <c r="E203">
        <v>1246129675</v>
      </c>
      <c r="F203" s="28">
        <v>45598</v>
      </c>
      <c r="H203" t="s">
        <v>156</v>
      </c>
      <c r="I203" t="s">
        <v>157</v>
      </c>
      <c r="J203">
        <v>2817</v>
      </c>
      <c r="K203" s="28">
        <v>45338</v>
      </c>
      <c r="L203">
        <v>1010100</v>
      </c>
      <c r="M203" t="s">
        <v>29</v>
      </c>
      <c r="N203">
        <v>161</v>
      </c>
      <c r="O203" t="s">
        <v>145</v>
      </c>
      <c r="P203" t="s">
        <v>192</v>
      </c>
      <c r="Q203">
        <f t="shared" si="4"/>
        <v>599</v>
      </c>
      <c r="R203" t="str">
        <f>_xlfn.XLOOKUP(P203,'Painel Fertilizers'!$B:$B,'Painel Fertilizers'!$B:$B,0)</f>
        <v>AGRO BERALDO</v>
      </c>
    </row>
    <row r="204" spans="1:18" x14ac:dyDescent="0.25">
      <c r="A204">
        <v>13193</v>
      </c>
      <c r="B204" t="s">
        <v>192</v>
      </c>
      <c r="C204" t="s">
        <v>193</v>
      </c>
      <c r="D204" s="32">
        <v>96537.1</v>
      </c>
      <c r="E204">
        <v>1246128994</v>
      </c>
      <c r="F204" s="28">
        <v>45599</v>
      </c>
      <c r="H204" t="s">
        <v>156</v>
      </c>
      <c r="I204" t="s">
        <v>157</v>
      </c>
      <c r="J204">
        <v>2765</v>
      </c>
      <c r="K204" s="28">
        <v>45331</v>
      </c>
      <c r="L204">
        <v>1010100</v>
      </c>
      <c r="M204" t="s">
        <v>29</v>
      </c>
      <c r="N204">
        <v>161</v>
      </c>
      <c r="O204" t="s">
        <v>145</v>
      </c>
      <c r="P204" t="s">
        <v>192</v>
      </c>
      <c r="Q204">
        <f t="shared" si="4"/>
        <v>598</v>
      </c>
      <c r="R204" t="str">
        <f>_xlfn.XLOOKUP(P204,'Painel Fertilizers'!$B:$B,'Painel Fertilizers'!$B:$B,0)</f>
        <v>AGRO BERALDO</v>
      </c>
    </row>
    <row r="205" spans="1:18" x14ac:dyDescent="0.25">
      <c r="A205">
        <v>13193</v>
      </c>
      <c r="B205" t="s">
        <v>192</v>
      </c>
      <c r="C205" t="s">
        <v>193</v>
      </c>
      <c r="D205" s="32">
        <v>14369.79</v>
      </c>
      <c r="E205">
        <v>1246129687</v>
      </c>
      <c r="F205" s="28">
        <v>45594</v>
      </c>
      <c r="H205" t="s">
        <v>156</v>
      </c>
      <c r="I205" t="s">
        <v>157</v>
      </c>
      <c r="J205">
        <v>2824</v>
      </c>
      <c r="K205" s="28">
        <v>45338</v>
      </c>
      <c r="L205">
        <v>1010100</v>
      </c>
      <c r="M205" t="s">
        <v>29</v>
      </c>
      <c r="N205">
        <v>161</v>
      </c>
      <c r="O205" t="s">
        <v>145</v>
      </c>
      <c r="P205" t="s">
        <v>192</v>
      </c>
      <c r="Q205">
        <f t="shared" si="4"/>
        <v>603</v>
      </c>
      <c r="R205" t="str">
        <f>_xlfn.XLOOKUP(P205,'Painel Fertilizers'!$B:$B,'Painel Fertilizers'!$B:$B,0)</f>
        <v>AGRO BERALDO</v>
      </c>
    </row>
    <row r="206" spans="1:18" x14ac:dyDescent="0.25">
      <c r="A206">
        <v>13193</v>
      </c>
      <c r="B206" t="s">
        <v>192</v>
      </c>
      <c r="C206" t="s">
        <v>193</v>
      </c>
      <c r="D206" s="32">
        <v>102482.69</v>
      </c>
      <c r="E206">
        <v>1246129689</v>
      </c>
      <c r="F206" s="28">
        <v>45594</v>
      </c>
      <c r="H206" t="s">
        <v>156</v>
      </c>
      <c r="I206" t="s">
        <v>157</v>
      </c>
      <c r="J206">
        <v>2825</v>
      </c>
      <c r="K206" s="28">
        <v>45338</v>
      </c>
      <c r="L206">
        <v>1010100</v>
      </c>
      <c r="M206" t="s">
        <v>29</v>
      </c>
      <c r="N206">
        <v>161</v>
      </c>
      <c r="O206" t="s">
        <v>145</v>
      </c>
      <c r="P206" t="s">
        <v>192</v>
      </c>
      <c r="Q206">
        <f t="shared" si="4"/>
        <v>603</v>
      </c>
      <c r="R206" t="str">
        <f>_xlfn.XLOOKUP(P206,'Painel Fertilizers'!$B:$B,'Painel Fertilizers'!$B:$B,0)</f>
        <v>AGRO BERALDO</v>
      </c>
    </row>
    <row r="207" spans="1:18" x14ac:dyDescent="0.25">
      <c r="A207">
        <v>13193</v>
      </c>
      <c r="B207" t="s">
        <v>192</v>
      </c>
      <c r="C207" t="s">
        <v>193</v>
      </c>
      <c r="D207" s="32">
        <v>96537.1</v>
      </c>
      <c r="E207">
        <v>1246128030</v>
      </c>
      <c r="F207" s="28">
        <v>45604</v>
      </c>
      <c r="H207" t="s">
        <v>156</v>
      </c>
      <c r="I207" t="s">
        <v>157</v>
      </c>
      <c r="J207">
        <v>2691</v>
      </c>
      <c r="K207" s="28">
        <v>45324</v>
      </c>
      <c r="L207">
        <v>1010100</v>
      </c>
      <c r="M207" t="s">
        <v>29</v>
      </c>
      <c r="N207">
        <v>161</v>
      </c>
      <c r="O207" t="s">
        <v>145</v>
      </c>
      <c r="P207" t="s">
        <v>192</v>
      </c>
      <c r="Q207">
        <f t="shared" si="4"/>
        <v>593</v>
      </c>
      <c r="R207" t="str">
        <f>_xlfn.XLOOKUP(P207,'Painel Fertilizers'!$B:$B,'Painel Fertilizers'!$B:$B,0)</f>
        <v>AGRO BERALDO</v>
      </c>
    </row>
    <row r="208" spans="1:18" x14ac:dyDescent="0.25">
      <c r="A208">
        <v>13193</v>
      </c>
      <c r="B208" t="s">
        <v>192</v>
      </c>
      <c r="C208" t="s">
        <v>193</v>
      </c>
      <c r="D208" s="32">
        <v>96537.1</v>
      </c>
      <c r="E208">
        <v>1246129535</v>
      </c>
      <c r="F208" s="28">
        <v>45597</v>
      </c>
      <c r="H208" t="s">
        <v>156</v>
      </c>
      <c r="I208" t="s">
        <v>157</v>
      </c>
      <c r="J208">
        <v>2797</v>
      </c>
      <c r="K208" s="28">
        <v>45337</v>
      </c>
      <c r="L208">
        <v>1010100</v>
      </c>
      <c r="M208" t="s">
        <v>29</v>
      </c>
      <c r="N208">
        <v>161</v>
      </c>
      <c r="O208" t="s">
        <v>145</v>
      </c>
      <c r="P208" t="s">
        <v>192</v>
      </c>
      <c r="Q208">
        <f t="shared" si="4"/>
        <v>600</v>
      </c>
      <c r="R208" t="str">
        <f>_xlfn.XLOOKUP(P208,'Painel Fertilizers'!$B:$B,'Painel Fertilizers'!$B:$B,0)</f>
        <v>AGRO BERALDO</v>
      </c>
    </row>
    <row r="209" spans="1:18" x14ac:dyDescent="0.25">
      <c r="A209">
        <v>13193</v>
      </c>
      <c r="B209" t="s">
        <v>192</v>
      </c>
      <c r="C209" t="s">
        <v>193</v>
      </c>
      <c r="D209" s="32">
        <v>12586.97</v>
      </c>
      <c r="E209">
        <v>1246129615</v>
      </c>
      <c r="F209" s="28">
        <v>45594</v>
      </c>
      <c r="H209" t="s">
        <v>156</v>
      </c>
      <c r="I209" t="s">
        <v>157</v>
      </c>
      <c r="J209">
        <v>2804</v>
      </c>
      <c r="K209" s="28">
        <v>45338</v>
      </c>
      <c r="L209">
        <v>1010100</v>
      </c>
      <c r="M209" t="s">
        <v>29</v>
      </c>
      <c r="N209">
        <v>161</v>
      </c>
      <c r="O209" t="s">
        <v>145</v>
      </c>
      <c r="P209" t="s">
        <v>192</v>
      </c>
      <c r="Q209">
        <f t="shared" si="4"/>
        <v>603</v>
      </c>
      <c r="R209" t="str">
        <f>_xlfn.XLOOKUP(P209,'Painel Fertilizers'!$B:$B,'Painel Fertilizers'!$B:$B,0)</f>
        <v>AGRO BERALDO</v>
      </c>
    </row>
    <row r="210" spans="1:18" x14ac:dyDescent="0.25">
      <c r="A210">
        <v>13193</v>
      </c>
      <c r="B210" t="s">
        <v>192</v>
      </c>
      <c r="C210" t="s">
        <v>193</v>
      </c>
      <c r="D210" s="32">
        <v>96537.1</v>
      </c>
      <c r="E210">
        <v>1246129423</v>
      </c>
      <c r="F210" s="28">
        <v>45597</v>
      </c>
      <c r="H210" t="s">
        <v>156</v>
      </c>
      <c r="I210" t="s">
        <v>157</v>
      </c>
      <c r="J210">
        <v>2793</v>
      </c>
      <c r="K210" s="28">
        <v>45337</v>
      </c>
      <c r="L210">
        <v>1010100</v>
      </c>
      <c r="M210" t="s">
        <v>29</v>
      </c>
      <c r="N210">
        <v>161</v>
      </c>
      <c r="O210" t="s">
        <v>145</v>
      </c>
      <c r="P210" t="s">
        <v>192</v>
      </c>
      <c r="Q210">
        <f t="shared" si="4"/>
        <v>600</v>
      </c>
      <c r="R210" t="str">
        <f>_xlfn.XLOOKUP(P210,'Painel Fertilizers'!$B:$B,'Painel Fertilizers'!$B:$B,0)</f>
        <v>AGRO BERALDO</v>
      </c>
    </row>
    <row r="211" spans="1:18" x14ac:dyDescent="0.25">
      <c r="A211">
        <v>13193</v>
      </c>
      <c r="B211" t="s">
        <v>192</v>
      </c>
      <c r="C211" t="s">
        <v>193</v>
      </c>
      <c r="D211" s="32">
        <v>96537.1</v>
      </c>
      <c r="E211">
        <v>1246129513</v>
      </c>
      <c r="F211" s="28">
        <v>45605</v>
      </c>
      <c r="H211" t="s">
        <v>156</v>
      </c>
      <c r="I211" t="s">
        <v>157</v>
      </c>
      <c r="J211">
        <v>2795</v>
      </c>
      <c r="K211" s="28">
        <v>45337</v>
      </c>
      <c r="L211">
        <v>1010100</v>
      </c>
      <c r="M211" t="s">
        <v>29</v>
      </c>
      <c r="N211">
        <v>161</v>
      </c>
      <c r="O211" t="s">
        <v>145</v>
      </c>
      <c r="P211" t="s">
        <v>192</v>
      </c>
      <c r="Q211">
        <f t="shared" si="4"/>
        <v>592</v>
      </c>
      <c r="R211" t="str">
        <f>_xlfn.XLOOKUP(P211,'Painel Fertilizers'!$B:$B,'Painel Fertilizers'!$B:$B,0)</f>
        <v>AGRO BERALDO</v>
      </c>
    </row>
    <row r="212" spans="1:18" x14ac:dyDescent="0.25">
      <c r="A212">
        <v>13193</v>
      </c>
      <c r="B212" t="s">
        <v>192</v>
      </c>
      <c r="C212" t="s">
        <v>193</v>
      </c>
      <c r="D212" s="32">
        <v>100695.77</v>
      </c>
      <c r="E212">
        <v>1246129348</v>
      </c>
      <c r="F212" s="28">
        <v>45592</v>
      </c>
      <c r="H212" t="s">
        <v>156</v>
      </c>
      <c r="I212" t="s">
        <v>157</v>
      </c>
      <c r="J212">
        <v>2788</v>
      </c>
      <c r="K212" s="28">
        <v>45336</v>
      </c>
      <c r="L212">
        <v>1010100</v>
      </c>
      <c r="M212" t="s">
        <v>29</v>
      </c>
      <c r="N212">
        <v>161</v>
      </c>
      <c r="O212" t="s">
        <v>145</v>
      </c>
      <c r="P212" t="s">
        <v>192</v>
      </c>
      <c r="Q212">
        <f t="shared" si="4"/>
        <v>605</v>
      </c>
      <c r="R212" t="str">
        <f>_xlfn.XLOOKUP(P212,'Painel Fertilizers'!$B:$B,'Painel Fertilizers'!$B:$B,0)</f>
        <v>AGRO BERALDO</v>
      </c>
    </row>
    <row r="213" spans="1:18" x14ac:dyDescent="0.25">
      <c r="A213">
        <v>13193</v>
      </c>
      <c r="B213" t="s">
        <v>192</v>
      </c>
      <c r="C213" t="s">
        <v>193</v>
      </c>
      <c r="D213" s="32">
        <v>96537.12</v>
      </c>
      <c r="E213">
        <v>1246129613</v>
      </c>
      <c r="F213" s="28">
        <v>45598</v>
      </c>
      <c r="H213" t="s">
        <v>156</v>
      </c>
      <c r="I213" t="s">
        <v>157</v>
      </c>
      <c r="J213">
        <v>2803</v>
      </c>
      <c r="K213" s="28">
        <v>45338</v>
      </c>
      <c r="L213">
        <v>1010100</v>
      </c>
      <c r="M213" t="s">
        <v>29</v>
      </c>
      <c r="N213">
        <v>161</v>
      </c>
      <c r="O213" t="s">
        <v>145</v>
      </c>
      <c r="P213" t="s">
        <v>192</v>
      </c>
      <c r="Q213">
        <f t="shared" si="4"/>
        <v>599</v>
      </c>
      <c r="R213" t="str">
        <f>_xlfn.XLOOKUP(P213,'Painel Fertilizers'!$B:$B,'Painel Fertilizers'!$B:$B,0)</f>
        <v>AGRO BERALDO</v>
      </c>
    </row>
    <row r="214" spans="1:18" x14ac:dyDescent="0.25">
      <c r="A214">
        <v>13193</v>
      </c>
      <c r="B214" t="s">
        <v>192</v>
      </c>
      <c r="C214" t="s">
        <v>193</v>
      </c>
      <c r="D214" s="32">
        <v>114958.38999999998</v>
      </c>
      <c r="E214">
        <v>1246126152</v>
      </c>
      <c r="F214" s="28">
        <v>45594</v>
      </c>
      <c r="H214" t="s">
        <v>156</v>
      </c>
      <c r="I214" t="s">
        <v>157</v>
      </c>
      <c r="J214">
        <v>2568</v>
      </c>
      <c r="K214" s="28">
        <v>45314</v>
      </c>
      <c r="L214">
        <v>1010100</v>
      </c>
      <c r="M214" t="s">
        <v>29</v>
      </c>
      <c r="N214">
        <v>161</v>
      </c>
      <c r="O214" t="s">
        <v>145</v>
      </c>
      <c r="P214" t="s">
        <v>192</v>
      </c>
      <c r="Q214">
        <f t="shared" si="4"/>
        <v>603</v>
      </c>
      <c r="R214" t="str">
        <f>_xlfn.XLOOKUP(P214,'Painel Fertilizers'!$B:$B,'Painel Fertilizers'!$B:$B,0)</f>
        <v>AGRO BERALDO</v>
      </c>
    </row>
    <row r="215" spans="1:18" x14ac:dyDescent="0.25">
      <c r="A215">
        <v>13193</v>
      </c>
      <c r="B215" t="s">
        <v>192</v>
      </c>
      <c r="C215" t="s">
        <v>193</v>
      </c>
      <c r="D215" s="32">
        <v>111898.75000000001</v>
      </c>
      <c r="E215">
        <v>1246126325</v>
      </c>
      <c r="F215" s="28">
        <v>45595</v>
      </c>
      <c r="H215" t="s">
        <v>156</v>
      </c>
      <c r="I215" t="s">
        <v>157</v>
      </c>
      <c r="J215">
        <v>2581</v>
      </c>
      <c r="K215" s="28">
        <v>45315</v>
      </c>
      <c r="L215">
        <v>1010100</v>
      </c>
      <c r="M215" t="s">
        <v>29</v>
      </c>
      <c r="N215">
        <v>161</v>
      </c>
      <c r="O215" t="s">
        <v>145</v>
      </c>
      <c r="P215" t="s">
        <v>192</v>
      </c>
      <c r="Q215">
        <f t="shared" si="4"/>
        <v>602</v>
      </c>
      <c r="R215" t="str">
        <f>_xlfn.XLOOKUP(P215,'Painel Fertilizers'!$B:$B,'Painel Fertilizers'!$B:$B,0)</f>
        <v>AGRO BERALDO</v>
      </c>
    </row>
    <row r="216" spans="1:18" x14ac:dyDescent="0.25">
      <c r="A216">
        <v>13193</v>
      </c>
      <c r="B216" t="s">
        <v>192</v>
      </c>
      <c r="C216" t="s">
        <v>193</v>
      </c>
      <c r="D216" s="32">
        <v>108604.24</v>
      </c>
      <c r="E216">
        <v>1246126878</v>
      </c>
      <c r="F216" s="28">
        <v>45597</v>
      </c>
      <c r="H216" t="s">
        <v>156</v>
      </c>
      <c r="I216" t="s">
        <v>157</v>
      </c>
      <c r="J216">
        <v>2614</v>
      </c>
      <c r="K216" s="28">
        <v>45317</v>
      </c>
      <c r="L216">
        <v>1010100</v>
      </c>
      <c r="M216" t="s">
        <v>29</v>
      </c>
      <c r="N216">
        <v>161</v>
      </c>
      <c r="O216" t="s">
        <v>145</v>
      </c>
      <c r="P216" t="s">
        <v>192</v>
      </c>
      <c r="Q216">
        <f t="shared" si="4"/>
        <v>600</v>
      </c>
      <c r="R216" t="str">
        <f>_xlfn.XLOOKUP(P216,'Painel Fertilizers'!$B:$B,'Painel Fertilizers'!$B:$B,0)</f>
        <v>AGRO BERALDO</v>
      </c>
    </row>
    <row r="217" spans="1:18" x14ac:dyDescent="0.25">
      <c r="A217">
        <v>13193</v>
      </c>
      <c r="B217" t="s">
        <v>192</v>
      </c>
      <c r="C217" t="s">
        <v>193</v>
      </c>
      <c r="D217" s="32">
        <v>110524.44</v>
      </c>
      <c r="E217">
        <v>1246126771</v>
      </c>
      <c r="F217" s="28">
        <v>45597</v>
      </c>
      <c r="H217" t="s">
        <v>156</v>
      </c>
      <c r="I217" t="s">
        <v>157</v>
      </c>
      <c r="J217">
        <v>2605</v>
      </c>
      <c r="K217" s="28">
        <v>45317</v>
      </c>
      <c r="L217">
        <v>1010100</v>
      </c>
      <c r="M217" t="s">
        <v>29</v>
      </c>
      <c r="N217">
        <v>161</v>
      </c>
      <c r="O217" t="s">
        <v>145</v>
      </c>
      <c r="P217" t="s">
        <v>192</v>
      </c>
      <c r="Q217">
        <f t="shared" si="4"/>
        <v>600</v>
      </c>
      <c r="R217" t="str">
        <f>_xlfn.XLOOKUP(P217,'Painel Fertilizers'!$B:$B,'Painel Fertilizers'!$B:$B,0)</f>
        <v>AGRO BERALDO</v>
      </c>
    </row>
    <row r="218" spans="1:18" x14ac:dyDescent="0.25">
      <c r="A218">
        <v>13193</v>
      </c>
      <c r="B218" t="s">
        <v>192</v>
      </c>
      <c r="C218" t="s">
        <v>193</v>
      </c>
      <c r="D218" s="32">
        <v>81453.179999999993</v>
      </c>
      <c r="E218">
        <v>1246126682</v>
      </c>
      <c r="F218" s="28">
        <v>45596</v>
      </c>
      <c r="H218" t="s">
        <v>156</v>
      </c>
      <c r="I218" t="s">
        <v>157</v>
      </c>
      <c r="J218">
        <v>2598</v>
      </c>
      <c r="K218" s="28">
        <v>45316</v>
      </c>
      <c r="L218">
        <v>1010100</v>
      </c>
      <c r="M218" t="s">
        <v>29</v>
      </c>
      <c r="N218">
        <v>161</v>
      </c>
      <c r="O218" t="s">
        <v>145</v>
      </c>
      <c r="P218" t="s">
        <v>192</v>
      </c>
      <c r="Q218">
        <f t="shared" si="4"/>
        <v>601</v>
      </c>
      <c r="R218" t="str">
        <f>_xlfn.XLOOKUP(P218,'Painel Fertilizers'!$B:$B,'Painel Fertilizers'!$B:$B,0)</f>
        <v>AGRO BERALDO</v>
      </c>
    </row>
    <row r="219" spans="1:18" x14ac:dyDescent="0.25">
      <c r="A219">
        <v>13193</v>
      </c>
      <c r="B219" t="s">
        <v>192</v>
      </c>
      <c r="C219" t="s">
        <v>193</v>
      </c>
      <c r="D219" s="32">
        <v>97994.5</v>
      </c>
      <c r="E219">
        <v>1246124699</v>
      </c>
      <c r="F219" s="28">
        <v>45593</v>
      </c>
      <c r="H219" t="s">
        <v>156</v>
      </c>
      <c r="I219" t="s">
        <v>157</v>
      </c>
      <c r="J219">
        <v>2485</v>
      </c>
      <c r="K219" s="28">
        <v>45303</v>
      </c>
      <c r="L219">
        <v>1010100</v>
      </c>
      <c r="M219" t="s">
        <v>29</v>
      </c>
      <c r="N219">
        <v>161</v>
      </c>
      <c r="O219" t="s">
        <v>145</v>
      </c>
      <c r="P219" t="s">
        <v>192</v>
      </c>
      <c r="Q219">
        <f t="shared" si="4"/>
        <v>604</v>
      </c>
      <c r="R219" t="str">
        <f>_xlfn.XLOOKUP(P219,'Painel Fertilizers'!$B:$B,'Painel Fertilizers'!$B:$B,0)</f>
        <v>AGRO BERALDO</v>
      </c>
    </row>
    <row r="220" spans="1:18" x14ac:dyDescent="0.25">
      <c r="A220">
        <v>13193</v>
      </c>
      <c r="B220" t="s">
        <v>192</v>
      </c>
      <c r="C220" t="s">
        <v>193</v>
      </c>
      <c r="D220" s="32">
        <v>102482.69</v>
      </c>
      <c r="E220">
        <v>1246129677</v>
      </c>
      <c r="F220" s="28">
        <v>45594</v>
      </c>
      <c r="H220" t="s">
        <v>156</v>
      </c>
      <c r="I220" t="s">
        <v>157</v>
      </c>
      <c r="J220">
        <v>2818</v>
      </c>
      <c r="K220" s="28">
        <v>45338</v>
      </c>
      <c r="L220">
        <v>1010100</v>
      </c>
      <c r="M220" t="s">
        <v>29</v>
      </c>
      <c r="N220">
        <v>161</v>
      </c>
      <c r="O220" t="s">
        <v>145</v>
      </c>
      <c r="P220" t="s">
        <v>192</v>
      </c>
      <c r="Q220">
        <f t="shared" si="4"/>
        <v>603</v>
      </c>
      <c r="R220" t="str">
        <f>_xlfn.XLOOKUP(P220,'Painel Fertilizers'!$B:$B,'Painel Fertilizers'!$B:$B,0)</f>
        <v>AGRO BERALDO</v>
      </c>
    </row>
    <row r="221" spans="1:18" x14ac:dyDescent="0.25">
      <c r="A221">
        <v>13193</v>
      </c>
      <c r="B221" t="s">
        <v>192</v>
      </c>
      <c r="C221" t="s">
        <v>193</v>
      </c>
      <c r="D221" s="32">
        <v>140175.09</v>
      </c>
      <c r="E221">
        <v>1246130332</v>
      </c>
      <c r="F221" s="28">
        <v>45599</v>
      </c>
      <c r="H221" t="s">
        <v>156</v>
      </c>
      <c r="I221" t="s">
        <v>157</v>
      </c>
      <c r="J221">
        <v>2873</v>
      </c>
      <c r="K221" s="28">
        <v>45343</v>
      </c>
      <c r="L221">
        <v>1010100</v>
      </c>
      <c r="M221" t="s">
        <v>29</v>
      </c>
      <c r="N221">
        <v>161</v>
      </c>
      <c r="O221" t="s">
        <v>145</v>
      </c>
      <c r="P221" t="s">
        <v>192</v>
      </c>
      <c r="Q221">
        <f t="shared" si="4"/>
        <v>598</v>
      </c>
      <c r="R221" t="str">
        <f>_xlfn.XLOOKUP(P221,'Painel Fertilizers'!$B:$B,'Painel Fertilizers'!$B:$B,0)</f>
        <v>AGRO BERALDO</v>
      </c>
    </row>
    <row r="222" spans="1:18" x14ac:dyDescent="0.25">
      <c r="A222">
        <v>13193</v>
      </c>
      <c r="B222" t="s">
        <v>192</v>
      </c>
      <c r="C222" t="s">
        <v>193</v>
      </c>
      <c r="D222" s="32">
        <v>112140.07</v>
      </c>
      <c r="E222">
        <v>1246130309</v>
      </c>
      <c r="F222" s="28">
        <v>45599</v>
      </c>
      <c r="H222" t="s">
        <v>156</v>
      </c>
      <c r="I222" t="s">
        <v>157</v>
      </c>
      <c r="J222">
        <v>2867</v>
      </c>
      <c r="K222" s="28">
        <v>45343</v>
      </c>
      <c r="L222">
        <v>1010100</v>
      </c>
      <c r="M222" t="s">
        <v>29</v>
      </c>
      <c r="N222">
        <v>161</v>
      </c>
      <c r="O222" t="s">
        <v>145</v>
      </c>
      <c r="P222" t="s">
        <v>192</v>
      </c>
      <c r="Q222">
        <f t="shared" si="4"/>
        <v>598</v>
      </c>
      <c r="R222" t="str">
        <f>_xlfn.XLOOKUP(P222,'Painel Fertilizers'!$B:$B,'Painel Fertilizers'!$B:$B,0)</f>
        <v>AGRO BERALDO</v>
      </c>
    </row>
    <row r="223" spans="1:18" x14ac:dyDescent="0.25">
      <c r="A223">
        <v>13193</v>
      </c>
      <c r="B223" t="s">
        <v>192</v>
      </c>
      <c r="C223" t="s">
        <v>193</v>
      </c>
      <c r="D223" s="32">
        <v>105131.31</v>
      </c>
      <c r="E223">
        <v>1246132575</v>
      </c>
      <c r="F223" s="28">
        <v>45597</v>
      </c>
      <c r="H223" t="s">
        <v>156</v>
      </c>
      <c r="I223" t="s">
        <v>157</v>
      </c>
      <c r="J223">
        <v>2994</v>
      </c>
      <c r="K223" s="28">
        <v>45357</v>
      </c>
      <c r="L223">
        <v>1010100</v>
      </c>
      <c r="M223" t="s">
        <v>29</v>
      </c>
      <c r="N223">
        <v>161</v>
      </c>
      <c r="O223" t="s">
        <v>145</v>
      </c>
      <c r="P223" t="s">
        <v>192</v>
      </c>
      <c r="Q223">
        <f t="shared" si="4"/>
        <v>600</v>
      </c>
      <c r="R223" t="str">
        <f>_xlfn.XLOOKUP(P223,'Painel Fertilizers'!$B:$B,'Painel Fertilizers'!$B:$B,0)</f>
        <v>AGRO BERALDO</v>
      </c>
    </row>
    <row r="224" spans="1:18" x14ac:dyDescent="0.25">
      <c r="A224">
        <v>13193</v>
      </c>
      <c r="B224" t="s">
        <v>192</v>
      </c>
      <c r="C224" t="s">
        <v>193</v>
      </c>
      <c r="D224" s="32">
        <v>97257.29</v>
      </c>
      <c r="E224">
        <v>1246139180</v>
      </c>
      <c r="F224" s="28">
        <v>45573</v>
      </c>
      <c r="H224" t="s">
        <v>156</v>
      </c>
      <c r="I224" t="s">
        <v>157</v>
      </c>
      <c r="J224">
        <v>3265</v>
      </c>
      <c r="K224" s="28">
        <v>45393</v>
      </c>
      <c r="L224">
        <v>1010100</v>
      </c>
      <c r="M224" t="s">
        <v>29</v>
      </c>
      <c r="N224">
        <v>161</v>
      </c>
      <c r="O224" t="s">
        <v>145</v>
      </c>
      <c r="P224" t="s">
        <v>192</v>
      </c>
      <c r="Q224">
        <f t="shared" si="4"/>
        <v>624</v>
      </c>
      <c r="R224" t="str">
        <f>_xlfn.XLOOKUP(P224,'Painel Fertilizers'!$B:$B,'Painel Fertilizers'!$B:$B,0)</f>
        <v>AGRO BERALDO</v>
      </c>
    </row>
    <row r="225" spans="1:18" x14ac:dyDescent="0.25">
      <c r="A225">
        <v>13193</v>
      </c>
      <c r="B225" t="s">
        <v>192</v>
      </c>
      <c r="C225" t="s">
        <v>193</v>
      </c>
      <c r="D225" s="32">
        <v>104293.46</v>
      </c>
      <c r="E225">
        <v>1246135519</v>
      </c>
      <c r="F225" s="28">
        <v>45600</v>
      </c>
      <c r="H225" t="s">
        <v>156</v>
      </c>
      <c r="I225" t="s">
        <v>157</v>
      </c>
      <c r="J225">
        <v>3146</v>
      </c>
      <c r="K225" s="28">
        <v>45373</v>
      </c>
      <c r="L225">
        <v>1010100</v>
      </c>
      <c r="M225" t="s">
        <v>29</v>
      </c>
      <c r="N225">
        <v>161</v>
      </c>
      <c r="O225" t="s">
        <v>145</v>
      </c>
      <c r="P225" t="s">
        <v>192</v>
      </c>
      <c r="Q225">
        <f t="shared" si="4"/>
        <v>597</v>
      </c>
      <c r="R225" t="str">
        <f>_xlfn.XLOOKUP(P225,'Painel Fertilizers'!$B:$B,'Painel Fertilizers'!$B:$B,0)</f>
        <v>AGRO BERALDO</v>
      </c>
    </row>
    <row r="226" spans="1:18" x14ac:dyDescent="0.25">
      <c r="A226">
        <v>13193</v>
      </c>
      <c r="B226" t="s">
        <v>192</v>
      </c>
      <c r="C226" t="s">
        <v>193</v>
      </c>
      <c r="D226" s="32">
        <v>120980.73</v>
      </c>
      <c r="E226">
        <v>1246138904</v>
      </c>
      <c r="F226" s="28">
        <v>45572</v>
      </c>
      <c r="H226" t="s">
        <v>156</v>
      </c>
      <c r="I226" t="s">
        <v>157</v>
      </c>
      <c r="J226">
        <v>3260</v>
      </c>
      <c r="K226" s="28">
        <v>45392</v>
      </c>
      <c r="L226">
        <v>1010100</v>
      </c>
      <c r="M226" t="s">
        <v>29</v>
      </c>
      <c r="N226">
        <v>161</v>
      </c>
      <c r="O226" t="s">
        <v>145</v>
      </c>
      <c r="P226" t="s">
        <v>192</v>
      </c>
      <c r="Q226">
        <f t="shared" si="4"/>
        <v>625</v>
      </c>
      <c r="R226" t="str">
        <f>_xlfn.XLOOKUP(P226,'Painel Fertilizers'!$B:$B,'Painel Fertilizers'!$B:$B,0)</f>
        <v>AGRO BERALDO</v>
      </c>
    </row>
    <row r="227" spans="1:18" x14ac:dyDescent="0.25">
      <c r="A227">
        <v>13193</v>
      </c>
      <c r="B227" t="s">
        <v>192</v>
      </c>
      <c r="C227" t="s">
        <v>193</v>
      </c>
      <c r="D227" s="32">
        <v>142145.26999999999</v>
      </c>
      <c r="E227">
        <v>1246138695</v>
      </c>
      <c r="F227" s="28">
        <v>45571</v>
      </c>
      <c r="H227" t="s">
        <v>156</v>
      </c>
      <c r="I227" t="s">
        <v>157</v>
      </c>
      <c r="J227">
        <v>3255</v>
      </c>
      <c r="K227" s="28">
        <v>45391</v>
      </c>
      <c r="L227">
        <v>1010100</v>
      </c>
      <c r="M227" t="s">
        <v>29</v>
      </c>
      <c r="N227">
        <v>161</v>
      </c>
      <c r="O227" t="s">
        <v>145</v>
      </c>
      <c r="P227" t="s">
        <v>192</v>
      </c>
      <c r="Q227">
        <f t="shared" si="4"/>
        <v>626</v>
      </c>
      <c r="R227" t="str">
        <f>_xlfn.XLOOKUP(P227,'Painel Fertilizers'!$B:$B,'Painel Fertilizers'!$B:$B,0)</f>
        <v>AGRO BERALDO</v>
      </c>
    </row>
    <row r="228" spans="1:18" x14ac:dyDescent="0.25">
      <c r="A228">
        <v>13193</v>
      </c>
      <c r="B228" t="s">
        <v>192</v>
      </c>
      <c r="C228" t="s">
        <v>193</v>
      </c>
      <c r="D228" s="32">
        <v>30167.84</v>
      </c>
      <c r="E228">
        <v>1246134824</v>
      </c>
      <c r="F228" s="28">
        <v>45597</v>
      </c>
      <c r="H228" t="s">
        <v>156</v>
      </c>
      <c r="I228" t="s">
        <v>157</v>
      </c>
      <c r="J228">
        <v>3122</v>
      </c>
      <c r="K228" s="28">
        <v>45370</v>
      </c>
      <c r="L228">
        <v>1010100</v>
      </c>
      <c r="M228" t="s">
        <v>29</v>
      </c>
      <c r="N228">
        <v>161</v>
      </c>
      <c r="O228" t="s">
        <v>145</v>
      </c>
      <c r="P228" t="s">
        <v>192</v>
      </c>
      <c r="Q228">
        <f t="shared" si="4"/>
        <v>600</v>
      </c>
      <c r="R228" t="str">
        <f>_xlfn.XLOOKUP(P228,'Painel Fertilizers'!$B:$B,'Painel Fertilizers'!$B:$B,0)</f>
        <v>AGRO BERALDO</v>
      </c>
    </row>
    <row r="229" spans="1:18" x14ac:dyDescent="0.25">
      <c r="A229">
        <v>13193</v>
      </c>
      <c r="B229" t="s">
        <v>192</v>
      </c>
      <c r="C229" t="s">
        <v>193</v>
      </c>
      <c r="D229" s="32">
        <v>96077.53</v>
      </c>
      <c r="E229">
        <v>1246134935</v>
      </c>
      <c r="F229" s="28">
        <v>45598</v>
      </c>
      <c r="H229" t="s">
        <v>156</v>
      </c>
      <c r="I229" t="s">
        <v>157</v>
      </c>
      <c r="J229">
        <v>3128</v>
      </c>
      <c r="K229" s="28">
        <v>45371</v>
      </c>
      <c r="L229">
        <v>1010100</v>
      </c>
      <c r="M229" t="s">
        <v>29</v>
      </c>
      <c r="N229">
        <v>161</v>
      </c>
      <c r="O229" t="s">
        <v>145</v>
      </c>
      <c r="P229" t="s">
        <v>192</v>
      </c>
      <c r="Q229">
        <f t="shared" si="4"/>
        <v>599</v>
      </c>
      <c r="R229" t="str">
        <f>_xlfn.XLOOKUP(P229,'Painel Fertilizers'!$B:$B,'Painel Fertilizers'!$B:$B,0)</f>
        <v>AGRO BERALDO</v>
      </c>
    </row>
    <row r="230" spans="1:18" x14ac:dyDescent="0.25">
      <c r="A230">
        <v>13193</v>
      </c>
      <c r="B230" t="s">
        <v>192</v>
      </c>
      <c r="C230" t="s">
        <v>193</v>
      </c>
      <c r="D230" s="32">
        <v>90503.54</v>
      </c>
      <c r="E230">
        <v>1246134807</v>
      </c>
      <c r="F230" s="28">
        <v>45597</v>
      </c>
      <c r="H230" t="s">
        <v>156</v>
      </c>
      <c r="I230" t="s">
        <v>157</v>
      </c>
      <c r="J230">
        <v>3119</v>
      </c>
      <c r="K230" s="28">
        <v>45370</v>
      </c>
      <c r="L230">
        <v>1010100</v>
      </c>
      <c r="M230" t="s">
        <v>29</v>
      </c>
      <c r="N230">
        <v>161</v>
      </c>
      <c r="O230" t="s">
        <v>145</v>
      </c>
      <c r="P230" t="s">
        <v>192</v>
      </c>
      <c r="Q230">
        <f t="shared" si="4"/>
        <v>600</v>
      </c>
      <c r="R230" t="str">
        <f>_xlfn.XLOOKUP(P230,'Painel Fertilizers'!$B:$B,'Painel Fertilizers'!$B:$B,0)</f>
        <v>AGRO BERALDO</v>
      </c>
    </row>
    <row r="231" spans="1:18" x14ac:dyDescent="0.25">
      <c r="A231">
        <v>13193</v>
      </c>
      <c r="B231" t="s">
        <v>192</v>
      </c>
      <c r="C231" t="s">
        <v>193</v>
      </c>
      <c r="D231" s="32">
        <v>90503.54</v>
      </c>
      <c r="E231">
        <v>1246134540</v>
      </c>
      <c r="F231" s="28">
        <v>45596</v>
      </c>
      <c r="H231" t="s">
        <v>156</v>
      </c>
      <c r="I231" t="s">
        <v>157</v>
      </c>
      <c r="J231">
        <v>3110</v>
      </c>
      <c r="K231" s="28">
        <v>45369</v>
      </c>
      <c r="L231">
        <v>1010100</v>
      </c>
      <c r="M231" t="s">
        <v>29</v>
      </c>
      <c r="N231">
        <v>161</v>
      </c>
      <c r="O231" t="s">
        <v>145</v>
      </c>
      <c r="P231" t="s">
        <v>192</v>
      </c>
      <c r="Q231">
        <f t="shared" si="4"/>
        <v>601</v>
      </c>
      <c r="R231" t="str">
        <f>_xlfn.XLOOKUP(P231,'Painel Fertilizers'!$B:$B,'Painel Fertilizers'!$B:$B,0)</f>
        <v>AGRO BERALDO</v>
      </c>
    </row>
    <row r="232" spans="1:18" x14ac:dyDescent="0.25">
      <c r="A232">
        <v>13193</v>
      </c>
      <c r="B232" t="s">
        <v>192</v>
      </c>
      <c r="C232" t="s">
        <v>193</v>
      </c>
      <c r="D232" s="32">
        <v>82776.289999999994</v>
      </c>
      <c r="E232">
        <v>1246139327</v>
      </c>
      <c r="F232" s="28">
        <v>45573</v>
      </c>
      <c r="H232" t="s">
        <v>156</v>
      </c>
      <c r="I232" t="s">
        <v>157</v>
      </c>
      <c r="J232">
        <v>3272</v>
      </c>
      <c r="K232" s="28">
        <v>45393</v>
      </c>
      <c r="L232">
        <v>1010100</v>
      </c>
      <c r="M232" t="s">
        <v>29</v>
      </c>
      <c r="N232">
        <v>161</v>
      </c>
      <c r="O232" t="s">
        <v>145</v>
      </c>
      <c r="P232" t="s">
        <v>192</v>
      </c>
      <c r="Q232">
        <f t="shared" si="4"/>
        <v>624</v>
      </c>
      <c r="R232" t="str">
        <f>_xlfn.XLOOKUP(P232,'Painel Fertilizers'!$B:$B,'Painel Fertilizers'!$B:$B,0)</f>
        <v>AGRO BERALDO</v>
      </c>
    </row>
    <row r="233" spans="1:18" x14ac:dyDescent="0.25">
      <c r="A233">
        <v>13193</v>
      </c>
      <c r="B233" t="s">
        <v>192</v>
      </c>
      <c r="C233" t="s">
        <v>193</v>
      </c>
      <c r="D233" s="32">
        <v>64051.68</v>
      </c>
      <c r="E233">
        <v>1246134828</v>
      </c>
      <c r="F233" s="28">
        <v>45597</v>
      </c>
      <c r="H233" t="s">
        <v>156</v>
      </c>
      <c r="I233" t="s">
        <v>157</v>
      </c>
      <c r="J233">
        <v>3123</v>
      </c>
      <c r="K233" s="28">
        <v>45370</v>
      </c>
      <c r="L233">
        <v>1010100</v>
      </c>
      <c r="M233" t="s">
        <v>29</v>
      </c>
      <c r="N233">
        <v>161</v>
      </c>
      <c r="O233" t="s">
        <v>145</v>
      </c>
      <c r="P233" t="s">
        <v>192</v>
      </c>
      <c r="Q233">
        <f t="shared" si="4"/>
        <v>600</v>
      </c>
      <c r="R233" t="str">
        <f>_xlfn.XLOOKUP(P233,'Painel Fertilizers'!$B:$B,'Painel Fertilizers'!$B:$B,0)</f>
        <v>AGRO BERALDO</v>
      </c>
    </row>
    <row r="234" spans="1:18" x14ac:dyDescent="0.25">
      <c r="A234">
        <v>13193</v>
      </c>
      <c r="B234" t="s">
        <v>192</v>
      </c>
      <c r="C234" t="s">
        <v>193</v>
      </c>
      <c r="D234" s="32">
        <v>96077.53</v>
      </c>
      <c r="E234">
        <v>1246134926</v>
      </c>
      <c r="F234" s="28">
        <v>45598</v>
      </c>
      <c r="H234" t="s">
        <v>156</v>
      </c>
      <c r="I234" t="s">
        <v>157</v>
      </c>
      <c r="J234">
        <v>3126</v>
      </c>
      <c r="K234" s="28">
        <v>45371</v>
      </c>
      <c r="L234">
        <v>1010100</v>
      </c>
      <c r="M234" t="s">
        <v>29</v>
      </c>
      <c r="N234">
        <v>161</v>
      </c>
      <c r="O234" t="s">
        <v>145</v>
      </c>
      <c r="P234" t="s">
        <v>192</v>
      </c>
      <c r="Q234">
        <f t="shared" si="4"/>
        <v>599</v>
      </c>
      <c r="R234" t="str">
        <f>_xlfn.XLOOKUP(P234,'Painel Fertilizers'!$B:$B,'Painel Fertilizers'!$B:$B,0)</f>
        <v>AGRO BERALDO</v>
      </c>
    </row>
    <row r="235" spans="1:18" x14ac:dyDescent="0.25">
      <c r="A235">
        <v>13193</v>
      </c>
      <c r="B235" t="s">
        <v>192</v>
      </c>
      <c r="C235" t="s">
        <v>193</v>
      </c>
      <c r="D235" s="32">
        <v>96077.53</v>
      </c>
      <c r="E235">
        <v>1246135475</v>
      </c>
      <c r="F235" s="28">
        <v>45600</v>
      </c>
      <c r="H235" t="s">
        <v>156</v>
      </c>
      <c r="I235" t="s">
        <v>157</v>
      </c>
      <c r="J235">
        <v>3143</v>
      </c>
      <c r="K235" s="28">
        <v>45373</v>
      </c>
      <c r="L235">
        <v>1010100</v>
      </c>
      <c r="M235" t="s">
        <v>29</v>
      </c>
      <c r="N235">
        <v>161</v>
      </c>
      <c r="O235" t="s">
        <v>145</v>
      </c>
      <c r="P235" t="s">
        <v>192</v>
      </c>
      <c r="Q235">
        <f t="shared" si="4"/>
        <v>597</v>
      </c>
      <c r="R235" t="str">
        <f>_xlfn.XLOOKUP(P235,'Painel Fertilizers'!$B:$B,'Painel Fertilizers'!$B:$B,0)</f>
        <v>AGRO BERALDO</v>
      </c>
    </row>
    <row r="236" spans="1:18" x14ac:dyDescent="0.25">
      <c r="A236">
        <v>14848</v>
      </c>
      <c r="B236" t="s">
        <v>330</v>
      </c>
      <c r="C236" t="s">
        <v>561</v>
      </c>
      <c r="D236" s="32">
        <v>207773.56999999998</v>
      </c>
      <c r="E236">
        <v>1246230064</v>
      </c>
      <c r="F236" s="28">
        <v>46162</v>
      </c>
      <c r="H236" t="s">
        <v>156</v>
      </c>
      <c r="I236" t="s">
        <v>157</v>
      </c>
      <c r="J236">
        <v>8811</v>
      </c>
      <c r="K236" s="28">
        <v>45877</v>
      </c>
      <c r="L236">
        <v>1010100</v>
      </c>
      <c r="M236" t="s">
        <v>29</v>
      </c>
      <c r="N236">
        <v>161</v>
      </c>
      <c r="O236" t="s">
        <v>145</v>
      </c>
      <c r="P236" t="s">
        <v>330</v>
      </c>
      <c r="Q236">
        <f t="shared" si="4"/>
        <v>35</v>
      </c>
      <c r="R236" t="str">
        <f>_xlfn.XLOOKUP(P236,'Painel Fertilizers'!$B:$B,'Painel Fertilizers'!$B:$B,0)</f>
        <v>FAZENDA FERRADURA</v>
      </c>
    </row>
    <row r="237" spans="1:18" x14ac:dyDescent="0.25">
      <c r="A237">
        <v>14848</v>
      </c>
      <c r="B237" t="s">
        <v>330</v>
      </c>
      <c r="C237" t="s">
        <v>561</v>
      </c>
      <c r="D237" s="32">
        <v>121554.34</v>
      </c>
      <c r="E237">
        <v>1246230701</v>
      </c>
      <c r="F237" s="28">
        <v>46164</v>
      </c>
      <c r="H237" t="s">
        <v>156</v>
      </c>
      <c r="I237" t="s">
        <v>157</v>
      </c>
      <c r="J237">
        <v>8856</v>
      </c>
      <c r="K237" s="28">
        <v>45881</v>
      </c>
      <c r="L237">
        <v>1010100</v>
      </c>
      <c r="M237" t="s">
        <v>29</v>
      </c>
      <c r="N237">
        <v>161</v>
      </c>
      <c r="O237" t="s">
        <v>145</v>
      </c>
      <c r="P237" t="s">
        <v>330</v>
      </c>
      <c r="Q237">
        <f t="shared" si="4"/>
        <v>33</v>
      </c>
      <c r="R237" t="str">
        <f>_xlfn.XLOOKUP(P237,'Painel Fertilizers'!$B:$B,'Painel Fertilizers'!$B:$B,0)</f>
        <v>FAZENDA FERRADURA</v>
      </c>
    </row>
    <row r="238" spans="1:18" x14ac:dyDescent="0.25">
      <c r="A238">
        <v>14396</v>
      </c>
      <c r="B238" t="s">
        <v>242</v>
      </c>
      <c r="C238" t="s">
        <v>243</v>
      </c>
      <c r="D238" s="32">
        <v>137598</v>
      </c>
      <c r="E238">
        <v>1246163527</v>
      </c>
      <c r="F238" s="28">
        <v>45779</v>
      </c>
      <c r="H238" t="s">
        <v>156</v>
      </c>
      <c r="I238" t="s">
        <v>157</v>
      </c>
      <c r="J238">
        <v>4649</v>
      </c>
      <c r="K238" s="28">
        <v>45511</v>
      </c>
      <c r="L238">
        <v>1010100</v>
      </c>
      <c r="M238" t="s">
        <v>29</v>
      </c>
      <c r="N238">
        <v>161</v>
      </c>
      <c r="O238" t="s">
        <v>145</v>
      </c>
      <c r="P238" t="s">
        <v>242</v>
      </c>
      <c r="Q238">
        <f t="shared" si="4"/>
        <v>418</v>
      </c>
      <c r="R238" t="str">
        <f>_xlfn.XLOOKUP(P238,'Painel Fertilizers'!$B:$B,'Painel Fertilizers'!$B:$B,0)</f>
        <v>FAZENDA ARCOS SÃO JOÃO</v>
      </c>
    </row>
    <row r="239" spans="1:18" x14ac:dyDescent="0.25">
      <c r="A239">
        <v>14396</v>
      </c>
      <c r="B239" t="s">
        <v>242</v>
      </c>
      <c r="C239" t="s">
        <v>243</v>
      </c>
      <c r="D239" s="32">
        <v>121086.24</v>
      </c>
      <c r="E239">
        <v>1246160799</v>
      </c>
      <c r="F239" s="28">
        <v>45779</v>
      </c>
      <c r="H239" t="s">
        <v>156</v>
      </c>
      <c r="I239" t="s">
        <v>157</v>
      </c>
      <c r="J239">
        <v>4489</v>
      </c>
      <c r="K239" s="28">
        <v>45499</v>
      </c>
      <c r="L239">
        <v>1010100</v>
      </c>
      <c r="M239" t="s">
        <v>29</v>
      </c>
      <c r="N239">
        <v>161</v>
      </c>
      <c r="O239" t="s">
        <v>145</v>
      </c>
      <c r="P239" t="s">
        <v>242</v>
      </c>
      <c r="Q239">
        <f t="shared" si="4"/>
        <v>418</v>
      </c>
      <c r="R239" t="str">
        <f>_xlfn.XLOOKUP(P239,'Painel Fertilizers'!$B:$B,'Painel Fertilizers'!$B:$B,0)</f>
        <v>FAZENDA ARCOS SÃO JOÃO</v>
      </c>
    </row>
    <row r="240" spans="1:18" x14ac:dyDescent="0.25">
      <c r="A240">
        <v>14396</v>
      </c>
      <c r="B240" t="s">
        <v>242</v>
      </c>
      <c r="C240" t="s">
        <v>243</v>
      </c>
      <c r="D240" s="32">
        <v>145692</v>
      </c>
      <c r="E240">
        <v>1246160793</v>
      </c>
      <c r="F240" s="28">
        <v>45779</v>
      </c>
      <c r="H240" t="s">
        <v>156</v>
      </c>
      <c r="I240" t="s">
        <v>157</v>
      </c>
      <c r="J240">
        <v>4485</v>
      </c>
      <c r="K240" s="28">
        <v>45499</v>
      </c>
      <c r="L240">
        <v>1010100</v>
      </c>
      <c r="M240" t="s">
        <v>29</v>
      </c>
      <c r="N240">
        <v>161</v>
      </c>
      <c r="O240" t="s">
        <v>145</v>
      </c>
      <c r="P240" t="s">
        <v>242</v>
      </c>
      <c r="Q240">
        <f t="shared" si="4"/>
        <v>418</v>
      </c>
      <c r="R240" t="str">
        <f>_xlfn.XLOOKUP(P240,'Painel Fertilizers'!$B:$B,'Painel Fertilizers'!$B:$B,0)</f>
        <v>FAZENDA ARCOS SÃO JOÃO</v>
      </c>
    </row>
    <row r="241" spans="1:18" x14ac:dyDescent="0.25">
      <c r="A241">
        <v>14396</v>
      </c>
      <c r="B241" t="s">
        <v>242</v>
      </c>
      <c r="C241" t="s">
        <v>243</v>
      </c>
      <c r="D241" s="32">
        <v>121410</v>
      </c>
      <c r="E241">
        <v>1246180565</v>
      </c>
      <c r="F241" s="28">
        <v>45776</v>
      </c>
      <c r="H241" t="s">
        <v>156</v>
      </c>
      <c r="I241" t="s">
        <v>157</v>
      </c>
      <c r="J241">
        <v>5953</v>
      </c>
      <c r="K241" s="28">
        <v>45600</v>
      </c>
      <c r="L241">
        <v>1010100</v>
      </c>
      <c r="M241" t="s">
        <v>29</v>
      </c>
      <c r="N241">
        <v>161</v>
      </c>
      <c r="O241" t="s">
        <v>145</v>
      </c>
      <c r="P241" t="s">
        <v>242</v>
      </c>
      <c r="Q241">
        <f t="shared" si="4"/>
        <v>421</v>
      </c>
      <c r="R241" t="str">
        <f>_xlfn.XLOOKUP(P241,'Painel Fertilizers'!$B:$B,'Painel Fertilizers'!$B:$B,0)</f>
        <v>FAZENDA ARCOS SÃO JOÃO</v>
      </c>
    </row>
    <row r="242" spans="1:18" x14ac:dyDescent="0.25">
      <c r="A242">
        <v>14396</v>
      </c>
      <c r="B242" t="s">
        <v>242</v>
      </c>
      <c r="C242" t="s">
        <v>243</v>
      </c>
      <c r="D242" s="32">
        <v>171360</v>
      </c>
      <c r="E242">
        <v>1246202562</v>
      </c>
      <c r="F242" s="28">
        <v>45930</v>
      </c>
      <c r="H242" t="s">
        <v>156</v>
      </c>
      <c r="I242" t="s">
        <v>157</v>
      </c>
      <c r="J242">
        <v>7204</v>
      </c>
      <c r="K242" s="28">
        <v>45728</v>
      </c>
      <c r="L242">
        <v>1010100</v>
      </c>
      <c r="M242" t="s">
        <v>29</v>
      </c>
      <c r="N242">
        <v>161</v>
      </c>
      <c r="O242" t="s">
        <v>145</v>
      </c>
      <c r="P242" t="s">
        <v>242</v>
      </c>
      <c r="Q242">
        <f t="shared" si="4"/>
        <v>267</v>
      </c>
      <c r="R242" t="str">
        <f>_xlfn.XLOOKUP(P242,'Painel Fertilizers'!$B:$B,'Painel Fertilizers'!$B:$B,0)</f>
        <v>FAZENDA ARCOS SÃO JOÃO</v>
      </c>
    </row>
    <row r="243" spans="1:18" x14ac:dyDescent="0.25">
      <c r="A243">
        <v>14396</v>
      </c>
      <c r="B243" t="s">
        <v>242</v>
      </c>
      <c r="C243" t="s">
        <v>243</v>
      </c>
      <c r="D243" s="32">
        <v>4000</v>
      </c>
      <c r="E243">
        <v>1246203613</v>
      </c>
      <c r="F243" s="28">
        <v>45920</v>
      </c>
      <c r="H243" t="s">
        <v>156</v>
      </c>
      <c r="I243" t="s">
        <v>157</v>
      </c>
      <c r="J243">
        <v>7286</v>
      </c>
      <c r="K243" s="28">
        <v>45735</v>
      </c>
      <c r="L243">
        <v>1010100</v>
      </c>
      <c r="M243" t="s">
        <v>29</v>
      </c>
      <c r="N243">
        <v>161</v>
      </c>
      <c r="O243" t="s">
        <v>145</v>
      </c>
      <c r="P243" t="s">
        <v>242</v>
      </c>
      <c r="Q243">
        <f t="shared" si="4"/>
        <v>277</v>
      </c>
      <c r="R243" t="str">
        <f>_xlfn.XLOOKUP(P243,'Painel Fertilizers'!$B:$B,'Painel Fertilizers'!$B:$B,0)</f>
        <v>FAZENDA ARCOS SÃO JOÃO</v>
      </c>
    </row>
    <row r="244" spans="1:18" x14ac:dyDescent="0.25">
      <c r="A244">
        <v>14396</v>
      </c>
      <c r="B244" t="s">
        <v>242</v>
      </c>
      <c r="C244" t="s">
        <v>243</v>
      </c>
      <c r="D244" s="32">
        <v>139680</v>
      </c>
      <c r="E244">
        <v>1246199147</v>
      </c>
      <c r="F244" s="28">
        <v>45889</v>
      </c>
      <c r="H244" t="s">
        <v>156</v>
      </c>
      <c r="I244" t="s">
        <v>157</v>
      </c>
      <c r="J244">
        <v>6996</v>
      </c>
      <c r="K244" s="28">
        <v>45706</v>
      </c>
      <c r="L244">
        <v>1010100</v>
      </c>
      <c r="M244" t="s">
        <v>29</v>
      </c>
      <c r="N244">
        <v>161</v>
      </c>
      <c r="O244" t="s">
        <v>145</v>
      </c>
      <c r="P244" t="s">
        <v>242</v>
      </c>
      <c r="Q244">
        <f t="shared" si="4"/>
        <v>308</v>
      </c>
      <c r="R244" t="str">
        <f>_xlfn.XLOOKUP(P244,'Painel Fertilizers'!$B:$B,'Painel Fertilizers'!$B:$B,0)</f>
        <v>FAZENDA ARCOS SÃO JOÃO</v>
      </c>
    </row>
    <row r="245" spans="1:18" x14ac:dyDescent="0.25">
      <c r="A245">
        <v>14396</v>
      </c>
      <c r="B245" t="s">
        <v>242</v>
      </c>
      <c r="C245" t="s">
        <v>243</v>
      </c>
      <c r="D245" s="32">
        <v>139680</v>
      </c>
      <c r="E245">
        <v>1246199209</v>
      </c>
      <c r="F245" s="28">
        <v>45889</v>
      </c>
      <c r="H245" t="s">
        <v>156</v>
      </c>
      <c r="I245" t="s">
        <v>157</v>
      </c>
      <c r="J245">
        <v>7005</v>
      </c>
      <c r="K245" s="28">
        <v>45706</v>
      </c>
      <c r="L245">
        <v>1010100</v>
      </c>
      <c r="M245" t="s">
        <v>29</v>
      </c>
      <c r="N245">
        <v>161</v>
      </c>
      <c r="O245" t="s">
        <v>145</v>
      </c>
      <c r="P245" t="s">
        <v>242</v>
      </c>
      <c r="Q245">
        <f t="shared" si="4"/>
        <v>308</v>
      </c>
      <c r="R245" t="str">
        <f>_xlfn.XLOOKUP(P245,'Painel Fertilizers'!$B:$B,'Painel Fertilizers'!$B:$B,0)</f>
        <v>FAZENDA ARCOS SÃO JOÃO</v>
      </c>
    </row>
    <row r="246" spans="1:18" x14ac:dyDescent="0.25">
      <c r="A246">
        <v>14396</v>
      </c>
      <c r="B246" t="s">
        <v>242</v>
      </c>
      <c r="C246" t="s">
        <v>243</v>
      </c>
      <c r="D246" s="32">
        <v>8000</v>
      </c>
      <c r="E246">
        <v>1246205781</v>
      </c>
      <c r="F246" s="28">
        <v>45920</v>
      </c>
      <c r="H246" t="s">
        <v>156</v>
      </c>
      <c r="I246" t="s">
        <v>157</v>
      </c>
      <c r="J246">
        <v>7423</v>
      </c>
      <c r="K246" s="28">
        <v>45744</v>
      </c>
      <c r="L246">
        <v>1010100</v>
      </c>
      <c r="M246" t="s">
        <v>29</v>
      </c>
      <c r="N246">
        <v>161</v>
      </c>
      <c r="O246" t="s">
        <v>145</v>
      </c>
      <c r="P246" t="s">
        <v>242</v>
      </c>
      <c r="Q246">
        <f t="shared" ref="Q246:Q254" si="5">$R$1-F246</f>
        <v>277</v>
      </c>
      <c r="R246" t="str">
        <f>_xlfn.XLOOKUP(P246,'Painel Fertilizers'!$B:$B,'Painel Fertilizers'!$B:$B,0)</f>
        <v>FAZENDA ARCOS SÃO JOÃO</v>
      </c>
    </row>
    <row r="247" spans="1:18" x14ac:dyDescent="0.25">
      <c r="A247">
        <v>16107</v>
      </c>
      <c r="B247" t="s">
        <v>494</v>
      </c>
      <c r="C247" t="s">
        <v>495</v>
      </c>
      <c r="D247" s="32">
        <v>58579.74</v>
      </c>
      <c r="E247">
        <v>1246235692</v>
      </c>
      <c r="F247" s="28">
        <v>46265</v>
      </c>
      <c r="H247" t="s">
        <v>156</v>
      </c>
      <c r="I247" t="s">
        <v>157</v>
      </c>
      <c r="J247">
        <v>9246</v>
      </c>
      <c r="K247" s="28">
        <v>45908</v>
      </c>
      <c r="L247">
        <v>1010100</v>
      </c>
      <c r="M247" t="s">
        <v>29</v>
      </c>
      <c r="N247">
        <v>161</v>
      </c>
      <c r="O247" t="s">
        <v>145</v>
      </c>
      <c r="P247" t="s">
        <v>494</v>
      </c>
      <c r="Q247">
        <f t="shared" si="5"/>
        <v>-68</v>
      </c>
      <c r="R247" t="str">
        <f>_xlfn.XLOOKUP(P247,'Painel Fertilizers'!$B:$B,'Painel Fertilizers'!$B:$B,0)</f>
        <v>CONNTACTA AGRONEGOCIOS</v>
      </c>
    </row>
    <row r="248" spans="1:18" x14ac:dyDescent="0.25">
      <c r="A248">
        <v>16107</v>
      </c>
      <c r="B248" t="s">
        <v>494</v>
      </c>
      <c r="C248" t="s">
        <v>495</v>
      </c>
      <c r="D248" s="32">
        <v>120293.94</v>
      </c>
      <c r="E248">
        <v>1246234013</v>
      </c>
      <c r="F248" s="28">
        <v>46265</v>
      </c>
      <c r="H248" t="s">
        <v>156</v>
      </c>
      <c r="I248" t="s">
        <v>157</v>
      </c>
      <c r="J248">
        <v>9130</v>
      </c>
      <c r="K248" s="28">
        <v>45898</v>
      </c>
      <c r="L248">
        <v>1010100</v>
      </c>
      <c r="M248" t="s">
        <v>29</v>
      </c>
      <c r="N248">
        <v>161</v>
      </c>
      <c r="O248" t="s">
        <v>145</v>
      </c>
      <c r="P248" t="s">
        <v>494</v>
      </c>
      <c r="Q248">
        <f t="shared" si="5"/>
        <v>-68</v>
      </c>
      <c r="R248" t="str">
        <f>_xlfn.XLOOKUP(P248,'Painel Fertilizers'!$B:$B,'Painel Fertilizers'!$B:$B,0)</f>
        <v>CONNTACTA AGRONEGOCIOS</v>
      </c>
    </row>
    <row r="249" spans="1:18" x14ac:dyDescent="0.25">
      <c r="A249">
        <v>16107</v>
      </c>
      <c r="B249" t="s">
        <v>494</v>
      </c>
      <c r="C249" t="s">
        <v>495</v>
      </c>
      <c r="D249" s="32">
        <v>52795.360000000001</v>
      </c>
      <c r="E249">
        <v>1246231811</v>
      </c>
      <c r="F249" s="28">
        <v>46265</v>
      </c>
      <c r="H249" t="s">
        <v>156</v>
      </c>
      <c r="I249" t="s">
        <v>157</v>
      </c>
      <c r="J249">
        <v>8929</v>
      </c>
      <c r="K249" s="28">
        <v>45888</v>
      </c>
      <c r="L249">
        <v>1010100</v>
      </c>
      <c r="M249" t="s">
        <v>29</v>
      </c>
      <c r="N249">
        <v>161</v>
      </c>
      <c r="O249" t="s">
        <v>145</v>
      </c>
      <c r="P249" t="s">
        <v>494</v>
      </c>
      <c r="Q249">
        <f t="shared" si="5"/>
        <v>-68</v>
      </c>
      <c r="R249" t="str">
        <f>_xlfn.XLOOKUP(P249,'Painel Fertilizers'!$B:$B,'Painel Fertilizers'!$B:$B,0)</f>
        <v>CONNTACTA AGRONEGOCIOS</v>
      </c>
    </row>
    <row r="250" spans="1:18" x14ac:dyDescent="0.25">
      <c r="A250">
        <v>16107</v>
      </c>
      <c r="B250" t="s">
        <v>494</v>
      </c>
      <c r="C250" t="s">
        <v>495</v>
      </c>
      <c r="D250" s="32">
        <v>92391.88</v>
      </c>
      <c r="E250">
        <v>1246232362</v>
      </c>
      <c r="F250" s="28">
        <v>46265</v>
      </c>
      <c r="H250" t="s">
        <v>156</v>
      </c>
      <c r="I250" t="s">
        <v>157</v>
      </c>
      <c r="J250">
        <v>8978</v>
      </c>
      <c r="K250" s="28">
        <v>45890</v>
      </c>
      <c r="L250">
        <v>1010100</v>
      </c>
      <c r="M250" t="s">
        <v>29</v>
      </c>
      <c r="N250">
        <v>161</v>
      </c>
      <c r="O250" t="s">
        <v>145</v>
      </c>
      <c r="P250" t="s">
        <v>494</v>
      </c>
      <c r="Q250">
        <f t="shared" si="5"/>
        <v>-68</v>
      </c>
      <c r="R250" t="str">
        <f>_xlfn.XLOOKUP(P250,'Painel Fertilizers'!$B:$B,'Painel Fertilizers'!$B:$B,0)</f>
        <v>CONNTACTA AGRONEGOCIOS</v>
      </c>
    </row>
    <row r="251" spans="1:18" x14ac:dyDescent="0.25">
      <c r="A251">
        <v>16107</v>
      </c>
      <c r="B251" t="s">
        <v>494</v>
      </c>
      <c r="C251" t="s">
        <v>495</v>
      </c>
      <c r="D251" s="32">
        <v>94968.9</v>
      </c>
      <c r="E251">
        <v>1246234271</v>
      </c>
      <c r="F251" s="28">
        <v>46265</v>
      </c>
      <c r="H251" t="s">
        <v>156</v>
      </c>
      <c r="I251" t="s">
        <v>157</v>
      </c>
      <c r="J251">
        <v>9136</v>
      </c>
      <c r="K251" s="28">
        <v>45901</v>
      </c>
      <c r="L251">
        <v>1010100</v>
      </c>
      <c r="M251" t="s">
        <v>29</v>
      </c>
      <c r="N251">
        <v>161</v>
      </c>
      <c r="O251" t="s">
        <v>145</v>
      </c>
      <c r="P251" t="s">
        <v>494</v>
      </c>
      <c r="Q251">
        <f t="shared" si="5"/>
        <v>-68</v>
      </c>
      <c r="R251" t="str">
        <f>_xlfn.XLOOKUP(P251,'Painel Fertilizers'!$B:$B,'Painel Fertilizers'!$B:$B,0)</f>
        <v>CONNTACTA AGRONEGOCIOS</v>
      </c>
    </row>
    <row r="252" spans="1:18" x14ac:dyDescent="0.25">
      <c r="A252">
        <v>16107</v>
      </c>
      <c r="B252" t="s">
        <v>494</v>
      </c>
      <c r="C252" t="s">
        <v>495</v>
      </c>
      <c r="D252" s="32">
        <v>101300.16</v>
      </c>
      <c r="E252">
        <v>1246233237</v>
      </c>
      <c r="F252" s="28">
        <v>46265</v>
      </c>
      <c r="H252" t="s">
        <v>156</v>
      </c>
      <c r="I252" t="s">
        <v>157</v>
      </c>
      <c r="J252">
        <v>9072</v>
      </c>
      <c r="K252" s="28">
        <v>45896</v>
      </c>
      <c r="L252">
        <v>1010100</v>
      </c>
      <c r="M252" t="s">
        <v>29</v>
      </c>
      <c r="N252">
        <v>161</v>
      </c>
      <c r="O252" t="s">
        <v>145</v>
      </c>
      <c r="P252" t="s">
        <v>494</v>
      </c>
      <c r="Q252">
        <f t="shared" si="5"/>
        <v>-68</v>
      </c>
      <c r="R252" t="str">
        <f>_xlfn.XLOOKUP(P252,'Painel Fertilizers'!$B:$B,'Painel Fertilizers'!$B:$B,0)</f>
        <v>CONNTACTA AGRONEGOCIOS</v>
      </c>
    </row>
    <row r="253" spans="1:18" x14ac:dyDescent="0.25">
      <c r="A253">
        <v>16107</v>
      </c>
      <c r="B253" t="s">
        <v>494</v>
      </c>
      <c r="C253" t="s">
        <v>495</v>
      </c>
      <c r="D253" s="32">
        <v>27054.5</v>
      </c>
      <c r="E253">
        <v>1246235694</v>
      </c>
      <c r="F253" s="28">
        <v>46265</v>
      </c>
      <c r="H253" t="s">
        <v>156</v>
      </c>
      <c r="I253" t="s">
        <v>157</v>
      </c>
      <c r="J253">
        <v>9247</v>
      </c>
      <c r="K253" s="28">
        <v>45908</v>
      </c>
      <c r="L253">
        <v>1010100</v>
      </c>
      <c r="M253" t="s">
        <v>29</v>
      </c>
      <c r="N253">
        <v>161</v>
      </c>
      <c r="O253" t="s">
        <v>145</v>
      </c>
      <c r="P253" t="s">
        <v>494</v>
      </c>
      <c r="Q253">
        <f t="shared" si="5"/>
        <v>-68</v>
      </c>
      <c r="R253" t="str">
        <f>_xlfn.XLOOKUP(P253,'Painel Fertilizers'!$B:$B,'Painel Fertilizers'!$B:$B,0)</f>
        <v>CONNTACTA AGRONEGOCIOS</v>
      </c>
    </row>
    <row r="254" spans="1:18" x14ac:dyDescent="0.25">
      <c r="A254">
        <v>16107</v>
      </c>
      <c r="B254" t="s">
        <v>494</v>
      </c>
      <c r="C254" t="s">
        <v>495</v>
      </c>
      <c r="D254" s="32">
        <v>94968.9</v>
      </c>
      <c r="E254">
        <v>1246233894</v>
      </c>
      <c r="F254" s="28">
        <v>46265</v>
      </c>
      <c r="H254" t="s">
        <v>156</v>
      </c>
      <c r="I254" t="s">
        <v>157</v>
      </c>
      <c r="J254">
        <v>9120</v>
      </c>
      <c r="K254" s="28">
        <v>45898</v>
      </c>
      <c r="L254">
        <v>1010100</v>
      </c>
      <c r="M254" t="s">
        <v>29</v>
      </c>
      <c r="N254">
        <v>161</v>
      </c>
      <c r="O254" t="s">
        <v>145</v>
      </c>
      <c r="P254" t="s">
        <v>494</v>
      </c>
      <c r="Q254">
        <f t="shared" si="5"/>
        <v>-68</v>
      </c>
      <c r="R254" t="str">
        <f>_xlfn.XLOOKUP(P254,'Painel Fertilizers'!$B:$B,'Painel Fertilizers'!$B:$B,0)</f>
        <v>CONNTACTA AGRONEGOCIOS</v>
      </c>
    </row>
    <row r="255" spans="1:18" x14ac:dyDescent="0.25">
      <c r="A255">
        <v>16107</v>
      </c>
      <c r="B255" t="s">
        <v>494</v>
      </c>
      <c r="C255" t="s">
        <v>495</v>
      </c>
      <c r="D255" s="32">
        <v>94968.9</v>
      </c>
      <c r="E255">
        <v>1246238555</v>
      </c>
      <c r="F255" s="28">
        <v>46265</v>
      </c>
      <c r="H255" t="s">
        <v>156</v>
      </c>
      <c r="I255" t="s">
        <v>157</v>
      </c>
      <c r="J255">
        <v>9444</v>
      </c>
      <c r="K255" s="28">
        <v>45924</v>
      </c>
      <c r="L255">
        <v>1010100</v>
      </c>
      <c r="M255" t="s">
        <v>29</v>
      </c>
      <c r="N255">
        <v>161</v>
      </c>
      <c r="O255" t="s">
        <v>145</v>
      </c>
      <c r="P255" t="s">
        <v>494</v>
      </c>
      <c r="Q255">
        <f t="shared" ref="Q255:Q309" si="6">$R$1-F255</f>
        <v>-68</v>
      </c>
      <c r="R255" t="str">
        <f>_xlfn.XLOOKUP(P255,'Painel Fertilizers'!$B:$B,'Painel Fertilizers'!$B:$B,0)</f>
        <v>CONNTACTA AGRONEGOCIOS</v>
      </c>
    </row>
    <row r="256" spans="1:18" x14ac:dyDescent="0.25">
      <c r="A256">
        <v>16107</v>
      </c>
      <c r="B256" t="s">
        <v>494</v>
      </c>
      <c r="C256" t="s">
        <v>495</v>
      </c>
      <c r="D256" s="32">
        <v>2217.7800000000002</v>
      </c>
      <c r="E256">
        <v>1246235696</v>
      </c>
      <c r="F256" s="28">
        <v>46265</v>
      </c>
      <c r="H256" t="s">
        <v>156</v>
      </c>
      <c r="I256" t="s">
        <v>157</v>
      </c>
      <c r="J256">
        <v>9248</v>
      </c>
      <c r="K256" s="28">
        <v>45908</v>
      </c>
      <c r="L256">
        <v>1010100</v>
      </c>
      <c r="M256" t="s">
        <v>29</v>
      </c>
      <c r="N256">
        <v>161</v>
      </c>
      <c r="O256" t="s">
        <v>145</v>
      </c>
      <c r="P256" t="s">
        <v>494</v>
      </c>
      <c r="Q256">
        <f t="shared" si="6"/>
        <v>-68</v>
      </c>
      <c r="R256" t="str">
        <f>_xlfn.XLOOKUP(P256,'Painel Fertilizers'!$B:$B,'Painel Fertilizers'!$B:$B,0)</f>
        <v>CONNTACTA AGRONEGOCIOS</v>
      </c>
    </row>
    <row r="257" spans="4:18" x14ac:dyDescent="0.25">
      <c r="D257" s="32"/>
      <c r="F257" s="28"/>
      <c r="K257" s="28"/>
      <c r="Q257">
        <f t="shared" si="6"/>
        <v>46197</v>
      </c>
      <c r="R257">
        <f>_xlfn.XLOOKUP(P257,'Painel Fertilizers'!$B:$B,'Painel Fertilizers'!$B:$B,0)</f>
        <v>0</v>
      </c>
    </row>
    <row r="258" spans="4:18" x14ac:dyDescent="0.25">
      <c r="D258" s="32"/>
      <c r="F258" s="28"/>
      <c r="K258" s="28"/>
      <c r="Q258">
        <f t="shared" si="6"/>
        <v>46197</v>
      </c>
      <c r="R258">
        <f>_xlfn.XLOOKUP(P258,'Painel Fertilizers'!$B:$B,'Painel Fertilizers'!$B:$B,0)</f>
        <v>0</v>
      </c>
    </row>
    <row r="259" spans="4:18" x14ac:dyDescent="0.25">
      <c r="D259" s="32"/>
      <c r="F259" s="28"/>
      <c r="K259" s="28"/>
      <c r="Q259">
        <f t="shared" si="6"/>
        <v>46197</v>
      </c>
      <c r="R259">
        <f>_xlfn.XLOOKUP(P259,'Painel Fertilizers'!$B:$B,'Painel Fertilizers'!$B:$B,0)</f>
        <v>0</v>
      </c>
    </row>
    <row r="260" spans="4:18" x14ac:dyDescent="0.25">
      <c r="D260" s="32"/>
      <c r="F260" s="28"/>
      <c r="K260" s="28"/>
      <c r="Q260">
        <f t="shared" si="6"/>
        <v>46197</v>
      </c>
      <c r="R260">
        <f>_xlfn.XLOOKUP(P260,'Painel Fertilizers'!$B:$B,'Painel Fertilizers'!$B:$B,0)</f>
        <v>0</v>
      </c>
    </row>
    <row r="261" spans="4:18" x14ac:dyDescent="0.25">
      <c r="D261" s="32"/>
      <c r="F261" s="28"/>
      <c r="K261" s="28"/>
      <c r="Q261">
        <f t="shared" si="6"/>
        <v>46197</v>
      </c>
      <c r="R261">
        <f>_xlfn.XLOOKUP(P261,'Painel Fertilizers'!$B:$B,'Painel Fertilizers'!$B:$B,0)</f>
        <v>0</v>
      </c>
    </row>
    <row r="262" spans="4:18" x14ac:dyDescent="0.25">
      <c r="D262" s="32"/>
      <c r="F262" s="28"/>
      <c r="K262" s="28"/>
      <c r="Q262">
        <f t="shared" si="6"/>
        <v>46197</v>
      </c>
      <c r="R262">
        <f>_xlfn.XLOOKUP(P262,'Painel Fertilizers'!$B:$B,'Painel Fertilizers'!$B:$B,0)</f>
        <v>0</v>
      </c>
    </row>
    <row r="263" spans="4:18" x14ac:dyDescent="0.25">
      <c r="D263" s="32"/>
      <c r="F263" s="28"/>
      <c r="K263" s="28"/>
      <c r="Q263">
        <f t="shared" si="6"/>
        <v>46197</v>
      </c>
      <c r="R263">
        <f>_xlfn.XLOOKUP(P263,'Painel Fertilizers'!$B:$B,'Painel Fertilizers'!$B:$B,0)</f>
        <v>0</v>
      </c>
    </row>
    <row r="264" spans="4:18" x14ac:dyDescent="0.25">
      <c r="D264" s="32"/>
      <c r="F264" s="28"/>
      <c r="G264" s="28"/>
      <c r="K264" s="28"/>
      <c r="Q264">
        <f t="shared" si="6"/>
        <v>46197</v>
      </c>
      <c r="R264">
        <f>_xlfn.XLOOKUP(P264,'Painel Fertilizers'!$B:$B,'Painel Fertilizers'!$B:$B,0)</f>
        <v>0</v>
      </c>
    </row>
    <row r="265" spans="4:18" x14ac:dyDescent="0.25">
      <c r="D265" s="32"/>
      <c r="F265" s="28"/>
      <c r="K265" s="28"/>
      <c r="Q265">
        <f t="shared" si="6"/>
        <v>46197</v>
      </c>
      <c r="R265">
        <f>_xlfn.XLOOKUP(P265,'Painel Fertilizers'!$B:$B,'Painel Fertilizers'!$B:$B,0)</f>
        <v>0</v>
      </c>
    </row>
    <row r="266" spans="4:18" x14ac:dyDescent="0.25">
      <c r="D266" s="32"/>
      <c r="F266" s="28"/>
      <c r="K266" s="28"/>
      <c r="Q266">
        <f t="shared" si="6"/>
        <v>46197</v>
      </c>
      <c r="R266">
        <f>_xlfn.XLOOKUP(P266,'Painel Fertilizers'!$B:$B,'Painel Fertilizers'!$B:$B,0)</f>
        <v>0</v>
      </c>
    </row>
    <row r="267" spans="4:18" x14ac:dyDescent="0.25">
      <c r="D267" s="32"/>
      <c r="F267" s="28"/>
      <c r="K267" s="28"/>
      <c r="Q267">
        <f t="shared" si="6"/>
        <v>46197</v>
      </c>
      <c r="R267">
        <f>_xlfn.XLOOKUP(P267,'Painel Fertilizers'!$B:$B,'Painel Fertilizers'!$B:$B,0)</f>
        <v>0</v>
      </c>
    </row>
    <row r="268" spans="4:18" x14ac:dyDescent="0.25">
      <c r="D268" s="32"/>
      <c r="F268" s="28"/>
      <c r="K268" s="28"/>
      <c r="Q268">
        <f t="shared" si="6"/>
        <v>46197</v>
      </c>
      <c r="R268">
        <f>_xlfn.XLOOKUP(P268,'Painel Fertilizers'!$B:$B,'Painel Fertilizers'!$B:$B,0)</f>
        <v>0</v>
      </c>
    </row>
    <row r="269" spans="4:18" x14ac:dyDescent="0.25">
      <c r="D269" s="32"/>
      <c r="F269" s="28"/>
      <c r="K269" s="28"/>
      <c r="Q269">
        <f t="shared" si="6"/>
        <v>46197</v>
      </c>
      <c r="R269">
        <f>_xlfn.XLOOKUP(P269,'Painel Fertilizers'!$B:$B,'Painel Fertilizers'!$B:$B,0)</f>
        <v>0</v>
      </c>
    </row>
    <row r="270" spans="4:18" x14ac:dyDescent="0.25">
      <c r="D270" s="32"/>
      <c r="F270" s="28"/>
      <c r="K270" s="28"/>
      <c r="Q270">
        <f t="shared" si="6"/>
        <v>46197</v>
      </c>
      <c r="R270">
        <f>_xlfn.XLOOKUP(P270,'Painel Fertilizers'!$B:$B,'Painel Fertilizers'!$B:$B,0)</f>
        <v>0</v>
      </c>
    </row>
    <row r="271" spans="4:18" x14ac:dyDescent="0.25">
      <c r="D271" s="32"/>
      <c r="F271" s="28"/>
      <c r="K271" s="28"/>
      <c r="Q271">
        <f t="shared" si="6"/>
        <v>46197</v>
      </c>
      <c r="R271">
        <f>_xlfn.XLOOKUP(P271,'Painel Fertilizers'!$B:$B,'Painel Fertilizers'!$B:$B,0)</f>
        <v>0</v>
      </c>
    </row>
    <row r="272" spans="4:18" x14ac:dyDescent="0.25">
      <c r="D272" s="32"/>
      <c r="F272" s="28"/>
      <c r="K272" s="28"/>
      <c r="Q272">
        <f t="shared" si="6"/>
        <v>46197</v>
      </c>
      <c r="R272">
        <f>_xlfn.XLOOKUP(P272,'Painel Fertilizers'!$B:$B,'Painel Fertilizers'!$B:$B,0)</f>
        <v>0</v>
      </c>
    </row>
    <row r="273" spans="4:18" x14ac:dyDescent="0.25">
      <c r="D273" s="32"/>
      <c r="F273" s="28"/>
      <c r="K273" s="28"/>
      <c r="Q273">
        <f t="shared" si="6"/>
        <v>46197</v>
      </c>
      <c r="R273">
        <f>_xlfn.XLOOKUP(P273,'Painel Fertilizers'!$B:$B,'Painel Fertilizers'!$B:$B,0)</f>
        <v>0</v>
      </c>
    </row>
    <row r="274" spans="4:18" x14ac:dyDescent="0.25">
      <c r="D274" s="32"/>
      <c r="F274" s="28"/>
      <c r="K274" s="28"/>
      <c r="Q274">
        <f t="shared" si="6"/>
        <v>46197</v>
      </c>
      <c r="R274">
        <f>_xlfn.XLOOKUP(P274,'Painel Fertilizers'!$B:$B,'Painel Fertilizers'!$B:$B,0)</f>
        <v>0</v>
      </c>
    </row>
    <row r="275" spans="4:18" x14ac:dyDescent="0.25">
      <c r="D275" s="32"/>
      <c r="F275" s="28"/>
      <c r="K275" s="28"/>
      <c r="Q275">
        <f t="shared" si="6"/>
        <v>46197</v>
      </c>
      <c r="R275">
        <f>_xlfn.XLOOKUP(P275,'Painel Fertilizers'!$B:$B,'Painel Fertilizers'!$B:$B,0)</f>
        <v>0</v>
      </c>
    </row>
    <row r="276" spans="4:18" x14ac:dyDescent="0.25">
      <c r="D276" s="32"/>
      <c r="F276" s="28"/>
      <c r="K276" s="28"/>
      <c r="Q276">
        <f t="shared" si="6"/>
        <v>46197</v>
      </c>
      <c r="R276">
        <f>_xlfn.XLOOKUP(P276,'Painel Fertilizers'!$B:$B,'Painel Fertilizers'!$B:$B,0)</f>
        <v>0</v>
      </c>
    </row>
    <row r="277" spans="4:18" x14ac:dyDescent="0.25">
      <c r="D277" s="32"/>
      <c r="F277" s="28"/>
      <c r="K277" s="28"/>
      <c r="Q277">
        <f t="shared" si="6"/>
        <v>46197</v>
      </c>
      <c r="R277">
        <f>_xlfn.XLOOKUP(P277,'Painel Fertilizers'!$B:$B,'Painel Fertilizers'!$B:$B,0)</f>
        <v>0</v>
      </c>
    </row>
    <row r="278" spans="4:18" x14ac:dyDescent="0.25">
      <c r="D278" s="32"/>
      <c r="F278" s="28"/>
      <c r="K278" s="28"/>
      <c r="Q278">
        <f t="shared" si="6"/>
        <v>46197</v>
      </c>
      <c r="R278">
        <f>_xlfn.XLOOKUP(P278,'Painel Fertilizers'!$B:$B,'Painel Fertilizers'!$B:$B,0)</f>
        <v>0</v>
      </c>
    </row>
    <row r="279" spans="4:18" x14ac:dyDescent="0.25">
      <c r="D279" s="32"/>
      <c r="F279" s="28"/>
      <c r="K279" s="28"/>
      <c r="Q279">
        <f t="shared" si="6"/>
        <v>46197</v>
      </c>
      <c r="R279">
        <f>_xlfn.XLOOKUP(P279,'Painel Fertilizers'!$B:$B,'Painel Fertilizers'!$B:$B,0)</f>
        <v>0</v>
      </c>
    </row>
    <row r="280" spans="4:18" x14ac:dyDescent="0.25">
      <c r="D280" s="32"/>
      <c r="F280" s="28"/>
      <c r="K280" s="28"/>
      <c r="Q280">
        <f t="shared" si="6"/>
        <v>46197</v>
      </c>
      <c r="R280">
        <f>_xlfn.XLOOKUP(P280,'Painel Fertilizers'!$B:$B,'Painel Fertilizers'!$B:$B,0)</f>
        <v>0</v>
      </c>
    </row>
    <row r="281" spans="4:18" x14ac:dyDescent="0.25">
      <c r="D281" s="32"/>
      <c r="F281" s="28"/>
      <c r="K281" s="28"/>
      <c r="Q281">
        <f t="shared" si="6"/>
        <v>46197</v>
      </c>
      <c r="R281">
        <f>_xlfn.XLOOKUP(P281,'Painel Fertilizers'!$B:$B,'Painel Fertilizers'!$B:$B,0)</f>
        <v>0</v>
      </c>
    </row>
    <row r="282" spans="4:18" x14ac:dyDescent="0.25">
      <c r="D282" s="32"/>
      <c r="F282" s="28"/>
      <c r="K282" s="28"/>
      <c r="Q282">
        <f t="shared" si="6"/>
        <v>46197</v>
      </c>
      <c r="R282">
        <f>_xlfn.XLOOKUP(P282,'Painel Fertilizers'!$B:$B,'Painel Fertilizers'!$B:$B,0)</f>
        <v>0</v>
      </c>
    </row>
    <row r="283" spans="4:18" x14ac:dyDescent="0.25">
      <c r="D283" s="32"/>
      <c r="F283" s="28"/>
      <c r="K283" s="28"/>
      <c r="Q283">
        <f t="shared" si="6"/>
        <v>46197</v>
      </c>
      <c r="R283">
        <f>_xlfn.XLOOKUP(P283,'Painel Fertilizers'!$B:$B,'Painel Fertilizers'!$B:$B,0)</f>
        <v>0</v>
      </c>
    </row>
    <row r="284" spans="4:18" x14ac:dyDescent="0.25">
      <c r="D284" s="32"/>
      <c r="F284" s="28"/>
      <c r="K284" s="28"/>
      <c r="Q284">
        <f t="shared" si="6"/>
        <v>46197</v>
      </c>
      <c r="R284">
        <f>_xlfn.XLOOKUP(P284,'Painel Fertilizers'!$B:$B,'Painel Fertilizers'!$B:$B,0)</f>
        <v>0</v>
      </c>
    </row>
    <row r="285" spans="4:18" x14ac:dyDescent="0.25">
      <c r="D285" s="32"/>
      <c r="F285" s="28"/>
      <c r="K285" s="28"/>
      <c r="Q285">
        <f t="shared" si="6"/>
        <v>46197</v>
      </c>
      <c r="R285">
        <f>_xlfn.XLOOKUP(P285,'Painel Fertilizers'!$B:$B,'Painel Fertilizers'!$B:$B,0)</f>
        <v>0</v>
      </c>
    </row>
    <row r="286" spans="4:18" x14ac:dyDescent="0.25">
      <c r="D286" s="32"/>
      <c r="F286" s="28"/>
      <c r="K286" s="28"/>
      <c r="Q286">
        <f t="shared" si="6"/>
        <v>46197</v>
      </c>
      <c r="R286">
        <f>_xlfn.XLOOKUP(P286,'Painel Fertilizers'!$B:$B,'Painel Fertilizers'!$B:$B,0)</f>
        <v>0</v>
      </c>
    </row>
    <row r="287" spans="4:18" x14ac:dyDescent="0.25">
      <c r="D287" s="32"/>
      <c r="F287" s="28"/>
      <c r="K287" s="28"/>
      <c r="Q287">
        <f t="shared" si="6"/>
        <v>46197</v>
      </c>
      <c r="R287">
        <f>_xlfn.XLOOKUP(P287,'Painel Fertilizers'!$B:$B,'Painel Fertilizers'!$B:$B,0)</f>
        <v>0</v>
      </c>
    </row>
    <row r="288" spans="4:18" x14ac:dyDescent="0.25">
      <c r="D288" s="32"/>
      <c r="F288" s="28"/>
      <c r="K288" s="28"/>
      <c r="Q288">
        <f t="shared" si="6"/>
        <v>46197</v>
      </c>
      <c r="R288">
        <f>_xlfn.XLOOKUP(P288,'Painel Fertilizers'!$B:$B,'Painel Fertilizers'!$B:$B,0)</f>
        <v>0</v>
      </c>
    </row>
    <row r="289" spans="4:18" x14ac:dyDescent="0.25">
      <c r="D289" s="32"/>
      <c r="F289" s="28"/>
      <c r="G289" s="28"/>
      <c r="K289" s="28"/>
      <c r="Q289">
        <f t="shared" si="6"/>
        <v>46197</v>
      </c>
      <c r="R289">
        <f>_xlfn.XLOOKUP(P289,'Painel Fertilizers'!$B:$B,'Painel Fertilizers'!$B:$B,0)</f>
        <v>0</v>
      </c>
    </row>
    <row r="290" spans="4:18" x14ac:dyDescent="0.25">
      <c r="D290" s="32"/>
      <c r="F290" s="28"/>
      <c r="G290" s="28"/>
      <c r="K290" s="28"/>
      <c r="Q290">
        <f t="shared" si="6"/>
        <v>46197</v>
      </c>
      <c r="R290">
        <f>_xlfn.XLOOKUP(P290,'Painel Fertilizers'!$B:$B,'Painel Fertilizers'!$B:$B,0)</f>
        <v>0</v>
      </c>
    </row>
    <row r="291" spans="4:18" x14ac:dyDescent="0.25">
      <c r="D291" s="32"/>
      <c r="F291" s="28"/>
      <c r="G291" s="28"/>
      <c r="K291" s="28"/>
      <c r="Q291">
        <f t="shared" si="6"/>
        <v>46197</v>
      </c>
      <c r="R291">
        <f>_xlfn.XLOOKUP(P291,'Painel Fertilizers'!$B:$B,'Painel Fertilizers'!$B:$B,0)</f>
        <v>0</v>
      </c>
    </row>
    <row r="292" spans="4:18" x14ac:dyDescent="0.25">
      <c r="D292" s="32"/>
      <c r="F292" s="28"/>
      <c r="G292" s="28"/>
      <c r="K292" s="28"/>
      <c r="Q292">
        <f t="shared" si="6"/>
        <v>46197</v>
      </c>
      <c r="R292">
        <f>_xlfn.XLOOKUP(P292,'Painel Fertilizers'!$B:$B,'Painel Fertilizers'!$B:$B,0)</f>
        <v>0</v>
      </c>
    </row>
    <row r="293" spans="4:18" x14ac:dyDescent="0.25">
      <c r="D293" s="32"/>
      <c r="F293" s="28"/>
      <c r="G293" s="28"/>
      <c r="K293" s="28"/>
      <c r="Q293">
        <f t="shared" si="6"/>
        <v>46197</v>
      </c>
      <c r="R293">
        <f>_xlfn.XLOOKUP(P293,'Painel Fertilizers'!$B:$B,'Painel Fertilizers'!$B:$B,0)</f>
        <v>0</v>
      </c>
    </row>
    <row r="294" spans="4:18" x14ac:dyDescent="0.25">
      <c r="D294" s="32"/>
      <c r="F294" s="28"/>
      <c r="G294" s="28"/>
      <c r="K294" s="28"/>
      <c r="Q294">
        <f t="shared" si="6"/>
        <v>46197</v>
      </c>
      <c r="R294">
        <f>_xlfn.XLOOKUP(P294,'Painel Fertilizers'!$B:$B,'Painel Fertilizers'!$B:$B,0)</f>
        <v>0</v>
      </c>
    </row>
    <row r="295" spans="4:18" x14ac:dyDescent="0.25">
      <c r="D295" s="32"/>
      <c r="F295" s="28"/>
      <c r="G295" s="28"/>
      <c r="K295" s="28"/>
      <c r="Q295">
        <f t="shared" si="6"/>
        <v>46197</v>
      </c>
      <c r="R295">
        <f>_xlfn.XLOOKUP(P295,'Painel Fertilizers'!$B:$B,'Painel Fertilizers'!$B:$B,0)</f>
        <v>0</v>
      </c>
    </row>
    <row r="296" spans="4:18" x14ac:dyDescent="0.25">
      <c r="D296" s="32"/>
      <c r="F296" s="28"/>
      <c r="G296" s="28"/>
      <c r="K296" s="28"/>
      <c r="Q296">
        <f t="shared" si="6"/>
        <v>46197</v>
      </c>
      <c r="R296">
        <f>_xlfn.XLOOKUP(P296,'Painel Fertilizers'!$B:$B,'Painel Fertilizers'!$B:$B,0)</f>
        <v>0</v>
      </c>
    </row>
    <row r="297" spans="4:18" x14ac:dyDescent="0.25">
      <c r="D297" s="32"/>
      <c r="F297" s="28"/>
      <c r="G297" s="28"/>
      <c r="K297" s="28"/>
      <c r="Q297">
        <f t="shared" si="6"/>
        <v>46197</v>
      </c>
      <c r="R297">
        <f>_xlfn.XLOOKUP(P297,'Painel Fertilizers'!$B:$B,'Painel Fertilizers'!$B:$B,0)</f>
        <v>0</v>
      </c>
    </row>
    <row r="298" spans="4:18" x14ac:dyDescent="0.25">
      <c r="D298" s="32"/>
      <c r="F298" s="28"/>
      <c r="G298" s="28"/>
      <c r="K298" s="28"/>
      <c r="Q298">
        <f t="shared" si="6"/>
        <v>46197</v>
      </c>
      <c r="R298">
        <f>_xlfn.XLOOKUP(P298,'Painel Fertilizers'!$B:$B,'Painel Fertilizers'!$B:$B,0)</f>
        <v>0</v>
      </c>
    </row>
    <row r="299" spans="4:18" x14ac:dyDescent="0.25">
      <c r="D299" s="32"/>
      <c r="F299" s="28"/>
      <c r="K299" s="28"/>
      <c r="Q299">
        <f t="shared" si="6"/>
        <v>46197</v>
      </c>
      <c r="R299">
        <f>_xlfn.XLOOKUP(P299,'Painel Fertilizers'!$B:$B,'Painel Fertilizers'!$B:$B,0)</f>
        <v>0</v>
      </c>
    </row>
    <row r="300" spans="4:18" x14ac:dyDescent="0.25">
      <c r="D300" s="32"/>
      <c r="F300" s="28"/>
      <c r="K300" s="28"/>
      <c r="Q300">
        <f t="shared" si="6"/>
        <v>46197</v>
      </c>
      <c r="R300">
        <f>_xlfn.XLOOKUP(P300,'Painel Fertilizers'!$B:$B,'Painel Fertilizers'!$B:$B,0)</f>
        <v>0</v>
      </c>
    </row>
    <row r="301" spans="4:18" x14ac:dyDescent="0.25">
      <c r="D301" s="32"/>
      <c r="F301" s="28"/>
      <c r="K301" s="28"/>
      <c r="Q301">
        <f t="shared" si="6"/>
        <v>46197</v>
      </c>
      <c r="R301">
        <f>_xlfn.XLOOKUP(P301,'Painel Fertilizers'!$B:$B,'Painel Fertilizers'!$B:$B,0)</f>
        <v>0</v>
      </c>
    </row>
    <row r="302" spans="4:18" x14ac:dyDescent="0.25">
      <c r="D302" s="32"/>
      <c r="F302" s="28"/>
      <c r="K302" s="28"/>
      <c r="Q302">
        <f t="shared" si="6"/>
        <v>46197</v>
      </c>
      <c r="R302">
        <f>_xlfn.XLOOKUP(P302,'Painel Fertilizers'!$B:$B,'Painel Fertilizers'!$B:$B,0)</f>
        <v>0</v>
      </c>
    </row>
    <row r="303" spans="4:18" x14ac:dyDescent="0.25">
      <c r="D303" s="32"/>
      <c r="F303" s="28"/>
      <c r="K303" s="28"/>
      <c r="Q303">
        <f t="shared" si="6"/>
        <v>46197</v>
      </c>
      <c r="R303">
        <f>_xlfn.XLOOKUP(P303,'Painel Fertilizers'!$B:$B,'Painel Fertilizers'!$B:$B,0)</f>
        <v>0</v>
      </c>
    </row>
    <row r="304" spans="4:18" x14ac:dyDescent="0.25">
      <c r="D304" s="32"/>
      <c r="F304" s="28"/>
      <c r="K304" s="28"/>
      <c r="Q304">
        <f t="shared" si="6"/>
        <v>46197</v>
      </c>
      <c r="R304">
        <f>_xlfn.XLOOKUP(P304,'Painel Fertilizers'!$B:$B,'Painel Fertilizers'!$B:$B,0)</f>
        <v>0</v>
      </c>
    </row>
    <row r="305" spans="4:18" x14ac:dyDescent="0.25">
      <c r="D305" s="32"/>
      <c r="F305" s="28"/>
      <c r="K305" s="28"/>
      <c r="Q305">
        <f t="shared" si="6"/>
        <v>46197</v>
      </c>
      <c r="R305">
        <f>_xlfn.XLOOKUP(P305,'Painel Fertilizers'!$B:$B,'Painel Fertilizers'!$B:$B,0)</f>
        <v>0</v>
      </c>
    </row>
    <row r="306" spans="4:18" x14ac:dyDescent="0.25">
      <c r="D306" s="32"/>
      <c r="F306" s="28"/>
      <c r="K306" s="28"/>
      <c r="Q306">
        <f t="shared" si="6"/>
        <v>46197</v>
      </c>
      <c r="R306">
        <f>_xlfn.XLOOKUP(P306,'Painel Fertilizers'!$B:$B,'Painel Fertilizers'!$B:$B,0)</f>
        <v>0</v>
      </c>
    </row>
    <row r="307" spans="4:18" x14ac:dyDescent="0.25">
      <c r="D307" s="32"/>
      <c r="F307" s="28"/>
      <c r="G307" s="28"/>
      <c r="K307" s="28"/>
      <c r="Q307">
        <f t="shared" si="6"/>
        <v>46197</v>
      </c>
      <c r="R307">
        <f>_xlfn.XLOOKUP(P307,'Painel Fertilizers'!$B:$B,'Painel Fertilizers'!$B:$B,0)</f>
        <v>0</v>
      </c>
    </row>
    <row r="308" spans="4:18" x14ac:dyDescent="0.25">
      <c r="D308" s="32"/>
      <c r="F308" s="28"/>
      <c r="K308" s="28"/>
      <c r="Q308">
        <f t="shared" si="6"/>
        <v>46197</v>
      </c>
      <c r="R308">
        <f>_xlfn.XLOOKUP(P308,'Painel Fertilizers'!$B:$B,'Painel Fertilizers'!$B:$B,0)</f>
        <v>0</v>
      </c>
    </row>
    <row r="309" spans="4:18" x14ac:dyDescent="0.25">
      <c r="D309" s="32"/>
      <c r="F309" s="28"/>
      <c r="K309" s="28"/>
      <c r="Q309">
        <f t="shared" si="6"/>
        <v>46197</v>
      </c>
      <c r="R309">
        <f>_xlfn.XLOOKUP(P309,'Painel Fertilizers'!$B:$B,'Painel Fertilizers'!$B:$B,0)</f>
        <v>0</v>
      </c>
    </row>
    <row r="310" spans="4:18" x14ac:dyDescent="0.25">
      <c r="D310" s="32"/>
      <c r="F310" s="28"/>
      <c r="K310" s="28"/>
      <c r="Q310">
        <f t="shared" ref="Q310" si="7">$R$1-F310</f>
        <v>46197</v>
      </c>
      <c r="R310">
        <f>_xlfn.XLOOKUP(P310,'Painel Fertilizers'!$B:$B,'Painel Fertilizers'!$B:$B,0)</f>
        <v>0</v>
      </c>
    </row>
    <row r="311" spans="4:18" x14ac:dyDescent="0.25">
      <c r="D311" s="32"/>
      <c r="F311" s="28"/>
      <c r="K311" s="28"/>
      <c r="Q311">
        <f t="shared" ref="Q311:Q374" si="8">$R$1-F311</f>
        <v>46197</v>
      </c>
      <c r="R311">
        <f>_xlfn.XLOOKUP(P311,'Painel Fertilizers'!$B:$B,'Painel Fertilizers'!$B:$B,0)</f>
        <v>0</v>
      </c>
    </row>
    <row r="312" spans="4:18" x14ac:dyDescent="0.25">
      <c r="D312" s="32"/>
      <c r="F312" s="28"/>
      <c r="K312" s="28"/>
      <c r="Q312">
        <f t="shared" si="8"/>
        <v>46197</v>
      </c>
      <c r="R312">
        <f>_xlfn.XLOOKUP(P312,'Painel Fertilizers'!$B:$B,'Painel Fertilizers'!$B:$B,0)</f>
        <v>0</v>
      </c>
    </row>
    <row r="313" spans="4:18" x14ac:dyDescent="0.25">
      <c r="D313" s="32"/>
      <c r="F313" s="28"/>
      <c r="K313" s="28"/>
      <c r="Q313">
        <f t="shared" si="8"/>
        <v>46197</v>
      </c>
      <c r="R313">
        <f>_xlfn.XLOOKUP(P313,'Painel Fertilizers'!$B:$B,'Painel Fertilizers'!$B:$B,0)</f>
        <v>0</v>
      </c>
    </row>
    <row r="314" spans="4:18" x14ac:dyDescent="0.25">
      <c r="D314" s="32"/>
      <c r="F314" s="28"/>
      <c r="K314" s="28"/>
      <c r="Q314">
        <f t="shared" si="8"/>
        <v>46197</v>
      </c>
      <c r="R314">
        <f>_xlfn.XLOOKUP(P314,'Painel Fertilizers'!$B:$B,'Painel Fertilizers'!$B:$B,0)</f>
        <v>0</v>
      </c>
    </row>
    <row r="315" spans="4:18" x14ac:dyDescent="0.25">
      <c r="D315" s="32"/>
      <c r="F315" s="28"/>
      <c r="K315" s="28"/>
      <c r="Q315">
        <f t="shared" si="8"/>
        <v>46197</v>
      </c>
      <c r="R315">
        <f>_xlfn.XLOOKUP(P315,'Painel Fertilizers'!$B:$B,'Painel Fertilizers'!$B:$B,0)</f>
        <v>0</v>
      </c>
    </row>
    <row r="316" spans="4:18" x14ac:dyDescent="0.25">
      <c r="D316" s="32"/>
      <c r="F316" s="28"/>
      <c r="K316" s="28"/>
      <c r="Q316">
        <f t="shared" si="8"/>
        <v>46197</v>
      </c>
      <c r="R316">
        <f>_xlfn.XLOOKUP(P316,'Painel Fertilizers'!$B:$B,'Painel Fertilizers'!$B:$B,0)</f>
        <v>0</v>
      </c>
    </row>
    <row r="317" spans="4:18" x14ac:dyDescent="0.25">
      <c r="D317" s="32"/>
      <c r="F317" s="28"/>
      <c r="G317" s="28"/>
      <c r="K317" s="28"/>
      <c r="Q317">
        <f t="shared" si="8"/>
        <v>46197</v>
      </c>
      <c r="R317">
        <f>_xlfn.XLOOKUP(P317,'Painel Fertilizers'!$B:$B,'Painel Fertilizers'!$B:$B,0)</f>
        <v>0</v>
      </c>
    </row>
    <row r="318" spans="4:18" x14ac:dyDescent="0.25">
      <c r="D318" s="32"/>
      <c r="F318" s="28"/>
      <c r="K318" s="28"/>
      <c r="Q318">
        <f t="shared" si="8"/>
        <v>46197</v>
      </c>
      <c r="R318">
        <f>_xlfn.XLOOKUP(P318,'Painel Fertilizers'!$B:$B,'Painel Fertilizers'!$B:$B,0)</f>
        <v>0</v>
      </c>
    </row>
    <row r="319" spans="4:18" x14ac:dyDescent="0.25">
      <c r="D319" s="32"/>
      <c r="F319" s="28"/>
      <c r="K319" s="28"/>
      <c r="Q319">
        <f t="shared" si="8"/>
        <v>46197</v>
      </c>
      <c r="R319">
        <f>_xlfn.XLOOKUP(P319,'Painel Fertilizers'!$B:$B,'Painel Fertilizers'!$B:$B,0)</f>
        <v>0</v>
      </c>
    </row>
    <row r="320" spans="4:18" x14ac:dyDescent="0.25">
      <c r="D320" s="32"/>
      <c r="F320" s="28"/>
      <c r="K320" s="28"/>
      <c r="Q320">
        <f t="shared" si="8"/>
        <v>46197</v>
      </c>
      <c r="R320">
        <f>_xlfn.XLOOKUP(P320,'Painel Fertilizers'!$B:$B,'Painel Fertilizers'!$B:$B,0)</f>
        <v>0</v>
      </c>
    </row>
    <row r="321" spans="4:18" x14ac:dyDescent="0.25">
      <c r="D321" s="32"/>
      <c r="F321" s="28"/>
      <c r="K321" s="28"/>
      <c r="Q321">
        <f t="shared" si="8"/>
        <v>46197</v>
      </c>
      <c r="R321">
        <f>_xlfn.XLOOKUP(P321,'Painel Fertilizers'!$B:$B,'Painel Fertilizers'!$B:$B,0)</f>
        <v>0</v>
      </c>
    </row>
    <row r="322" spans="4:18" x14ac:dyDescent="0.25">
      <c r="D322" s="32"/>
      <c r="F322" s="28"/>
      <c r="K322" s="28"/>
      <c r="Q322">
        <f t="shared" si="8"/>
        <v>46197</v>
      </c>
      <c r="R322">
        <f>_xlfn.XLOOKUP(P322,'Painel Fertilizers'!$B:$B,'Painel Fertilizers'!$B:$B,0)</f>
        <v>0</v>
      </c>
    </row>
    <row r="323" spans="4:18" x14ac:dyDescent="0.25">
      <c r="D323" s="32"/>
      <c r="F323" s="28"/>
      <c r="G323" s="28"/>
      <c r="K323" s="28"/>
      <c r="Q323">
        <f t="shared" si="8"/>
        <v>46197</v>
      </c>
      <c r="R323">
        <f>_xlfn.XLOOKUP(P323,'Painel Fertilizers'!$B:$B,'Painel Fertilizers'!$B:$B,0)</f>
        <v>0</v>
      </c>
    </row>
    <row r="324" spans="4:18" x14ac:dyDescent="0.25">
      <c r="D324" s="32"/>
      <c r="F324" s="28"/>
      <c r="G324" s="28"/>
      <c r="K324" s="28"/>
      <c r="Q324">
        <f t="shared" si="8"/>
        <v>46197</v>
      </c>
      <c r="R324">
        <f>_xlfn.XLOOKUP(P324,'Painel Fertilizers'!$B:$B,'Painel Fertilizers'!$B:$B,0)</f>
        <v>0</v>
      </c>
    </row>
    <row r="325" spans="4:18" x14ac:dyDescent="0.25">
      <c r="D325" s="32"/>
      <c r="F325" s="28"/>
      <c r="G325" s="28"/>
      <c r="K325" s="28"/>
      <c r="Q325">
        <f t="shared" si="8"/>
        <v>46197</v>
      </c>
      <c r="R325">
        <f>_xlfn.XLOOKUP(P325,'Painel Fertilizers'!$B:$B,'Painel Fertilizers'!$B:$B,0)</f>
        <v>0</v>
      </c>
    </row>
    <row r="326" spans="4:18" x14ac:dyDescent="0.25">
      <c r="D326" s="32"/>
      <c r="F326" s="28"/>
      <c r="K326" s="28"/>
      <c r="Q326">
        <f t="shared" si="8"/>
        <v>46197</v>
      </c>
      <c r="R326">
        <f>_xlfn.XLOOKUP(P326,'Painel Fertilizers'!$B:$B,'Painel Fertilizers'!$B:$B,0)</f>
        <v>0</v>
      </c>
    </row>
    <row r="327" spans="4:18" x14ac:dyDescent="0.25">
      <c r="D327" s="32"/>
      <c r="F327" s="28"/>
      <c r="K327" s="28"/>
      <c r="Q327">
        <f t="shared" si="8"/>
        <v>46197</v>
      </c>
      <c r="R327">
        <f>_xlfn.XLOOKUP(P327,'Painel Fertilizers'!$B:$B,'Painel Fertilizers'!$B:$B,0)</f>
        <v>0</v>
      </c>
    </row>
    <row r="328" spans="4:18" x14ac:dyDescent="0.25">
      <c r="D328" s="32"/>
      <c r="F328" s="28"/>
      <c r="K328" s="28"/>
      <c r="Q328">
        <f t="shared" si="8"/>
        <v>46197</v>
      </c>
      <c r="R328">
        <f>_xlfn.XLOOKUP(P328,'Painel Fertilizers'!$B:$B,'Painel Fertilizers'!$B:$B,0)</f>
        <v>0</v>
      </c>
    </row>
    <row r="329" spans="4:18" x14ac:dyDescent="0.25">
      <c r="D329" s="32"/>
      <c r="F329" s="28"/>
      <c r="K329" s="28"/>
      <c r="Q329">
        <f t="shared" si="8"/>
        <v>46197</v>
      </c>
      <c r="R329">
        <f>_xlfn.XLOOKUP(P329,'Painel Fertilizers'!$B:$B,'Painel Fertilizers'!$B:$B,0)</f>
        <v>0</v>
      </c>
    </row>
    <row r="330" spans="4:18" x14ac:dyDescent="0.25">
      <c r="D330" s="32"/>
      <c r="F330" s="28"/>
      <c r="K330" s="28"/>
      <c r="Q330">
        <f t="shared" si="8"/>
        <v>46197</v>
      </c>
      <c r="R330">
        <f>_xlfn.XLOOKUP(P330,'Painel Fertilizers'!$B:$B,'Painel Fertilizers'!$B:$B,0)</f>
        <v>0</v>
      </c>
    </row>
    <row r="331" spans="4:18" x14ac:dyDescent="0.25">
      <c r="D331" s="32"/>
      <c r="F331" s="28"/>
      <c r="K331" s="28"/>
      <c r="Q331">
        <f t="shared" si="8"/>
        <v>46197</v>
      </c>
      <c r="R331">
        <f>_xlfn.XLOOKUP(P331,'Painel Fertilizers'!$B:$B,'Painel Fertilizers'!$B:$B,0)</f>
        <v>0</v>
      </c>
    </row>
    <row r="332" spans="4:18" x14ac:dyDescent="0.25">
      <c r="D332" s="32"/>
      <c r="F332" s="28"/>
      <c r="K332" s="28"/>
      <c r="Q332">
        <f t="shared" si="8"/>
        <v>46197</v>
      </c>
      <c r="R332">
        <f>_xlfn.XLOOKUP(P332,'Painel Fertilizers'!$B:$B,'Painel Fertilizers'!$B:$B,0)</f>
        <v>0</v>
      </c>
    </row>
    <row r="333" spans="4:18" x14ac:dyDescent="0.25">
      <c r="D333" s="32"/>
      <c r="F333" s="28"/>
      <c r="K333" s="28"/>
      <c r="Q333">
        <f t="shared" si="8"/>
        <v>46197</v>
      </c>
      <c r="R333">
        <f>_xlfn.XLOOKUP(P333,'Painel Fertilizers'!$B:$B,'Painel Fertilizers'!$B:$B,0)</f>
        <v>0</v>
      </c>
    </row>
    <row r="334" spans="4:18" x14ac:dyDescent="0.25">
      <c r="D334" s="32"/>
      <c r="F334" s="28"/>
      <c r="K334" s="28"/>
      <c r="Q334">
        <f t="shared" si="8"/>
        <v>46197</v>
      </c>
      <c r="R334">
        <f>_xlfn.XLOOKUP(P334,'Painel Fertilizers'!$B:$B,'Painel Fertilizers'!$B:$B,0)</f>
        <v>0</v>
      </c>
    </row>
    <row r="335" spans="4:18" x14ac:dyDescent="0.25">
      <c r="D335" s="32"/>
      <c r="F335" s="28"/>
      <c r="K335" s="28"/>
      <c r="Q335">
        <f t="shared" si="8"/>
        <v>46197</v>
      </c>
      <c r="R335">
        <f>_xlfn.XLOOKUP(P335,'Painel Fertilizers'!$B:$B,'Painel Fertilizers'!$B:$B,0)</f>
        <v>0</v>
      </c>
    </row>
    <row r="336" spans="4:18" x14ac:dyDescent="0.25">
      <c r="D336" s="32"/>
      <c r="F336" s="28"/>
      <c r="K336" s="28"/>
      <c r="Q336">
        <f t="shared" si="8"/>
        <v>46197</v>
      </c>
      <c r="R336">
        <f>_xlfn.XLOOKUP(P336,'Painel Fertilizers'!$B:$B,'Painel Fertilizers'!$B:$B,0)</f>
        <v>0</v>
      </c>
    </row>
    <row r="337" spans="4:18" x14ac:dyDescent="0.25">
      <c r="D337" s="32"/>
      <c r="F337" s="28"/>
      <c r="G337" s="28"/>
      <c r="K337" s="28"/>
      <c r="Q337">
        <f t="shared" si="8"/>
        <v>46197</v>
      </c>
      <c r="R337">
        <f>_xlfn.XLOOKUP(P337,'Painel Fertilizers'!$B:$B,'Painel Fertilizers'!$B:$B,0)</f>
        <v>0</v>
      </c>
    </row>
    <row r="338" spans="4:18" x14ac:dyDescent="0.25">
      <c r="D338" s="32"/>
      <c r="F338" s="28"/>
      <c r="G338" s="28"/>
      <c r="K338" s="28"/>
      <c r="Q338">
        <f t="shared" si="8"/>
        <v>46197</v>
      </c>
      <c r="R338">
        <f>_xlfn.XLOOKUP(P338,'Painel Fertilizers'!$B:$B,'Painel Fertilizers'!$B:$B,0)</f>
        <v>0</v>
      </c>
    </row>
    <row r="339" spans="4:18" x14ac:dyDescent="0.25">
      <c r="D339" s="32"/>
      <c r="F339" s="28"/>
      <c r="G339" s="28"/>
      <c r="K339" s="28"/>
      <c r="Q339">
        <f t="shared" si="8"/>
        <v>46197</v>
      </c>
      <c r="R339">
        <f>_xlfn.XLOOKUP(P339,'Painel Fertilizers'!$B:$B,'Painel Fertilizers'!$B:$B,0)</f>
        <v>0</v>
      </c>
    </row>
    <row r="340" spans="4:18" x14ac:dyDescent="0.25">
      <c r="D340" s="32"/>
      <c r="F340" s="28"/>
      <c r="G340" s="28"/>
      <c r="K340" s="28"/>
      <c r="Q340">
        <f t="shared" si="8"/>
        <v>46197</v>
      </c>
      <c r="R340">
        <f>_xlfn.XLOOKUP(P340,'Painel Fertilizers'!$B:$B,'Painel Fertilizers'!$B:$B,0)</f>
        <v>0</v>
      </c>
    </row>
    <row r="341" spans="4:18" x14ac:dyDescent="0.25">
      <c r="D341" s="32"/>
      <c r="F341" s="28"/>
      <c r="G341" s="28"/>
      <c r="K341" s="28"/>
      <c r="Q341">
        <f t="shared" si="8"/>
        <v>46197</v>
      </c>
      <c r="R341">
        <f>_xlfn.XLOOKUP(P341,'Painel Fertilizers'!$B:$B,'Painel Fertilizers'!$B:$B,0)</f>
        <v>0</v>
      </c>
    </row>
    <row r="342" spans="4:18" x14ac:dyDescent="0.25">
      <c r="D342" s="32"/>
      <c r="F342" s="28"/>
      <c r="G342" s="28"/>
      <c r="K342" s="28"/>
      <c r="Q342">
        <f t="shared" si="8"/>
        <v>46197</v>
      </c>
      <c r="R342">
        <f>_xlfn.XLOOKUP(P342,'Painel Fertilizers'!$B:$B,'Painel Fertilizers'!$B:$B,0)</f>
        <v>0</v>
      </c>
    </row>
    <row r="343" spans="4:18" x14ac:dyDescent="0.25">
      <c r="D343" s="32"/>
      <c r="F343" s="28"/>
      <c r="G343" s="28"/>
      <c r="K343" s="28"/>
      <c r="Q343">
        <f t="shared" si="8"/>
        <v>46197</v>
      </c>
      <c r="R343">
        <f>_xlfn.XLOOKUP(P343,'Painel Fertilizers'!$B:$B,'Painel Fertilizers'!$B:$B,0)</f>
        <v>0</v>
      </c>
    </row>
    <row r="344" spans="4:18" x14ac:dyDescent="0.25">
      <c r="D344" s="32"/>
      <c r="F344" s="28"/>
      <c r="G344" s="28"/>
      <c r="K344" s="28"/>
      <c r="Q344">
        <f t="shared" si="8"/>
        <v>46197</v>
      </c>
      <c r="R344">
        <f>_xlfn.XLOOKUP(P344,'Painel Fertilizers'!$B:$B,'Painel Fertilizers'!$B:$B,0)</f>
        <v>0</v>
      </c>
    </row>
    <row r="345" spans="4:18" x14ac:dyDescent="0.25">
      <c r="D345" s="32"/>
      <c r="F345" s="28"/>
      <c r="G345" s="28"/>
      <c r="K345" s="28"/>
      <c r="Q345">
        <f t="shared" si="8"/>
        <v>46197</v>
      </c>
      <c r="R345">
        <f>_xlfn.XLOOKUP(P345,'Painel Fertilizers'!$B:$B,'Painel Fertilizers'!$B:$B,0)</f>
        <v>0</v>
      </c>
    </row>
    <row r="346" spans="4:18" x14ac:dyDescent="0.25">
      <c r="D346" s="32"/>
      <c r="F346" s="28"/>
      <c r="G346" s="28"/>
      <c r="K346" s="28"/>
      <c r="Q346">
        <f t="shared" si="8"/>
        <v>46197</v>
      </c>
      <c r="R346">
        <f>_xlfn.XLOOKUP(P346,'Painel Fertilizers'!$B:$B,'Painel Fertilizers'!$B:$B,0)</f>
        <v>0</v>
      </c>
    </row>
    <row r="347" spans="4:18" x14ac:dyDescent="0.25">
      <c r="D347" s="32"/>
      <c r="F347" s="28"/>
      <c r="G347" s="28"/>
      <c r="K347" s="28"/>
      <c r="Q347">
        <f t="shared" si="8"/>
        <v>46197</v>
      </c>
      <c r="R347">
        <f>_xlfn.XLOOKUP(P347,'Painel Fertilizers'!$B:$B,'Painel Fertilizers'!$B:$B,0)</f>
        <v>0</v>
      </c>
    </row>
    <row r="348" spans="4:18" x14ac:dyDescent="0.25">
      <c r="D348" s="32"/>
      <c r="F348" s="28"/>
      <c r="G348" s="28"/>
      <c r="K348" s="28"/>
      <c r="Q348">
        <f t="shared" si="8"/>
        <v>46197</v>
      </c>
      <c r="R348">
        <f>_xlfn.XLOOKUP(P348,'Painel Fertilizers'!$B:$B,'Painel Fertilizers'!$B:$B,0)</f>
        <v>0</v>
      </c>
    </row>
    <row r="349" spans="4:18" x14ac:dyDescent="0.25">
      <c r="D349" s="32"/>
      <c r="F349" s="28"/>
      <c r="G349" s="28"/>
      <c r="K349" s="28"/>
      <c r="Q349">
        <f t="shared" si="8"/>
        <v>46197</v>
      </c>
      <c r="R349">
        <f>_xlfn.XLOOKUP(P349,'Painel Fertilizers'!$B:$B,'Painel Fertilizers'!$B:$B,0)</f>
        <v>0</v>
      </c>
    </row>
    <row r="350" spans="4:18" x14ac:dyDescent="0.25">
      <c r="D350" s="32"/>
      <c r="F350" s="28"/>
      <c r="G350" s="28"/>
      <c r="K350" s="28"/>
      <c r="Q350">
        <f t="shared" si="8"/>
        <v>46197</v>
      </c>
      <c r="R350">
        <f>_xlfn.XLOOKUP(P350,'Painel Fertilizers'!$B:$B,'Painel Fertilizers'!$B:$B,0)</f>
        <v>0</v>
      </c>
    </row>
    <row r="351" spans="4:18" x14ac:dyDescent="0.25">
      <c r="D351" s="32"/>
      <c r="F351" s="28"/>
      <c r="G351" s="28"/>
      <c r="K351" s="28"/>
      <c r="Q351">
        <f t="shared" si="8"/>
        <v>46197</v>
      </c>
      <c r="R351">
        <f>_xlfn.XLOOKUP(P351,'Painel Fertilizers'!$B:$B,'Painel Fertilizers'!$B:$B,0)</f>
        <v>0</v>
      </c>
    </row>
    <row r="352" spans="4:18" x14ac:dyDescent="0.25">
      <c r="D352" s="32"/>
      <c r="F352" s="28"/>
      <c r="G352" s="28"/>
      <c r="K352" s="28"/>
      <c r="Q352">
        <f t="shared" si="8"/>
        <v>46197</v>
      </c>
      <c r="R352">
        <f>_xlfn.XLOOKUP(P352,'Painel Fertilizers'!$B:$B,'Painel Fertilizers'!$B:$B,0)</f>
        <v>0</v>
      </c>
    </row>
    <row r="353" spans="4:18" x14ac:dyDescent="0.25">
      <c r="D353" s="32"/>
      <c r="F353" s="28"/>
      <c r="G353" s="28"/>
      <c r="K353" s="28"/>
      <c r="Q353">
        <f t="shared" si="8"/>
        <v>46197</v>
      </c>
      <c r="R353">
        <f>_xlfn.XLOOKUP(P353,'Painel Fertilizers'!$B:$B,'Painel Fertilizers'!$B:$B,0)</f>
        <v>0</v>
      </c>
    </row>
    <row r="354" spans="4:18" x14ac:dyDescent="0.25">
      <c r="D354" s="32"/>
      <c r="F354" s="28"/>
      <c r="G354" s="28"/>
      <c r="K354" s="28"/>
      <c r="Q354">
        <f t="shared" si="8"/>
        <v>46197</v>
      </c>
      <c r="R354">
        <f>_xlfn.XLOOKUP(P354,'Painel Fertilizers'!$B:$B,'Painel Fertilizers'!$B:$B,0)</f>
        <v>0</v>
      </c>
    </row>
    <row r="355" spans="4:18" x14ac:dyDescent="0.25">
      <c r="D355" s="32"/>
      <c r="F355" s="28"/>
      <c r="G355" s="28"/>
      <c r="K355" s="28"/>
      <c r="Q355">
        <f t="shared" si="8"/>
        <v>46197</v>
      </c>
      <c r="R355">
        <f>_xlfn.XLOOKUP(P355,'Painel Fertilizers'!$B:$B,'Painel Fertilizers'!$B:$B,0)</f>
        <v>0</v>
      </c>
    </row>
    <row r="356" spans="4:18" x14ac:dyDescent="0.25">
      <c r="D356" s="32"/>
      <c r="F356" s="28"/>
      <c r="G356" s="28"/>
      <c r="K356" s="28"/>
      <c r="Q356">
        <f t="shared" si="8"/>
        <v>46197</v>
      </c>
      <c r="R356">
        <f>_xlfn.XLOOKUP(P356,'Painel Fertilizers'!$B:$B,'Painel Fertilizers'!$B:$B,0)</f>
        <v>0</v>
      </c>
    </row>
    <row r="357" spans="4:18" x14ac:dyDescent="0.25">
      <c r="D357" s="32"/>
      <c r="F357" s="28"/>
      <c r="G357" s="28"/>
      <c r="K357" s="28"/>
      <c r="Q357">
        <f t="shared" si="8"/>
        <v>46197</v>
      </c>
      <c r="R357">
        <f>_xlfn.XLOOKUP(P357,'Painel Fertilizers'!$B:$B,'Painel Fertilizers'!$B:$B,0)</f>
        <v>0</v>
      </c>
    </row>
    <row r="358" spans="4:18" x14ac:dyDescent="0.25">
      <c r="D358" s="32"/>
      <c r="F358" s="28"/>
      <c r="G358" s="28"/>
      <c r="K358" s="28"/>
      <c r="Q358">
        <f t="shared" si="8"/>
        <v>46197</v>
      </c>
      <c r="R358">
        <f>_xlfn.XLOOKUP(P358,'Painel Fertilizers'!$B:$B,'Painel Fertilizers'!$B:$B,0)</f>
        <v>0</v>
      </c>
    </row>
    <row r="359" spans="4:18" x14ac:dyDescent="0.25">
      <c r="D359" s="32"/>
      <c r="F359" s="28"/>
      <c r="G359" s="28"/>
      <c r="K359" s="28"/>
      <c r="Q359">
        <f t="shared" si="8"/>
        <v>46197</v>
      </c>
      <c r="R359">
        <f>_xlfn.XLOOKUP(P359,'Painel Fertilizers'!$B:$B,'Painel Fertilizers'!$B:$B,0)</f>
        <v>0</v>
      </c>
    </row>
    <row r="360" spans="4:18" x14ac:dyDescent="0.25">
      <c r="D360" s="32"/>
      <c r="F360" s="28"/>
      <c r="G360" s="28"/>
      <c r="K360" s="28"/>
      <c r="Q360">
        <f t="shared" si="8"/>
        <v>46197</v>
      </c>
      <c r="R360">
        <f>_xlfn.XLOOKUP(P360,'Painel Fertilizers'!$B:$B,'Painel Fertilizers'!$B:$B,0)</f>
        <v>0</v>
      </c>
    </row>
    <row r="361" spans="4:18" x14ac:dyDescent="0.25">
      <c r="D361" s="32"/>
      <c r="F361" s="28"/>
      <c r="G361" s="28"/>
      <c r="K361" s="28"/>
      <c r="Q361">
        <f t="shared" si="8"/>
        <v>46197</v>
      </c>
      <c r="R361">
        <f>_xlfn.XLOOKUP(P361,'Painel Fertilizers'!$B:$B,'Painel Fertilizers'!$B:$B,0)</f>
        <v>0</v>
      </c>
    </row>
    <row r="362" spans="4:18" x14ac:dyDescent="0.25">
      <c r="D362" s="32"/>
      <c r="F362" s="28"/>
      <c r="G362" s="28"/>
      <c r="K362" s="28"/>
      <c r="Q362">
        <f t="shared" si="8"/>
        <v>46197</v>
      </c>
      <c r="R362">
        <f>_xlfn.XLOOKUP(P362,'Painel Fertilizers'!$B:$B,'Painel Fertilizers'!$B:$B,0)</f>
        <v>0</v>
      </c>
    </row>
    <row r="363" spans="4:18" x14ac:dyDescent="0.25">
      <c r="D363" s="32"/>
      <c r="F363" s="28"/>
      <c r="G363" s="28"/>
      <c r="K363" s="28"/>
      <c r="Q363">
        <f t="shared" si="8"/>
        <v>46197</v>
      </c>
      <c r="R363">
        <f>_xlfn.XLOOKUP(P363,'Painel Fertilizers'!$B:$B,'Painel Fertilizers'!$B:$B,0)</f>
        <v>0</v>
      </c>
    </row>
    <row r="364" spans="4:18" x14ac:dyDescent="0.25">
      <c r="D364" s="32"/>
      <c r="F364" s="28"/>
      <c r="G364" s="28"/>
      <c r="K364" s="28"/>
      <c r="Q364">
        <f t="shared" si="8"/>
        <v>46197</v>
      </c>
      <c r="R364">
        <f>_xlfn.XLOOKUP(P364,'Painel Fertilizers'!$B:$B,'Painel Fertilizers'!$B:$B,0)</f>
        <v>0</v>
      </c>
    </row>
    <row r="365" spans="4:18" x14ac:dyDescent="0.25">
      <c r="D365" s="32"/>
      <c r="F365" s="28"/>
      <c r="G365" s="28"/>
      <c r="K365" s="28"/>
      <c r="Q365">
        <f t="shared" si="8"/>
        <v>46197</v>
      </c>
      <c r="R365">
        <f>_xlfn.XLOOKUP(P365,'Painel Fertilizers'!$B:$B,'Painel Fertilizers'!$B:$B,0)</f>
        <v>0</v>
      </c>
    </row>
    <row r="366" spans="4:18" x14ac:dyDescent="0.25">
      <c r="D366" s="32"/>
      <c r="F366" s="28"/>
      <c r="K366" s="28"/>
      <c r="Q366">
        <f t="shared" si="8"/>
        <v>46197</v>
      </c>
      <c r="R366">
        <f>_xlfn.XLOOKUP(P366,'Painel Fertilizers'!$B:$B,'Painel Fertilizers'!$B:$B,0)</f>
        <v>0</v>
      </c>
    </row>
    <row r="367" spans="4:18" x14ac:dyDescent="0.25">
      <c r="D367" s="32"/>
      <c r="F367" s="28"/>
      <c r="K367" s="28"/>
      <c r="Q367">
        <f t="shared" si="8"/>
        <v>46197</v>
      </c>
      <c r="R367">
        <f>_xlfn.XLOOKUP(P367,'Painel Fertilizers'!$B:$B,'Painel Fertilizers'!$B:$B,0)</f>
        <v>0</v>
      </c>
    </row>
    <row r="368" spans="4:18" x14ac:dyDescent="0.25">
      <c r="D368" s="32"/>
      <c r="F368" s="28"/>
      <c r="K368" s="28"/>
      <c r="Q368">
        <f t="shared" si="8"/>
        <v>46197</v>
      </c>
      <c r="R368">
        <f>_xlfn.XLOOKUP(P368,'Painel Fertilizers'!$B:$B,'Painel Fertilizers'!$B:$B,0)</f>
        <v>0</v>
      </c>
    </row>
    <row r="369" spans="4:18" x14ac:dyDescent="0.25">
      <c r="D369" s="32"/>
      <c r="F369" s="28"/>
      <c r="K369" s="28"/>
      <c r="Q369">
        <f t="shared" si="8"/>
        <v>46197</v>
      </c>
      <c r="R369">
        <f>_xlfn.XLOOKUP(P369,'Painel Fertilizers'!$B:$B,'Painel Fertilizers'!$B:$B,0)</f>
        <v>0</v>
      </c>
    </row>
    <row r="370" spans="4:18" x14ac:dyDescent="0.25">
      <c r="D370" s="32"/>
      <c r="F370" s="28"/>
      <c r="K370" s="28"/>
      <c r="Q370">
        <f t="shared" si="8"/>
        <v>46197</v>
      </c>
      <c r="R370">
        <f>_xlfn.XLOOKUP(P370,'Painel Fertilizers'!$B:$B,'Painel Fertilizers'!$B:$B,0)</f>
        <v>0</v>
      </c>
    </row>
    <row r="371" spans="4:18" x14ac:dyDescent="0.25">
      <c r="D371" s="32"/>
      <c r="F371" s="28"/>
      <c r="K371" s="28"/>
      <c r="Q371">
        <f t="shared" si="8"/>
        <v>46197</v>
      </c>
      <c r="R371">
        <f>_xlfn.XLOOKUP(P371,'Painel Fertilizers'!$B:$B,'Painel Fertilizers'!$B:$B,0)</f>
        <v>0</v>
      </c>
    </row>
    <row r="372" spans="4:18" x14ac:dyDescent="0.25">
      <c r="D372" s="32"/>
      <c r="F372" s="28"/>
      <c r="K372" s="28"/>
      <c r="Q372">
        <f t="shared" si="8"/>
        <v>46197</v>
      </c>
      <c r="R372">
        <f>_xlfn.XLOOKUP(P372,'Painel Fertilizers'!$B:$B,'Painel Fertilizers'!$B:$B,0)</f>
        <v>0</v>
      </c>
    </row>
    <row r="373" spans="4:18" x14ac:dyDescent="0.25">
      <c r="D373" s="32"/>
      <c r="F373" s="28"/>
      <c r="K373" s="28"/>
      <c r="Q373">
        <f t="shared" si="8"/>
        <v>46197</v>
      </c>
      <c r="R373">
        <f>_xlfn.XLOOKUP(P373,'Painel Fertilizers'!$B:$B,'Painel Fertilizers'!$B:$B,0)</f>
        <v>0</v>
      </c>
    </row>
    <row r="374" spans="4:18" x14ac:dyDescent="0.25">
      <c r="D374" s="32"/>
      <c r="F374" s="28"/>
      <c r="K374" s="28"/>
      <c r="Q374">
        <f t="shared" si="8"/>
        <v>46197</v>
      </c>
      <c r="R374">
        <f>_xlfn.XLOOKUP(P374,'Painel Fertilizers'!$B:$B,'Painel Fertilizers'!$B:$B,0)</f>
        <v>0</v>
      </c>
    </row>
    <row r="375" spans="4:18" x14ac:dyDescent="0.25">
      <c r="D375" s="32"/>
      <c r="F375" s="28"/>
      <c r="K375" s="28"/>
      <c r="Q375">
        <f t="shared" ref="Q375:Q391" si="9">$R$1-F375</f>
        <v>46197</v>
      </c>
      <c r="R375">
        <f>_xlfn.XLOOKUP(P375,'Painel Fertilizers'!$B:$B,'Painel Fertilizers'!$B:$B,0)</f>
        <v>0</v>
      </c>
    </row>
    <row r="376" spans="4:18" x14ac:dyDescent="0.25">
      <c r="D376" s="32"/>
      <c r="F376" s="28"/>
      <c r="K376" s="28"/>
      <c r="Q376">
        <f t="shared" si="9"/>
        <v>46197</v>
      </c>
      <c r="R376">
        <f>_xlfn.XLOOKUP(P376,'Painel Fertilizers'!$B:$B,'Painel Fertilizers'!$B:$B,0)</f>
        <v>0</v>
      </c>
    </row>
    <row r="377" spans="4:18" x14ac:dyDescent="0.25">
      <c r="D377" s="32"/>
      <c r="F377" s="28"/>
      <c r="G377" s="28"/>
      <c r="K377" s="28"/>
      <c r="Q377">
        <f t="shared" si="9"/>
        <v>46197</v>
      </c>
      <c r="R377">
        <f>_xlfn.XLOOKUP(P377,'Painel Fertilizers'!$B:$B,'Painel Fertilizers'!$B:$B,0)</f>
        <v>0</v>
      </c>
    </row>
    <row r="378" spans="4:18" x14ac:dyDescent="0.25">
      <c r="D378" s="32"/>
      <c r="F378" s="28"/>
      <c r="G378" s="28"/>
      <c r="K378" s="28"/>
      <c r="Q378">
        <f t="shared" si="9"/>
        <v>46197</v>
      </c>
      <c r="R378">
        <f>_xlfn.XLOOKUP(P378,'Painel Fertilizers'!$B:$B,'Painel Fertilizers'!$B:$B,0)</f>
        <v>0</v>
      </c>
    </row>
    <row r="379" spans="4:18" x14ac:dyDescent="0.25">
      <c r="D379" s="32"/>
      <c r="F379" s="28"/>
      <c r="G379" s="28"/>
      <c r="K379" s="28"/>
      <c r="Q379">
        <f t="shared" si="9"/>
        <v>46197</v>
      </c>
      <c r="R379">
        <f>_xlfn.XLOOKUP(P379,'Painel Fertilizers'!$B:$B,'Painel Fertilizers'!$B:$B,0)</f>
        <v>0</v>
      </c>
    </row>
    <row r="380" spans="4:18" x14ac:dyDescent="0.25">
      <c r="D380" s="32"/>
      <c r="F380" s="28"/>
      <c r="G380" s="28"/>
      <c r="K380" s="28"/>
      <c r="Q380">
        <f t="shared" si="9"/>
        <v>46197</v>
      </c>
      <c r="R380">
        <f>_xlfn.XLOOKUP(P380,'Painel Fertilizers'!$B:$B,'Painel Fertilizers'!$B:$B,0)</f>
        <v>0</v>
      </c>
    </row>
    <row r="381" spans="4:18" x14ac:dyDescent="0.25">
      <c r="D381" s="32"/>
      <c r="F381" s="28"/>
      <c r="G381" s="28"/>
      <c r="K381" s="28"/>
      <c r="Q381">
        <f t="shared" si="9"/>
        <v>46197</v>
      </c>
      <c r="R381">
        <f>_xlfn.XLOOKUP(P381,'Painel Fertilizers'!$B:$B,'Painel Fertilizers'!$B:$B,0)</f>
        <v>0</v>
      </c>
    </row>
    <row r="382" spans="4:18" x14ac:dyDescent="0.25">
      <c r="D382" s="32"/>
      <c r="F382" s="28"/>
      <c r="G382" s="28"/>
      <c r="K382" s="28"/>
      <c r="Q382">
        <f t="shared" si="9"/>
        <v>46197</v>
      </c>
      <c r="R382">
        <f>_xlfn.XLOOKUP(P382,'Painel Fertilizers'!$B:$B,'Painel Fertilizers'!$B:$B,0)</f>
        <v>0</v>
      </c>
    </row>
    <row r="383" spans="4:18" x14ac:dyDescent="0.25">
      <c r="D383" s="32"/>
      <c r="F383" s="28"/>
      <c r="G383" s="28"/>
      <c r="K383" s="28"/>
      <c r="Q383">
        <f t="shared" si="9"/>
        <v>46197</v>
      </c>
      <c r="R383">
        <f>_xlfn.XLOOKUP(P383,'Painel Fertilizers'!$B:$B,'Painel Fertilizers'!$B:$B,0)</f>
        <v>0</v>
      </c>
    </row>
    <row r="384" spans="4:18" x14ac:dyDescent="0.25">
      <c r="D384" s="32"/>
      <c r="F384" s="28"/>
      <c r="G384" s="28"/>
      <c r="K384" s="28"/>
      <c r="Q384">
        <f t="shared" si="9"/>
        <v>46197</v>
      </c>
      <c r="R384">
        <f>_xlfn.XLOOKUP(P384,'Painel Fertilizers'!$B:$B,'Painel Fertilizers'!$B:$B,0)</f>
        <v>0</v>
      </c>
    </row>
    <row r="385" spans="4:18" x14ac:dyDescent="0.25">
      <c r="D385" s="32"/>
      <c r="F385" s="28"/>
      <c r="G385" s="28"/>
      <c r="K385" s="28"/>
      <c r="Q385">
        <f t="shared" si="9"/>
        <v>46197</v>
      </c>
      <c r="R385">
        <f>_xlfn.XLOOKUP(P385,'Painel Fertilizers'!$B:$B,'Painel Fertilizers'!$B:$B,0)</f>
        <v>0</v>
      </c>
    </row>
    <row r="386" spans="4:18" x14ac:dyDescent="0.25">
      <c r="D386" s="32"/>
      <c r="F386" s="28"/>
      <c r="G386" s="28"/>
      <c r="K386" s="28"/>
      <c r="Q386">
        <f t="shared" si="9"/>
        <v>46197</v>
      </c>
      <c r="R386">
        <f>_xlfn.XLOOKUP(P386,'Painel Fertilizers'!$B:$B,'Painel Fertilizers'!$B:$B,0)</f>
        <v>0</v>
      </c>
    </row>
    <row r="387" spans="4:18" x14ac:dyDescent="0.25">
      <c r="D387" s="32"/>
      <c r="F387" s="28"/>
      <c r="G387" s="28"/>
      <c r="K387" s="28"/>
      <c r="Q387">
        <f t="shared" si="9"/>
        <v>46197</v>
      </c>
      <c r="R387">
        <f>_xlfn.XLOOKUP(P387,'Painel Fertilizers'!$B:$B,'Painel Fertilizers'!$B:$B,0)</f>
        <v>0</v>
      </c>
    </row>
    <row r="388" spans="4:18" x14ac:dyDescent="0.25">
      <c r="D388" s="32"/>
      <c r="F388" s="28"/>
      <c r="G388" s="28"/>
      <c r="K388" s="28"/>
      <c r="Q388">
        <f t="shared" si="9"/>
        <v>46197</v>
      </c>
      <c r="R388">
        <f>_xlfn.XLOOKUP(P388,'Painel Fertilizers'!$B:$B,'Painel Fertilizers'!$B:$B,0)</f>
        <v>0</v>
      </c>
    </row>
    <row r="389" spans="4:18" x14ac:dyDescent="0.25">
      <c r="D389" s="32"/>
      <c r="F389" s="28"/>
      <c r="G389" s="28"/>
      <c r="K389" s="28"/>
      <c r="Q389">
        <f t="shared" si="9"/>
        <v>46197</v>
      </c>
      <c r="R389">
        <f>_xlfn.XLOOKUP(P389,'Painel Fertilizers'!$B:$B,'Painel Fertilizers'!$B:$B,0)</f>
        <v>0</v>
      </c>
    </row>
    <row r="390" spans="4:18" x14ac:dyDescent="0.25">
      <c r="D390" s="32"/>
      <c r="F390" s="28"/>
      <c r="K390" s="28"/>
      <c r="Q390">
        <f t="shared" si="9"/>
        <v>46197</v>
      </c>
      <c r="R390">
        <f>_xlfn.XLOOKUP(P390,'Painel Fertilizers'!$B:$B,'Painel Fertilizers'!$B:$B,0)</f>
        <v>0</v>
      </c>
    </row>
    <row r="391" spans="4:18" x14ac:dyDescent="0.25">
      <c r="D391" s="32"/>
      <c r="F391" s="28"/>
      <c r="K391" s="28"/>
      <c r="Q391">
        <f t="shared" si="9"/>
        <v>46197</v>
      </c>
      <c r="R391">
        <f>_xlfn.XLOOKUP(P391,'Painel Fertilizers'!$B:$B,'Painel Fertilizers'!$B:$B,0)</f>
        <v>0</v>
      </c>
    </row>
    <row r="392" spans="4:18" x14ac:dyDescent="0.25">
      <c r="R392">
        <f>_xlfn.XLOOKUP(P392,'Painel Fertilizers'!$B:$B,'Painel Fertilizers'!$B:$B,0)</f>
        <v>0</v>
      </c>
    </row>
    <row r="430" spans="10:10" x14ac:dyDescent="0.25">
      <c r="J430" s="30"/>
    </row>
  </sheetData>
  <autoFilter ref="A2:S391" xr:uid="{44BAA583-B199-4777-8608-3512A75541B2}"/>
  <phoneticPr fontId="2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N86"/>
  <sheetViews>
    <sheetView showGridLines="0" zoomScale="80" zoomScaleNormal="80" workbookViewId="0">
      <pane xSplit="15" ySplit="3" topLeftCell="P45" activePane="bottomRight" state="frozen"/>
      <selection activeCell="C4" sqref="C4:C87"/>
      <selection pane="topRight" activeCell="C4" sqref="C4:C87"/>
      <selection pane="bottomLeft" activeCell="C4" sqref="C4:C87"/>
      <selection pane="bottomRight" activeCell="C4" sqref="C4:C86"/>
    </sheetView>
  </sheetViews>
  <sheetFormatPr defaultColWidth="8.88671875" defaultRowHeight="13.2" outlineLevelCol="2" x14ac:dyDescent="0.25"/>
  <cols>
    <col min="1" max="1" width="7.109375" style="180" customWidth="1"/>
    <col min="2" max="2" width="19.109375" style="228" customWidth="1"/>
    <col min="3" max="3" width="49.109375" style="179" customWidth="1"/>
    <col min="4" max="4" width="13.88671875" style="179" hidden="1" customWidth="1"/>
    <col min="5" max="5" width="5.88671875" style="179" hidden="1" customWidth="1"/>
    <col min="6" max="6" width="17.6640625" style="229" bestFit="1" customWidth="1"/>
    <col min="7" max="7" width="18.109375" style="229" customWidth="1" outlineLevel="1"/>
    <col min="8" max="8" width="18.5546875" style="229" customWidth="1" outlineLevel="1"/>
    <col min="9" max="9" width="18" style="179" hidden="1" customWidth="1" outlineLevel="2"/>
    <col min="10" max="11" width="17.6640625" style="179" hidden="1" customWidth="1" outlineLevel="2"/>
    <col min="12" max="12" width="18.88671875" style="179" hidden="1" customWidth="1" outlineLevel="2"/>
    <col min="13" max="14" width="20.33203125" style="179" hidden="1" customWidth="1" outlineLevel="2"/>
    <col min="15" max="15" width="21.33203125" style="179" hidden="1" customWidth="1" outlineLevel="2"/>
    <col min="16" max="16" width="15.5546875" style="229" customWidth="1" outlineLevel="1" collapsed="1"/>
    <col min="17" max="17" width="15.77734375" style="229" customWidth="1" outlineLevel="1"/>
    <col min="18" max="18" width="16.6640625" style="179" hidden="1" customWidth="1" outlineLevel="2"/>
    <col min="19" max="19" width="17.88671875" style="179" hidden="1" customWidth="1" outlineLevel="2"/>
    <col min="20" max="20" width="17.6640625" style="179" hidden="1" customWidth="1" outlineLevel="2"/>
    <col min="21" max="21" width="18.88671875" style="179" hidden="1" customWidth="1" outlineLevel="2"/>
    <col min="22" max="22" width="13.33203125" style="179" hidden="1" customWidth="1" outlineLevel="2"/>
    <col min="23" max="23" width="13.88671875" style="179" hidden="1" customWidth="1" outlineLevel="2"/>
    <col min="24" max="24" width="22.44140625" style="179" hidden="1" customWidth="1" outlineLevel="2"/>
    <col min="25" max="25" width="14.5546875" style="179" bestFit="1" customWidth="1" outlineLevel="2"/>
    <col min="26" max="27" width="2.6640625" style="179" customWidth="1" outlineLevel="1"/>
    <col min="28" max="28" width="16.6640625" style="229" bestFit="1" customWidth="1"/>
    <col min="29" max="29" width="15.109375" style="179" hidden="1" customWidth="1"/>
    <col min="30" max="30" width="9.44140625" style="179" hidden="1" customWidth="1"/>
    <col min="31" max="31" width="9.44140625" style="216" hidden="1" customWidth="1"/>
    <col min="32" max="32" width="8.6640625" style="217" hidden="1" customWidth="1"/>
    <col min="33" max="33" width="0.5546875" style="179" customWidth="1"/>
    <col min="34" max="34" width="22" style="218" customWidth="1"/>
    <col min="35" max="35" width="7.44140625" style="180" bestFit="1" customWidth="1"/>
    <col min="36" max="36" width="22" style="181" customWidth="1"/>
    <col min="37" max="37" width="14.5546875" style="181" customWidth="1"/>
    <col min="38" max="38" width="13.109375" style="181" customWidth="1"/>
    <col min="39" max="39" width="11.88671875" style="180" bestFit="1" customWidth="1"/>
    <col min="40" max="40" width="14" style="180" bestFit="1" customWidth="1"/>
    <col min="41" max="43" width="8.88671875" style="180"/>
    <col min="44" max="44" width="11.109375" style="180" customWidth="1"/>
    <col min="45" max="16384" width="8.88671875" style="180"/>
  </cols>
  <sheetData>
    <row r="1" spans="1:40" s="9" customFormat="1" x14ac:dyDescent="0.25">
      <c r="A1" s="94"/>
      <c r="B1" s="118"/>
      <c r="C1" s="95">
        <v>46198</v>
      </c>
      <c r="D1" s="118"/>
      <c r="E1" s="118"/>
      <c r="F1" s="118"/>
      <c r="G1" s="118"/>
      <c r="H1" s="117">
        <f>SUBTOTAL(9,H4:H1048576)</f>
        <v>63971254.070000015</v>
      </c>
      <c r="I1" s="117">
        <f>SUBTOTAL(9,I4:I1048576)</f>
        <v>623406.28</v>
      </c>
      <c r="J1" s="117">
        <f>SUBTOTAL(9,J4:J1048576)</f>
        <v>416870.25</v>
      </c>
      <c r="K1" s="117">
        <f>SUBTOTAL(9,K4:K1048576)</f>
        <v>0</v>
      </c>
      <c r="L1" s="117">
        <f>SUBTOTAL(9,L4:L1048576)</f>
        <v>49440</v>
      </c>
      <c r="M1" s="117">
        <f>SUBTOTAL(9,M4:M1048576)</f>
        <v>0</v>
      </c>
      <c r="N1" s="117">
        <f>SUBTOTAL(9,N4:N1048576)</f>
        <v>463311.48000000004</v>
      </c>
      <c r="O1" s="117">
        <f>SUBTOTAL(9,O4:O1048576)</f>
        <v>21875863.229999997</v>
      </c>
      <c r="P1" s="117">
        <f>SUBTOTAL(9,P4:P1048576)</f>
        <v>23428891.239999998</v>
      </c>
      <c r="Q1" s="117">
        <f>SUBTOTAL(9,Q4:Q1048576)</f>
        <v>40542362.830000006</v>
      </c>
      <c r="R1" s="117">
        <f>SUBTOTAL(9,R4:R1048576)</f>
        <v>16649787.439999994</v>
      </c>
      <c r="S1" s="117">
        <f>SUBTOTAL(9,S4:S1048576)</f>
        <v>10148231.35</v>
      </c>
      <c r="T1" s="117">
        <f>SUBTOTAL(9,T4:T1048576)</f>
        <v>13023614.51</v>
      </c>
      <c r="U1" s="117">
        <f>SUBTOTAL(9,U4:U1048576)</f>
        <v>247837.21</v>
      </c>
      <c r="V1" s="117">
        <f>SUBTOTAL(9,V4:V1048576)</f>
        <v>299642.08</v>
      </c>
      <c r="W1" s="117">
        <f>SUBTOTAL(9,W4:W1048576)</f>
        <v>76480.23</v>
      </c>
      <c r="X1" s="117">
        <f>SUBTOTAL(9,X4:X1048576)</f>
        <v>96770.01</v>
      </c>
      <c r="Y1" s="117">
        <f>SUBTOTAL(9,Y4:Y1048576)</f>
        <v>11105144.094399998</v>
      </c>
      <c r="Z1" s="119"/>
      <c r="AA1" s="119"/>
      <c r="AB1" s="117">
        <f>SUBTOTAL(9,AB4:AB1048576)</f>
        <v>92880500</v>
      </c>
      <c r="AC1" s="156"/>
      <c r="AD1" s="117"/>
      <c r="AE1" s="117"/>
      <c r="AF1" s="117"/>
      <c r="AH1" s="219">
        <f>SUBTOTAL(9,AH4:AH1044286)</f>
        <v>31597219.799999986</v>
      </c>
      <c r="AI1" s="10"/>
      <c r="AJ1" s="221">
        <f>P1/H1</f>
        <v>0.36624092462472485</v>
      </c>
      <c r="AK1" s="58"/>
      <c r="AL1" s="58"/>
      <c r="AN1" s="158"/>
    </row>
    <row r="2" spans="1:40" s="120" customFormat="1" ht="12.6" customHeight="1" thickBot="1" x14ac:dyDescent="0.3">
      <c r="B2" s="45"/>
      <c r="C2" s="45"/>
      <c r="D2" s="45"/>
      <c r="E2" s="45"/>
      <c r="F2" s="207"/>
      <c r="G2" s="207"/>
      <c r="H2" s="230"/>
      <c r="I2" s="187" t="s">
        <v>21</v>
      </c>
      <c r="J2" s="187"/>
      <c r="K2" s="187"/>
      <c r="L2" s="187"/>
      <c r="M2" s="187"/>
      <c r="N2" s="187"/>
      <c r="O2" s="187"/>
      <c r="P2" s="232"/>
      <c r="Q2" s="232"/>
      <c r="R2" s="31" t="s">
        <v>15</v>
      </c>
      <c r="S2" s="31"/>
      <c r="T2" s="31"/>
      <c r="U2" s="31"/>
      <c r="V2" s="31"/>
      <c r="W2" s="31"/>
      <c r="X2" s="31"/>
      <c r="Y2" s="59"/>
      <c r="Z2" s="206"/>
      <c r="AA2" s="206"/>
      <c r="AB2" s="230"/>
      <c r="AC2" s="61"/>
      <c r="AD2" s="153"/>
      <c r="AE2" s="153"/>
      <c r="AF2" s="153"/>
      <c r="AG2" s="206"/>
      <c r="AH2" s="220"/>
      <c r="AI2" s="6"/>
      <c r="AJ2" s="60" t="s">
        <v>414</v>
      </c>
      <c r="AK2" s="60"/>
      <c r="AL2" s="60"/>
      <c r="AN2" s="157"/>
    </row>
    <row r="3" spans="1:40" s="120" customFormat="1" ht="28.8" thickTop="1" thickBot="1" x14ac:dyDescent="0.3">
      <c r="A3" s="120" t="s">
        <v>207</v>
      </c>
      <c r="B3" s="210" t="s">
        <v>304</v>
      </c>
      <c r="C3" s="209" t="s">
        <v>19</v>
      </c>
      <c r="D3" s="45" t="s">
        <v>375</v>
      </c>
      <c r="E3" s="45"/>
      <c r="F3" s="208" t="s">
        <v>410</v>
      </c>
      <c r="G3" s="208" t="s">
        <v>411</v>
      </c>
      <c r="H3" s="231" t="s">
        <v>16</v>
      </c>
      <c r="I3" s="188" t="s">
        <v>8</v>
      </c>
      <c r="J3" s="188" t="s">
        <v>9</v>
      </c>
      <c r="K3" s="188" t="s">
        <v>10</v>
      </c>
      <c r="L3" s="188" t="s">
        <v>11</v>
      </c>
      <c r="M3" s="188" t="s">
        <v>12</v>
      </c>
      <c r="N3" s="188" t="s">
        <v>13</v>
      </c>
      <c r="O3" s="189" t="s">
        <v>14</v>
      </c>
      <c r="P3" s="233" t="s">
        <v>22</v>
      </c>
      <c r="Q3" s="233" t="s">
        <v>7</v>
      </c>
      <c r="R3" s="12" t="s">
        <v>8</v>
      </c>
      <c r="S3" s="12" t="s">
        <v>9</v>
      </c>
      <c r="T3" s="12" t="s">
        <v>10</v>
      </c>
      <c r="U3" s="12" t="s">
        <v>11</v>
      </c>
      <c r="V3" s="12" t="s">
        <v>12</v>
      </c>
      <c r="W3" s="12" t="s">
        <v>13</v>
      </c>
      <c r="X3" s="186" t="s">
        <v>14</v>
      </c>
      <c r="Y3" s="59" t="s">
        <v>267</v>
      </c>
      <c r="Z3" s="206" t="s">
        <v>207</v>
      </c>
      <c r="AA3" s="206" t="s">
        <v>207</v>
      </c>
      <c r="AB3" s="231" t="s">
        <v>412</v>
      </c>
      <c r="AC3" s="61" t="s">
        <v>418</v>
      </c>
      <c r="AD3" s="98" t="s">
        <v>18</v>
      </c>
      <c r="AE3" s="98" t="s">
        <v>467</v>
      </c>
      <c r="AF3" s="98" t="s">
        <v>20</v>
      </c>
      <c r="AG3" s="206" t="s">
        <v>207</v>
      </c>
      <c r="AH3" s="215" t="s">
        <v>608</v>
      </c>
      <c r="AI3" s="6" t="s">
        <v>207</v>
      </c>
      <c r="AJ3" s="204" t="s">
        <v>415</v>
      </c>
      <c r="AK3" s="205" t="s">
        <v>416</v>
      </c>
      <c r="AL3" s="205" t="s">
        <v>417</v>
      </c>
    </row>
    <row r="4" spans="1:40" ht="13.8" thickTop="1" x14ac:dyDescent="0.25">
      <c r="B4" s="178" t="str">
        <f>_xlfn.XLOOKUP(C4,'Info Clientes'!A:A,'Info Clientes'!B:B)</f>
        <v>Additive</v>
      </c>
      <c r="C4" s="234" t="s">
        <v>449</v>
      </c>
      <c r="D4" s="235" t="s">
        <v>391</v>
      </c>
      <c r="E4" s="235"/>
      <c r="F4" s="236">
        <v>10000000</v>
      </c>
      <c r="G4" s="236">
        <v>2303506.4200000009</v>
      </c>
      <c r="H4" s="236">
        <v>7696493.5799999991</v>
      </c>
      <c r="I4" s="236">
        <v>0</v>
      </c>
      <c r="J4" s="236">
        <v>0</v>
      </c>
      <c r="K4" s="236">
        <v>0</v>
      </c>
      <c r="L4" s="236">
        <v>0</v>
      </c>
      <c r="M4" s="236">
        <v>0</v>
      </c>
      <c r="N4" s="236">
        <v>0</v>
      </c>
      <c r="O4" s="242">
        <v>0</v>
      </c>
      <c r="P4" s="236">
        <v>0</v>
      </c>
      <c r="Q4" s="236">
        <v>7696493.5799999991</v>
      </c>
      <c r="R4" s="236">
        <v>2989374.9</v>
      </c>
      <c r="S4" s="236">
        <v>1924024.77</v>
      </c>
      <c r="T4" s="236">
        <v>2535256.6999999997</v>
      </c>
      <c r="U4" s="236">
        <v>247837.21</v>
      </c>
      <c r="V4" s="236">
        <v>0</v>
      </c>
      <c r="W4" s="236">
        <v>0</v>
      </c>
      <c r="X4" s="242">
        <v>0</v>
      </c>
      <c r="Y4" s="236">
        <v>16500</v>
      </c>
      <c r="Z4" s="243"/>
      <c r="AA4" s="243"/>
      <c r="AB4" s="236">
        <v>10000000</v>
      </c>
      <c r="AC4" s="238"/>
      <c r="AD4" s="238"/>
      <c r="AE4" s="238"/>
      <c r="AF4" s="241"/>
      <c r="AG4" s="229"/>
      <c r="AH4" s="110">
        <f>MAX(H4-AB4,0)</f>
        <v>0</v>
      </c>
    </row>
    <row r="5" spans="1:40" x14ac:dyDescent="0.25">
      <c r="B5" s="178" t="str">
        <f>_xlfn.XLOOKUP(C5,'Info Clientes'!A:A,'Info Clientes'!B:B)</f>
        <v>Fertilizer / Litigation</v>
      </c>
      <c r="C5" s="96" t="s">
        <v>160</v>
      </c>
      <c r="D5" s="304">
        <v>0</v>
      </c>
      <c r="E5" s="305"/>
      <c r="F5" s="109">
        <v>0</v>
      </c>
      <c r="G5" s="109">
        <v>-7560727.799999997</v>
      </c>
      <c r="H5" s="109">
        <v>7560727.799999997</v>
      </c>
      <c r="I5" s="110">
        <v>0</v>
      </c>
      <c r="J5" s="110">
        <v>0</v>
      </c>
      <c r="K5" s="110">
        <v>0</v>
      </c>
      <c r="L5" s="110">
        <v>0</v>
      </c>
      <c r="M5" s="110">
        <v>0</v>
      </c>
      <c r="N5" s="110">
        <v>0</v>
      </c>
      <c r="O5" s="115">
        <v>7560727.799999997</v>
      </c>
      <c r="P5" s="110">
        <v>7560727.799999997</v>
      </c>
      <c r="Q5" s="110">
        <v>0</v>
      </c>
      <c r="R5" s="110">
        <v>0</v>
      </c>
      <c r="S5" s="110">
        <v>0</v>
      </c>
      <c r="T5" s="110">
        <v>0</v>
      </c>
      <c r="U5" s="110">
        <v>0</v>
      </c>
      <c r="V5" s="110">
        <v>0</v>
      </c>
      <c r="W5" s="110">
        <v>0</v>
      </c>
      <c r="X5" s="115">
        <v>0</v>
      </c>
      <c r="Y5" s="110">
        <v>0</v>
      </c>
      <c r="Z5" s="111"/>
      <c r="AA5" s="111"/>
      <c r="AB5" s="110">
        <v>0</v>
      </c>
      <c r="AC5" s="238"/>
      <c r="AD5" s="238"/>
      <c r="AE5" s="238"/>
      <c r="AF5" s="241"/>
      <c r="AG5" s="229"/>
      <c r="AH5" s="110">
        <f>MAX(H5-AB5,0)</f>
        <v>7560727.799999997</v>
      </c>
    </row>
    <row r="6" spans="1:40" x14ac:dyDescent="0.25">
      <c r="B6" s="178" t="str">
        <f>_xlfn.XLOOKUP(C6,'Info Clientes'!A:A,'Info Clientes'!B:B)</f>
        <v>Additive</v>
      </c>
      <c r="C6" s="234" t="s">
        <v>431</v>
      </c>
      <c r="D6" s="235" t="s">
        <v>391</v>
      </c>
      <c r="E6" s="235"/>
      <c r="F6" s="236">
        <v>15000000</v>
      </c>
      <c r="G6" s="236">
        <v>7509591.4400000004</v>
      </c>
      <c r="H6" s="236">
        <v>7490408.5599999996</v>
      </c>
      <c r="I6" s="236">
        <v>0</v>
      </c>
      <c r="J6" s="236">
        <v>0</v>
      </c>
      <c r="K6" s="236">
        <v>0</v>
      </c>
      <c r="L6" s="236">
        <v>0</v>
      </c>
      <c r="M6" s="236">
        <v>0</v>
      </c>
      <c r="N6" s="236">
        <v>64.2</v>
      </c>
      <c r="O6" s="242">
        <v>16754.72</v>
      </c>
      <c r="P6" s="236">
        <v>16818.920000000002</v>
      </c>
      <c r="Q6" s="236">
        <v>7473589.6399999997</v>
      </c>
      <c r="R6" s="236">
        <v>746905.4</v>
      </c>
      <c r="S6" s="236">
        <v>2076080.4700000002</v>
      </c>
      <c r="T6" s="236">
        <v>4650603.7699999996</v>
      </c>
      <c r="U6" s="236">
        <v>0</v>
      </c>
      <c r="V6" s="236">
        <v>0</v>
      </c>
      <c r="W6" s="236">
        <v>0</v>
      </c>
      <c r="X6" s="242">
        <v>0</v>
      </c>
      <c r="Y6" s="236">
        <v>84619.766000000003</v>
      </c>
      <c r="Z6" s="243"/>
      <c r="AA6" s="243"/>
      <c r="AB6" s="236">
        <v>15000000</v>
      </c>
      <c r="AC6" s="238"/>
      <c r="AD6" s="238"/>
      <c r="AE6" s="238"/>
      <c r="AF6" s="241"/>
      <c r="AG6" s="229"/>
      <c r="AH6" s="110">
        <f>MAX(H6-AB6,0)</f>
        <v>0</v>
      </c>
    </row>
    <row r="7" spans="1:40" x14ac:dyDescent="0.25">
      <c r="B7" s="178" t="str">
        <f>_xlfn.XLOOKUP(C7,'Info Clientes'!A:A,'Info Clientes'!B:B)</f>
        <v>Additive</v>
      </c>
      <c r="C7" s="234" t="s">
        <v>359</v>
      </c>
      <c r="D7" s="235" t="s">
        <v>391</v>
      </c>
      <c r="E7" s="235"/>
      <c r="F7" s="236">
        <v>6000000</v>
      </c>
      <c r="G7" s="236">
        <v>1215850.0199999996</v>
      </c>
      <c r="H7" s="236">
        <v>4784149.9800000004</v>
      </c>
      <c r="I7" s="236">
        <v>0</v>
      </c>
      <c r="J7" s="236">
        <v>0</v>
      </c>
      <c r="K7" s="236">
        <v>0</v>
      </c>
      <c r="L7" s="236">
        <v>0</v>
      </c>
      <c r="M7" s="236">
        <v>0</v>
      </c>
      <c r="N7" s="236">
        <v>0</v>
      </c>
      <c r="O7" s="242">
        <v>5626.32</v>
      </c>
      <c r="P7" s="236">
        <v>5626.32</v>
      </c>
      <c r="Q7" s="236">
        <v>4778523.66</v>
      </c>
      <c r="R7" s="236">
        <v>3419201.11</v>
      </c>
      <c r="S7" s="236">
        <v>1359322.5500000003</v>
      </c>
      <c r="T7" s="236">
        <v>0</v>
      </c>
      <c r="U7" s="236">
        <v>0</v>
      </c>
      <c r="V7" s="236">
        <v>0</v>
      </c>
      <c r="W7" s="236">
        <v>0</v>
      </c>
      <c r="X7" s="242">
        <v>0</v>
      </c>
      <c r="Y7" s="236">
        <v>63226.319999999992</v>
      </c>
      <c r="Z7" s="243"/>
      <c r="AA7" s="243"/>
      <c r="AB7" s="236">
        <v>6000000</v>
      </c>
      <c r="AC7" s="238"/>
      <c r="AD7" s="238"/>
      <c r="AE7" s="238"/>
      <c r="AF7" s="241"/>
      <c r="AG7" s="229"/>
      <c r="AH7" s="110">
        <f>MAX(H7-AB7,0)</f>
        <v>0</v>
      </c>
      <c r="AM7" s="182"/>
    </row>
    <row r="8" spans="1:40" x14ac:dyDescent="0.25">
      <c r="B8" s="178" t="str">
        <f>_xlfn.XLOOKUP(C8,'Info Clientes'!A:A,'Info Clientes'!B:B)</f>
        <v>Additive Intl.</v>
      </c>
      <c r="C8" s="96" t="s">
        <v>302</v>
      </c>
      <c r="D8" s="304">
        <v>0</v>
      </c>
      <c r="E8" s="305"/>
      <c r="F8" s="109">
        <v>5000000</v>
      </c>
      <c r="G8" s="109">
        <v>1225424.5999999996</v>
      </c>
      <c r="H8" s="109">
        <v>3774575.4000000004</v>
      </c>
      <c r="I8" s="110">
        <v>0</v>
      </c>
      <c r="J8" s="110">
        <v>0</v>
      </c>
      <c r="K8" s="110">
        <v>0</v>
      </c>
      <c r="L8" s="110">
        <v>0</v>
      </c>
      <c r="M8" s="110">
        <v>0</v>
      </c>
      <c r="N8" s="110">
        <v>0</v>
      </c>
      <c r="O8" s="115">
        <v>0</v>
      </c>
      <c r="P8" s="110">
        <v>0</v>
      </c>
      <c r="Q8" s="110">
        <v>3774575.4000000004</v>
      </c>
      <c r="R8" s="110">
        <v>0</v>
      </c>
      <c r="S8" s="110">
        <v>668371.59000000008</v>
      </c>
      <c r="T8" s="110">
        <v>3106203.81</v>
      </c>
      <c r="U8" s="110">
        <v>0</v>
      </c>
      <c r="V8" s="110">
        <v>0</v>
      </c>
      <c r="W8" s="110">
        <v>0</v>
      </c>
      <c r="X8" s="115">
        <v>0</v>
      </c>
      <c r="Y8" s="110">
        <v>0</v>
      </c>
      <c r="Z8" s="111"/>
      <c r="AA8" s="111"/>
      <c r="AB8" s="110">
        <v>0</v>
      </c>
      <c r="AC8" s="238"/>
      <c r="AD8" s="238"/>
      <c r="AE8" s="238"/>
      <c r="AF8" s="241"/>
      <c r="AG8" s="229"/>
      <c r="AH8" s="110">
        <f>MAX(H8-AB8,0)</f>
        <v>3774575.4000000004</v>
      </c>
    </row>
    <row r="9" spans="1:40" x14ac:dyDescent="0.25">
      <c r="B9" s="178" t="str">
        <f>_xlfn.XLOOKUP(C9,'Info Clientes'!A:A,'Info Clientes'!B:B)</f>
        <v>Fertilizer / Litigation</v>
      </c>
      <c r="C9" s="234" t="s">
        <v>368</v>
      </c>
      <c r="D9" s="235">
        <v>0</v>
      </c>
      <c r="E9" s="235"/>
      <c r="F9" s="236">
        <v>0</v>
      </c>
      <c r="G9" s="236">
        <v>-3088531.0700000008</v>
      </c>
      <c r="H9" s="236">
        <v>3088531.0700000008</v>
      </c>
      <c r="I9" s="236">
        <v>0</v>
      </c>
      <c r="J9" s="236">
        <v>0</v>
      </c>
      <c r="K9" s="236">
        <v>0</v>
      </c>
      <c r="L9" s="236">
        <v>0</v>
      </c>
      <c r="M9" s="236">
        <v>0</v>
      </c>
      <c r="N9" s="236">
        <v>0</v>
      </c>
      <c r="O9" s="242">
        <v>3088531.0700000008</v>
      </c>
      <c r="P9" s="236">
        <v>3088531.0700000008</v>
      </c>
      <c r="Q9" s="236">
        <v>0</v>
      </c>
      <c r="R9" s="236">
        <v>0</v>
      </c>
      <c r="S9" s="236">
        <v>0</v>
      </c>
      <c r="T9" s="236">
        <v>0</v>
      </c>
      <c r="U9" s="236">
        <v>0</v>
      </c>
      <c r="V9" s="236">
        <v>0</v>
      </c>
      <c r="W9" s="236">
        <v>0</v>
      </c>
      <c r="X9" s="242">
        <v>0</v>
      </c>
      <c r="Y9" s="236">
        <v>3088531.0700000008</v>
      </c>
      <c r="Z9" s="243"/>
      <c r="AA9" s="243"/>
      <c r="AB9" s="236">
        <v>0</v>
      </c>
      <c r="AC9" s="238"/>
      <c r="AD9" s="238"/>
      <c r="AE9" s="238"/>
      <c r="AF9" s="241"/>
      <c r="AG9" s="229"/>
      <c r="AH9" s="110">
        <f>MAX(H9-AB9,0)</f>
        <v>3088531.0700000008</v>
      </c>
    </row>
    <row r="10" spans="1:40" x14ac:dyDescent="0.25">
      <c r="B10" s="178" t="str">
        <f>_xlfn.XLOOKUP(C10,'Info Clientes'!A:A,'Info Clientes'!B:B)</f>
        <v>Fertilizer / Litigation</v>
      </c>
      <c r="C10" s="96" t="s">
        <v>192</v>
      </c>
      <c r="D10" s="304">
        <v>0</v>
      </c>
      <c r="E10" s="305"/>
      <c r="F10" s="109">
        <v>0</v>
      </c>
      <c r="G10" s="109">
        <v>-3044850.9199999995</v>
      </c>
      <c r="H10" s="109">
        <v>3044850.9199999995</v>
      </c>
      <c r="I10" s="110">
        <v>0</v>
      </c>
      <c r="J10" s="110">
        <v>0</v>
      </c>
      <c r="K10" s="110">
        <v>0</v>
      </c>
      <c r="L10" s="110">
        <v>0</v>
      </c>
      <c r="M10" s="110">
        <v>0</v>
      </c>
      <c r="N10" s="110">
        <v>0</v>
      </c>
      <c r="O10" s="115">
        <v>3044850.9199999995</v>
      </c>
      <c r="P10" s="110">
        <v>3044850.9199999995</v>
      </c>
      <c r="Q10" s="110">
        <v>0</v>
      </c>
      <c r="R10" s="110">
        <v>0</v>
      </c>
      <c r="S10" s="110">
        <v>0</v>
      </c>
      <c r="T10" s="110">
        <v>0</v>
      </c>
      <c r="U10" s="110">
        <v>0</v>
      </c>
      <c r="V10" s="110">
        <v>0</v>
      </c>
      <c r="W10" s="110">
        <v>0</v>
      </c>
      <c r="X10" s="115">
        <v>0</v>
      </c>
      <c r="Y10" s="110">
        <v>3044850.9199999995</v>
      </c>
      <c r="Z10" s="111"/>
      <c r="AA10" s="111"/>
      <c r="AB10" s="110">
        <v>0</v>
      </c>
      <c r="AC10" s="238"/>
      <c r="AD10" s="238"/>
      <c r="AE10" s="238"/>
      <c r="AF10" s="241"/>
      <c r="AG10" s="229"/>
      <c r="AH10" s="110">
        <f>MAX(H10-AB10,0)</f>
        <v>3044850.9199999995</v>
      </c>
      <c r="AM10" s="196"/>
    </row>
    <row r="11" spans="1:40" x14ac:dyDescent="0.25">
      <c r="B11" s="178" t="str">
        <f>_xlfn.XLOOKUP(C11,'Info Clientes'!A:A,'Info Clientes'!B:B)</f>
        <v>Fertilizer / Litigation</v>
      </c>
      <c r="C11" s="96" t="s">
        <v>170</v>
      </c>
      <c r="D11" s="304">
        <v>0</v>
      </c>
      <c r="E11" s="305"/>
      <c r="F11" s="109">
        <v>0</v>
      </c>
      <c r="G11" s="109">
        <v>-2492842.0500000007</v>
      </c>
      <c r="H11" s="109">
        <v>2492842.0500000007</v>
      </c>
      <c r="I11" s="110">
        <v>0</v>
      </c>
      <c r="J11" s="110">
        <v>0</v>
      </c>
      <c r="K11" s="110">
        <v>0</v>
      </c>
      <c r="L11" s="110">
        <v>0</v>
      </c>
      <c r="M11" s="110">
        <v>0</v>
      </c>
      <c r="N11" s="110">
        <v>0</v>
      </c>
      <c r="O11" s="115">
        <v>2492842.0500000007</v>
      </c>
      <c r="P11" s="110">
        <v>2492842.0500000007</v>
      </c>
      <c r="Q11" s="110">
        <v>0</v>
      </c>
      <c r="R11" s="110">
        <v>0</v>
      </c>
      <c r="S11" s="110">
        <v>0</v>
      </c>
      <c r="T11" s="110">
        <v>0</v>
      </c>
      <c r="U11" s="110">
        <v>0</v>
      </c>
      <c r="V11" s="110">
        <v>0</v>
      </c>
      <c r="W11" s="110">
        <v>0</v>
      </c>
      <c r="X11" s="115">
        <v>0</v>
      </c>
      <c r="Y11" s="110">
        <v>0</v>
      </c>
      <c r="Z11" s="111"/>
      <c r="AA11" s="111"/>
      <c r="AB11" s="110">
        <v>0</v>
      </c>
      <c r="AC11" s="238"/>
      <c r="AD11" s="238"/>
      <c r="AE11" s="238"/>
      <c r="AF11" s="241"/>
      <c r="AG11" s="229"/>
      <c r="AH11" s="110">
        <f>MAX(H11-AB11,0)</f>
        <v>2492842.0500000007</v>
      </c>
    </row>
    <row r="12" spans="1:40" x14ac:dyDescent="0.25">
      <c r="B12" s="178" t="str">
        <f>_xlfn.XLOOKUP(C12,'Info Clientes'!A:A,'Info Clientes'!B:B)</f>
        <v>Fertilizer / Litigation</v>
      </c>
      <c r="C12" s="234" t="s">
        <v>177</v>
      </c>
      <c r="D12" s="235">
        <v>0</v>
      </c>
      <c r="E12" s="235"/>
      <c r="F12" s="236">
        <v>0</v>
      </c>
      <c r="G12" s="236">
        <v>-1863200.9</v>
      </c>
      <c r="H12" s="236">
        <v>1863200.9</v>
      </c>
      <c r="I12" s="236">
        <v>0</v>
      </c>
      <c r="J12" s="236">
        <v>0</v>
      </c>
      <c r="K12" s="236">
        <v>0</v>
      </c>
      <c r="L12" s="236">
        <v>0</v>
      </c>
      <c r="M12" s="236">
        <v>0</v>
      </c>
      <c r="N12" s="236">
        <v>0</v>
      </c>
      <c r="O12" s="242">
        <v>1863200.9</v>
      </c>
      <c r="P12" s="236">
        <v>1863200.9</v>
      </c>
      <c r="Q12" s="236">
        <v>0</v>
      </c>
      <c r="R12" s="236">
        <v>0</v>
      </c>
      <c r="S12" s="236">
        <v>0</v>
      </c>
      <c r="T12" s="236">
        <v>0</v>
      </c>
      <c r="U12" s="236">
        <v>0</v>
      </c>
      <c r="V12" s="236">
        <v>0</v>
      </c>
      <c r="W12" s="236">
        <v>0</v>
      </c>
      <c r="X12" s="242">
        <v>0</v>
      </c>
      <c r="Y12" s="236">
        <v>1863200.9</v>
      </c>
      <c r="Z12" s="243"/>
      <c r="AA12" s="243"/>
      <c r="AB12" s="236">
        <v>0</v>
      </c>
      <c r="AC12" s="238"/>
      <c r="AD12" s="238"/>
      <c r="AE12" s="238"/>
      <c r="AF12" s="241"/>
      <c r="AG12" s="229"/>
      <c r="AH12" s="110">
        <f>MAX(H12-AB12,0)</f>
        <v>1863200.9</v>
      </c>
    </row>
    <row r="13" spans="1:40" x14ac:dyDescent="0.25">
      <c r="B13" s="178" t="str">
        <f>_xlfn.XLOOKUP(C13,'Info Clientes'!A:A,'Info Clientes'!B:B)</f>
        <v>Fertilizer / Litigation</v>
      </c>
      <c r="C13" s="96" t="s">
        <v>181</v>
      </c>
      <c r="D13" s="304">
        <v>0</v>
      </c>
      <c r="E13" s="305"/>
      <c r="F13" s="109">
        <v>0</v>
      </c>
      <c r="G13" s="109">
        <v>-1702848.7400000002</v>
      </c>
      <c r="H13" s="109">
        <v>1702848.7400000002</v>
      </c>
      <c r="I13" s="110">
        <v>0</v>
      </c>
      <c r="J13" s="110">
        <v>0</v>
      </c>
      <c r="K13" s="110">
        <v>0</v>
      </c>
      <c r="L13" s="110">
        <v>0</v>
      </c>
      <c r="M13" s="110">
        <v>0</v>
      </c>
      <c r="N13" s="110">
        <v>0</v>
      </c>
      <c r="O13" s="115">
        <v>1702848.7400000002</v>
      </c>
      <c r="P13" s="110">
        <v>1702848.7400000002</v>
      </c>
      <c r="Q13" s="110">
        <v>0</v>
      </c>
      <c r="R13" s="110">
        <v>0</v>
      </c>
      <c r="S13" s="110">
        <v>0</v>
      </c>
      <c r="T13" s="110">
        <v>0</v>
      </c>
      <c r="U13" s="110">
        <v>0</v>
      </c>
      <c r="V13" s="110">
        <v>0</v>
      </c>
      <c r="W13" s="110">
        <v>0</v>
      </c>
      <c r="X13" s="115">
        <v>0</v>
      </c>
      <c r="Y13" s="110">
        <v>1702848.7400000002</v>
      </c>
      <c r="Z13" s="111"/>
      <c r="AA13" s="111"/>
      <c r="AB13" s="110">
        <v>0</v>
      </c>
      <c r="AC13" s="238"/>
      <c r="AD13" s="238"/>
      <c r="AE13" s="238"/>
      <c r="AF13" s="241"/>
      <c r="AG13" s="229"/>
      <c r="AH13" s="110">
        <f>MAX(H13-AB13,0)</f>
        <v>1702848.7400000002</v>
      </c>
    </row>
    <row r="14" spans="1:40" x14ac:dyDescent="0.25">
      <c r="B14" s="178" t="str">
        <f>_xlfn.XLOOKUP(C14,'Info Clientes'!A:A,'Info Clientes'!B:B)</f>
        <v>Additive</v>
      </c>
      <c r="C14" s="96" t="s">
        <v>109</v>
      </c>
      <c r="D14" s="304">
        <v>0</v>
      </c>
      <c r="E14" s="305"/>
      <c r="F14" s="109">
        <v>1500000</v>
      </c>
      <c r="G14" s="109">
        <v>251851.40000000014</v>
      </c>
      <c r="H14" s="109">
        <v>1248148.5999999999</v>
      </c>
      <c r="I14" s="110">
        <v>0</v>
      </c>
      <c r="J14" s="110">
        <v>0</v>
      </c>
      <c r="K14" s="110">
        <v>0</v>
      </c>
      <c r="L14" s="110">
        <v>0</v>
      </c>
      <c r="M14" s="110">
        <v>0</v>
      </c>
      <c r="N14" s="110">
        <v>0</v>
      </c>
      <c r="O14" s="115">
        <v>0</v>
      </c>
      <c r="P14" s="110">
        <v>0</v>
      </c>
      <c r="Q14" s="110">
        <v>1248148.5999999999</v>
      </c>
      <c r="R14" s="110">
        <v>161488.20000000001</v>
      </c>
      <c r="S14" s="110">
        <v>1086660.3999999999</v>
      </c>
      <c r="T14" s="110">
        <v>0</v>
      </c>
      <c r="U14" s="110">
        <v>0</v>
      </c>
      <c r="V14" s="110">
        <v>0</v>
      </c>
      <c r="W14" s="110">
        <v>0</v>
      </c>
      <c r="X14" s="115">
        <v>0</v>
      </c>
      <c r="Y14" s="110">
        <v>0</v>
      </c>
      <c r="Z14" s="111"/>
      <c r="AA14" s="111"/>
      <c r="AB14" s="110">
        <v>0</v>
      </c>
      <c r="AC14" s="238"/>
      <c r="AD14" s="238"/>
      <c r="AE14" s="238"/>
      <c r="AF14" s="241"/>
      <c r="AG14" s="229"/>
      <c r="AH14" s="110">
        <f>MAX(H14-AB14,0)</f>
        <v>1248148.5999999999</v>
      </c>
    </row>
    <row r="15" spans="1:40" x14ac:dyDescent="0.25">
      <c r="B15" s="178" t="str">
        <f>_xlfn.XLOOKUP(C15,'Info Clientes'!A:A,'Info Clientes'!B:B)</f>
        <v>Additive</v>
      </c>
      <c r="C15" s="96" t="s">
        <v>450</v>
      </c>
      <c r="D15" s="304">
        <v>0</v>
      </c>
      <c r="E15" s="305"/>
      <c r="F15" s="109">
        <v>1500000</v>
      </c>
      <c r="G15" s="109">
        <v>262380.10000000009</v>
      </c>
      <c r="H15" s="109">
        <v>1237619.8999999999</v>
      </c>
      <c r="I15" s="110">
        <v>0</v>
      </c>
      <c r="J15" s="110">
        <v>0</v>
      </c>
      <c r="K15" s="110">
        <v>0</v>
      </c>
      <c r="L15" s="110">
        <v>0</v>
      </c>
      <c r="M15" s="110">
        <v>0</v>
      </c>
      <c r="N15" s="110">
        <v>0</v>
      </c>
      <c r="O15" s="115">
        <v>0</v>
      </c>
      <c r="P15" s="110">
        <v>0</v>
      </c>
      <c r="Q15" s="110">
        <v>1237619.8999999999</v>
      </c>
      <c r="R15" s="110">
        <v>331136.69999999995</v>
      </c>
      <c r="S15" s="110">
        <v>906483.19999999995</v>
      </c>
      <c r="T15" s="110">
        <v>0</v>
      </c>
      <c r="U15" s="110">
        <v>0</v>
      </c>
      <c r="V15" s="110">
        <v>0</v>
      </c>
      <c r="W15" s="110">
        <v>0</v>
      </c>
      <c r="X15" s="115">
        <v>0</v>
      </c>
      <c r="Y15" s="110">
        <v>0</v>
      </c>
      <c r="Z15" s="111"/>
      <c r="AA15" s="111"/>
      <c r="AB15" s="110">
        <v>0</v>
      </c>
      <c r="AC15" s="238"/>
      <c r="AD15" s="238"/>
      <c r="AE15" s="238"/>
      <c r="AF15" s="241"/>
      <c r="AG15" s="229"/>
      <c r="AH15" s="110">
        <f>MAX(H15-AB15,0)</f>
        <v>1237619.8999999999</v>
      </c>
    </row>
    <row r="16" spans="1:40" x14ac:dyDescent="0.25">
      <c r="B16" s="178" t="str">
        <f>_xlfn.XLOOKUP(C16,'Info Clientes'!A:A,'Info Clientes'!B:B)</f>
        <v>Fertilizer / Litigation</v>
      </c>
      <c r="C16" s="234" t="s">
        <v>242</v>
      </c>
      <c r="D16" s="235">
        <v>0</v>
      </c>
      <c r="E16" s="235"/>
      <c r="F16" s="236">
        <v>0</v>
      </c>
      <c r="G16" s="236">
        <v>-988506.24</v>
      </c>
      <c r="H16" s="236">
        <v>988506.24</v>
      </c>
      <c r="I16" s="236">
        <v>0</v>
      </c>
      <c r="J16" s="236">
        <v>0</v>
      </c>
      <c r="K16" s="236">
        <v>0</v>
      </c>
      <c r="L16" s="236">
        <v>0</v>
      </c>
      <c r="M16" s="236">
        <v>0</v>
      </c>
      <c r="N16" s="236">
        <v>462720</v>
      </c>
      <c r="O16" s="242">
        <v>525786.24</v>
      </c>
      <c r="P16" s="236">
        <v>988506.24</v>
      </c>
      <c r="Q16" s="236">
        <v>0</v>
      </c>
      <c r="R16" s="236">
        <v>0</v>
      </c>
      <c r="S16" s="236">
        <v>0</v>
      </c>
      <c r="T16" s="236">
        <v>0</v>
      </c>
      <c r="U16" s="236">
        <v>0</v>
      </c>
      <c r="V16" s="236">
        <v>0</v>
      </c>
      <c r="W16" s="236">
        <v>0</v>
      </c>
      <c r="X16" s="242">
        <v>0</v>
      </c>
      <c r="Y16" s="236">
        <v>539667.84000000008</v>
      </c>
      <c r="Z16" s="243"/>
      <c r="AA16" s="243"/>
      <c r="AB16" s="236">
        <v>0</v>
      </c>
      <c r="AC16" s="238"/>
      <c r="AD16" s="238"/>
      <c r="AE16" s="238"/>
      <c r="AF16" s="241"/>
      <c r="AG16" s="229"/>
      <c r="AH16" s="110">
        <f>MAX(H16-AB16,0)</f>
        <v>988506.24</v>
      </c>
    </row>
    <row r="17" spans="2:34" x14ac:dyDescent="0.25">
      <c r="B17" s="178" t="str">
        <f>_xlfn.XLOOKUP(C17,'Info Clientes'!A:A,'Info Clientes'!B:B)</f>
        <v>Fertilizer</v>
      </c>
      <c r="C17" s="96" t="s">
        <v>165</v>
      </c>
      <c r="D17" s="304" t="s">
        <v>391</v>
      </c>
      <c r="E17" s="305"/>
      <c r="F17" s="109">
        <v>500000</v>
      </c>
      <c r="G17" s="109">
        <v>-425457.05999999994</v>
      </c>
      <c r="H17" s="109">
        <v>925457.05999999994</v>
      </c>
      <c r="I17" s="110">
        <v>0</v>
      </c>
      <c r="J17" s="110">
        <v>0</v>
      </c>
      <c r="K17" s="110">
        <v>0</v>
      </c>
      <c r="L17" s="110">
        <v>0</v>
      </c>
      <c r="M17" s="110">
        <v>0</v>
      </c>
      <c r="N17" s="110">
        <v>0</v>
      </c>
      <c r="O17" s="115">
        <v>0</v>
      </c>
      <c r="P17" s="110">
        <v>0</v>
      </c>
      <c r="Q17" s="110">
        <v>925457.05999999994</v>
      </c>
      <c r="R17" s="110">
        <v>0</v>
      </c>
      <c r="S17" s="110">
        <v>0</v>
      </c>
      <c r="T17" s="110">
        <v>925457.05999999994</v>
      </c>
      <c r="U17" s="110">
        <v>0</v>
      </c>
      <c r="V17" s="110">
        <v>0</v>
      </c>
      <c r="W17" s="110">
        <v>0</v>
      </c>
      <c r="X17" s="115">
        <v>0</v>
      </c>
      <c r="Y17" s="110">
        <v>0</v>
      </c>
      <c r="Z17" s="111"/>
      <c r="AA17" s="111"/>
      <c r="AB17" s="110">
        <v>500000</v>
      </c>
      <c r="AC17" s="238"/>
      <c r="AD17" s="238"/>
      <c r="AE17" s="238"/>
      <c r="AF17" s="241"/>
      <c r="AG17" s="229"/>
      <c r="AH17" s="110">
        <f>MAX(H17-AB17,0)</f>
        <v>425457.05999999994</v>
      </c>
    </row>
    <row r="18" spans="2:34" x14ac:dyDescent="0.25">
      <c r="B18" s="178" t="str">
        <f>_xlfn.XLOOKUP(C18,'Info Clientes'!A:A,'Info Clientes'!B:B)</f>
        <v>Fertilizer / Litigation</v>
      </c>
      <c r="C18" s="96" t="s">
        <v>189</v>
      </c>
      <c r="D18" s="304">
        <v>0</v>
      </c>
      <c r="E18" s="305"/>
      <c r="F18" s="109">
        <v>0</v>
      </c>
      <c r="G18" s="109">
        <v>-876011.75</v>
      </c>
      <c r="H18" s="109">
        <v>876011.75</v>
      </c>
      <c r="I18" s="110">
        <v>0</v>
      </c>
      <c r="J18" s="110">
        <v>0</v>
      </c>
      <c r="K18" s="110">
        <v>0</v>
      </c>
      <c r="L18" s="110">
        <v>0</v>
      </c>
      <c r="M18" s="110">
        <v>0</v>
      </c>
      <c r="N18" s="110">
        <v>0</v>
      </c>
      <c r="O18" s="115">
        <v>876011.75</v>
      </c>
      <c r="P18" s="110">
        <v>876011.75</v>
      </c>
      <c r="Q18" s="110">
        <v>0</v>
      </c>
      <c r="R18" s="110">
        <v>0</v>
      </c>
      <c r="S18" s="110">
        <v>0</v>
      </c>
      <c r="T18" s="110">
        <v>0</v>
      </c>
      <c r="U18" s="110">
        <v>0</v>
      </c>
      <c r="V18" s="110">
        <v>0</v>
      </c>
      <c r="W18" s="110">
        <v>0</v>
      </c>
      <c r="X18" s="115">
        <v>0</v>
      </c>
      <c r="Y18" s="110">
        <v>0</v>
      </c>
      <c r="Z18" s="111"/>
      <c r="AA18" s="111"/>
      <c r="AB18" s="110">
        <v>0</v>
      </c>
      <c r="AC18" s="238"/>
      <c r="AD18" s="238"/>
      <c r="AE18" s="238"/>
      <c r="AF18" s="241"/>
      <c r="AG18" s="229"/>
      <c r="AH18" s="110">
        <f>MAX(H18-AB18,0)</f>
        <v>876011.75</v>
      </c>
    </row>
    <row r="19" spans="2:34" x14ac:dyDescent="0.25">
      <c r="B19" s="178" t="str">
        <f>_xlfn.XLOOKUP(C19,'Info Clientes'!A:A,'Info Clientes'!B:B)</f>
        <v>Additive</v>
      </c>
      <c r="C19" s="96" t="s">
        <v>489</v>
      </c>
      <c r="D19" s="304" t="s">
        <v>391</v>
      </c>
      <c r="E19" s="305"/>
      <c r="F19" s="109">
        <v>1500000</v>
      </c>
      <c r="G19" s="109">
        <v>684114.4</v>
      </c>
      <c r="H19" s="109">
        <v>815885.6</v>
      </c>
      <c r="I19" s="110">
        <v>0</v>
      </c>
      <c r="J19" s="110">
        <v>0</v>
      </c>
      <c r="K19" s="110">
        <v>0</v>
      </c>
      <c r="L19" s="110">
        <v>0</v>
      </c>
      <c r="M19" s="110">
        <v>0</v>
      </c>
      <c r="N19" s="110">
        <v>0</v>
      </c>
      <c r="O19" s="115">
        <v>0</v>
      </c>
      <c r="P19" s="110">
        <v>0</v>
      </c>
      <c r="Q19" s="110">
        <v>815885.6</v>
      </c>
      <c r="R19" s="110">
        <v>815885.6</v>
      </c>
      <c r="S19" s="110">
        <v>0</v>
      </c>
      <c r="T19" s="110">
        <v>0</v>
      </c>
      <c r="U19" s="110">
        <v>0</v>
      </c>
      <c r="V19" s="110">
        <v>0</v>
      </c>
      <c r="W19" s="110">
        <v>0</v>
      </c>
      <c r="X19" s="115">
        <v>0</v>
      </c>
      <c r="Y19" s="110">
        <v>0</v>
      </c>
      <c r="Z19" s="111"/>
      <c r="AA19" s="111"/>
      <c r="AB19" s="110">
        <v>1500000</v>
      </c>
      <c r="AC19" s="238"/>
      <c r="AD19" s="238"/>
      <c r="AE19" s="238"/>
      <c r="AF19" s="241"/>
      <c r="AG19" s="229"/>
      <c r="AH19" s="110">
        <f>MAX(H19-AB19,0)</f>
        <v>0</v>
      </c>
    </row>
    <row r="20" spans="2:34" x14ac:dyDescent="0.25">
      <c r="B20" s="178" t="str">
        <f>_xlfn.XLOOKUP(C20,'Info Clientes'!A:A,'Info Clientes'!B:B)</f>
        <v>Fertilizer</v>
      </c>
      <c r="C20" s="234" t="s">
        <v>494</v>
      </c>
      <c r="D20" s="235" t="s">
        <v>15411</v>
      </c>
      <c r="E20" s="235">
        <v>180</v>
      </c>
      <c r="F20" s="236">
        <v>500000</v>
      </c>
      <c r="G20" s="236">
        <v>-239540.06000000006</v>
      </c>
      <c r="H20" s="236">
        <v>739540.06</v>
      </c>
      <c r="I20" s="236">
        <v>0</v>
      </c>
      <c r="J20" s="236">
        <v>0</v>
      </c>
      <c r="K20" s="236">
        <v>0</v>
      </c>
      <c r="L20" s="236">
        <v>0</v>
      </c>
      <c r="M20" s="236">
        <v>0</v>
      </c>
      <c r="N20" s="236">
        <v>0</v>
      </c>
      <c r="O20" s="242">
        <v>0</v>
      </c>
      <c r="P20" s="236">
        <v>0</v>
      </c>
      <c r="Q20" s="236">
        <v>739540.06</v>
      </c>
      <c r="R20" s="236">
        <v>0</v>
      </c>
      <c r="S20" s="236">
        <v>0</v>
      </c>
      <c r="T20" s="236">
        <v>739540.06</v>
      </c>
      <c r="U20" s="236">
        <v>0</v>
      </c>
      <c r="V20" s="236">
        <v>0</v>
      </c>
      <c r="W20" s="236">
        <v>0</v>
      </c>
      <c r="X20" s="242">
        <v>0</v>
      </c>
      <c r="Y20" s="236">
        <v>0</v>
      </c>
      <c r="Z20" s="243"/>
      <c r="AA20" s="243"/>
      <c r="AB20" s="236">
        <v>500000</v>
      </c>
      <c r="AC20" s="238"/>
      <c r="AD20" s="238"/>
      <c r="AE20" s="238"/>
      <c r="AF20" s="241"/>
      <c r="AG20" s="229"/>
      <c r="AH20" s="110">
        <f>MAX(H20-AB20,0)</f>
        <v>239540.06000000006</v>
      </c>
    </row>
    <row r="21" spans="2:34" x14ac:dyDescent="0.25">
      <c r="B21" s="178" t="str">
        <f>_xlfn.XLOOKUP(C21,'Info Clientes'!A:A,'Info Clientes'!B:B)</f>
        <v>Additive</v>
      </c>
      <c r="C21" s="234" t="s">
        <v>15419</v>
      </c>
      <c r="D21" s="235" t="s">
        <v>403</v>
      </c>
      <c r="E21" s="235"/>
      <c r="F21" s="236">
        <v>1500000</v>
      </c>
      <c r="G21" s="236">
        <v>789120.79999999993</v>
      </c>
      <c r="H21" s="236">
        <v>710879.20000000007</v>
      </c>
      <c r="I21" s="236">
        <v>0</v>
      </c>
      <c r="J21" s="236">
        <v>0</v>
      </c>
      <c r="K21" s="236">
        <v>0</v>
      </c>
      <c r="L21" s="236">
        <v>0</v>
      </c>
      <c r="M21" s="236">
        <v>0</v>
      </c>
      <c r="N21" s="236">
        <v>0</v>
      </c>
      <c r="O21" s="242">
        <v>0</v>
      </c>
      <c r="P21" s="236">
        <v>0</v>
      </c>
      <c r="Q21" s="236">
        <v>710879.20000000007</v>
      </c>
      <c r="R21" s="236">
        <v>0</v>
      </c>
      <c r="S21" s="236">
        <v>355675.60000000003</v>
      </c>
      <c r="T21" s="236">
        <v>355203.60000000003</v>
      </c>
      <c r="U21" s="236">
        <v>0</v>
      </c>
      <c r="V21" s="236">
        <v>0</v>
      </c>
      <c r="W21" s="236">
        <v>0</v>
      </c>
      <c r="X21" s="242">
        <v>0</v>
      </c>
      <c r="Y21" s="236">
        <v>1800</v>
      </c>
      <c r="Z21" s="243"/>
      <c r="AA21" s="243"/>
      <c r="AB21" s="236">
        <v>1500000</v>
      </c>
      <c r="AC21" s="238"/>
      <c r="AD21" s="238"/>
      <c r="AE21" s="238"/>
      <c r="AF21" s="241"/>
      <c r="AG21" s="229"/>
      <c r="AH21" s="110">
        <f>MAX(H21-AB21,0)</f>
        <v>0</v>
      </c>
    </row>
    <row r="22" spans="2:34" x14ac:dyDescent="0.25">
      <c r="B22" s="178" t="str">
        <f>_xlfn.XLOOKUP(C22,'Info Clientes'!A:A,'Info Clientes'!B:B)</f>
        <v>Additive</v>
      </c>
      <c r="C22" s="96" t="s">
        <v>25</v>
      </c>
      <c r="D22" s="304" t="s">
        <v>391</v>
      </c>
      <c r="E22" s="305"/>
      <c r="F22" s="109">
        <v>2600000</v>
      </c>
      <c r="G22" s="109">
        <v>1906272.9</v>
      </c>
      <c r="H22" s="109">
        <v>693727.1</v>
      </c>
      <c r="I22" s="110">
        <v>0</v>
      </c>
      <c r="J22" s="110">
        <v>0</v>
      </c>
      <c r="K22" s="110">
        <v>0</v>
      </c>
      <c r="L22" s="110">
        <v>0</v>
      </c>
      <c r="M22" s="110">
        <v>0</v>
      </c>
      <c r="N22" s="110">
        <v>0</v>
      </c>
      <c r="O22" s="115">
        <v>0</v>
      </c>
      <c r="P22" s="110">
        <v>0</v>
      </c>
      <c r="Q22" s="110">
        <v>693727.1</v>
      </c>
      <c r="R22" s="110">
        <v>693727.1</v>
      </c>
      <c r="S22" s="110">
        <v>0</v>
      </c>
      <c r="T22" s="110">
        <v>0</v>
      </c>
      <c r="U22" s="110">
        <v>0</v>
      </c>
      <c r="V22" s="110">
        <v>0</v>
      </c>
      <c r="W22" s="110">
        <v>0</v>
      </c>
      <c r="X22" s="115">
        <v>0</v>
      </c>
      <c r="Y22" s="110">
        <v>0</v>
      </c>
      <c r="Z22" s="111"/>
      <c r="AA22" s="111"/>
      <c r="AB22" s="110">
        <v>2600000</v>
      </c>
      <c r="AC22" s="238"/>
      <c r="AD22" s="238"/>
      <c r="AE22" s="238"/>
      <c r="AF22" s="241"/>
      <c r="AG22" s="229"/>
      <c r="AH22" s="110">
        <f>MAX(H22-AB22,0)</f>
        <v>0</v>
      </c>
    </row>
    <row r="23" spans="2:34" x14ac:dyDescent="0.25">
      <c r="B23" s="178" t="str">
        <f>_xlfn.XLOOKUP(C23,'Info Clientes'!A:A,'Info Clientes'!B:B)</f>
        <v>Additive Intl.</v>
      </c>
      <c r="C23" s="96" t="s">
        <v>264</v>
      </c>
      <c r="D23" s="304" t="s">
        <v>391</v>
      </c>
      <c r="E23" s="305"/>
      <c r="F23" s="109">
        <v>750000</v>
      </c>
      <c r="G23" s="109">
        <v>104359.17000000004</v>
      </c>
      <c r="H23" s="109">
        <v>645640.82999999996</v>
      </c>
      <c r="I23" s="110">
        <v>191959.21</v>
      </c>
      <c r="J23" s="110">
        <v>0</v>
      </c>
      <c r="K23" s="110">
        <v>0</v>
      </c>
      <c r="L23" s="110">
        <v>0</v>
      </c>
      <c r="M23" s="110">
        <v>0</v>
      </c>
      <c r="N23" s="110">
        <v>0</v>
      </c>
      <c r="O23" s="115">
        <v>0</v>
      </c>
      <c r="P23" s="110">
        <v>191959.21</v>
      </c>
      <c r="Q23" s="110">
        <v>453681.62</v>
      </c>
      <c r="R23" s="110">
        <v>453681.62</v>
      </c>
      <c r="S23" s="110">
        <v>0</v>
      </c>
      <c r="T23" s="110">
        <v>0</v>
      </c>
      <c r="U23" s="110">
        <v>0</v>
      </c>
      <c r="V23" s="110">
        <v>0</v>
      </c>
      <c r="W23" s="110">
        <v>0</v>
      </c>
      <c r="X23" s="115">
        <v>0</v>
      </c>
      <c r="Y23" s="110">
        <v>0</v>
      </c>
      <c r="Z23" s="111"/>
      <c r="AA23" s="111"/>
      <c r="AB23" s="110">
        <v>550000</v>
      </c>
      <c r="AC23" s="238"/>
      <c r="AD23" s="238"/>
      <c r="AE23" s="238"/>
      <c r="AF23" s="241"/>
      <c r="AG23" s="229"/>
      <c r="AH23" s="110">
        <f>MAX(H23-AB23,0)</f>
        <v>95640.829999999958</v>
      </c>
    </row>
    <row r="24" spans="2:34" x14ac:dyDescent="0.25">
      <c r="B24" s="178" t="str">
        <f>_xlfn.XLOOKUP(C24,'Info Clientes'!A:A,'Info Clientes'!B:B)</f>
        <v>Additive Intl.</v>
      </c>
      <c r="C24" s="96" t="s">
        <v>118</v>
      </c>
      <c r="D24" s="304" t="s">
        <v>403</v>
      </c>
      <c r="E24" s="305"/>
      <c r="F24" s="109">
        <v>1375000</v>
      </c>
      <c r="G24" s="109">
        <v>769948.96</v>
      </c>
      <c r="H24" s="109">
        <v>605051.04</v>
      </c>
      <c r="I24" s="110">
        <v>0</v>
      </c>
      <c r="J24" s="110">
        <v>0</v>
      </c>
      <c r="K24" s="110">
        <v>0</v>
      </c>
      <c r="L24" s="110">
        <v>0</v>
      </c>
      <c r="M24" s="110">
        <v>0</v>
      </c>
      <c r="N24" s="110">
        <v>0</v>
      </c>
      <c r="O24" s="115">
        <v>0</v>
      </c>
      <c r="P24" s="110">
        <v>0</v>
      </c>
      <c r="Q24" s="110">
        <v>605051.04</v>
      </c>
      <c r="R24" s="110">
        <v>605051.04</v>
      </c>
      <c r="S24" s="110">
        <v>0</v>
      </c>
      <c r="T24" s="110">
        <v>0</v>
      </c>
      <c r="U24" s="110">
        <v>0</v>
      </c>
      <c r="V24" s="110">
        <v>0</v>
      </c>
      <c r="W24" s="110">
        <v>0</v>
      </c>
      <c r="X24" s="115">
        <v>0</v>
      </c>
      <c r="Y24" s="110">
        <v>0</v>
      </c>
      <c r="Z24" s="111"/>
      <c r="AA24" s="111"/>
      <c r="AB24" s="110">
        <v>1375000</v>
      </c>
      <c r="AC24" s="238"/>
      <c r="AD24" s="238"/>
      <c r="AE24" s="238"/>
      <c r="AF24" s="241"/>
      <c r="AG24" s="229"/>
      <c r="AH24" s="110">
        <f>MAX(H24-AB24,0)</f>
        <v>0</v>
      </c>
    </row>
    <row r="25" spans="2:34" x14ac:dyDescent="0.25">
      <c r="B25" s="178" t="str">
        <f>_xlfn.XLOOKUP(C25,'Info Clientes'!A:A,'Info Clientes'!B:B)</f>
        <v>Additive</v>
      </c>
      <c r="C25" s="234" t="s">
        <v>448</v>
      </c>
      <c r="D25" s="235">
        <v>0</v>
      </c>
      <c r="E25" s="235"/>
      <c r="F25" s="236">
        <v>800000</v>
      </c>
      <c r="G25" s="236">
        <v>246271.39</v>
      </c>
      <c r="H25" s="236">
        <v>553728.61</v>
      </c>
      <c r="I25" s="236">
        <v>0</v>
      </c>
      <c r="J25" s="236">
        <v>0</v>
      </c>
      <c r="K25" s="236">
        <v>0</v>
      </c>
      <c r="L25" s="236">
        <v>0</v>
      </c>
      <c r="M25" s="236">
        <v>0</v>
      </c>
      <c r="N25" s="236">
        <v>0</v>
      </c>
      <c r="O25" s="242">
        <v>0</v>
      </c>
      <c r="P25" s="236">
        <v>0</v>
      </c>
      <c r="Q25" s="236">
        <v>553728.61</v>
      </c>
      <c r="R25" s="236">
        <v>456958.6</v>
      </c>
      <c r="S25" s="236">
        <v>0</v>
      </c>
      <c r="T25" s="236">
        <v>0</v>
      </c>
      <c r="U25" s="236">
        <v>0</v>
      </c>
      <c r="V25" s="236">
        <v>0</v>
      </c>
      <c r="W25" s="236">
        <v>0</v>
      </c>
      <c r="X25" s="242">
        <v>96770.01</v>
      </c>
      <c r="Y25" s="236">
        <v>0</v>
      </c>
      <c r="Z25" s="243"/>
      <c r="AA25" s="243"/>
      <c r="AB25" s="236">
        <v>0</v>
      </c>
      <c r="AC25" s="238"/>
      <c r="AD25" s="238"/>
      <c r="AE25" s="238"/>
      <c r="AF25" s="241"/>
      <c r="AG25" s="229"/>
      <c r="AH25" s="110">
        <f>MAX(H25-AB25,0)</f>
        <v>553728.61</v>
      </c>
    </row>
    <row r="26" spans="2:34" x14ac:dyDescent="0.25">
      <c r="B26" s="178" t="str">
        <f>_xlfn.XLOOKUP(C26,'Info Clientes'!A:A,'Info Clientes'!B:B)</f>
        <v>Additive Intl.</v>
      </c>
      <c r="C26" s="234" t="s">
        <v>119</v>
      </c>
      <c r="D26" s="235" t="s">
        <v>391</v>
      </c>
      <c r="E26" s="235"/>
      <c r="F26" s="236">
        <v>660000</v>
      </c>
      <c r="G26" s="236">
        <v>122302.19999999995</v>
      </c>
      <c r="H26" s="236">
        <v>537697.80000000005</v>
      </c>
      <c r="I26" s="236">
        <v>0</v>
      </c>
      <c r="J26" s="236">
        <v>0</v>
      </c>
      <c r="K26" s="236">
        <v>0</v>
      </c>
      <c r="L26" s="236">
        <v>0</v>
      </c>
      <c r="M26" s="236">
        <v>0</v>
      </c>
      <c r="N26" s="236">
        <v>0</v>
      </c>
      <c r="O26" s="242">
        <v>0</v>
      </c>
      <c r="P26" s="236">
        <v>0</v>
      </c>
      <c r="Q26" s="236">
        <v>537697.80000000005</v>
      </c>
      <c r="R26" s="236">
        <v>0</v>
      </c>
      <c r="S26" s="236">
        <v>91784.41</v>
      </c>
      <c r="T26" s="236">
        <v>445913.39</v>
      </c>
      <c r="U26" s="236">
        <v>0</v>
      </c>
      <c r="V26" s="236">
        <v>0</v>
      </c>
      <c r="W26" s="236">
        <v>0</v>
      </c>
      <c r="X26" s="242">
        <v>0</v>
      </c>
      <c r="Y26" s="236">
        <v>0</v>
      </c>
      <c r="Z26" s="243"/>
      <c r="AA26" s="243"/>
      <c r="AB26" s="236">
        <v>660000</v>
      </c>
      <c r="AC26" s="238"/>
      <c r="AD26" s="238"/>
      <c r="AE26" s="238"/>
      <c r="AF26" s="241"/>
      <c r="AG26" s="229"/>
      <c r="AH26" s="110">
        <f>MAX(H26-AB26,0)</f>
        <v>0</v>
      </c>
    </row>
    <row r="27" spans="2:34" x14ac:dyDescent="0.25">
      <c r="B27" s="178" t="str">
        <f>_xlfn.XLOOKUP(C27,'Info Clientes'!A:A,'Info Clientes'!B:B)</f>
        <v>Additive</v>
      </c>
      <c r="C27" s="96" t="s">
        <v>616</v>
      </c>
      <c r="D27" s="304" t="s">
        <v>391</v>
      </c>
      <c r="E27" s="305"/>
      <c r="F27" s="109">
        <v>3500000</v>
      </c>
      <c r="G27" s="109">
        <v>2973147.5</v>
      </c>
      <c r="H27" s="109">
        <v>526852.5</v>
      </c>
      <c r="I27" s="110">
        <v>0</v>
      </c>
      <c r="J27" s="110">
        <v>0</v>
      </c>
      <c r="K27" s="110">
        <v>0</v>
      </c>
      <c r="L27" s="110">
        <v>0</v>
      </c>
      <c r="M27" s="110">
        <v>0</v>
      </c>
      <c r="N27" s="110">
        <v>0</v>
      </c>
      <c r="O27" s="115">
        <v>0</v>
      </c>
      <c r="P27" s="110">
        <v>0</v>
      </c>
      <c r="Q27" s="110">
        <v>526852.5</v>
      </c>
      <c r="R27" s="110">
        <v>526852.5</v>
      </c>
      <c r="S27" s="110">
        <v>0</v>
      </c>
      <c r="T27" s="110">
        <v>0</v>
      </c>
      <c r="U27" s="110">
        <v>0</v>
      </c>
      <c r="V27" s="110">
        <v>0</v>
      </c>
      <c r="W27" s="110">
        <v>0</v>
      </c>
      <c r="X27" s="115">
        <v>0</v>
      </c>
      <c r="Y27" s="110">
        <v>0</v>
      </c>
      <c r="Z27" s="111"/>
      <c r="AA27" s="111"/>
      <c r="AB27" s="110">
        <v>3500000</v>
      </c>
      <c r="AC27" s="238"/>
      <c r="AD27" s="238"/>
      <c r="AE27" s="238"/>
      <c r="AF27" s="241"/>
      <c r="AG27" s="229"/>
      <c r="AH27" s="110">
        <f>MAX(H27-AB27,0)</f>
        <v>0</v>
      </c>
    </row>
    <row r="28" spans="2:34" x14ac:dyDescent="0.25">
      <c r="B28" s="178" t="str">
        <f>_xlfn.XLOOKUP(C28,'Info Clientes'!A:A,'Info Clientes'!B:B)</f>
        <v>Additive</v>
      </c>
      <c r="C28" s="234" t="s">
        <v>583</v>
      </c>
      <c r="D28" s="235" t="s">
        <v>391</v>
      </c>
      <c r="E28" s="235"/>
      <c r="F28" s="236">
        <v>1500000</v>
      </c>
      <c r="G28" s="236">
        <v>980391.4</v>
      </c>
      <c r="H28" s="236">
        <v>519608.6</v>
      </c>
      <c r="I28" s="236">
        <v>0</v>
      </c>
      <c r="J28" s="236">
        <v>0</v>
      </c>
      <c r="K28" s="236">
        <v>0</v>
      </c>
      <c r="L28" s="236">
        <v>0</v>
      </c>
      <c r="M28" s="236">
        <v>0</v>
      </c>
      <c r="N28" s="236">
        <v>0</v>
      </c>
      <c r="O28" s="242">
        <v>0</v>
      </c>
      <c r="P28" s="236">
        <v>0</v>
      </c>
      <c r="Q28" s="236">
        <v>519608.6</v>
      </c>
      <c r="R28" s="236">
        <v>394528.6</v>
      </c>
      <c r="S28" s="236">
        <v>125080</v>
      </c>
      <c r="T28" s="236">
        <v>0</v>
      </c>
      <c r="U28" s="236">
        <v>0</v>
      </c>
      <c r="V28" s="236">
        <v>0</v>
      </c>
      <c r="W28" s="236">
        <v>0</v>
      </c>
      <c r="X28" s="242">
        <v>0</v>
      </c>
      <c r="Y28" s="236">
        <v>0</v>
      </c>
      <c r="Z28" s="243"/>
      <c r="AA28" s="243"/>
      <c r="AB28" s="236">
        <v>1500000</v>
      </c>
      <c r="AC28" s="238"/>
      <c r="AD28" s="238"/>
      <c r="AE28" s="238"/>
      <c r="AF28" s="241"/>
      <c r="AG28" s="229"/>
      <c r="AH28" s="110">
        <f>MAX(H28-AB28,0)</f>
        <v>0</v>
      </c>
    </row>
    <row r="29" spans="2:34" x14ac:dyDescent="0.25">
      <c r="B29" s="178" t="str">
        <f>_xlfn.XLOOKUP(C29,'Info Clientes'!A:A,'Info Clientes'!B:B)</f>
        <v>Additive</v>
      </c>
      <c r="C29" s="96" t="s">
        <v>356</v>
      </c>
      <c r="D29" s="304" t="s">
        <v>391</v>
      </c>
      <c r="E29" s="305"/>
      <c r="F29" s="109">
        <v>4500000</v>
      </c>
      <c r="G29" s="109">
        <v>4037070.2</v>
      </c>
      <c r="H29" s="109">
        <v>462929.8</v>
      </c>
      <c r="I29" s="110">
        <v>0</v>
      </c>
      <c r="J29" s="110">
        <v>0</v>
      </c>
      <c r="K29" s="110">
        <v>0</v>
      </c>
      <c r="L29" s="110">
        <v>0</v>
      </c>
      <c r="M29" s="110">
        <v>0</v>
      </c>
      <c r="N29" s="110">
        <v>0</v>
      </c>
      <c r="O29" s="115">
        <v>0</v>
      </c>
      <c r="P29" s="110">
        <v>0</v>
      </c>
      <c r="Q29" s="110">
        <v>462929.8</v>
      </c>
      <c r="R29" s="110">
        <v>462929.8</v>
      </c>
      <c r="S29" s="110">
        <v>0</v>
      </c>
      <c r="T29" s="110">
        <v>0</v>
      </c>
      <c r="U29" s="110">
        <v>0</v>
      </c>
      <c r="V29" s="110">
        <v>0</v>
      </c>
      <c r="W29" s="110">
        <v>0</v>
      </c>
      <c r="X29" s="115">
        <v>0</v>
      </c>
      <c r="Y29" s="110">
        <v>0</v>
      </c>
      <c r="Z29" s="111"/>
      <c r="AA29" s="111"/>
      <c r="AB29" s="110">
        <v>4500000</v>
      </c>
      <c r="AC29" s="238"/>
      <c r="AD29" s="238"/>
      <c r="AE29" s="238"/>
      <c r="AF29" s="241"/>
      <c r="AG29" s="229"/>
      <c r="AH29" s="110">
        <f>MAX(H29-AB29,0)</f>
        <v>0</v>
      </c>
    </row>
    <row r="30" spans="2:34" x14ac:dyDescent="0.25">
      <c r="B30" s="178" t="str">
        <f>_xlfn.XLOOKUP(C30,'Info Clientes'!A:A,'Info Clientes'!B:B)</f>
        <v>Additive</v>
      </c>
      <c r="C30" s="96" t="s">
        <v>353</v>
      </c>
      <c r="D30" s="304" t="s">
        <v>391</v>
      </c>
      <c r="E30" s="305"/>
      <c r="F30" s="109">
        <v>4000000</v>
      </c>
      <c r="G30" s="109">
        <v>3594860</v>
      </c>
      <c r="H30" s="109">
        <v>405140</v>
      </c>
      <c r="I30" s="110">
        <v>0</v>
      </c>
      <c r="J30" s="110">
        <v>0</v>
      </c>
      <c r="K30" s="110">
        <v>0</v>
      </c>
      <c r="L30" s="110">
        <v>0</v>
      </c>
      <c r="M30" s="110">
        <v>0</v>
      </c>
      <c r="N30" s="110">
        <v>0</v>
      </c>
      <c r="O30" s="115">
        <v>0</v>
      </c>
      <c r="P30" s="110">
        <v>0</v>
      </c>
      <c r="Q30" s="110">
        <v>405140</v>
      </c>
      <c r="R30" s="110">
        <v>268136.7</v>
      </c>
      <c r="S30" s="110">
        <v>137003.29999999999</v>
      </c>
      <c r="T30" s="110">
        <v>0</v>
      </c>
      <c r="U30" s="110">
        <v>0</v>
      </c>
      <c r="V30" s="110">
        <v>0</v>
      </c>
      <c r="W30" s="110">
        <v>0</v>
      </c>
      <c r="X30" s="115">
        <v>0</v>
      </c>
      <c r="Y30" s="110">
        <v>0</v>
      </c>
      <c r="Z30" s="111"/>
      <c r="AA30" s="111"/>
      <c r="AB30" s="110">
        <v>4000000</v>
      </c>
      <c r="AC30" s="238"/>
      <c r="AD30" s="238"/>
      <c r="AE30" s="238"/>
      <c r="AF30" s="241"/>
      <c r="AG30" s="229"/>
      <c r="AH30" s="110">
        <f>MAX(H30-AB30,0)</f>
        <v>0</v>
      </c>
    </row>
    <row r="31" spans="2:34" x14ac:dyDescent="0.25">
      <c r="B31" s="178" t="str">
        <f>_xlfn.XLOOKUP(C31,'Info Clientes'!A:A,'Info Clientes'!B:B)</f>
        <v>Additive</v>
      </c>
      <c r="C31" s="96" t="s">
        <v>355</v>
      </c>
      <c r="D31" s="304" t="s">
        <v>391</v>
      </c>
      <c r="E31" s="305"/>
      <c r="F31" s="109">
        <v>1158000</v>
      </c>
      <c r="G31" s="109">
        <v>769074.2</v>
      </c>
      <c r="H31" s="109">
        <v>388925.8</v>
      </c>
      <c r="I31" s="110">
        <v>0</v>
      </c>
      <c r="J31" s="110">
        <v>0</v>
      </c>
      <c r="K31" s="110">
        <v>0</v>
      </c>
      <c r="L31" s="110">
        <v>0</v>
      </c>
      <c r="M31" s="110">
        <v>0</v>
      </c>
      <c r="N31" s="110">
        <v>0</v>
      </c>
      <c r="O31" s="115">
        <v>0</v>
      </c>
      <c r="P31" s="110">
        <v>0</v>
      </c>
      <c r="Q31" s="110">
        <v>388925.8</v>
      </c>
      <c r="R31" s="110">
        <v>388925.8</v>
      </c>
      <c r="S31" s="110">
        <v>0</v>
      </c>
      <c r="T31" s="110">
        <v>0</v>
      </c>
      <c r="U31" s="110">
        <v>0</v>
      </c>
      <c r="V31" s="110">
        <v>0</v>
      </c>
      <c r="W31" s="110">
        <v>0</v>
      </c>
      <c r="X31" s="115">
        <v>0</v>
      </c>
      <c r="Y31" s="110">
        <v>1200</v>
      </c>
      <c r="Z31" s="111"/>
      <c r="AA31" s="111"/>
      <c r="AB31" s="110">
        <v>1158000</v>
      </c>
      <c r="AC31" s="238"/>
      <c r="AD31" s="238"/>
      <c r="AE31" s="238"/>
      <c r="AF31" s="241"/>
      <c r="AG31" s="229"/>
      <c r="AH31" s="110">
        <f>MAX(H31-AB31,0)</f>
        <v>0</v>
      </c>
    </row>
    <row r="32" spans="2:34" x14ac:dyDescent="0.25">
      <c r="B32" s="178" t="str">
        <f>_xlfn.XLOOKUP(C32,'Info Clientes'!A:A,'Info Clientes'!B:B)</f>
        <v>Additive</v>
      </c>
      <c r="C32" s="96" t="s">
        <v>73</v>
      </c>
      <c r="D32" s="304" t="s">
        <v>391</v>
      </c>
      <c r="E32" s="305"/>
      <c r="F32" s="109">
        <v>3000000</v>
      </c>
      <c r="G32" s="109">
        <v>2617438.5499999998</v>
      </c>
      <c r="H32" s="109">
        <v>382561.45</v>
      </c>
      <c r="I32" s="110">
        <v>0</v>
      </c>
      <c r="J32" s="110">
        <v>0</v>
      </c>
      <c r="K32" s="110">
        <v>0</v>
      </c>
      <c r="L32" s="110">
        <v>0</v>
      </c>
      <c r="M32" s="110">
        <v>0</v>
      </c>
      <c r="N32" s="110">
        <v>0</v>
      </c>
      <c r="O32" s="115">
        <v>0</v>
      </c>
      <c r="P32" s="110">
        <v>0</v>
      </c>
      <c r="Q32" s="110">
        <v>382561.45</v>
      </c>
      <c r="R32" s="110">
        <v>0</v>
      </c>
      <c r="S32" s="110">
        <v>382561.45</v>
      </c>
      <c r="T32" s="110">
        <v>0</v>
      </c>
      <c r="U32" s="110">
        <v>0</v>
      </c>
      <c r="V32" s="110">
        <v>0</v>
      </c>
      <c r="W32" s="110">
        <v>0</v>
      </c>
      <c r="X32" s="115">
        <v>0</v>
      </c>
      <c r="Y32" s="110">
        <v>0</v>
      </c>
      <c r="Z32" s="111"/>
      <c r="AA32" s="111"/>
      <c r="AB32" s="110">
        <v>3000000</v>
      </c>
      <c r="AC32" s="238"/>
      <c r="AD32" s="238"/>
      <c r="AE32" s="238"/>
      <c r="AF32" s="241"/>
      <c r="AG32" s="229"/>
      <c r="AH32" s="110">
        <f>MAX(H32-AB32,0)</f>
        <v>0</v>
      </c>
    </row>
    <row r="33" spans="1:38" s="245" customFormat="1" x14ac:dyDescent="0.25">
      <c r="A33" s="180"/>
      <c r="B33" s="178" t="str">
        <f>_xlfn.XLOOKUP(C33,'Info Clientes'!A:A,'Info Clientes'!B:B)</f>
        <v>Additive</v>
      </c>
      <c r="C33" s="96" t="s">
        <v>490</v>
      </c>
      <c r="D33" s="304" t="s">
        <v>391</v>
      </c>
      <c r="E33" s="305"/>
      <c r="F33" s="109">
        <v>3000000</v>
      </c>
      <c r="G33" s="109">
        <v>2618440.7999999998</v>
      </c>
      <c r="H33" s="109">
        <v>381559.2</v>
      </c>
      <c r="I33" s="110">
        <v>0</v>
      </c>
      <c r="J33" s="110">
        <v>0</v>
      </c>
      <c r="K33" s="110">
        <v>0</v>
      </c>
      <c r="L33" s="110">
        <v>0</v>
      </c>
      <c r="M33" s="110">
        <v>0</v>
      </c>
      <c r="N33" s="110">
        <v>0</v>
      </c>
      <c r="O33" s="115">
        <v>0</v>
      </c>
      <c r="P33" s="110">
        <v>0</v>
      </c>
      <c r="Q33" s="110">
        <v>381559.2</v>
      </c>
      <c r="R33" s="110">
        <v>381559.2</v>
      </c>
      <c r="S33" s="110">
        <v>0</v>
      </c>
      <c r="T33" s="110">
        <v>0</v>
      </c>
      <c r="U33" s="110">
        <v>0</v>
      </c>
      <c r="V33" s="110">
        <v>0</v>
      </c>
      <c r="W33" s="110">
        <v>0</v>
      </c>
      <c r="X33" s="115">
        <v>0</v>
      </c>
      <c r="Y33" s="110">
        <v>0</v>
      </c>
      <c r="Z33" s="111"/>
      <c r="AA33" s="111"/>
      <c r="AB33" s="110">
        <v>3000000</v>
      </c>
      <c r="AC33" s="238"/>
      <c r="AD33" s="238"/>
      <c r="AE33" s="238"/>
      <c r="AF33" s="241"/>
      <c r="AG33" s="229"/>
      <c r="AH33" s="110">
        <f>MAX(H33-AB33,0)</f>
        <v>0</v>
      </c>
      <c r="AI33" s="180"/>
      <c r="AJ33" s="181"/>
      <c r="AK33" s="181"/>
      <c r="AL33" s="181"/>
    </row>
    <row r="34" spans="1:38" x14ac:dyDescent="0.25">
      <c r="B34" s="178" t="str">
        <f>_xlfn.XLOOKUP(C34,'Info Clientes'!A:A,'Info Clientes'!B:B)</f>
        <v>Fertilizer</v>
      </c>
      <c r="C34" s="234" t="s">
        <v>330</v>
      </c>
      <c r="D34" s="235">
        <v>0</v>
      </c>
      <c r="E34" s="235"/>
      <c r="F34" s="236">
        <v>0</v>
      </c>
      <c r="G34" s="236">
        <v>-329327.90999999997</v>
      </c>
      <c r="H34" s="236">
        <v>329327.90999999997</v>
      </c>
      <c r="I34" s="236">
        <v>0</v>
      </c>
      <c r="J34" s="236">
        <v>329327.90999999997</v>
      </c>
      <c r="K34" s="236">
        <v>0</v>
      </c>
      <c r="L34" s="236">
        <v>0</v>
      </c>
      <c r="M34" s="236">
        <v>0</v>
      </c>
      <c r="N34" s="236">
        <v>0</v>
      </c>
      <c r="O34" s="242">
        <v>0</v>
      </c>
      <c r="P34" s="236">
        <v>329327.90999999997</v>
      </c>
      <c r="Q34" s="236">
        <v>0</v>
      </c>
      <c r="R34" s="236">
        <v>0</v>
      </c>
      <c r="S34" s="236">
        <v>0</v>
      </c>
      <c r="T34" s="236">
        <v>0</v>
      </c>
      <c r="U34" s="236">
        <v>0</v>
      </c>
      <c r="V34" s="236">
        <v>0</v>
      </c>
      <c r="W34" s="236">
        <v>0</v>
      </c>
      <c r="X34" s="242">
        <v>0</v>
      </c>
      <c r="Y34" s="236">
        <v>0</v>
      </c>
      <c r="Z34" s="243"/>
      <c r="AA34" s="243"/>
      <c r="AB34" s="236">
        <v>0</v>
      </c>
      <c r="AC34" s="238"/>
      <c r="AD34" s="238"/>
      <c r="AE34" s="238"/>
      <c r="AF34" s="241"/>
      <c r="AG34" s="229"/>
      <c r="AH34" s="110">
        <f>MAX(H34-AB34,0)</f>
        <v>329327.90999999997</v>
      </c>
    </row>
    <row r="35" spans="1:38" x14ac:dyDescent="0.25">
      <c r="B35" s="178" t="str">
        <f>_xlfn.XLOOKUP(C35,'Info Clientes'!A:A,'Info Clientes'!B:B)</f>
        <v>Additive</v>
      </c>
      <c r="C35" s="96" t="s">
        <v>526</v>
      </c>
      <c r="D35" s="304" t="s">
        <v>391</v>
      </c>
      <c r="E35" s="305"/>
      <c r="F35" s="109">
        <v>700000</v>
      </c>
      <c r="G35" s="109">
        <v>382725</v>
      </c>
      <c r="H35" s="109">
        <v>317275</v>
      </c>
      <c r="I35" s="110">
        <v>0</v>
      </c>
      <c r="J35" s="110">
        <v>0</v>
      </c>
      <c r="K35" s="110">
        <v>0</v>
      </c>
      <c r="L35" s="110">
        <v>0</v>
      </c>
      <c r="M35" s="110">
        <v>0</v>
      </c>
      <c r="N35" s="110">
        <v>0</v>
      </c>
      <c r="O35" s="115">
        <v>0</v>
      </c>
      <c r="P35" s="110">
        <v>0</v>
      </c>
      <c r="Q35" s="110">
        <v>317275</v>
      </c>
      <c r="R35" s="110">
        <v>317275</v>
      </c>
      <c r="S35" s="110">
        <v>0</v>
      </c>
      <c r="T35" s="110">
        <v>0</v>
      </c>
      <c r="U35" s="110">
        <v>0</v>
      </c>
      <c r="V35" s="110">
        <v>0</v>
      </c>
      <c r="W35" s="110">
        <v>0</v>
      </c>
      <c r="X35" s="115">
        <v>0</v>
      </c>
      <c r="Y35" s="110">
        <v>0</v>
      </c>
      <c r="Z35" s="111"/>
      <c r="AA35" s="111"/>
      <c r="AB35" s="110">
        <v>700000</v>
      </c>
      <c r="AC35" s="238"/>
      <c r="AD35" s="238"/>
      <c r="AE35" s="238"/>
      <c r="AF35" s="241"/>
      <c r="AG35" s="229"/>
      <c r="AH35" s="110">
        <f>MAX(H35-AB35,0)</f>
        <v>0</v>
      </c>
    </row>
    <row r="36" spans="1:38" x14ac:dyDescent="0.25">
      <c r="B36" s="178" t="str">
        <f>_xlfn.XLOOKUP(C36,'Info Clientes'!A:A,'Info Clientes'!B:B)</f>
        <v>Additive Intl.</v>
      </c>
      <c r="C36" s="96" t="s">
        <v>114</v>
      </c>
      <c r="D36" s="304" t="s">
        <v>391</v>
      </c>
      <c r="E36" s="305"/>
      <c r="F36" s="109">
        <v>1650000</v>
      </c>
      <c r="G36" s="109">
        <v>1342559.35</v>
      </c>
      <c r="H36" s="109">
        <v>307440.64999999997</v>
      </c>
      <c r="I36" s="110">
        <v>0</v>
      </c>
      <c r="J36" s="110">
        <v>0</v>
      </c>
      <c r="K36" s="110">
        <v>0</v>
      </c>
      <c r="L36" s="110">
        <v>0</v>
      </c>
      <c r="M36" s="110">
        <v>0</v>
      </c>
      <c r="N36" s="110">
        <v>0</v>
      </c>
      <c r="O36" s="115">
        <v>0</v>
      </c>
      <c r="P36" s="110">
        <v>0</v>
      </c>
      <c r="Q36" s="110">
        <v>307440.64999999997</v>
      </c>
      <c r="R36" s="110">
        <v>307440.64999999997</v>
      </c>
      <c r="S36" s="110">
        <v>0</v>
      </c>
      <c r="T36" s="110">
        <v>0</v>
      </c>
      <c r="U36" s="110">
        <v>0</v>
      </c>
      <c r="V36" s="110">
        <v>0</v>
      </c>
      <c r="W36" s="110">
        <v>0</v>
      </c>
      <c r="X36" s="115">
        <v>0</v>
      </c>
      <c r="Y36" s="110">
        <v>0</v>
      </c>
      <c r="Z36" s="111"/>
      <c r="AA36" s="111"/>
      <c r="AB36" s="110">
        <v>1650000</v>
      </c>
      <c r="AC36" s="238"/>
      <c r="AD36" s="238"/>
      <c r="AE36" s="238"/>
      <c r="AF36" s="241"/>
      <c r="AG36" s="229"/>
      <c r="AH36" s="110">
        <f>MAX(H36-AB36,0)</f>
        <v>0</v>
      </c>
    </row>
    <row r="37" spans="1:38" x14ac:dyDescent="0.25">
      <c r="B37" s="178" t="str">
        <f>_xlfn.XLOOKUP(C37,'Info Clientes'!A:A,'Info Clientes'!B:B)</f>
        <v>Fertilizer</v>
      </c>
      <c r="C37" s="234" t="s">
        <v>466</v>
      </c>
      <c r="D37" s="235" t="s">
        <v>391</v>
      </c>
      <c r="E37" s="235">
        <v>180</v>
      </c>
      <c r="F37" s="236">
        <v>1000000</v>
      </c>
      <c r="G37" s="236">
        <v>700357.91999999993</v>
      </c>
      <c r="H37" s="236">
        <v>299642.08</v>
      </c>
      <c r="I37" s="236">
        <v>0</v>
      </c>
      <c r="J37" s="236">
        <v>0</v>
      </c>
      <c r="K37" s="236">
        <v>0</v>
      </c>
      <c r="L37" s="236">
        <v>0</v>
      </c>
      <c r="M37" s="236">
        <v>0</v>
      </c>
      <c r="N37" s="236">
        <v>0</v>
      </c>
      <c r="O37" s="242">
        <v>0</v>
      </c>
      <c r="P37" s="236">
        <v>0</v>
      </c>
      <c r="Q37" s="236">
        <v>299642.08</v>
      </c>
      <c r="R37" s="236">
        <v>0</v>
      </c>
      <c r="S37" s="236">
        <v>0</v>
      </c>
      <c r="T37" s="236">
        <v>0</v>
      </c>
      <c r="U37" s="236">
        <v>0</v>
      </c>
      <c r="V37" s="236">
        <v>299642.08</v>
      </c>
      <c r="W37" s="236">
        <v>0</v>
      </c>
      <c r="X37" s="242">
        <v>0</v>
      </c>
      <c r="Y37" s="236">
        <v>0</v>
      </c>
      <c r="Z37" s="243"/>
      <c r="AA37" s="243"/>
      <c r="AB37" s="236">
        <v>1000000</v>
      </c>
      <c r="AC37" s="238"/>
      <c r="AD37" s="238"/>
      <c r="AE37" s="238"/>
      <c r="AF37" s="241"/>
      <c r="AG37" s="229"/>
      <c r="AH37" s="110">
        <f>MAX(H37-AB37,0)</f>
        <v>0</v>
      </c>
    </row>
    <row r="38" spans="1:38" x14ac:dyDescent="0.25">
      <c r="B38" s="178" t="str">
        <f>_xlfn.XLOOKUP(C38,'Info Clientes'!A:A,'Info Clientes'!B:B)</f>
        <v>Fertilizer</v>
      </c>
      <c r="C38" s="96" t="s">
        <v>784</v>
      </c>
      <c r="D38" s="304" t="s">
        <v>391</v>
      </c>
      <c r="E38" s="305">
        <v>180</v>
      </c>
      <c r="F38" s="109">
        <v>3000000</v>
      </c>
      <c r="G38" s="109">
        <v>2708975.14</v>
      </c>
      <c r="H38" s="109">
        <v>291024.86</v>
      </c>
      <c r="I38" s="110">
        <v>0</v>
      </c>
      <c r="J38" s="110">
        <v>0</v>
      </c>
      <c r="K38" s="110">
        <v>0</v>
      </c>
      <c r="L38" s="110">
        <v>0</v>
      </c>
      <c r="M38" s="110">
        <v>0</v>
      </c>
      <c r="N38" s="110">
        <v>0</v>
      </c>
      <c r="O38" s="115">
        <v>0</v>
      </c>
      <c r="P38" s="110">
        <v>0</v>
      </c>
      <c r="Q38" s="110">
        <v>291024.86</v>
      </c>
      <c r="R38" s="110">
        <v>72587.789999999994</v>
      </c>
      <c r="S38" s="110">
        <v>218437.07</v>
      </c>
      <c r="T38" s="110">
        <v>0</v>
      </c>
      <c r="U38" s="110">
        <v>0</v>
      </c>
      <c r="V38" s="110">
        <v>0</v>
      </c>
      <c r="W38" s="110">
        <v>0</v>
      </c>
      <c r="X38" s="115">
        <v>0</v>
      </c>
      <c r="Y38" s="110">
        <v>0</v>
      </c>
      <c r="Z38" s="111"/>
      <c r="AA38" s="111"/>
      <c r="AB38" s="110">
        <v>3000000</v>
      </c>
      <c r="AC38" s="238"/>
      <c r="AD38" s="238"/>
      <c r="AE38" s="238"/>
      <c r="AF38" s="241"/>
      <c r="AG38" s="229"/>
      <c r="AH38" s="110">
        <f>MAX(H38-AB38,0)</f>
        <v>0</v>
      </c>
    </row>
    <row r="39" spans="1:38" x14ac:dyDescent="0.25">
      <c r="B39" s="178" t="str">
        <f>_xlfn.XLOOKUP(C39,'Info Clientes'!A:A,'Info Clientes'!B:B)</f>
        <v>Additive Intl.</v>
      </c>
      <c r="C39" s="234" t="s">
        <v>333</v>
      </c>
      <c r="D39" s="235" t="s">
        <v>391</v>
      </c>
      <c r="E39" s="235"/>
      <c r="F39" s="236">
        <v>990000</v>
      </c>
      <c r="G39" s="236">
        <v>724957.42</v>
      </c>
      <c r="H39" s="236">
        <v>265042.57999999996</v>
      </c>
      <c r="I39" s="236">
        <v>0</v>
      </c>
      <c r="J39" s="236">
        <v>0</v>
      </c>
      <c r="K39" s="236">
        <v>0</v>
      </c>
      <c r="L39" s="236">
        <v>0</v>
      </c>
      <c r="M39" s="236">
        <v>0</v>
      </c>
      <c r="N39" s="236">
        <v>0</v>
      </c>
      <c r="O39" s="242">
        <v>0</v>
      </c>
      <c r="P39" s="236">
        <v>0</v>
      </c>
      <c r="Q39" s="236">
        <v>265042.57999999996</v>
      </c>
      <c r="R39" s="236">
        <v>265042.57999999996</v>
      </c>
      <c r="S39" s="236">
        <v>0</v>
      </c>
      <c r="T39" s="236">
        <v>0</v>
      </c>
      <c r="U39" s="236">
        <v>0</v>
      </c>
      <c r="V39" s="236">
        <v>0</v>
      </c>
      <c r="W39" s="236">
        <v>0</v>
      </c>
      <c r="X39" s="242">
        <v>0</v>
      </c>
      <c r="Y39" s="236">
        <v>0</v>
      </c>
      <c r="Z39" s="243"/>
      <c r="AA39" s="243"/>
      <c r="AB39" s="236">
        <v>990000</v>
      </c>
      <c r="AC39" s="238"/>
      <c r="AD39" s="238"/>
      <c r="AE39" s="238"/>
      <c r="AF39" s="241"/>
      <c r="AG39" s="229"/>
      <c r="AH39" s="110">
        <f>MAX(H39-AB39,0)</f>
        <v>0</v>
      </c>
    </row>
    <row r="40" spans="1:38" x14ac:dyDescent="0.25">
      <c r="B40" s="178" t="str">
        <f>_xlfn.XLOOKUP(C40,'Info Clientes'!A:A,'Info Clientes'!B:B)</f>
        <v>Additive Intl.</v>
      </c>
      <c r="C40" s="96" t="s">
        <v>162</v>
      </c>
      <c r="D40" s="304" t="s">
        <v>391</v>
      </c>
      <c r="E40" s="305"/>
      <c r="F40" s="109">
        <v>275000</v>
      </c>
      <c r="G40" s="109">
        <v>10165.160000000033</v>
      </c>
      <c r="H40" s="109">
        <v>264834.83999999997</v>
      </c>
      <c r="I40" s="110">
        <v>133551.97</v>
      </c>
      <c r="J40" s="110">
        <v>0</v>
      </c>
      <c r="K40" s="110">
        <v>0</v>
      </c>
      <c r="L40" s="110">
        <v>0</v>
      </c>
      <c r="M40" s="110">
        <v>0</v>
      </c>
      <c r="N40" s="110">
        <v>0</v>
      </c>
      <c r="O40" s="115">
        <v>0</v>
      </c>
      <c r="P40" s="110">
        <v>133551.97</v>
      </c>
      <c r="Q40" s="110">
        <v>131282.87</v>
      </c>
      <c r="R40" s="110">
        <v>0</v>
      </c>
      <c r="S40" s="110">
        <v>131282.87</v>
      </c>
      <c r="T40" s="110">
        <v>0</v>
      </c>
      <c r="U40" s="110">
        <v>0</v>
      </c>
      <c r="V40" s="110">
        <v>0</v>
      </c>
      <c r="W40" s="110">
        <v>0</v>
      </c>
      <c r="X40" s="115">
        <v>0</v>
      </c>
      <c r="Y40" s="110">
        <v>0</v>
      </c>
      <c r="Z40" s="111"/>
      <c r="AA40" s="111"/>
      <c r="AB40" s="110">
        <v>275000</v>
      </c>
      <c r="AC40" s="238"/>
      <c r="AD40" s="238"/>
      <c r="AE40" s="238"/>
      <c r="AF40" s="241"/>
      <c r="AG40" s="229"/>
      <c r="AH40" s="110">
        <f>MAX(H40-AB40,0)</f>
        <v>0</v>
      </c>
    </row>
    <row r="41" spans="1:38" x14ac:dyDescent="0.25">
      <c r="B41" s="178" t="str">
        <f>_xlfn.XLOOKUP(C41,'Info Clientes'!A:A,'Info Clientes'!B:B)</f>
        <v>Additive</v>
      </c>
      <c r="C41" s="234" t="s">
        <v>399</v>
      </c>
      <c r="D41" s="235" t="s">
        <v>392</v>
      </c>
      <c r="E41" s="235"/>
      <c r="F41" s="236">
        <v>300000</v>
      </c>
      <c r="G41" s="236">
        <v>57434.119999999995</v>
      </c>
      <c r="H41" s="236">
        <v>242565.88</v>
      </c>
      <c r="I41" s="236">
        <v>0</v>
      </c>
      <c r="J41" s="236">
        <v>0</v>
      </c>
      <c r="K41" s="236">
        <v>0</v>
      </c>
      <c r="L41" s="236">
        <v>0</v>
      </c>
      <c r="M41" s="236">
        <v>0</v>
      </c>
      <c r="N41" s="236">
        <v>0</v>
      </c>
      <c r="O41" s="242">
        <v>0</v>
      </c>
      <c r="P41" s="236">
        <v>0</v>
      </c>
      <c r="Q41" s="236">
        <v>242565.88</v>
      </c>
      <c r="R41" s="236">
        <v>121282.94</v>
      </c>
      <c r="S41" s="236">
        <v>121282.94</v>
      </c>
      <c r="T41" s="236">
        <v>0</v>
      </c>
      <c r="U41" s="236">
        <v>0</v>
      </c>
      <c r="V41" s="236">
        <v>0</v>
      </c>
      <c r="W41" s="236">
        <v>0</v>
      </c>
      <c r="X41" s="242">
        <v>0</v>
      </c>
      <c r="Y41" s="236">
        <v>0</v>
      </c>
      <c r="Z41" s="243"/>
      <c r="AA41" s="243"/>
      <c r="AB41" s="236">
        <v>0</v>
      </c>
      <c r="AC41" s="238"/>
      <c r="AD41" s="238"/>
      <c r="AE41" s="238"/>
      <c r="AF41" s="241"/>
      <c r="AG41" s="229"/>
      <c r="AH41" s="110">
        <f>MAX(H41-AB41,0)</f>
        <v>242565.88</v>
      </c>
    </row>
    <row r="42" spans="1:38" x14ac:dyDescent="0.25">
      <c r="B42" s="178" t="str">
        <f>_xlfn.XLOOKUP(C42,'Info Clientes'!A:A,'Info Clientes'!B:B)</f>
        <v>Fertilizer / Litigation</v>
      </c>
      <c r="C42" s="234" t="s">
        <v>366</v>
      </c>
      <c r="D42" s="235">
        <v>0</v>
      </c>
      <c r="E42" s="235"/>
      <c r="F42" s="236">
        <v>0</v>
      </c>
      <c r="G42" s="236">
        <v>-237309.12</v>
      </c>
      <c r="H42" s="236">
        <v>237309.12</v>
      </c>
      <c r="I42" s="236">
        <v>0</v>
      </c>
      <c r="J42" s="236">
        <v>0</v>
      </c>
      <c r="K42" s="236">
        <v>0</v>
      </c>
      <c r="L42" s="236">
        <v>0</v>
      </c>
      <c r="M42" s="236">
        <v>0</v>
      </c>
      <c r="N42" s="236">
        <v>0</v>
      </c>
      <c r="O42" s="242">
        <v>237309.12</v>
      </c>
      <c r="P42" s="236">
        <v>237309.12</v>
      </c>
      <c r="Q42" s="236">
        <v>0</v>
      </c>
      <c r="R42" s="236">
        <v>0</v>
      </c>
      <c r="S42" s="236">
        <v>0</v>
      </c>
      <c r="T42" s="236">
        <v>0</v>
      </c>
      <c r="U42" s="236">
        <v>0</v>
      </c>
      <c r="V42" s="236">
        <v>0</v>
      </c>
      <c r="W42" s="236">
        <v>0</v>
      </c>
      <c r="X42" s="242">
        <v>0</v>
      </c>
      <c r="Y42" s="236">
        <v>237309.12</v>
      </c>
      <c r="Z42" s="243"/>
      <c r="AA42" s="243"/>
      <c r="AB42" s="236">
        <v>0</v>
      </c>
      <c r="AC42" s="238"/>
      <c r="AD42" s="238"/>
      <c r="AE42" s="238"/>
      <c r="AF42" s="241"/>
      <c r="AG42" s="229"/>
      <c r="AH42" s="110">
        <f>MAX(H42-AB42,0)</f>
        <v>237309.12</v>
      </c>
    </row>
    <row r="43" spans="1:38" x14ac:dyDescent="0.25">
      <c r="B43" s="178" t="str">
        <f>_xlfn.XLOOKUP(C43,'Info Clientes'!A:A,'Info Clientes'!B:B)</f>
        <v>Additive</v>
      </c>
      <c r="C43" s="234" t="s">
        <v>55</v>
      </c>
      <c r="D43" s="235">
        <v>0</v>
      </c>
      <c r="E43" s="235"/>
      <c r="F43" s="236">
        <v>270000</v>
      </c>
      <c r="G43" s="236">
        <v>41072.600000000006</v>
      </c>
      <c r="H43" s="236">
        <v>228927.4</v>
      </c>
      <c r="I43" s="236">
        <v>76320.399999999994</v>
      </c>
      <c r="J43" s="236">
        <v>0</v>
      </c>
      <c r="K43" s="236">
        <v>0</v>
      </c>
      <c r="L43" s="236">
        <v>0</v>
      </c>
      <c r="M43" s="236">
        <v>0</v>
      </c>
      <c r="N43" s="236">
        <v>0</v>
      </c>
      <c r="O43" s="242">
        <v>0</v>
      </c>
      <c r="P43" s="236">
        <v>76320.399999999994</v>
      </c>
      <c r="Q43" s="236">
        <v>152607</v>
      </c>
      <c r="R43" s="236">
        <v>76134.5</v>
      </c>
      <c r="S43" s="236">
        <v>76472.5</v>
      </c>
      <c r="T43" s="236">
        <v>0</v>
      </c>
      <c r="U43" s="236">
        <v>0</v>
      </c>
      <c r="V43" s="236">
        <v>0</v>
      </c>
      <c r="W43" s="236">
        <v>0</v>
      </c>
      <c r="X43" s="242">
        <v>0</v>
      </c>
      <c r="Y43" s="236">
        <v>0</v>
      </c>
      <c r="Z43" s="243"/>
      <c r="AA43" s="243"/>
      <c r="AB43" s="236">
        <v>0</v>
      </c>
      <c r="AC43" s="238"/>
      <c r="AD43" s="238"/>
      <c r="AE43" s="238"/>
      <c r="AF43" s="241"/>
      <c r="AG43" s="229"/>
      <c r="AH43" s="110">
        <f>MAX(H43-AB43,0)</f>
        <v>228927.4</v>
      </c>
    </row>
    <row r="44" spans="1:38" x14ac:dyDescent="0.25">
      <c r="B44" s="178" t="str">
        <f>_xlfn.XLOOKUP(C44,'Info Clientes'!A:A,'Info Clientes'!B:B)</f>
        <v>Additive / Litigation</v>
      </c>
      <c r="C44" s="96" t="s">
        <v>44</v>
      </c>
      <c r="D44" s="304">
        <v>0</v>
      </c>
      <c r="E44" s="305"/>
      <c r="F44" s="109">
        <v>0</v>
      </c>
      <c r="G44" s="109">
        <v>-226233.60000000001</v>
      </c>
      <c r="H44" s="109">
        <v>226233.60000000001</v>
      </c>
      <c r="I44" s="110">
        <v>0</v>
      </c>
      <c r="J44" s="110">
        <v>0</v>
      </c>
      <c r="K44" s="110">
        <v>0</v>
      </c>
      <c r="L44" s="110">
        <v>0</v>
      </c>
      <c r="M44" s="110">
        <v>0</v>
      </c>
      <c r="N44" s="110">
        <v>0</v>
      </c>
      <c r="O44" s="115">
        <v>226233.60000000001</v>
      </c>
      <c r="P44" s="110">
        <v>226233.60000000001</v>
      </c>
      <c r="Q44" s="110">
        <v>0</v>
      </c>
      <c r="R44" s="110">
        <v>0</v>
      </c>
      <c r="S44" s="110">
        <v>0</v>
      </c>
      <c r="T44" s="110">
        <v>0</v>
      </c>
      <c r="U44" s="110">
        <v>0</v>
      </c>
      <c r="V44" s="110">
        <v>0</v>
      </c>
      <c r="W44" s="110">
        <v>0</v>
      </c>
      <c r="X44" s="115">
        <v>0</v>
      </c>
      <c r="Y44" s="110">
        <v>226233.60000000001</v>
      </c>
      <c r="Z44" s="111"/>
      <c r="AA44" s="111"/>
      <c r="AB44" s="110">
        <v>0</v>
      </c>
      <c r="AC44" s="238"/>
      <c r="AD44" s="238"/>
      <c r="AE44" s="238"/>
      <c r="AF44" s="241"/>
      <c r="AG44" s="229"/>
      <c r="AH44" s="110">
        <f>MAX(H44-AB44,0)</f>
        <v>226233.60000000001</v>
      </c>
    </row>
    <row r="45" spans="1:38" x14ac:dyDescent="0.25">
      <c r="B45" s="178" t="str">
        <f>_xlfn.XLOOKUP(C45,'Info Clientes'!A:A,'Info Clientes'!B:B)</f>
        <v>Additive / Litigation</v>
      </c>
      <c r="C45" s="96" t="s">
        <v>263</v>
      </c>
      <c r="D45" s="304">
        <v>0</v>
      </c>
      <c r="E45" s="305"/>
      <c r="F45" s="109">
        <v>0</v>
      </c>
      <c r="G45" s="109">
        <v>-213750</v>
      </c>
      <c r="H45" s="109">
        <v>213750</v>
      </c>
      <c r="I45" s="110">
        <v>0</v>
      </c>
      <c r="J45" s="110">
        <v>0</v>
      </c>
      <c r="K45" s="110">
        <v>0</v>
      </c>
      <c r="L45" s="110">
        <v>0</v>
      </c>
      <c r="M45" s="110">
        <v>0</v>
      </c>
      <c r="N45" s="110">
        <v>0</v>
      </c>
      <c r="O45" s="115">
        <v>213750</v>
      </c>
      <c r="P45" s="110">
        <v>213750</v>
      </c>
      <c r="Q45" s="110">
        <v>0</v>
      </c>
      <c r="R45" s="110">
        <v>0</v>
      </c>
      <c r="S45" s="110">
        <v>0</v>
      </c>
      <c r="T45" s="110">
        <v>0</v>
      </c>
      <c r="U45" s="110">
        <v>0</v>
      </c>
      <c r="V45" s="110">
        <v>0</v>
      </c>
      <c r="W45" s="110">
        <v>0</v>
      </c>
      <c r="X45" s="115">
        <v>0</v>
      </c>
      <c r="Y45" s="110">
        <v>213750</v>
      </c>
      <c r="Z45" s="111"/>
      <c r="AA45" s="111"/>
      <c r="AB45" s="110">
        <v>0</v>
      </c>
      <c r="AC45" s="238"/>
      <c r="AD45" s="238"/>
      <c r="AE45" s="238"/>
      <c r="AF45" s="241"/>
      <c r="AG45" s="229"/>
      <c r="AH45" s="110">
        <f>MAX(H45-AB45,0)</f>
        <v>213750</v>
      </c>
    </row>
    <row r="46" spans="1:38" x14ac:dyDescent="0.25">
      <c r="B46" s="178" t="str">
        <f>_xlfn.XLOOKUP(C46,'Info Clientes'!A:A,'Info Clientes'!B:B)</f>
        <v>Additive</v>
      </c>
      <c r="C46" s="234" t="s">
        <v>369</v>
      </c>
      <c r="D46" s="235" t="s">
        <v>391</v>
      </c>
      <c r="E46" s="235"/>
      <c r="F46" s="236">
        <v>1000000</v>
      </c>
      <c r="G46" s="236">
        <v>814960</v>
      </c>
      <c r="H46" s="236">
        <v>185040</v>
      </c>
      <c r="I46" s="236">
        <v>0</v>
      </c>
      <c r="J46" s="236">
        <v>0</v>
      </c>
      <c r="K46" s="236">
        <v>0</v>
      </c>
      <c r="L46" s="236">
        <v>0</v>
      </c>
      <c r="M46" s="236">
        <v>0</v>
      </c>
      <c r="N46" s="236">
        <v>0</v>
      </c>
      <c r="O46" s="242">
        <v>0</v>
      </c>
      <c r="P46" s="236">
        <v>0</v>
      </c>
      <c r="Q46" s="236">
        <v>185040</v>
      </c>
      <c r="R46" s="236">
        <v>0</v>
      </c>
      <c r="S46" s="236">
        <v>185040</v>
      </c>
      <c r="T46" s="236">
        <v>0</v>
      </c>
      <c r="U46" s="236">
        <v>0</v>
      </c>
      <c r="V46" s="236">
        <v>0</v>
      </c>
      <c r="W46" s="236">
        <v>0</v>
      </c>
      <c r="X46" s="242">
        <v>0</v>
      </c>
      <c r="Y46" s="236">
        <v>0</v>
      </c>
      <c r="Z46" s="243"/>
      <c r="AA46" s="243"/>
      <c r="AB46" s="236">
        <v>1000000</v>
      </c>
      <c r="AC46" s="238"/>
      <c r="AD46" s="238"/>
      <c r="AE46" s="238"/>
      <c r="AF46" s="241"/>
      <c r="AG46" s="229"/>
      <c r="AH46" s="110">
        <f>MAX(H46-AB46,0)</f>
        <v>0</v>
      </c>
    </row>
    <row r="47" spans="1:38" x14ac:dyDescent="0.25">
      <c r="B47" s="178" t="str">
        <f>_xlfn.XLOOKUP(C47,'Info Clientes'!A:A,'Info Clientes'!B:B)</f>
        <v>Additive</v>
      </c>
      <c r="C47" s="96" t="s">
        <v>514</v>
      </c>
      <c r="D47" s="304" t="s">
        <v>391</v>
      </c>
      <c r="E47" s="305"/>
      <c r="F47" s="109">
        <v>1500000</v>
      </c>
      <c r="G47" s="109">
        <v>1319640.8</v>
      </c>
      <c r="H47" s="109">
        <v>180359.2</v>
      </c>
      <c r="I47" s="110">
        <v>0</v>
      </c>
      <c r="J47" s="110">
        <v>0</v>
      </c>
      <c r="K47" s="110">
        <v>0</v>
      </c>
      <c r="L47" s="110">
        <v>0</v>
      </c>
      <c r="M47" s="110">
        <v>0</v>
      </c>
      <c r="N47" s="110">
        <v>0</v>
      </c>
      <c r="O47" s="115">
        <v>0</v>
      </c>
      <c r="P47" s="110">
        <v>0</v>
      </c>
      <c r="Q47" s="110">
        <v>180359.2</v>
      </c>
      <c r="R47" s="110">
        <v>180359.2</v>
      </c>
      <c r="S47" s="110">
        <v>0</v>
      </c>
      <c r="T47" s="110">
        <v>0</v>
      </c>
      <c r="U47" s="110">
        <v>0</v>
      </c>
      <c r="V47" s="110">
        <v>0</v>
      </c>
      <c r="W47" s="110">
        <v>0</v>
      </c>
      <c r="X47" s="115">
        <v>0</v>
      </c>
      <c r="Y47" s="110">
        <v>0</v>
      </c>
      <c r="Z47" s="111"/>
      <c r="AA47" s="111"/>
      <c r="AB47" s="110">
        <v>1500000</v>
      </c>
      <c r="AC47" s="238"/>
      <c r="AD47" s="238"/>
      <c r="AE47" s="238"/>
      <c r="AF47" s="241"/>
      <c r="AG47" s="229"/>
      <c r="AH47" s="110">
        <f>MAX(H47-AB47,0)</f>
        <v>0</v>
      </c>
    </row>
    <row r="48" spans="1:38" x14ac:dyDescent="0.25">
      <c r="B48" s="178" t="str">
        <f>_xlfn.XLOOKUP(C48,'Info Clientes'!A:A,'Info Clientes'!B:B)</f>
        <v>Additive Intl.</v>
      </c>
      <c r="C48" s="234" t="s">
        <v>716</v>
      </c>
      <c r="D48" s="235">
        <v>0</v>
      </c>
      <c r="E48" s="235"/>
      <c r="F48" s="236">
        <v>200000</v>
      </c>
      <c r="G48" s="236">
        <v>20525.420000000013</v>
      </c>
      <c r="H48" s="236">
        <v>179474.58</v>
      </c>
      <c r="I48" s="236">
        <v>45718.46</v>
      </c>
      <c r="J48" s="236">
        <v>0</v>
      </c>
      <c r="K48" s="236">
        <v>0</v>
      </c>
      <c r="L48" s="236">
        <v>0</v>
      </c>
      <c r="M48" s="236">
        <v>0</v>
      </c>
      <c r="N48" s="236">
        <v>0</v>
      </c>
      <c r="O48" s="242">
        <v>0</v>
      </c>
      <c r="P48" s="236">
        <v>45718.46</v>
      </c>
      <c r="Q48" s="236">
        <v>133756.12</v>
      </c>
      <c r="R48" s="236">
        <v>0</v>
      </c>
      <c r="S48" s="236">
        <v>0</v>
      </c>
      <c r="T48" s="236">
        <v>133756.12</v>
      </c>
      <c r="U48" s="236">
        <v>0</v>
      </c>
      <c r="V48" s="236">
        <v>0</v>
      </c>
      <c r="W48" s="236">
        <v>0</v>
      </c>
      <c r="X48" s="242">
        <v>0</v>
      </c>
      <c r="Y48" s="236">
        <v>0</v>
      </c>
      <c r="Z48" s="243"/>
      <c r="AA48" s="243"/>
      <c r="AB48" s="236">
        <v>0</v>
      </c>
      <c r="AC48" s="238"/>
      <c r="AD48" s="238"/>
      <c r="AE48" s="238"/>
      <c r="AF48" s="241"/>
      <c r="AG48" s="229"/>
      <c r="AH48" s="110">
        <f>MAX(H48-AB48,0)</f>
        <v>179474.58</v>
      </c>
    </row>
    <row r="49" spans="2:34" x14ac:dyDescent="0.25">
      <c r="B49" s="178" t="str">
        <f>_xlfn.XLOOKUP(C49,'Info Clientes'!A:A,'Info Clientes'!B:B)</f>
        <v>Additive Intl.</v>
      </c>
      <c r="C49" s="96" t="s">
        <v>313</v>
      </c>
      <c r="D49" s="304" t="s">
        <v>403</v>
      </c>
      <c r="E49" s="305"/>
      <c r="F49" s="109">
        <v>770000</v>
      </c>
      <c r="G49" s="109">
        <v>594724.76</v>
      </c>
      <c r="H49" s="109">
        <v>175275.24</v>
      </c>
      <c r="I49" s="110">
        <v>175275.24</v>
      </c>
      <c r="J49" s="110">
        <v>0</v>
      </c>
      <c r="K49" s="110">
        <v>0</v>
      </c>
      <c r="L49" s="110">
        <v>0</v>
      </c>
      <c r="M49" s="110">
        <v>0</v>
      </c>
      <c r="N49" s="110">
        <v>0</v>
      </c>
      <c r="O49" s="115">
        <v>0</v>
      </c>
      <c r="P49" s="110">
        <v>175275.24</v>
      </c>
      <c r="Q49" s="110">
        <v>0</v>
      </c>
      <c r="R49" s="110">
        <v>0</v>
      </c>
      <c r="S49" s="110">
        <v>0</v>
      </c>
      <c r="T49" s="110">
        <v>0</v>
      </c>
      <c r="U49" s="110">
        <v>0</v>
      </c>
      <c r="V49" s="110">
        <v>0</v>
      </c>
      <c r="W49" s="110">
        <v>0</v>
      </c>
      <c r="X49" s="115">
        <v>0</v>
      </c>
      <c r="Y49" s="110">
        <v>0</v>
      </c>
      <c r="Z49" s="111"/>
      <c r="AA49" s="111"/>
      <c r="AB49" s="110">
        <v>770000</v>
      </c>
      <c r="AC49" s="238"/>
      <c r="AD49" s="238"/>
      <c r="AE49" s="238"/>
      <c r="AF49" s="241"/>
      <c r="AG49" s="229"/>
      <c r="AH49" s="110">
        <f>MAX(H49-AB49,0)</f>
        <v>0</v>
      </c>
    </row>
    <row r="50" spans="2:34" x14ac:dyDescent="0.25">
      <c r="B50" s="178" t="str">
        <f>_xlfn.XLOOKUP(C50,'Info Clientes'!A:A,'Info Clientes'!B:B)</f>
        <v>Additive</v>
      </c>
      <c r="C50" s="96" t="s">
        <v>358</v>
      </c>
      <c r="D50" s="304" t="s">
        <v>391</v>
      </c>
      <c r="E50" s="305"/>
      <c r="F50" s="109">
        <v>500000</v>
      </c>
      <c r="G50" s="109">
        <v>329040.59999999998</v>
      </c>
      <c r="H50" s="109">
        <v>170959.4</v>
      </c>
      <c r="I50" s="110">
        <v>0</v>
      </c>
      <c r="J50" s="110">
        <v>0</v>
      </c>
      <c r="K50" s="110">
        <v>0</v>
      </c>
      <c r="L50" s="110">
        <v>0</v>
      </c>
      <c r="M50" s="110">
        <v>0</v>
      </c>
      <c r="N50" s="110">
        <v>0</v>
      </c>
      <c r="O50" s="115">
        <v>0</v>
      </c>
      <c r="P50" s="110">
        <v>0</v>
      </c>
      <c r="Q50" s="110">
        <v>170959.4</v>
      </c>
      <c r="R50" s="110">
        <v>65330</v>
      </c>
      <c r="S50" s="110">
        <v>105629.4</v>
      </c>
      <c r="T50" s="110">
        <v>0</v>
      </c>
      <c r="U50" s="110">
        <v>0</v>
      </c>
      <c r="V50" s="110">
        <v>0</v>
      </c>
      <c r="W50" s="110">
        <v>0</v>
      </c>
      <c r="X50" s="115">
        <v>0</v>
      </c>
      <c r="Y50" s="110">
        <v>0</v>
      </c>
      <c r="Z50" s="111"/>
      <c r="AA50" s="111"/>
      <c r="AB50" s="110">
        <v>500000</v>
      </c>
      <c r="AC50" s="238"/>
      <c r="AD50" s="238"/>
      <c r="AE50" s="238"/>
      <c r="AF50" s="241"/>
      <c r="AG50" s="229"/>
      <c r="AH50" s="110">
        <f>MAX(H50-AB50,0)</f>
        <v>0</v>
      </c>
    </row>
    <row r="51" spans="2:34" x14ac:dyDescent="0.25">
      <c r="B51" s="178" t="str">
        <f>_xlfn.XLOOKUP(C51,'Info Clientes'!A:A,'Info Clientes'!B:B)</f>
        <v>Additive Intl.</v>
      </c>
      <c r="C51" s="234" t="s">
        <v>117</v>
      </c>
      <c r="D51" s="235" t="s">
        <v>403</v>
      </c>
      <c r="E51" s="235"/>
      <c r="F51" s="236">
        <v>1375000</v>
      </c>
      <c r="G51" s="236">
        <v>1208838.6099999999</v>
      </c>
      <c r="H51" s="236">
        <v>166161.39000000001</v>
      </c>
      <c r="I51" s="236">
        <v>0</v>
      </c>
      <c r="J51" s="236">
        <v>0</v>
      </c>
      <c r="K51" s="236">
        <v>0</v>
      </c>
      <c r="L51" s="236">
        <v>0</v>
      </c>
      <c r="M51" s="236">
        <v>0</v>
      </c>
      <c r="N51" s="236">
        <v>0</v>
      </c>
      <c r="O51" s="242">
        <v>0</v>
      </c>
      <c r="P51" s="236">
        <v>0</v>
      </c>
      <c r="Q51" s="236">
        <v>166161.39000000001</v>
      </c>
      <c r="R51" s="236">
        <v>166161.39000000001</v>
      </c>
      <c r="S51" s="236">
        <v>0</v>
      </c>
      <c r="T51" s="236">
        <v>0</v>
      </c>
      <c r="U51" s="236">
        <v>0</v>
      </c>
      <c r="V51" s="236">
        <v>0</v>
      </c>
      <c r="W51" s="236">
        <v>0</v>
      </c>
      <c r="X51" s="242">
        <v>0</v>
      </c>
      <c r="Y51" s="236">
        <v>0</v>
      </c>
      <c r="Z51" s="243"/>
      <c r="AA51" s="243"/>
      <c r="AB51" s="236">
        <v>1375000</v>
      </c>
      <c r="AC51" s="238"/>
      <c r="AD51" s="238"/>
      <c r="AE51" s="238"/>
      <c r="AF51" s="241"/>
      <c r="AG51" s="229"/>
      <c r="AH51" s="110">
        <f>MAX(H51-AB51,0)</f>
        <v>0</v>
      </c>
    </row>
    <row r="52" spans="2:34" x14ac:dyDescent="0.25">
      <c r="B52" s="178" t="str">
        <f>_xlfn.XLOOKUP(C52,'Info Clientes'!A:A,'Info Clientes'!B:B)</f>
        <v>Additive Intl.</v>
      </c>
      <c r="C52" s="96" t="s">
        <v>296</v>
      </c>
      <c r="D52" s="304">
        <v>0</v>
      </c>
      <c r="E52" s="305"/>
      <c r="F52" s="109">
        <v>200000</v>
      </c>
      <c r="G52" s="109">
        <v>35702.950000000012</v>
      </c>
      <c r="H52" s="109">
        <v>164297.04999999999</v>
      </c>
      <c r="I52" s="110">
        <v>0</v>
      </c>
      <c r="J52" s="110">
        <v>0</v>
      </c>
      <c r="K52" s="110">
        <v>0</v>
      </c>
      <c r="L52" s="110">
        <v>0</v>
      </c>
      <c r="M52" s="110">
        <v>0</v>
      </c>
      <c r="N52" s="110">
        <v>0</v>
      </c>
      <c r="O52" s="115">
        <v>0</v>
      </c>
      <c r="P52" s="110">
        <v>0</v>
      </c>
      <c r="Q52" s="110">
        <v>164297.04999999999</v>
      </c>
      <c r="R52" s="110">
        <v>164297.04999999999</v>
      </c>
      <c r="S52" s="110">
        <v>0</v>
      </c>
      <c r="T52" s="110">
        <v>0</v>
      </c>
      <c r="U52" s="110">
        <v>0</v>
      </c>
      <c r="V52" s="110">
        <v>0</v>
      </c>
      <c r="W52" s="110">
        <v>0</v>
      </c>
      <c r="X52" s="115">
        <v>0</v>
      </c>
      <c r="Y52" s="110">
        <v>0</v>
      </c>
      <c r="Z52" s="111"/>
      <c r="AA52" s="111"/>
      <c r="AB52" s="110">
        <v>0</v>
      </c>
      <c r="AC52" s="238"/>
      <c r="AD52" s="238"/>
      <c r="AE52" s="238"/>
      <c r="AF52" s="241"/>
      <c r="AG52" s="229"/>
      <c r="AH52" s="110">
        <f>MAX(H52-AB52,0)</f>
        <v>164297.04999999999</v>
      </c>
    </row>
    <row r="53" spans="2:34" x14ac:dyDescent="0.25">
      <c r="B53" s="178" t="str">
        <f>_xlfn.XLOOKUP(C53,'Info Clientes'!A:A,'Info Clientes'!B:B)</f>
        <v>Additive</v>
      </c>
      <c r="C53" s="96" t="s">
        <v>272</v>
      </c>
      <c r="D53" s="304" t="s">
        <v>391</v>
      </c>
      <c r="E53" s="305"/>
      <c r="F53" s="109">
        <v>300000</v>
      </c>
      <c r="G53" s="109">
        <v>136047.6</v>
      </c>
      <c r="H53" s="109">
        <v>163952.4</v>
      </c>
      <c r="I53" s="110">
        <v>0</v>
      </c>
      <c r="J53" s="110">
        <v>0</v>
      </c>
      <c r="K53" s="110">
        <v>0</v>
      </c>
      <c r="L53" s="110">
        <v>0</v>
      </c>
      <c r="M53" s="110">
        <v>0</v>
      </c>
      <c r="N53" s="110">
        <v>0</v>
      </c>
      <c r="O53" s="115">
        <v>0</v>
      </c>
      <c r="P53" s="110">
        <v>0</v>
      </c>
      <c r="Q53" s="110">
        <v>163952.4</v>
      </c>
      <c r="R53" s="110">
        <v>104834.4</v>
      </c>
      <c r="S53" s="110">
        <v>59118</v>
      </c>
      <c r="T53" s="110">
        <v>0</v>
      </c>
      <c r="U53" s="110">
        <v>0</v>
      </c>
      <c r="V53" s="110">
        <v>0</v>
      </c>
      <c r="W53" s="110">
        <v>0</v>
      </c>
      <c r="X53" s="115">
        <v>0</v>
      </c>
      <c r="Y53" s="110">
        <v>0</v>
      </c>
      <c r="Z53" s="111"/>
      <c r="AA53" s="111"/>
      <c r="AB53" s="110">
        <v>300000</v>
      </c>
      <c r="AC53" s="238"/>
      <c r="AD53" s="238"/>
      <c r="AE53" s="238"/>
      <c r="AF53" s="241"/>
      <c r="AG53" s="229"/>
      <c r="AH53" s="110">
        <f>MAX(H53-AB53,0)</f>
        <v>0</v>
      </c>
    </row>
    <row r="54" spans="2:34" x14ac:dyDescent="0.25">
      <c r="B54" s="178" t="str">
        <f>_xlfn.XLOOKUP(C54,'Info Clientes'!A:A,'Info Clientes'!B:B)</f>
        <v>Additive</v>
      </c>
      <c r="C54" s="96" t="s">
        <v>420</v>
      </c>
      <c r="D54" s="304" t="s">
        <v>391</v>
      </c>
      <c r="E54" s="305"/>
      <c r="F54" s="109">
        <v>2500000</v>
      </c>
      <c r="G54" s="109">
        <v>2338169.7999999998</v>
      </c>
      <c r="H54" s="109">
        <v>161830.20000000001</v>
      </c>
      <c r="I54" s="110">
        <v>0</v>
      </c>
      <c r="J54" s="110">
        <v>0</v>
      </c>
      <c r="K54" s="110">
        <v>0</v>
      </c>
      <c r="L54" s="110">
        <v>0</v>
      </c>
      <c r="M54" s="110">
        <v>0</v>
      </c>
      <c r="N54" s="110">
        <v>0</v>
      </c>
      <c r="O54" s="115">
        <v>0</v>
      </c>
      <c r="P54" s="110">
        <v>0</v>
      </c>
      <c r="Q54" s="110">
        <v>161830.20000000001</v>
      </c>
      <c r="R54" s="110">
        <v>161830.20000000001</v>
      </c>
      <c r="S54" s="110">
        <v>0</v>
      </c>
      <c r="T54" s="110">
        <v>0</v>
      </c>
      <c r="U54" s="110">
        <v>0</v>
      </c>
      <c r="V54" s="110">
        <v>0</v>
      </c>
      <c r="W54" s="110">
        <v>0</v>
      </c>
      <c r="X54" s="115">
        <v>0</v>
      </c>
      <c r="Y54" s="110">
        <v>0</v>
      </c>
      <c r="Z54" s="111"/>
      <c r="AA54" s="111"/>
      <c r="AB54" s="110">
        <v>2500000</v>
      </c>
      <c r="AC54" s="238"/>
      <c r="AD54" s="238"/>
      <c r="AE54" s="238"/>
      <c r="AF54" s="241"/>
      <c r="AG54" s="229"/>
      <c r="AH54" s="110">
        <f>MAX(H54-AB54,0)</f>
        <v>0</v>
      </c>
    </row>
    <row r="55" spans="2:34" x14ac:dyDescent="0.25">
      <c r="B55" s="178" t="str">
        <f>_xlfn.XLOOKUP(C55,'Info Clientes'!A:A,'Info Clientes'!B:B)</f>
        <v>Additive</v>
      </c>
      <c r="C55" s="96" t="s">
        <v>265</v>
      </c>
      <c r="D55" s="304" t="s">
        <v>391</v>
      </c>
      <c r="E55" s="305"/>
      <c r="F55" s="109">
        <v>800000</v>
      </c>
      <c r="G55" s="109">
        <v>641987.80000000005</v>
      </c>
      <c r="H55" s="109">
        <v>158012.20000000001</v>
      </c>
      <c r="I55" s="110">
        <v>0</v>
      </c>
      <c r="J55" s="110">
        <v>0</v>
      </c>
      <c r="K55" s="110">
        <v>0</v>
      </c>
      <c r="L55" s="110">
        <v>0</v>
      </c>
      <c r="M55" s="110">
        <v>0</v>
      </c>
      <c r="N55" s="110">
        <v>0</v>
      </c>
      <c r="O55" s="115">
        <v>0</v>
      </c>
      <c r="P55" s="110">
        <v>0</v>
      </c>
      <c r="Q55" s="110">
        <v>158012.20000000001</v>
      </c>
      <c r="R55" s="110">
        <v>158012.20000000001</v>
      </c>
      <c r="S55" s="110">
        <v>0</v>
      </c>
      <c r="T55" s="110">
        <v>0</v>
      </c>
      <c r="U55" s="110">
        <v>0</v>
      </c>
      <c r="V55" s="110">
        <v>0</v>
      </c>
      <c r="W55" s="110">
        <v>0</v>
      </c>
      <c r="X55" s="115">
        <v>0</v>
      </c>
      <c r="Y55" s="110">
        <v>0</v>
      </c>
      <c r="Z55" s="111"/>
      <c r="AA55" s="111"/>
      <c r="AB55" s="110">
        <v>800000</v>
      </c>
      <c r="AC55" s="238"/>
      <c r="AD55" s="238"/>
      <c r="AE55" s="238"/>
      <c r="AF55" s="241"/>
      <c r="AG55" s="229"/>
      <c r="AH55" s="110">
        <f>MAX(H55-AB55,0)</f>
        <v>0</v>
      </c>
    </row>
    <row r="56" spans="2:34" x14ac:dyDescent="0.25">
      <c r="B56" s="178" t="str">
        <f>_xlfn.XLOOKUP(C56,'Info Clientes'!A:A,'Info Clientes'!B:B)</f>
        <v>Additive</v>
      </c>
      <c r="C56" s="96" t="s">
        <v>367</v>
      </c>
      <c r="D56" s="304">
        <v>0</v>
      </c>
      <c r="E56" s="305"/>
      <c r="F56" s="109">
        <v>0</v>
      </c>
      <c r="G56" s="109">
        <v>-144324</v>
      </c>
      <c r="H56" s="109">
        <v>144324</v>
      </c>
      <c r="I56" s="110">
        <v>0</v>
      </c>
      <c r="J56" s="110">
        <v>0</v>
      </c>
      <c r="K56" s="110">
        <v>0</v>
      </c>
      <c r="L56" s="110">
        <v>0</v>
      </c>
      <c r="M56" s="110">
        <v>0</v>
      </c>
      <c r="N56" s="110">
        <v>0</v>
      </c>
      <c r="O56" s="115">
        <v>0</v>
      </c>
      <c r="P56" s="110">
        <v>0</v>
      </c>
      <c r="Q56" s="110">
        <v>144324</v>
      </c>
      <c r="R56" s="110">
        <v>144324</v>
      </c>
      <c r="S56" s="110">
        <v>0</v>
      </c>
      <c r="T56" s="110">
        <v>0</v>
      </c>
      <c r="U56" s="110">
        <v>0</v>
      </c>
      <c r="V56" s="110">
        <v>0</v>
      </c>
      <c r="W56" s="110">
        <v>0</v>
      </c>
      <c r="X56" s="115">
        <v>0</v>
      </c>
      <c r="Y56" s="110">
        <v>0</v>
      </c>
      <c r="Z56" s="111"/>
      <c r="AA56" s="111"/>
      <c r="AB56" s="110">
        <v>0</v>
      </c>
      <c r="AC56" s="238"/>
      <c r="AD56" s="238"/>
      <c r="AE56" s="238"/>
      <c r="AF56" s="241"/>
      <c r="AG56" s="229"/>
      <c r="AH56" s="110">
        <f>MAX(H56-AB56,0)</f>
        <v>144324</v>
      </c>
    </row>
    <row r="57" spans="2:34" x14ac:dyDescent="0.25">
      <c r="B57" s="178" t="str">
        <f>_xlfn.XLOOKUP(C57,'Info Clientes'!A:A,'Info Clientes'!B:B)</f>
        <v>Additive Intl.</v>
      </c>
      <c r="C57" s="96" t="s">
        <v>342</v>
      </c>
      <c r="D57" s="304" t="s">
        <v>403</v>
      </c>
      <c r="E57" s="305"/>
      <c r="F57" s="109">
        <v>825000</v>
      </c>
      <c r="G57" s="109">
        <v>681777.26</v>
      </c>
      <c r="H57" s="109">
        <v>143222.74</v>
      </c>
      <c r="I57" s="110">
        <v>0</v>
      </c>
      <c r="J57" s="110">
        <v>0</v>
      </c>
      <c r="K57" s="110">
        <v>0</v>
      </c>
      <c r="L57" s="110">
        <v>0</v>
      </c>
      <c r="M57" s="110">
        <v>0</v>
      </c>
      <c r="N57" s="110">
        <v>0</v>
      </c>
      <c r="O57" s="115">
        <v>0</v>
      </c>
      <c r="P57" s="110">
        <v>0</v>
      </c>
      <c r="Q57" s="110">
        <v>143222.74</v>
      </c>
      <c r="R57" s="110">
        <v>143222.74</v>
      </c>
      <c r="S57" s="110">
        <v>0</v>
      </c>
      <c r="T57" s="110">
        <v>0</v>
      </c>
      <c r="U57" s="110">
        <v>0</v>
      </c>
      <c r="V57" s="110">
        <v>0</v>
      </c>
      <c r="W57" s="110">
        <v>0</v>
      </c>
      <c r="X57" s="115">
        <v>0</v>
      </c>
      <c r="Y57" s="110">
        <v>0</v>
      </c>
      <c r="Z57" s="111"/>
      <c r="AA57" s="111"/>
      <c r="AB57" s="110">
        <v>825000</v>
      </c>
      <c r="AC57" s="238"/>
      <c r="AD57" s="238"/>
      <c r="AE57" s="238"/>
      <c r="AF57" s="241"/>
      <c r="AG57" s="229"/>
      <c r="AH57" s="110">
        <f>MAX(H57-AB57,0)</f>
        <v>0</v>
      </c>
    </row>
    <row r="58" spans="2:34" x14ac:dyDescent="0.25">
      <c r="B58" s="178" t="str">
        <f>_xlfn.XLOOKUP(C58,'Info Clientes'!A:A,'Info Clientes'!B:B)</f>
        <v>Additive Intl.</v>
      </c>
      <c r="C58" s="96" t="s">
        <v>116</v>
      </c>
      <c r="D58" s="304">
        <v>0</v>
      </c>
      <c r="E58" s="305"/>
      <c r="F58" s="109">
        <v>320000</v>
      </c>
      <c r="G58" s="109">
        <v>187690.67</v>
      </c>
      <c r="H58" s="109">
        <v>132309.32999999999</v>
      </c>
      <c r="I58" s="110">
        <v>0</v>
      </c>
      <c r="J58" s="110">
        <v>0</v>
      </c>
      <c r="K58" s="110">
        <v>0</v>
      </c>
      <c r="L58" s="110">
        <v>0</v>
      </c>
      <c r="M58" s="110">
        <v>0</v>
      </c>
      <c r="N58" s="110">
        <v>0</v>
      </c>
      <c r="O58" s="115">
        <v>0</v>
      </c>
      <c r="P58" s="110">
        <v>0</v>
      </c>
      <c r="Q58" s="110">
        <v>132309.32999999999</v>
      </c>
      <c r="R58" s="110">
        <v>0</v>
      </c>
      <c r="S58" s="110">
        <v>132309.32999999999</v>
      </c>
      <c r="T58" s="110">
        <v>0</v>
      </c>
      <c r="U58" s="110">
        <v>0</v>
      </c>
      <c r="V58" s="110">
        <v>0</v>
      </c>
      <c r="W58" s="110">
        <v>0</v>
      </c>
      <c r="X58" s="115">
        <v>0</v>
      </c>
      <c r="Y58" s="110">
        <v>0</v>
      </c>
      <c r="Z58" s="111"/>
      <c r="AA58" s="111"/>
      <c r="AB58" s="110">
        <v>0</v>
      </c>
      <c r="AC58" s="238"/>
      <c r="AD58" s="238"/>
      <c r="AE58" s="238"/>
      <c r="AF58" s="241"/>
      <c r="AG58" s="229"/>
      <c r="AH58" s="110">
        <f>MAX(H58-AB58,0)</f>
        <v>132309.32999999999</v>
      </c>
    </row>
    <row r="59" spans="2:34" x14ac:dyDescent="0.25">
      <c r="B59" s="178" t="str">
        <f>_xlfn.XLOOKUP(C59,'Info Clientes'!A:A,'Info Clientes'!B:B)</f>
        <v>Additive</v>
      </c>
      <c r="C59" s="234" t="s">
        <v>364</v>
      </c>
      <c r="D59" s="235" t="s">
        <v>391</v>
      </c>
      <c r="E59" s="235"/>
      <c r="F59" s="236">
        <v>1500000</v>
      </c>
      <c r="G59" s="236">
        <v>1368237.5</v>
      </c>
      <c r="H59" s="236">
        <v>131762.5</v>
      </c>
      <c r="I59" s="236">
        <v>0</v>
      </c>
      <c r="J59" s="236">
        <v>0</v>
      </c>
      <c r="K59" s="236">
        <v>0</v>
      </c>
      <c r="L59" s="236">
        <v>0</v>
      </c>
      <c r="M59" s="236">
        <v>0</v>
      </c>
      <c r="N59" s="236">
        <v>0</v>
      </c>
      <c r="O59" s="242">
        <v>0</v>
      </c>
      <c r="P59" s="236">
        <v>0</v>
      </c>
      <c r="Q59" s="236">
        <v>131762.5</v>
      </c>
      <c r="R59" s="236">
        <v>131762.5</v>
      </c>
      <c r="S59" s="236">
        <v>0</v>
      </c>
      <c r="T59" s="236">
        <v>0</v>
      </c>
      <c r="U59" s="236">
        <v>0</v>
      </c>
      <c r="V59" s="236">
        <v>0</v>
      </c>
      <c r="W59" s="236">
        <v>0</v>
      </c>
      <c r="X59" s="242">
        <v>0</v>
      </c>
      <c r="Y59" s="236">
        <v>0</v>
      </c>
      <c r="Z59" s="243"/>
      <c r="AA59" s="243"/>
      <c r="AB59" s="236">
        <v>1500000</v>
      </c>
      <c r="AC59" s="238"/>
      <c r="AD59" s="238"/>
      <c r="AE59" s="238"/>
      <c r="AF59" s="241"/>
      <c r="AG59" s="229"/>
      <c r="AH59" s="110">
        <f>MAX(H59-AB59,0)</f>
        <v>0</v>
      </c>
    </row>
    <row r="60" spans="2:34" x14ac:dyDescent="0.25">
      <c r="B60" s="178" t="str">
        <f>_xlfn.XLOOKUP(C60,'Info Clientes'!A:A,'Info Clientes'!B:B)</f>
        <v>Fertilizer</v>
      </c>
      <c r="C60" s="234" t="s">
        <v>179</v>
      </c>
      <c r="D60" s="235">
        <v>0</v>
      </c>
      <c r="E60" s="235">
        <v>360</v>
      </c>
      <c r="F60" s="236">
        <v>660000</v>
      </c>
      <c r="G60" s="236">
        <v>528320</v>
      </c>
      <c r="H60" s="236">
        <v>131680</v>
      </c>
      <c r="I60" s="236">
        <v>0</v>
      </c>
      <c r="J60" s="236">
        <v>0</v>
      </c>
      <c r="K60" s="236">
        <v>0</v>
      </c>
      <c r="L60" s="236">
        <v>0</v>
      </c>
      <c r="M60" s="236">
        <v>0</v>
      </c>
      <c r="N60" s="236">
        <v>0</v>
      </c>
      <c r="O60" s="242">
        <v>0</v>
      </c>
      <c r="P60" s="236">
        <v>0</v>
      </c>
      <c r="Q60" s="236">
        <v>131680</v>
      </c>
      <c r="R60" s="236">
        <v>0</v>
      </c>
      <c r="S60" s="236">
        <v>0</v>
      </c>
      <c r="T60" s="236">
        <v>131680</v>
      </c>
      <c r="U60" s="236">
        <v>0</v>
      </c>
      <c r="V60" s="236">
        <v>0</v>
      </c>
      <c r="W60" s="236">
        <v>0</v>
      </c>
      <c r="X60" s="242">
        <v>0</v>
      </c>
      <c r="Y60" s="236">
        <v>0</v>
      </c>
      <c r="Z60" s="243"/>
      <c r="AA60" s="243"/>
      <c r="AB60" s="236">
        <v>660000</v>
      </c>
      <c r="AC60" s="238"/>
      <c r="AD60" s="238"/>
      <c r="AE60" s="238"/>
      <c r="AF60" s="241"/>
      <c r="AG60" s="229"/>
      <c r="AH60" s="110">
        <f>MAX(H60-AB60,0)</f>
        <v>0</v>
      </c>
    </row>
    <row r="61" spans="2:34" x14ac:dyDescent="0.25">
      <c r="B61" s="178" t="str">
        <f>_xlfn.XLOOKUP(C61,'Info Clientes'!A:A,'Info Clientes'!B:B)</f>
        <v>Additive</v>
      </c>
      <c r="C61" s="96" t="s">
        <v>633</v>
      </c>
      <c r="D61" s="304" t="s">
        <v>391</v>
      </c>
      <c r="E61" s="305"/>
      <c r="F61" s="109">
        <v>850000</v>
      </c>
      <c r="G61" s="109">
        <v>727820</v>
      </c>
      <c r="H61" s="109">
        <v>122180</v>
      </c>
      <c r="I61" s="110">
        <v>0</v>
      </c>
      <c r="J61" s="110">
        <v>0</v>
      </c>
      <c r="K61" s="110">
        <v>0</v>
      </c>
      <c r="L61" s="110">
        <v>0</v>
      </c>
      <c r="M61" s="110">
        <v>0</v>
      </c>
      <c r="N61" s="110">
        <v>0</v>
      </c>
      <c r="O61" s="115">
        <v>0</v>
      </c>
      <c r="P61" s="110">
        <v>0</v>
      </c>
      <c r="Q61" s="110">
        <v>122180</v>
      </c>
      <c r="R61" s="110">
        <v>122180</v>
      </c>
      <c r="S61" s="110">
        <v>0</v>
      </c>
      <c r="T61" s="110">
        <v>0</v>
      </c>
      <c r="U61" s="110">
        <v>0</v>
      </c>
      <c r="V61" s="110">
        <v>0</v>
      </c>
      <c r="W61" s="110">
        <v>0</v>
      </c>
      <c r="X61" s="115">
        <v>0</v>
      </c>
      <c r="Y61" s="110">
        <v>0</v>
      </c>
      <c r="Z61" s="111"/>
      <c r="AA61" s="111"/>
      <c r="AB61" s="110">
        <v>850000</v>
      </c>
      <c r="AC61" s="238"/>
      <c r="AD61" s="238"/>
      <c r="AE61" s="238"/>
      <c r="AF61" s="241"/>
      <c r="AG61" s="229"/>
      <c r="AH61" s="110">
        <f>MAX(H61-AB61,0)</f>
        <v>0</v>
      </c>
    </row>
    <row r="62" spans="2:34" x14ac:dyDescent="0.25">
      <c r="B62" s="178" t="str">
        <f>_xlfn.XLOOKUP(C62,'Info Clientes'!A:A,'Info Clientes'!B:B)</f>
        <v>Additive</v>
      </c>
      <c r="C62" s="234" t="s">
        <v>560</v>
      </c>
      <c r="D62" s="235" t="s">
        <v>391</v>
      </c>
      <c r="E62" s="235"/>
      <c r="F62" s="236">
        <v>1500000</v>
      </c>
      <c r="G62" s="236">
        <v>1396799.97</v>
      </c>
      <c r="H62" s="236">
        <v>103200.03</v>
      </c>
      <c r="I62" s="236">
        <v>0</v>
      </c>
      <c r="J62" s="236">
        <v>0</v>
      </c>
      <c r="K62" s="236">
        <v>0</v>
      </c>
      <c r="L62" s="236">
        <v>0</v>
      </c>
      <c r="M62" s="236">
        <v>0</v>
      </c>
      <c r="N62" s="236">
        <v>0</v>
      </c>
      <c r="O62" s="242">
        <v>0</v>
      </c>
      <c r="P62" s="236">
        <v>0</v>
      </c>
      <c r="Q62" s="236">
        <v>103200.03</v>
      </c>
      <c r="R62" s="236">
        <v>103200.03</v>
      </c>
      <c r="S62" s="236">
        <v>0</v>
      </c>
      <c r="T62" s="236">
        <v>0</v>
      </c>
      <c r="U62" s="236">
        <v>0</v>
      </c>
      <c r="V62" s="236">
        <v>0</v>
      </c>
      <c r="W62" s="236">
        <v>0</v>
      </c>
      <c r="X62" s="242">
        <v>0</v>
      </c>
      <c r="Y62" s="236">
        <v>0</v>
      </c>
      <c r="Z62" s="243"/>
      <c r="AA62" s="243"/>
      <c r="AB62" s="236">
        <v>1500000</v>
      </c>
      <c r="AC62" s="238"/>
      <c r="AD62" s="238"/>
      <c r="AE62" s="238"/>
      <c r="AF62" s="241"/>
      <c r="AG62" s="229"/>
      <c r="AH62" s="110">
        <f>MAX(H62-AB62,0)</f>
        <v>0</v>
      </c>
    </row>
    <row r="63" spans="2:34" x14ac:dyDescent="0.25">
      <c r="B63" s="178" t="str">
        <f>_xlfn.XLOOKUP(C63,'Info Clientes'!A:A,'Info Clientes'!B:B)</f>
        <v>Additive Intl.</v>
      </c>
      <c r="C63" s="96" t="s">
        <v>274</v>
      </c>
      <c r="D63" s="304" t="s">
        <v>403</v>
      </c>
      <c r="E63" s="305"/>
      <c r="F63" s="109">
        <v>550000</v>
      </c>
      <c r="G63" s="109">
        <v>463310.9</v>
      </c>
      <c r="H63" s="109">
        <v>86689.1</v>
      </c>
      <c r="I63" s="110">
        <v>0</v>
      </c>
      <c r="J63" s="110">
        <v>86689.1</v>
      </c>
      <c r="K63" s="110">
        <v>0</v>
      </c>
      <c r="L63" s="110">
        <v>0</v>
      </c>
      <c r="M63" s="110">
        <v>0</v>
      </c>
      <c r="N63" s="110">
        <v>0</v>
      </c>
      <c r="O63" s="115">
        <v>0</v>
      </c>
      <c r="P63" s="110">
        <v>86689.1</v>
      </c>
      <c r="Q63" s="110">
        <v>0</v>
      </c>
      <c r="R63" s="110">
        <v>0</v>
      </c>
      <c r="S63" s="110">
        <v>0</v>
      </c>
      <c r="T63" s="110">
        <v>0</v>
      </c>
      <c r="U63" s="110">
        <v>0</v>
      </c>
      <c r="V63" s="110">
        <v>0</v>
      </c>
      <c r="W63" s="110">
        <v>0</v>
      </c>
      <c r="X63" s="115">
        <v>0</v>
      </c>
      <c r="Y63" s="110">
        <v>0</v>
      </c>
      <c r="Z63" s="111"/>
      <c r="AA63" s="111"/>
      <c r="AB63" s="110">
        <v>550000</v>
      </c>
      <c r="AC63" s="238"/>
      <c r="AD63" s="238"/>
      <c r="AE63" s="238"/>
      <c r="AF63" s="241"/>
      <c r="AG63" s="229"/>
      <c r="AH63" s="110">
        <f>MAX(H63-AB63,0)</f>
        <v>0</v>
      </c>
    </row>
    <row r="64" spans="2:34" x14ac:dyDescent="0.25">
      <c r="B64" s="178" t="str">
        <f>_xlfn.XLOOKUP(C64,'Info Clientes'!A:A,'Info Clientes'!B:B)</f>
        <v>Additive</v>
      </c>
      <c r="C64" s="96" t="s">
        <v>78</v>
      </c>
      <c r="D64" s="304" t="s">
        <v>391</v>
      </c>
      <c r="E64" s="305"/>
      <c r="F64" s="109">
        <v>200000</v>
      </c>
      <c r="G64" s="109">
        <v>116606.9</v>
      </c>
      <c r="H64" s="109">
        <v>83393.100000000006</v>
      </c>
      <c r="I64" s="110">
        <v>0</v>
      </c>
      <c r="J64" s="110">
        <v>0</v>
      </c>
      <c r="K64" s="110">
        <v>0</v>
      </c>
      <c r="L64" s="110">
        <v>0</v>
      </c>
      <c r="M64" s="110">
        <v>0</v>
      </c>
      <c r="N64" s="110">
        <v>0</v>
      </c>
      <c r="O64" s="115">
        <v>0</v>
      </c>
      <c r="P64" s="110">
        <v>0</v>
      </c>
      <c r="Q64" s="110">
        <v>83393.100000000006</v>
      </c>
      <c r="R64" s="110">
        <v>83393.100000000006</v>
      </c>
      <c r="S64" s="110">
        <v>0</v>
      </c>
      <c r="T64" s="110">
        <v>0</v>
      </c>
      <c r="U64" s="110">
        <v>0</v>
      </c>
      <c r="V64" s="110">
        <v>0</v>
      </c>
      <c r="W64" s="110">
        <v>0</v>
      </c>
      <c r="X64" s="115">
        <v>0</v>
      </c>
      <c r="Y64" s="110">
        <v>0</v>
      </c>
      <c r="Z64" s="111"/>
      <c r="AA64" s="111"/>
      <c r="AB64" s="110">
        <v>200000</v>
      </c>
      <c r="AC64" s="238"/>
      <c r="AD64" s="238"/>
      <c r="AE64" s="238"/>
      <c r="AF64" s="241"/>
      <c r="AG64" s="229"/>
      <c r="AH64" s="110">
        <f>MAX(H64-AB64,0)</f>
        <v>0</v>
      </c>
    </row>
    <row r="65" spans="2:34" x14ac:dyDescent="0.25">
      <c r="B65" s="178" t="str">
        <f>_xlfn.XLOOKUP(C65,'Info Clientes'!A:A,'Info Clientes'!B:B)</f>
        <v>Additive</v>
      </c>
      <c r="C65" s="234" t="s">
        <v>15465</v>
      </c>
      <c r="D65" s="235">
        <v>0</v>
      </c>
      <c r="E65" s="235"/>
      <c r="F65" s="236">
        <v>700000</v>
      </c>
      <c r="G65" s="236">
        <v>619400</v>
      </c>
      <c r="H65" s="236">
        <v>80600</v>
      </c>
      <c r="I65" s="236">
        <v>0</v>
      </c>
      <c r="J65" s="236">
        <v>0</v>
      </c>
      <c r="K65" s="236">
        <v>0</v>
      </c>
      <c r="L65" s="236">
        <v>0</v>
      </c>
      <c r="M65" s="236">
        <v>0</v>
      </c>
      <c r="N65" s="236">
        <v>0</v>
      </c>
      <c r="O65" s="242">
        <v>0</v>
      </c>
      <c r="P65" s="236">
        <v>0</v>
      </c>
      <c r="Q65" s="236">
        <v>80600</v>
      </c>
      <c r="R65" s="236">
        <v>80600</v>
      </c>
      <c r="S65" s="236">
        <v>0</v>
      </c>
      <c r="T65" s="236">
        <v>0</v>
      </c>
      <c r="U65" s="236">
        <v>0</v>
      </c>
      <c r="V65" s="236">
        <v>0</v>
      </c>
      <c r="W65" s="236">
        <v>0</v>
      </c>
      <c r="X65" s="242">
        <v>0</v>
      </c>
      <c r="Y65" s="236">
        <v>0</v>
      </c>
      <c r="Z65" s="243"/>
      <c r="AA65" s="243"/>
      <c r="AB65" s="236">
        <v>0</v>
      </c>
      <c r="AC65" s="238"/>
      <c r="AD65" s="238"/>
      <c r="AE65" s="238"/>
      <c r="AF65" s="241"/>
      <c r="AG65" s="229"/>
      <c r="AH65" s="110">
        <f>MAX(H65-AB65,0)</f>
        <v>80600</v>
      </c>
    </row>
    <row r="66" spans="2:34" x14ac:dyDescent="0.25">
      <c r="B66" s="178" t="str">
        <f>_xlfn.XLOOKUP(C66,'Info Clientes'!A:A,'Info Clientes'!B:B)</f>
        <v>Additive Intl.</v>
      </c>
      <c r="C66" s="96" t="s">
        <v>424</v>
      </c>
      <c r="D66" s="304" t="s">
        <v>403</v>
      </c>
      <c r="E66" s="305"/>
      <c r="F66" s="109">
        <v>302500</v>
      </c>
      <c r="G66" s="109">
        <v>226019.77000000002</v>
      </c>
      <c r="H66" s="109">
        <v>76480.23</v>
      </c>
      <c r="I66" s="110">
        <v>0</v>
      </c>
      <c r="J66" s="110">
        <v>0</v>
      </c>
      <c r="K66" s="110">
        <v>0</v>
      </c>
      <c r="L66" s="110">
        <v>0</v>
      </c>
      <c r="M66" s="110">
        <v>0</v>
      </c>
      <c r="N66" s="110">
        <v>0</v>
      </c>
      <c r="O66" s="115">
        <v>0</v>
      </c>
      <c r="P66" s="110">
        <v>0</v>
      </c>
      <c r="Q66" s="110">
        <v>76480.23</v>
      </c>
      <c r="R66" s="110">
        <v>0</v>
      </c>
      <c r="S66" s="110">
        <v>0</v>
      </c>
      <c r="T66" s="110">
        <v>0</v>
      </c>
      <c r="U66" s="110">
        <v>0</v>
      </c>
      <c r="V66" s="110">
        <v>0</v>
      </c>
      <c r="W66" s="110">
        <v>76480.23</v>
      </c>
      <c r="X66" s="115">
        <v>0</v>
      </c>
      <c r="Y66" s="110">
        <v>0</v>
      </c>
      <c r="Z66" s="111"/>
      <c r="AA66" s="111"/>
      <c r="AB66" s="110">
        <v>302500</v>
      </c>
      <c r="AC66" s="238"/>
      <c r="AD66" s="238"/>
      <c r="AE66" s="238"/>
      <c r="AF66" s="241"/>
      <c r="AG66" s="229"/>
      <c r="AH66" s="110">
        <f>MAX(H66-AB66,0)</f>
        <v>0</v>
      </c>
    </row>
    <row r="67" spans="2:34" x14ac:dyDescent="0.25">
      <c r="B67" s="178" t="str">
        <f>_xlfn.XLOOKUP(C67,'Info Clientes'!A:A,'Info Clientes'!B:B)</f>
        <v>Additive</v>
      </c>
      <c r="C67" s="96" t="s">
        <v>42</v>
      </c>
      <c r="D67" s="304">
        <v>0</v>
      </c>
      <c r="E67" s="305"/>
      <c r="F67" s="109">
        <v>200000</v>
      </c>
      <c r="G67" s="109">
        <v>130404</v>
      </c>
      <c r="H67" s="109">
        <v>69596</v>
      </c>
      <c r="I67" s="110">
        <v>0</v>
      </c>
      <c r="J67" s="110">
        <v>0</v>
      </c>
      <c r="K67" s="110">
        <v>0</v>
      </c>
      <c r="L67" s="110">
        <v>0</v>
      </c>
      <c r="M67" s="110">
        <v>0</v>
      </c>
      <c r="N67" s="110">
        <v>0</v>
      </c>
      <c r="O67" s="115">
        <v>0</v>
      </c>
      <c r="P67" s="110">
        <v>0</v>
      </c>
      <c r="Q67" s="110">
        <v>69596</v>
      </c>
      <c r="R67" s="110">
        <v>69596</v>
      </c>
      <c r="S67" s="110">
        <v>0</v>
      </c>
      <c r="T67" s="110">
        <v>0</v>
      </c>
      <c r="U67" s="110">
        <v>0</v>
      </c>
      <c r="V67" s="110">
        <v>0</v>
      </c>
      <c r="W67" s="110">
        <v>0</v>
      </c>
      <c r="X67" s="115">
        <v>0</v>
      </c>
      <c r="Y67" s="110">
        <v>0</v>
      </c>
      <c r="Z67" s="111"/>
      <c r="AA67" s="111"/>
      <c r="AB67" s="110">
        <v>200000</v>
      </c>
      <c r="AC67" s="238"/>
      <c r="AD67" s="238"/>
      <c r="AE67" s="238"/>
      <c r="AF67" s="241"/>
      <c r="AG67" s="229"/>
      <c r="AH67" s="110">
        <f>MAX(H67-AB67,0)</f>
        <v>0</v>
      </c>
    </row>
    <row r="68" spans="2:34" x14ac:dyDescent="0.25">
      <c r="B68" s="178" t="str">
        <f>_xlfn.XLOOKUP(C68,'Info Clientes'!A:A,'Info Clientes'!B:B)</f>
        <v>Additive</v>
      </c>
      <c r="C68" s="96" t="s">
        <v>508</v>
      </c>
      <c r="D68" s="304" t="s">
        <v>391</v>
      </c>
      <c r="E68" s="305"/>
      <c r="F68" s="109">
        <v>1300000</v>
      </c>
      <c r="G68" s="109">
        <v>1231500</v>
      </c>
      <c r="H68" s="109">
        <v>68500</v>
      </c>
      <c r="I68" s="110">
        <v>0</v>
      </c>
      <c r="J68" s="110">
        <v>0</v>
      </c>
      <c r="K68" s="110">
        <v>0</v>
      </c>
      <c r="L68" s="110">
        <v>0</v>
      </c>
      <c r="M68" s="110">
        <v>0</v>
      </c>
      <c r="N68" s="110">
        <v>0</v>
      </c>
      <c r="O68" s="115">
        <v>0</v>
      </c>
      <c r="P68" s="110">
        <v>0</v>
      </c>
      <c r="Q68" s="110">
        <v>68500</v>
      </c>
      <c r="R68" s="110">
        <v>68500</v>
      </c>
      <c r="S68" s="110">
        <v>0</v>
      </c>
      <c r="T68" s="110">
        <v>0</v>
      </c>
      <c r="U68" s="110">
        <v>0</v>
      </c>
      <c r="V68" s="110">
        <v>0</v>
      </c>
      <c r="W68" s="110">
        <v>0</v>
      </c>
      <c r="X68" s="115">
        <v>0</v>
      </c>
      <c r="Y68" s="110">
        <v>0</v>
      </c>
      <c r="Z68" s="111"/>
      <c r="AA68" s="111"/>
      <c r="AB68" s="110">
        <v>1300000</v>
      </c>
      <c r="AC68" s="238"/>
      <c r="AD68" s="238"/>
      <c r="AE68" s="238"/>
      <c r="AF68" s="241"/>
      <c r="AG68" s="229"/>
      <c r="AH68" s="110">
        <f>MAX(H68-AB68,0)</f>
        <v>0</v>
      </c>
    </row>
    <row r="69" spans="2:34" x14ac:dyDescent="0.25">
      <c r="B69" s="178" t="str">
        <f>_xlfn.XLOOKUP(C69,'Info Clientes'!A:A,'Info Clientes'!B:B)</f>
        <v>Additive</v>
      </c>
      <c r="C69" s="96" t="s">
        <v>468</v>
      </c>
      <c r="D69" s="304">
        <v>0</v>
      </c>
      <c r="E69" s="305"/>
      <c r="F69" s="109">
        <v>1000000</v>
      </c>
      <c r="G69" s="109">
        <v>933260</v>
      </c>
      <c r="H69" s="109">
        <v>66740</v>
      </c>
      <c r="I69" s="110">
        <v>0</v>
      </c>
      <c r="J69" s="110">
        <v>0</v>
      </c>
      <c r="K69" s="110">
        <v>0</v>
      </c>
      <c r="L69" s="110">
        <v>0</v>
      </c>
      <c r="M69" s="110">
        <v>0</v>
      </c>
      <c r="N69" s="110">
        <v>0</v>
      </c>
      <c r="O69" s="115">
        <v>0</v>
      </c>
      <c r="P69" s="110">
        <v>0</v>
      </c>
      <c r="Q69" s="110">
        <v>66740</v>
      </c>
      <c r="R69" s="110">
        <v>66740</v>
      </c>
      <c r="S69" s="110">
        <v>0</v>
      </c>
      <c r="T69" s="110">
        <v>0</v>
      </c>
      <c r="U69" s="110">
        <v>0</v>
      </c>
      <c r="V69" s="110">
        <v>0</v>
      </c>
      <c r="W69" s="110">
        <v>0</v>
      </c>
      <c r="X69" s="115">
        <v>0</v>
      </c>
      <c r="Y69" s="110">
        <v>0</v>
      </c>
      <c r="Z69" s="111"/>
      <c r="AA69" s="111"/>
      <c r="AB69" s="110">
        <v>1000000</v>
      </c>
      <c r="AC69" s="238"/>
      <c r="AD69" s="238"/>
      <c r="AE69" s="238"/>
      <c r="AF69" s="241"/>
      <c r="AG69" s="229"/>
      <c r="AH69" s="110">
        <f>MAX(H69-AB69,0)</f>
        <v>0</v>
      </c>
    </row>
    <row r="70" spans="2:34" x14ac:dyDescent="0.25">
      <c r="B70" s="178" t="str">
        <f>_xlfn.XLOOKUP(C70,'Info Clientes'!A:A,'Info Clientes'!B:B)</f>
        <v>Additive</v>
      </c>
      <c r="C70" s="234" t="s">
        <v>224</v>
      </c>
      <c r="D70" s="235">
        <v>0</v>
      </c>
      <c r="E70" s="235"/>
      <c r="F70" s="236">
        <v>100000</v>
      </c>
      <c r="G70" s="236">
        <v>34242</v>
      </c>
      <c r="H70" s="236">
        <v>65758</v>
      </c>
      <c r="I70" s="236">
        <v>0</v>
      </c>
      <c r="J70" s="236">
        <v>0</v>
      </c>
      <c r="K70" s="236">
        <v>0</v>
      </c>
      <c r="L70" s="236">
        <v>0</v>
      </c>
      <c r="M70" s="236">
        <v>0</v>
      </c>
      <c r="N70" s="236">
        <v>0</v>
      </c>
      <c r="O70" s="242">
        <v>0</v>
      </c>
      <c r="P70" s="236">
        <v>0</v>
      </c>
      <c r="Q70" s="236">
        <v>65758</v>
      </c>
      <c r="R70" s="236">
        <v>65758</v>
      </c>
      <c r="S70" s="236">
        <v>0</v>
      </c>
      <c r="T70" s="236">
        <v>0</v>
      </c>
      <c r="U70" s="236">
        <v>0</v>
      </c>
      <c r="V70" s="236">
        <v>0</v>
      </c>
      <c r="W70" s="236">
        <v>0</v>
      </c>
      <c r="X70" s="242">
        <v>0</v>
      </c>
      <c r="Y70" s="236">
        <v>0</v>
      </c>
      <c r="Z70" s="243"/>
      <c r="AA70" s="243"/>
      <c r="AB70" s="236">
        <v>0</v>
      </c>
      <c r="AC70" s="238"/>
      <c r="AD70" s="238"/>
      <c r="AE70" s="238"/>
      <c r="AF70" s="241"/>
      <c r="AG70" s="229"/>
      <c r="AH70" s="110">
        <f>MAX(H70-AB70,0)</f>
        <v>65758</v>
      </c>
    </row>
    <row r="71" spans="2:34" x14ac:dyDescent="0.25">
      <c r="B71" s="178" t="str">
        <f>_xlfn.XLOOKUP(C71,'Info Clientes'!A:A,'Info Clientes'!B:B)</f>
        <v>Additive</v>
      </c>
      <c r="C71" s="96" t="s">
        <v>357</v>
      </c>
      <c r="D71" s="304" t="s">
        <v>391</v>
      </c>
      <c r="E71" s="305"/>
      <c r="F71" s="109">
        <v>2000000</v>
      </c>
      <c r="G71" s="109">
        <v>1937410</v>
      </c>
      <c r="H71" s="109">
        <v>62590</v>
      </c>
      <c r="I71" s="110">
        <v>0</v>
      </c>
      <c r="J71" s="110">
        <v>0</v>
      </c>
      <c r="K71" s="110">
        <v>0</v>
      </c>
      <c r="L71" s="110">
        <v>0</v>
      </c>
      <c r="M71" s="110">
        <v>0</v>
      </c>
      <c r="N71" s="110">
        <v>0</v>
      </c>
      <c r="O71" s="115">
        <v>0</v>
      </c>
      <c r="P71" s="110">
        <v>0</v>
      </c>
      <c r="Q71" s="110">
        <v>62590</v>
      </c>
      <c r="R71" s="110">
        <v>62590</v>
      </c>
      <c r="S71" s="110">
        <v>0</v>
      </c>
      <c r="T71" s="110">
        <v>0</v>
      </c>
      <c r="U71" s="110">
        <v>0</v>
      </c>
      <c r="V71" s="110">
        <v>0</v>
      </c>
      <c r="W71" s="110">
        <v>0</v>
      </c>
      <c r="X71" s="115">
        <v>0</v>
      </c>
      <c r="Y71" s="110">
        <v>0</v>
      </c>
      <c r="Z71" s="111"/>
      <c r="AA71" s="111"/>
      <c r="AB71" s="110">
        <v>2000000</v>
      </c>
      <c r="AC71" s="238"/>
      <c r="AD71" s="238"/>
      <c r="AE71" s="238"/>
      <c r="AF71" s="241"/>
      <c r="AG71" s="229"/>
      <c r="AH71" s="110">
        <f>MAX(H71-AB71,0)</f>
        <v>0</v>
      </c>
    </row>
    <row r="72" spans="2:34" x14ac:dyDescent="0.25">
      <c r="B72" s="178" t="str">
        <f>_xlfn.XLOOKUP(C72,'Info Clientes'!A:A,'Info Clientes'!B:B)</f>
        <v>Additive Intl.</v>
      </c>
      <c r="C72" s="96" t="s">
        <v>550</v>
      </c>
      <c r="D72" s="304" t="s">
        <v>391</v>
      </c>
      <c r="E72" s="305"/>
      <c r="F72" s="109">
        <v>990000</v>
      </c>
      <c r="G72" s="109">
        <v>940043.32</v>
      </c>
      <c r="H72" s="109">
        <v>49956.68</v>
      </c>
      <c r="I72" s="110">
        <v>0</v>
      </c>
      <c r="J72" s="110">
        <v>0</v>
      </c>
      <c r="K72" s="110">
        <v>0</v>
      </c>
      <c r="L72" s="110">
        <v>0</v>
      </c>
      <c r="M72" s="110">
        <v>0</v>
      </c>
      <c r="N72" s="110">
        <v>0</v>
      </c>
      <c r="O72" s="115">
        <v>0</v>
      </c>
      <c r="P72" s="110">
        <v>0</v>
      </c>
      <c r="Q72" s="110">
        <v>49956.68</v>
      </c>
      <c r="R72" s="110">
        <v>49956.68</v>
      </c>
      <c r="S72" s="110">
        <v>0</v>
      </c>
      <c r="T72" s="110">
        <v>0</v>
      </c>
      <c r="U72" s="110">
        <v>0</v>
      </c>
      <c r="V72" s="110">
        <v>0</v>
      </c>
      <c r="W72" s="110">
        <v>0</v>
      </c>
      <c r="X72" s="115">
        <v>0</v>
      </c>
      <c r="Y72" s="110">
        <v>0</v>
      </c>
      <c r="Z72" s="111"/>
      <c r="AA72" s="111"/>
      <c r="AB72" s="110">
        <v>990000</v>
      </c>
      <c r="AC72" s="238"/>
      <c r="AD72" s="238"/>
      <c r="AE72" s="238"/>
      <c r="AF72" s="241"/>
      <c r="AG72" s="229"/>
      <c r="AH72" s="110">
        <f>MAX(H72-AB72,0)</f>
        <v>0</v>
      </c>
    </row>
    <row r="73" spans="2:34" x14ac:dyDescent="0.25">
      <c r="B73" s="178" t="str">
        <f>_xlfn.XLOOKUP(C73,'Info Clientes'!A:A,'Info Clientes'!B:B)</f>
        <v>Additive</v>
      </c>
      <c r="C73" s="96" t="s">
        <v>84</v>
      </c>
      <c r="D73" s="304">
        <v>0</v>
      </c>
      <c r="E73" s="305"/>
      <c r="F73" s="109">
        <v>75000</v>
      </c>
      <c r="G73" s="109">
        <v>25120</v>
      </c>
      <c r="H73" s="109">
        <v>49880</v>
      </c>
      <c r="I73" s="110">
        <v>0</v>
      </c>
      <c r="J73" s="110">
        <v>0</v>
      </c>
      <c r="K73" s="110">
        <v>0</v>
      </c>
      <c r="L73" s="110">
        <v>0</v>
      </c>
      <c r="M73" s="110">
        <v>0</v>
      </c>
      <c r="N73" s="110">
        <v>0</v>
      </c>
      <c r="O73" s="115">
        <v>0</v>
      </c>
      <c r="P73" s="110">
        <v>0</v>
      </c>
      <c r="Q73" s="110">
        <v>49880</v>
      </c>
      <c r="R73" s="110">
        <v>49880</v>
      </c>
      <c r="S73" s="110">
        <v>0</v>
      </c>
      <c r="T73" s="110">
        <v>0</v>
      </c>
      <c r="U73" s="110">
        <v>0</v>
      </c>
      <c r="V73" s="110">
        <v>0</v>
      </c>
      <c r="W73" s="110">
        <v>0</v>
      </c>
      <c r="X73" s="115">
        <v>0</v>
      </c>
      <c r="Y73" s="110">
        <v>0</v>
      </c>
      <c r="Z73" s="111"/>
      <c r="AA73" s="111"/>
      <c r="AB73" s="110">
        <v>0</v>
      </c>
      <c r="AC73" s="238"/>
      <c r="AD73" s="238"/>
      <c r="AE73" s="238"/>
      <c r="AF73" s="241"/>
      <c r="AG73" s="229"/>
      <c r="AH73" s="110">
        <f>MAX(H73-AB73,0)</f>
        <v>49880</v>
      </c>
    </row>
    <row r="74" spans="2:34" x14ac:dyDescent="0.25">
      <c r="B74" s="178" t="str">
        <f>_xlfn.XLOOKUP(C74,'Info Clientes'!A:A,'Info Clientes'!B:B)</f>
        <v>Additive</v>
      </c>
      <c r="C74" s="96" t="s">
        <v>709</v>
      </c>
      <c r="D74" s="304">
        <v>0</v>
      </c>
      <c r="E74" s="305"/>
      <c r="F74" s="109">
        <v>0</v>
      </c>
      <c r="G74" s="109">
        <v>-49440</v>
      </c>
      <c r="H74" s="109">
        <v>49440</v>
      </c>
      <c r="I74" s="110">
        <v>0</v>
      </c>
      <c r="J74" s="110">
        <v>0</v>
      </c>
      <c r="K74" s="110">
        <v>0</v>
      </c>
      <c r="L74" s="110">
        <v>49440</v>
      </c>
      <c r="M74" s="110">
        <v>0</v>
      </c>
      <c r="N74" s="110">
        <v>0</v>
      </c>
      <c r="O74" s="115">
        <v>0</v>
      </c>
      <c r="P74" s="110">
        <v>49440</v>
      </c>
      <c r="Q74" s="110">
        <v>0</v>
      </c>
      <c r="R74" s="110">
        <v>0</v>
      </c>
      <c r="S74" s="110">
        <v>0</v>
      </c>
      <c r="T74" s="110">
        <v>0</v>
      </c>
      <c r="U74" s="110">
        <v>0</v>
      </c>
      <c r="V74" s="110">
        <v>0</v>
      </c>
      <c r="W74" s="110">
        <v>0</v>
      </c>
      <c r="X74" s="115">
        <v>0</v>
      </c>
      <c r="Y74" s="110">
        <v>0</v>
      </c>
      <c r="Z74" s="111"/>
      <c r="AA74" s="111"/>
      <c r="AB74" s="110">
        <v>0</v>
      </c>
      <c r="AC74" s="238"/>
      <c r="AD74" s="238"/>
      <c r="AE74" s="238"/>
      <c r="AF74" s="241"/>
      <c r="AG74" s="229"/>
      <c r="AH74" s="110">
        <f>MAX(H74-AB74,0)</f>
        <v>49440</v>
      </c>
    </row>
    <row r="75" spans="2:34" x14ac:dyDescent="0.25">
      <c r="B75" s="178" t="str">
        <f>_xlfn.XLOOKUP(C75,'Info Clientes'!A:A,'Info Clientes'!B:B)</f>
        <v>Additive</v>
      </c>
      <c r="C75" s="234" t="s">
        <v>159</v>
      </c>
      <c r="D75" s="235" t="s">
        <v>391</v>
      </c>
      <c r="E75" s="235"/>
      <c r="F75" s="236">
        <v>600000</v>
      </c>
      <c r="G75" s="236">
        <v>551664</v>
      </c>
      <c r="H75" s="236">
        <v>48336</v>
      </c>
      <c r="I75" s="236">
        <v>0</v>
      </c>
      <c r="J75" s="236">
        <v>0</v>
      </c>
      <c r="K75" s="236">
        <v>0</v>
      </c>
      <c r="L75" s="236">
        <v>0</v>
      </c>
      <c r="M75" s="236">
        <v>0</v>
      </c>
      <c r="N75" s="236">
        <v>0</v>
      </c>
      <c r="O75" s="242">
        <v>0</v>
      </c>
      <c r="P75" s="236">
        <v>0</v>
      </c>
      <c r="Q75" s="236">
        <v>48336</v>
      </c>
      <c r="R75" s="236">
        <v>48336</v>
      </c>
      <c r="S75" s="236">
        <v>0</v>
      </c>
      <c r="T75" s="236">
        <v>0</v>
      </c>
      <c r="U75" s="236">
        <v>0</v>
      </c>
      <c r="V75" s="236">
        <v>0</v>
      </c>
      <c r="W75" s="236">
        <v>0</v>
      </c>
      <c r="X75" s="242">
        <v>0</v>
      </c>
      <c r="Y75" s="236">
        <v>0</v>
      </c>
      <c r="Z75" s="243"/>
      <c r="AA75" s="243"/>
      <c r="AB75" s="236">
        <v>600000</v>
      </c>
      <c r="AC75" s="238"/>
      <c r="AD75" s="238"/>
      <c r="AE75" s="238"/>
      <c r="AF75" s="241"/>
      <c r="AG75" s="229"/>
      <c r="AH75" s="110">
        <f>MAX(H75-AB75,0)</f>
        <v>0</v>
      </c>
    </row>
    <row r="76" spans="2:34" x14ac:dyDescent="0.25">
      <c r="B76" s="178" t="str">
        <f>_xlfn.XLOOKUP(C76,'Info Clientes'!A:A,'Info Clientes'!B:B)</f>
        <v>Additive</v>
      </c>
      <c r="C76" s="96" t="s">
        <v>370</v>
      </c>
      <c r="D76" s="304" t="s">
        <v>391</v>
      </c>
      <c r="E76" s="305"/>
      <c r="F76" s="109">
        <v>2000000</v>
      </c>
      <c r="G76" s="109">
        <v>1953409.98</v>
      </c>
      <c r="H76" s="109">
        <v>46590.02</v>
      </c>
      <c r="I76" s="110">
        <v>0</v>
      </c>
      <c r="J76" s="110">
        <v>0</v>
      </c>
      <c r="K76" s="110">
        <v>0</v>
      </c>
      <c r="L76" s="110">
        <v>0</v>
      </c>
      <c r="M76" s="110">
        <v>0</v>
      </c>
      <c r="N76" s="110">
        <v>0</v>
      </c>
      <c r="O76" s="115">
        <v>0</v>
      </c>
      <c r="P76" s="110">
        <v>0</v>
      </c>
      <c r="Q76" s="110">
        <v>46590.02</v>
      </c>
      <c r="R76" s="110">
        <v>46590.02</v>
      </c>
      <c r="S76" s="110">
        <v>0</v>
      </c>
      <c r="T76" s="110">
        <v>0</v>
      </c>
      <c r="U76" s="110">
        <v>0</v>
      </c>
      <c r="V76" s="110">
        <v>0</v>
      </c>
      <c r="W76" s="110">
        <v>0</v>
      </c>
      <c r="X76" s="115">
        <v>0</v>
      </c>
      <c r="Y76" s="110">
        <v>0</v>
      </c>
      <c r="Z76" s="111"/>
      <c r="AA76" s="111"/>
      <c r="AB76" s="110">
        <v>2000000</v>
      </c>
      <c r="AC76" s="238"/>
      <c r="AD76" s="238"/>
      <c r="AE76" s="238"/>
      <c r="AF76" s="241"/>
      <c r="AG76" s="229"/>
      <c r="AH76" s="110">
        <f>MAX(H76-AB76,0)</f>
        <v>0</v>
      </c>
    </row>
    <row r="77" spans="2:34" x14ac:dyDescent="0.25">
      <c r="B77" s="178" t="str">
        <f>_xlfn.XLOOKUP(C77,'Info Clientes'!A:A,'Info Clientes'!B:B)</f>
        <v>Additive</v>
      </c>
      <c r="C77" s="96" t="s">
        <v>425</v>
      </c>
      <c r="D77" s="304">
        <v>0</v>
      </c>
      <c r="E77" s="305"/>
      <c r="F77" s="109">
        <v>70000</v>
      </c>
      <c r="G77" s="109">
        <v>32340</v>
      </c>
      <c r="H77" s="109">
        <v>37660</v>
      </c>
      <c r="I77" s="110">
        <v>0</v>
      </c>
      <c r="J77" s="110">
        <v>0</v>
      </c>
      <c r="K77" s="110">
        <v>0</v>
      </c>
      <c r="L77" s="110">
        <v>0</v>
      </c>
      <c r="M77" s="110">
        <v>0</v>
      </c>
      <c r="N77" s="110">
        <v>0</v>
      </c>
      <c r="O77" s="115">
        <v>0</v>
      </c>
      <c r="P77" s="110">
        <v>0</v>
      </c>
      <c r="Q77" s="110">
        <v>37660</v>
      </c>
      <c r="R77" s="110">
        <v>37660</v>
      </c>
      <c r="S77" s="110">
        <v>0</v>
      </c>
      <c r="T77" s="110">
        <v>0</v>
      </c>
      <c r="U77" s="110">
        <v>0</v>
      </c>
      <c r="V77" s="110">
        <v>0</v>
      </c>
      <c r="W77" s="110">
        <v>0</v>
      </c>
      <c r="X77" s="115">
        <v>0</v>
      </c>
      <c r="Y77" s="110">
        <v>0</v>
      </c>
      <c r="Z77" s="111"/>
      <c r="AA77" s="111"/>
      <c r="AB77" s="110">
        <v>0</v>
      </c>
      <c r="AC77" s="238"/>
      <c r="AD77" s="238"/>
      <c r="AE77" s="238"/>
      <c r="AF77" s="241"/>
      <c r="AG77" s="229"/>
      <c r="AH77" s="110">
        <f>MAX(H77-AB77,0)</f>
        <v>37660</v>
      </c>
    </row>
    <row r="78" spans="2:34" x14ac:dyDescent="0.25">
      <c r="B78" s="178" t="str">
        <f>_xlfn.XLOOKUP(C78,'Info Clientes'!A:A,'Info Clientes'!B:B)</f>
        <v>Additive / Litigation</v>
      </c>
      <c r="C78" s="96" t="s">
        <v>80</v>
      </c>
      <c r="D78" s="304">
        <v>0</v>
      </c>
      <c r="E78" s="305"/>
      <c r="F78" s="109">
        <v>0</v>
      </c>
      <c r="G78" s="109">
        <v>-20940</v>
      </c>
      <c r="H78" s="109">
        <v>20940</v>
      </c>
      <c r="I78" s="110">
        <v>0</v>
      </c>
      <c r="J78" s="110">
        <v>0</v>
      </c>
      <c r="K78" s="110">
        <v>0</v>
      </c>
      <c r="L78" s="110">
        <v>0</v>
      </c>
      <c r="M78" s="110">
        <v>0</v>
      </c>
      <c r="N78" s="110">
        <v>0</v>
      </c>
      <c r="O78" s="115">
        <v>20940</v>
      </c>
      <c r="P78" s="110">
        <v>20940</v>
      </c>
      <c r="Q78" s="110">
        <v>0</v>
      </c>
      <c r="R78" s="110">
        <v>0</v>
      </c>
      <c r="S78" s="110">
        <v>0</v>
      </c>
      <c r="T78" s="110">
        <v>0</v>
      </c>
      <c r="U78" s="110">
        <v>0</v>
      </c>
      <c r="V78" s="110">
        <v>0</v>
      </c>
      <c r="W78" s="110">
        <v>0</v>
      </c>
      <c r="X78" s="115">
        <v>0</v>
      </c>
      <c r="Y78" s="110">
        <v>20940</v>
      </c>
      <c r="Z78" s="111"/>
      <c r="AA78" s="111"/>
      <c r="AB78" s="110">
        <v>0</v>
      </c>
      <c r="AC78" s="238"/>
      <c r="AD78" s="238"/>
      <c r="AE78" s="238"/>
      <c r="AF78" s="241"/>
      <c r="AG78" s="229"/>
      <c r="AH78" s="110">
        <f>MAX(H78-AB78,0)</f>
        <v>20940</v>
      </c>
    </row>
    <row r="79" spans="2:34" x14ac:dyDescent="0.25">
      <c r="B79" s="178" t="str">
        <f>_xlfn.XLOOKUP(C79,'Info Clientes'!A:A,'Info Clientes'!B:B)</f>
        <v>Additive</v>
      </c>
      <c r="C79" s="96" t="s">
        <v>349</v>
      </c>
      <c r="D79" s="304" t="s">
        <v>391</v>
      </c>
      <c r="E79" s="305"/>
      <c r="F79" s="109">
        <v>120000</v>
      </c>
      <c r="G79" s="109">
        <v>102875</v>
      </c>
      <c r="H79" s="109">
        <v>17125</v>
      </c>
      <c r="I79" s="110">
        <v>0</v>
      </c>
      <c r="J79" s="110">
        <v>0</v>
      </c>
      <c r="K79" s="110">
        <v>0</v>
      </c>
      <c r="L79" s="110">
        <v>0</v>
      </c>
      <c r="M79" s="110">
        <v>0</v>
      </c>
      <c r="N79" s="110">
        <v>0</v>
      </c>
      <c r="O79" s="115">
        <v>0</v>
      </c>
      <c r="P79" s="110">
        <v>0</v>
      </c>
      <c r="Q79" s="110">
        <v>17125</v>
      </c>
      <c r="R79" s="110">
        <v>17125</v>
      </c>
      <c r="S79" s="110">
        <v>0</v>
      </c>
      <c r="T79" s="110">
        <v>0</v>
      </c>
      <c r="U79" s="110">
        <v>0</v>
      </c>
      <c r="V79" s="110">
        <v>0</v>
      </c>
      <c r="W79" s="110">
        <v>0</v>
      </c>
      <c r="X79" s="115">
        <v>0</v>
      </c>
      <c r="Y79" s="110">
        <v>0</v>
      </c>
      <c r="Z79" s="111"/>
      <c r="AA79" s="111"/>
      <c r="AB79" s="110">
        <v>120000</v>
      </c>
      <c r="AC79" s="238"/>
      <c r="AD79" s="238"/>
      <c r="AE79" s="238"/>
      <c r="AF79" s="241"/>
      <c r="AG79" s="229"/>
      <c r="AH79" s="110">
        <f>MAX(H79-AB79,0)</f>
        <v>0</v>
      </c>
    </row>
    <row r="80" spans="2:34" x14ac:dyDescent="0.25">
      <c r="B80" s="178" t="str">
        <f>_xlfn.XLOOKUP(C80,'Info Clientes'!A:A,'Info Clientes'!B:B)</f>
        <v>Fertilizer</v>
      </c>
      <c r="C80" s="234" t="s">
        <v>365</v>
      </c>
      <c r="D80" s="235" t="s">
        <v>391</v>
      </c>
      <c r="E80" s="235">
        <v>360</v>
      </c>
      <c r="F80" s="236">
        <v>700000</v>
      </c>
      <c r="G80" s="236">
        <v>694969.5</v>
      </c>
      <c r="H80" s="236">
        <v>5030.5</v>
      </c>
      <c r="I80" s="236">
        <v>0</v>
      </c>
      <c r="J80" s="236">
        <v>0</v>
      </c>
      <c r="K80" s="236">
        <v>0</v>
      </c>
      <c r="L80" s="236">
        <v>0</v>
      </c>
      <c r="M80" s="236">
        <v>0</v>
      </c>
      <c r="N80" s="236">
        <v>0</v>
      </c>
      <c r="O80" s="242">
        <v>0</v>
      </c>
      <c r="P80" s="236">
        <v>0</v>
      </c>
      <c r="Q80" s="236">
        <v>5030.5</v>
      </c>
      <c r="R80" s="236">
        <v>0</v>
      </c>
      <c r="S80" s="236">
        <v>5030.5</v>
      </c>
      <c r="T80" s="236">
        <v>0</v>
      </c>
      <c r="U80" s="236">
        <v>0</v>
      </c>
      <c r="V80" s="236">
        <v>0</v>
      </c>
      <c r="W80" s="236">
        <v>0</v>
      </c>
      <c r="X80" s="242">
        <v>0</v>
      </c>
      <c r="Y80" s="236">
        <v>0</v>
      </c>
      <c r="Z80" s="243"/>
      <c r="AA80" s="243"/>
      <c r="AB80" s="236">
        <v>700000</v>
      </c>
      <c r="AC80" s="238"/>
      <c r="AD80" s="238"/>
      <c r="AE80" s="238"/>
      <c r="AF80" s="241"/>
      <c r="AG80" s="229"/>
      <c r="AH80" s="110">
        <f>MAX(H80-AB80,0)</f>
        <v>0</v>
      </c>
    </row>
    <row r="81" spans="2:34" x14ac:dyDescent="0.25">
      <c r="B81" s="178" t="str">
        <f>_xlfn.XLOOKUP(C81,'Info Clientes'!A:A,'Info Clientes'!B:B)</f>
        <v>Additive</v>
      </c>
      <c r="C81" s="96" t="s">
        <v>770</v>
      </c>
      <c r="D81" s="304">
        <v>0</v>
      </c>
      <c r="E81" s="305"/>
      <c r="F81" s="109">
        <v>0</v>
      </c>
      <c r="G81" s="109">
        <v>-1743</v>
      </c>
      <c r="H81" s="109">
        <v>1743</v>
      </c>
      <c r="I81" s="110">
        <v>581</v>
      </c>
      <c r="J81" s="110">
        <v>0</v>
      </c>
      <c r="K81" s="110">
        <v>0</v>
      </c>
      <c r="L81" s="110">
        <v>0</v>
      </c>
      <c r="M81" s="110">
        <v>0</v>
      </c>
      <c r="N81" s="110">
        <v>0</v>
      </c>
      <c r="O81" s="115">
        <v>0</v>
      </c>
      <c r="P81" s="110">
        <v>581</v>
      </c>
      <c r="Q81" s="110">
        <v>1162</v>
      </c>
      <c r="R81" s="110">
        <v>581</v>
      </c>
      <c r="S81" s="110">
        <v>581</v>
      </c>
      <c r="T81" s="110">
        <v>0</v>
      </c>
      <c r="U81" s="110">
        <v>0</v>
      </c>
      <c r="V81" s="110">
        <v>0</v>
      </c>
      <c r="W81" s="110">
        <v>0</v>
      </c>
      <c r="X81" s="115">
        <v>0</v>
      </c>
      <c r="Y81" s="110">
        <v>0</v>
      </c>
      <c r="Z81" s="111"/>
      <c r="AA81" s="111"/>
      <c r="AB81" s="110">
        <v>0</v>
      </c>
      <c r="AC81" s="238"/>
      <c r="AD81" s="238"/>
      <c r="AE81" s="238"/>
      <c r="AF81" s="241"/>
      <c r="AG81" s="229"/>
      <c r="AH81" s="110">
        <f>MAX(H81-AB81,0)</f>
        <v>1743</v>
      </c>
    </row>
    <row r="82" spans="2:34" x14ac:dyDescent="0.25">
      <c r="B82" s="178" t="str">
        <f>_xlfn.XLOOKUP(C82,'Info Clientes'!A:A,'Info Clientes'!B:B)</f>
        <v>Additive Intl.</v>
      </c>
      <c r="C82" s="96" t="s">
        <v>579</v>
      </c>
      <c r="D82" s="304" t="s">
        <v>391</v>
      </c>
      <c r="E82" s="305"/>
      <c r="F82" s="109">
        <v>330000</v>
      </c>
      <c r="G82" s="109">
        <v>328619.48</v>
      </c>
      <c r="H82" s="109">
        <v>1380.52</v>
      </c>
      <c r="I82" s="110">
        <v>0</v>
      </c>
      <c r="J82" s="110">
        <v>853.24</v>
      </c>
      <c r="K82" s="110">
        <v>0</v>
      </c>
      <c r="L82" s="110">
        <v>0</v>
      </c>
      <c r="M82" s="110">
        <v>0</v>
      </c>
      <c r="N82" s="110">
        <v>527.28</v>
      </c>
      <c r="O82" s="115">
        <v>0</v>
      </c>
      <c r="P82" s="110">
        <v>1380.52</v>
      </c>
      <c r="Q82" s="110">
        <v>0</v>
      </c>
      <c r="R82" s="110">
        <v>0</v>
      </c>
      <c r="S82" s="110">
        <v>0</v>
      </c>
      <c r="T82" s="110">
        <v>0</v>
      </c>
      <c r="U82" s="110">
        <v>0</v>
      </c>
      <c r="V82" s="110">
        <v>0</v>
      </c>
      <c r="W82" s="110">
        <v>0</v>
      </c>
      <c r="X82" s="115">
        <v>0</v>
      </c>
      <c r="Y82" s="110">
        <v>15.818399999999999</v>
      </c>
      <c r="Z82" s="111"/>
      <c r="AA82" s="111"/>
      <c r="AB82" s="110">
        <v>330000</v>
      </c>
      <c r="AC82" s="238"/>
      <c r="AD82" s="238"/>
      <c r="AE82" s="238"/>
      <c r="AF82" s="241"/>
      <c r="AG82" s="229"/>
      <c r="AH82" s="110">
        <f>MAX(H82-AB82,0)</f>
        <v>0</v>
      </c>
    </row>
    <row r="83" spans="2:34" x14ac:dyDescent="0.25">
      <c r="B83" s="178" t="str">
        <f>_xlfn.XLOOKUP(C83,'Info Clientes'!A:A,'Info Clientes'!B:B)</f>
        <v>Fertilizer</v>
      </c>
      <c r="C83" s="96" t="s">
        <v>562</v>
      </c>
      <c r="D83" s="304" t="s">
        <v>391</v>
      </c>
      <c r="E83" s="305">
        <v>180</v>
      </c>
      <c r="F83" s="109">
        <v>50000</v>
      </c>
      <c r="G83" s="109">
        <v>49138.400000000001</v>
      </c>
      <c r="H83" s="109">
        <v>861.6</v>
      </c>
      <c r="I83" s="110">
        <v>0</v>
      </c>
      <c r="J83" s="110">
        <v>0</v>
      </c>
      <c r="K83" s="110">
        <v>0</v>
      </c>
      <c r="L83" s="110">
        <v>0</v>
      </c>
      <c r="M83" s="110">
        <v>0</v>
      </c>
      <c r="N83" s="110">
        <v>0</v>
      </c>
      <c r="O83" s="115">
        <v>0</v>
      </c>
      <c r="P83" s="110">
        <v>0</v>
      </c>
      <c r="Q83" s="110">
        <v>861.6</v>
      </c>
      <c r="R83" s="110">
        <v>861.6</v>
      </c>
      <c r="S83" s="110">
        <v>0</v>
      </c>
      <c r="T83" s="110">
        <v>0</v>
      </c>
      <c r="U83" s="110">
        <v>0</v>
      </c>
      <c r="V83" s="110">
        <v>0</v>
      </c>
      <c r="W83" s="110">
        <v>0</v>
      </c>
      <c r="X83" s="115">
        <v>0</v>
      </c>
      <c r="Y83" s="110">
        <v>0</v>
      </c>
      <c r="Z83" s="111"/>
      <c r="AA83" s="111"/>
      <c r="AB83" s="110">
        <v>50000</v>
      </c>
      <c r="AC83" s="238"/>
      <c r="AD83" s="238"/>
      <c r="AE83" s="238"/>
      <c r="AF83" s="241"/>
      <c r="AG83" s="229"/>
      <c r="AH83" s="110">
        <f>MAX(H83-AB83,0)</f>
        <v>0</v>
      </c>
    </row>
    <row r="84" spans="2:34" x14ac:dyDescent="0.25">
      <c r="B84" s="178" t="str">
        <f>_xlfn.XLOOKUP(C84,'Info Clientes'!A:A,'Info Clientes'!B:B)</f>
        <v>Additive</v>
      </c>
      <c r="C84" s="96" t="s">
        <v>334</v>
      </c>
      <c r="D84" s="304">
        <v>0</v>
      </c>
      <c r="E84" s="305"/>
      <c r="F84" s="109">
        <v>0</v>
      </c>
      <c r="G84" s="109">
        <v>-300</v>
      </c>
      <c r="H84" s="109">
        <v>300</v>
      </c>
      <c r="I84" s="110">
        <v>0</v>
      </c>
      <c r="J84" s="110">
        <v>0</v>
      </c>
      <c r="K84" s="110">
        <v>0</v>
      </c>
      <c r="L84" s="110">
        <v>0</v>
      </c>
      <c r="M84" s="110">
        <v>0</v>
      </c>
      <c r="N84" s="110">
        <v>0</v>
      </c>
      <c r="O84" s="115">
        <v>300</v>
      </c>
      <c r="P84" s="110">
        <v>300</v>
      </c>
      <c r="Q84" s="110">
        <v>0</v>
      </c>
      <c r="R84" s="110">
        <v>0</v>
      </c>
      <c r="S84" s="110">
        <v>0</v>
      </c>
      <c r="T84" s="110">
        <v>0</v>
      </c>
      <c r="U84" s="110">
        <v>0</v>
      </c>
      <c r="V84" s="110">
        <v>0</v>
      </c>
      <c r="W84" s="110">
        <v>0</v>
      </c>
      <c r="X84" s="115">
        <v>0</v>
      </c>
      <c r="Y84" s="110">
        <v>300</v>
      </c>
      <c r="Z84" s="111"/>
      <c r="AA84" s="111"/>
      <c r="AB84" s="110">
        <v>0</v>
      </c>
      <c r="AC84" s="238"/>
      <c r="AD84" s="238"/>
      <c r="AE84" s="238"/>
      <c r="AF84" s="241"/>
      <c r="AG84" s="229"/>
      <c r="AH84" s="110">
        <f>MAX(H84-AB84,0)</f>
        <v>300</v>
      </c>
    </row>
    <row r="85" spans="2:34" x14ac:dyDescent="0.25">
      <c r="B85" s="178" t="str">
        <f>_xlfn.XLOOKUP(C85,'Info Clientes'!A:A,'Info Clientes'!B:B)</f>
        <v>Additive</v>
      </c>
      <c r="C85" s="96" t="s">
        <v>237</v>
      </c>
      <c r="D85" s="304">
        <v>0</v>
      </c>
      <c r="E85" s="305"/>
      <c r="F85" s="109">
        <v>0</v>
      </c>
      <c r="G85" s="109">
        <v>-100</v>
      </c>
      <c r="H85" s="109">
        <v>100</v>
      </c>
      <c r="I85" s="110">
        <v>0</v>
      </c>
      <c r="J85" s="110">
        <v>0</v>
      </c>
      <c r="K85" s="110">
        <v>0</v>
      </c>
      <c r="L85" s="110">
        <v>0</v>
      </c>
      <c r="M85" s="110">
        <v>0</v>
      </c>
      <c r="N85" s="110">
        <v>0</v>
      </c>
      <c r="O85" s="115">
        <v>100</v>
      </c>
      <c r="P85" s="110">
        <v>100</v>
      </c>
      <c r="Q85" s="110">
        <v>0</v>
      </c>
      <c r="R85" s="110">
        <v>0</v>
      </c>
      <c r="S85" s="110">
        <v>0</v>
      </c>
      <c r="T85" s="110">
        <v>0</v>
      </c>
      <c r="U85" s="110">
        <v>0</v>
      </c>
      <c r="V85" s="110">
        <v>0</v>
      </c>
      <c r="W85" s="110">
        <v>0</v>
      </c>
      <c r="X85" s="115">
        <v>0</v>
      </c>
      <c r="Y85" s="110">
        <v>100</v>
      </c>
      <c r="Z85" s="111"/>
      <c r="AA85" s="111"/>
      <c r="AB85" s="110">
        <v>0</v>
      </c>
      <c r="AC85" s="238"/>
      <c r="AD85" s="238"/>
      <c r="AE85" s="238"/>
      <c r="AF85" s="241"/>
      <c r="AG85" s="229"/>
      <c r="AH85" s="110">
        <f>MAX(H85-AB85,0)</f>
        <v>100</v>
      </c>
    </row>
    <row r="86" spans="2:34" x14ac:dyDescent="0.25">
      <c r="B86" s="178" t="str">
        <f>_xlfn.XLOOKUP(C86,'Info Clientes'!A:A,'Info Clientes'!B:B)</f>
        <v>Additive</v>
      </c>
      <c r="C86" s="96" t="s">
        <v>278</v>
      </c>
      <c r="D86" s="304">
        <v>0</v>
      </c>
      <c r="E86" s="305"/>
      <c r="F86" s="109">
        <v>0</v>
      </c>
      <c r="G86" s="109">
        <v>-50</v>
      </c>
      <c r="H86" s="109">
        <v>50</v>
      </c>
      <c r="I86" s="110">
        <v>0</v>
      </c>
      <c r="J86" s="110">
        <v>0</v>
      </c>
      <c r="K86" s="110">
        <v>0</v>
      </c>
      <c r="L86" s="110">
        <v>0</v>
      </c>
      <c r="M86" s="110">
        <v>0</v>
      </c>
      <c r="N86" s="110">
        <v>0</v>
      </c>
      <c r="O86" s="115">
        <v>50</v>
      </c>
      <c r="P86" s="110">
        <v>50</v>
      </c>
      <c r="Q86" s="110">
        <v>0</v>
      </c>
      <c r="R86" s="110">
        <v>0</v>
      </c>
      <c r="S86" s="110">
        <v>0</v>
      </c>
      <c r="T86" s="110">
        <v>0</v>
      </c>
      <c r="U86" s="110">
        <v>0</v>
      </c>
      <c r="V86" s="110">
        <v>0</v>
      </c>
      <c r="W86" s="110">
        <v>0</v>
      </c>
      <c r="X86" s="115">
        <v>0</v>
      </c>
      <c r="Y86" s="110">
        <v>50</v>
      </c>
      <c r="Z86" s="111"/>
      <c r="AA86" s="111"/>
      <c r="AB86" s="110">
        <v>0</v>
      </c>
      <c r="AC86" s="238"/>
      <c r="AD86" s="238"/>
      <c r="AE86" s="238"/>
      <c r="AF86" s="241"/>
      <c r="AG86" s="229"/>
      <c r="AH86" s="110">
        <f>MAX(H86-AB86,0)</f>
        <v>50</v>
      </c>
    </row>
  </sheetData>
  <autoFilter ref="A3:AL85" xr:uid="{F5FB43B8-1ECE-4FE7-8241-98814406AEAE}">
    <sortState xmlns:xlrd2="http://schemas.microsoft.com/office/spreadsheetml/2017/richdata2" ref="A4:AL250">
      <sortCondition descending="1" ref="H3:H85"/>
    </sortState>
  </autoFilter>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8680-E941-44EF-B65F-B4C2EF04F7E0}">
  <sheetPr>
    <tabColor rgb="FF00B050"/>
  </sheetPr>
  <dimension ref="A1:AH98"/>
  <sheetViews>
    <sheetView showGridLines="0" topLeftCell="A42" zoomScale="85" zoomScaleNormal="85" workbookViewId="0">
      <selection activeCell="B3" sqref="B3:AG85"/>
    </sheetView>
  </sheetViews>
  <sheetFormatPr defaultRowHeight="13.2" outlineLevelCol="1" x14ac:dyDescent="0.25"/>
  <cols>
    <col min="1" max="1" width="8.6640625" style="49" customWidth="1"/>
    <col min="2" max="2" width="17.33203125" style="49" bestFit="1" customWidth="1"/>
    <col min="3" max="3" width="47.109375" style="49" bestFit="1" customWidth="1"/>
    <col min="4" max="4" width="14.109375" style="49" bestFit="1" customWidth="1"/>
    <col min="5" max="5" width="13.77734375" style="49" bestFit="1" customWidth="1"/>
    <col min="6" max="6" width="12.5546875" style="49" customWidth="1"/>
    <col min="7" max="7" width="18.21875" style="49" customWidth="1"/>
    <col min="8" max="8" width="35.5546875" style="49" hidden="1" customWidth="1" outlineLevel="1"/>
    <col min="9" max="9" width="56.77734375" style="49" hidden="1" customWidth="1" outlineLevel="1"/>
    <col min="10" max="10" width="2.33203125" style="285" customWidth="1" collapsed="1"/>
    <col min="11" max="11" width="13.33203125" style="49" customWidth="1"/>
    <col min="12" max="12" width="14.88671875" style="49" hidden="1" customWidth="1" outlineLevel="1"/>
    <col min="13" max="13" width="15.77734375" style="49" hidden="1" customWidth="1" outlineLevel="1"/>
    <col min="14" max="14" width="13.77734375" style="49" hidden="1" customWidth="1" outlineLevel="1"/>
    <col min="15" max="15" width="12.5546875" style="49" hidden="1" customWidth="1" outlineLevel="1"/>
    <col min="16" max="16" width="12.88671875" style="49" hidden="1" customWidth="1" outlineLevel="1"/>
    <col min="17" max="17" width="13.44140625" style="49" hidden="1" customWidth="1" outlineLevel="1"/>
    <col min="18" max="18" width="18.44140625" style="49" hidden="1" customWidth="1" outlineLevel="1"/>
    <col min="19" max="19" width="14.5546875" style="49" customWidth="1" collapsed="1"/>
    <col min="20" max="20" width="14.88671875" style="49" hidden="1" customWidth="1" outlineLevel="1"/>
    <col min="21" max="21" width="13" style="49" hidden="1" customWidth="1" outlineLevel="1"/>
    <col min="22" max="22" width="13.44140625" style="49" hidden="1" customWidth="1" outlineLevel="1"/>
    <col min="23" max="23" width="13.5546875" style="49" hidden="1" customWidth="1" outlineLevel="1"/>
    <col min="24" max="24" width="16.88671875" style="49" hidden="1" customWidth="1" outlineLevel="1"/>
    <col min="25" max="25" width="15" style="49" hidden="1" customWidth="1" outlineLevel="1"/>
    <col min="26" max="26" width="15.6640625" style="49" hidden="1" customWidth="1" outlineLevel="1"/>
    <col min="27" max="27" width="13.21875" style="49" customWidth="1" collapsed="1"/>
    <col min="28" max="28" width="18.77734375" style="49" hidden="1" customWidth="1"/>
    <col min="29" max="29" width="3.33203125" style="285" customWidth="1"/>
    <col min="30" max="30" width="20.5546875" style="49" customWidth="1" outlineLevel="1"/>
    <col min="31" max="31" width="12.88671875" style="49" customWidth="1" outlineLevel="1"/>
    <col min="32" max="32" width="15.6640625" style="49" customWidth="1" outlineLevel="1"/>
    <col min="33" max="33" width="15" style="49" customWidth="1" outlineLevel="1"/>
    <col min="34" max="34" width="19.109375" style="49" bestFit="1" customWidth="1"/>
    <col min="35" max="16384" width="8.88671875" style="49"/>
  </cols>
  <sheetData>
    <row r="1" spans="1:34" x14ac:dyDescent="0.25">
      <c r="C1" s="281">
        <v>46198</v>
      </c>
      <c r="E1" s="282">
        <f>SUBTOTAL(9,E3:E826)</f>
        <v>63971254.070000015</v>
      </c>
      <c r="G1" s="282">
        <f>SUBTOTAL(9,G3:G826)</f>
        <v>31597219.799999986</v>
      </c>
      <c r="H1" s="284"/>
      <c r="I1" s="284"/>
      <c r="K1" s="282">
        <f>SUBTOTAL(9,K3:K826)</f>
        <v>40542362.830000006</v>
      </c>
      <c r="L1" s="286">
        <f>SUBTOTAL(9,L3:L826)</f>
        <v>16649787.439999994</v>
      </c>
      <c r="M1" s="286">
        <f>SUBTOTAL(9,M3:M81)</f>
        <v>10148231.35</v>
      </c>
      <c r="N1" s="286">
        <f>SUBTOTAL(9,N3:N826)</f>
        <v>13023614.51</v>
      </c>
      <c r="O1" s="286">
        <f>SUBTOTAL(9,O3:O826)</f>
        <v>247837.21</v>
      </c>
      <c r="P1" s="286">
        <f>SUBTOTAL(9,P3:P826)</f>
        <v>299642.08</v>
      </c>
      <c r="Q1" s="286">
        <f>SUBTOTAL(9,Q3:Q826)</f>
        <v>76480.23</v>
      </c>
      <c r="R1" s="286">
        <f>SUBTOTAL(9,R3:R826)</f>
        <v>96770.01</v>
      </c>
      <c r="S1" s="282">
        <f>SUBTOTAL(9,S3:S826)</f>
        <v>1113139.05</v>
      </c>
      <c r="T1" s="286">
        <f>SUBTOTAL(9,T3:T826)</f>
        <v>623406.28</v>
      </c>
      <c r="U1" s="286">
        <f>SUBTOTAL(9,U3:U826)</f>
        <v>416870.25</v>
      </c>
      <c r="V1" s="286">
        <f>SUBTOTAL(9,V3:V826)</f>
        <v>0</v>
      </c>
      <c r="W1" s="286">
        <f>SUBTOTAL(9,W3:W826)</f>
        <v>49440</v>
      </c>
      <c r="X1" s="286">
        <f>SUBTOTAL(9,X3:X826)</f>
        <v>0</v>
      </c>
      <c r="Y1" s="286">
        <f>SUBTOTAL(9,Y3:Y826)</f>
        <v>591.48</v>
      </c>
      <c r="Z1" s="286">
        <f>SUBTOTAL(9,Z3:Z826)</f>
        <v>22831.040000000001</v>
      </c>
      <c r="AA1" s="282">
        <f>SUBTOTAL(9,AA3:AA826)</f>
        <v>22315752.189999998</v>
      </c>
      <c r="AD1" s="282">
        <f>SUBTOTAL(9,AD3:AD81)</f>
        <v>112683629.00999998</v>
      </c>
      <c r="AE1" s="282">
        <f>SUBTOTAL(9,AE3:AE81)</f>
        <v>312600577.53604662</v>
      </c>
      <c r="AF1" s="282"/>
      <c r="AG1" s="282">
        <f>SUBTOTAL(9,AG3:AG81)</f>
        <v>203409784.05498829</v>
      </c>
      <c r="AH1" s="287"/>
    </row>
    <row r="2" spans="1:34" ht="64.8" customHeight="1" x14ac:dyDescent="0.25">
      <c r="B2" s="239" t="s">
        <v>304</v>
      </c>
      <c r="C2" s="239" t="s">
        <v>781</v>
      </c>
      <c r="D2" s="239" t="s">
        <v>775</v>
      </c>
      <c r="E2" s="239" t="s">
        <v>776</v>
      </c>
      <c r="F2" s="239" t="s">
        <v>412</v>
      </c>
      <c r="G2" s="239" t="s">
        <v>15417</v>
      </c>
      <c r="H2" s="239" t="s">
        <v>777</v>
      </c>
      <c r="I2" s="239" t="s">
        <v>15400</v>
      </c>
      <c r="J2" s="240"/>
      <c r="K2" s="239" t="s">
        <v>778</v>
      </c>
      <c r="L2" s="239" t="s">
        <v>8</v>
      </c>
      <c r="M2" s="239" t="s">
        <v>9</v>
      </c>
      <c r="N2" s="239" t="s">
        <v>10</v>
      </c>
      <c r="O2" s="239" t="s">
        <v>11</v>
      </c>
      <c r="P2" s="239" t="s">
        <v>12</v>
      </c>
      <c r="Q2" s="239" t="s">
        <v>13</v>
      </c>
      <c r="R2" s="239" t="s">
        <v>14</v>
      </c>
      <c r="S2" s="239" t="s">
        <v>783</v>
      </c>
      <c r="T2" s="239" t="s">
        <v>8</v>
      </c>
      <c r="U2" s="239" t="s">
        <v>9</v>
      </c>
      <c r="V2" s="239" t="s">
        <v>10</v>
      </c>
      <c r="W2" s="239" t="s">
        <v>11</v>
      </c>
      <c r="X2" s="239" t="s">
        <v>12</v>
      </c>
      <c r="Y2" s="239" t="s">
        <v>13</v>
      </c>
      <c r="Z2" s="239" t="s">
        <v>14</v>
      </c>
      <c r="AA2" s="239" t="s">
        <v>779</v>
      </c>
      <c r="AB2" s="239" t="s">
        <v>780</v>
      </c>
      <c r="AC2" s="240"/>
      <c r="AD2" s="239" t="s">
        <v>15291</v>
      </c>
      <c r="AE2" s="239" t="s">
        <v>1151</v>
      </c>
      <c r="AF2" s="239" t="s">
        <v>15384</v>
      </c>
      <c r="AG2" s="239" t="s">
        <v>15385</v>
      </c>
    </row>
    <row r="3" spans="1:34" ht="13.8" customHeight="1" x14ac:dyDescent="0.25">
      <c r="A3" s="283"/>
      <c r="B3" s="288" t="str">
        <f>_xlfn.XLOOKUP(C3,'Info Clientes'!A:A,'Info Clientes'!B:B)</f>
        <v>Additive</v>
      </c>
      <c r="C3" s="234" t="s">
        <v>449</v>
      </c>
      <c r="D3" s="290">
        <f>_xlfn.XLOOKUP(C3,'Limite de crédito'!C:C,'Limite de crédito'!G:G,0)</f>
        <v>10000000</v>
      </c>
      <c r="E3" s="290">
        <f>K3+S3+AA3</f>
        <v>7696493.5799999991</v>
      </c>
      <c r="F3" s="290">
        <f>_xlfn.XLOOKUP('Nova Versão '!C3,'Limite de crédito'!C:C,'Limite de crédito'!O:O,0)</f>
        <v>10000000</v>
      </c>
      <c r="G3" s="291">
        <f>MAX(E3-F3,0)</f>
        <v>0</v>
      </c>
      <c r="H3" s="292" t="str">
        <f>_xlfn.XLOOKUP(C3,'Info Clientes'!A:A,'Info Clientes'!C:C)</f>
        <v>Guarantee or credit</v>
      </c>
      <c r="I3" s="292" t="str">
        <f>IF(_xlfn.XLOOKUP(C3,'Info Clientes'!A:A,'Info Clientes'!D:D,"")=0,"",_xlfn.XLOOKUP(C3,'Info Clientes'!A:A,'Info Clientes'!D:D,""))</f>
        <v/>
      </c>
      <c r="K3" s="290">
        <f>L3+M3+N3+O3+P3+Q3+R3</f>
        <v>7696493.5799999991</v>
      </c>
      <c r="L3" s="290">
        <f>_xlfn.XLOOKUP(C3,'Clientes Consolidado.'!$C:$C,'Clientes Consolidado.'!R:R,0)</f>
        <v>2989374.9</v>
      </c>
      <c r="M3" s="290">
        <f>_xlfn.XLOOKUP(C3,'Clientes Consolidado.'!$C:$C,'Clientes Consolidado.'!S:S,0)</f>
        <v>1924024.77</v>
      </c>
      <c r="N3" s="290">
        <f>_xlfn.XLOOKUP(C3,'Clientes Consolidado.'!$C:$C,'Clientes Consolidado.'!T:T,0)</f>
        <v>2535256.6999999997</v>
      </c>
      <c r="O3" s="290">
        <f>_xlfn.XLOOKUP(C3,'Clientes Consolidado.'!$C:$C,'Clientes Consolidado.'!U:U,0)</f>
        <v>247837.21</v>
      </c>
      <c r="P3" s="290">
        <f>_xlfn.XLOOKUP(C3,'Clientes Consolidado.'!$C:$C,'Clientes Consolidado.'!V:V,0)</f>
        <v>0</v>
      </c>
      <c r="Q3" s="290">
        <f>_xlfn.XLOOKUP(C3,'Clientes Consolidado.'!$C:$C,'Clientes Consolidado.'!W:W,0)</f>
        <v>0</v>
      </c>
      <c r="R3" s="290">
        <f>_xlfn.XLOOKUP(C3,'Clientes Consolidado.'!$C:$C,'Clientes Consolidado.'!X:X,0)</f>
        <v>0</v>
      </c>
      <c r="S3" s="290">
        <f>SUM(T3:Z3)</f>
        <v>0</v>
      </c>
      <c r="T3" s="290">
        <f>SUMIFS('Clientes Consolidado.'!I:I,'Clientes Consolidado.'!C:C,C3,'Clientes Consolidado.'!B:B,"Fertilizer")
+SUMIFS('Clientes Consolidado.'!I:I,'Clientes Consolidado.'!C:C,C3,'Clientes Consolidado.'!B:B,"Additive")
+SUMIFS('Clientes Consolidado.'!I:I,'Clientes Consolidado.'!C:C,C3,'Clientes Consolidado.'!B:B,"Additive Intl.")</f>
        <v>0</v>
      </c>
      <c r="U3" s="290">
        <f>SUMIFS('Clientes Consolidado.'!J:J,'Clientes Consolidado.'!C:C,C3,'Clientes Consolidado.'!B:B,"Fertilizer")
+SUMIFS('Clientes Consolidado.'!J:J,'Clientes Consolidado.'!C:C,C3,'Clientes Consolidado.'!B:B,"Additive")
+SUMIFS('Clientes Consolidado.'!J:J,'Clientes Consolidado.'!C:C,C3,'Clientes Consolidado.'!B:B,"Additive Intl.")</f>
        <v>0</v>
      </c>
      <c r="V3" s="290">
        <f>SUMIFS('Clientes Consolidado.'!K:K,'Clientes Consolidado.'!C:C,C3,'Clientes Consolidado.'!B:B,"Fertilizer")
+SUMIFS('Clientes Consolidado.'!K:K,'Clientes Consolidado.'!C:C,C3,'Clientes Consolidado.'!B:B,"Additive")
+SUMIFS('Clientes Consolidado.'!K:K,'Clientes Consolidado.'!C:C,C3,'Clientes Consolidado.'!B:B,"Additive Intl.")</f>
        <v>0</v>
      </c>
      <c r="W3" s="290">
        <f>SUMIFS('Clientes Consolidado.'!L:L,'Clientes Consolidado.'!C:C,C3,'Clientes Consolidado.'!B:B,"Fertilizer")
+SUMIFS('Clientes Consolidado.'!L:L,'Clientes Consolidado.'!C:C,C3,'Clientes Consolidado.'!B:B,"Additive")
+SUMIFS('Clientes Consolidado.'!L:L,'Clientes Consolidado.'!C:C,C3,'Clientes Consolidado.'!B:B,"Additive Intl.")</f>
        <v>0</v>
      </c>
      <c r="X3" s="290">
        <f>SUMIFS('Clientes Consolidado.'!M:M,'Clientes Consolidado.'!C:C,C3,'Clientes Consolidado.'!B:B,"Fertilizer")
+SUMIFS('Clientes Consolidado.'!M:M,'Clientes Consolidado.'!C:C,C3,'Clientes Consolidado.'!B:B,"Additive")
+SUMIFS('Clientes Consolidado.'!M:M,'Clientes Consolidado.'!C:C,C3,'Clientes Consolidado.'!B:B,"Additive Intl.")</f>
        <v>0</v>
      </c>
      <c r="Y3" s="290">
        <f>SUMIFS('Clientes Consolidado.'!N:N,'Clientes Consolidado.'!C:C,C3,'Clientes Consolidado.'!B:B,"Fertilizer")
+SUMIFS('Clientes Consolidado.'!N:N,'Clientes Consolidado.'!C:C,C3,'Clientes Consolidado.'!B:B,"Additive")
+SUMIFS('Clientes Consolidado.'!N:N,'Clientes Consolidado.'!C:C,C3,'Clientes Consolidado.'!B:B,"Additive Intl.")</f>
        <v>0</v>
      </c>
      <c r="Z3" s="290">
        <f>SUMIFS('Clientes Consolidado.'!O:O,'Clientes Consolidado.'!C:C,C3,'Clientes Consolidado.'!B:B,"Fertilizer")
+SUMIFS('Clientes Consolidado.'!O:O,'Clientes Consolidado.'!C:C,C3,'Clientes Consolidado.'!B:B,"Additive")
+SUMIFS('Clientes Consolidado.'!O:O,'Clientes Consolidado.'!C:C,C3,'Clientes Consolidado.'!B:B,"Additive Intl.")</f>
        <v>0</v>
      </c>
      <c r="AA3" s="290">
        <f>SUMIFS('Clientes Consolidado.'!P:P,'Clientes Consolidado.'!C:C,'Nova Versão '!C3,'Clientes Consolidado.'!B:B,"Fertilizer / Litigation")+SUMIFS('Clientes Consolidado.'!P:P,'Clientes Consolidado.'!C:C,'Nova Versão '!C3,'Clientes Consolidado.'!B:B,"Additive / Litigation")</f>
        <v>0</v>
      </c>
      <c r="AB3" s="288"/>
      <c r="AD3" s="290">
        <f>SUMIFS('Invoiced amount'!I:I,'Invoiced amount'!AH:AH,'Nova Versão '!C3)</f>
        <v>12849714.939999992</v>
      </c>
      <c r="AE3" s="290">
        <f>SUMIFS(Buget!K:K,Buget!E:E,'Nova Versão '!C3)</f>
        <v>32470400</v>
      </c>
      <c r="AF3" s="264">
        <f>IF(OR(AE3=0,AE3=""),"",AD3/AE3)</f>
        <v>0.39573626872474599</v>
      </c>
      <c r="AG3" s="290">
        <f>MAX(AE3-AD3,0)</f>
        <v>19620685.06000001</v>
      </c>
    </row>
    <row r="4" spans="1:34" ht="13.8" customHeight="1" x14ac:dyDescent="0.25">
      <c r="A4" s="283"/>
      <c r="B4" s="288" t="str">
        <f>_xlfn.XLOOKUP(C4,'Info Clientes'!A:A,'Info Clientes'!B:B)</f>
        <v>Fertilizer / Litigation</v>
      </c>
      <c r="C4" s="96" t="s">
        <v>160</v>
      </c>
      <c r="D4" s="290">
        <f>_xlfn.XLOOKUP(C4,'Limite de crédito'!C:C,'Limite de crédito'!G:G,0)</f>
        <v>0</v>
      </c>
      <c r="E4" s="290">
        <f t="shared" ref="E4:E67" si="0">K4+S4+AA4</f>
        <v>7560727.799999997</v>
      </c>
      <c r="F4" s="290">
        <f>_xlfn.XLOOKUP('Nova Versão '!C4,'Limite de crédito'!C:C,'Limite de crédito'!O:O,0)</f>
        <v>0</v>
      </c>
      <c r="G4" s="291">
        <f t="shared" ref="G4:G67" si="1">MAX(E4-F4,0)</f>
        <v>7560727.799999997</v>
      </c>
      <c r="H4" s="292" t="str">
        <f>_xlfn.XLOOKUP(C4,'Info Clientes'!A:A,'Info Clientes'!C:C)</f>
        <v>Litigation</v>
      </c>
      <c r="I4" s="292" t="str">
        <f>IF(_xlfn.XLOOKUP(C4,'Info Clientes'!A:A,'Info Clientes'!D:D,"")=0,"",_xlfn.XLOOKUP(C4,'Info Clientes'!A:A,'Info Clientes'!D:D,""))</f>
        <v/>
      </c>
      <c r="K4" s="290">
        <f t="shared" ref="K4:K67" si="2">L4+M4+N4+O4+P4+Q4+R4</f>
        <v>0</v>
      </c>
      <c r="L4" s="290">
        <f>_xlfn.XLOOKUP(C4,'Clientes Consolidado.'!$C:$C,'Clientes Consolidado.'!R:R,0)</f>
        <v>0</v>
      </c>
      <c r="M4" s="290">
        <f>_xlfn.XLOOKUP(C4,'Clientes Consolidado.'!$C:$C,'Clientes Consolidado.'!S:S,0)</f>
        <v>0</v>
      </c>
      <c r="N4" s="290">
        <f>_xlfn.XLOOKUP(C4,'Clientes Consolidado.'!$C:$C,'Clientes Consolidado.'!T:T,0)</f>
        <v>0</v>
      </c>
      <c r="O4" s="290">
        <f>_xlfn.XLOOKUP(C4,'Clientes Consolidado.'!$C:$C,'Clientes Consolidado.'!U:U,0)</f>
        <v>0</v>
      </c>
      <c r="P4" s="290">
        <f>_xlfn.XLOOKUP(C4,'Clientes Consolidado.'!$C:$C,'Clientes Consolidado.'!V:V,0)</f>
        <v>0</v>
      </c>
      <c r="Q4" s="290">
        <f>_xlfn.XLOOKUP(C4,'Clientes Consolidado.'!$C:$C,'Clientes Consolidado.'!W:W,0)</f>
        <v>0</v>
      </c>
      <c r="R4" s="290">
        <f>_xlfn.XLOOKUP(C4,'Clientes Consolidado.'!$C:$C,'Clientes Consolidado.'!X:X,0)</f>
        <v>0</v>
      </c>
      <c r="S4" s="290">
        <f t="shared" ref="S3:S34" si="3">SUM(T4:Z4)</f>
        <v>0</v>
      </c>
      <c r="T4" s="290">
        <f>SUMIFS('Clientes Consolidado.'!I:I,'Clientes Consolidado.'!C:C,C4,'Clientes Consolidado.'!B:B,"Fertilizer")
+SUMIFS('Clientes Consolidado.'!I:I,'Clientes Consolidado.'!C:C,C4,'Clientes Consolidado.'!B:B,"Additive")
+SUMIFS('Clientes Consolidado.'!I:I,'Clientes Consolidado.'!C:C,C4,'Clientes Consolidado.'!B:B,"Additive Intl.")</f>
        <v>0</v>
      </c>
      <c r="U4" s="290">
        <f>SUMIFS('Clientes Consolidado.'!J:J,'Clientes Consolidado.'!C:C,C4,'Clientes Consolidado.'!B:B,"Fertilizer")
+SUMIFS('Clientes Consolidado.'!J:J,'Clientes Consolidado.'!C:C,C4,'Clientes Consolidado.'!B:B,"Additive")
+SUMIFS('Clientes Consolidado.'!J:J,'Clientes Consolidado.'!C:C,C4,'Clientes Consolidado.'!B:B,"Additive Intl.")</f>
        <v>0</v>
      </c>
      <c r="V4" s="290">
        <f>SUMIFS('Clientes Consolidado.'!K:K,'Clientes Consolidado.'!C:C,C4,'Clientes Consolidado.'!B:B,"Fertilizer")
+SUMIFS('Clientes Consolidado.'!K:K,'Clientes Consolidado.'!C:C,C4,'Clientes Consolidado.'!B:B,"Additive")
+SUMIFS('Clientes Consolidado.'!K:K,'Clientes Consolidado.'!C:C,C4,'Clientes Consolidado.'!B:B,"Additive Intl.")</f>
        <v>0</v>
      </c>
      <c r="W4" s="290">
        <f>SUMIFS('Clientes Consolidado.'!L:L,'Clientes Consolidado.'!C:C,C4,'Clientes Consolidado.'!B:B,"Fertilizer")
+SUMIFS('Clientes Consolidado.'!L:L,'Clientes Consolidado.'!C:C,C4,'Clientes Consolidado.'!B:B,"Additive")
+SUMIFS('Clientes Consolidado.'!L:L,'Clientes Consolidado.'!C:C,C4,'Clientes Consolidado.'!B:B,"Additive Intl.")</f>
        <v>0</v>
      </c>
      <c r="X4" s="290">
        <f>SUMIFS('Clientes Consolidado.'!M:M,'Clientes Consolidado.'!C:C,C4,'Clientes Consolidado.'!B:B,"Fertilizer")
+SUMIFS('Clientes Consolidado.'!M:M,'Clientes Consolidado.'!C:C,C4,'Clientes Consolidado.'!B:B,"Additive")
+SUMIFS('Clientes Consolidado.'!M:M,'Clientes Consolidado.'!C:C,C4,'Clientes Consolidado.'!B:B,"Additive Intl.")</f>
        <v>0</v>
      </c>
      <c r="Y4" s="290">
        <f>SUMIFS('Clientes Consolidado.'!N:N,'Clientes Consolidado.'!C:C,C4,'Clientes Consolidado.'!B:B,"Fertilizer")
+SUMIFS('Clientes Consolidado.'!N:N,'Clientes Consolidado.'!C:C,C4,'Clientes Consolidado.'!B:B,"Additive")
+SUMIFS('Clientes Consolidado.'!N:N,'Clientes Consolidado.'!C:C,C4,'Clientes Consolidado.'!B:B,"Additive Intl.")</f>
        <v>0</v>
      </c>
      <c r="Z4" s="290">
        <f>SUMIFS('Clientes Consolidado.'!O:O,'Clientes Consolidado.'!C:C,C4,'Clientes Consolidado.'!B:B,"Fertilizer")
+SUMIFS('Clientes Consolidado.'!O:O,'Clientes Consolidado.'!C:C,C4,'Clientes Consolidado.'!B:B,"Additive")
+SUMIFS('Clientes Consolidado.'!O:O,'Clientes Consolidado.'!C:C,C4,'Clientes Consolidado.'!B:B,"Additive Intl.")</f>
        <v>0</v>
      </c>
      <c r="AA4" s="290">
        <f>SUMIFS('Clientes Consolidado.'!P:P,'Clientes Consolidado.'!C:C,'Nova Versão '!C4,'Clientes Consolidado.'!B:B,"Fertilizer / Litigation")+SUMIFS('Clientes Consolidado.'!P:P,'Clientes Consolidado.'!C:C,'Nova Versão '!C4,'Clientes Consolidado.'!B:B,"Additive / Litigation")</f>
        <v>7560727.799999997</v>
      </c>
      <c r="AB4" s="288"/>
      <c r="AD4" s="290">
        <f>SUMIFS('Invoiced amount'!I:I,'Invoiced amount'!AH:AH,'Nova Versão '!C4)</f>
        <v>17640</v>
      </c>
      <c r="AE4" s="290">
        <f>SUMIFS(Buget!K:K,Buget!E:E,'Nova Versão '!C4)</f>
        <v>0</v>
      </c>
      <c r="AF4" s="264" t="str">
        <f t="shared" ref="AF4:AF67" si="4">IF(OR(AE4=0,AE4=""),"",AD4/AE4)</f>
        <v/>
      </c>
      <c r="AG4" s="290">
        <f t="shared" ref="AG4:AG67" si="5">MAX(AE4-AD4,0)</f>
        <v>0</v>
      </c>
    </row>
    <row r="5" spans="1:34" ht="13.8" customHeight="1" x14ac:dyDescent="0.25">
      <c r="A5" s="283"/>
      <c r="B5" s="288" t="str">
        <f>_xlfn.XLOOKUP(C5,'Info Clientes'!A:A,'Info Clientes'!B:B)</f>
        <v>Additive</v>
      </c>
      <c r="C5" s="234" t="s">
        <v>431</v>
      </c>
      <c r="D5" s="290">
        <f>_xlfn.XLOOKUP(C5,'Limite de crédito'!C:C,'Limite de crédito'!G:G,0)</f>
        <v>15000000</v>
      </c>
      <c r="E5" s="290">
        <f t="shared" si="0"/>
        <v>7490408.5599999996</v>
      </c>
      <c r="F5" s="290">
        <f>_xlfn.XLOOKUP('Nova Versão '!C5,'Limite de crédito'!C:C,'Limite de crédito'!O:O,0)</f>
        <v>15000000</v>
      </c>
      <c r="G5" s="291">
        <f t="shared" si="1"/>
        <v>0</v>
      </c>
      <c r="H5" s="292" t="str">
        <f>_xlfn.XLOOKUP(C5,'Info Clientes'!A:A,'Info Clientes'!C:C)</f>
        <v>Guarantee or credit</v>
      </c>
      <c r="I5" s="292" t="str">
        <f>IF(_xlfn.XLOOKUP(C5,'Info Clientes'!A:A,'Info Clientes'!D:D,"")=0,"",_xlfn.XLOOKUP(C5,'Info Clientes'!A:A,'Info Clientes'!D:D,""))</f>
        <v/>
      </c>
      <c r="K5" s="290">
        <f t="shared" si="2"/>
        <v>7473589.6399999997</v>
      </c>
      <c r="L5" s="290">
        <f>_xlfn.XLOOKUP(C5,'Clientes Consolidado.'!$C:$C,'Clientes Consolidado.'!R:R,0)</f>
        <v>746905.4</v>
      </c>
      <c r="M5" s="290">
        <f>_xlfn.XLOOKUP(C5,'Clientes Consolidado.'!$C:$C,'Clientes Consolidado.'!S:S,0)</f>
        <v>2076080.4700000002</v>
      </c>
      <c r="N5" s="290">
        <f>_xlfn.XLOOKUP(C5,'Clientes Consolidado.'!$C:$C,'Clientes Consolidado.'!T:T,0)</f>
        <v>4650603.7699999996</v>
      </c>
      <c r="O5" s="290">
        <f>_xlfn.XLOOKUP(C5,'Clientes Consolidado.'!$C:$C,'Clientes Consolidado.'!U:U,0)</f>
        <v>0</v>
      </c>
      <c r="P5" s="290">
        <f>_xlfn.XLOOKUP(C5,'Clientes Consolidado.'!$C:$C,'Clientes Consolidado.'!V:V,0)</f>
        <v>0</v>
      </c>
      <c r="Q5" s="290">
        <f>_xlfn.XLOOKUP(C5,'Clientes Consolidado.'!$C:$C,'Clientes Consolidado.'!W:W,0)</f>
        <v>0</v>
      </c>
      <c r="R5" s="290">
        <f>_xlfn.XLOOKUP(C5,'Clientes Consolidado.'!$C:$C,'Clientes Consolidado.'!X:X,0)</f>
        <v>0</v>
      </c>
      <c r="S5" s="290">
        <f t="shared" si="3"/>
        <v>16818.920000000002</v>
      </c>
      <c r="T5" s="290">
        <f>SUMIFS('Clientes Consolidado.'!I:I,'Clientes Consolidado.'!C:C,C5,'Clientes Consolidado.'!B:B,"Fertilizer")
+SUMIFS('Clientes Consolidado.'!I:I,'Clientes Consolidado.'!C:C,C5,'Clientes Consolidado.'!B:B,"Additive")
+SUMIFS('Clientes Consolidado.'!I:I,'Clientes Consolidado.'!C:C,C5,'Clientes Consolidado.'!B:B,"Additive Intl.")</f>
        <v>0</v>
      </c>
      <c r="U5" s="290">
        <f>SUMIFS('Clientes Consolidado.'!J:J,'Clientes Consolidado.'!C:C,C5,'Clientes Consolidado.'!B:B,"Fertilizer")
+SUMIFS('Clientes Consolidado.'!J:J,'Clientes Consolidado.'!C:C,C5,'Clientes Consolidado.'!B:B,"Additive")
+SUMIFS('Clientes Consolidado.'!J:J,'Clientes Consolidado.'!C:C,C5,'Clientes Consolidado.'!B:B,"Additive Intl.")</f>
        <v>0</v>
      </c>
      <c r="V5" s="290">
        <f>SUMIFS('Clientes Consolidado.'!K:K,'Clientes Consolidado.'!C:C,C5,'Clientes Consolidado.'!B:B,"Fertilizer")
+SUMIFS('Clientes Consolidado.'!K:K,'Clientes Consolidado.'!C:C,C5,'Clientes Consolidado.'!B:B,"Additive")
+SUMIFS('Clientes Consolidado.'!K:K,'Clientes Consolidado.'!C:C,C5,'Clientes Consolidado.'!B:B,"Additive Intl.")</f>
        <v>0</v>
      </c>
      <c r="W5" s="290">
        <f>SUMIFS('Clientes Consolidado.'!L:L,'Clientes Consolidado.'!C:C,C5,'Clientes Consolidado.'!B:B,"Fertilizer")
+SUMIFS('Clientes Consolidado.'!L:L,'Clientes Consolidado.'!C:C,C5,'Clientes Consolidado.'!B:B,"Additive")
+SUMIFS('Clientes Consolidado.'!L:L,'Clientes Consolidado.'!C:C,C5,'Clientes Consolidado.'!B:B,"Additive Intl.")</f>
        <v>0</v>
      </c>
      <c r="X5" s="290">
        <f>SUMIFS('Clientes Consolidado.'!M:M,'Clientes Consolidado.'!C:C,C5,'Clientes Consolidado.'!B:B,"Fertilizer")
+SUMIFS('Clientes Consolidado.'!M:M,'Clientes Consolidado.'!C:C,C5,'Clientes Consolidado.'!B:B,"Additive")
+SUMIFS('Clientes Consolidado.'!M:M,'Clientes Consolidado.'!C:C,C5,'Clientes Consolidado.'!B:B,"Additive Intl.")</f>
        <v>0</v>
      </c>
      <c r="Y5" s="290">
        <f>SUMIFS('Clientes Consolidado.'!N:N,'Clientes Consolidado.'!C:C,C5,'Clientes Consolidado.'!B:B,"Fertilizer")
+SUMIFS('Clientes Consolidado.'!N:N,'Clientes Consolidado.'!C:C,C5,'Clientes Consolidado.'!B:B,"Additive")
+SUMIFS('Clientes Consolidado.'!N:N,'Clientes Consolidado.'!C:C,C5,'Clientes Consolidado.'!B:B,"Additive Intl.")</f>
        <v>64.2</v>
      </c>
      <c r="Z5" s="290">
        <f>SUMIFS('Clientes Consolidado.'!O:O,'Clientes Consolidado.'!C:C,C5,'Clientes Consolidado.'!B:B,"Fertilizer")
+SUMIFS('Clientes Consolidado.'!O:O,'Clientes Consolidado.'!C:C,C5,'Clientes Consolidado.'!B:B,"Additive")
+SUMIFS('Clientes Consolidado.'!O:O,'Clientes Consolidado.'!C:C,C5,'Clientes Consolidado.'!B:B,"Additive Intl.")</f>
        <v>16754.72</v>
      </c>
      <c r="AA5" s="290">
        <f>SUMIFS('Clientes Consolidado.'!P:P,'Clientes Consolidado.'!C:C,'Nova Versão '!C5,'Clientes Consolidado.'!B:B,"Fertilizer / Litigation")+SUMIFS('Clientes Consolidado.'!P:P,'Clientes Consolidado.'!C:C,'Nova Versão '!C5,'Clientes Consolidado.'!B:B,"Additive / Litigation")</f>
        <v>0</v>
      </c>
      <c r="AB5" s="288"/>
      <c r="AD5" s="290">
        <f>SUMIFS('Invoiced amount'!I:I,'Invoiced amount'!AH:AH,'Nova Versão '!C5)</f>
        <v>12642848.35</v>
      </c>
      <c r="AE5" s="290">
        <f>SUMIFS(Buget!K:K,Buget!E:E,'Nova Versão '!C5)</f>
        <v>38799848.979704499</v>
      </c>
      <c r="AF5" s="264">
        <f t="shared" si="4"/>
        <v>0.32584787524851566</v>
      </c>
      <c r="AG5" s="290">
        <f t="shared" si="5"/>
        <v>26157000.629704498</v>
      </c>
    </row>
    <row r="6" spans="1:34" ht="13.8" customHeight="1" x14ac:dyDescent="0.25">
      <c r="A6" s="283"/>
      <c r="B6" s="288" t="str">
        <f>_xlfn.XLOOKUP(C6,'Info Clientes'!A:A,'Info Clientes'!B:B)</f>
        <v>Additive</v>
      </c>
      <c r="C6" s="234" t="s">
        <v>359</v>
      </c>
      <c r="D6" s="290">
        <f>_xlfn.XLOOKUP(C6,'Limite de crédito'!C:C,'Limite de crédito'!G:G,0)</f>
        <v>6000000</v>
      </c>
      <c r="E6" s="290">
        <f t="shared" si="0"/>
        <v>4784149.9800000004</v>
      </c>
      <c r="F6" s="290">
        <f>_xlfn.XLOOKUP('Nova Versão '!C6,'Limite de crédito'!C:C,'Limite de crédito'!O:O,0)</f>
        <v>6000000</v>
      </c>
      <c r="G6" s="291">
        <f t="shared" si="1"/>
        <v>0</v>
      </c>
      <c r="H6" s="292" t="str">
        <f>_xlfn.XLOOKUP(C6,'Info Clientes'!A:A,'Info Clientes'!C:C)</f>
        <v>Guarantee or credit</v>
      </c>
      <c r="I6" s="292" t="str">
        <f>IF(_xlfn.XLOOKUP(C6,'Info Clientes'!A:A,'Info Clientes'!D:D,"")=0,"",_xlfn.XLOOKUP(C6,'Info Clientes'!A:A,'Info Clientes'!D:D,""))</f>
        <v/>
      </c>
      <c r="K6" s="290">
        <f t="shared" si="2"/>
        <v>4778523.66</v>
      </c>
      <c r="L6" s="290">
        <f>_xlfn.XLOOKUP(C6,'Clientes Consolidado.'!$C:$C,'Clientes Consolidado.'!R:R,0)</f>
        <v>3419201.11</v>
      </c>
      <c r="M6" s="290">
        <f>_xlfn.XLOOKUP(C6,'Clientes Consolidado.'!$C:$C,'Clientes Consolidado.'!S:S,0)</f>
        <v>1359322.5500000003</v>
      </c>
      <c r="N6" s="290">
        <f>_xlfn.XLOOKUP(C6,'Clientes Consolidado.'!$C:$C,'Clientes Consolidado.'!T:T,0)</f>
        <v>0</v>
      </c>
      <c r="O6" s="290">
        <f>_xlfn.XLOOKUP(C6,'Clientes Consolidado.'!$C:$C,'Clientes Consolidado.'!U:U,0)</f>
        <v>0</v>
      </c>
      <c r="P6" s="290">
        <f>_xlfn.XLOOKUP(C6,'Clientes Consolidado.'!$C:$C,'Clientes Consolidado.'!V:V,0)</f>
        <v>0</v>
      </c>
      <c r="Q6" s="290">
        <f>_xlfn.XLOOKUP(C6,'Clientes Consolidado.'!$C:$C,'Clientes Consolidado.'!W:W,0)</f>
        <v>0</v>
      </c>
      <c r="R6" s="290">
        <f>_xlfn.XLOOKUP(C6,'Clientes Consolidado.'!$C:$C,'Clientes Consolidado.'!X:X,0)</f>
        <v>0</v>
      </c>
      <c r="S6" s="290">
        <f t="shared" si="3"/>
        <v>5626.32</v>
      </c>
      <c r="T6" s="290">
        <f>SUMIFS('Clientes Consolidado.'!I:I,'Clientes Consolidado.'!C:C,C6,'Clientes Consolidado.'!B:B,"Fertilizer")
+SUMIFS('Clientes Consolidado.'!I:I,'Clientes Consolidado.'!C:C,C6,'Clientes Consolidado.'!B:B,"Additive")
+SUMIFS('Clientes Consolidado.'!I:I,'Clientes Consolidado.'!C:C,C6,'Clientes Consolidado.'!B:B,"Additive Intl.")</f>
        <v>0</v>
      </c>
      <c r="U6" s="290">
        <f>SUMIFS('Clientes Consolidado.'!J:J,'Clientes Consolidado.'!C:C,C6,'Clientes Consolidado.'!B:B,"Fertilizer")
+SUMIFS('Clientes Consolidado.'!J:J,'Clientes Consolidado.'!C:C,C6,'Clientes Consolidado.'!B:B,"Additive")
+SUMIFS('Clientes Consolidado.'!J:J,'Clientes Consolidado.'!C:C,C6,'Clientes Consolidado.'!B:B,"Additive Intl.")</f>
        <v>0</v>
      </c>
      <c r="V6" s="290">
        <f>SUMIFS('Clientes Consolidado.'!K:K,'Clientes Consolidado.'!C:C,C6,'Clientes Consolidado.'!B:B,"Fertilizer")
+SUMIFS('Clientes Consolidado.'!K:K,'Clientes Consolidado.'!C:C,C6,'Clientes Consolidado.'!B:B,"Additive")
+SUMIFS('Clientes Consolidado.'!K:K,'Clientes Consolidado.'!C:C,C6,'Clientes Consolidado.'!B:B,"Additive Intl.")</f>
        <v>0</v>
      </c>
      <c r="W6" s="290">
        <f>SUMIFS('Clientes Consolidado.'!L:L,'Clientes Consolidado.'!C:C,C6,'Clientes Consolidado.'!B:B,"Fertilizer")
+SUMIFS('Clientes Consolidado.'!L:L,'Clientes Consolidado.'!C:C,C6,'Clientes Consolidado.'!B:B,"Additive")
+SUMIFS('Clientes Consolidado.'!L:L,'Clientes Consolidado.'!C:C,C6,'Clientes Consolidado.'!B:B,"Additive Intl.")</f>
        <v>0</v>
      </c>
      <c r="X6" s="290">
        <f>SUMIFS('Clientes Consolidado.'!M:M,'Clientes Consolidado.'!C:C,C6,'Clientes Consolidado.'!B:B,"Fertilizer")
+SUMIFS('Clientes Consolidado.'!M:M,'Clientes Consolidado.'!C:C,C6,'Clientes Consolidado.'!B:B,"Additive")
+SUMIFS('Clientes Consolidado.'!M:M,'Clientes Consolidado.'!C:C,C6,'Clientes Consolidado.'!B:B,"Additive Intl.")</f>
        <v>0</v>
      </c>
      <c r="Y6" s="290">
        <f>SUMIFS('Clientes Consolidado.'!N:N,'Clientes Consolidado.'!C:C,C6,'Clientes Consolidado.'!B:B,"Fertilizer")
+SUMIFS('Clientes Consolidado.'!N:N,'Clientes Consolidado.'!C:C,C6,'Clientes Consolidado.'!B:B,"Additive")
+SUMIFS('Clientes Consolidado.'!N:N,'Clientes Consolidado.'!C:C,C6,'Clientes Consolidado.'!B:B,"Additive Intl.")</f>
        <v>0</v>
      </c>
      <c r="Z6" s="290">
        <f>SUMIFS('Clientes Consolidado.'!O:O,'Clientes Consolidado.'!C:C,C6,'Clientes Consolidado.'!B:B,"Fertilizer")
+SUMIFS('Clientes Consolidado.'!O:O,'Clientes Consolidado.'!C:C,C6,'Clientes Consolidado.'!B:B,"Additive")
+SUMIFS('Clientes Consolidado.'!O:O,'Clientes Consolidado.'!C:C,C6,'Clientes Consolidado.'!B:B,"Additive Intl.")</f>
        <v>5626.32</v>
      </c>
      <c r="AA6" s="290">
        <f>SUMIFS('Clientes Consolidado.'!P:P,'Clientes Consolidado.'!C:C,'Nova Versão '!C6,'Clientes Consolidado.'!B:B,"Fertilizer / Litigation")+SUMIFS('Clientes Consolidado.'!P:P,'Clientes Consolidado.'!C:C,'Nova Versão '!C6,'Clientes Consolidado.'!B:B,"Additive / Litigation")</f>
        <v>0</v>
      </c>
      <c r="AB6" s="288"/>
      <c r="AD6" s="290">
        <f>SUMIFS('Invoiced amount'!I:I,'Invoiced amount'!AH:AH,'Nova Versão '!C6)</f>
        <v>17271600.440000001</v>
      </c>
      <c r="AE6" s="290">
        <f>SUMIFS(Buget!K:K,Buget!E:E,'Nova Versão '!C6)</f>
        <v>32129999.999999996</v>
      </c>
      <c r="AF6" s="264">
        <f t="shared" si="4"/>
        <v>0.53755370183629014</v>
      </c>
      <c r="AG6" s="290">
        <f t="shared" si="5"/>
        <v>14858399.559999995</v>
      </c>
    </row>
    <row r="7" spans="1:34" ht="13.8" customHeight="1" x14ac:dyDescent="0.25">
      <c r="A7" s="283"/>
      <c r="B7" s="288" t="str">
        <f>_xlfn.XLOOKUP(C7,'Info Clientes'!A:A,'Info Clientes'!B:B)</f>
        <v>Additive Intl.</v>
      </c>
      <c r="C7" s="96" t="s">
        <v>302</v>
      </c>
      <c r="D7" s="290">
        <f>_xlfn.XLOOKUP(C7,'Limite de crédito'!C:C,'Limite de crédito'!G:G,0)</f>
        <v>5000000</v>
      </c>
      <c r="E7" s="290">
        <f t="shared" si="0"/>
        <v>3774575.4000000004</v>
      </c>
      <c r="F7" s="290">
        <f>_xlfn.XLOOKUP('Nova Versão '!C7,'Limite de crédito'!C:C,'Limite de crédito'!O:O,0)</f>
        <v>0</v>
      </c>
      <c r="G7" s="291">
        <f t="shared" si="1"/>
        <v>3774575.4000000004</v>
      </c>
      <c r="H7" s="292" t="str">
        <f>_xlfn.XLOOKUP(C7,'Info Clientes'!A:A,'Info Clientes'!C:C)</f>
        <v>Approved in credit committee</v>
      </c>
      <c r="I7" s="292" t="str">
        <f>IF(_xlfn.XLOOKUP(C7,'Info Clientes'!A:A,'Info Clientes'!D:D,"")=0,"",_xlfn.XLOOKUP(C7,'Info Clientes'!A:A,'Info Clientes'!D:D,""))</f>
        <v>We are finalizing a letter of comfort with the client, signed by the Nitron group.</v>
      </c>
      <c r="K7" s="290">
        <f t="shared" si="2"/>
        <v>3774575.4000000004</v>
      </c>
      <c r="L7" s="290">
        <f>_xlfn.XLOOKUP(C7,'Clientes Consolidado.'!$C:$C,'Clientes Consolidado.'!R:R,0)</f>
        <v>0</v>
      </c>
      <c r="M7" s="290">
        <f>_xlfn.XLOOKUP(C7,'Clientes Consolidado.'!$C:$C,'Clientes Consolidado.'!S:S,0)</f>
        <v>668371.59000000008</v>
      </c>
      <c r="N7" s="290">
        <f>_xlfn.XLOOKUP(C7,'Clientes Consolidado.'!$C:$C,'Clientes Consolidado.'!T:T,0)</f>
        <v>3106203.81</v>
      </c>
      <c r="O7" s="290">
        <f>_xlfn.XLOOKUP(C7,'Clientes Consolidado.'!$C:$C,'Clientes Consolidado.'!U:U,0)</f>
        <v>0</v>
      </c>
      <c r="P7" s="290">
        <f>_xlfn.XLOOKUP(C7,'Clientes Consolidado.'!$C:$C,'Clientes Consolidado.'!V:V,0)</f>
        <v>0</v>
      </c>
      <c r="Q7" s="290">
        <f>_xlfn.XLOOKUP(C7,'Clientes Consolidado.'!$C:$C,'Clientes Consolidado.'!W:W,0)</f>
        <v>0</v>
      </c>
      <c r="R7" s="290">
        <f>_xlfn.XLOOKUP(C7,'Clientes Consolidado.'!$C:$C,'Clientes Consolidado.'!X:X,0)</f>
        <v>0</v>
      </c>
      <c r="S7" s="290">
        <f t="shared" si="3"/>
        <v>0</v>
      </c>
      <c r="T7" s="290">
        <f>SUMIFS('Clientes Consolidado.'!I:I,'Clientes Consolidado.'!C:C,C7,'Clientes Consolidado.'!B:B,"Fertilizer")
+SUMIFS('Clientes Consolidado.'!I:I,'Clientes Consolidado.'!C:C,C7,'Clientes Consolidado.'!B:B,"Additive")
+SUMIFS('Clientes Consolidado.'!I:I,'Clientes Consolidado.'!C:C,C7,'Clientes Consolidado.'!B:B,"Additive Intl.")</f>
        <v>0</v>
      </c>
      <c r="U7" s="290">
        <f>SUMIFS('Clientes Consolidado.'!J:J,'Clientes Consolidado.'!C:C,C7,'Clientes Consolidado.'!B:B,"Fertilizer")
+SUMIFS('Clientes Consolidado.'!J:J,'Clientes Consolidado.'!C:C,C7,'Clientes Consolidado.'!B:B,"Additive")
+SUMIFS('Clientes Consolidado.'!J:J,'Clientes Consolidado.'!C:C,C7,'Clientes Consolidado.'!B:B,"Additive Intl.")</f>
        <v>0</v>
      </c>
      <c r="V7" s="290">
        <f>SUMIFS('Clientes Consolidado.'!K:K,'Clientes Consolidado.'!C:C,C7,'Clientes Consolidado.'!B:B,"Fertilizer")
+SUMIFS('Clientes Consolidado.'!K:K,'Clientes Consolidado.'!C:C,C7,'Clientes Consolidado.'!B:B,"Additive")
+SUMIFS('Clientes Consolidado.'!K:K,'Clientes Consolidado.'!C:C,C7,'Clientes Consolidado.'!B:B,"Additive Intl.")</f>
        <v>0</v>
      </c>
      <c r="W7" s="290">
        <f>SUMIFS('Clientes Consolidado.'!L:L,'Clientes Consolidado.'!C:C,C7,'Clientes Consolidado.'!B:B,"Fertilizer")
+SUMIFS('Clientes Consolidado.'!L:L,'Clientes Consolidado.'!C:C,C7,'Clientes Consolidado.'!B:B,"Additive")
+SUMIFS('Clientes Consolidado.'!L:L,'Clientes Consolidado.'!C:C,C7,'Clientes Consolidado.'!B:B,"Additive Intl.")</f>
        <v>0</v>
      </c>
      <c r="X7" s="290">
        <f>SUMIFS('Clientes Consolidado.'!M:M,'Clientes Consolidado.'!C:C,C7,'Clientes Consolidado.'!B:B,"Fertilizer")
+SUMIFS('Clientes Consolidado.'!M:M,'Clientes Consolidado.'!C:C,C7,'Clientes Consolidado.'!B:B,"Additive")
+SUMIFS('Clientes Consolidado.'!M:M,'Clientes Consolidado.'!C:C,C7,'Clientes Consolidado.'!B:B,"Additive Intl.")</f>
        <v>0</v>
      </c>
      <c r="Y7" s="290">
        <f>SUMIFS('Clientes Consolidado.'!N:N,'Clientes Consolidado.'!C:C,C7,'Clientes Consolidado.'!B:B,"Fertilizer")
+SUMIFS('Clientes Consolidado.'!N:N,'Clientes Consolidado.'!C:C,C7,'Clientes Consolidado.'!B:B,"Additive")
+SUMIFS('Clientes Consolidado.'!N:N,'Clientes Consolidado.'!C:C,C7,'Clientes Consolidado.'!B:B,"Additive Intl.")</f>
        <v>0</v>
      </c>
      <c r="Z7" s="290">
        <f>SUMIFS('Clientes Consolidado.'!O:O,'Clientes Consolidado.'!C:C,C7,'Clientes Consolidado.'!B:B,"Fertilizer")
+SUMIFS('Clientes Consolidado.'!O:O,'Clientes Consolidado.'!C:C,C7,'Clientes Consolidado.'!B:B,"Additive")
+SUMIFS('Clientes Consolidado.'!O:O,'Clientes Consolidado.'!C:C,C7,'Clientes Consolidado.'!B:B,"Additive Intl.")</f>
        <v>0</v>
      </c>
      <c r="AA7" s="290">
        <f>SUMIFS('Clientes Consolidado.'!P:P,'Clientes Consolidado.'!C:C,'Nova Versão '!C7,'Clientes Consolidado.'!B:B,"Fertilizer / Litigation")+SUMIFS('Clientes Consolidado.'!P:P,'Clientes Consolidado.'!C:C,'Nova Versão '!C7,'Clientes Consolidado.'!B:B,"Additive / Litigation")</f>
        <v>0</v>
      </c>
      <c r="AB7" s="288"/>
      <c r="AD7" s="290">
        <f>SUMIFS('Invoiced amount'!I:I,'Invoiced amount'!AH:AH,'Nova Versão '!C7)</f>
        <v>7728141.120000001</v>
      </c>
      <c r="AE7" s="290">
        <f>SUMIFS(Buget!K:K,Buget!E:E,'Nova Versão '!C7)</f>
        <v>7055332.6435517315</v>
      </c>
      <c r="AF7" s="264">
        <f t="shared" si="4"/>
        <v>1.0953616945422393</v>
      </c>
      <c r="AG7" s="290">
        <f t="shared" si="5"/>
        <v>0</v>
      </c>
    </row>
    <row r="8" spans="1:34" ht="13.8" customHeight="1" x14ac:dyDescent="0.25">
      <c r="A8" s="283"/>
      <c r="B8" s="288" t="str">
        <f>_xlfn.XLOOKUP(C8,'Info Clientes'!A:A,'Info Clientes'!B:B)</f>
        <v>Fertilizer / Litigation</v>
      </c>
      <c r="C8" s="234" t="s">
        <v>368</v>
      </c>
      <c r="D8" s="290">
        <f>_xlfn.XLOOKUP(C8,'Limite de crédito'!C:C,'Limite de crédito'!G:G,0)</f>
        <v>0</v>
      </c>
      <c r="E8" s="290">
        <f t="shared" si="0"/>
        <v>3088531.0700000008</v>
      </c>
      <c r="F8" s="290">
        <f>_xlfn.XLOOKUP('Nova Versão '!C8,'Limite de crédito'!C:C,'Limite de crédito'!O:O,0)</f>
        <v>0</v>
      </c>
      <c r="G8" s="291">
        <f t="shared" si="1"/>
        <v>3088531.0700000008</v>
      </c>
      <c r="H8" s="292" t="str">
        <f>_xlfn.XLOOKUP(C8,'Info Clientes'!A:A,'Info Clientes'!C:C)</f>
        <v>Litigation</v>
      </c>
      <c r="I8" s="292" t="str">
        <f>IF(_xlfn.XLOOKUP(C8,'Info Clientes'!A:A,'Info Clientes'!D:D,"")=0,"",_xlfn.XLOOKUP(C8,'Info Clientes'!A:A,'Info Clientes'!D:D,""))</f>
        <v/>
      </c>
      <c r="K8" s="290">
        <f t="shared" si="2"/>
        <v>0</v>
      </c>
      <c r="L8" s="290">
        <f>_xlfn.XLOOKUP(C8,'Clientes Consolidado.'!$C:$C,'Clientes Consolidado.'!R:R,0)</f>
        <v>0</v>
      </c>
      <c r="M8" s="290">
        <f>_xlfn.XLOOKUP(C8,'Clientes Consolidado.'!$C:$C,'Clientes Consolidado.'!S:S,0)</f>
        <v>0</v>
      </c>
      <c r="N8" s="290">
        <f>_xlfn.XLOOKUP(C8,'Clientes Consolidado.'!$C:$C,'Clientes Consolidado.'!T:T,0)</f>
        <v>0</v>
      </c>
      <c r="O8" s="290">
        <f>_xlfn.XLOOKUP(C8,'Clientes Consolidado.'!$C:$C,'Clientes Consolidado.'!U:U,0)</f>
        <v>0</v>
      </c>
      <c r="P8" s="290">
        <f>_xlfn.XLOOKUP(C8,'Clientes Consolidado.'!$C:$C,'Clientes Consolidado.'!V:V,0)</f>
        <v>0</v>
      </c>
      <c r="Q8" s="290">
        <f>_xlfn.XLOOKUP(C8,'Clientes Consolidado.'!$C:$C,'Clientes Consolidado.'!W:W,0)</f>
        <v>0</v>
      </c>
      <c r="R8" s="290">
        <f>_xlfn.XLOOKUP(C8,'Clientes Consolidado.'!$C:$C,'Clientes Consolidado.'!X:X,0)</f>
        <v>0</v>
      </c>
      <c r="S8" s="290">
        <f t="shared" si="3"/>
        <v>0</v>
      </c>
      <c r="T8" s="290">
        <f>SUMIFS('Clientes Consolidado.'!I:I,'Clientes Consolidado.'!C:C,C8,'Clientes Consolidado.'!B:B,"Fertilizer")
+SUMIFS('Clientes Consolidado.'!I:I,'Clientes Consolidado.'!C:C,C8,'Clientes Consolidado.'!B:B,"Additive")
+SUMIFS('Clientes Consolidado.'!I:I,'Clientes Consolidado.'!C:C,C8,'Clientes Consolidado.'!B:B,"Additive Intl.")</f>
        <v>0</v>
      </c>
      <c r="U8" s="290">
        <f>SUMIFS('Clientes Consolidado.'!J:J,'Clientes Consolidado.'!C:C,C8,'Clientes Consolidado.'!B:B,"Fertilizer")
+SUMIFS('Clientes Consolidado.'!J:J,'Clientes Consolidado.'!C:C,C8,'Clientes Consolidado.'!B:B,"Additive")
+SUMIFS('Clientes Consolidado.'!J:J,'Clientes Consolidado.'!C:C,C8,'Clientes Consolidado.'!B:B,"Additive Intl.")</f>
        <v>0</v>
      </c>
      <c r="V8" s="290">
        <f>SUMIFS('Clientes Consolidado.'!K:K,'Clientes Consolidado.'!C:C,C8,'Clientes Consolidado.'!B:B,"Fertilizer")
+SUMIFS('Clientes Consolidado.'!K:K,'Clientes Consolidado.'!C:C,C8,'Clientes Consolidado.'!B:B,"Additive")
+SUMIFS('Clientes Consolidado.'!K:K,'Clientes Consolidado.'!C:C,C8,'Clientes Consolidado.'!B:B,"Additive Intl.")</f>
        <v>0</v>
      </c>
      <c r="W8" s="290">
        <f>SUMIFS('Clientes Consolidado.'!L:L,'Clientes Consolidado.'!C:C,C8,'Clientes Consolidado.'!B:B,"Fertilizer")
+SUMIFS('Clientes Consolidado.'!L:L,'Clientes Consolidado.'!C:C,C8,'Clientes Consolidado.'!B:B,"Additive")
+SUMIFS('Clientes Consolidado.'!L:L,'Clientes Consolidado.'!C:C,C8,'Clientes Consolidado.'!B:B,"Additive Intl.")</f>
        <v>0</v>
      </c>
      <c r="X8" s="290">
        <f>SUMIFS('Clientes Consolidado.'!M:M,'Clientes Consolidado.'!C:C,C8,'Clientes Consolidado.'!B:B,"Fertilizer")
+SUMIFS('Clientes Consolidado.'!M:M,'Clientes Consolidado.'!C:C,C8,'Clientes Consolidado.'!B:B,"Additive")
+SUMIFS('Clientes Consolidado.'!M:M,'Clientes Consolidado.'!C:C,C8,'Clientes Consolidado.'!B:B,"Additive Intl.")</f>
        <v>0</v>
      </c>
      <c r="Y8" s="290">
        <f>SUMIFS('Clientes Consolidado.'!N:N,'Clientes Consolidado.'!C:C,C8,'Clientes Consolidado.'!B:B,"Fertilizer")
+SUMIFS('Clientes Consolidado.'!N:N,'Clientes Consolidado.'!C:C,C8,'Clientes Consolidado.'!B:B,"Additive")
+SUMIFS('Clientes Consolidado.'!N:N,'Clientes Consolidado.'!C:C,C8,'Clientes Consolidado.'!B:B,"Additive Intl.")</f>
        <v>0</v>
      </c>
      <c r="Z8" s="290">
        <f>SUMIFS('Clientes Consolidado.'!O:O,'Clientes Consolidado.'!C:C,C8,'Clientes Consolidado.'!B:B,"Fertilizer")
+SUMIFS('Clientes Consolidado.'!O:O,'Clientes Consolidado.'!C:C,C8,'Clientes Consolidado.'!B:B,"Additive")
+SUMIFS('Clientes Consolidado.'!O:O,'Clientes Consolidado.'!C:C,C8,'Clientes Consolidado.'!B:B,"Additive Intl.")</f>
        <v>0</v>
      </c>
      <c r="AA8" s="290">
        <f>SUMIFS('Clientes Consolidado.'!P:P,'Clientes Consolidado.'!C:C,'Nova Versão '!C8,'Clientes Consolidado.'!B:B,"Fertilizer / Litigation")+SUMIFS('Clientes Consolidado.'!P:P,'Clientes Consolidado.'!C:C,'Nova Versão '!C8,'Clientes Consolidado.'!B:B,"Additive / Litigation")</f>
        <v>3088531.0700000008</v>
      </c>
      <c r="AB8" s="288"/>
      <c r="AD8" s="290">
        <f>SUMIFS('Invoiced amount'!I:I,'Invoiced amount'!AH:AH,'Nova Versão '!C8)</f>
        <v>0</v>
      </c>
      <c r="AE8" s="290">
        <f>SUMIFS(Buget!K:K,Buget!E:E,'Nova Versão '!C8)</f>
        <v>0</v>
      </c>
      <c r="AF8" s="264" t="str">
        <f t="shared" si="4"/>
        <v/>
      </c>
      <c r="AG8" s="290">
        <f t="shared" si="5"/>
        <v>0</v>
      </c>
    </row>
    <row r="9" spans="1:34" ht="13.8" customHeight="1" x14ac:dyDescent="0.25">
      <c r="A9" s="283"/>
      <c r="B9" s="288" t="str">
        <f>_xlfn.XLOOKUP(C9,'Info Clientes'!A:A,'Info Clientes'!B:B)</f>
        <v>Fertilizer / Litigation</v>
      </c>
      <c r="C9" s="96" t="s">
        <v>192</v>
      </c>
      <c r="D9" s="290">
        <f>_xlfn.XLOOKUP(C9,'Limite de crédito'!C:C,'Limite de crédito'!G:G,0)</f>
        <v>0</v>
      </c>
      <c r="E9" s="290">
        <f t="shared" si="0"/>
        <v>3044850.9199999995</v>
      </c>
      <c r="F9" s="290">
        <f>_xlfn.XLOOKUP('Nova Versão '!C9,'Limite de crédito'!C:C,'Limite de crédito'!O:O,0)</f>
        <v>0</v>
      </c>
      <c r="G9" s="291">
        <f t="shared" si="1"/>
        <v>3044850.9199999995</v>
      </c>
      <c r="H9" s="292" t="str">
        <f>_xlfn.XLOOKUP(C9,'Info Clientes'!A:A,'Info Clientes'!C:C)</f>
        <v>Litigation</v>
      </c>
      <c r="I9" s="292" t="str">
        <f>IF(_xlfn.XLOOKUP(C9,'Info Clientes'!A:A,'Info Clientes'!D:D,"")=0,"",_xlfn.XLOOKUP(C9,'Info Clientes'!A:A,'Info Clientes'!D:D,""))</f>
        <v/>
      </c>
      <c r="K9" s="290">
        <f t="shared" si="2"/>
        <v>0</v>
      </c>
      <c r="L9" s="290">
        <f>_xlfn.XLOOKUP(C9,'Clientes Consolidado.'!$C:$C,'Clientes Consolidado.'!R:R,0)</f>
        <v>0</v>
      </c>
      <c r="M9" s="290">
        <f>_xlfn.XLOOKUP(C9,'Clientes Consolidado.'!$C:$C,'Clientes Consolidado.'!S:S,0)</f>
        <v>0</v>
      </c>
      <c r="N9" s="290">
        <f>_xlfn.XLOOKUP(C9,'Clientes Consolidado.'!$C:$C,'Clientes Consolidado.'!T:T,0)</f>
        <v>0</v>
      </c>
      <c r="O9" s="290">
        <f>_xlfn.XLOOKUP(C9,'Clientes Consolidado.'!$C:$C,'Clientes Consolidado.'!U:U,0)</f>
        <v>0</v>
      </c>
      <c r="P9" s="290">
        <f>_xlfn.XLOOKUP(C9,'Clientes Consolidado.'!$C:$C,'Clientes Consolidado.'!V:V,0)</f>
        <v>0</v>
      </c>
      <c r="Q9" s="290">
        <f>_xlfn.XLOOKUP(C9,'Clientes Consolidado.'!$C:$C,'Clientes Consolidado.'!W:W,0)</f>
        <v>0</v>
      </c>
      <c r="R9" s="290">
        <f>_xlfn.XLOOKUP(C9,'Clientes Consolidado.'!$C:$C,'Clientes Consolidado.'!X:X,0)</f>
        <v>0</v>
      </c>
      <c r="S9" s="290">
        <f t="shared" si="3"/>
        <v>0</v>
      </c>
      <c r="T9" s="290">
        <f>SUMIFS('Clientes Consolidado.'!I:I,'Clientes Consolidado.'!C:C,C9,'Clientes Consolidado.'!B:B,"Fertilizer")
+SUMIFS('Clientes Consolidado.'!I:I,'Clientes Consolidado.'!C:C,C9,'Clientes Consolidado.'!B:B,"Additive")
+SUMIFS('Clientes Consolidado.'!I:I,'Clientes Consolidado.'!C:C,C9,'Clientes Consolidado.'!B:B,"Additive Intl.")</f>
        <v>0</v>
      </c>
      <c r="U9" s="290">
        <f>SUMIFS('Clientes Consolidado.'!J:J,'Clientes Consolidado.'!C:C,C9,'Clientes Consolidado.'!B:B,"Fertilizer")
+SUMIFS('Clientes Consolidado.'!J:J,'Clientes Consolidado.'!C:C,C9,'Clientes Consolidado.'!B:B,"Additive")
+SUMIFS('Clientes Consolidado.'!J:J,'Clientes Consolidado.'!C:C,C9,'Clientes Consolidado.'!B:B,"Additive Intl.")</f>
        <v>0</v>
      </c>
      <c r="V9" s="290">
        <f>SUMIFS('Clientes Consolidado.'!K:K,'Clientes Consolidado.'!C:C,C9,'Clientes Consolidado.'!B:B,"Fertilizer")
+SUMIFS('Clientes Consolidado.'!K:K,'Clientes Consolidado.'!C:C,C9,'Clientes Consolidado.'!B:B,"Additive")
+SUMIFS('Clientes Consolidado.'!K:K,'Clientes Consolidado.'!C:C,C9,'Clientes Consolidado.'!B:B,"Additive Intl.")</f>
        <v>0</v>
      </c>
      <c r="W9" s="290">
        <f>SUMIFS('Clientes Consolidado.'!L:L,'Clientes Consolidado.'!C:C,C9,'Clientes Consolidado.'!B:B,"Fertilizer")
+SUMIFS('Clientes Consolidado.'!L:L,'Clientes Consolidado.'!C:C,C9,'Clientes Consolidado.'!B:B,"Additive")
+SUMIFS('Clientes Consolidado.'!L:L,'Clientes Consolidado.'!C:C,C9,'Clientes Consolidado.'!B:B,"Additive Intl.")</f>
        <v>0</v>
      </c>
      <c r="X9" s="290">
        <f>SUMIFS('Clientes Consolidado.'!M:M,'Clientes Consolidado.'!C:C,C9,'Clientes Consolidado.'!B:B,"Fertilizer")
+SUMIFS('Clientes Consolidado.'!M:M,'Clientes Consolidado.'!C:C,C9,'Clientes Consolidado.'!B:B,"Additive")
+SUMIFS('Clientes Consolidado.'!M:M,'Clientes Consolidado.'!C:C,C9,'Clientes Consolidado.'!B:B,"Additive Intl.")</f>
        <v>0</v>
      </c>
      <c r="Y9" s="290">
        <f>SUMIFS('Clientes Consolidado.'!N:N,'Clientes Consolidado.'!C:C,C9,'Clientes Consolidado.'!B:B,"Fertilizer")
+SUMIFS('Clientes Consolidado.'!N:N,'Clientes Consolidado.'!C:C,C9,'Clientes Consolidado.'!B:B,"Additive")
+SUMIFS('Clientes Consolidado.'!N:N,'Clientes Consolidado.'!C:C,C9,'Clientes Consolidado.'!B:B,"Additive Intl.")</f>
        <v>0</v>
      </c>
      <c r="Z9" s="290">
        <f>SUMIFS('Clientes Consolidado.'!O:O,'Clientes Consolidado.'!C:C,C9,'Clientes Consolidado.'!B:B,"Fertilizer")
+SUMIFS('Clientes Consolidado.'!O:O,'Clientes Consolidado.'!C:C,C9,'Clientes Consolidado.'!B:B,"Additive")
+SUMIFS('Clientes Consolidado.'!O:O,'Clientes Consolidado.'!C:C,C9,'Clientes Consolidado.'!B:B,"Additive Intl.")</f>
        <v>0</v>
      </c>
      <c r="AA9" s="290">
        <f>SUMIFS('Clientes Consolidado.'!P:P,'Clientes Consolidado.'!C:C,'Nova Versão '!C9,'Clientes Consolidado.'!B:B,"Fertilizer / Litigation")+SUMIFS('Clientes Consolidado.'!P:P,'Clientes Consolidado.'!C:C,'Nova Versão '!C9,'Clientes Consolidado.'!B:B,"Additive / Litigation")</f>
        <v>3044850.9199999995</v>
      </c>
      <c r="AB9" s="288"/>
      <c r="AD9" s="290">
        <f>SUMIFS('Invoiced amount'!I:I,'Invoiced amount'!AH:AH,'Nova Versão '!C9)</f>
        <v>0</v>
      </c>
      <c r="AE9" s="290">
        <f>SUMIFS(Buget!K:K,Buget!E:E,'Nova Versão '!C9)</f>
        <v>0</v>
      </c>
      <c r="AF9" s="264" t="str">
        <f t="shared" si="4"/>
        <v/>
      </c>
      <c r="AG9" s="290">
        <f t="shared" si="5"/>
        <v>0</v>
      </c>
    </row>
    <row r="10" spans="1:34" ht="13.8" customHeight="1" x14ac:dyDescent="0.25">
      <c r="A10" s="283"/>
      <c r="B10" s="288" t="str">
        <f>_xlfn.XLOOKUP(C10,'Info Clientes'!A:A,'Info Clientes'!B:B)</f>
        <v>Fertilizer / Litigation</v>
      </c>
      <c r="C10" s="96" t="s">
        <v>170</v>
      </c>
      <c r="D10" s="290">
        <f>_xlfn.XLOOKUP(C10,'Limite de crédito'!C:C,'Limite de crédito'!G:G,0)</f>
        <v>0</v>
      </c>
      <c r="E10" s="290">
        <f t="shared" si="0"/>
        <v>2492842.0500000007</v>
      </c>
      <c r="F10" s="290">
        <f>_xlfn.XLOOKUP('Nova Versão '!C10,'Limite de crédito'!C:C,'Limite de crédito'!O:O,0)</f>
        <v>0</v>
      </c>
      <c r="G10" s="291">
        <f t="shared" si="1"/>
        <v>2492842.0500000007</v>
      </c>
      <c r="H10" s="292" t="str">
        <f>_xlfn.XLOOKUP(C10,'Info Clientes'!A:A,'Info Clientes'!C:C)</f>
        <v>Litigation</v>
      </c>
      <c r="I10" s="292" t="str">
        <f>IF(_xlfn.XLOOKUP(C10,'Info Clientes'!A:A,'Info Clientes'!D:D,"")=0,"",_xlfn.XLOOKUP(C10,'Info Clientes'!A:A,'Info Clientes'!D:D,""))</f>
        <v/>
      </c>
      <c r="K10" s="290">
        <f t="shared" si="2"/>
        <v>0</v>
      </c>
      <c r="L10" s="290">
        <f>_xlfn.XLOOKUP(C10,'Clientes Consolidado.'!$C:$C,'Clientes Consolidado.'!R:R,0)</f>
        <v>0</v>
      </c>
      <c r="M10" s="290">
        <f>_xlfn.XLOOKUP(C10,'Clientes Consolidado.'!$C:$C,'Clientes Consolidado.'!S:S,0)</f>
        <v>0</v>
      </c>
      <c r="N10" s="290">
        <f>_xlfn.XLOOKUP(C10,'Clientes Consolidado.'!$C:$C,'Clientes Consolidado.'!T:T,0)</f>
        <v>0</v>
      </c>
      <c r="O10" s="290">
        <f>_xlfn.XLOOKUP(C10,'Clientes Consolidado.'!$C:$C,'Clientes Consolidado.'!U:U,0)</f>
        <v>0</v>
      </c>
      <c r="P10" s="290">
        <f>_xlfn.XLOOKUP(C10,'Clientes Consolidado.'!$C:$C,'Clientes Consolidado.'!V:V,0)</f>
        <v>0</v>
      </c>
      <c r="Q10" s="290">
        <f>_xlfn.XLOOKUP(C10,'Clientes Consolidado.'!$C:$C,'Clientes Consolidado.'!W:W,0)</f>
        <v>0</v>
      </c>
      <c r="R10" s="290">
        <f>_xlfn.XLOOKUP(C10,'Clientes Consolidado.'!$C:$C,'Clientes Consolidado.'!X:X,0)</f>
        <v>0</v>
      </c>
      <c r="S10" s="290">
        <f t="shared" si="3"/>
        <v>0</v>
      </c>
      <c r="T10" s="290">
        <f>SUMIFS('Clientes Consolidado.'!I:I,'Clientes Consolidado.'!C:C,C10,'Clientes Consolidado.'!B:B,"Fertilizer")
+SUMIFS('Clientes Consolidado.'!I:I,'Clientes Consolidado.'!C:C,C10,'Clientes Consolidado.'!B:B,"Additive")
+SUMIFS('Clientes Consolidado.'!I:I,'Clientes Consolidado.'!C:C,C10,'Clientes Consolidado.'!B:B,"Additive Intl.")</f>
        <v>0</v>
      </c>
      <c r="U10" s="290">
        <f>SUMIFS('Clientes Consolidado.'!J:J,'Clientes Consolidado.'!C:C,C10,'Clientes Consolidado.'!B:B,"Fertilizer")
+SUMIFS('Clientes Consolidado.'!J:J,'Clientes Consolidado.'!C:C,C10,'Clientes Consolidado.'!B:B,"Additive")
+SUMIFS('Clientes Consolidado.'!J:J,'Clientes Consolidado.'!C:C,C10,'Clientes Consolidado.'!B:B,"Additive Intl.")</f>
        <v>0</v>
      </c>
      <c r="V10" s="290">
        <f>SUMIFS('Clientes Consolidado.'!K:K,'Clientes Consolidado.'!C:C,C10,'Clientes Consolidado.'!B:B,"Fertilizer")
+SUMIFS('Clientes Consolidado.'!K:K,'Clientes Consolidado.'!C:C,C10,'Clientes Consolidado.'!B:B,"Additive")
+SUMIFS('Clientes Consolidado.'!K:K,'Clientes Consolidado.'!C:C,C10,'Clientes Consolidado.'!B:B,"Additive Intl.")</f>
        <v>0</v>
      </c>
      <c r="W10" s="290">
        <f>SUMIFS('Clientes Consolidado.'!L:L,'Clientes Consolidado.'!C:C,C10,'Clientes Consolidado.'!B:B,"Fertilizer")
+SUMIFS('Clientes Consolidado.'!L:L,'Clientes Consolidado.'!C:C,C10,'Clientes Consolidado.'!B:B,"Additive")
+SUMIFS('Clientes Consolidado.'!L:L,'Clientes Consolidado.'!C:C,C10,'Clientes Consolidado.'!B:B,"Additive Intl.")</f>
        <v>0</v>
      </c>
      <c r="X10" s="290">
        <f>SUMIFS('Clientes Consolidado.'!M:M,'Clientes Consolidado.'!C:C,C10,'Clientes Consolidado.'!B:B,"Fertilizer")
+SUMIFS('Clientes Consolidado.'!M:M,'Clientes Consolidado.'!C:C,C10,'Clientes Consolidado.'!B:B,"Additive")
+SUMIFS('Clientes Consolidado.'!M:M,'Clientes Consolidado.'!C:C,C10,'Clientes Consolidado.'!B:B,"Additive Intl.")</f>
        <v>0</v>
      </c>
      <c r="Y10" s="290">
        <f>SUMIFS('Clientes Consolidado.'!N:N,'Clientes Consolidado.'!C:C,C10,'Clientes Consolidado.'!B:B,"Fertilizer")
+SUMIFS('Clientes Consolidado.'!N:N,'Clientes Consolidado.'!C:C,C10,'Clientes Consolidado.'!B:B,"Additive")
+SUMIFS('Clientes Consolidado.'!N:N,'Clientes Consolidado.'!C:C,C10,'Clientes Consolidado.'!B:B,"Additive Intl.")</f>
        <v>0</v>
      </c>
      <c r="Z10" s="290">
        <f>SUMIFS('Clientes Consolidado.'!O:O,'Clientes Consolidado.'!C:C,C10,'Clientes Consolidado.'!B:B,"Fertilizer")
+SUMIFS('Clientes Consolidado.'!O:O,'Clientes Consolidado.'!C:C,C10,'Clientes Consolidado.'!B:B,"Additive")
+SUMIFS('Clientes Consolidado.'!O:O,'Clientes Consolidado.'!C:C,C10,'Clientes Consolidado.'!B:B,"Additive Intl.")</f>
        <v>0</v>
      </c>
      <c r="AA10" s="290">
        <f>SUMIFS('Clientes Consolidado.'!P:P,'Clientes Consolidado.'!C:C,'Nova Versão '!C10,'Clientes Consolidado.'!B:B,"Fertilizer / Litigation")+SUMIFS('Clientes Consolidado.'!P:P,'Clientes Consolidado.'!C:C,'Nova Versão '!C10,'Clientes Consolidado.'!B:B,"Additive / Litigation")</f>
        <v>2492842.0500000007</v>
      </c>
      <c r="AB10" s="288"/>
      <c r="AD10" s="290">
        <f>SUMIFS('Invoiced amount'!I:I,'Invoiced amount'!AH:AH,'Nova Versão '!C10)</f>
        <v>0</v>
      </c>
      <c r="AE10" s="290">
        <f>SUMIFS(Buget!K:K,Buget!E:E,'Nova Versão '!C10)</f>
        <v>0</v>
      </c>
      <c r="AF10" s="264" t="str">
        <f t="shared" si="4"/>
        <v/>
      </c>
      <c r="AG10" s="290">
        <f t="shared" si="5"/>
        <v>0</v>
      </c>
    </row>
    <row r="11" spans="1:34" ht="13.8" customHeight="1" x14ac:dyDescent="0.25">
      <c r="A11" s="283"/>
      <c r="B11" s="288" t="str">
        <f>_xlfn.XLOOKUP(C11,'Info Clientes'!A:A,'Info Clientes'!B:B)</f>
        <v>Fertilizer / Litigation</v>
      </c>
      <c r="C11" s="234" t="s">
        <v>177</v>
      </c>
      <c r="D11" s="290">
        <f>_xlfn.XLOOKUP(C11,'Limite de crédito'!C:C,'Limite de crédito'!G:G,0)</f>
        <v>0</v>
      </c>
      <c r="E11" s="290">
        <f t="shared" si="0"/>
        <v>1863200.9</v>
      </c>
      <c r="F11" s="290">
        <f>_xlfn.XLOOKUP('Nova Versão '!C11,'Limite de crédito'!C:C,'Limite de crédito'!O:O,0)</f>
        <v>0</v>
      </c>
      <c r="G11" s="291">
        <f t="shared" si="1"/>
        <v>1863200.9</v>
      </c>
      <c r="H11" s="292" t="str">
        <f>_xlfn.XLOOKUP(C11,'Info Clientes'!A:A,'Info Clientes'!C:C)</f>
        <v>Litigation</v>
      </c>
      <c r="I11" s="292" t="str">
        <f>IF(_xlfn.XLOOKUP(C11,'Info Clientes'!A:A,'Info Clientes'!D:D,"")=0,"",_xlfn.XLOOKUP(C11,'Info Clientes'!A:A,'Info Clientes'!D:D,""))</f>
        <v/>
      </c>
      <c r="K11" s="290">
        <f t="shared" si="2"/>
        <v>0</v>
      </c>
      <c r="L11" s="290">
        <f>_xlfn.XLOOKUP(C11,'Clientes Consolidado.'!$C:$C,'Clientes Consolidado.'!R:R,0)</f>
        <v>0</v>
      </c>
      <c r="M11" s="290">
        <f>_xlfn.XLOOKUP(C11,'Clientes Consolidado.'!$C:$C,'Clientes Consolidado.'!S:S,0)</f>
        <v>0</v>
      </c>
      <c r="N11" s="290">
        <f>_xlfn.XLOOKUP(C11,'Clientes Consolidado.'!$C:$C,'Clientes Consolidado.'!T:T,0)</f>
        <v>0</v>
      </c>
      <c r="O11" s="290">
        <f>_xlfn.XLOOKUP(C11,'Clientes Consolidado.'!$C:$C,'Clientes Consolidado.'!U:U,0)</f>
        <v>0</v>
      </c>
      <c r="P11" s="290">
        <f>_xlfn.XLOOKUP(C11,'Clientes Consolidado.'!$C:$C,'Clientes Consolidado.'!V:V,0)</f>
        <v>0</v>
      </c>
      <c r="Q11" s="290">
        <f>_xlfn.XLOOKUP(C11,'Clientes Consolidado.'!$C:$C,'Clientes Consolidado.'!W:W,0)</f>
        <v>0</v>
      </c>
      <c r="R11" s="290">
        <f>_xlfn.XLOOKUP(C11,'Clientes Consolidado.'!$C:$C,'Clientes Consolidado.'!X:X,0)</f>
        <v>0</v>
      </c>
      <c r="S11" s="290">
        <f t="shared" si="3"/>
        <v>0</v>
      </c>
      <c r="T11" s="290">
        <f>SUMIFS('Clientes Consolidado.'!I:I,'Clientes Consolidado.'!C:C,C11,'Clientes Consolidado.'!B:B,"Fertilizer")
+SUMIFS('Clientes Consolidado.'!I:I,'Clientes Consolidado.'!C:C,C11,'Clientes Consolidado.'!B:B,"Additive")
+SUMIFS('Clientes Consolidado.'!I:I,'Clientes Consolidado.'!C:C,C11,'Clientes Consolidado.'!B:B,"Additive Intl.")</f>
        <v>0</v>
      </c>
      <c r="U11" s="290">
        <f>SUMIFS('Clientes Consolidado.'!J:J,'Clientes Consolidado.'!C:C,C11,'Clientes Consolidado.'!B:B,"Fertilizer")
+SUMIFS('Clientes Consolidado.'!J:J,'Clientes Consolidado.'!C:C,C11,'Clientes Consolidado.'!B:B,"Additive")
+SUMIFS('Clientes Consolidado.'!J:J,'Clientes Consolidado.'!C:C,C11,'Clientes Consolidado.'!B:B,"Additive Intl.")</f>
        <v>0</v>
      </c>
      <c r="V11" s="290">
        <f>SUMIFS('Clientes Consolidado.'!K:K,'Clientes Consolidado.'!C:C,C11,'Clientes Consolidado.'!B:B,"Fertilizer")
+SUMIFS('Clientes Consolidado.'!K:K,'Clientes Consolidado.'!C:C,C11,'Clientes Consolidado.'!B:B,"Additive")
+SUMIFS('Clientes Consolidado.'!K:K,'Clientes Consolidado.'!C:C,C11,'Clientes Consolidado.'!B:B,"Additive Intl.")</f>
        <v>0</v>
      </c>
      <c r="W11" s="290">
        <f>SUMIFS('Clientes Consolidado.'!L:L,'Clientes Consolidado.'!C:C,C11,'Clientes Consolidado.'!B:B,"Fertilizer")
+SUMIFS('Clientes Consolidado.'!L:L,'Clientes Consolidado.'!C:C,C11,'Clientes Consolidado.'!B:B,"Additive")
+SUMIFS('Clientes Consolidado.'!L:L,'Clientes Consolidado.'!C:C,C11,'Clientes Consolidado.'!B:B,"Additive Intl.")</f>
        <v>0</v>
      </c>
      <c r="X11" s="290">
        <f>SUMIFS('Clientes Consolidado.'!M:M,'Clientes Consolidado.'!C:C,C11,'Clientes Consolidado.'!B:B,"Fertilizer")
+SUMIFS('Clientes Consolidado.'!M:M,'Clientes Consolidado.'!C:C,C11,'Clientes Consolidado.'!B:B,"Additive")
+SUMIFS('Clientes Consolidado.'!M:M,'Clientes Consolidado.'!C:C,C11,'Clientes Consolidado.'!B:B,"Additive Intl.")</f>
        <v>0</v>
      </c>
      <c r="Y11" s="290">
        <f>SUMIFS('Clientes Consolidado.'!N:N,'Clientes Consolidado.'!C:C,C11,'Clientes Consolidado.'!B:B,"Fertilizer")
+SUMIFS('Clientes Consolidado.'!N:N,'Clientes Consolidado.'!C:C,C11,'Clientes Consolidado.'!B:B,"Additive")
+SUMIFS('Clientes Consolidado.'!N:N,'Clientes Consolidado.'!C:C,C11,'Clientes Consolidado.'!B:B,"Additive Intl.")</f>
        <v>0</v>
      </c>
      <c r="Z11" s="290">
        <f>SUMIFS('Clientes Consolidado.'!O:O,'Clientes Consolidado.'!C:C,C11,'Clientes Consolidado.'!B:B,"Fertilizer")
+SUMIFS('Clientes Consolidado.'!O:O,'Clientes Consolidado.'!C:C,C11,'Clientes Consolidado.'!B:B,"Additive")
+SUMIFS('Clientes Consolidado.'!O:O,'Clientes Consolidado.'!C:C,C11,'Clientes Consolidado.'!B:B,"Additive Intl.")</f>
        <v>0</v>
      </c>
      <c r="AA11" s="290">
        <f>SUMIFS('Clientes Consolidado.'!P:P,'Clientes Consolidado.'!C:C,'Nova Versão '!C11,'Clientes Consolidado.'!B:B,"Fertilizer / Litigation")+SUMIFS('Clientes Consolidado.'!P:P,'Clientes Consolidado.'!C:C,'Nova Versão '!C11,'Clientes Consolidado.'!B:B,"Additive / Litigation")</f>
        <v>1863200.9</v>
      </c>
      <c r="AB11" s="288"/>
      <c r="AD11" s="290">
        <f>SUMIFS('Invoiced amount'!I:I,'Invoiced amount'!AH:AH,'Nova Versão '!C11)</f>
        <v>0</v>
      </c>
      <c r="AE11" s="290">
        <f>SUMIFS(Buget!K:K,Buget!E:E,'Nova Versão '!C11)</f>
        <v>0</v>
      </c>
      <c r="AF11" s="264" t="str">
        <f t="shared" si="4"/>
        <v/>
      </c>
      <c r="AG11" s="290">
        <f t="shared" si="5"/>
        <v>0</v>
      </c>
    </row>
    <row r="12" spans="1:34" ht="13.8" customHeight="1" x14ac:dyDescent="0.25">
      <c r="A12" s="283"/>
      <c r="B12" s="288" t="str">
        <f>_xlfn.XLOOKUP(C12,'Info Clientes'!A:A,'Info Clientes'!B:B)</f>
        <v>Fertilizer / Litigation</v>
      </c>
      <c r="C12" s="96" t="s">
        <v>181</v>
      </c>
      <c r="D12" s="290">
        <f>_xlfn.XLOOKUP(C12,'Limite de crédito'!C:C,'Limite de crédito'!G:G,0)</f>
        <v>0</v>
      </c>
      <c r="E12" s="290">
        <f t="shared" si="0"/>
        <v>1702848.7400000002</v>
      </c>
      <c r="F12" s="290">
        <f>_xlfn.XLOOKUP('Nova Versão '!C12,'Limite de crédito'!C:C,'Limite de crédito'!O:O,0)</f>
        <v>0</v>
      </c>
      <c r="G12" s="291">
        <f t="shared" si="1"/>
        <v>1702848.7400000002</v>
      </c>
      <c r="H12" s="292" t="str">
        <f>_xlfn.XLOOKUP(C12,'Info Clientes'!A:A,'Info Clientes'!C:C)</f>
        <v>Litigation</v>
      </c>
      <c r="I12" s="292" t="str">
        <f>IF(_xlfn.XLOOKUP(C12,'Info Clientes'!A:A,'Info Clientes'!D:D,"")=0,"",_xlfn.XLOOKUP(C12,'Info Clientes'!A:A,'Info Clientes'!D:D,""))</f>
        <v/>
      </c>
      <c r="K12" s="290">
        <f t="shared" si="2"/>
        <v>0</v>
      </c>
      <c r="L12" s="290">
        <f>_xlfn.XLOOKUP(C12,'Clientes Consolidado.'!$C:$C,'Clientes Consolidado.'!R:R,0)</f>
        <v>0</v>
      </c>
      <c r="M12" s="290">
        <f>_xlfn.XLOOKUP(C12,'Clientes Consolidado.'!$C:$C,'Clientes Consolidado.'!S:S,0)</f>
        <v>0</v>
      </c>
      <c r="N12" s="290">
        <f>_xlfn.XLOOKUP(C12,'Clientes Consolidado.'!$C:$C,'Clientes Consolidado.'!T:T,0)</f>
        <v>0</v>
      </c>
      <c r="O12" s="290">
        <f>_xlfn.XLOOKUP(C12,'Clientes Consolidado.'!$C:$C,'Clientes Consolidado.'!U:U,0)</f>
        <v>0</v>
      </c>
      <c r="P12" s="290">
        <f>_xlfn.XLOOKUP(C12,'Clientes Consolidado.'!$C:$C,'Clientes Consolidado.'!V:V,0)</f>
        <v>0</v>
      </c>
      <c r="Q12" s="290">
        <f>_xlfn.XLOOKUP(C12,'Clientes Consolidado.'!$C:$C,'Clientes Consolidado.'!W:W,0)</f>
        <v>0</v>
      </c>
      <c r="R12" s="290">
        <f>_xlfn.XLOOKUP(C12,'Clientes Consolidado.'!$C:$C,'Clientes Consolidado.'!X:X,0)</f>
        <v>0</v>
      </c>
      <c r="S12" s="290">
        <f t="shared" si="3"/>
        <v>0</v>
      </c>
      <c r="T12" s="290">
        <f>SUMIFS('Clientes Consolidado.'!I:I,'Clientes Consolidado.'!C:C,C12,'Clientes Consolidado.'!B:B,"Fertilizer")
+SUMIFS('Clientes Consolidado.'!I:I,'Clientes Consolidado.'!C:C,C12,'Clientes Consolidado.'!B:B,"Additive")
+SUMIFS('Clientes Consolidado.'!I:I,'Clientes Consolidado.'!C:C,C12,'Clientes Consolidado.'!B:B,"Additive Intl.")</f>
        <v>0</v>
      </c>
      <c r="U12" s="290">
        <f>SUMIFS('Clientes Consolidado.'!J:J,'Clientes Consolidado.'!C:C,C12,'Clientes Consolidado.'!B:B,"Fertilizer")
+SUMIFS('Clientes Consolidado.'!J:J,'Clientes Consolidado.'!C:C,C12,'Clientes Consolidado.'!B:B,"Additive")
+SUMIFS('Clientes Consolidado.'!J:J,'Clientes Consolidado.'!C:C,C12,'Clientes Consolidado.'!B:B,"Additive Intl.")</f>
        <v>0</v>
      </c>
      <c r="V12" s="290">
        <f>SUMIFS('Clientes Consolidado.'!K:K,'Clientes Consolidado.'!C:C,C12,'Clientes Consolidado.'!B:B,"Fertilizer")
+SUMIFS('Clientes Consolidado.'!K:K,'Clientes Consolidado.'!C:C,C12,'Clientes Consolidado.'!B:B,"Additive")
+SUMIFS('Clientes Consolidado.'!K:K,'Clientes Consolidado.'!C:C,C12,'Clientes Consolidado.'!B:B,"Additive Intl.")</f>
        <v>0</v>
      </c>
      <c r="W12" s="290">
        <f>SUMIFS('Clientes Consolidado.'!L:L,'Clientes Consolidado.'!C:C,C12,'Clientes Consolidado.'!B:B,"Fertilizer")
+SUMIFS('Clientes Consolidado.'!L:L,'Clientes Consolidado.'!C:C,C12,'Clientes Consolidado.'!B:B,"Additive")
+SUMIFS('Clientes Consolidado.'!L:L,'Clientes Consolidado.'!C:C,C12,'Clientes Consolidado.'!B:B,"Additive Intl.")</f>
        <v>0</v>
      </c>
      <c r="X12" s="290">
        <f>SUMIFS('Clientes Consolidado.'!M:M,'Clientes Consolidado.'!C:C,C12,'Clientes Consolidado.'!B:B,"Fertilizer")
+SUMIFS('Clientes Consolidado.'!M:M,'Clientes Consolidado.'!C:C,C12,'Clientes Consolidado.'!B:B,"Additive")
+SUMIFS('Clientes Consolidado.'!M:M,'Clientes Consolidado.'!C:C,C12,'Clientes Consolidado.'!B:B,"Additive Intl.")</f>
        <v>0</v>
      </c>
      <c r="Y12" s="290">
        <f>SUMIFS('Clientes Consolidado.'!N:N,'Clientes Consolidado.'!C:C,C12,'Clientes Consolidado.'!B:B,"Fertilizer")
+SUMIFS('Clientes Consolidado.'!N:N,'Clientes Consolidado.'!C:C,C12,'Clientes Consolidado.'!B:B,"Additive")
+SUMIFS('Clientes Consolidado.'!N:N,'Clientes Consolidado.'!C:C,C12,'Clientes Consolidado.'!B:B,"Additive Intl.")</f>
        <v>0</v>
      </c>
      <c r="Z12" s="290">
        <f>SUMIFS('Clientes Consolidado.'!O:O,'Clientes Consolidado.'!C:C,C12,'Clientes Consolidado.'!B:B,"Fertilizer")
+SUMIFS('Clientes Consolidado.'!O:O,'Clientes Consolidado.'!C:C,C12,'Clientes Consolidado.'!B:B,"Additive")
+SUMIFS('Clientes Consolidado.'!O:O,'Clientes Consolidado.'!C:C,C12,'Clientes Consolidado.'!B:B,"Additive Intl.")</f>
        <v>0</v>
      </c>
      <c r="AA12" s="290">
        <f>SUMIFS('Clientes Consolidado.'!P:P,'Clientes Consolidado.'!C:C,'Nova Versão '!C12,'Clientes Consolidado.'!B:B,"Fertilizer / Litigation")+SUMIFS('Clientes Consolidado.'!P:P,'Clientes Consolidado.'!C:C,'Nova Versão '!C12,'Clientes Consolidado.'!B:B,"Additive / Litigation")</f>
        <v>1702848.7400000002</v>
      </c>
      <c r="AB12" s="288"/>
      <c r="AD12" s="290">
        <f>SUMIFS('Invoiced amount'!I:I,'Invoiced amount'!AH:AH,'Nova Versão '!C12)</f>
        <v>0</v>
      </c>
      <c r="AE12" s="290">
        <f>SUMIFS(Buget!K:K,Buget!E:E,'Nova Versão '!C12)</f>
        <v>0</v>
      </c>
      <c r="AF12" s="264" t="str">
        <f t="shared" si="4"/>
        <v/>
      </c>
      <c r="AG12" s="290">
        <f t="shared" si="5"/>
        <v>0</v>
      </c>
    </row>
    <row r="13" spans="1:34" ht="13.8" customHeight="1" x14ac:dyDescent="0.25">
      <c r="A13" s="283"/>
      <c r="B13" s="288" t="str">
        <f>_xlfn.XLOOKUP(C13,'Info Clientes'!A:A,'Info Clientes'!B:B)</f>
        <v>Additive</v>
      </c>
      <c r="C13" s="96" t="s">
        <v>109</v>
      </c>
      <c r="D13" s="290">
        <f>_xlfn.XLOOKUP(C13,'Limite de crédito'!C:C,'Limite de crédito'!G:G,0)</f>
        <v>1500000</v>
      </c>
      <c r="E13" s="290">
        <f t="shared" si="0"/>
        <v>1248148.5999999999</v>
      </c>
      <c r="F13" s="290">
        <f>_xlfn.XLOOKUP('Nova Versão '!C13,'Limite de crédito'!C:C,'Limite de crédito'!O:O,0)</f>
        <v>0</v>
      </c>
      <c r="G13" s="291">
        <f t="shared" si="1"/>
        <v>1248148.5999999999</v>
      </c>
      <c r="H13" s="292" t="str">
        <f>_xlfn.XLOOKUP(C13,'Info Clientes'!A:A,'Info Clientes'!C:C)</f>
        <v>Approved in credit committee</v>
      </c>
      <c r="I13" s="292" t="str">
        <f>IF(_xlfn.XLOOKUP(C13,'Info Clientes'!A:A,'Info Clientes'!D:D,"")=0,"",_xlfn.XLOOKUP(C13,'Info Clientes'!A:A,'Info Clientes'!D:D,""))</f>
        <v/>
      </c>
      <c r="K13" s="290">
        <f t="shared" si="2"/>
        <v>1248148.5999999999</v>
      </c>
      <c r="L13" s="290">
        <f>_xlfn.XLOOKUP(C13,'Clientes Consolidado.'!$C:$C,'Clientes Consolidado.'!R:R,0)</f>
        <v>161488.20000000001</v>
      </c>
      <c r="M13" s="290">
        <f>_xlfn.XLOOKUP(C13,'Clientes Consolidado.'!$C:$C,'Clientes Consolidado.'!S:S,0)</f>
        <v>1086660.3999999999</v>
      </c>
      <c r="N13" s="290">
        <f>_xlfn.XLOOKUP(C13,'Clientes Consolidado.'!$C:$C,'Clientes Consolidado.'!T:T,0)</f>
        <v>0</v>
      </c>
      <c r="O13" s="290">
        <f>_xlfn.XLOOKUP(C13,'Clientes Consolidado.'!$C:$C,'Clientes Consolidado.'!U:U,0)</f>
        <v>0</v>
      </c>
      <c r="P13" s="290">
        <f>_xlfn.XLOOKUP(C13,'Clientes Consolidado.'!$C:$C,'Clientes Consolidado.'!V:V,0)</f>
        <v>0</v>
      </c>
      <c r="Q13" s="290">
        <f>_xlfn.XLOOKUP(C13,'Clientes Consolidado.'!$C:$C,'Clientes Consolidado.'!W:W,0)</f>
        <v>0</v>
      </c>
      <c r="R13" s="290">
        <f>_xlfn.XLOOKUP(C13,'Clientes Consolidado.'!$C:$C,'Clientes Consolidado.'!X:X,0)</f>
        <v>0</v>
      </c>
      <c r="S13" s="290">
        <f t="shared" si="3"/>
        <v>0</v>
      </c>
      <c r="T13" s="290">
        <f>SUMIFS('Clientes Consolidado.'!I:I,'Clientes Consolidado.'!C:C,C13,'Clientes Consolidado.'!B:B,"Fertilizer")
+SUMIFS('Clientes Consolidado.'!I:I,'Clientes Consolidado.'!C:C,C13,'Clientes Consolidado.'!B:B,"Additive")
+SUMIFS('Clientes Consolidado.'!I:I,'Clientes Consolidado.'!C:C,C13,'Clientes Consolidado.'!B:B,"Additive Intl.")</f>
        <v>0</v>
      </c>
      <c r="U13" s="290">
        <f>SUMIFS('Clientes Consolidado.'!J:J,'Clientes Consolidado.'!C:C,C13,'Clientes Consolidado.'!B:B,"Fertilizer")
+SUMIFS('Clientes Consolidado.'!J:J,'Clientes Consolidado.'!C:C,C13,'Clientes Consolidado.'!B:B,"Additive")
+SUMIFS('Clientes Consolidado.'!J:J,'Clientes Consolidado.'!C:C,C13,'Clientes Consolidado.'!B:B,"Additive Intl.")</f>
        <v>0</v>
      </c>
      <c r="V13" s="290">
        <f>SUMIFS('Clientes Consolidado.'!K:K,'Clientes Consolidado.'!C:C,C13,'Clientes Consolidado.'!B:B,"Fertilizer")
+SUMIFS('Clientes Consolidado.'!K:K,'Clientes Consolidado.'!C:C,C13,'Clientes Consolidado.'!B:B,"Additive")
+SUMIFS('Clientes Consolidado.'!K:K,'Clientes Consolidado.'!C:C,C13,'Clientes Consolidado.'!B:B,"Additive Intl.")</f>
        <v>0</v>
      </c>
      <c r="W13" s="290">
        <f>SUMIFS('Clientes Consolidado.'!L:L,'Clientes Consolidado.'!C:C,C13,'Clientes Consolidado.'!B:B,"Fertilizer")
+SUMIFS('Clientes Consolidado.'!L:L,'Clientes Consolidado.'!C:C,C13,'Clientes Consolidado.'!B:B,"Additive")
+SUMIFS('Clientes Consolidado.'!L:L,'Clientes Consolidado.'!C:C,C13,'Clientes Consolidado.'!B:B,"Additive Intl.")</f>
        <v>0</v>
      </c>
      <c r="X13" s="290">
        <f>SUMIFS('Clientes Consolidado.'!M:M,'Clientes Consolidado.'!C:C,C13,'Clientes Consolidado.'!B:B,"Fertilizer")
+SUMIFS('Clientes Consolidado.'!M:M,'Clientes Consolidado.'!C:C,C13,'Clientes Consolidado.'!B:B,"Additive")
+SUMIFS('Clientes Consolidado.'!M:M,'Clientes Consolidado.'!C:C,C13,'Clientes Consolidado.'!B:B,"Additive Intl.")</f>
        <v>0</v>
      </c>
      <c r="Y13" s="290">
        <f>SUMIFS('Clientes Consolidado.'!N:N,'Clientes Consolidado.'!C:C,C13,'Clientes Consolidado.'!B:B,"Fertilizer")
+SUMIFS('Clientes Consolidado.'!N:N,'Clientes Consolidado.'!C:C,C13,'Clientes Consolidado.'!B:B,"Additive")
+SUMIFS('Clientes Consolidado.'!N:N,'Clientes Consolidado.'!C:C,C13,'Clientes Consolidado.'!B:B,"Additive Intl.")</f>
        <v>0</v>
      </c>
      <c r="Z13" s="290">
        <f>SUMIFS('Clientes Consolidado.'!O:O,'Clientes Consolidado.'!C:C,C13,'Clientes Consolidado.'!B:B,"Fertilizer")
+SUMIFS('Clientes Consolidado.'!O:O,'Clientes Consolidado.'!C:C,C13,'Clientes Consolidado.'!B:B,"Additive")
+SUMIFS('Clientes Consolidado.'!O:O,'Clientes Consolidado.'!C:C,C13,'Clientes Consolidado.'!B:B,"Additive Intl.")</f>
        <v>0</v>
      </c>
      <c r="AA13" s="290">
        <f>SUMIFS('Clientes Consolidado.'!P:P,'Clientes Consolidado.'!C:C,'Nova Versão '!C13,'Clientes Consolidado.'!B:B,"Fertilizer / Litigation")+SUMIFS('Clientes Consolidado.'!P:P,'Clientes Consolidado.'!C:C,'Nova Versão '!C13,'Clientes Consolidado.'!B:B,"Additive / Litigation")</f>
        <v>0</v>
      </c>
      <c r="AB13" s="288"/>
      <c r="AD13" s="290">
        <f>SUMIFS('Invoiced amount'!I:I,'Invoiced amount'!AH:AH,'Nova Versão '!C13)</f>
        <v>3585858.8</v>
      </c>
      <c r="AE13" s="290">
        <f>SUMIFS(Buget!K:K,Buget!E:E,'Nova Versão '!C13)</f>
        <v>5559000</v>
      </c>
      <c r="AF13" s="264">
        <f t="shared" si="4"/>
        <v>0.64505465011692742</v>
      </c>
      <c r="AG13" s="290">
        <f t="shared" si="5"/>
        <v>1973141.2000000002</v>
      </c>
    </row>
    <row r="14" spans="1:34" ht="13.8" customHeight="1" x14ac:dyDescent="0.25">
      <c r="A14" s="283"/>
      <c r="B14" s="288" t="str">
        <f>_xlfn.XLOOKUP(C14,'Info Clientes'!A:A,'Info Clientes'!B:B)</f>
        <v>Additive</v>
      </c>
      <c r="C14" s="96" t="s">
        <v>450</v>
      </c>
      <c r="D14" s="290">
        <f>_xlfn.XLOOKUP(C14,'Limite de crédito'!C:C,'Limite de crédito'!G:G,0)</f>
        <v>1500000</v>
      </c>
      <c r="E14" s="290">
        <f t="shared" si="0"/>
        <v>1237619.8999999999</v>
      </c>
      <c r="F14" s="290">
        <f>_xlfn.XLOOKUP('Nova Versão '!C14,'Limite de crédito'!C:C,'Limite de crédito'!O:O,0)</f>
        <v>0</v>
      </c>
      <c r="G14" s="291">
        <f t="shared" si="1"/>
        <v>1237619.8999999999</v>
      </c>
      <c r="H14" s="292" t="str">
        <f>_xlfn.XLOOKUP(C14,'Info Clientes'!A:A,'Info Clientes'!C:C)</f>
        <v>Approved in credit committee</v>
      </c>
      <c r="I14" s="292" t="str">
        <f>IF(_xlfn.XLOOKUP(C14,'Info Clientes'!A:A,'Info Clientes'!D:D,"")=0,"",_xlfn.XLOOKUP(C14,'Info Clientes'!A:A,'Info Clientes'!D:D,""))</f>
        <v/>
      </c>
      <c r="K14" s="290">
        <f t="shared" si="2"/>
        <v>1237619.8999999999</v>
      </c>
      <c r="L14" s="290">
        <f>_xlfn.XLOOKUP(C14,'Clientes Consolidado.'!$C:$C,'Clientes Consolidado.'!R:R,0)</f>
        <v>331136.69999999995</v>
      </c>
      <c r="M14" s="290">
        <f>_xlfn.XLOOKUP(C14,'Clientes Consolidado.'!$C:$C,'Clientes Consolidado.'!S:S,0)</f>
        <v>906483.19999999995</v>
      </c>
      <c r="N14" s="290">
        <f>_xlfn.XLOOKUP(C14,'Clientes Consolidado.'!$C:$C,'Clientes Consolidado.'!T:T,0)</f>
        <v>0</v>
      </c>
      <c r="O14" s="290">
        <f>_xlfn.XLOOKUP(C14,'Clientes Consolidado.'!$C:$C,'Clientes Consolidado.'!U:U,0)</f>
        <v>0</v>
      </c>
      <c r="P14" s="290">
        <f>_xlfn.XLOOKUP(C14,'Clientes Consolidado.'!$C:$C,'Clientes Consolidado.'!V:V,0)</f>
        <v>0</v>
      </c>
      <c r="Q14" s="290">
        <f>_xlfn.XLOOKUP(C14,'Clientes Consolidado.'!$C:$C,'Clientes Consolidado.'!W:W,0)</f>
        <v>0</v>
      </c>
      <c r="R14" s="290">
        <f>_xlfn.XLOOKUP(C14,'Clientes Consolidado.'!$C:$C,'Clientes Consolidado.'!X:X,0)</f>
        <v>0</v>
      </c>
      <c r="S14" s="290">
        <f t="shared" si="3"/>
        <v>0</v>
      </c>
      <c r="T14" s="290">
        <f>SUMIFS('Clientes Consolidado.'!I:I,'Clientes Consolidado.'!C:C,C14,'Clientes Consolidado.'!B:B,"Fertilizer")
+SUMIFS('Clientes Consolidado.'!I:I,'Clientes Consolidado.'!C:C,C14,'Clientes Consolidado.'!B:B,"Additive")
+SUMIFS('Clientes Consolidado.'!I:I,'Clientes Consolidado.'!C:C,C14,'Clientes Consolidado.'!B:B,"Additive Intl.")</f>
        <v>0</v>
      </c>
      <c r="U14" s="290">
        <f>SUMIFS('Clientes Consolidado.'!J:J,'Clientes Consolidado.'!C:C,C14,'Clientes Consolidado.'!B:B,"Fertilizer")
+SUMIFS('Clientes Consolidado.'!J:J,'Clientes Consolidado.'!C:C,C14,'Clientes Consolidado.'!B:B,"Additive")
+SUMIFS('Clientes Consolidado.'!J:J,'Clientes Consolidado.'!C:C,C14,'Clientes Consolidado.'!B:B,"Additive Intl.")</f>
        <v>0</v>
      </c>
      <c r="V14" s="290">
        <f>SUMIFS('Clientes Consolidado.'!K:K,'Clientes Consolidado.'!C:C,C14,'Clientes Consolidado.'!B:B,"Fertilizer")
+SUMIFS('Clientes Consolidado.'!K:K,'Clientes Consolidado.'!C:C,C14,'Clientes Consolidado.'!B:B,"Additive")
+SUMIFS('Clientes Consolidado.'!K:K,'Clientes Consolidado.'!C:C,C14,'Clientes Consolidado.'!B:B,"Additive Intl.")</f>
        <v>0</v>
      </c>
      <c r="W14" s="290">
        <f>SUMIFS('Clientes Consolidado.'!L:L,'Clientes Consolidado.'!C:C,C14,'Clientes Consolidado.'!B:B,"Fertilizer")
+SUMIFS('Clientes Consolidado.'!L:L,'Clientes Consolidado.'!C:C,C14,'Clientes Consolidado.'!B:B,"Additive")
+SUMIFS('Clientes Consolidado.'!L:L,'Clientes Consolidado.'!C:C,C14,'Clientes Consolidado.'!B:B,"Additive Intl.")</f>
        <v>0</v>
      </c>
      <c r="X14" s="290">
        <f>SUMIFS('Clientes Consolidado.'!M:M,'Clientes Consolidado.'!C:C,C14,'Clientes Consolidado.'!B:B,"Fertilizer")
+SUMIFS('Clientes Consolidado.'!M:M,'Clientes Consolidado.'!C:C,C14,'Clientes Consolidado.'!B:B,"Additive")
+SUMIFS('Clientes Consolidado.'!M:M,'Clientes Consolidado.'!C:C,C14,'Clientes Consolidado.'!B:B,"Additive Intl.")</f>
        <v>0</v>
      </c>
      <c r="Y14" s="290">
        <f>SUMIFS('Clientes Consolidado.'!N:N,'Clientes Consolidado.'!C:C,C14,'Clientes Consolidado.'!B:B,"Fertilizer")
+SUMIFS('Clientes Consolidado.'!N:N,'Clientes Consolidado.'!C:C,C14,'Clientes Consolidado.'!B:B,"Additive")
+SUMIFS('Clientes Consolidado.'!N:N,'Clientes Consolidado.'!C:C,C14,'Clientes Consolidado.'!B:B,"Additive Intl.")</f>
        <v>0</v>
      </c>
      <c r="Z14" s="290">
        <f>SUMIFS('Clientes Consolidado.'!O:O,'Clientes Consolidado.'!C:C,C14,'Clientes Consolidado.'!B:B,"Fertilizer")
+SUMIFS('Clientes Consolidado.'!O:O,'Clientes Consolidado.'!C:C,C14,'Clientes Consolidado.'!B:B,"Additive")
+SUMIFS('Clientes Consolidado.'!O:O,'Clientes Consolidado.'!C:C,C14,'Clientes Consolidado.'!B:B,"Additive Intl.")</f>
        <v>0</v>
      </c>
      <c r="AA14" s="290">
        <f>SUMIFS('Clientes Consolidado.'!P:P,'Clientes Consolidado.'!C:C,'Nova Versão '!C14,'Clientes Consolidado.'!B:B,"Fertilizer / Litigation")+SUMIFS('Clientes Consolidado.'!P:P,'Clientes Consolidado.'!C:C,'Nova Versão '!C14,'Clientes Consolidado.'!B:B,"Additive / Litigation")</f>
        <v>0</v>
      </c>
      <c r="AB14" s="288"/>
      <c r="AD14" s="290">
        <f>SUMIFS('Invoiced amount'!I:I,'Invoiced amount'!AH:AH,'Nova Versão '!C14)</f>
        <v>3913915.9000000004</v>
      </c>
      <c r="AE14" s="290">
        <f>SUMIFS(Buget!K:K,Buget!E:E,'Nova Versão '!C14)</f>
        <v>19253157.715669096</v>
      </c>
      <c r="AF14" s="264">
        <f t="shared" si="4"/>
        <v>0.20328695987436271</v>
      </c>
      <c r="AG14" s="290">
        <f t="shared" si="5"/>
        <v>15339241.815669095</v>
      </c>
    </row>
    <row r="15" spans="1:34" ht="13.8" customHeight="1" x14ac:dyDescent="0.25">
      <c r="A15" s="283"/>
      <c r="B15" s="288" t="str">
        <f>_xlfn.XLOOKUP(C15,'Info Clientes'!A:A,'Info Clientes'!B:B)</f>
        <v>Fertilizer / Litigation</v>
      </c>
      <c r="C15" s="234" t="s">
        <v>242</v>
      </c>
      <c r="D15" s="290">
        <f>_xlfn.XLOOKUP(C15,'Limite de crédito'!C:C,'Limite de crédito'!G:G,0)</f>
        <v>0</v>
      </c>
      <c r="E15" s="290">
        <f t="shared" si="0"/>
        <v>988506.24</v>
      </c>
      <c r="F15" s="290">
        <f>_xlfn.XLOOKUP('Nova Versão '!C15,'Limite de crédito'!C:C,'Limite de crédito'!O:O,0)</f>
        <v>0</v>
      </c>
      <c r="G15" s="291">
        <f t="shared" si="1"/>
        <v>988506.24</v>
      </c>
      <c r="H15" s="292" t="str">
        <f>_xlfn.XLOOKUP(C15,'Info Clientes'!A:A,'Info Clientes'!C:C)</f>
        <v>Litigation</v>
      </c>
      <c r="I15" s="292" t="str">
        <f>IF(_xlfn.XLOOKUP(C15,'Info Clientes'!A:A,'Info Clientes'!D:D,"")=0,"",_xlfn.XLOOKUP(C15,'Info Clientes'!A:A,'Info Clientes'!D:D,""))</f>
        <v/>
      </c>
      <c r="K15" s="290">
        <f t="shared" si="2"/>
        <v>0</v>
      </c>
      <c r="L15" s="290">
        <f>_xlfn.XLOOKUP(C15,'Clientes Consolidado.'!$C:$C,'Clientes Consolidado.'!R:R,0)</f>
        <v>0</v>
      </c>
      <c r="M15" s="290">
        <f>_xlfn.XLOOKUP(C15,'Clientes Consolidado.'!$C:$C,'Clientes Consolidado.'!S:S,0)</f>
        <v>0</v>
      </c>
      <c r="N15" s="290">
        <f>_xlfn.XLOOKUP(C15,'Clientes Consolidado.'!$C:$C,'Clientes Consolidado.'!T:T,0)</f>
        <v>0</v>
      </c>
      <c r="O15" s="290">
        <f>_xlfn.XLOOKUP(C15,'Clientes Consolidado.'!$C:$C,'Clientes Consolidado.'!U:U,0)</f>
        <v>0</v>
      </c>
      <c r="P15" s="290">
        <f>_xlfn.XLOOKUP(C15,'Clientes Consolidado.'!$C:$C,'Clientes Consolidado.'!V:V,0)</f>
        <v>0</v>
      </c>
      <c r="Q15" s="290">
        <f>_xlfn.XLOOKUP(C15,'Clientes Consolidado.'!$C:$C,'Clientes Consolidado.'!W:W,0)</f>
        <v>0</v>
      </c>
      <c r="R15" s="290">
        <f>_xlfn.XLOOKUP(C15,'Clientes Consolidado.'!$C:$C,'Clientes Consolidado.'!X:X,0)</f>
        <v>0</v>
      </c>
      <c r="S15" s="290">
        <f t="shared" si="3"/>
        <v>0</v>
      </c>
      <c r="T15" s="290">
        <f>SUMIFS('Clientes Consolidado.'!I:I,'Clientes Consolidado.'!C:C,C15,'Clientes Consolidado.'!B:B,"Fertilizer")
+SUMIFS('Clientes Consolidado.'!I:I,'Clientes Consolidado.'!C:C,C15,'Clientes Consolidado.'!B:B,"Additive")
+SUMIFS('Clientes Consolidado.'!I:I,'Clientes Consolidado.'!C:C,C15,'Clientes Consolidado.'!B:B,"Additive Intl.")</f>
        <v>0</v>
      </c>
      <c r="U15" s="290">
        <f>SUMIFS('Clientes Consolidado.'!J:J,'Clientes Consolidado.'!C:C,C15,'Clientes Consolidado.'!B:B,"Fertilizer")
+SUMIFS('Clientes Consolidado.'!J:J,'Clientes Consolidado.'!C:C,C15,'Clientes Consolidado.'!B:B,"Additive")
+SUMIFS('Clientes Consolidado.'!J:J,'Clientes Consolidado.'!C:C,C15,'Clientes Consolidado.'!B:B,"Additive Intl.")</f>
        <v>0</v>
      </c>
      <c r="V15" s="290">
        <f>SUMIFS('Clientes Consolidado.'!K:K,'Clientes Consolidado.'!C:C,C15,'Clientes Consolidado.'!B:B,"Fertilizer")
+SUMIFS('Clientes Consolidado.'!K:K,'Clientes Consolidado.'!C:C,C15,'Clientes Consolidado.'!B:B,"Additive")
+SUMIFS('Clientes Consolidado.'!K:K,'Clientes Consolidado.'!C:C,C15,'Clientes Consolidado.'!B:B,"Additive Intl.")</f>
        <v>0</v>
      </c>
      <c r="W15" s="290">
        <f>SUMIFS('Clientes Consolidado.'!L:L,'Clientes Consolidado.'!C:C,C15,'Clientes Consolidado.'!B:B,"Fertilizer")
+SUMIFS('Clientes Consolidado.'!L:L,'Clientes Consolidado.'!C:C,C15,'Clientes Consolidado.'!B:B,"Additive")
+SUMIFS('Clientes Consolidado.'!L:L,'Clientes Consolidado.'!C:C,C15,'Clientes Consolidado.'!B:B,"Additive Intl.")</f>
        <v>0</v>
      </c>
      <c r="X15" s="290">
        <f>SUMIFS('Clientes Consolidado.'!M:M,'Clientes Consolidado.'!C:C,C15,'Clientes Consolidado.'!B:B,"Fertilizer")
+SUMIFS('Clientes Consolidado.'!M:M,'Clientes Consolidado.'!C:C,C15,'Clientes Consolidado.'!B:B,"Additive")
+SUMIFS('Clientes Consolidado.'!M:M,'Clientes Consolidado.'!C:C,C15,'Clientes Consolidado.'!B:B,"Additive Intl.")</f>
        <v>0</v>
      </c>
      <c r="Y15" s="290">
        <f>SUMIFS('Clientes Consolidado.'!N:N,'Clientes Consolidado.'!C:C,C15,'Clientes Consolidado.'!B:B,"Fertilizer")
+SUMIFS('Clientes Consolidado.'!N:N,'Clientes Consolidado.'!C:C,C15,'Clientes Consolidado.'!B:B,"Additive")
+SUMIFS('Clientes Consolidado.'!N:N,'Clientes Consolidado.'!C:C,C15,'Clientes Consolidado.'!B:B,"Additive Intl.")</f>
        <v>0</v>
      </c>
      <c r="Z15" s="290">
        <f>SUMIFS('Clientes Consolidado.'!O:O,'Clientes Consolidado.'!C:C,C15,'Clientes Consolidado.'!B:B,"Fertilizer")
+SUMIFS('Clientes Consolidado.'!O:O,'Clientes Consolidado.'!C:C,C15,'Clientes Consolidado.'!B:B,"Additive")
+SUMIFS('Clientes Consolidado.'!O:O,'Clientes Consolidado.'!C:C,C15,'Clientes Consolidado.'!B:B,"Additive Intl.")</f>
        <v>0</v>
      </c>
      <c r="AA15" s="290">
        <f>SUMIFS('Clientes Consolidado.'!P:P,'Clientes Consolidado.'!C:C,'Nova Versão '!C15,'Clientes Consolidado.'!B:B,"Fertilizer / Litigation")+SUMIFS('Clientes Consolidado.'!P:P,'Clientes Consolidado.'!C:C,'Nova Versão '!C15,'Clientes Consolidado.'!B:B,"Additive / Litigation")</f>
        <v>988506.24</v>
      </c>
      <c r="AB15" s="288"/>
      <c r="AD15" s="290">
        <f>SUMIFS('Invoiced amount'!I:I,'Invoiced amount'!AH:AH,'Nova Versão '!C15)</f>
        <v>0</v>
      </c>
      <c r="AE15" s="290">
        <f>SUMIFS(Buget!K:K,Buget!E:E,'Nova Versão '!C15)</f>
        <v>0</v>
      </c>
      <c r="AF15" s="264" t="str">
        <f t="shared" si="4"/>
        <v/>
      </c>
      <c r="AG15" s="290">
        <f t="shared" si="5"/>
        <v>0</v>
      </c>
    </row>
    <row r="16" spans="1:34" ht="13.8" customHeight="1" x14ac:dyDescent="0.25">
      <c r="A16" s="283"/>
      <c r="B16" s="288" t="str">
        <f>_xlfn.XLOOKUP(C16,'Info Clientes'!A:A,'Info Clientes'!B:B)</f>
        <v>Fertilizer</v>
      </c>
      <c r="C16" s="96" t="s">
        <v>165</v>
      </c>
      <c r="D16" s="290">
        <f>_xlfn.XLOOKUP(C16,'Limite de crédito'!C:C,'Limite de crédito'!G:G,0)</f>
        <v>500000</v>
      </c>
      <c r="E16" s="290">
        <f t="shared" si="0"/>
        <v>925457.05999999994</v>
      </c>
      <c r="F16" s="290">
        <f>_xlfn.XLOOKUP('Nova Versão '!C16,'Limite de crédito'!C:C,'Limite de crédito'!O:O,0)</f>
        <v>500000</v>
      </c>
      <c r="G16" s="291">
        <f t="shared" si="1"/>
        <v>425457.05999999994</v>
      </c>
      <c r="H16" s="292" t="str">
        <f>_xlfn.XLOOKUP(C16,'Info Clientes'!A:A,'Info Clientes'!C:C)</f>
        <v>Guarantee or credit</v>
      </c>
      <c r="I16" s="292" t="str">
        <f>IF(_xlfn.XLOOKUP(C16,'Info Clientes'!A:A,'Info Clientes'!D:D,"")=0,"",_xlfn.XLOOKUP(C16,'Info Clientes'!A:A,'Info Clientes'!D:D,""))</f>
        <v>In addition to the insurance policy worth 500k, we have a CREDIT OPENING AGREEMENT WITH GUARANTEE worth 1,800k.</v>
      </c>
      <c r="K16" s="290">
        <f t="shared" si="2"/>
        <v>925457.05999999994</v>
      </c>
      <c r="L16" s="290">
        <f>_xlfn.XLOOKUP(C16,'Clientes Consolidado.'!$C:$C,'Clientes Consolidado.'!R:R,0)</f>
        <v>0</v>
      </c>
      <c r="M16" s="290">
        <f>_xlfn.XLOOKUP(C16,'Clientes Consolidado.'!$C:$C,'Clientes Consolidado.'!S:S,0)</f>
        <v>0</v>
      </c>
      <c r="N16" s="290">
        <f>_xlfn.XLOOKUP(C16,'Clientes Consolidado.'!$C:$C,'Clientes Consolidado.'!T:T,0)</f>
        <v>925457.05999999994</v>
      </c>
      <c r="O16" s="290">
        <f>_xlfn.XLOOKUP(C16,'Clientes Consolidado.'!$C:$C,'Clientes Consolidado.'!U:U,0)</f>
        <v>0</v>
      </c>
      <c r="P16" s="290">
        <f>_xlfn.XLOOKUP(C16,'Clientes Consolidado.'!$C:$C,'Clientes Consolidado.'!V:V,0)</f>
        <v>0</v>
      </c>
      <c r="Q16" s="290">
        <f>_xlfn.XLOOKUP(C16,'Clientes Consolidado.'!$C:$C,'Clientes Consolidado.'!W:W,0)</f>
        <v>0</v>
      </c>
      <c r="R16" s="290">
        <f>_xlfn.XLOOKUP(C16,'Clientes Consolidado.'!$C:$C,'Clientes Consolidado.'!X:X,0)</f>
        <v>0</v>
      </c>
      <c r="S16" s="290">
        <f t="shared" si="3"/>
        <v>0</v>
      </c>
      <c r="T16" s="290">
        <f>SUMIFS('Clientes Consolidado.'!I:I,'Clientes Consolidado.'!C:C,C16,'Clientes Consolidado.'!B:B,"Fertilizer")
+SUMIFS('Clientes Consolidado.'!I:I,'Clientes Consolidado.'!C:C,C16,'Clientes Consolidado.'!B:B,"Additive")
+SUMIFS('Clientes Consolidado.'!I:I,'Clientes Consolidado.'!C:C,C16,'Clientes Consolidado.'!B:B,"Additive Intl.")</f>
        <v>0</v>
      </c>
      <c r="U16" s="290">
        <f>SUMIFS('Clientes Consolidado.'!J:J,'Clientes Consolidado.'!C:C,C16,'Clientes Consolidado.'!B:B,"Fertilizer")
+SUMIFS('Clientes Consolidado.'!J:J,'Clientes Consolidado.'!C:C,C16,'Clientes Consolidado.'!B:B,"Additive")
+SUMIFS('Clientes Consolidado.'!J:J,'Clientes Consolidado.'!C:C,C16,'Clientes Consolidado.'!B:B,"Additive Intl.")</f>
        <v>0</v>
      </c>
      <c r="V16" s="290">
        <f>SUMIFS('Clientes Consolidado.'!K:K,'Clientes Consolidado.'!C:C,C16,'Clientes Consolidado.'!B:B,"Fertilizer")
+SUMIFS('Clientes Consolidado.'!K:K,'Clientes Consolidado.'!C:C,C16,'Clientes Consolidado.'!B:B,"Additive")
+SUMIFS('Clientes Consolidado.'!K:K,'Clientes Consolidado.'!C:C,C16,'Clientes Consolidado.'!B:B,"Additive Intl.")</f>
        <v>0</v>
      </c>
      <c r="W16" s="290">
        <f>SUMIFS('Clientes Consolidado.'!L:L,'Clientes Consolidado.'!C:C,C16,'Clientes Consolidado.'!B:B,"Fertilizer")
+SUMIFS('Clientes Consolidado.'!L:L,'Clientes Consolidado.'!C:C,C16,'Clientes Consolidado.'!B:B,"Additive")
+SUMIFS('Clientes Consolidado.'!L:L,'Clientes Consolidado.'!C:C,C16,'Clientes Consolidado.'!B:B,"Additive Intl.")</f>
        <v>0</v>
      </c>
      <c r="X16" s="290">
        <f>SUMIFS('Clientes Consolidado.'!M:M,'Clientes Consolidado.'!C:C,C16,'Clientes Consolidado.'!B:B,"Fertilizer")
+SUMIFS('Clientes Consolidado.'!M:M,'Clientes Consolidado.'!C:C,C16,'Clientes Consolidado.'!B:B,"Additive")
+SUMIFS('Clientes Consolidado.'!M:M,'Clientes Consolidado.'!C:C,C16,'Clientes Consolidado.'!B:B,"Additive Intl.")</f>
        <v>0</v>
      </c>
      <c r="Y16" s="290">
        <f>SUMIFS('Clientes Consolidado.'!N:N,'Clientes Consolidado.'!C:C,C16,'Clientes Consolidado.'!B:B,"Fertilizer")
+SUMIFS('Clientes Consolidado.'!N:N,'Clientes Consolidado.'!C:C,C16,'Clientes Consolidado.'!B:B,"Additive")
+SUMIFS('Clientes Consolidado.'!N:N,'Clientes Consolidado.'!C:C,C16,'Clientes Consolidado.'!B:B,"Additive Intl.")</f>
        <v>0</v>
      </c>
      <c r="Z16" s="290">
        <f>SUMIFS('Clientes Consolidado.'!O:O,'Clientes Consolidado.'!C:C,C16,'Clientes Consolidado.'!B:B,"Fertilizer")
+SUMIFS('Clientes Consolidado.'!O:O,'Clientes Consolidado.'!C:C,C16,'Clientes Consolidado.'!B:B,"Additive")
+SUMIFS('Clientes Consolidado.'!O:O,'Clientes Consolidado.'!C:C,C16,'Clientes Consolidado.'!B:B,"Additive Intl.")</f>
        <v>0</v>
      </c>
      <c r="AA16" s="290">
        <f>SUMIFS('Clientes Consolidado.'!P:P,'Clientes Consolidado.'!C:C,'Nova Versão '!C16,'Clientes Consolidado.'!B:B,"Fertilizer / Litigation")+SUMIFS('Clientes Consolidado.'!P:P,'Clientes Consolidado.'!C:C,'Nova Versão '!C16,'Clientes Consolidado.'!B:B,"Additive / Litigation")</f>
        <v>0</v>
      </c>
      <c r="AB16" s="288"/>
      <c r="AD16" s="290">
        <f>SUMIFS('Invoiced amount'!I:I,'Invoiced amount'!AH:AH,'Nova Versão '!C16)</f>
        <v>0</v>
      </c>
      <c r="AE16" s="290">
        <f>SUMIFS(Buget!K:K,Buget!E:E,'Nova Versão '!C16)</f>
        <v>57003.999537783973</v>
      </c>
      <c r="AF16" s="264">
        <f t="shared" si="4"/>
        <v>0</v>
      </c>
      <c r="AG16" s="290">
        <f t="shared" si="5"/>
        <v>57003.999537783973</v>
      </c>
    </row>
    <row r="17" spans="1:33" ht="13.8" customHeight="1" x14ac:dyDescent="0.25">
      <c r="A17" s="283"/>
      <c r="B17" s="288" t="str">
        <f>_xlfn.XLOOKUP(C17,'Info Clientes'!A:A,'Info Clientes'!B:B)</f>
        <v>Fertilizer / Litigation</v>
      </c>
      <c r="C17" s="96" t="s">
        <v>189</v>
      </c>
      <c r="D17" s="290">
        <f>_xlfn.XLOOKUP(C17,'Limite de crédito'!C:C,'Limite de crédito'!G:G,0)</f>
        <v>0</v>
      </c>
      <c r="E17" s="290">
        <f t="shared" si="0"/>
        <v>876011.75</v>
      </c>
      <c r="F17" s="290">
        <f>_xlfn.XLOOKUP('Nova Versão '!C17,'Limite de crédito'!C:C,'Limite de crédito'!O:O,0)</f>
        <v>0</v>
      </c>
      <c r="G17" s="291">
        <f t="shared" si="1"/>
        <v>876011.75</v>
      </c>
      <c r="H17" s="292" t="str">
        <f>_xlfn.XLOOKUP(C17,'Info Clientes'!A:A,'Info Clientes'!C:C)</f>
        <v>Litigation</v>
      </c>
      <c r="I17" s="292" t="str">
        <f>IF(_xlfn.XLOOKUP(C17,'Info Clientes'!A:A,'Info Clientes'!D:D,"")=0,"",_xlfn.XLOOKUP(C17,'Info Clientes'!A:A,'Info Clientes'!D:D,""))</f>
        <v/>
      </c>
      <c r="K17" s="290">
        <f t="shared" si="2"/>
        <v>0</v>
      </c>
      <c r="L17" s="290">
        <f>_xlfn.XLOOKUP(C17,'Clientes Consolidado.'!$C:$C,'Clientes Consolidado.'!R:R,0)</f>
        <v>0</v>
      </c>
      <c r="M17" s="290">
        <f>_xlfn.XLOOKUP(C17,'Clientes Consolidado.'!$C:$C,'Clientes Consolidado.'!S:S,0)</f>
        <v>0</v>
      </c>
      <c r="N17" s="290">
        <f>_xlfn.XLOOKUP(C17,'Clientes Consolidado.'!$C:$C,'Clientes Consolidado.'!T:T,0)</f>
        <v>0</v>
      </c>
      <c r="O17" s="290">
        <f>_xlfn.XLOOKUP(C17,'Clientes Consolidado.'!$C:$C,'Clientes Consolidado.'!U:U,0)</f>
        <v>0</v>
      </c>
      <c r="P17" s="290">
        <f>_xlfn.XLOOKUP(C17,'Clientes Consolidado.'!$C:$C,'Clientes Consolidado.'!V:V,0)</f>
        <v>0</v>
      </c>
      <c r="Q17" s="290">
        <f>_xlfn.XLOOKUP(C17,'Clientes Consolidado.'!$C:$C,'Clientes Consolidado.'!W:W,0)</f>
        <v>0</v>
      </c>
      <c r="R17" s="290">
        <f>_xlfn.XLOOKUP(C17,'Clientes Consolidado.'!$C:$C,'Clientes Consolidado.'!X:X,0)</f>
        <v>0</v>
      </c>
      <c r="S17" s="290">
        <f t="shared" si="3"/>
        <v>0</v>
      </c>
      <c r="T17" s="290">
        <f>SUMIFS('Clientes Consolidado.'!I:I,'Clientes Consolidado.'!C:C,C17,'Clientes Consolidado.'!B:B,"Fertilizer")
+SUMIFS('Clientes Consolidado.'!I:I,'Clientes Consolidado.'!C:C,C17,'Clientes Consolidado.'!B:B,"Additive")
+SUMIFS('Clientes Consolidado.'!I:I,'Clientes Consolidado.'!C:C,C17,'Clientes Consolidado.'!B:B,"Additive Intl.")</f>
        <v>0</v>
      </c>
      <c r="U17" s="290">
        <f>SUMIFS('Clientes Consolidado.'!J:J,'Clientes Consolidado.'!C:C,C17,'Clientes Consolidado.'!B:B,"Fertilizer")
+SUMIFS('Clientes Consolidado.'!J:J,'Clientes Consolidado.'!C:C,C17,'Clientes Consolidado.'!B:B,"Additive")
+SUMIFS('Clientes Consolidado.'!J:J,'Clientes Consolidado.'!C:C,C17,'Clientes Consolidado.'!B:B,"Additive Intl.")</f>
        <v>0</v>
      </c>
      <c r="V17" s="290">
        <f>SUMIFS('Clientes Consolidado.'!K:K,'Clientes Consolidado.'!C:C,C17,'Clientes Consolidado.'!B:B,"Fertilizer")
+SUMIFS('Clientes Consolidado.'!K:K,'Clientes Consolidado.'!C:C,C17,'Clientes Consolidado.'!B:B,"Additive")
+SUMIFS('Clientes Consolidado.'!K:K,'Clientes Consolidado.'!C:C,C17,'Clientes Consolidado.'!B:B,"Additive Intl.")</f>
        <v>0</v>
      </c>
      <c r="W17" s="290">
        <f>SUMIFS('Clientes Consolidado.'!L:L,'Clientes Consolidado.'!C:C,C17,'Clientes Consolidado.'!B:B,"Fertilizer")
+SUMIFS('Clientes Consolidado.'!L:L,'Clientes Consolidado.'!C:C,C17,'Clientes Consolidado.'!B:B,"Additive")
+SUMIFS('Clientes Consolidado.'!L:L,'Clientes Consolidado.'!C:C,C17,'Clientes Consolidado.'!B:B,"Additive Intl.")</f>
        <v>0</v>
      </c>
      <c r="X17" s="290">
        <f>SUMIFS('Clientes Consolidado.'!M:M,'Clientes Consolidado.'!C:C,C17,'Clientes Consolidado.'!B:B,"Fertilizer")
+SUMIFS('Clientes Consolidado.'!M:M,'Clientes Consolidado.'!C:C,C17,'Clientes Consolidado.'!B:B,"Additive")
+SUMIFS('Clientes Consolidado.'!M:M,'Clientes Consolidado.'!C:C,C17,'Clientes Consolidado.'!B:B,"Additive Intl.")</f>
        <v>0</v>
      </c>
      <c r="Y17" s="290">
        <f>SUMIFS('Clientes Consolidado.'!N:N,'Clientes Consolidado.'!C:C,C17,'Clientes Consolidado.'!B:B,"Fertilizer")
+SUMIFS('Clientes Consolidado.'!N:N,'Clientes Consolidado.'!C:C,C17,'Clientes Consolidado.'!B:B,"Additive")
+SUMIFS('Clientes Consolidado.'!N:N,'Clientes Consolidado.'!C:C,C17,'Clientes Consolidado.'!B:B,"Additive Intl.")</f>
        <v>0</v>
      </c>
      <c r="Z17" s="290">
        <f>SUMIFS('Clientes Consolidado.'!O:O,'Clientes Consolidado.'!C:C,C17,'Clientes Consolidado.'!B:B,"Fertilizer")
+SUMIFS('Clientes Consolidado.'!O:O,'Clientes Consolidado.'!C:C,C17,'Clientes Consolidado.'!B:B,"Additive")
+SUMIFS('Clientes Consolidado.'!O:O,'Clientes Consolidado.'!C:C,C17,'Clientes Consolidado.'!B:B,"Additive Intl.")</f>
        <v>0</v>
      </c>
      <c r="AA17" s="290">
        <f>SUMIFS('Clientes Consolidado.'!P:P,'Clientes Consolidado.'!C:C,'Nova Versão '!C17,'Clientes Consolidado.'!B:B,"Fertilizer / Litigation")+SUMIFS('Clientes Consolidado.'!P:P,'Clientes Consolidado.'!C:C,'Nova Versão '!C17,'Clientes Consolidado.'!B:B,"Additive / Litigation")</f>
        <v>876011.75</v>
      </c>
      <c r="AB17" s="288"/>
      <c r="AD17" s="290">
        <f>SUMIFS('Invoiced amount'!I:I,'Invoiced amount'!AH:AH,'Nova Versão '!C17)</f>
        <v>0</v>
      </c>
      <c r="AE17" s="290">
        <f>SUMIFS(Buget!K:K,Buget!E:E,'Nova Versão '!C17)</f>
        <v>0</v>
      </c>
      <c r="AF17" s="264" t="str">
        <f t="shared" si="4"/>
        <v/>
      </c>
      <c r="AG17" s="290">
        <f t="shared" si="5"/>
        <v>0</v>
      </c>
    </row>
    <row r="18" spans="1:33" ht="13.8" customHeight="1" x14ac:dyDescent="0.25">
      <c r="A18" s="283"/>
      <c r="B18" s="288" t="str">
        <f>_xlfn.XLOOKUP(C18,'Info Clientes'!A:A,'Info Clientes'!B:B)</f>
        <v>Additive</v>
      </c>
      <c r="C18" s="96" t="s">
        <v>489</v>
      </c>
      <c r="D18" s="290">
        <f>_xlfn.XLOOKUP(C18,'Limite de crédito'!C:C,'Limite de crédito'!G:G,0)</f>
        <v>1500000</v>
      </c>
      <c r="E18" s="290">
        <f t="shared" si="0"/>
        <v>815885.6</v>
      </c>
      <c r="F18" s="290">
        <f>_xlfn.XLOOKUP('Nova Versão '!C18,'Limite de crédito'!C:C,'Limite de crédito'!O:O,0)</f>
        <v>1500000</v>
      </c>
      <c r="G18" s="291">
        <f t="shared" si="1"/>
        <v>0</v>
      </c>
      <c r="H18" s="292" t="str">
        <f>_xlfn.XLOOKUP(C18,'Info Clientes'!A:A,'Info Clientes'!C:C)</f>
        <v>Guarantee or credit</v>
      </c>
      <c r="I18" s="292" t="str">
        <f>IF(_xlfn.XLOOKUP(C18,'Info Clientes'!A:A,'Info Clientes'!D:D,"")=0,"",_xlfn.XLOOKUP(C18,'Info Clientes'!A:A,'Info Clientes'!D:D,""))</f>
        <v/>
      </c>
      <c r="K18" s="290">
        <f t="shared" si="2"/>
        <v>815885.6</v>
      </c>
      <c r="L18" s="290">
        <f>_xlfn.XLOOKUP(C18,'Clientes Consolidado.'!$C:$C,'Clientes Consolidado.'!R:R,0)</f>
        <v>815885.6</v>
      </c>
      <c r="M18" s="290">
        <f>_xlfn.XLOOKUP(C18,'Clientes Consolidado.'!$C:$C,'Clientes Consolidado.'!S:S,0)</f>
        <v>0</v>
      </c>
      <c r="N18" s="290">
        <f>_xlfn.XLOOKUP(C18,'Clientes Consolidado.'!$C:$C,'Clientes Consolidado.'!T:T,0)</f>
        <v>0</v>
      </c>
      <c r="O18" s="290">
        <f>_xlfn.XLOOKUP(C18,'Clientes Consolidado.'!$C:$C,'Clientes Consolidado.'!U:U,0)</f>
        <v>0</v>
      </c>
      <c r="P18" s="290">
        <f>_xlfn.XLOOKUP(C18,'Clientes Consolidado.'!$C:$C,'Clientes Consolidado.'!V:V,0)</f>
        <v>0</v>
      </c>
      <c r="Q18" s="290">
        <f>_xlfn.XLOOKUP(C18,'Clientes Consolidado.'!$C:$C,'Clientes Consolidado.'!W:W,0)</f>
        <v>0</v>
      </c>
      <c r="R18" s="290">
        <f>_xlfn.XLOOKUP(C18,'Clientes Consolidado.'!$C:$C,'Clientes Consolidado.'!X:X,0)</f>
        <v>0</v>
      </c>
      <c r="S18" s="290">
        <f t="shared" si="3"/>
        <v>0</v>
      </c>
      <c r="T18" s="290">
        <f>SUMIFS('Clientes Consolidado.'!I:I,'Clientes Consolidado.'!C:C,C18,'Clientes Consolidado.'!B:B,"Fertilizer")
+SUMIFS('Clientes Consolidado.'!I:I,'Clientes Consolidado.'!C:C,C18,'Clientes Consolidado.'!B:B,"Additive")
+SUMIFS('Clientes Consolidado.'!I:I,'Clientes Consolidado.'!C:C,C18,'Clientes Consolidado.'!B:B,"Additive Intl.")</f>
        <v>0</v>
      </c>
      <c r="U18" s="290">
        <f>SUMIFS('Clientes Consolidado.'!J:J,'Clientes Consolidado.'!C:C,C18,'Clientes Consolidado.'!B:B,"Fertilizer")
+SUMIFS('Clientes Consolidado.'!J:J,'Clientes Consolidado.'!C:C,C18,'Clientes Consolidado.'!B:B,"Additive")
+SUMIFS('Clientes Consolidado.'!J:J,'Clientes Consolidado.'!C:C,C18,'Clientes Consolidado.'!B:B,"Additive Intl.")</f>
        <v>0</v>
      </c>
      <c r="V18" s="290">
        <f>SUMIFS('Clientes Consolidado.'!K:K,'Clientes Consolidado.'!C:C,C18,'Clientes Consolidado.'!B:B,"Fertilizer")
+SUMIFS('Clientes Consolidado.'!K:K,'Clientes Consolidado.'!C:C,C18,'Clientes Consolidado.'!B:B,"Additive")
+SUMIFS('Clientes Consolidado.'!K:K,'Clientes Consolidado.'!C:C,C18,'Clientes Consolidado.'!B:B,"Additive Intl.")</f>
        <v>0</v>
      </c>
      <c r="W18" s="290">
        <f>SUMIFS('Clientes Consolidado.'!L:L,'Clientes Consolidado.'!C:C,C18,'Clientes Consolidado.'!B:B,"Fertilizer")
+SUMIFS('Clientes Consolidado.'!L:L,'Clientes Consolidado.'!C:C,C18,'Clientes Consolidado.'!B:B,"Additive")
+SUMIFS('Clientes Consolidado.'!L:L,'Clientes Consolidado.'!C:C,C18,'Clientes Consolidado.'!B:B,"Additive Intl.")</f>
        <v>0</v>
      </c>
      <c r="X18" s="290">
        <f>SUMIFS('Clientes Consolidado.'!M:M,'Clientes Consolidado.'!C:C,C18,'Clientes Consolidado.'!B:B,"Fertilizer")
+SUMIFS('Clientes Consolidado.'!M:M,'Clientes Consolidado.'!C:C,C18,'Clientes Consolidado.'!B:B,"Additive")
+SUMIFS('Clientes Consolidado.'!M:M,'Clientes Consolidado.'!C:C,C18,'Clientes Consolidado.'!B:B,"Additive Intl.")</f>
        <v>0</v>
      </c>
      <c r="Y18" s="290">
        <f>SUMIFS('Clientes Consolidado.'!N:N,'Clientes Consolidado.'!C:C,C18,'Clientes Consolidado.'!B:B,"Fertilizer")
+SUMIFS('Clientes Consolidado.'!N:N,'Clientes Consolidado.'!C:C,C18,'Clientes Consolidado.'!B:B,"Additive")
+SUMIFS('Clientes Consolidado.'!N:N,'Clientes Consolidado.'!C:C,C18,'Clientes Consolidado.'!B:B,"Additive Intl.")</f>
        <v>0</v>
      </c>
      <c r="Z18" s="290">
        <f>SUMIFS('Clientes Consolidado.'!O:O,'Clientes Consolidado.'!C:C,C18,'Clientes Consolidado.'!B:B,"Fertilizer")
+SUMIFS('Clientes Consolidado.'!O:O,'Clientes Consolidado.'!C:C,C18,'Clientes Consolidado.'!B:B,"Additive")
+SUMIFS('Clientes Consolidado.'!O:O,'Clientes Consolidado.'!C:C,C18,'Clientes Consolidado.'!B:B,"Additive Intl.")</f>
        <v>0</v>
      </c>
      <c r="AA18" s="290">
        <f>SUMIFS('Clientes Consolidado.'!P:P,'Clientes Consolidado.'!C:C,'Nova Versão '!C18,'Clientes Consolidado.'!B:B,"Fertilizer / Litigation")+SUMIFS('Clientes Consolidado.'!P:P,'Clientes Consolidado.'!C:C,'Nova Versão '!C18,'Clientes Consolidado.'!B:B,"Additive / Litigation")</f>
        <v>0</v>
      </c>
      <c r="AB18" s="288"/>
      <c r="AD18" s="290">
        <f>SUMIFS('Invoiced amount'!I:I,'Invoiced amount'!AH:AH,'Nova Versão '!C18)</f>
        <v>2226421.4</v>
      </c>
      <c r="AE18" s="290">
        <f>SUMIFS(Buget!K:K,Buget!E:E,'Nova Versão '!C18)</f>
        <v>4967550</v>
      </c>
      <c r="AF18" s="264">
        <f t="shared" si="4"/>
        <v>0.448193052913408</v>
      </c>
      <c r="AG18" s="290">
        <f t="shared" si="5"/>
        <v>2741128.6</v>
      </c>
    </row>
    <row r="19" spans="1:33" ht="13.8" customHeight="1" x14ac:dyDescent="0.25">
      <c r="A19" s="283"/>
      <c r="B19" s="288" t="str">
        <f>_xlfn.XLOOKUP(C19,'Info Clientes'!A:A,'Info Clientes'!B:B)</f>
        <v>Fertilizer</v>
      </c>
      <c r="C19" s="234" t="s">
        <v>494</v>
      </c>
      <c r="D19" s="290">
        <f>_xlfn.XLOOKUP(C19,'Limite de crédito'!C:C,'Limite de crédito'!G:G,0)</f>
        <v>500000</v>
      </c>
      <c r="E19" s="290">
        <f t="shared" si="0"/>
        <v>739540.06</v>
      </c>
      <c r="F19" s="290">
        <f>_xlfn.XLOOKUP('Nova Versão '!C19,'Limite de crédito'!C:C,'Limite de crédito'!O:O,0)</f>
        <v>500000</v>
      </c>
      <c r="G19" s="291">
        <f>MAX(E19-F19,0)</f>
        <v>239540.06000000006</v>
      </c>
      <c r="H19" s="292" t="str">
        <f>_xlfn.XLOOKUP(C19,'Info Clientes'!A:A,'Info Clientes'!C:C)</f>
        <v>Guarantee or credit</v>
      </c>
      <c r="I19" s="292" t="str">
        <f>IF(_xlfn.XLOOKUP(C19,'Info Clientes'!A:A,'Info Clientes'!D:D,"")=0,"",_xlfn.XLOOKUP(C19,'Info Clientes'!A:A,'Info Clientes'!D:D,""))</f>
        <v>Coverage via Coface insurance company in the amount of 500k.</v>
      </c>
      <c r="K19" s="290">
        <f t="shared" si="2"/>
        <v>739540.06</v>
      </c>
      <c r="L19" s="290">
        <f>_xlfn.XLOOKUP(C19,'Clientes Consolidado.'!$C:$C,'Clientes Consolidado.'!R:R,0)</f>
        <v>0</v>
      </c>
      <c r="M19" s="290">
        <f>_xlfn.XLOOKUP(C19,'Clientes Consolidado.'!$C:$C,'Clientes Consolidado.'!S:S,0)</f>
        <v>0</v>
      </c>
      <c r="N19" s="290">
        <f>_xlfn.XLOOKUP(C19,'Clientes Consolidado.'!$C:$C,'Clientes Consolidado.'!T:T,0)</f>
        <v>739540.06</v>
      </c>
      <c r="O19" s="290">
        <f>_xlfn.XLOOKUP(C19,'Clientes Consolidado.'!$C:$C,'Clientes Consolidado.'!U:U,0)</f>
        <v>0</v>
      </c>
      <c r="P19" s="290">
        <f>_xlfn.XLOOKUP(C19,'Clientes Consolidado.'!$C:$C,'Clientes Consolidado.'!V:V,0)</f>
        <v>0</v>
      </c>
      <c r="Q19" s="290">
        <f>_xlfn.XLOOKUP(C19,'Clientes Consolidado.'!$C:$C,'Clientes Consolidado.'!W:W,0)</f>
        <v>0</v>
      </c>
      <c r="R19" s="290">
        <f>_xlfn.XLOOKUP(C19,'Clientes Consolidado.'!$C:$C,'Clientes Consolidado.'!X:X,0)</f>
        <v>0</v>
      </c>
      <c r="S19" s="290">
        <f t="shared" si="3"/>
        <v>0</v>
      </c>
      <c r="T19" s="290">
        <f>SUMIFS('Clientes Consolidado.'!I:I,'Clientes Consolidado.'!C:C,C19,'Clientes Consolidado.'!B:B,"Fertilizer")
+SUMIFS('Clientes Consolidado.'!I:I,'Clientes Consolidado.'!C:C,C19,'Clientes Consolidado.'!B:B,"Additive")
+SUMIFS('Clientes Consolidado.'!I:I,'Clientes Consolidado.'!C:C,C19,'Clientes Consolidado.'!B:B,"Additive Intl.")</f>
        <v>0</v>
      </c>
      <c r="U19" s="290">
        <f>SUMIFS('Clientes Consolidado.'!J:J,'Clientes Consolidado.'!C:C,C19,'Clientes Consolidado.'!B:B,"Fertilizer")
+SUMIFS('Clientes Consolidado.'!J:J,'Clientes Consolidado.'!C:C,C19,'Clientes Consolidado.'!B:B,"Additive")
+SUMIFS('Clientes Consolidado.'!J:J,'Clientes Consolidado.'!C:C,C19,'Clientes Consolidado.'!B:B,"Additive Intl.")</f>
        <v>0</v>
      </c>
      <c r="V19" s="290">
        <f>SUMIFS('Clientes Consolidado.'!K:K,'Clientes Consolidado.'!C:C,C19,'Clientes Consolidado.'!B:B,"Fertilizer")
+SUMIFS('Clientes Consolidado.'!K:K,'Clientes Consolidado.'!C:C,C19,'Clientes Consolidado.'!B:B,"Additive")
+SUMIFS('Clientes Consolidado.'!K:K,'Clientes Consolidado.'!C:C,C19,'Clientes Consolidado.'!B:B,"Additive Intl.")</f>
        <v>0</v>
      </c>
      <c r="W19" s="290">
        <f>SUMIFS('Clientes Consolidado.'!L:L,'Clientes Consolidado.'!C:C,C19,'Clientes Consolidado.'!B:B,"Fertilizer")
+SUMIFS('Clientes Consolidado.'!L:L,'Clientes Consolidado.'!C:C,C19,'Clientes Consolidado.'!B:B,"Additive")
+SUMIFS('Clientes Consolidado.'!L:L,'Clientes Consolidado.'!C:C,C19,'Clientes Consolidado.'!B:B,"Additive Intl.")</f>
        <v>0</v>
      </c>
      <c r="X19" s="290">
        <f>SUMIFS('Clientes Consolidado.'!M:M,'Clientes Consolidado.'!C:C,C19,'Clientes Consolidado.'!B:B,"Fertilizer")
+SUMIFS('Clientes Consolidado.'!M:M,'Clientes Consolidado.'!C:C,C19,'Clientes Consolidado.'!B:B,"Additive")
+SUMIFS('Clientes Consolidado.'!M:M,'Clientes Consolidado.'!C:C,C19,'Clientes Consolidado.'!B:B,"Additive Intl.")</f>
        <v>0</v>
      </c>
      <c r="Y19" s="290">
        <f>SUMIFS('Clientes Consolidado.'!N:N,'Clientes Consolidado.'!C:C,C19,'Clientes Consolidado.'!B:B,"Fertilizer")
+SUMIFS('Clientes Consolidado.'!N:N,'Clientes Consolidado.'!C:C,C19,'Clientes Consolidado.'!B:B,"Additive")
+SUMIFS('Clientes Consolidado.'!N:N,'Clientes Consolidado.'!C:C,C19,'Clientes Consolidado.'!B:B,"Additive Intl.")</f>
        <v>0</v>
      </c>
      <c r="Z19" s="290">
        <f>SUMIFS('Clientes Consolidado.'!O:O,'Clientes Consolidado.'!C:C,C19,'Clientes Consolidado.'!B:B,"Fertilizer")
+SUMIFS('Clientes Consolidado.'!O:O,'Clientes Consolidado.'!C:C,C19,'Clientes Consolidado.'!B:B,"Additive")
+SUMIFS('Clientes Consolidado.'!O:O,'Clientes Consolidado.'!C:C,C19,'Clientes Consolidado.'!B:B,"Additive Intl.")</f>
        <v>0</v>
      </c>
      <c r="AA19" s="290">
        <f>SUMIFS('Clientes Consolidado.'!P:P,'Clientes Consolidado.'!C:C,'Nova Versão '!C19,'Clientes Consolidado.'!B:B,"Fertilizer / Litigation")+SUMIFS('Clientes Consolidado.'!P:P,'Clientes Consolidado.'!C:C,'Nova Versão '!C19,'Clientes Consolidado.'!B:B,"Additive / Litigation")</f>
        <v>0</v>
      </c>
      <c r="AB19" s="288"/>
      <c r="AD19" s="290">
        <f>SUMIFS('Invoiced amount'!I:I,'Invoiced amount'!AH:AH,'Nova Versão '!C19)</f>
        <v>0</v>
      </c>
      <c r="AE19" s="290">
        <f>SUMIFS(Buget!K:K,Buget!E:E,'Nova Versão '!C19)</f>
        <v>325986.33128486166</v>
      </c>
      <c r="AF19" s="264">
        <f t="shared" si="4"/>
        <v>0</v>
      </c>
      <c r="AG19" s="290">
        <f t="shared" si="5"/>
        <v>325986.33128486166</v>
      </c>
    </row>
    <row r="20" spans="1:33" ht="13.8" customHeight="1" x14ac:dyDescent="0.25">
      <c r="A20" s="283"/>
      <c r="B20" s="288" t="str">
        <f>_xlfn.XLOOKUP(C20,'Info Clientes'!A:A,'Info Clientes'!B:B)</f>
        <v>Additive</v>
      </c>
      <c r="C20" s="234" t="s">
        <v>15419</v>
      </c>
      <c r="D20" s="290">
        <f>_xlfn.XLOOKUP(C20,'Limite de crédito'!C:C,'Limite de crédito'!G:G,0)</f>
        <v>1500000</v>
      </c>
      <c r="E20" s="290">
        <f t="shared" si="0"/>
        <v>710879.20000000007</v>
      </c>
      <c r="F20" s="290">
        <f>_xlfn.XLOOKUP('Nova Versão '!C20,'Limite de crédito'!C:C,'Limite de crédito'!O:O,0)</f>
        <v>1500000</v>
      </c>
      <c r="G20" s="291">
        <f t="shared" si="1"/>
        <v>0</v>
      </c>
      <c r="H20" s="292" t="str">
        <f>_xlfn.XLOOKUP(C20,'Info Clientes'!A:A,'Info Clientes'!C:C)</f>
        <v>Guarantee or credit</v>
      </c>
      <c r="I20" s="292" t="str">
        <f>IF(_xlfn.XLOOKUP(C20,'Info Clientes'!A:A,'Info Clientes'!D:D,"")=0,"",_xlfn.XLOOKUP(C20,'Info Clientes'!A:A,'Info Clientes'!D:D,""))</f>
        <v/>
      </c>
      <c r="K20" s="290">
        <f t="shared" si="2"/>
        <v>710879.20000000007</v>
      </c>
      <c r="L20" s="290">
        <f>_xlfn.XLOOKUP(C20,'Clientes Consolidado.'!$C:$C,'Clientes Consolidado.'!R:R,0)</f>
        <v>0</v>
      </c>
      <c r="M20" s="290">
        <f>_xlfn.XLOOKUP(C20,'Clientes Consolidado.'!$C:$C,'Clientes Consolidado.'!S:S,0)</f>
        <v>355675.60000000003</v>
      </c>
      <c r="N20" s="290">
        <f>_xlfn.XLOOKUP(C20,'Clientes Consolidado.'!$C:$C,'Clientes Consolidado.'!T:T,0)</f>
        <v>355203.60000000003</v>
      </c>
      <c r="O20" s="290">
        <f>_xlfn.XLOOKUP(C20,'Clientes Consolidado.'!$C:$C,'Clientes Consolidado.'!U:U,0)</f>
        <v>0</v>
      </c>
      <c r="P20" s="290">
        <f>_xlfn.XLOOKUP(C20,'Clientes Consolidado.'!$C:$C,'Clientes Consolidado.'!V:V,0)</f>
        <v>0</v>
      </c>
      <c r="Q20" s="290">
        <f>_xlfn.XLOOKUP(C20,'Clientes Consolidado.'!$C:$C,'Clientes Consolidado.'!W:W,0)</f>
        <v>0</v>
      </c>
      <c r="R20" s="290">
        <f>_xlfn.XLOOKUP(C20,'Clientes Consolidado.'!$C:$C,'Clientes Consolidado.'!X:X,0)</f>
        <v>0</v>
      </c>
      <c r="S20" s="290">
        <f t="shared" si="3"/>
        <v>0</v>
      </c>
      <c r="T20" s="290">
        <f>SUMIFS('Clientes Consolidado.'!I:I,'Clientes Consolidado.'!C:C,C20,'Clientes Consolidado.'!B:B,"Fertilizer")
+SUMIFS('Clientes Consolidado.'!I:I,'Clientes Consolidado.'!C:C,C20,'Clientes Consolidado.'!B:B,"Additive")
+SUMIFS('Clientes Consolidado.'!I:I,'Clientes Consolidado.'!C:C,C20,'Clientes Consolidado.'!B:B,"Additive Intl.")</f>
        <v>0</v>
      </c>
      <c r="U20" s="290">
        <f>SUMIFS('Clientes Consolidado.'!J:J,'Clientes Consolidado.'!C:C,C20,'Clientes Consolidado.'!B:B,"Fertilizer")
+SUMIFS('Clientes Consolidado.'!J:J,'Clientes Consolidado.'!C:C,C20,'Clientes Consolidado.'!B:B,"Additive")
+SUMIFS('Clientes Consolidado.'!J:J,'Clientes Consolidado.'!C:C,C20,'Clientes Consolidado.'!B:B,"Additive Intl.")</f>
        <v>0</v>
      </c>
      <c r="V20" s="290">
        <f>SUMIFS('Clientes Consolidado.'!K:K,'Clientes Consolidado.'!C:C,C20,'Clientes Consolidado.'!B:B,"Fertilizer")
+SUMIFS('Clientes Consolidado.'!K:K,'Clientes Consolidado.'!C:C,C20,'Clientes Consolidado.'!B:B,"Additive")
+SUMIFS('Clientes Consolidado.'!K:K,'Clientes Consolidado.'!C:C,C20,'Clientes Consolidado.'!B:B,"Additive Intl.")</f>
        <v>0</v>
      </c>
      <c r="W20" s="290">
        <f>SUMIFS('Clientes Consolidado.'!L:L,'Clientes Consolidado.'!C:C,C20,'Clientes Consolidado.'!B:B,"Fertilizer")
+SUMIFS('Clientes Consolidado.'!L:L,'Clientes Consolidado.'!C:C,C20,'Clientes Consolidado.'!B:B,"Additive")
+SUMIFS('Clientes Consolidado.'!L:L,'Clientes Consolidado.'!C:C,C20,'Clientes Consolidado.'!B:B,"Additive Intl.")</f>
        <v>0</v>
      </c>
      <c r="X20" s="290">
        <f>SUMIFS('Clientes Consolidado.'!M:M,'Clientes Consolidado.'!C:C,C20,'Clientes Consolidado.'!B:B,"Fertilizer")
+SUMIFS('Clientes Consolidado.'!M:M,'Clientes Consolidado.'!C:C,C20,'Clientes Consolidado.'!B:B,"Additive")
+SUMIFS('Clientes Consolidado.'!M:M,'Clientes Consolidado.'!C:C,C20,'Clientes Consolidado.'!B:B,"Additive Intl.")</f>
        <v>0</v>
      </c>
      <c r="Y20" s="290">
        <f>SUMIFS('Clientes Consolidado.'!N:N,'Clientes Consolidado.'!C:C,C20,'Clientes Consolidado.'!B:B,"Fertilizer")
+SUMIFS('Clientes Consolidado.'!N:N,'Clientes Consolidado.'!C:C,C20,'Clientes Consolidado.'!B:B,"Additive")
+SUMIFS('Clientes Consolidado.'!N:N,'Clientes Consolidado.'!C:C,C20,'Clientes Consolidado.'!B:B,"Additive Intl.")</f>
        <v>0</v>
      </c>
      <c r="Z20" s="290">
        <f>SUMIFS('Clientes Consolidado.'!O:O,'Clientes Consolidado.'!C:C,C20,'Clientes Consolidado.'!B:B,"Fertilizer")
+SUMIFS('Clientes Consolidado.'!O:O,'Clientes Consolidado.'!C:C,C20,'Clientes Consolidado.'!B:B,"Additive")
+SUMIFS('Clientes Consolidado.'!O:O,'Clientes Consolidado.'!C:C,C20,'Clientes Consolidado.'!B:B,"Additive Intl.")</f>
        <v>0</v>
      </c>
      <c r="AA20" s="290">
        <f>SUMIFS('Clientes Consolidado.'!P:P,'Clientes Consolidado.'!C:C,'Nova Versão '!C20,'Clientes Consolidado.'!B:B,"Fertilizer / Litigation")+SUMIFS('Clientes Consolidado.'!P:P,'Clientes Consolidado.'!C:C,'Nova Versão '!C20,'Clientes Consolidado.'!B:B,"Additive / Litigation")</f>
        <v>0</v>
      </c>
      <c r="AB20" s="288"/>
      <c r="AD20" s="290">
        <f>SUMIFS('Invoiced amount'!I:I,'Invoiced amount'!AH:AH,'Nova Versão '!C20)</f>
        <v>2497258.8000000007</v>
      </c>
      <c r="AE20" s="290">
        <f>SUMIFS(Buget!K:K,Buget!E:E,'Nova Versão '!C20)</f>
        <v>4410300</v>
      </c>
      <c r="AF20" s="264">
        <f t="shared" si="4"/>
        <v>0.56623331746139738</v>
      </c>
      <c r="AG20" s="290">
        <f t="shared" si="5"/>
        <v>1913041.1999999993</v>
      </c>
    </row>
    <row r="21" spans="1:33" ht="13.8" customHeight="1" x14ac:dyDescent="0.25">
      <c r="A21" s="283"/>
      <c r="B21" s="288" t="str">
        <f>_xlfn.XLOOKUP(C21,'Info Clientes'!A:A,'Info Clientes'!B:B)</f>
        <v>Additive</v>
      </c>
      <c r="C21" s="96" t="s">
        <v>25</v>
      </c>
      <c r="D21" s="290">
        <f>_xlfn.XLOOKUP(C21,'Limite de crédito'!C:C,'Limite de crédito'!G:G,0)</f>
        <v>2600000</v>
      </c>
      <c r="E21" s="290">
        <f t="shared" si="0"/>
        <v>693727.1</v>
      </c>
      <c r="F21" s="290">
        <f>_xlfn.XLOOKUP('Nova Versão '!C21,'Limite de crédito'!C:C,'Limite de crédito'!O:O,0)</f>
        <v>2600000</v>
      </c>
      <c r="G21" s="291">
        <f t="shared" si="1"/>
        <v>0</v>
      </c>
      <c r="H21" s="292" t="str">
        <f>_xlfn.XLOOKUP(C21,'Info Clientes'!A:A,'Info Clientes'!C:C)</f>
        <v>Guarantee or credit</v>
      </c>
      <c r="I21" s="292" t="str">
        <f>IF(_xlfn.XLOOKUP(C21,'Info Clientes'!A:A,'Info Clientes'!D:D,"")=0,"",_xlfn.XLOOKUP(C21,'Info Clientes'!A:A,'Info Clientes'!D:D,""))</f>
        <v/>
      </c>
      <c r="K21" s="290">
        <f t="shared" si="2"/>
        <v>693727.1</v>
      </c>
      <c r="L21" s="290">
        <f>_xlfn.XLOOKUP(C21,'Clientes Consolidado.'!$C:$C,'Clientes Consolidado.'!R:R,0)</f>
        <v>693727.1</v>
      </c>
      <c r="M21" s="290">
        <f>_xlfn.XLOOKUP(C21,'Clientes Consolidado.'!$C:$C,'Clientes Consolidado.'!S:S,0)</f>
        <v>0</v>
      </c>
      <c r="N21" s="290">
        <f>_xlfn.XLOOKUP(C21,'Clientes Consolidado.'!$C:$C,'Clientes Consolidado.'!T:T,0)</f>
        <v>0</v>
      </c>
      <c r="O21" s="290">
        <f>_xlfn.XLOOKUP(C21,'Clientes Consolidado.'!$C:$C,'Clientes Consolidado.'!U:U,0)</f>
        <v>0</v>
      </c>
      <c r="P21" s="290">
        <f>_xlfn.XLOOKUP(C21,'Clientes Consolidado.'!$C:$C,'Clientes Consolidado.'!V:V,0)</f>
        <v>0</v>
      </c>
      <c r="Q21" s="290">
        <f>_xlfn.XLOOKUP(C21,'Clientes Consolidado.'!$C:$C,'Clientes Consolidado.'!W:W,0)</f>
        <v>0</v>
      </c>
      <c r="R21" s="290">
        <f>_xlfn.XLOOKUP(C21,'Clientes Consolidado.'!$C:$C,'Clientes Consolidado.'!X:X,0)</f>
        <v>0</v>
      </c>
      <c r="S21" s="290">
        <f t="shared" si="3"/>
        <v>0</v>
      </c>
      <c r="T21" s="290">
        <f>SUMIFS('Clientes Consolidado.'!I:I,'Clientes Consolidado.'!C:C,C21,'Clientes Consolidado.'!B:B,"Fertilizer")
+SUMIFS('Clientes Consolidado.'!I:I,'Clientes Consolidado.'!C:C,C21,'Clientes Consolidado.'!B:B,"Additive")
+SUMIFS('Clientes Consolidado.'!I:I,'Clientes Consolidado.'!C:C,C21,'Clientes Consolidado.'!B:B,"Additive Intl.")</f>
        <v>0</v>
      </c>
      <c r="U21" s="290">
        <f>SUMIFS('Clientes Consolidado.'!J:J,'Clientes Consolidado.'!C:C,C21,'Clientes Consolidado.'!B:B,"Fertilizer")
+SUMIFS('Clientes Consolidado.'!J:J,'Clientes Consolidado.'!C:C,C21,'Clientes Consolidado.'!B:B,"Additive")
+SUMIFS('Clientes Consolidado.'!J:J,'Clientes Consolidado.'!C:C,C21,'Clientes Consolidado.'!B:B,"Additive Intl.")</f>
        <v>0</v>
      </c>
      <c r="V21" s="290">
        <f>SUMIFS('Clientes Consolidado.'!K:K,'Clientes Consolidado.'!C:C,C21,'Clientes Consolidado.'!B:B,"Fertilizer")
+SUMIFS('Clientes Consolidado.'!K:K,'Clientes Consolidado.'!C:C,C21,'Clientes Consolidado.'!B:B,"Additive")
+SUMIFS('Clientes Consolidado.'!K:K,'Clientes Consolidado.'!C:C,C21,'Clientes Consolidado.'!B:B,"Additive Intl.")</f>
        <v>0</v>
      </c>
      <c r="W21" s="290">
        <f>SUMIFS('Clientes Consolidado.'!L:L,'Clientes Consolidado.'!C:C,C21,'Clientes Consolidado.'!B:B,"Fertilizer")
+SUMIFS('Clientes Consolidado.'!L:L,'Clientes Consolidado.'!C:C,C21,'Clientes Consolidado.'!B:B,"Additive")
+SUMIFS('Clientes Consolidado.'!L:L,'Clientes Consolidado.'!C:C,C21,'Clientes Consolidado.'!B:B,"Additive Intl.")</f>
        <v>0</v>
      </c>
      <c r="X21" s="290">
        <f>SUMIFS('Clientes Consolidado.'!M:M,'Clientes Consolidado.'!C:C,C21,'Clientes Consolidado.'!B:B,"Fertilizer")
+SUMIFS('Clientes Consolidado.'!M:M,'Clientes Consolidado.'!C:C,C21,'Clientes Consolidado.'!B:B,"Additive")
+SUMIFS('Clientes Consolidado.'!M:M,'Clientes Consolidado.'!C:C,C21,'Clientes Consolidado.'!B:B,"Additive Intl.")</f>
        <v>0</v>
      </c>
      <c r="Y21" s="290">
        <f>SUMIFS('Clientes Consolidado.'!N:N,'Clientes Consolidado.'!C:C,C21,'Clientes Consolidado.'!B:B,"Fertilizer")
+SUMIFS('Clientes Consolidado.'!N:N,'Clientes Consolidado.'!C:C,C21,'Clientes Consolidado.'!B:B,"Additive")
+SUMIFS('Clientes Consolidado.'!N:N,'Clientes Consolidado.'!C:C,C21,'Clientes Consolidado.'!B:B,"Additive Intl.")</f>
        <v>0</v>
      </c>
      <c r="Z21" s="290">
        <f>SUMIFS('Clientes Consolidado.'!O:O,'Clientes Consolidado.'!C:C,C21,'Clientes Consolidado.'!B:B,"Fertilizer")
+SUMIFS('Clientes Consolidado.'!O:O,'Clientes Consolidado.'!C:C,C21,'Clientes Consolidado.'!B:B,"Additive")
+SUMIFS('Clientes Consolidado.'!O:O,'Clientes Consolidado.'!C:C,C21,'Clientes Consolidado.'!B:B,"Additive Intl.")</f>
        <v>0</v>
      </c>
      <c r="AA21" s="290">
        <f>SUMIFS('Clientes Consolidado.'!P:P,'Clientes Consolidado.'!C:C,'Nova Versão '!C21,'Clientes Consolidado.'!B:B,"Fertilizer / Litigation")+SUMIFS('Clientes Consolidado.'!P:P,'Clientes Consolidado.'!C:C,'Nova Versão '!C21,'Clientes Consolidado.'!B:B,"Additive / Litigation")</f>
        <v>0</v>
      </c>
      <c r="AB21" s="288"/>
      <c r="AD21" s="290">
        <f>SUMIFS('Invoiced amount'!I:I,'Invoiced amount'!AH:AH,'Nova Versão '!C21)</f>
        <v>3467645</v>
      </c>
      <c r="AE21" s="290">
        <f>SUMIFS(Buget!K:K,Buget!E:E,'Nova Versão '!C21)</f>
        <v>9477000</v>
      </c>
      <c r="AF21" s="264">
        <f t="shared" si="4"/>
        <v>0.36590112904927719</v>
      </c>
      <c r="AG21" s="290">
        <f t="shared" si="5"/>
        <v>6009355</v>
      </c>
    </row>
    <row r="22" spans="1:33" ht="13.8" customHeight="1" x14ac:dyDescent="0.25">
      <c r="A22" s="283"/>
      <c r="B22" s="288" t="str">
        <f>_xlfn.XLOOKUP(C22,'Info Clientes'!A:A,'Info Clientes'!B:B)</f>
        <v>Additive Intl.</v>
      </c>
      <c r="C22" s="96" t="s">
        <v>264</v>
      </c>
      <c r="D22" s="290">
        <f>_xlfn.XLOOKUP(C22,'Limite de crédito'!C:C,'Limite de crédito'!G:G,0)</f>
        <v>750000</v>
      </c>
      <c r="E22" s="290">
        <f t="shared" si="0"/>
        <v>645640.82999999996</v>
      </c>
      <c r="F22" s="290">
        <f>_xlfn.XLOOKUP('Nova Versão '!C22,'Limite de crédito'!C:C,'Limite de crédito'!O:O,0)</f>
        <v>550000</v>
      </c>
      <c r="G22" s="291">
        <f t="shared" si="1"/>
        <v>95640.829999999958</v>
      </c>
      <c r="H22" s="292" t="str">
        <f>_xlfn.XLOOKUP(C22,'Info Clientes'!A:A,'Info Clientes'!C:C)</f>
        <v>Guarantee or credit + Credit approved based on credit rating</v>
      </c>
      <c r="I22" s="292" t="str">
        <f>IF(_xlfn.XLOOKUP(C22,'Info Clientes'!A:A,'Info Clientes'!D:D,"")=0,"",_xlfn.XLOOKUP(C22,'Info Clientes'!A:A,'Info Clientes'!D:D,""))</f>
        <v/>
      </c>
      <c r="K22" s="290">
        <f t="shared" si="2"/>
        <v>453681.62</v>
      </c>
      <c r="L22" s="290">
        <f>_xlfn.XLOOKUP(C22,'Clientes Consolidado.'!$C:$C,'Clientes Consolidado.'!R:R,0)</f>
        <v>453681.62</v>
      </c>
      <c r="M22" s="290">
        <f>_xlfn.XLOOKUP(C22,'Clientes Consolidado.'!$C:$C,'Clientes Consolidado.'!S:S,0)</f>
        <v>0</v>
      </c>
      <c r="N22" s="290">
        <f>_xlfn.XLOOKUP(C22,'Clientes Consolidado.'!$C:$C,'Clientes Consolidado.'!T:T,0)</f>
        <v>0</v>
      </c>
      <c r="O22" s="290">
        <f>_xlfn.XLOOKUP(C22,'Clientes Consolidado.'!$C:$C,'Clientes Consolidado.'!U:U,0)</f>
        <v>0</v>
      </c>
      <c r="P22" s="290">
        <f>_xlfn.XLOOKUP(C22,'Clientes Consolidado.'!$C:$C,'Clientes Consolidado.'!V:V,0)</f>
        <v>0</v>
      </c>
      <c r="Q22" s="290">
        <f>_xlfn.XLOOKUP(C22,'Clientes Consolidado.'!$C:$C,'Clientes Consolidado.'!W:W,0)</f>
        <v>0</v>
      </c>
      <c r="R22" s="290">
        <f>_xlfn.XLOOKUP(C22,'Clientes Consolidado.'!$C:$C,'Clientes Consolidado.'!X:X,0)</f>
        <v>0</v>
      </c>
      <c r="S22" s="290">
        <f t="shared" si="3"/>
        <v>191959.21</v>
      </c>
      <c r="T22" s="290">
        <f>SUMIFS('Clientes Consolidado.'!I:I,'Clientes Consolidado.'!C:C,C22,'Clientes Consolidado.'!B:B,"Fertilizer")
+SUMIFS('Clientes Consolidado.'!I:I,'Clientes Consolidado.'!C:C,C22,'Clientes Consolidado.'!B:B,"Additive")
+SUMIFS('Clientes Consolidado.'!I:I,'Clientes Consolidado.'!C:C,C22,'Clientes Consolidado.'!B:B,"Additive Intl.")</f>
        <v>191959.21</v>
      </c>
      <c r="U22" s="290">
        <f>SUMIFS('Clientes Consolidado.'!J:J,'Clientes Consolidado.'!C:C,C22,'Clientes Consolidado.'!B:B,"Fertilizer")
+SUMIFS('Clientes Consolidado.'!J:J,'Clientes Consolidado.'!C:C,C22,'Clientes Consolidado.'!B:B,"Additive")
+SUMIFS('Clientes Consolidado.'!J:J,'Clientes Consolidado.'!C:C,C22,'Clientes Consolidado.'!B:B,"Additive Intl.")</f>
        <v>0</v>
      </c>
      <c r="V22" s="290">
        <f>SUMIFS('Clientes Consolidado.'!K:K,'Clientes Consolidado.'!C:C,C22,'Clientes Consolidado.'!B:B,"Fertilizer")
+SUMIFS('Clientes Consolidado.'!K:K,'Clientes Consolidado.'!C:C,C22,'Clientes Consolidado.'!B:B,"Additive")
+SUMIFS('Clientes Consolidado.'!K:K,'Clientes Consolidado.'!C:C,C22,'Clientes Consolidado.'!B:B,"Additive Intl.")</f>
        <v>0</v>
      </c>
      <c r="W22" s="290">
        <f>SUMIFS('Clientes Consolidado.'!L:L,'Clientes Consolidado.'!C:C,C22,'Clientes Consolidado.'!B:B,"Fertilizer")
+SUMIFS('Clientes Consolidado.'!L:L,'Clientes Consolidado.'!C:C,C22,'Clientes Consolidado.'!B:B,"Additive")
+SUMIFS('Clientes Consolidado.'!L:L,'Clientes Consolidado.'!C:C,C22,'Clientes Consolidado.'!B:B,"Additive Intl.")</f>
        <v>0</v>
      </c>
      <c r="X22" s="290">
        <f>SUMIFS('Clientes Consolidado.'!M:M,'Clientes Consolidado.'!C:C,C22,'Clientes Consolidado.'!B:B,"Fertilizer")
+SUMIFS('Clientes Consolidado.'!M:M,'Clientes Consolidado.'!C:C,C22,'Clientes Consolidado.'!B:B,"Additive")
+SUMIFS('Clientes Consolidado.'!M:M,'Clientes Consolidado.'!C:C,C22,'Clientes Consolidado.'!B:B,"Additive Intl.")</f>
        <v>0</v>
      </c>
      <c r="Y22" s="290">
        <f>SUMIFS('Clientes Consolidado.'!N:N,'Clientes Consolidado.'!C:C,C22,'Clientes Consolidado.'!B:B,"Fertilizer")
+SUMIFS('Clientes Consolidado.'!N:N,'Clientes Consolidado.'!C:C,C22,'Clientes Consolidado.'!B:B,"Additive")
+SUMIFS('Clientes Consolidado.'!N:N,'Clientes Consolidado.'!C:C,C22,'Clientes Consolidado.'!B:B,"Additive Intl.")</f>
        <v>0</v>
      </c>
      <c r="Z22" s="290">
        <f>SUMIFS('Clientes Consolidado.'!O:O,'Clientes Consolidado.'!C:C,C22,'Clientes Consolidado.'!B:B,"Fertilizer")
+SUMIFS('Clientes Consolidado.'!O:O,'Clientes Consolidado.'!C:C,C22,'Clientes Consolidado.'!B:B,"Additive")
+SUMIFS('Clientes Consolidado.'!O:O,'Clientes Consolidado.'!C:C,C22,'Clientes Consolidado.'!B:B,"Additive Intl.")</f>
        <v>0</v>
      </c>
      <c r="AA22" s="290">
        <f>SUMIFS('Clientes Consolidado.'!P:P,'Clientes Consolidado.'!C:C,'Nova Versão '!C22,'Clientes Consolidado.'!B:B,"Fertilizer / Litigation")+SUMIFS('Clientes Consolidado.'!P:P,'Clientes Consolidado.'!C:C,'Nova Versão '!C22,'Clientes Consolidado.'!B:B,"Additive / Litigation")</f>
        <v>0</v>
      </c>
      <c r="AB22" s="288"/>
      <c r="AD22" s="290">
        <f>SUMIFS('Invoiced amount'!I:I,'Invoiced amount'!AH:AH,'Nova Versão '!C22)</f>
        <v>2690326.98</v>
      </c>
      <c r="AE22" s="290">
        <f>SUMIFS(Buget!K:K,Buget!E:E,'Nova Versão '!C22)</f>
        <v>5338800</v>
      </c>
      <c r="AF22" s="264">
        <f t="shared" si="4"/>
        <v>0.50391979096426165</v>
      </c>
      <c r="AG22" s="290">
        <f t="shared" si="5"/>
        <v>2648473.02</v>
      </c>
    </row>
    <row r="23" spans="1:33" ht="13.8" customHeight="1" x14ac:dyDescent="0.25">
      <c r="A23" s="283"/>
      <c r="B23" s="288" t="str">
        <f>_xlfn.XLOOKUP(C23,'Info Clientes'!A:A,'Info Clientes'!B:B)</f>
        <v>Additive Intl.</v>
      </c>
      <c r="C23" s="96" t="s">
        <v>118</v>
      </c>
      <c r="D23" s="290">
        <f>_xlfn.XLOOKUP(C23,'Limite de crédito'!C:C,'Limite de crédito'!G:G,0)</f>
        <v>1375000</v>
      </c>
      <c r="E23" s="290">
        <f t="shared" si="0"/>
        <v>605051.04</v>
      </c>
      <c r="F23" s="290">
        <f>_xlfn.XLOOKUP('Nova Versão '!C23,'Limite de crédito'!C:C,'Limite de crédito'!O:O,0)</f>
        <v>1375000</v>
      </c>
      <c r="G23" s="291">
        <f t="shared" si="1"/>
        <v>0</v>
      </c>
      <c r="H23" s="292" t="str">
        <f>_xlfn.XLOOKUP(C23,'Info Clientes'!A:A,'Info Clientes'!C:C)</f>
        <v>Guarantee or credit</v>
      </c>
      <c r="I23" s="292" t="str">
        <f>IF(_xlfn.XLOOKUP(C23,'Info Clientes'!A:A,'Info Clientes'!D:D,"")=0,"",_xlfn.XLOOKUP(C23,'Info Clientes'!A:A,'Info Clientes'!D:D,""))</f>
        <v/>
      </c>
      <c r="K23" s="290">
        <f t="shared" si="2"/>
        <v>605051.04</v>
      </c>
      <c r="L23" s="290">
        <f>_xlfn.XLOOKUP(C23,'Clientes Consolidado.'!$C:$C,'Clientes Consolidado.'!R:R,0)</f>
        <v>605051.04</v>
      </c>
      <c r="M23" s="290">
        <f>_xlfn.XLOOKUP(C23,'Clientes Consolidado.'!$C:$C,'Clientes Consolidado.'!S:S,0)</f>
        <v>0</v>
      </c>
      <c r="N23" s="290">
        <f>_xlfn.XLOOKUP(C23,'Clientes Consolidado.'!$C:$C,'Clientes Consolidado.'!T:T,0)</f>
        <v>0</v>
      </c>
      <c r="O23" s="290">
        <f>_xlfn.XLOOKUP(C23,'Clientes Consolidado.'!$C:$C,'Clientes Consolidado.'!U:U,0)</f>
        <v>0</v>
      </c>
      <c r="P23" s="290">
        <f>_xlfn.XLOOKUP(C23,'Clientes Consolidado.'!$C:$C,'Clientes Consolidado.'!V:V,0)</f>
        <v>0</v>
      </c>
      <c r="Q23" s="290">
        <f>_xlfn.XLOOKUP(C23,'Clientes Consolidado.'!$C:$C,'Clientes Consolidado.'!W:W,0)</f>
        <v>0</v>
      </c>
      <c r="R23" s="290">
        <f>_xlfn.XLOOKUP(C23,'Clientes Consolidado.'!$C:$C,'Clientes Consolidado.'!X:X,0)</f>
        <v>0</v>
      </c>
      <c r="S23" s="290">
        <f t="shared" si="3"/>
        <v>0</v>
      </c>
      <c r="T23" s="290">
        <f>SUMIFS('Clientes Consolidado.'!I:I,'Clientes Consolidado.'!C:C,C23,'Clientes Consolidado.'!B:B,"Fertilizer")
+SUMIFS('Clientes Consolidado.'!I:I,'Clientes Consolidado.'!C:C,C23,'Clientes Consolidado.'!B:B,"Additive")
+SUMIFS('Clientes Consolidado.'!I:I,'Clientes Consolidado.'!C:C,C23,'Clientes Consolidado.'!B:B,"Additive Intl.")</f>
        <v>0</v>
      </c>
      <c r="U23" s="290">
        <f>SUMIFS('Clientes Consolidado.'!J:J,'Clientes Consolidado.'!C:C,C23,'Clientes Consolidado.'!B:B,"Fertilizer")
+SUMIFS('Clientes Consolidado.'!J:J,'Clientes Consolidado.'!C:C,C23,'Clientes Consolidado.'!B:B,"Additive")
+SUMIFS('Clientes Consolidado.'!J:J,'Clientes Consolidado.'!C:C,C23,'Clientes Consolidado.'!B:B,"Additive Intl.")</f>
        <v>0</v>
      </c>
      <c r="V23" s="290">
        <f>SUMIFS('Clientes Consolidado.'!K:K,'Clientes Consolidado.'!C:C,C23,'Clientes Consolidado.'!B:B,"Fertilizer")
+SUMIFS('Clientes Consolidado.'!K:K,'Clientes Consolidado.'!C:C,C23,'Clientes Consolidado.'!B:B,"Additive")
+SUMIFS('Clientes Consolidado.'!K:K,'Clientes Consolidado.'!C:C,C23,'Clientes Consolidado.'!B:B,"Additive Intl.")</f>
        <v>0</v>
      </c>
      <c r="W23" s="290">
        <f>SUMIFS('Clientes Consolidado.'!L:L,'Clientes Consolidado.'!C:C,C23,'Clientes Consolidado.'!B:B,"Fertilizer")
+SUMIFS('Clientes Consolidado.'!L:L,'Clientes Consolidado.'!C:C,C23,'Clientes Consolidado.'!B:B,"Additive")
+SUMIFS('Clientes Consolidado.'!L:L,'Clientes Consolidado.'!C:C,C23,'Clientes Consolidado.'!B:B,"Additive Intl.")</f>
        <v>0</v>
      </c>
      <c r="X23" s="290">
        <f>SUMIFS('Clientes Consolidado.'!M:M,'Clientes Consolidado.'!C:C,C23,'Clientes Consolidado.'!B:B,"Fertilizer")
+SUMIFS('Clientes Consolidado.'!M:M,'Clientes Consolidado.'!C:C,C23,'Clientes Consolidado.'!B:B,"Additive")
+SUMIFS('Clientes Consolidado.'!M:M,'Clientes Consolidado.'!C:C,C23,'Clientes Consolidado.'!B:B,"Additive Intl.")</f>
        <v>0</v>
      </c>
      <c r="Y23" s="290">
        <f>SUMIFS('Clientes Consolidado.'!N:N,'Clientes Consolidado.'!C:C,C23,'Clientes Consolidado.'!B:B,"Fertilizer")
+SUMIFS('Clientes Consolidado.'!N:N,'Clientes Consolidado.'!C:C,C23,'Clientes Consolidado.'!B:B,"Additive")
+SUMIFS('Clientes Consolidado.'!N:N,'Clientes Consolidado.'!C:C,C23,'Clientes Consolidado.'!B:B,"Additive Intl.")</f>
        <v>0</v>
      </c>
      <c r="Z23" s="290">
        <f>SUMIFS('Clientes Consolidado.'!O:O,'Clientes Consolidado.'!C:C,C23,'Clientes Consolidado.'!B:B,"Fertilizer")
+SUMIFS('Clientes Consolidado.'!O:O,'Clientes Consolidado.'!C:C,C23,'Clientes Consolidado.'!B:B,"Additive")
+SUMIFS('Clientes Consolidado.'!O:O,'Clientes Consolidado.'!C:C,C23,'Clientes Consolidado.'!B:B,"Additive Intl.")</f>
        <v>0</v>
      </c>
      <c r="AA23" s="290">
        <f>SUMIFS('Clientes Consolidado.'!P:P,'Clientes Consolidado.'!C:C,'Nova Versão '!C23,'Clientes Consolidado.'!B:B,"Fertilizer / Litigation")+SUMIFS('Clientes Consolidado.'!P:P,'Clientes Consolidado.'!C:C,'Nova Versão '!C23,'Clientes Consolidado.'!B:B,"Additive / Litigation")</f>
        <v>0</v>
      </c>
      <c r="AB23" s="288"/>
      <c r="AD23" s="290">
        <f>SUMIFS('Invoiced amount'!I:I,'Invoiced amount'!AH:AH,'Nova Versão '!C23)</f>
        <v>1363533.28</v>
      </c>
      <c r="AE23" s="290">
        <f>SUMIFS(Buget!K:K,Buget!E:E,'Nova Versão '!C23)</f>
        <v>861803.51750682388</v>
      </c>
      <c r="AF23" s="264">
        <f t="shared" si="4"/>
        <v>1.5821857909615731</v>
      </c>
      <c r="AG23" s="290">
        <f t="shared" si="5"/>
        <v>0</v>
      </c>
    </row>
    <row r="24" spans="1:33" ht="13.8" customHeight="1" x14ac:dyDescent="0.25">
      <c r="A24" s="283"/>
      <c r="B24" s="288" t="str">
        <f>_xlfn.XLOOKUP(C24,'Info Clientes'!A:A,'Info Clientes'!B:B)</f>
        <v>Additive</v>
      </c>
      <c r="C24" s="234" t="s">
        <v>448</v>
      </c>
      <c r="D24" s="290">
        <f>_xlfn.XLOOKUP(C24,'Limite de crédito'!C:C,'Limite de crédito'!G:G,0)</f>
        <v>800000</v>
      </c>
      <c r="E24" s="290">
        <f t="shared" si="0"/>
        <v>553728.61</v>
      </c>
      <c r="F24" s="290">
        <f>_xlfn.XLOOKUP('Nova Versão '!C24,'Limite de crédito'!C:C,'Limite de crédito'!O:O,0)</f>
        <v>0</v>
      </c>
      <c r="G24" s="291">
        <f t="shared" si="1"/>
        <v>553728.61</v>
      </c>
      <c r="H24" s="292" t="str">
        <f>_xlfn.XLOOKUP(C24,'Info Clientes'!A:A,'Info Clientes'!C:C)</f>
        <v>Approved in credit committee</v>
      </c>
      <c r="I24" s="292" t="str">
        <f>IF(_xlfn.XLOOKUP(C24,'Info Clientes'!A:A,'Info Clientes'!D:D,"")=0,"",_xlfn.XLOOKUP(C24,'Info Clientes'!A:A,'Info Clientes'!D:D,""))</f>
        <v/>
      </c>
      <c r="K24" s="290">
        <f t="shared" si="2"/>
        <v>553728.61</v>
      </c>
      <c r="L24" s="290">
        <f>_xlfn.XLOOKUP(C24,'Clientes Consolidado.'!$C:$C,'Clientes Consolidado.'!R:R,0)</f>
        <v>456958.6</v>
      </c>
      <c r="M24" s="290">
        <f>_xlfn.XLOOKUP(C24,'Clientes Consolidado.'!$C:$C,'Clientes Consolidado.'!S:S,0)</f>
        <v>0</v>
      </c>
      <c r="N24" s="290">
        <f>_xlfn.XLOOKUP(C24,'Clientes Consolidado.'!$C:$C,'Clientes Consolidado.'!T:T,0)</f>
        <v>0</v>
      </c>
      <c r="O24" s="290">
        <f>_xlfn.XLOOKUP(C24,'Clientes Consolidado.'!$C:$C,'Clientes Consolidado.'!U:U,0)</f>
        <v>0</v>
      </c>
      <c r="P24" s="290">
        <f>_xlfn.XLOOKUP(C24,'Clientes Consolidado.'!$C:$C,'Clientes Consolidado.'!V:V,0)</f>
        <v>0</v>
      </c>
      <c r="Q24" s="290">
        <f>_xlfn.XLOOKUP(C24,'Clientes Consolidado.'!$C:$C,'Clientes Consolidado.'!W:W,0)</f>
        <v>0</v>
      </c>
      <c r="R24" s="290">
        <f>_xlfn.XLOOKUP(C24,'Clientes Consolidado.'!$C:$C,'Clientes Consolidado.'!X:X,0)</f>
        <v>96770.01</v>
      </c>
      <c r="S24" s="290">
        <f t="shared" si="3"/>
        <v>0</v>
      </c>
      <c r="T24" s="290">
        <f>SUMIFS('Clientes Consolidado.'!I:I,'Clientes Consolidado.'!C:C,C24,'Clientes Consolidado.'!B:B,"Fertilizer")
+SUMIFS('Clientes Consolidado.'!I:I,'Clientes Consolidado.'!C:C,C24,'Clientes Consolidado.'!B:B,"Additive")
+SUMIFS('Clientes Consolidado.'!I:I,'Clientes Consolidado.'!C:C,C24,'Clientes Consolidado.'!B:B,"Additive Intl.")</f>
        <v>0</v>
      </c>
      <c r="U24" s="290">
        <f>SUMIFS('Clientes Consolidado.'!J:J,'Clientes Consolidado.'!C:C,C24,'Clientes Consolidado.'!B:B,"Fertilizer")
+SUMIFS('Clientes Consolidado.'!J:J,'Clientes Consolidado.'!C:C,C24,'Clientes Consolidado.'!B:B,"Additive")
+SUMIFS('Clientes Consolidado.'!J:J,'Clientes Consolidado.'!C:C,C24,'Clientes Consolidado.'!B:B,"Additive Intl.")</f>
        <v>0</v>
      </c>
      <c r="V24" s="290">
        <f>SUMIFS('Clientes Consolidado.'!K:K,'Clientes Consolidado.'!C:C,C24,'Clientes Consolidado.'!B:B,"Fertilizer")
+SUMIFS('Clientes Consolidado.'!K:K,'Clientes Consolidado.'!C:C,C24,'Clientes Consolidado.'!B:B,"Additive")
+SUMIFS('Clientes Consolidado.'!K:K,'Clientes Consolidado.'!C:C,C24,'Clientes Consolidado.'!B:B,"Additive Intl.")</f>
        <v>0</v>
      </c>
      <c r="W24" s="290">
        <f>SUMIFS('Clientes Consolidado.'!L:L,'Clientes Consolidado.'!C:C,C24,'Clientes Consolidado.'!B:B,"Fertilizer")
+SUMIFS('Clientes Consolidado.'!L:L,'Clientes Consolidado.'!C:C,C24,'Clientes Consolidado.'!B:B,"Additive")
+SUMIFS('Clientes Consolidado.'!L:L,'Clientes Consolidado.'!C:C,C24,'Clientes Consolidado.'!B:B,"Additive Intl.")</f>
        <v>0</v>
      </c>
      <c r="X24" s="290">
        <f>SUMIFS('Clientes Consolidado.'!M:M,'Clientes Consolidado.'!C:C,C24,'Clientes Consolidado.'!B:B,"Fertilizer")
+SUMIFS('Clientes Consolidado.'!M:M,'Clientes Consolidado.'!C:C,C24,'Clientes Consolidado.'!B:B,"Additive")
+SUMIFS('Clientes Consolidado.'!M:M,'Clientes Consolidado.'!C:C,C24,'Clientes Consolidado.'!B:B,"Additive Intl.")</f>
        <v>0</v>
      </c>
      <c r="Y24" s="290">
        <f>SUMIFS('Clientes Consolidado.'!N:N,'Clientes Consolidado.'!C:C,C24,'Clientes Consolidado.'!B:B,"Fertilizer")
+SUMIFS('Clientes Consolidado.'!N:N,'Clientes Consolidado.'!C:C,C24,'Clientes Consolidado.'!B:B,"Additive")
+SUMIFS('Clientes Consolidado.'!N:N,'Clientes Consolidado.'!C:C,C24,'Clientes Consolidado.'!B:B,"Additive Intl.")</f>
        <v>0</v>
      </c>
      <c r="Z24" s="290">
        <f>SUMIFS('Clientes Consolidado.'!O:O,'Clientes Consolidado.'!C:C,C24,'Clientes Consolidado.'!B:B,"Fertilizer")
+SUMIFS('Clientes Consolidado.'!O:O,'Clientes Consolidado.'!C:C,C24,'Clientes Consolidado.'!B:B,"Additive")
+SUMIFS('Clientes Consolidado.'!O:O,'Clientes Consolidado.'!C:C,C24,'Clientes Consolidado.'!B:B,"Additive Intl.")</f>
        <v>0</v>
      </c>
      <c r="AA24" s="290">
        <f>SUMIFS('Clientes Consolidado.'!P:P,'Clientes Consolidado.'!C:C,'Nova Versão '!C24,'Clientes Consolidado.'!B:B,"Fertilizer / Litigation")+SUMIFS('Clientes Consolidado.'!P:P,'Clientes Consolidado.'!C:C,'Nova Versão '!C24,'Clientes Consolidado.'!B:B,"Additive / Litigation")</f>
        <v>0</v>
      </c>
      <c r="AB24" s="288"/>
      <c r="AD24" s="290">
        <f>SUMIFS('Invoiced amount'!I:I,'Invoiced amount'!AH:AH,'Nova Versão '!C24)</f>
        <v>655665.80000000005</v>
      </c>
      <c r="AE24" s="290">
        <f>SUMIFS(Buget!K:K,Buget!E:E,'Nova Versão '!C24)</f>
        <v>5516320.7051005745</v>
      </c>
      <c r="AF24" s="264">
        <f t="shared" si="4"/>
        <v>0.11885926055636133</v>
      </c>
      <c r="AG24" s="290">
        <f t="shared" si="5"/>
        <v>4860654.9051005747</v>
      </c>
    </row>
    <row r="25" spans="1:33" ht="13.8" customHeight="1" x14ac:dyDescent="0.25">
      <c r="A25" s="283"/>
      <c r="B25" s="288" t="str">
        <f>_xlfn.XLOOKUP(C25,'Info Clientes'!A:A,'Info Clientes'!B:B)</f>
        <v>Additive Intl.</v>
      </c>
      <c r="C25" s="234" t="s">
        <v>119</v>
      </c>
      <c r="D25" s="290">
        <f>_xlfn.XLOOKUP(C25,'Limite de crédito'!C:C,'Limite de crédito'!G:G,0)</f>
        <v>660000</v>
      </c>
      <c r="E25" s="290">
        <f t="shared" si="0"/>
        <v>537697.80000000005</v>
      </c>
      <c r="F25" s="290">
        <f>_xlfn.XLOOKUP('Nova Versão '!C25,'Limite de crédito'!C:C,'Limite de crédito'!O:O,0)</f>
        <v>660000</v>
      </c>
      <c r="G25" s="291">
        <f t="shared" si="1"/>
        <v>0</v>
      </c>
      <c r="H25" s="292" t="str">
        <f>_xlfn.XLOOKUP(C25,'Info Clientes'!A:A,'Info Clientes'!C:C)</f>
        <v>Guarantee or credit</v>
      </c>
      <c r="I25" s="292" t="str">
        <f>IF(_xlfn.XLOOKUP(C25,'Info Clientes'!A:A,'Info Clientes'!D:D,"")=0,"",_xlfn.XLOOKUP(C25,'Info Clientes'!A:A,'Info Clientes'!D:D,""))</f>
        <v/>
      </c>
      <c r="K25" s="290">
        <f t="shared" si="2"/>
        <v>537697.80000000005</v>
      </c>
      <c r="L25" s="290">
        <f>_xlfn.XLOOKUP(C25,'Clientes Consolidado.'!$C:$C,'Clientes Consolidado.'!R:R,0)</f>
        <v>0</v>
      </c>
      <c r="M25" s="290">
        <f>_xlfn.XLOOKUP(C25,'Clientes Consolidado.'!$C:$C,'Clientes Consolidado.'!S:S,0)</f>
        <v>91784.41</v>
      </c>
      <c r="N25" s="290">
        <f>_xlfn.XLOOKUP(C25,'Clientes Consolidado.'!$C:$C,'Clientes Consolidado.'!T:T,0)</f>
        <v>445913.39</v>
      </c>
      <c r="O25" s="290">
        <f>_xlfn.XLOOKUP(C25,'Clientes Consolidado.'!$C:$C,'Clientes Consolidado.'!U:U,0)</f>
        <v>0</v>
      </c>
      <c r="P25" s="290">
        <f>_xlfn.XLOOKUP(C25,'Clientes Consolidado.'!$C:$C,'Clientes Consolidado.'!V:V,0)</f>
        <v>0</v>
      </c>
      <c r="Q25" s="290">
        <f>_xlfn.XLOOKUP(C25,'Clientes Consolidado.'!$C:$C,'Clientes Consolidado.'!W:W,0)</f>
        <v>0</v>
      </c>
      <c r="R25" s="290">
        <f>_xlfn.XLOOKUP(C25,'Clientes Consolidado.'!$C:$C,'Clientes Consolidado.'!X:X,0)</f>
        <v>0</v>
      </c>
      <c r="S25" s="290">
        <f t="shared" si="3"/>
        <v>0</v>
      </c>
      <c r="T25" s="290">
        <f>SUMIFS('Clientes Consolidado.'!I:I,'Clientes Consolidado.'!C:C,C25,'Clientes Consolidado.'!B:B,"Fertilizer")
+SUMIFS('Clientes Consolidado.'!I:I,'Clientes Consolidado.'!C:C,C25,'Clientes Consolidado.'!B:B,"Additive")
+SUMIFS('Clientes Consolidado.'!I:I,'Clientes Consolidado.'!C:C,C25,'Clientes Consolidado.'!B:B,"Additive Intl.")</f>
        <v>0</v>
      </c>
      <c r="U25" s="290">
        <f>SUMIFS('Clientes Consolidado.'!J:J,'Clientes Consolidado.'!C:C,C25,'Clientes Consolidado.'!B:B,"Fertilizer")
+SUMIFS('Clientes Consolidado.'!J:J,'Clientes Consolidado.'!C:C,C25,'Clientes Consolidado.'!B:B,"Additive")
+SUMIFS('Clientes Consolidado.'!J:J,'Clientes Consolidado.'!C:C,C25,'Clientes Consolidado.'!B:B,"Additive Intl.")</f>
        <v>0</v>
      </c>
      <c r="V25" s="290">
        <f>SUMIFS('Clientes Consolidado.'!K:K,'Clientes Consolidado.'!C:C,C25,'Clientes Consolidado.'!B:B,"Fertilizer")
+SUMIFS('Clientes Consolidado.'!K:K,'Clientes Consolidado.'!C:C,C25,'Clientes Consolidado.'!B:B,"Additive")
+SUMIFS('Clientes Consolidado.'!K:K,'Clientes Consolidado.'!C:C,C25,'Clientes Consolidado.'!B:B,"Additive Intl.")</f>
        <v>0</v>
      </c>
      <c r="W25" s="290">
        <f>SUMIFS('Clientes Consolidado.'!L:L,'Clientes Consolidado.'!C:C,C25,'Clientes Consolidado.'!B:B,"Fertilizer")
+SUMIFS('Clientes Consolidado.'!L:L,'Clientes Consolidado.'!C:C,C25,'Clientes Consolidado.'!B:B,"Additive")
+SUMIFS('Clientes Consolidado.'!L:L,'Clientes Consolidado.'!C:C,C25,'Clientes Consolidado.'!B:B,"Additive Intl.")</f>
        <v>0</v>
      </c>
      <c r="X25" s="290">
        <f>SUMIFS('Clientes Consolidado.'!M:M,'Clientes Consolidado.'!C:C,C25,'Clientes Consolidado.'!B:B,"Fertilizer")
+SUMIFS('Clientes Consolidado.'!M:M,'Clientes Consolidado.'!C:C,C25,'Clientes Consolidado.'!B:B,"Additive")
+SUMIFS('Clientes Consolidado.'!M:M,'Clientes Consolidado.'!C:C,C25,'Clientes Consolidado.'!B:B,"Additive Intl.")</f>
        <v>0</v>
      </c>
      <c r="Y25" s="290">
        <f>SUMIFS('Clientes Consolidado.'!N:N,'Clientes Consolidado.'!C:C,C25,'Clientes Consolidado.'!B:B,"Fertilizer")
+SUMIFS('Clientes Consolidado.'!N:N,'Clientes Consolidado.'!C:C,C25,'Clientes Consolidado.'!B:B,"Additive")
+SUMIFS('Clientes Consolidado.'!N:N,'Clientes Consolidado.'!C:C,C25,'Clientes Consolidado.'!B:B,"Additive Intl.")</f>
        <v>0</v>
      </c>
      <c r="Z25" s="290">
        <f>SUMIFS('Clientes Consolidado.'!O:O,'Clientes Consolidado.'!C:C,C25,'Clientes Consolidado.'!B:B,"Fertilizer")
+SUMIFS('Clientes Consolidado.'!O:O,'Clientes Consolidado.'!C:C,C25,'Clientes Consolidado.'!B:B,"Additive")
+SUMIFS('Clientes Consolidado.'!O:O,'Clientes Consolidado.'!C:C,C25,'Clientes Consolidado.'!B:B,"Additive Intl.")</f>
        <v>0</v>
      </c>
      <c r="AA25" s="290">
        <f>SUMIFS('Clientes Consolidado.'!P:P,'Clientes Consolidado.'!C:C,'Nova Versão '!C25,'Clientes Consolidado.'!B:B,"Fertilizer / Litigation")+SUMIFS('Clientes Consolidado.'!P:P,'Clientes Consolidado.'!C:C,'Nova Versão '!C25,'Clientes Consolidado.'!B:B,"Additive / Litigation")</f>
        <v>0</v>
      </c>
      <c r="AB25" s="288"/>
      <c r="AD25" s="290">
        <f>SUMIFS('Invoiced amount'!I:I,'Invoiced amount'!AH:AH,'Nova Versão '!C25)</f>
        <v>751415.52</v>
      </c>
      <c r="AE25" s="290">
        <f>SUMIFS(Buget!K:K,Buget!E:E,'Nova Versão '!C25)</f>
        <v>3026070.6338235871</v>
      </c>
      <c r="AF25" s="264">
        <f t="shared" si="4"/>
        <v>0.24831393940416718</v>
      </c>
      <c r="AG25" s="290">
        <f t="shared" si="5"/>
        <v>2274655.1138235871</v>
      </c>
    </row>
    <row r="26" spans="1:33" ht="13.8" customHeight="1" x14ac:dyDescent="0.25">
      <c r="A26" s="283"/>
      <c r="B26" s="288" t="str">
        <f>_xlfn.XLOOKUP(C26,'Info Clientes'!A:A,'Info Clientes'!B:B)</f>
        <v>Additive</v>
      </c>
      <c r="C26" s="96" t="s">
        <v>616</v>
      </c>
      <c r="D26" s="290">
        <f>_xlfn.XLOOKUP(C26,'Limite de crédito'!C:C,'Limite de crédito'!G:G,0)</f>
        <v>3500000</v>
      </c>
      <c r="E26" s="290">
        <f t="shared" si="0"/>
        <v>526852.5</v>
      </c>
      <c r="F26" s="290">
        <f>_xlfn.XLOOKUP('Nova Versão '!C26,'Limite de crédito'!C:C,'Limite de crédito'!O:O,0)</f>
        <v>3500000</v>
      </c>
      <c r="G26" s="291">
        <f t="shared" si="1"/>
        <v>0</v>
      </c>
      <c r="H26" s="292" t="str">
        <f>_xlfn.XLOOKUP(C26,'Info Clientes'!A:A,'Info Clientes'!C:C)</f>
        <v>Guarantee or credit</v>
      </c>
      <c r="I26" s="292" t="str">
        <f>IF(_xlfn.XLOOKUP(C26,'Info Clientes'!A:A,'Info Clientes'!D:D,"")=0,"",_xlfn.XLOOKUP(C26,'Info Clientes'!A:A,'Info Clientes'!D:D,""))</f>
        <v/>
      </c>
      <c r="K26" s="290">
        <f t="shared" si="2"/>
        <v>526852.5</v>
      </c>
      <c r="L26" s="290">
        <f>_xlfn.XLOOKUP(C26,'Clientes Consolidado.'!$C:$C,'Clientes Consolidado.'!R:R,0)</f>
        <v>526852.5</v>
      </c>
      <c r="M26" s="290">
        <f>_xlfn.XLOOKUP(C26,'Clientes Consolidado.'!$C:$C,'Clientes Consolidado.'!S:S,0)</f>
        <v>0</v>
      </c>
      <c r="N26" s="290">
        <f>_xlfn.XLOOKUP(C26,'Clientes Consolidado.'!$C:$C,'Clientes Consolidado.'!T:T,0)</f>
        <v>0</v>
      </c>
      <c r="O26" s="290">
        <f>_xlfn.XLOOKUP(C26,'Clientes Consolidado.'!$C:$C,'Clientes Consolidado.'!U:U,0)</f>
        <v>0</v>
      </c>
      <c r="P26" s="290">
        <f>_xlfn.XLOOKUP(C26,'Clientes Consolidado.'!$C:$C,'Clientes Consolidado.'!V:V,0)</f>
        <v>0</v>
      </c>
      <c r="Q26" s="290">
        <f>_xlfn.XLOOKUP(C26,'Clientes Consolidado.'!$C:$C,'Clientes Consolidado.'!W:W,0)</f>
        <v>0</v>
      </c>
      <c r="R26" s="290">
        <f>_xlfn.XLOOKUP(C26,'Clientes Consolidado.'!$C:$C,'Clientes Consolidado.'!X:X,0)</f>
        <v>0</v>
      </c>
      <c r="S26" s="290">
        <f t="shared" si="3"/>
        <v>0</v>
      </c>
      <c r="T26" s="290">
        <f>SUMIFS('Clientes Consolidado.'!I:I,'Clientes Consolidado.'!C:C,C26,'Clientes Consolidado.'!B:B,"Fertilizer")
+SUMIFS('Clientes Consolidado.'!I:I,'Clientes Consolidado.'!C:C,C26,'Clientes Consolidado.'!B:B,"Additive")
+SUMIFS('Clientes Consolidado.'!I:I,'Clientes Consolidado.'!C:C,C26,'Clientes Consolidado.'!B:B,"Additive Intl.")</f>
        <v>0</v>
      </c>
      <c r="U26" s="290">
        <f>SUMIFS('Clientes Consolidado.'!J:J,'Clientes Consolidado.'!C:C,C26,'Clientes Consolidado.'!B:B,"Fertilizer")
+SUMIFS('Clientes Consolidado.'!J:J,'Clientes Consolidado.'!C:C,C26,'Clientes Consolidado.'!B:B,"Additive")
+SUMIFS('Clientes Consolidado.'!J:J,'Clientes Consolidado.'!C:C,C26,'Clientes Consolidado.'!B:B,"Additive Intl.")</f>
        <v>0</v>
      </c>
      <c r="V26" s="290">
        <f>SUMIFS('Clientes Consolidado.'!K:K,'Clientes Consolidado.'!C:C,C26,'Clientes Consolidado.'!B:B,"Fertilizer")
+SUMIFS('Clientes Consolidado.'!K:K,'Clientes Consolidado.'!C:C,C26,'Clientes Consolidado.'!B:B,"Additive")
+SUMIFS('Clientes Consolidado.'!K:K,'Clientes Consolidado.'!C:C,C26,'Clientes Consolidado.'!B:B,"Additive Intl.")</f>
        <v>0</v>
      </c>
      <c r="W26" s="290">
        <f>SUMIFS('Clientes Consolidado.'!L:L,'Clientes Consolidado.'!C:C,C26,'Clientes Consolidado.'!B:B,"Fertilizer")
+SUMIFS('Clientes Consolidado.'!L:L,'Clientes Consolidado.'!C:C,C26,'Clientes Consolidado.'!B:B,"Additive")
+SUMIFS('Clientes Consolidado.'!L:L,'Clientes Consolidado.'!C:C,C26,'Clientes Consolidado.'!B:B,"Additive Intl.")</f>
        <v>0</v>
      </c>
      <c r="X26" s="290">
        <f>SUMIFS('Clientes Consolidado.'!M:M,'Clientes Consolidado.'!C:C,C26,'Clientes Consolidado.'!B:B,"Fertilizer")
+SUMIFS('Clientes Consolidado.'!M:M,'Clientes Consolidado.'!C:C,C26,'Clientes Consolidado.'!B:B,"Additive")
+SUMIFS('Clientes Consolidado.'!M:M,'Clientes Consolidado.'!C:C,C26,'Clientes Consolidado.'!B:B,"Additive Intl.")</f>
        <v>0</v>
      </c>
      <c r="Y26" s="290">
        <f>SUMIFS('Clientes Consolidado.'!N:N,'Clientes Consolidado.'!C:C,C26,'Clientes Consolidado.'!B:B,"Fertilizer")
+SUMIFS('Clientes Consolidado.'!N:N,'Clientes Consolidado.'!C:C,C26,'Clientes Consolidado.'!B:B,"Additive")
+SUMIFS('Clientes Consolidado.'!N:N,'Clientes Consolidado.'!C:C,C26,'Clientes Consolidado.'!B:B,"Additive Intl.")</f>
        <v>0</v>
      </c>
      <c r="Z26" s="290">
        <f>SUMIFS('Clientes Consolidado.'!O:O,'Clientes Consolidado.'!C:C,C26,'Clientes Consolidado.'!B:B,"Fertilizer")
+SUMIFS('Clientes Consolidado.'!O:O,'Clientes Consolidado.'!C:C,C26,'Clientes Consolidado.'!B:B,"Additive")
+SUMIFS('Clientes Consolidado.'!O:O,'Clientes Consolidado.'!C:C,C26,'Clientes Consolidado.'!B:B,"Additive Intl.")</f>
        <v>0</v>
      </c>
      <c r="AA26" s="290">
        <f>SUMIFS('Clientes Consolidado.'!P:P,'Clientes Consolidado.'!C:C,'Nova Versão '!C26,'Clientes Consolidado.'!B:B,"Fertilizer / Litigation")+SUMIFS('Clientes Consolidado.'!P:P,'Clientes Consolidado.'!C:C,'Nova Versão '!C26,'Clientes Consolidado.'!B:B,"Additive / Litigation")</f>
        <v>0</v>
      </c>
      <c r="AB26" s="288"/>
      <c r="AD26" s="290">
        <f>SUMIFS('Invoiced amount'!I:I,'Invoiced amount'!AH:AH,'Nova Versão '!C26)</f>
        <v>5533915.6600000001</v>
      </c>
      <c r="AE26" s="290">
        <f>SUMIFS(Buget!K:K,Buget!E:E,'Nova Versão '!C26)</f>
        <v>13156098.441486135</v>
      </c>
      <c r="AF26" s="264">
        <f t="shared" si="4"/>
        <v>0.42063501459896946</v>
      </c>
      <c r="AG26" s="290">
        <f t="shared" si="5"/>
        <v>7622182.781486135</v>
      </c>
    </row>
    <row r="27" spans="1:33" ht="13.8" customHeight="1" x14ac:dyDescent="0.25">
      <c r="A27" s="283"/>
      <c r="B27" s="288" t="str">
        <f>_xlfn.XLOOKUP(C27,'Info Clientes'!A:A,'Info Clientes'!B:B)</f>
        <v>Additive</v>
      </c>
      <c r="C27" s="234" t="s">
        <v>583</v>
      </c>
      <c r="D27" s="290">
        <f>_xlfn.XLOOKUP(C27,'Limite de crédito'!C:C,'Limite de crédito'!G:G,0)</f>
        <v>1500000</v>
      </c>
      <c r="E27" s="290">
        <f t="shared" si="0"/>
        <v>519608.6</v>
      </c>
      <c r="F27" s="290">
        <f>_xlfn.XLOOKUP('Nova Versão '!C27,'Limite de crédito'!C:C,'Limite de crédito'!O:O,0)</f>
        <v>1500000</v>
      </c>
      <c r="G27" s="291">
        <f t="shared" si="1"/>
        <v>0</v>
      </c>
      <c r="H27" s="292" t="str">
        <f>_xlfn.XLOOKUP(C27,'Info Clientes'!A:A,'Info Clientes'!C:C)</f>
        <v>Guarantee or credit</v>
      </c>
      <c r="I27" s="292" t="str">
        <f>IF(_xlfn.XLOOKUP(C27,'Info Clientes'!A:A,'Info Clientes'!D:D,"")=0,"",_xlfn.XLOOKUP(C27,'Info Clientes'!A:A,'Info Clientes'!D:D,""))</f>
        <v/>
      </c>
      <c r="K27" s="290">
        <f t="shared" si="2"/>
        <v>519608.6</v>
      </c>
      <c r="L27" s="290">
        <f>_xlfn.XLOOKUP(C27,'Clientes Consolidado.'!$C:$C,'Clientes Consolidado.'!R:R,0)</f>
        <v>394528.6</v>
      </c>
      <c r="M27" s="290">
        <f>_xlfn.XLOOKUP(C27,'Clientes Consolidado.'!$C:$C,'Clientes Consolidado.'!S:S,0)</f>
        <v>125080</v>
      </c>
      <c r="N27" s="290">
        <f>_xlfn.XLOOKUP(C27,'Clientes Consolidado.'!$C:$C,'Clientes Consolidado.'!T:T,0)</f>
        <v>0</v>
      </c>
      <c r="O27" s="290">
        <f>_xlfn.XLOOKUP(C27,'Clientes Consolidado.'!$C:$C,'Clientes Consolidado.'!U:U,0)</f>
        <v>0</v>
      </c>
      <c r="P27" s="290">
        <f>_xlfn.XLOOKUP(C27,'Clientes Consolidado.'!$C:$C,'Clientes Consolidado.'!V:V,0)</f>
        <v>0</v>
      </c>
      <c r="Q27" s="290">
        <f>_xlfn.XLOOKUP(C27,'Clientes Consolidado.'!$C:$C,'Clientes Consolidado.'!W:W,0)</f>
        <v>0</v>
      </c>
      <c r="R27" s="290">
        <f>_xlfn.XLOOKUP(C27,'Clientes Consolidado.'!$C:$C,'Clientes Consolidado.'!X:X,0)</f>
        <v>0</v>
      </c>
      <c r="S27" s="290">
        <f t="shared" si="3"/>
        <v>0</v>
      </c>
      <c r="T27" s="290">
        <f>SUMIFS('Clientes Consolidado.'!I:I,'Clientes Consolidado.'!C:C,C27,'Clientes Consolidado.'!B:B,"Fertilizer")
+SUMIFS('Clientes Consolidado.'!I:I,'Clientes Consolidado.'!C:C,C27,'Clientes Consolidado.'!B:B,"Additive")
+SUMIFS('Clientes Consolidado.'!I:I,'Clientes Consolidado.'!C:C,C27,'Clientes Consolidado.'!B:B,"Additive Intl.")</f>
        <v>0</v>
      </c>
      <c r="U27" s="290">
        <f>SUMIFS('Clientes Consolidado.'!J:J,'Clientes Consolidado.'!C:C,C27,'Clientes Consolidado.'!B:B,"Fertilizer")
+SUMIFS('Clientes Consolidado.'!J:J,'Clientes Consolidado.'!C:C,C27,'Clientes Consolidado.'!B:B,"Additive")
+SUMIFS('Clientes Consolidado.'!J:J,'Clientes Consolidado.'!C:C,C27,'Clientes Consolidado.'!B:B,"Additive Intl.")</f>
        <v>0</v>
      </c>
      <c r="V27" s="290">
        <f>SUMIFS('Clientes Consolidado.'!K:K,'Clientes Consolidado.'!C:C,C27,'Clientes Consolidado.'!B:B,"Fertilizer")
+SUMIFS('Clientes Consolidado.'!K:K,'Clientes Consolidado.'!C:C,C27,'Clientes Consolidado.'!B:B,"Additive")
+SUMIFS('Clientes Consolidado.'!K:K,'Clientes Consolidado.'!C:C,C27,'Clientes Consolidado.'!B:B,"Additive Intl.")</f>
        <v>0</v>
      </c>
      <c r="W27" s="290">
        <f>SUMIFS('Clientes Consolidado.'!L:L,'Clientes Consolidado.'!C:C,C27,'Clientes Consolidado.'!B:B,"Fertilizer")
+SUMIFS('Clientes Consolidado.'!L:L,'Clientes Consolidado.'!C:C,C27,'Clientes Consolidado.'!B:B,"Additive")
+SUMIFS('Clientes Consolidado.'!L:L,'Clientes Consolidado.'!C:C,C27,'Clientes Consolidado.'!B:B,"Additive Intl.")</f>
        <v>0</v>
      </c>
      <c r="X27" s="290">
        <f>SUMIFS('Clientes Consolidado.'!M:M,'Clientes Consolidado.'!C:C,C27,'Clientes Consolidado.'!B:B,"Fertilizer")
+SUMIFS('Clientes Consolidado.'!M:M,'Clientes Consolidado.'!C:C,C27,'Clientes Consolidado.'!B:B,"Additive")
+SUMIFS('Clientes Consolidado.'!M:M,'Clientes Consolidado.'!C:C,C27,'Clientes Consolidado.'!B:B,"Additive Intl.")</f>
        <v>0</v>
      </c>
      <c r="Y27" s="290">
        <f>SUMIFS('Clientes Consolidado.'!N:N,'Clientes Consolidado.'!C:C,C27,'Clientes Consolidado.'!B:B,"Fertilizer")
+SUMIFS('Clientes Consolidado.'!N:N,'Clientes Consolidado.'!C:C,C27,'Clientes Consolidado.'!B:B,"Additive")
+SUMIFS('Clientes Consolidado.'!N:N,'Clientes Consolidado.'!C:C,C27,'Clientes Consolidado.'!B:B,"Additive Intl.")</f>
        <v>0</v>
      </c>
      <c r="Z27" s="290">
        <f>SUMIFS('Clientes Consolidado.'!O:O,'Clientes Consolidado.'!C:C,C27,'Clientes Consolidado.'!B:B,"Fertilizer")
+SUMIFS('Clientes Consolidado.'!O:O,'Clientes Consolidado.'!C:C,C27,'Clientes Consolidado.'!B:B,"Additive")
+SUMIFS('Clientes Consolidado.'!O:O,'Clientes Consolidado.'!C:C,C27,'Clientes Consolidado.'!B:B,"Additive Intl.")</f>
        <v>0</v>
      </c>
      <c r="AA27" s="290">
        <f>SUMIFS('Clientes Consolidado.'!P:P,'Clientes Consolidado.'!C:C,'Nova Versão '!C27,'Clientes Consolidado.'!B:B,"Fertilizer / Litigation")+SUMIFS('Clientes Consolidado.'!P:P,'Clientes Consolidado.'!C:C,'Nova Versão '!C27,'Clientes Consolidado.'!B:B,"Additive / Litigation")</f>
        <v>0</v>
      </c>
      <c r="AB27" s="288"/>
      <c r="AD27" s="290">
        <f>SUMIFS('Invoiced amount'!I:I,'Invoiced amount'!AH:AH,'Nova Versão '!C27)</f>
        <v>586679.79999999993</v>
      </c>
      <c r="AE27" s="290">
        <f>SUMIFS(Buget!K:K,Buget!E:E,'Nova Versão '!C27)</f>
        <v>0</v>
      </c>
      <c r="AF27" s="264" t="str">
        <f t="shared" si="4"/>
        <v/>
      </c>
      <c r="AG27" s="290">
        <f t="shared" si="5"/>
        <v>0</v>
      </c>
    </row>
    <row r="28" spans="1:33" ht="13.8" customHeight="1" x14ac:dyDescent="0.25">
      <c r="A28" s="283"/>
      <c r="B28" s="288" t="str">
        <f>_xlfn.XLOOKUP(C28,'Info Clientes'!A:A,'Info Clientes'!B:B)</f>
        <v>Additive</v>
      </c>
      <c r="C28" s="96" t="s">
        <v>356</v>
      </c>
      <c r="D28" s="290">
        <f>_xlfn.XLOOKUP(C28,'Limite de crédito'!C:C,'Limite de crédito'!G:G,0)</f>
        <v>4500000</v>
      </c>
      <c r="E28" s="290">
        <f t="shared" si="0"/>
        <v>462929.8</v>
      </c>
      <c r="F28" s="290">
        <f>_xlfn.XLOOKUP('Nova Versão '!C28,'Limite de crédito'!C:C,'Limite de crédito'!O:O,0)</f>
        <v>4500000</v>
      </c>
      <c r="G28" s="291">
        <f t="shared" si="1"/>
        <v>0</v>
      </c>
      <c r="H28" s="292" t="str">
        <f>_xlfn.XLOOKUP(C28,'Info Clientes'!A:A,'Info Clientes'!C:C)</f>
        <v>Guarantee or credit</v>
      </c>
      <c r="I28" s="292" t="str">
        <f>IF(_xlfn.XLOOKUP(C28,'Info Clientes'!A:A,'Info Clientes'!D:D,"")=0,"",_xlfn.XLOOKUP(C28,'Info Clientes'!A:A,'Info Clientes'!D:D,""))</f>
        <v/>
      </c>
      <c r="K28" s="290">
        <f t="shared" si="2"/>
        <v>462929.8</v>
      </c>
      <c r="L28" s="290">
        <f>_xlfn.XLOOKUP(C28,'Clientes Consolidado.'!$C:$C,'Clientes Consolidado.'!R:R,0)</f>
        <v>462929.8</v>
      </c>
      <c r="M28" s="290">
        <f>_xlfn.XLOOKUP(C28,'Clientes Consolidado.'!$C:$C,'Clientes Consolidado.'!S:S,0)</f>
        <v>0</v>
      </c>
      <c r="N28" s="290">
        <f>_xlfn.XLOOKUP(C28,'Clientes Consolidado.'!$C:$C,'Clientes Consolidado.'!T:T,0)</f>
        <v>0</v>
      </c>
      <c r="O28" s="290">
        <f>_xlfn.XLOOKUP(C28,'Clientes Consolidado.'!$C:$C,'Clientes Consolidado.'!U:U,0)</f>
        <v>0</v>
      </c>
      <c r="P28" s="290">
        <f>_xlfn.XLOOKUP(C28,'Clientes Consolidado.'!$C:$C,'Clientes Consolidado.'!V:V,0)</f>
        <v>0</v>
      </c>
      <c r="Q28" s="290">
        <f>_xlfn.XLOOKUP(C28,'Clientes Consolidado.'!$C:$C,'Clientes Consolidado.'!W:W,0)</f>
        <v>0</v>
      </c>
      <c r="R28" s="290">
        <f>_xlfn.XLOOKUP(C28,'Clientes Consolidado.'!$C:$C,'Clientes Consolidado.'!X:X,0)</f>
        <v>0</v>
      </c>
      <c r="S28" s="290">
        <f t="shared" si="3"/>
        <v>0</v>
      </c>
      <c r="T28" s="290">
        <f>SUMIFS('Clientes Consolidado.'!I:I,'Clientes Consolidado.'!C:C,C28,'Clientes Consolidado.'!B:B,"Fertilizer")
+SUMIFS('Clientes Consolidado.'!I:I,'Clientes Consolidado.'!C:C,C28,'Clientes Consolidado.'!B:B,"Additive")
+SUMIFS('Clientes Consolidado.'!I:I,'Clientes Consolidado.'!C:C,C28,'Clientes Consolidado.'!B:B,"Additive Intl.")</f>
        <v>0</v>
      </c>
      <c r="U28" s="290">
        <f>SUMIFS('Clientes Consolidado.'!J:J,'Clientes Consolidado.'!C:C,C28,'Clientes Consolidado.'!B:B,"Fertilizer")
+SUMIFS('Clientes Consolidado.'!J:J,'Clientes Consolidado.'!C:C,C28,'Clientes Consolidado.'!B:B,"Additive")
+SUMIFS('Clientes Consolidado.'!J:J,'Clientes Consolidado.'!C:C,C28,'Clientes Consolidado.'!B:B,"Additive Intl.")</f>
        <v>0</v>
      </c>
      <c r="V28" s="290">
        <f>SUMIFS('Clientes Consolidado.'!K:K,'Clientes Consolidado.'!C:C,C28,'Clientes Consolidado.'!B:B,"Fertilizer")
+SUMIFS('Clientes Consolidado.'!K:K,'Clientes Consolidado.'!C:C,C28,'Clientes Consolidado.'!B:B,"Additive")
+SUMIFS('Clientes Consolidado.'!K:K,'Clientes Consolidado.'!C:C,C28,'Clientes Consolidado.'!B:B,"Additive Intl.")</f>
        <v>0</v>
      </c>
      <c r="W28" s="290">
        <f>SUMIFS('Clientes Consolidado.'!L:L,'Clientes Consolidado.'!C:C,C28,'Clientes Consolidado.'!B:B,"Fertilizer")
+SUMIFS('Clientes Consolidado.'!L:L,'Clientes Consolidado.'!C:C,C28,'Clientes Consolidado.'!B:B,"Additive")
+SUMIFS('Clientes Consolidado.'!L:L,'Clientes Consolidado.'!C:C,C28,'Clientes Consolidado.'!B:B,"Additive Intl.")</f>
        <v>0</v>
      </c>
      <c r="X28" s="290">
        <f>SUMIFS('Clientes Consolidado.'!M:M,'Clientes Consolidado.'!C:C,C28,'Clientes Consolidado.'!B:B,"Fertilizer")
+SUMIFS('Clientes Consolidado.'!M:M,'Clientes Consolidado.'!C:C,C28,'Clientes Consolidado.'!B:B,"Additive")
+SUMIFS('Clientes Consolidado.'!M:M,'Clientes Consolidado.'!C:C,C28,'Clientes Consolidado.'!B:B,"Additive Intl.")</f>
        <v>0</v>
      </c>
      <c r="Y28" s="290">
        <f>SUMIFS('Clientes Consolidado.'!N:N,'Clientes Consolidado.'!C:C,C28,'Clientes Consolidado.'!B:B,"Fertilizer")
+SUMIFS('Clientes Consolidado.'!N:N,'Clientes Consolidado.'!C:C,C28,'Clientes Consolidado.'!B:B,"Additive")
+SUMIFS('Clientes Consolidado.'!N:N,'Clientes Consolidado.'!C:C,C28,'Clientes Consolidado.'!B:B,"Additive Intl.")</f>
        <v>0</v>
      </c>
      <c r="Z28" s="290">
        <f>SUMIFS('Clientes Consolidado.'!O:O,'Clientes Consolidado.'!C:C,C28,'Clientes Consolidado.'!B:B,"Fertilizer")
+SUMIFS('Clientes Consolidado.'!O:O,'Clientes Consolidado.'!C:C,C28,'Clientes Consolidado.'!B:B,"Additive")
+SUMIFS('Clientes Consolidado.'!O:O,'Clientes Consolidado.'!C:C,C28,'Clientes Consolidado.'!B:B,"Additive Intl.")</f>
        <v>0</v>
      </c>
      <c r="AA28" s="290">
        <f>SUMIFS('Clientes Consolidado.'!P:P,'Clientes Consolidado.'!C:C,'Nova Versão '!C28,'Clientes Consolidado.'!B:B,"Fertilizer / Litigation")+SUMIFS('Clientes Consolidado.'!P:P,'Clientes Consolidado.'!C:C,'Nova Versão '!C28,'Clientes Consolidado.'!B:B,"Additive / Litigation")</f>
        <v>0</v>
      </c>
      <c r="AB28" s="288"/>
      <c r="AD28" s="290">
        <f>SUMIFS('Invoiced amount'!I:I,'Invoiced amount'!AH:AH,'Nova Versão '!C28)</f>
        <v>7436152.2000000002</v>
      </c>
      <c r="AE28" s="290">
        <f>SUMIFS(Buget!K:K,Buget!E:E,'Nova Versão '!C28)</f>
        <v>21677673.263223819</v>
      </c>
      <c r="AF28" s="264">
        <f t="shared" si="4"/>
        <v>0.34303276508071717</v>
      </c>
      <c r="AG28" s="290">
        <f t="shared" si="5"/>
        <v>14241521.06322382</v>
      </c>
    </row>
    <row r="29" spans="1:33" ht="13.8" customHeight="1" x14ac:dyDescent="0.25">
      <c r="A29" s="283"/>
      <c r="B29" s="288" t="str">
        <f>_xlfn.XLOOKUP(C29,'Info Clientes'!A:A,'Info Clientes'!B:B)</f>
        <v>Additive</v>
      </c>
      <c r="C29" s="96" t="s">
        <v>353</v>
      </c>
      <c r="D29" s="290">
        <f>_xlfn.XLOOKUP(C29,'Limite de crédito'!C:C,'Limite de crédito'!G:G,0)</f>
        <v>4000000</v>
      </c>
      <c r="E29" s="290">
        <f t="shared" si="0"/>
        <v>405140</v>
      </c>
      <c r="F29" s="290">
        <f>_xlfn.XLOOKUP('Nova Versão '!C29,'Limite de crédito'!C:C,'Limite de crédito'!O:O,0)</f>
        <v>4000000</v>
      </c>
      <c r="G29" s="291">
        <f t="shared" si="1"/>
        <v>0</v>
      </c>
      <c r="H29" s="292" t="str">
        <f>_xlfn.XLOOKUP(C29,'Info Clientes'!A:A,'Info Clientes'!C:C)</f>
        <v>Guarantee or credit</v>
      </c>
      <c r="I29" s="292" t="str">
        <f>IF(_xlfn.XLOOKUP(C29,'Info Clientes'!A:A,'Info Clientes'!D:D,"")=0,"",_xlfn.XLOOKUP(C29,'Info Clientes'!A:A,'Info Clientes'!D:D,""))</f>
        <v/>
      </c>
      <c r="K29" s="290">
        <f t="shared" si="2"/>
        <v>405140</v>
      </c>
      <c r="L29" s="290">
        <f>_xlfn.XLOOKUP(C29,'Clientes Consolidado.'!$C:$C,'Clientes Consolidado.'!R:R,0)</f>
        <v>268136.7</v>
      </c>
      <c r="M29" s="290">
        <f>_xlfn.XLOOKUP(C29,'Clientes Consolidado.'!$C:$C,'Clientes Consolidado.'!S:S,0)</f>
        <v>137003.29999999999</v>
      </c>
      <c r="N29" s="290">
        <f>_xlfn.XLOOKUP(C29,'Clientes Consolidado.'!$C:$C,'Clientes Consolidado.'!T:T,0)</f>
        <v>0</v>
      </c>
      <c r="O29" s="290">
        <f>_xlfn.XLOOKUP(C29,'Clientes Consolidado.'!$C:$C,'Clientes Consolidado.'!U:U,0)</f>
        <v>0</v>
      </c>
      <c r="P29" s="290">
        <f>_xlfn.XLOOKUP(C29,'Clientes Consolidado.'!$C:$C,'Clientes Consolidado.'!V:V,0)</f>
        <v>0</v>
      </c>
      <c r="Q29" s="290">
        <f>_xlfn.XLOOKUP(C29,'Clientes Consolidado.'!$C:$C,'Clientes Consolidado.'!W:W,0)</f>
        <v>0</v>
      </c>
      <c r="R29" s="290">
        <f>_xlfn.XLOOKUP(C29,'Clientes Consolidado.'!$C:$C,'Clientes Consolidado.'!X:X,0)</f>
        <v>0</v>
      </c>
      <c r="S29" s="290">
        <f t="shared" si="3"/>
        <v>0</v>
      </c>
      <c r="T29" s="290">
        <f>SUMIFS('Clientes Consolidado.'!I:I,'Clientes Consolidado.'!C:C,C29,'Clientes Consolidado.'!B:B,"Fertilizer")
+SUMIFS('Clientes Consolidado.'!I:I,'Clientes Consolidado.'!C:C,C29,'Clientes Consolidado.'!B:B,"Additive")
+SUMIFS('Clientes Consolidado.'!I:I,'Clientes Consolidado.'!C:C,C29,'Clientes Consolidado.'!B:B,"Additive Intl.")</f>
        <v>0</v>
      </c>
      <c r="U29" s="290">
        <f>SUMIFS('Clientes Consolidado.'!J:J,'Clientes Consolidado.'!C:C,C29,'Clientes Consolidado.'!B:B,"Fertilizer")
+SUMIFS('Clientes Consolidado.'!J:J,'Clientes Consolidado.'!C:C,C29,'Clientes Consolidado.'!B:B,"Additive")
+SUMIFS('Clientes Consolidado.'!J:J,'Clientes Consolidado.'!C:C,C29,'Clientes Consolidado.'!B:B,"Additive Intl.")</f>
        <v>0</v>
      </c>
      <c r="V29" s="290">
        <f>SUMIFS('Clientes Consolidado.'!K:K,'Clientes Consolidado.'!C:C,C29,'Clientes Consolidado.'!B:B,"Fertilizer")
+SUMIFS('Clientes Consolidado.'!K:K,'Clientes Consolidado.'!C:C,C29,'Clientes Consolidado.'!B:B,"Additive")
+SUMIFS('Clientes Consolidado.'!K:K,'Clientes Consolidado.'!C:C,C29,'Clientes Consolidado.'!B:B,"Additive Intl.")</f>
        <v>0</v>
      </c>
      <c r="W29" s="290">
        <f>SUMIFS('Clientes Consolidado.'!L:L,'Clientes Consolidado.'!C:C,C29,'Clientes Consolidado.'!B:B,"Fertilizer")
+SUMIFS('Clientes Consolidado.'!L:L,'Clientes Consolidado.'!C:C,C29,'Clientes Consolidado.'!B:B,"Additive")
+SUMIFS('Clientes Consolidado.'!L:L,'Clientes Consolidado.'!C:C,C29,'Clientes Consolidado.'!B:B,"Additive Intl.")</f>
        <v>0</v>
      </c>
      <c r="X29" s="290">
        <f>SUMIFS('Clientes Consolidado.'!M:M,'Clientes Consolidado.'!C:C,C29,'Clientes Consolidado.'!B:B,"Fertilizer")
+SUMIFS('Clientes Consolidado.'!M:M,'Clientes Consolidado.'!C:C,C29,'Clientes Consolidado.'!B:B,"Additive")
+SUMIFS('Clientes Consolidado.'!M:M,'Clientes Consolidado.'!C:C,C29,'Clientes Consolidado.'!B:B,"Additive Intl.")</f>
        <v>0</v>
      </c>
      <c r="Y29" s="290">
        <f>SUMIFS('Clientes Consolidado.'!N:N,'Clientes Consolidado.'!C:C,C29,'Clientes Consolidado.'!B:B,"Fertilizer")
+SUMIFS('Clientes Consolidado.'!N:N,'Clientes Consolidado.'!C:C,C29,'Clientes Consolidado.'!B:B,"Additive")
+SUMIFS('Clientes Consolidado.'!N:N,'Clientes Consolidado.'!C:C,C29,'Clientes Consolidado.'!B:B,"Additive Intl.")</f>
        <v>0</v>
      </c>
      <c r="Z29" s="290">
        <f>SUMIFS('Clientes Consolidado.'!O:O,'Clientes Consolidado.'!C:C,C29,'Clientes Consolidado.'!B:B,"Fertilizer")
+SUMIFS('Clientes Consolidado.'!O:O,'Clientes Consolidado.'!C:C,C29,'Clientes Consolidado.'!B:B,"Additive")
+SUMIFS('Clientes Consolidado.'!O:O,'Clientes Consolidado.'!C:C,C29,'Clientes Consolidado.'!B:B,"Additive Intl.")</f>
        <v>0</v>
      </c>
      <c r="AA29" s="290">
        <f>SUMIFS('Clientes Consolidado.'!P:P,'Clientes Consolidado.'!C:C,'Nova Versão '!C29,'Clientes Consolidado.'!B:B,"Fertilizer / Litigation")+SUMIFS('Clientes Consolidado.'!P:P,'Clientes Consolidado.'!C:C,'Nova Versão '!C29,'Clientes Consolidado.'!B:B,"Additive / Litigation")</f>
        <v>0</v>
      </c>
      <c r="AB29" s="288"/>
      <c r="AD29" s="290">
        <f>SUMIFS('Invoiced amount'!I:I,'Invoiced amount'!AH:AH,'Nova Versão '!C29)</f>
        <v>591583.9</v>
      </c>
      <c r="AE29" s="290">
        <f>SUMIFS(Buget!K:K,Buget!E:E,'Nova Versão '!C29)</f>
        <v>7894479.6086200597</v>
      </c>
      <c r="AF29" s="264">
        <f t="shared" si="4"/>
        <v>7.493640231257849E-2</v>
      </c>
      <c r="AG29" s="290">
        <f t="shared" si="5"/>
        <v>7302895.7086200593</v>
      </c>
    </row>
    <row r="30" spans="1:33" ht="13.8" customHeight="1" x14ac:dyDescent="0.25">
      <c r="A30" s="283"/>
      <c r="B30" s="288" t="str">
        <f>_xlfn.XLOOKUP(C30,'Info Clientes'!A:A,'Info Clientes'!B:B)</f>
        <v>Additive</v>
      </c>
      <c r="C30" s="96" t="s">
        <v>355</v>
      </c>
      <c r="D30" s="290">
        <f>_xlfn.XLOOKUP(C30,'Limite de crédito'!C:C,'Limite de crédito'!G:G,0)</f>
        <v>1158000</v>
      </c>
      <c r="E30" s="290">
        <f t="shared" si="0"/>
        <v>388925.8</v>
      </c>
      <c r="F30" s="290">
        <f>_xlfn.XLOOKUP('Nova Versão '!C30,'Limite de crédito'!C:C,'Limite de crédito'!O:O,0)</f>
        <v>1158000</v>
      </c>
      <c r="G30" s="291">
        <f t="shared" si="1"/>
        <v>0</v>
      </c>
      <c r="H30" s="292" t="str">
        <f>_xlfn.XLOOKUP(C30,'Info Clientes'!A:A,'Info Clientes'!C:C)</f>
        <v>Guarantee or credit</v>
      </c>
      <c r="I30" s="292" t="str">
        <f>IF(_xlfn.XLOOKUP(C30,'Info Clientes'!A:A,'Info Clientes'!D:D,"")=0,"",_xlfn.XLOOKUP(C30,'Info Clientes'!A:A,'Info Clientes'!D:D,""))</f>
        <v/>
      </c>
      <c r="K30" s="290">
        <f t="shared" si="2"/>
        <v>388925.8</v>
      </c>
      <c r="L30" s="290">
        <f>_xlfn.XLOOKUP(C30,'Clientes Consolidado.'!$C:$C,'Clientes Consolidado.'!R:R,0)</f>
        <v>388925.8</v>
      </c>
      <c r="M30" s="290">
        <f>_xlfn.XLOOKUP(C30,'Clientes Consolidado.'!$C:$C,'Clientes Consolidado.'!S:S,0)</f>
        <v>0</v>
      </c>
      <c r="N30" s="290">
        <f>_xlfn.XLOOKUP(C30,'Clientes Consolidado.'!$C:$C,'Clientes Consolidado.'!T:T,0)</f>
        <v>0</v>
      </c>
      <c r="O30" s="290">
        <f>_xlfn.XLOOKUP(C30,'Clientes Consolidado.'!$C:$C,'Clientes Consolidado.'!U:U,0)</f>
        <v>0</v>
      </c>
      <c r="P30" s="290">
        <f>_xlfn.XLOOKUP(C30,'Clientes Consolidado.'!$C:$C,'Clientes Consolidado.'!V:V,0)</f>
        <v>0</v>
      </c>
      <c r="Q30" s="290">
        <f>_xlfn.XLOOKUP(C30,'Clientes Consolidado.'!$C:$C,'Clientes Consolidado.'!W:W,0)</f>
        <v>0</v>
      </c>
      <c r="R30" s="290">
        <f>_xlfn.XLOOKUP(C30,'Clientes Consolidado.'!$C:$C,'Clientes Consolidado.'!X:X,0)</f>
        <v>0</v>
      </c>
      <c r="S30" s="290">
        <f t="shared" si="3"/>
        <v>0</v>
      </c>
      <c r="T30" s="290">
        <f>SUMIFS('Clientes Consolidado.'!I:I,'Clientes Consolidado.'!C:C,C30,'Clientes Consolidado.'!B:B,"Fertilizer")
+SUMIFS('Clientes Consolidado.'!I:I,'Clientes Consolidado.'!C:C,C30,'Clientes Consolidado.'!B:B,"Additive")
+SUMIFS('Clientes Consolidado.'!I:I,'Clientes Consolidado.'!C:C,C30,'Clientes Consolidado.'!B:B,"Additive Intl.")</f>
        <v>0</v>
      </c>
      <c r="U30" s="290">
        <f>SUMIFS('Clientes Consolidado.'!J:J,'Clientes Consolidado.'!C:C,C30,'Clientes Consolidado.'!B:B,"Fertilizer")
+SUMIFS('Clientes Consolidado.'!J:J,'Clientes Consolidado.'!C:C,C30,'Clientes Consolidado.'!B:B,"Additive")
+SUMIFS('Clientes Consolidado.'!J:J,'Clientes Consolidado.'!C:C,C30,'Clientes Consolidado.'!B:B,"Additive Intl.")</f>
        <v>0</v>
      </c>
      <c r="V30" s="290">
        <f>SUMIFS('Clientes Consolidado.'!K:K,'Clientes Consolidado.'!C:C,C30,'Clientes Consolidado.'!B:B,"Fertilizer")
+SUMIFS('Clientes Consolidado.'!K:K,'Clientes Consolidado.'!C:C,C30,'Clientes Consolidado.'!B:B,"Additive")
+SUMIFS('Clientes Consolidado.'!K:K,'Clientes Consolidado.'!C:C,C30,'Clientes Consolidado.'!B:B,"Additive Intl.")</f>
        <v>0</v>
      </c>
      <c r="W30" s="290">
        <f>SUMIFS('Clientes Consolidado.'!L:L,'Clientes Consolidado.'!C:C,C30,'Clientes Consolidado.'!B:B,"Fertilizer")
+SUMIFS('Clientes Consolidado.'!L:L,'Clientes Consolidado.'!C:C,C30,'Clientes Consolidado.'!B:B,"Additive")
+SUMIFS('Clientes Consolidado.'!L:L,'Clientes Consolidado.'!C:C,C30,'Clientes Consolidado.'!B:B,"Additive Intl.")</f>
        <v>0</v>
      </c>
      <c r="X30" s="290">
        <f>SUMIFS('Clientes Consolidado.'!M:M,'Clientes Consolidado.'!C:C,C30,'Clientes Consolidado.'!B:B,"Fertilizer")
+SUMIFS('Clientes Consolidado.'!M:M,'Clientes Consolidado.'!C:C,C30,'Clientes Consolidado.'!B:B,"Additive")
+SUMIFS('Clientes Consolidado.'!M:M,'Clientes Consolidado.'!C:C,C30,'Clientes Consolidado.'!B:B,"Additive Intl.")</f>
        <v>0</v>
      </c>
      <c r="Y30" s="290">
        <f>SUMIFS('Clientes Consolidado.'!N:N,'Clientes Consolidado.'!C:C,C30,'Clientes Consolidado.'!B:B,"Fertilizer")
+SUMIFS('Clientes Consolidado.'!N:N,'Clientes Consolidado.'!C:C,C30,'Clientes Consolidado.'!B:B,"Additive")
+SUMIFS('Clientes Consolidado.'!N:N,'Clientes Consolidado.'!C:C,C30,'Clientes Consolidado.'!B:B,"Additive Intl.")</f>
        <v>0</v>
      </c>
      <c r="Z30" s="290">
        <f>SUMIFS('Clientes Consolidado.'!O:O,'Clientes Consolidado.'!C:C,C30,'Clientes Consolidado.'!B:B,"Fertilizer")
+SUMIFS('Clientes Consolidado.'!O:O,'Clientes Consolidado.'!C:C,C30,'Clientes Consolidado.'!B:B,"Additive")
+SUMIFS('Clientes Consolidado.'!O:O,'Clientes Consolidado.'!C:C,C30,'Clientes Consolidado.'!B:B,"Additive Intl.")</f>
        <v>0</v>
      </c>
      <c r="AA30" s="290">
        <f>SUMIFS('Clientes Consolidado.'!P:P,'Clientes Consolidado.'!C:C,'Nova Versão '!C30,'Clientes Consolidado.'!B:B,"Fertilizer / Litigation")+SUMIFS('Clientes Consolidado.'!P:P,'Clientes Consolidado.'!C:C,'Nova Versão '!C30,'Clientes Consolidado.'!B:B,"Additive / Litigation")</f>
        <v>0</v>
      </c>
      <c r="AB30" s="288"/>
      <c r="AD30" s="290">
        <f>SUMIFS('Invoiced amount'!I:I,'Invoiced amount'!AH:AH,'Nova Versão '!C30)</f>
        <v>2142468.7000000002</v>
      </c>
      <c r="AE30" s="290">
        <f>SUMIFS(Buget!K:K,Buget!E:E,'Nova Versão '!C30)</f>
        <v>6784771.8209435269</v>
      </c>
      <c r="AF30" s="264">
        <f t="shared" si="4"/>
        <v>0.3157760874708469</v>
      </c>
      <c r="AG30" s="290">
        <f t="shared" si="5"/>
        <v>4642303.1209435267</v>
      </c>
    </row>
    <row r="31" spans="1:33" ht="13.8" customHeight="1" x14ac:dyDescent="0.25">
      <c r="A31" s="283"/>
      <c r="B31" s="288" t="str">
        <f>_xlfn.XLOOKUP(C31,'Info Clientes'!A:A,'Info Clientes'!B:B)</f>
        <v>Additive</v>
      </c>
      <c r="C31" s="96" t="s">
        <v>73</v>
      </c>
      <c r="D31" s="290">
        <f>_xlfn.XLOOKUP(C31,'Limite de crédito'!C:C,'Limite de crédito'!G:G,0)</f>
        <v>3000000</v>
      </c>
      <c r="E31" s="290">
        <f t="shared" si="0"/>
        <v>382561.45</v>
      </c>
      <c r="F31" s="290">
        <f>_xlfn.XLOOKUP('Nova Versão '!C31,'Limite de crédito'!C:C,'Limite de crédito'!O:O,0)</f>
        <v>3000000</v>
      </c>
      <c r="G31" s="291">
        <f t="shared" si="1"/>
        <v>0</v>
      </c>
      <c r="H31" s="292" t="str">
        <f>_xlfn.XLOOKUP(C31,'Info Clientes'!A:A,'Info Clientes'!C:C)</f>
        <v>Guarantee or credit</v>
      </c>
      <c r="I31" s="292" t="str">
        <f>IF(_xlfn.XLOOKUP(C31,'Info Clientes'!A:A,'Info Clientes'!D:D,"")=0,"",_xlfn.XLOOKUP(C31,'Info Clientes'!A:A,'Info Clientes'!D:D,""))</f>
        <v/>
      </c>
      <c r="K31" s="290">
        <f t="shared" si="2"/>
        <v>382561.45</v>
      </c>
      <c r="L31" s="290">
        <f>_xlfn.XLOOKUP(C31,'Clientes Consolidado.'!$C:$C,'Clientes Consolidado.'!R:R,0)</f>
        <v>0</v>
      </c>
      <c r="M31" s="290">
        <f>_xlfn.XLOOKUP(C31,'Clientes Consolidado.'!$C:$C,'Clientes Consolidado.'!S:S,0)</f>
        <v>382561.45</v>
      </c>
      <c r="N31" s="290">
        <f>_xlfn.XLOOKUP(C31,'Clientes Consolidado.'!$C:$C,'Clientes Consolidado.'!T:T,0)</f>
        <v>0</v>
      </c>
      <c r="O31" s="290">
        <f>_xlfn.XLOOKUP(C31,'Clientes Consolidado.'!$C:$C,'Clientes Consolidado.'!U:U,0)</f>
        <v>0</v>
      </c>
      <c r="P31" s="290">
        <f>_xlfn.XLOOKUP(C31,'Clientes Consolidado.'!$C:$C,'Clientes Consolidado.'!V:V,0)</f>
        <v>0</v>
      </c>
      <c r="Q31" s="290">
        <f>_xlfn.XLOOKUP(C31,'Clientes Consolidado.'!$C:$C,'Clientes Consolidado.'!W:W,0)</f>
        <v>0</v>
      </c>
      <c r="R31" s="290">
        <f>_xlfn.XLOOKUP(C31,'Clientes Consolidado.'!$C:$C,'Clientes Consolidado.'!X:X,0)</f>
        <v>0</v>
      </c>
      <c r="S31" s="290">
        <f t="shared" si="3"/>
        <v>0</v>
      </c>
      <c r="T31" s="290">
        <f>SUMIFS('Clientes Consolidado.'!I:I,'Clientes Consolidado.'!C:C,C31,'Clientes Consolidado.'!B:B,"Fertilizer")
+SUMIFS('Clientes Consolidado.'!I:I,'Clientes Consolidado.'!C:C,C31,'Clientes Consolidado.'!B:B,"Additive")
+SUMIFS('Clientes Consolidado.'!I:I,'Clientes Consolidado.'!C:C,C31,'Clientes Consolidado.'!B:B,"Additive Intl.")</f>
        <v>0</v>
      </c>
      <c r="U31" s="290">
        <f>SUMIFS('Clientes Consolidado.'!J:J,'Clientes Consolidado.'!C:C,C31,'Clientes Consolidado.'!B:B,"Fertilizer")
+SUMIFS('Clientes Consolidado.'!J:J,'Clientes Consolidado.'!C:C,C31,'Clientes Consolidado.'!B:B,"Additive")
+SUMIFS('Clientes Consolidado.'!J:J,'Clientes Consolidado.'!C:C,C31,'Clientes Consolidado.'!B:B,"Additive Intl.")</f>
        <v>0</v>
      </c>
      <c r="V31" s="290">
        <f>SUMIFS('Clientes Consolidado.'!K:K,'Clientes Consolidado.'!C:C,C31,'Clientes Consolidado.'!B:B,"Fertilizer")
+SUMIFS('Clientes Consolidado.'!K:K,'Clientes Consolidado.'!C:C,C31,'Clientes Consolidado.'!B:B,"Additive")
+SUMIFS('Clientes Consolidado.'!K:K,'Clientes Consolidado.'!C:C,C31,'Clientes Consolidado.'!B:B,"Additive Intl.")</f>
        <v>0</v>
      </c>
      <c r="W31" s="290">
        <f>SUMIFS('Clientes Consolidado.'!L:L,'Clientes Consolidado.'!C:C,C31,'Clientes Consolidado.'!B:B,"Fertilizer")
+SUMIFS('Clientes Consolidado.'!L:L,'Clientes Consolidado.'!C:C,C31,'Clientes Consolidado.'!B:B,"Additive")
+SUMIFS('Clientes Consolidado.'!L:L,'Clientes Consolidado.'!C:C,C31,'Clientes Consolidado.'!B:B,"Additive Intl.")</f>
        <v>0</v>
      </c>
      <c r="X31" s="290">
        <f>SUMIFS('Clientes Consolidado.'!M:M,'Clientes Consolidado.'!C:C,C31,'Clientes Consolidado.'!B:B,"Fertilizer")
+SUMIFS('Clientes Consolidado.'!M:M,'Clientes Consolidado.'!C:C,C31,'Clientes Consolidado.'!B:B,"Additive")
+SUMIFS('Clientes Consolidado.'!M:M,'Clientes Consolidado.'!C:C,C31,'Clientes Consolidado.'!B:B,"Additive Intl.")</f>
        <v>0</v>
      </c>
      <c r="Y31" s="290">
        <f>SUMIFS('Clientes Consolidado.'!N:N,'Clientes Consolidado.'!C:C,C31,'Clientes Consolidado.'!B:B,"Fertilizer")
+SUMIFS('Clientes Consolidado.'!N:N,'Clientes Consolidado.'!C:C,C31,'Clientes Consolidado.'!B:B,"Additive")
+SUMIFS('Clientes Consolidado.'!N:N,'Clientes Consolidado.'!C:C,C31,'Clientes Consolidado.'!B:B,"Additive Intl.")</f>
        <v>0</v>
      </c>
      <c r="Z31" s="290">
        <f>SUMIFS('Clientes Consolidado.'!O:O,'Clientes Consolidado.'!C:C,C31,'Clientes Consolidado.'!B:B,"Fertilizer")
+SUMIFS('Clientes Consolidado.'!O:O,'Clientes Consolidado.'!C:C,C31,'Clientes Consolidado.'!B:B,"Additive")
+SUMIFS('Clientes Consolidado.'!O:O,'Clientes Consolidado.'!C:C,C31,'Clientes Consolidado.'!B:B,"Additive Intl.")</f>
        <v>0</v>
      </c>
      <c r="AA31" s="290">
        <f>SUMIFS('Clientes Consolidado.'!P:P,'Clientes Consolidado.'!C:C,'Nova Versão '!C31,'Clientes Consolidado.'!B:B,"Fertilizer / Litigation")+SUMIFS('Clientes Consolidado.'!P:P,'Clientes Consolidado.'!C:C,'Nova Versão '!C31,'Clientes Consolidado.'!B:B,"Additive / Litigation")</f>
        <v>0</v>
      </c>
      <c r="AB31" s="288"/>
      <c r="AD31" s="290">
        <f>SUMIFS('Invoiced amount'!I:I,'Invoiced amount'!AH:AH,'Nova Versão '!C31)</f>
        <v>1213578.58</v>
      </c>
      <c r="AE31" s="290">
        <f>SUMIFS(Buget!K:K,Buget!E:E,'Nova Versão '!C31)</f>
        <v>7705567.6510679973</v>
      </c>
      <c r="AF31" s="264">
        <f t="shared" si="4"/>
        <v>0.15749372855506591</v>
      </c>
      <c r="AG31" s="290">
        <f t="shared" si="5"/>
        <v>6491989.0710679973</v>
      </c>
    </row>
    <row r="32" spans="1:33" ht="13.8" customHeight="1" x14ac:dyDescent="0.25">
      <c r="A32" s="283"/>
      <c r="B32" s="288" t="str">
        <f>_xlfn.XLOOKUP(C32,'Info Clientes'!A:A,'Info Clientes'!B:B)</f>
        <v>Additive</v>
      </c>
      <c r="C32" s="96" t="s">
        <v>490</v>
      </c>
      <c r="D32" s="290">
        <f>_xlfn.XLOOKUP(C32,'Limite de crédito'!C:C,'Limite de crédito'!G:G,0)</f>
        <v>3000000</v>
      </c>
      <c r="E32" s="290">
        <f t="shared" si="0"/>
        <v>381559.2</v>
      </c>
      <c r="F32" s="290">
        <f>_xlfn.XLOOKUP('Nova Versão '!C32,'Limite de crédito'!C:C,'Limite de crédito'!O:O,0)</f>
        <v>3000000</v>
      </c>
      <c r="G32" s="291">
        <f t="shared" si="1"/>
        <v>0</v>
      </c>
      <c r="H32" s="292" t="str">
        <f>_xlfn.XLOOKUP(C32,'Info Clientes'!A:A,'Info Clientes'!C:C)</f>
        <v>Guarantee or credit</v>
      </c>
      <c r="I32" s="292" t="str">
        <f>IF(_xlfn.XLOOKUP(C32,'Info Clientes'!A:A,'Info Clientes'!D:D,"")=0,"",_xlfn.XLOOKUP(C32,'Info Clientes'!A:A,'Info Clientes'!D:D,""))</f>
        <v/>
      </c>
      <c r="K32" s="290">
        <f t="shared" si="2"/>
        <v>381559.2</v>
      </c>
      <c r="L32" s="290">
        <f>_xlfn.XLOOKUP(C32,'Clientes Consolidado.'!$C:$C,'Clientes Consolidado.'!R:R,0)</f>
        <v>381559.2</v>
      </c>
      <c r="M32" s="290">
        <f>_xlfn.XLOOKUP(C32,'Clientes Consolidado.'!$C:$C,'Clientes Consolidado.'!S:S,0)</f>
        <v>0</v>
      </c>
      <c r="N32" s="290">
        <f>_xlfn.XLOOKUP(C32,'Clientes Consolidado.'!$C:$C,'Clientes Consolidado.'!T:T,0)</f>
        <v>0</v>
      </c>
      <c r="O32" s="290">
        <f>_xlfn.XLOOKUP(C32,'Clientes Consolidado.'!$C:$C,'Clientes Consolidado.'!U:U,0)</f>
        <v>0</v>
      </c>
      <c r="P32" s="290">
        <f>_xlfn.XLOOKUP(C32,'Clientes Consolidado.'!$C:$C,'Clientes Consolidado.'!V:V,0)</f>
        <v>0</v>
      </c>
      <c r="Q32" s="290">
        <f>_xlfn.XLOOKUP(C32,'Clientes Consolidado.'!$C:$C,'Clientes Consolidado.'!W:W,0)</f>
        <v>0</v>
      </c>
      <c r="R32" s="290">
        <f>_xlfn.XLOOKUP(C32,'Clientes Consolidado.'!$C:$C,'Clientes Consolidado.'!X:X,0)</f>
        <v>0</v>
      </c>
      <c r="S32" s="290">
        <f t="shared" si="3"/>
        <v>0</v>
      </c>
      <c r="T32" s="290">
        <f>SUMIFS('Clientes Consolidado.'!I:I,'Clientes Consolidado.'!C:C,C32,'Clientes Consolidado.'!B:B,"Fertilizer")
+SUMIFS('Clientes Consolidado.'!I:I,'Clientes Consolidado.'!C:C,C32,'Clientes Consolidado.'!B:B,"Additive")
+SUMIFS('Clientes Consolidado.'!I:I,'Clientes Consolidado.'!C:C,C32,'Clientes Consolidado.'!B:B,"Additive Intl.")</f>
        <v>0</v>
      </c>
      <c r="U32" s="290">
        <f>SUMIFS('Clientes Consolidado.'!J:J,'Clientes Consolidado.'!C:C,C32,'Clientes Consolidado.'!B:B,"Fertilizer")
+SUMIFS('Clientes Consolidado.'!J:J,'Clientes Consolidado.'!C:C,C32,'Clientes Consolidado.'!B:B,"Additive")
+SUMIFS('Clientes Consolidado.'!J:J,'Clientes Consolidado.'!C:C,C32,'Clientes Consolidado.'!B:B,"Additive Intl.")</f>
        <v>0</v>
      </c>
      <c r="V32" s="290">
        <f>SUMIFS('Clientes Consolidado.'!K:K,'Clientes Consolidado.'!C:C,C32,'Clientes Consolidado.'!B:B,"Fertilizer")
+SUMIFS('Clientes Consolidado.'!K:K,'Clientes Consolidado.'!C:C,C32,'Clientes Consolidado.'!B:B,"Additive")
+SUMIFS('Clientes Consolidado.'!K:K,'Clientes Consolidado.'!C:C,C32,'Clientes Consolidado.'!B:B,"Additive Intl.")</f>
        <v>0</v>
      </c>
      <c r="W32" s="290">
        <f>SUMIFS('Clientes Consolidado.'!L:L,'Clientes Consolidado.'!C:C,C32,'Clientes Consolidado.'!B:B,"Fertilizer")
+SUMIFS('Clientes Consolidado.'!L:L,'Clientes Consolidado.'!C:C,C32,'Clientes Consolidado.'!B:B,"Additive")
+SUMIFS('Clientes Consolidado.'!L:L,'Clientes Consolidado.'!C:C,C32,'Clientes Consolidado.'!B:B,"Additive Intl.")</f>
        <v>0</v>
      </c>
      <c r="X32" s="290">
        <f>SUMIFS('Clientes Consolidado.'!M:M,'Clientes Consolidado.'!C:C,C32,'Clientes Consolidado.'!B:B,"Fertilizer")
+SUMIFS('Clientes Consolidado.'!M:M,'Clientes Consolidado.'!C:C,C32,'Clientes Consolidado.'!B:B,"Additive")
+SUMIFS('Clientes Consolidado.'!M:M,'Clientes Consolidado.'!C:C,C32,'Clientes Consolidado.'!B:B,"Additive Intl.")</f>
        <v>0</v>
      </c>
      <c r="Y32" s="290">
        <f>SUMIFS('Clientes Consolidado.'!N:N,'Clientes Consolidado.'!C:C,C32,'Clientes Consolidado.'!B:B,"Fertilizer")
+SUMIFS('Clientes Consolidado.'!N:N,'Clientes Consolidado.'!C:C,C32,'Clientes Consolidado.'!B:B,"Additive")
+SUMIFS('Clientes Consolidado.'!N:N,'Clientes Consolidado.'!C:C,C32,'Clientes Consolidado.'!B:B,"Additive Intl.")</f>
        <v>0</v>
      </c>
      <c r="Z32" s="290">
        <f>SUMIFS('Clientes Consolidado.'!O:O,'Clientes Consolidado.'!C:C,C32,'Clientes Consolidado.'!B:B,"Fertilizer")
+SUMIFS('Clientes Consolidado.'!O:O,'Clientes Consolidado.'!C:C,C32,'Clientes Consolidado.'!B:B,"Additive")
+SUMIFS('Clientes Consolidado.'!O:O,'Clientes Consolidado.'!C:C,C32,'Clientes Consolidado.'!B:B,"Additive Intl.")</f>
        <v>0</v>
      </c>
      <c r="AA32" s="290">
        <f>SUMIFS('Clientes Consolidado.'!P:P,'Clientes Consolidado.'!C:C,'Nova Versão '!C32,'Clientes Consolidado.'!B:B,"Fertilizer / Litigation")+SUMIFS('Clientes Consolidado.'!P:P,'Clientes Consolidado.'!C:C,'Nova Versão '!C32,'Clientes Consolidado.'!B:B,"Additive / Litigation")</f>
        <v>0</v>
      </c>
      <c r="AB32" s="288"/>
      <c r="AD32" s="290">
        <f>SUMIFS('Invoiced amount'!I:I,'Invoiced amount'!AH:AH,'Nova Versão '!C32)</f>
        <v>3877846.04</v>
      </c>
      <c r="AE32" s="290">
        <f>SUMIFS(Buget!K:K,Buget!E:E,'Nova Versão '!C32)</f>
        <v>20767516.844419491</v>
      </c>
      <c r="AF32" s="264">
        <f t="shared" si="4"/>
        <v>0.18672651473216592</v>
      </c>
      <c r="AG32" s="290">
        <f t="shared" si="5"/>
        <v>16889670.804419491</v>
      </c>
    </row>
    <row r="33" spans="1:33" ht="13.8" customHeight="1" x14ac:dyDescent="0.25">
      <c r="A33" s="283"/>
      <c r="B33" s="288" t="str">
        <f>_xlfn.XLOOKUP(C33,'Info Clientes'!A:A,'Info Clientes'!B:B)</f>
        <v>Fertilizer</v>
      </c>
      <c r="C33" s="234" t="s">
        <v>330</v>
      </c>
      <c r="D33" s="290">
        <f>_xlfn.XLOOKUP(C33,'Limite de crédito'!C:C,'Limite de crédito'!G:G,0)</f>
        <v>0</v>
      </c>
      <c r="E33" s="290">
        <f t="shared" si="0"/>
        <v>329327.90999999997</v>
      </c>
      <c r="F33" s="290">
        <f>_xlfn.XLOOKUP('Nova Versão '!C33,'Limite de crédito'!C:C,'Limite de crédito'!O:O,0)</f>
        <v>0</v>
      </c>
      <c r="G33" s="291">
        <f t="shared" si="1"/>
        <v>329327.90999999997</v>
      </c>
      <c r="H33" s="292" t="str">
        <f>_xlfn.XLOOKUP(C33,'Info Clientes'!A:A,'Info Clientes'!C:C)</f>
        <v>Credit without Insurance</v>
      </c>
      <c r="I33" s="292" t="str">
        <f>IF(_xlfn.XLOOKUP(C33,'Info Clientes'!A:A,'Info Clientes'!D:D,"")=0,"",_xlfn.XLOOKUP(C33,'Info Clientes'!A:A,'Info Clientes'!D:D,""))</f>
        <v>We are currently evaluating the client’s proposal to provide a tractor as collateral.</v>
      </c>
      <c r="K33" s="290">
        <f t="shared" si="2"/>
        <v>0</v>
      </c>
      <c r="L33" s="290">
        <f>_xlfn.XLOOKUP(C33,'Clientes Consolidado.'!$C:$C,'Clientes Consolidado.'!R:R,0)</f>
        <v>0</v>
      </c>
      <c r="M33" s="290">
        <f>_xlfn.XLOOKUP(C33,'Clientes Consolidado.'!$C:$C,'Clientes Consolidado.'!S:S,0)</f>
        <v>0</v>
      </c>
      <c r="N33" s="290">
        <f>_xlfn.XLOOKUP(C33,'Clientes Consolidado.'!$C:$C,'Clientes Consolidado.'!T:T,0)</f>
        <v>0</v>
      </c>
      <c r="O33" s="290">
        <f>_xlfn.XLOOKUP(C33,'Clientes Consolidado.'!$C:$C,'Clientes Consolidado.'!U:U,0)</f>
        <v>0</v>
      </c>
      <c r="P33" s="290">
        <f>_xlfn.XLOOKUP(C33,'Clientes Consolidado.'!$C:$C,'Clientes Consolidado.'!V:V,0)</f>
        <v>0</v>
      </c>
      <c r="Q33" s="290">
        <f>_xlfn.XLOOKUP(C33,'Clientes Consolidado.'!$C:$C,'Clientes Consolidado.'!W:W,0)</f>
        <v>0</v>
      </c>
      <c r="R33" s="290">
        <f>_xlfn.XLOOKUP(C33,'Clientes Consolidado.'!$C:$C,'Clientes Consolidado.'!X:X,0)</f>
        <v>0</v>
      </c>
      <c r="S33" s="290">
        <f t="shared" si="3"/>
        <v>329327.90999999997</v>
      </c>
      <c r="T33" s="290">
        <f>SUMIFS('Clientes Consolidado.'!I:I,'Clientes Consolidado.'!C:C,C33,'Clientes Consolidado.'!B:B,"Fertilizer")
+SUMIFS('Clientes Consolidado.'!I:I,'Clientes Consolidado.'!C:C,C33,'Clientes Consolidado.'!B:B,"Additive")
+SUMIFS('Clientes Consolidado.'!I:I,'Clientes Consolidado.'!C:C,C33,'Clientes Consolidado.'!B:B,"Additive Intl.")</f>
        <v>0</v>
      </c>
      <c r="U33" s="290">
        <f>SUMIFS('Clientes Consolidado.'!J:J,'Clientes Consolidado.'!C:C,C33,'Clientes Consolidado.'!B:B,"Fertilizer")
+SUMIFS('Clientes Consolidado.'!J:J,'Clientes Consolidado.'!C:C,C33,'Clientes Consolidado.'!B:B,"Additive")
+SUMIFS('Clientes Consolidado.'!J:J,'Clientes Consolidado.'!C:C,C33,'Clientes Consolidado.'!B:B,"Additive Intl.")</f>
        <v>329327.90999999997</v>
      </c>
      <c r="V33" s="290">
        <f>SUMIFS('Clientes Consolidado.'!K:K,'Clientes Consolidado.'!C:C,C33,'Clientes Consolidado.'!B:B,"Fertilizer")
+SUMIFS('Clientes Consolidado.'!K:K,'Clientes Consolidado.'!C:C,C33,'Clientes Consolidado.'!B:B,"Additive")
+SUMIFS('Clientes Consolidado.'!K:K,'Clientes Consolidado.'!C:C,C33,'Clientes Consolidado.'!B:B,"Additive Intl.")</f>
        <v>0</v>
      </c>
      <c r="W33" s="290">
        <f>SUMIFS('Clientes Consolidado.'!L:L,'Clientes Consolidado.'!C:C,C33,'Clientes Consolidado.'!B:B,"Fertilizer")
+SUMIFS('Clientes Consolidado.'!L:L,'Clientes Consolidado.'!C:C,C33,'Clientes Consolidado.'!B:B,"Additive")
+SUMIFS('Clientes Consolidado.'!L:L,'Clientes Consolidado.'!C:C,C33,'Clientes Consolidado.'!B:B,"Additive Intl.")</f>
        <v>0</v>
      </c>
      <c r="X33" s="290">
        <f>SUMIFS('Clientes Consolidado.'!M:M,'Clientes Consolidado.'!C:C,C33,'Clientes Consolidado.'!B:B,"Fertilizer")
+SUMIFS('Clientes Consolidado.'!M:M,'Clientes Consolidado.'!C:C,C33,'Clientes Consolidado.'!B:B,"Additive")
+SUMIFS('Clientes Consolidado.'!M:M,'Clientes Consolidado.'!C:C,C33,'Clientes Consolidado.'!B:B,"Additive Intl.")</f>
        <v>0</v>
      </c>
      <c r="Y33" s="290">
        <f>SUMIFS('Clientes Consolidado.'!N:N,'Clientes Consolidado.'!C:C,C33,'Clientes Consolidado.'!B:B,"Fertilizer")
+SUMIFS('Clientes Consolidado.'!N:N,'Clientes Consolidado.'!C:C,C33,'Clientes Consolidado.'!B:B,"Additive")
+SUMIFS('Clientes Consolidado.'!N:N,'Clientes Consolidado.'!C:C,C33,'Clientes Consolidado.'!B:B,"Additive Intl.")</f>
        <v>0</v>
      </c>
      <c r="Z33" s="290">
        <f>SUMIFS('Clientes Consolidado.'!O:O,'Clientes Consolidado.'!C:C,C33,'Clientes Consolidado.'!B:B,"Fertilizer")
+SUMIFS('Clientes Consolidado.'!O:O,'Clientes Consolidado.'!C:C,C33,'Clientes Consolidado.'!B:B,"Additive")
+SUMIFS('Clientes Consolidado.'!O:O,'Clientes Consolidado.'!C:C,C33,'Clientes Consolidado.'!B:B,"Additive Intl.")</f>
        <v>0</v>
      </c>
      <c r="AA33" s="290">
        <f>SUMIFS('Clientes Consolidado.'!P:P,'Clientes Consolidado.'!C:C,'Nova Versão '!C33,'Clientes Consolidado.'!B:B,"Fertilizer / Litigation")+SUMIFS('Clientes Consolidado.'!P:P,'Clientes Consolidado.'!C:C,'Nova Versão '!C33,'Clientes Consolidado.'!B:B,"Additive / Litigation")</f>
        <v>0</v>
      </c>
      <c r="AB33" s="288"/>
      <c r="AD33" s="290">
        <f>SUMIFS('Invoiced amount'!I:I,'Invoiced amount'!AH:AH,'Nova Versão '!C33)</f>
        <v>0</v>
      </c>
      <c r="AE33" s="290">
        <f>SUMIFS(Buget!K:K,Buget!E:E,'Nova Versão '!C33)</f>
        <v>268305.82122705691</v>
      </c>
      <c r="AF33" s="264">
        <f t="shared" si="4"/>
        <v>0</v>
      </c>
      <c r="AG33" s="290">
        <f t="shared" si="5"/>
        <v>268305.82122705691</v>
      </c>
    </row>
    <row r="34" spans="1:33" ht="13.8" customHeight="1" x14ac:dyDescent="0.25">
      <c r="A34" s="283"/>
      <c r="B34" s="288" t="str">
        <f>_xlfn.XLOOKUP(C34,'Info Clientes'!A:A,'Info Clientes'!B:B)</f>
        <v>Additive</v>
      </c>
      <c r="C34" s="96" t="s">
        <v>526</v>
      </c>
      <c r="D34" s="290">
        <f>_xlfn.XLOOKUP(C34,'Limite de crédito'!C:C,'Limite de crédito'!G:G,0)</f>
        <v>700000</v>
      </c>
      <c r="E34" s="290">
        <f t="shared" si="0"/>
        <v>317275</v>
      </c>
      <c r="F34" s="290">
        <f>_xlfn.XLOOKUP('Nova Versão '!C34,'Limite de crédito'!C:C,'Limite de crédito'!O:O,0)</f>
        <v>700000</v>
      </c>
      <c r="G34" s="291">
        <f t="shared" si="1"/>
        <v>0</v>
      </c>
      <c r="H34" s="292" t="str">
        <f>_xlfn.XLOOKUP(C34,'Info Clientes'!A:A,'Info Clientes'!C:C)</f>
        <v>Guarantee or credit</v>
      </c>
      <c r="I34" s="292" t="str">
        <f>IF(_xlfn.XLOOKUP(C34,'Info Clientes'!A:A,'Info Clientes'!D:D,"")=0,"",_xlfn.XLOOKUP(C34,'Info Clientes'!A:A,'Info Clientes'!D:D,""))</f>
        <v/>
      </c>
      <c r="K34" s="290">
        <f t="shared" si="2"/>
        <v>317275</v>
      </c>
      <c r="L34" s="290">
        <f>_xlfn.XLOOKUP(C34,'Clientes Consolidado.'!$C:$C,'Clientes Consolidado.'!R:R,0)</f>
        <v>317275</v>
      </c>
      <c r="M34" s="290">
        <f>_xlfn.XLOOKUP(C34,'Clientes Consolidado.'!$C:$C,'Clientes Consolidado.'!S:S,0)</f>
        <v>0</v>
      </c>
      <c r="N34" s="290">
        <f>_xlfn.XLOOKUP(C34,'Clientes Consolidado.'!$C:$C,'Clientes Consolidado.'!T:T,0)</f>
        <v>0</v>
      </c>
      <c r="O34" s="290">
        <f>_xlfn.XLOOKUP(C34,'Clientes Consolidado.'!$C:$C,'Clientes Consolidado.'!U:U,0)</f>
        <v>0</v>
      </c>
      <c r="P34" s="290">
        <f>_xlfn.XLOOKUP(C34,'Clientes Consolidado.'!$C:$C,'Clientes Consolidado.'!V:V,0)</f>
        <v>0</v>
      </c>
      <c r="Q34" s="290">
        <f>_xlfn.XLOOKUP(C34,'Clientes Consolidado.'!$C:$C,'Clientes Consolidado.'!W:W,0)</f>
        <v>0</v>
      </c>
      <c r="R34" s="290">
        <f>_xlfn.XLOOKUP(C34,'Clientes Consolidado.'!$C:$C,'Clientes Consolidado.'!X:X,0)</f>
        <v>0</v>
      </c>
      <c r="S34" s="290">
        <f t="shared" si="3"/>
        <v>0</v>
      </c>
      <c r="T34" s="290">
        <f>SUMIFS('Clientes Consolidado.'!I:I,'Clientes Consolidado.'!C:C,C34,'Clientes Consolidado.'!B:B,"Fertilizer")
+SUMIFS('Clientes Consolidado.'!I:I,'Clientes Consolidado.'!C:C,C34,'Clientes Consolidado.'!B:B,"Additive")
+SUMIFS('Clientes Consolidado.'!I:I,'Clientes Consolidado.'!C:C,C34,'Clientes Consolidado.'!B:B,"Additive Intl.")</f>
        <v>0</v>
      </c>
      <c r="U34" s="290">
        <f>SUMIFS('Clientes Consolidado.'!J:J,'Clientes Consolidado.'!C:C,C34,'Clientes Consolidado.'!B:B,"Fertilizer")
+SUMIFS('Clientes Consolidado.'!J:J,'Clientes Consolidado.'!C:C,C34,'Clientes Consolidado.'!B:B,"Additive")
+SUMIFS('Clientes Consolidado.'!J:J,'Clientes Consolidado.'!C:C,C34,'Clientes Consolidado.'!B:B,"Additive Intl.")</f>
        <v>0</v>
      </c>
      <c r="V34" s="290">
        <f>SUMIFS('Clientes Consolidado.'!K:K,'Clientes Consolidado.'!C:C,C34,'Clientes Consolidado.'!B:B,"Fertilizer")
+SUMIFS('Clientes Consolidado.'!K:K,'Clientes Consolidado.'!C:C,C34,'Clientes Consolidado.'!B:B,"Additive")
+SUMIFS('Clientes Consolidado.'!K:K,'Clientes Consolidado.'!C:C,C34,'Clientes Consolidado.'!B:B,"Additive Intl.")</f>
        <v>0</v>
      </c>
      <c r="W34" s="290">
        <f>SUMIFS('Clientes Consolidado.'!L:L,'Clientes Consolidado.'!C:C,C34,'Clientes Consolidado.'!B:B,"Fertilizer")
+SUMIFS('Clientes Consolidado.'!L:L,'Clientes Consolidado.'!C:C,C34,'Clientes Consolidado.'!B:B,"Additive")
+SUMIFS('Clientes Consolidado.'!L:L,'Clientes Consolidado.'!C:C,C34,'Clientes Consolidado.'!B:B,"Additive Intl.")</f>
        <v>0</v>
      </c>
      <c r="X34" s="290">
        <f>SUMIFS('Clientes Consolidado.'!M:M,'Clientes Consolidado.'!C:C,C34,'Clientes Consolidado.'!B:B,"Fertilizer")
+SUMIFS('Clientes Consolidado.'!M:M,'Clientes Consolidado.'!C:C,C34,'Clientes Consolidado.'!B:B,"Additive")
+SUMIFS('Clientes Consolidado.'!M:M,'Clientes Consolidado.'!C:C,C34,'Clientes Consolidado.'!B:B,"Additive Intl.")</f>
        <v>0</v>
      </c>
      <c r="Y34" s="290">
        <f>SUMIFS('Clientes Consolidado.'!N:N,'Clientes Consolidado.'!C:C,C34,'Clientes Consolidado.'!B:B,"Fertilizer")
+SUMIFS('Clientes Consolidado.'!N:N,'Clientes Consolidado.'!C:C,C34,'Clientes Consolidado.'!B:B,"Additive")
+SUMIFS('Clientes Consolidado.'!N:N,'Clientes Consolidado.'!C:C,C34,'Clientes Consolidado.'!B:B,"Additive Intl.")</f>
        <v>0</v>
      </c>
      <c r="Z34" s="290">
        <f>SUMIFS('Clientes Consolidado.'!O:O,'Clientes Consolidado.'!C:C,C34,'Clientes Consolidado.'!B:B,"Fertilizer")
+SUMIFS('Clientes Consolidado.'!O:O,'Clientes Consolidado.'!C:C,C34,'Clientes Consolidado.'!B:B,"Additive")
+SUMIFS('Clientes Consolidado.'!O:O,'Clientes Consolidado.'!C:C,C34,'Clientes Consolidado.'!B:B,"Additive Intl.")</f>
        <v>0</v>
      </c>
      <c r="AA34" s="290">
        <f>SUMIFS('Clientes Consolidado.'!P:P,'Clientes Consolidado.'!C:C,'Nova Versão '!C34,'Clientes Consolidado.'!B:B,"Fertilizer / Litigation")+SUMIFS('Clientes Consolidado.'!P:P,'Clientes Consolidado.'!C:C,'Nova Versão '!C34,'Clientes Consolidado.'!B:B,"Additive / Litigation")</f>
        <v>0</v>
      </c>
      <c r="AB34" s="288"/>
      <c r="AD34" s="290">
        <f>SUMIFS('Invoiced amount'!I:I,'Invoiced amount'!AH:AH,'Nova Versão '!C34)</f>
        <v>1256610</v>
      </c>
      <c r="AE34" s="290">
        <f>SUMIFS(Buget!K:K,Buget!E:E,'Nova Versão '!C34)</f>
        <v>1601244.8234414661</v>
      </c>
      <c r="AF34" s="264">
        <f t="shared" si="4"/>
        <v>0.78477068690797591</v>
      </c>
      <c r="AG34" s="290">
        <f t="shared" si="5"/>
        <v>344634.82344146608</v>
      </c>
    </row>
    <row r="35" spans="1:33" ht="13.8" customHeight="1" x14ac:dyDescent="0.25">
      <c r="A35" s="283"/>
      <c r="B35" s="288" t="str">
        <f>_xlfn.XLOOKUP(C35,'Info Clientes'!A:A,'Info Clientes'!B:B)</f>
        <v>Additive Intl.</v>
      </c>
      <c r="C35" s="96" t="s">
        <v>114</v>
      </c>
      <c r="D35" s="290">
        <f>_xlfn.XLOOKUP(C35,'Limite de crédito'!C:C,'Limite de crédito'!G:G,0)</f>
        <v>1650000</v>
      </c>
      <c r="E35" s="290">
        <f t="shared" si="0"/>
        <v>307440.64999999997</v>
      </c>
      <c r="F35" s="290">
        <f>_xlfn.XLOOKUP('Nova Versão '!C35,'Limite de crédito'!C:C,'Limite de crédito'!O:O,0)</f>
        <v>1650000</v>
      </c>
      <c r="G35" s="291">
        <f t="shared" si="1"/>
        <v>0</v>
      </c>
      <c r="H35" s="292" t="str">
        <f>_xlfn.XLOOKUP(C35,'Info Clientes'!A:A,'Info Clientes'!C:C)</f>
        <v>Guarantee or credit</v>
      </c>
      <c r="I35" s="292" t="str">
        <f>IF(_xlfn.XLOOKUP(C35,'Info Clientes'!A:A,'Info Clientes'!D:D,"")=0,"",_xlfn.XLOOKUP(C35,'Info Clientes'!A:A,'Info Clientes'!D:D,""))</f>
        <v/>
      </c>
      <c r="K35" s="290">
        <f t="shared" si="2"/>
        <v>307440.64999999997</v>
      </c>
      <c r="L35" s="290">
        <f>_xlfn.XLOOKUP(C35,'Clientes Consolidado.'!$C:$C,'Clientes Consolidado.'!R:R,0)</f>
        <v>307440.64999999997</v>
      </c>
      <c r="M35" s="290">
        <f>_xlfn.XLOOKUP(C35,'Clientes Consolidado.'!$C:$C,'Clientes Consolidado.'!S:S,0)</f>
        <v>0</v>
      </c>
      <c r="N35" s="290">
        <f>_xlfn.XLOOKUP(C35,'Clientes Consolidado.'!$C:$C,'Clientes Consolidado.'!T:T,0)</f>
        <v>0</v>
      </c>
      <c r="O35" s="290">
        <f>_xlfn.XLOOKUP(C35,'Clientes Consolidado.'!$C:$C,'Clientes Consolidado.'!U:U,0)</f>
        <v>0</v>
      </c>
      <c r="P35" s="290">
        <f>_xlfn.XLOOKUP(C35,'Clientes Consolidado.'!$C:$C,'Clientes Consolidado.'!V:V,0)</f>
        <v>0</v>
      </c>
      <c r="Q35" s="290">
        <f>_xlfn.XLOOKUP(C35,'Clientes Consolidado.'!$C:$C,'Clientes Consolidado.'!W:W,0)</f>
        <v>0</v>
      </c>
      <c r="R35" s="290">
        <f>_xlfn.XLOOKUP(C35,'Clientes Consolidado.'!$C:$C,'Clientes Consolidado.'!X:X,0)</f>
        <v>0</v>
      </c>
      <c r="S35" s="290">
        <f t="shared" ref="S35:S66" si="6">SUM(T35:Z35)</f>
        <v>0</v>
      </c>
      <c r="T35" s="290">
        <f>SUMIFS('Clientes Consolidado.'!I:I,'Clientes Consolidado.'!C:C,C35,'Clientes Consolidado.'!B:B,"Fertilizer")
+SUMIFS('Clientes Consolidado.'!I:I,'Clientes Consolidado.'!C:C,C35,'Clientes Consolidado.'!B:B,"Additive")
+SUMIFS('Clientes Consolidado.'!I:I,'Clientes Consolidado.'!C:C,C35,'Clientes Consolidado.'!B:B,"Additive Intl.")</f>
        <v>0</v>
      </c>
      <c r="U35" s="290">
        <f>SUMIFS('Clientes Consolidado.'!J:J,'Clientes Consolidado.'!C:C,C35,'Clientes Consolidado.'!B:B,"Fertilizer")
+SUMIFS('Clientes Consolidado.'!J:J,'Clientes Consolidado.'!C:C,C35,'Clientes Consolidado.'!B:B,"Additive")
+SUMIFS('Clientes Consolidado.'!J:J,'Clientes Consolidado.'!C:C,C35,'Clientes Consolidado.'!B:B,"Additive Intl.")</f>
        <v>0</v>
      </c>
      <c r="V35" s="290">
        <f>SUMIFS('Clientes Consolidado.'!K:K,'Clientes Consolidado.'!C:C,C35,'Clientes Consolidado.'!B:B,"Fertilizer")
+SUMIFS('Clientes Consolidado.'!K:K,'Clientes Consolidado.'!C:C,C35,'Clientes Consolidado.'!B:B,"Additive")
+SUMIFS('Clientes Consolidado.'!K:K,'Clientes Consolidado.'!C:C,C35,'Clientes Consolidado.'!B:B,"Additive Intl.")</f>
        <v>0</v>
      </c>
      <c r="W35" s="290">
        <f>SUMIFS('Clientes Consolidado.'!L:L,'Clientes Consolidado.'!C:C,C35,'Clientes Consolidado.'!B:B,"Fertilizer")
+SUMIFS('Clientes Consolidado.'!L:L,'Clientes Consolidado.'!C:C,C35,'Clientes Consolidado.'!B:B,"Additive")
+SUMIFS('Clientes Consolidado.'!L:L,'Clientes Consolidado.'!C:C,C35,'Clientes Consolidado.'!B:B,"Additive Intl.")</f>
        <v>0</v>
      </c>
      <c r="X35" s="290">
        <f>SUMIFS('Clientes Consolidado.'!M:M,'Clientes Consolidado.'!C:C,C35,'Clientes Consolidado.'!B:B,"Fertilizer")
+SUMIFS('Clientes Consolidado.'!M:M,'Clientes Consolidado.'!C:C,C35,'Clientes Consolidado.'!B:B,"Additive")
+SUMIFS('Clientes Consolidado.'!M:M,'Clientes Consolidado.'!C:C,C35,'Clientes Consolidado.'!B:B,"Additive Intl.")</f>
        <v>0</v>
      </c>
      <c r="Y35" s="290">
        <f>SUMIFS('Clientes Consolidado.'!N:N,'Clientes Consolidado.'!C:C,C35,'Clientes Consolidado.'!B:B,"Fertilizer")
+SUMIFS('Clientes Consolidado.'!N:N,'Clientes Consolidado.'!C:C,C35,'Clientes Consolidado.'!B:B,"Additive")
+SUMIFS('Clientes Consolidado.'!N:N,'Clientes Consolidado.'!C:C,C35,'Clientes Consolidado.'!B:B,"Additive Intl.")</f>
        <v>0</v>
      </c>
      <c r="Z35" s="290">
        <f>SUMIFS('Clientes Consolidado.'!O:O,'Clientes Consolidado.'!C:C,C35,'Clientes Consolidado.'!B:B,"Fertilizer")
+SUMIFS('Clientes Consolidado.'!O:O,'Clientes Consolidado.'!C:C,C35,'Clientes Consolidado.'!B:B,"Additive")
+SUMIFS('Clientes Consolidado.'!O:O,'Clientes Consolidado.'!C:C,C35,'Clientes Consolidado.'!B:B,"Additive Intl.")</f>
        <v>0</v>
      </c>
      <c r="AA35" s="290">
        <f>SUMIFS('Clientes Consolidado.'!P:P,'Clientes Consolidado.'!C:C,'Nova Versão '!C35,'Clientes Consolidado.'!B:B,"Fertilizer / Litigation")+SUMIFS('Clientes Consolidado.'!P:P,'Clientes Consolidado.'!C:C,'Nova Versão '!C35,'Clientes Consolidado.'!B:B,"Additive / Litigation")</f>
        <v>0</v>
      </c>
      <c r="AB35" s="288"/>
      <c r="AD35" s="290">
        <f>SUMIFS('Invoiced amount'!I:I,'Invoiced amount'!AH:AH,'Nova Versão '!C35)</f>
        <v>1985542.69</v>
      </c>
      <c r="AE35" s="290">
        <f>SUMIFS(Buget!K:K,Buget!E:E,'Nova Versão '!C35)</f>
        <v>3498901</v>
      </c>
      <c r="AF35" s="264">
        <f t="shared" si="4"/>
        <v>0.56747609892363349</v>
      </c>
      <c r="AG35" s="290">
        <f t="shared" si="5"/>
        <v>1513358.31</v>
      </c>
    </row>
    <row r="36" spans="1:33" ht="13.8" customHeight="1" x14ac:dyDescent="0.25">
      <c r="A36" s="283"/>
      <c r="B36" s="288" t="str">
        <f>_xlfn.XLOOKUP(C36,'Info Clientes'!A:A,'Info Clientes'!B:B)</f>
        <v>Fertilizer</v>
      </c>
      <c r="C36" s="234" t="s">
        <v>466</v>
      </c>
      <c r="D36" s="290">
        <f>_xlfn.XLOOKUP(C36,'Limite de crédito'!C:C,'Limite de crédito'!G:G,0)</f>
        <v>1000000</v>
      </c>
      <c r="E36" s="290">
        <f t="shared" si="0"/>
        <v>299642.08</v>
      </c>
      <c r="F36" s="290">
        <f>_xlfn.XLOOKUP('Nova Versão '!C36,'Limite de crédito'!C:C,'Limite de crédito'!O:O,0)</f>
        <v>1000000</v>
      </c>
      <c r="G36" s="291">
        <f t="shared" si="1"/>
        <v>0</v>
      </c>
      <c r="H36" s="292" t="str">
        <f>_xlfn.XLOOKUP(C36,'Info Clientes'!A:A,'Info Clientes'!C:C)</f>
        <v>Guarantee or credit</v>
      </c>
      <c r="I36" s="292" t="str">
        <f>IF(_xlfn.XLOOKUP(C36,'Info Clientes'!A:A,'Info Clientes'!D:D,"")=0,"",_xlfn.XLOOKUP(C36,'Info Clientes'!A:A,'Info Clientes'!D:D,""))</f>
        <v/>
      </c>
      <c r="K36" s="290">
        <f t="shared" si="2"/>
        <v>299642.08</v>
      </c>
      <c r="L36" s="290">
        <f>_xlfn.XLOOKUP(C36,'Clientes Consolidado.'!$C:$C,'Clientes Consolidado.'!R:R,0)</f>
        <v>0</v>
      </c>
      <c r="M36" s="290">
        <f>_xlfn.XLOOKUP(C36,'Clientes Consolidado.'!$C:$C,'Clientes Consolidado.'!S:S,0)</f>
        <v>0</v>
      </c>
      <c r="N36" s="290">
        <f>_xlfn.XLOOKUP(C36,'Clientes Consolidado.'!$C:$C,'Clientes Consolidado.'!T:T,0)</f>
        <v>0</v>
      </c>
      <c r="O36" s="290">
        <f>_xlfn.XLOOKUP(C36,'Clientes Consolidado.'!$C:$C,'Clientes Consolidado.'!U:U,0)</f>
        <v>0</v>
      </c>
      <c r="P36" s="290">
        <f>_xlfn.XLOOKUP(C36,'Clientes Consolidado.'!$C:$C,'Clientes Consolidado.'!V:V,0)</f>
        <v>299642.08</v>
      </c>
      <c r="Q36" s="290">
        <f>_xlfn.XLOOKUP(C36,'Clientes Consolidado.'!$C:$C,'Clientes Consolidado.'!W:W,0)</f>
        <v>0</v>
      </c>
      <c r="R36" s="290">
        <f>_xlfn.XLOOKUP(C36,'Clientes Consolidado.'!$C:$C,'Clientes Consolidado.'!X:X,0)</f>
        <v>0</v>
      </c>
      <c r="S36" s="290">
        <f t="shared" si="6"/>
        <v>0</v>
      </c>
      <c r="T36" s="290">
        <f>SUMIFS('Clientes Consolidado.'!I:I,'Clientes Consolidado.'!C:C,C36,'Clientes Consolidado.'!B:B,"Fertilizer")
+SUMIFS('Clientes Consolidado.'!I:I,'Clientes Consolidado.'!C:C,C36,'Clientes Consolidado.'!B:B,"Additive")
+SUMIFS('Clientes Consolidado.'!I:I,'Clientes Consolidado.'!C:C,C36,'Clientes Consolidado.'!B:B,"Additive Intl.")</f>
        <v>0</v>
      </c>
      <c r="U36" s="290">
        <f>SUMIFS('Clientes Consolidado.'!J:J,'Clientes Consolidado.'!C:C,C36,'Clientes Consolidado.'!B:B,"Fertilizer")
+SUMIFS('Clientes Consolidado.'!J:J,'Clientes Consolidado.'!C:C,C36,'Clientes Consolidado.'!B:B,"Additive")
+SUMIFS('Clientes Consolidado.'!J:J,'Clientes Consolidado.'!C:C,C36,'Clientes Consolidado.'!B:B,"Additive Intl.")</f>
        <v>0</v>
      </c>
      <c r="V36" s="290">
        <f>SUMIFS('Clientes Consolidado.'!K:K,'Clientes Consolidado.'!C:C,C36,'Clientes Consolidado.'!B:B,"Fertilizer")
+SUMIFS('Clientes Consolidado.'!K:K,'Clientes Consolidado.'!C:C,C36,'Clientes Consolidado.'!B:B,"Additive")
+SUMIFS('Clientes Consolidado.'!K:K,'Clientes Consolidado.'!C:C,C36,'Clientes Consolidado.'!B:B,"Additive Intl.")</f>
        <v>0</v>
      </c>
      <c r="W36" s="290">
        <f>SUMIFS('Clientes Consolidado.'!L:L,'Clientes Consolidado.'!C:C,C36,'Clientes Consolidado.'!B:B,"Fertilizer")
+SUMIFS('Clientes Consolidado.'!L:L,'Clientes Consolidado.'!C:C,C36,'Clientes Consolidado.'!B:B,"Additive")
+SUMIFS('Clientes Consolidado.'!L:L,'Clientes Consolidado.'!C:C,C36,'Clientes Consolidado.'!B:B,"Additive Intl.")</f>
        <v>0</v>
      </c>
      <c r="X36" s="290">
        <f>SUMIFS('Clientes Consolidado.'!M:M,'Clientes Consolidado.'!C:C,C36,'Clientes Consolidado.'!B:B,"Fertilizer")
+SUMIFS('Clientes Consolidado.'!M:M,'Clientes Consolidado.'!C:C,C36,'Clientes Consolidado.'!B:B,"Additive")
+SUMIFS('Clientes Consolidado.'!M:M,'Clientes Consolidado.'!C:C,C36,'Clientes Consolidado.'!B:B,"Additive Intl.")</f>
        <v>0</v>
      </c>
      <c r="Y36" s="290">
        <f>SUMIFS('Clientes Consolidado.'!N:N,'Clientes Consolidado.'!C:C,C36,'Clientes Consolidado.'!B:B,"Fertilizer")
+SUMIFS('Clientes Consolidado.'!N:N,'Clientes Consolidado.'!C:C,C36,'Clientes Consolidado.'!B:B,"Additive")
+SUMIFS('Clientes Consolidado.'!N:N,'Clientes Consolidado.'!C:C,C36,'Clientes Consolidado.'!B:B,"Additive Intl.")</f>
        <v>0</v>
      </c>
      <c r="Z36" s="290">
        <f>SUMIFS('Clientes Consolidado.'!O:O,'Clientes Consolidado.'!C:C,C36,'Clientes Consolidado.'!B:B,"Fertilizer")
+SUMIFS('Clientes Consolidado.'!O:O,'Clientes Consolidado.'!C:C,C36,'Clientes Consolidado.'!B:B,"Additive")
+SUMIFS('Clientes Consolidado.'!O:O,'Clientes Consolidado.'!C:C,C36,'Clientes Consolidado.'!B:B,"Additive Intl.")</f>
        <v>0</v>
      </c>
      <c r="AA36" s="290">
        <f>SUMIFS('Clientes Consolidado.'!P:P,'Clientes Consolidado.'!C:C,'Nova Versão '!C36,'Clientes Consolidado.'!B:B,"Fertilizer / Litigation")+SUMIFS('Clientes Consolidado.'!P:P,'Clientes Consolidado.'!C:C,'Nova Versão '!C36,'Clientes Consolidado.'!B:B,"Additive / Litigation")</f>
        <v>0</v>
      </c>
      <c r="AB36" s="288"/>
      <c r="AD36" s="290">
        <f>SUMIFS('Invoiced amount'!I:I,'Invoiced amount'!AH:AH,'Nova Versão '!C36)</f>
        <v>299642.08</v>
      </c>
      <c r="AE36" s="290">
        <f>SUMIFS(Buget!K:K,Buget!E:E,'Nova Versão '!C36)</f>
        <v>5393775.0200461913</v>
      </c>
      <c r="AF36" s="264">
        <f t="shared" si="4"/>
        <v>5.5553314494276765E-2</v>
      </c>
      <c r="AG36" s="290">
        <f t="shared" si="5"/>
        <v>5094132.9400461912</v>
      </c>
    </row>
    <row r="37" spans="1:33" ht="13.8" customHeight="1" x14ac:dyDescent="0.25">
      <c r="A37" s="283"/>
      <c r="B37" s="288" t="str">
        <f>_xlfn.XLOOKUP(C37,'Info Clientes'!A:A,'Info Clientes'!B:B)</f>
        <v>Fertilizer</v>
      </c>
      <c r="C37" s="96" t="s">
        <v>784</v>
      </c>
      <c r="D37" s="290">
        <f>_xlfn.XLOOKUP(C37,'Limite de crédito'!C:C,'Limite de crédito'!G:G,0)</f>
        <v>3000000</v>
      </c>
      <c r="E37" s="290">
        <f t="shared" si="0"/>
        <v>291024.86</v>
      </c>
      <c r="F37" s="290">
        <f>_xlfn.XLOOKUP('Nova Versão '!C37,'Limite de crédito'!C:C,'Limite de crédito'!O:O,0)</f>
        <v>3000000</v>
      </c>
      <c r="G37" s="291">
        <f t="shared" si="1"/>
        <v>0</v>
      </c>
      <c r="H37" s="292" t="str">
        <f>_xlfn.XLOOKUP(C37,'Info Clientes'!A:A,'Info Clientes'!C:C)</f>
        <v>Guarantee or credit</v>
      </c>
      <c r="I37" s="292" t="str">
        <f>IF(_xlfn.XLOOKUP(C37,'Info Clientes'!A:A,'Info Clientes'!D:D,"")=0,"",_xlfn.XLOOKUP(C37,'Info Clientes'!A:A,'Info Clientes'!D:D,""))</f>
        <v/>
      </c>
      <c r="K37" s="290">
        <f t="shared" si="2"/>
        <v>291024.86</v>
      </c>
      <c r="L37" s="290">
        <f>_xlfn.XLOOKUP(C37,'Clientes Consolidado.'!$C:$C,'Clientes Consolidado.'!R:R,0)</f>
        <v>72587.789999999994</v>
      </c>
      <c r="M37" s="290">
        <f>_xlfn.XLOOKUP(C37,'Clientes Consolidado.'!$C:$C,'Clientes Consolidado.'!S:S,0)</f>
        <v>218437.07</v>
      </c>
      <c r="N37" s="290">
        <f>_xlfn.XLOOKUP(C37,'Clientes Consolidado.'!$C:$C,'Clientes Consolidado.'!T:T,0)</f>
        <v>0</v>
      </c>
      <c r="O37" s="290">
        <f>_xlfn.XLOOKUP(C37,'Clientes Consolidado.'!$C:$C,'Clientes Consolidado.'!U:U,0)</f>
        <v>0</v>
      </c>
      <c r="P37" s="290">
        <f>_xlfn.XLOOKUP(C37,'Clientes Consolidado.'!$C:$C,'Clientes Consolidado.'!V:V,0)</f>
        <v>0</v>
      </c>
      <c r="Q37" s="290">
        <f>_xlfn.XLOOKUP(C37,'Clientes Consolidado.'!$C:$C,'Clientes Consolidado.'!W:W,0)</f>
        <v>0</v>
      </c>
      <c r="R37" s="290">
        <f>_xlfn.XLOOKUP(C37,'Clientes Consolidado.'!$C:$C,'Clientes Consolidado.'!X:X,0)</f>
        <v>0</v>
      </c>
      <c r="S37" s="290">
        <f t="shared" si="6"/>
        <v>0</v>
      </c>
      <c r="T37" s="290">
        <f>SUMIFS('Clientes Consolidado.'!I:I,'Clientes Consolidado.'!C:C,C37,'Clientes Consolidado.'!B:B,"Fertilizer")
+SUMIFS('Clientes Consolidado.'!I:I,'Clientes Consolidado.'!C:C,C37,'Clientes Consolidado.'!B:B,"Additive")
+SUMIFS('Clientes Consolidado.'!I:I,'Clientes Consolidado.'!C:C,C37,'Clientes Consolidado.'!B:B,"Additive Intl.")</f>
        <v>0</v>
      </c>
      <c r="U37" s="290">
        <f>SUMIFS('Clientes Consolidado.'!J:J,'Clientes Consolidado.'!C:C,C37,'Clientes Consolidado.'!B:B,"Fertilizer")
+SUMIFS('Clientes Consolidado.'!J:J,'Clientes Consolidado.'!C:C,C37,'Clientes Consolidado.'!B:B,"Additive")
+SUMIFS('Clientes Consolidado.'!J:J,'Clientes Consolidado.'!C:C,C37,'Clientes Consolidado.'!B:B,"Additive Intl.")</f>
        <v>0</v>
      </c>
      <c r="V37" s="290">
        <f>SUMIFS('Clientes Consolidado.'!K:K,'Clientes Consolidado.'!C:C,C37,'Clientes Consolidado.'!B:B,"Fertilizer")
+SUMIFS('Clientes Consolidado.'!K:K,'Clientes Consolidado.'!C:C,C37,'Clientes Consolidado.'!B:B,"Additive")
+SUMIFS('Clientes Consolidado.'!K:K,'Clientes Consolidado.'!C:C,C37,'Clientes Consolidado.'!B:B,"Additive Intl.")</f>
        <v>0</v>
      </c>
      <c r="W37" s="290">
        <f>SUMIFS('Clientes Consolidado.'!L:L,'Clientes Consolidado.'!C:C,C37,'Clientes Consolidado.'!B:B,"Fertilizer")
+SUMIFS('Clientes Consolidado.'!L:L,'Clientes Consolidado.'!C:C,C37,'Clientes Consolidado.'!B:B,"Additive")
+SUMIFS('Clientes Consolidado.'!L:L,'Clientes Consolidado.'!C:C,C37,'Clientes Consolidado.'!B:B,"Additive Intl.")</f>
        <v>0</v>
      </c>
      <c r="X37" s="290">
        <f>SUMIFS('Clientes Consolidado.'!M:M,'Clientes Consolidado.'!C:C,C37,'Clientes Consolidado.'!B:B,"Fertilizer")
+SUMIFS('Clientes Consolidado.'!M:M,'Clientes Consolidado.'!C:C,C37,'Clientes Consolidado.'!B:B,"Additive")
+SUMIFS('Clientes Consolidado.'!M:M,'Clientes Consolidado.'!C:C,C37,'Clientes Consolidado.'!B:B,"Additive Intl.")</f>
        <v>0</v>
      </c>
      <c r="Y37" s="290">
        <f>SUMIFS('Clientes Consolidado.'!N:N,'Clientes Consolidado.'!C:C,C37,'Clientes Consolidado.'!B:B,"Fertilizer")
+SUMIFS('Clientes Consolidado.'!N:N,'Clientes Consolidado.'!C:C,C37,'Clientes Consolidado.'!B:B,"Additive")
+SUMIFS('Clientes Consolidado.'!N:N,'Clientes Consolidado.'!C:C,C37,'Clientes Consolidado.'!B:B,"Additive Intl.")</f>
        <v>0</v>
      </c>
      <c r="Z37" s="290">
        <f>SUMIFS('Clientes Consolidado.'!O:O,'Clientes Consolidado.'!C:C,C37,'Clientes Consolidado.'!B:B,"Fertilizer")
+SUMIFS('Clientes Consolidado.'!O:O,'Clientes Consolidado.'!C:C,C37,'Clientes Consolidado.'!B:B,"Additive")
+SUMIFS('Clientes Consolidado.'!O:O,'Clientes Consolidado.'!C:C,C37,'Clientes Consolidado.'!B:B,"Additive Intl.")</f>
        <v>0</v>
      </c>
      <c r="AA37" s="290">
        <f>SUMIFS('Clientes Consolidado.'!P:P,'Clientes Consolidado.'!C:C,'Nova Versão '!C37,'Clientes Consolidado.'!B:B,"Fertilizer / Litigation")+SUMIFS('Clientes Consolidado.'!P:P,'Clientes Consolidado.'!C:C,'Nova Versão '!C37,'Clientes Consolidado.'!B:B,"Additive / Litigation")</f>
        <v>0</v>
      </c>
      <c r="AB37" s="288"/>
      <c r="AD37" s="290">
        <f>SUMIFS('Invoiced amount'!I:I,'Invoiced amount'!AH:AH,'Nova Versão '!C37)</f>
        <v>953390.54</v>
      </c>
      <c r="AE37" s="290">
        <f>SUMIFS(Buget!K:K,Buget!E:E,'Nova Versão '!C37)</f>
        <v>4007620.8143715397</v>
      </c>
      <c r="AF37" s="264">
        <f t="shared" si="4"/>
        <v>0.23789439773870102</v>
      </c>
      <c r="AG37" s="290">
        <f t="shared" si="5"/>
        <v>3054230.2743715397</v>
      </c>
    </row>
    <row r="38" spans="1:33" ht="13.8" customHeight="1" x14ac:dyDescent="0.25">
      <c r="A38" s="283"/>
      <c r="B38" s="288" t="str">
        <f>_xlfn.XLOOKUP(C38,'Info Clientes'!A:A,'Info Clientes'!B:B)</f>
        <v>Additive Intl.</v>
      </c>
      <c r="C38" s="234" t="s">
        <v>333</v>
      </c>
      <c r="D38" s="290">
        <f>_xlfn.XLOOKUP(C38,'Limite de crédito'!C:C,'Limite de crédito'!G:G,0)</f>
        <v>990000</v>
      </c>
      <c r="E38" s="290">
        <f t="shared" si="0"/>
        <v>265042.57999999996</v>
      </c>
      <c r="F38" s="290">
        <f>_xlfn.XLOOKUP('Nova Versão '!C38,'Limite de crédito'!C:C,'Limite de crédito'!O:O,0)</f>
        <v>990000</v>
      </c>
      <c r="G38" s="291">
        <f t="shared" si="1"/>
        <v>0</v>
      </c>
      <c r="H38" s="292" t="str">
        <f>_xlfn.XLOOKUP(C38,'Info Clientes'!A:A,'Info Clientes'!C:C)</f>
        <v>Guarantee or credit</v>
      </c>
      <c r="I38" s="292" t="str">
        <f>IF(_xlfn.XLOOKUP(C38,'Info Clientes'!A:A,'Info Clientes'!D:D,"")=0,"",_xlfn.XLOOKUP(C38,'Info Clientes'!A:A,'Info Clientes'!D:D,""))</f>
        <v/>
      </c>
      <c r="K38" s="290">
        <f t="shared" si="2"/>
        <v>265042.57999999996</v>
      </c>
      <c r="L38" s="290">
        <f>_xlfn.XLOOKUP(C38,'Clientes Consolidado.'!$C:$C,'Clientes Consolidado.'!R:R,0)</f>
        <v>265042.57999999996</v>
      </c>
      <c r="M38" s="290">
        <f>_xlfn.XLOOKUP(C38,'Clientes Consolidado.'!$C:$C,'Clientes Consolidado.'!S:S,0)</f>
        <v>0</v>
      </c>
      <c r="N38" s="290">
        <f>_xlfn.XLOOKUP(C38,'Clientes Consolidado.'!$C:$C,'Clientes Consolidado.'!T:T,0)</f>
        <v>0</v>
      </c>
      <c r="O38" s="290">
        <f>_xlfn.XLOOKUP(C38,'Clientes Consolidado.'!$C:$C,'Clientes Consolidado.'!U:U,0)</f>
        <v>0</v>
      </c>
      <c r="P38" s="290">
        <f>_xlfn.XLOOKUP(C38,'Clientes Consolidado.'!$C:$C,'Clientes Consolidado.'!V:V,0)</f>
        <v>0</v>
      </c>
      <c r="Q38" s="290">
        <f>_xlfn.XLOOKUP(C38,'Clientes Consolidado.'!$C:$C,'Clientes Consolidado.'!W:W,0)</f>
        <v>0</v>
      </c>
      <c r="R38" s="290">
        <f>_xlfn.XLOOKUP(C38,'Clientes Consolidado.'!$C:$C,'Clientes Consolidado.'!X:X,0)</f>
        <v>0</v>
      </c>
      <c r="S38" s="290">
        <f t="shared" si="6"/>
        <v>0</v>
      </c>
      <c r="T38" s="290">
        <f>SUMIFS('Clientes Consolidado.'!I:I,'Clientes Consolidado.'!C:C,C38,'Clientes Consolidado.'!B:B,"Fertilizer")
+SUMIFS('Clientes Consolidado.'!I:I,'Clientes Consolidado.'!C:C,C38,'Clientes Consolidado.'!B:B,"Additive")
+SUMIFS('Clientes Consolidado.'!I:I,'Clientes Consolidado.'!C:C,C38,'Clientes Consolidado.'!B:B,"Additive Intl.")</f>
        <v>0</v>
      </c>
      <c r="U38" s="290">
        <f>SUMIFS('Clientes Consolidado.'!J:J,'Clientes Consolidado.'!C:C,C38,'Clientes Consolidado.'!B:B,"Fertilizer")
+SUMIFS('Clientes Consolidado.'!J:J,'Clientes Consolidado.'!C:C,C38,'Clientes Consolidado.'!B:B,"Additive")
+SUMIFS('Clientes Consolidado.'!J:J,'Clientes Consolidado.'!C:C,C38,'Clientes Consolidado.'!B:B,"Additive Intl.")</f>
        <v>0</v>
      </c>
      <c r="V38" s="290">
        <f>SUMIFS('Clientes Consolidado.'!K:K,'Clientes Consolidado.'!C:C,C38,'Clientes Consolidado.'!B:B,"Fertilizer")
+SUMIFS('Clientes Consolidado.'!K:K,'Clientes Consolidado.'!C:C,C38,'Clientes Consolidado.'!B:B,"Additive")
+SUMIFS('Clientes Consolidado.'!K:K,'Clientes Consolidado.'!C:C,C38,'Clientes Consolidado.'!B:B,"Additive Intl.")</f>
        <v>0</v>
      </c>
      <c r="W38" s="290">
        <f>SUMIFS('Clientes Consolidado.'!L:L,'Clientes Consolidado.'!C:C,C38,'Clientes Consolidado.'!B:B,"Fertilizer")
+SUMIFS('Clientes Consolidado.'!L:L,'Clientes Consolidado.'!C:C,C38,'Clientes Consolidado.'!B:B,"Additive")
+SUMIFS('Clientes Consolidado.'!L:L,'Clientes Consolidado.'!C:C,C38,'Clientes Consolidado.'!B:B,"Additive Intl.")</f>
        <v>0</v>
      </c>
      <c r="X38" s="290">
        <f>SUMIFS('Clientes Consolidado.'!M:M,'Clientes Consolidado.'!C:C,C38,'Clientes Consolidado.'!B:B,"Fertilizer")
+SUMIFS('Clientes Consolidado.'!M:M,'Clientes Consolidado.'!C:C,C38,'Clientes Consolidado.'!B:B,"Additive")
+SUMIFS('Clientes Consolidado.'!M:M,'Clientes Consolidado.'!C:C,C38,'Clientes Consolidado.'!B:B,"Additive Intl.")</f>
        <v>0</v>
      </c>
      <c r="Y38" s="290">
        <f>SUMIFS('Clientes Consolidado.'!N:N,'Clientes Consolidado.'!C:C,C38,'Clientes Consolidado.'!B:B,"Fertilizer")
+SUMIFS('Clientes Consolidado.'!N:N,'Clientes Consolidado.'!C:C,C38,'Clientes Consolidado.'!B:B,"Additive")
+SUMIFS('Clientes Consolidado.'!N:N,'Clientes Consolidado.'!C:C,C38,'Clientes Consolidado.'!B:B,"Additive Intl.")</f>
        <v>0</v>
      </c>
      <c r="Z38" s="290">
        <f>SUMIFS('Clientes Consolidado.'!O:O,'Clientes Consolidado.'!C:C,C38,'Clientes Consolidado.'!B:B,"Fertilizer")
+SUMIFS('Clientes Consolidado.'!O:O,'Clientes Consolidado.'!C:C,C38,'Clientes Consolidado.'!B:B,"Additive")
+SUMIFS('Clientes Consolidado.'!O:O,'Clientes Consolidado.'!C:C,C38,'Clientes Consolidado.'!B:B,"Additive Intl.")</f>
        <v>0</v>
      </c>
      <c r="AA38" s="290">
        <f>SUMIFS('Clientes Consolidado.'!P:P,'Clientes Consolidado.'!C:C,'Nova Versão '!C38,'Clientes Consolidado.'!B:B,"Fertilizer / Litigation")+SUMIFS('Clientes Consolidado.'!P:P,'Clientes Consolidado.'!C:C,'Nova Versão '!C38,'Clientes Consolidado.'!B:B,"Additive / Litigation")</f>
        <v>0</v>
      </c>
      <c r="AB38" s="288"/>
      <c r="AD38" s="290">
        <f>SUMIFS('Invoiced amount'!I:I,'Invoiced amount'!AH:AH,'Nova Versão '!C38)</f>
        <v>1411238.72</v>
      </c>
      <c r="AE38" s="290">
        <f>SUMIFS(Buget!K:K,Buget!E:E,'Nova Versão '!C38)</f>
        <v>2201656.3090389939</v>
      </c>
      <c r="AF38" s="264">
        <f t="shared" si="4"/>
        <v>0.64098956508611227</v>
      </c>
      <c r="AG38" s="290">
        <f t="shared" si="5"/>
        <v>790417.58903899393</v>
      </c>
    </row>
    <row r="39" spans="1:33" ht="13.8" customHeight="1" x14ac:dyDescent="0.25">
      <c r="A39" s="283"/>
      <c r="B39" s="288" t="str">
        <f>_xlfn.XLOOKUP(C39,'Info Clientes'!A:A,'Info Clientes'!B:B)</f>
        <v>Additive Intl.</v>
      </c>
      <c r="C39" s="96" t="s">
        <v>162</v>
      </c>
      <c r="D39" s="290">
        <f>_xlfn.XLOOKUP(C39,'Limite de crédito'!C:C,'Limite de crédito'!G:G,0)</f>
        <v>275000</v>
      </c>
      <c r="E39" s="290">
        <f t="shared" si="0"/>
        <v>264834.83999999997</v>
      </c>
      <c r="F39" s="290">
        <f>_xlfn.XLOOKUP('Nova Versão '!C39,'Limite de crédito'!C:C,'Limite de crédito'!O:O,0)</f>
        <v>275000</v>
      </c>
      <c r="G39" s="291">
        <f t="shared" si="1"/>
        <v>0</v>
      </c>
      <c r="H39" s="292" t="str">
        <f>_xlfn.XLOOKUP(C39,'Info Clientes'!A:A,'Info Clientes'!C:C)</f>
        <v>Guarantee or credit</v>
      </c>
      <c r="I39" s="292" t="str">
        <f>IF(_xlfn.XLOOKUP(C39,'Info Clientes'!A:A,'Info Clientes'!D:D,"")=0,"",_xlfn.XLOOKUP(C39,'Info Clientes'!A:A,'Info Clientes'!D:D,""))</f>
        <v/>
      </c>
      <c r="K39" s="290">
        <f t="shared" si="2"/>
        <v>131282.87</v>
      </c>
      <c r="L39" s="290">
        <f>_xlfn.XLOOKUP(C39,'Clientes Consolidado.'!$C:$C,'Clientes Consolidado.'!R:R,0)</f>
        <v>0</v>
      </c>
      <c r="M39" s="290">
        <f>_xlfn.XLOOKUP(C39,'Clientes Consolidado.'!$C:$C,'Clientes Consolidado.'!S:S,0)</f>
        <v>131282.87</v>
      </c>
      <c r="N39" s="290">
        <f>_xlfn.XLOOKUP(C39,'Clientes Consolidado.'!$C:$C,'Clientes Consolidado.'!T:T,0)</f>
        <v>0</v>
      </c>
      <c r="O39" s="290">
        <f>_xlfn.XLOOKUP(C39,'Clientes Consolidado.'!$C:$C,'Clientes Consolidado.'!U:U,0)</f>
        <v>0</v>
      </c>
      <c r="P39" s="290">
        <f>_xlfn.XLOOKUP(C39,'Clientes Consolidado.'!$C:$C,'Clientes Consolidado.'!V:V,0)</f>
        <v>0</v>
      </c>
      <c r="Q39" s="290">
        <f>_xlfn.XLOOKUP(C39,'Clientes Consolidado.'!$C:$C,'Clientes Consolidado.'!W:W,0)</f>
        <v>0</v>
      </c>
      <c r="R39" s="290">
        <f>_xlfn.XLOOKUP(C39,'Clientes Consolidado.'!$C:$C,'Clientes Consolidado.'!X:X,0)</f>
        <v>0</v>
      </c>
      <c r="S39" s="290">
        <f t="shared" si="6"/>
        <v>133551.97</v>
      </c>
      <c r="T39" s="290">
        <f>SUMIFS('Clientes Consolidado.'!I:I,'Clientes Consolidado.'!C:C,C39,'Clientes Consolidado.'!B:B,"Fertilizer")
+SUMIFS('Clientes Consolidado.'!I:I,'Clientes Consolidado.'!C:C,C39,'Clientes Consolidado.'!B:B,"Additive")
+SUMIFS('Clientes Consolidado.'!I:I,'Clientes Consolidado.'!C:C,C39,'Clientes Consolidado.'!B:B,"Additive Intl.")</f>
        <v>133551.97</v>
      </c>
      <c r="U39" s="290">
        <f>SUMIFS('Clientes Consolidado.'!J:J,'Clientes Consolidado.'!C:C,C39,'Clientes Consolidado.'!B:B,"Fertilizer")
+SUMIFS('Clientes Consolidado.'!J:J,'Clientes Consolidado.'!C:C,C39,'Clientes Consolidado.'!B:B,"Additive")
+SUMIFS('Clientes Consolidado.'!J:J,'Clientes Consolidado.'!C:C,C39,'Clientes Consolidado.'!B:B,"Additive Intl.")</f>
        <v>0</v>
      </c>
      <c r="V39" s="290">
        <f>SUMIFS('Clientes Consolidado.'!K:K,'Clientes Consolidado.'!C:C,C39,'Clientes Consolidado.'!B:B,"Fertilizer")
+SUMIFS('Clientes Consolidado.'!K:K,'Clientes Consolidado.'!C:C,C39,'Clientes Consolidado.'!B:B,"Additive")
+SUMIFS('Clientes Consolidado.'!K:K,'Clientes Consolidado.'!C:C,C39,'Clientes Consolidado.'!B:B,"Additive Intl.")</f>
        <v>0</v>
      </c>
      <c r="W39" s="290">
        <f>SUMIFS('Clientes Consolidado.'!L:L,'Clientes Consolidado.'!C:C,C39,'Clientes Consolidado.'!B:B,"Fertilizer")
+SUMIFS('Clientes Consolidado.'!L:L,'Clientes Consolidado.'!C:C,C39,'Clientes Consolidado.'!B:B,"Additive")
+SUMIFS('Clientes Consolidado.'!L:L,'Clientes Consolidado.'!C:C,C39,'Clientes Consolidado.'!B:B,"Additive Intl.")</f>
        <v>0</v>
      </c>
      <c r="X39" s="290">
        <f>SUMIFS('Clientes Consolidado.'!M:M,'Clientes Consolidado.'!C:C,C39,'Clientes Consolidado.'!B:B,"Fertilizer")
+SUMIFS('Clientes Consolidado.'!M:M,'Clientes Consolidado.'!C:C,C39,'Clientes Consolidado.'!B:B,"Additive")
+SUMIFS('Clientes Consolidado.'!M:M,'Clientes Consolidado.'!C:C,C39,'Clientes Consolidado.'!B:B,"Additive Intl.")</f>
        <v>0</v>
      </c>
      <c r="Y39" s="290">
        <f>SUMIFS('Clientes Consolidado.'!N:N,'Clientes Consolidado.'!C:C,C39,'Clientes Consolidado.'!B:B,"Fertilizer")
+SUMIFS('Clientes Consolidado.'!N:N,'Clientes Consolidado.'!C:C,C39,'Clientes Consolidado.'!B:B,"Additive")
+SUMIFS('Clientes Consolidado.'!N:N,'Clientes Consolidado.'!C:C,C39,'Clientes Consolidado.'!B:B,"Additive Intl.")</f>
        <v>0</v>
      </c>
      <c r="Z39" s="290">
        <f>SUMIFS('Clientes Consolidado.'!O:O,'Clientes Consolidado.'!C:C,C39,'Clientes Consolidado.'!B:B,"Fertilizer")
+SUMIFS('Clientes Consolidado.'!O:O,'Clientes Consolidado.'!C:C,C39,'Clientes Consolidado.'!B:B,"Additive")
+SUMIFS('Clientes Consolidado.'!O:O,'Clientes Consolidado.'!C:C,C39,'Clientes Consolidado.'!B:B,"Additive Intl.")</f>
        <v>0</v>
      </c>
      <c r="AA39" s="290">
        <f>SUMIFS('Clientes Consolidado.'!P:P,'Clientes Consolidado.'!C:C,'Nova Versão '!C39,'Clientes Consolidado.'!B:B,"Fertilizer / Litigation")+SUMIFS('Clientes Consolidado.'!P:P,'Clientes Consolidado.'!C:C,'Nova Versão '!C39,'Clientes Consolidado.'!B:B,"Additive / Litigation")</f>
        <v>0</v>
      </c>
      <c r="AB39" s="288"/>
      <c r="AD39" s="290">
        <f>SUMIFS('Invoiced amount'!I:I,'Invoiced amount'!AH:AH,'Nova Versão '!C39)</f>
        <v>264834.83999999997</v>
      </c>
      <c r="AE39" s="290">
        <f>SUMIFS(Buget!K:K,Buget!E:E,'Nova Versão '!C39)</f>
        <v>519392</v>
      </c>
      <c r="AF39" s="264">
        <f t="shared" si="4"/>
        <v>0.50989395292957918</v>
      </c>
      <c r="AG39" s="290">
        <f t="shared" si="5"/>
        <v>254557.16000000003</v>
      </c>
    </row>
    <row r="40" spans="1:33" ht="13.8" customHeight="1" x14ac:dyDescent="0.25">
      <c r="A40" s="283"/>
      <c r="B40" s="288" t="str">
        <f>_xlfn.XLOOKUP(C40,'Info Clientes'!A:A,'Info Clientes'!B:B)</f>
        <v>Additive</v>
      </c>
      <c r="C40" s="234" t="s">
        <v>399</v>
      </c>
      <c r="D40" s="290">
        <f>_xlfn.XLOOKUP(C40,'Limite de crédito'!C:C,'Limite de crédito'!G:G,0)</f>
        <v>300000</v>
      </c>
      <c r="E40" s="290">
        <f t="shared" si="0"/>
        <v>242565.88</v>
      </c>
      <c r="F40" s="290">
        <f>_xlfn.XLOOKUP('Nova Versão '!C40,'Limite de crédito'!C:C,'Limite de crédito'!O:O,0)</f>
        <v>0</v>
      </c>
      <c r="G40" s="291">
        <f t="shared" si="1"/>
        <v>242565.88</v>
      </c>
      <c r="H40" s="292" t="str">
        <f>_xlfn.XLOOKUP(C40,'Info Clientes'!A:A,'Info Clientes'!C:C)</f>
        <v>Approved in credit committee</v>
      </c>
      <c r="I40" s="292" t="str">
        <f>IF(_xlfn.XLOOKUP(C40,'Info Clientes'!A:A,'Info Clientes'!D:D,"")=0,"",_xlfn.XLOOKUP(C40,'Info Clientes'!A:A,'Info Clientes'!D:D,""))</f>
        <v/>
      </c>
      <c r="K40" s="290">
        <f t="shared" si="2"/>
        <v>242565.88</v>
      </c>
      <c r="L40" s="290">
        <f>_xlfn.XLOOKUP(C40,'Clientes Consolidado.'!$C:$C,'Clientes Consolidado.'!R:R,0)</f>
        <v>121282.94</v>
      </c>
      <c r="M40" s="290">
        <f>_xlfn.XLOOKUP(C40,'Clientes Consolidado.'!$C:$C,'Clientes Consolidado.'!S:S,0)</f>
        <v>121282.94</v>
      </c>
      <c r="N40" s="290">
        <f>_xlfn.XLOOKUP(C40,'Clientes Consolidado.'!$C:$C,'Clientes Consolidado.'!T:T,0)</f>
        <v>0</v>
      </c>
      <c r="O40" s="290">
        <f>_xlfn.XLOOKUP(C40,'Clientes Consolidado.'!$C:$C,'Clientes Consolidado.'!U:U,0)</f>
        <v>0</v>
      </c>
      <c r="P40" s="290">
        <f>_xlfn.XLOOKUP(C40,'Clientes Consolidado.'!$C:$C,'Clientes Consolidado.'!V:V,0)</f>
        <v>0</v>
      </c>
      <c r="Q40" s="290">
        <f>_xlfn.XLOOKUP(C40,'Clientes Consolidado.'!$C:$C,'Clientes Consolidado.'!W:W,0)</f>
        <v>0</v>
      </c>
      <c r="R40" s="290">
        <f>_xlfn.XLOOKUP(C40,'Clientes Consolidado.'!$C:$C,'Clientes Consolidado.'!X:X,0)</f>
        <v>0</v>
      </c>
      <c r="S40" s="290">
        <f t="shared" si="6"/>
        <v>0</v>
      </c>
      <c r="T40" s="290">
        <f>SUMIFS('Clientes Consolidado.'!I:I,'Clientes Consolidado.'!C:C,C40,'Clientes Consolidado.'!B:B,"Fertilizer")
+SUMIFS('Clientes Consolidado.'!I:I,'Clientes Consolidado.'!C:C,C40,'Clientes Consolidado.'!B:B,"Additive")
+SUMIFS('Clientes Consolidado.'!I:I,'Clientes Consolidado.'!C:C,C40,'Clientes Consolidado.'!B:B,"Additive Intl.")</f>
        <v>0</v>
      </c>
      <c r="U40" s="290">
        <f>SUMIFS('Clientes Consolidado.'!J:J,'Clientes Consolidado.'!C:C,C40,'Clientes Consolidado.'!B:B,"Fertilizer")
+SUMIFS('Clientes Consolidado.'!J:J,'Clientes Consolidado.'!C:C,C40,'Clientes Consolidado.'!B:B,"Additive")
+SUMIFS('Clientes Consolidado.'!J:J,'Clientes Consolidado.'!C:C,C40,'Clientes Consolidado.'!B:B,"Additive Intl.")</f>
        <v>0</v>
      </c>
      <c r="V40" s="290">
        <f>SUMIFS('Clientes Consolidado.'!K:K,'Clientes Consolidado.'!C:C,C40,'Clientes Consolidado.'!B:B,"Fertilizer")
+SUMIFS('Clientes Consolidado.'!K:K,'Clientes Consolidado.'!C:C,C40,'Clientes Consolidado.'!B:B,"Additive")
+SUMIFS('Clientes Consolidado.'!K:K,'Clientes Consolidado.'!C:C,C40,'Clientes Consolidado.'!B:B,"Additive Intl.")</f>
        <v>0</v>
      </c>
      <c r="W40" s="290">
        <f>SUMIFS('Clientes Consolidado.'!L:L,'Clientes Consolidado.'!C:C,C40,'Clientes Consolidado.'!B:B,"Fertilizer")
+SUMIFS('Clientes Consolidado.'!L:L,'Clientes Consolidado.'!C:C,C40,'Clientes Consolidado.'!B:B,"Additive")
+SUMIFS('Clientes Consolidado.'!L:L,'Clientes Consolidado.'!C:C,C40,'Clientes Consolidado.'!B:B,"Additive Intl.")</f>
        <v>0</v>
      </c>
      <c r="X40" s="290">
        <f>SUMIFS('Clientes Consolidado.'!M:M,'Clientes Consolidado.'!C:C,C40,'Clientes Consolidado.'!B:B,"Fertilizer")
+SUMIFS('Clientes Consolidado.'!M:M,'Clientes Consolidado.'!C:C,C40,'Clientes Consolidado.'!B:B,"Additive")
+SUMIFS('Clientes Consolidado.'!M:M,'Clientes Consolidado.'!C:C,C40,'Clientes Consolidado.'!B:B,"Additive Intl.")</f>
        <v>0</v>
      </c>
      <c r="Y40" s="290">
        <f>SUMIFS('Clientes Consolidado.'!N:N,'Clientes Consolidado.'!C:C,C40,'Clientes Consolidado.'!B:B,"Fertilizer")
+SUMIFS('Clientes Consolidado.'!N:N,'Clientes Consolidado.'!C:C,C40,'Clientes Consolidado.'!B:B,"Additive")
+SUMIFS('Clientes Consolidado.'!N:N,'Clientes Consolidado.'!C:C,C40,'Clientes Consolidado.'!B:B,"Additive Intl.")</f>
        <v>0</v>
      </c>
      <c r="Z40" s="290">
        <f>SUMIFS('Clientes Consolidado.'!O:O,'Clientes Consolidado.'!C:C,C40,'Clientes Consolidado.'!B:B,"Fertilizer")
+SUMIFS('Clientes Consolidado.'!O:O,'Clientes Consolidado.'!C:C,C40,'Clientes Consolidado.'!B:B,"Additive")
+SUMIFS('Clientes Consolidado.'!O:O,'Clientes Consolidado.'!C:C,C40,'Clientes Consolidado.'!B:B,"Additive Intl.")</f>
        <v>0</v>
      </c>
      <c r="AA40" s="290">
        <f>SUMIFS('Clientes Consolidado.'!P:P,'Clientes Consolidado.'!C:C,'Nova Versão '!C40,'Clientes Consolidado.'!B:B,"Fertilizer / Litigation")+SUMIFS('Clientes Consolidado.'!P:P,'Clientes Consolidado.'!C:C,'Nova Versão '!C40,'Clientes Consolidado.'!B:B,"Additive / Litigation")</f>
        <v>0</v>
      </c>
      <c r="AB40" s="288"/>
      <c r="AD40" s="290">
        <f>SUMIFS('Invoiced amount'!I:I,'Invoiced amount'!AH:AH,'Nova Versão '!C40)</f>
        <v>560565.88</v>
      </c>
      <c r="AE40" s="290">
        <f>SUMIFS(Buget!K:K,Buget!E:E,'Nova Versão '!C40)</f>
        <v>2267031.1374715315</v>
      </c>
      <c r="AF40" s="264">
        <f t="shared" si="4"/>
        <v>0.24726871666403805</v>
      </c>
      <c r="AG40" s="290">
        <f t="shared" si="5"/>
        <v>1706465.2574715316</v>
      </c>
    </row>
    <row r="41" spans="1:33" ht="13.8" customHeight="1" x14ac:dyDescent="0.25">
      <c r="A41" s="283"/>
      <c r="B41" s="288" t="str">
        <f>_xlfn.XLOOKUP(C41,'Info Clientes'!A:A,'Info Clientes'!B:B)</f>
        <v>Fertilizer / Litigation</v>
      </c>
      <c r="C41" s="234" t="s">
        <v>366</v>
      </c>
      <c r="D41" s="290">
        <f>_xlfn.XLOOKUP(C41,'Limite de crédito'!C:C,'Limite de crédito'!G:G,0)</f>
        <v>0</v>
      </c>
      <c r="E41" s="290">
        <f t="shared" si="0"/>
        <v>237309.12</v>
      </c>
      <c r="F41" s="290">
        <f>_xlfn.XLOOKUP('Nova Versão '!C41,'Limite de crédito'!C:C,'Limite de crédito'!O:O,0)</f>
        <v>0</v>
      </c>
      <c r="G41" s="291">
        <f t="shared" si="1"/>
        <v>237309.12</v>
      </c>
      <c r="H41" s="292" t="str">
        <f>_xlfn.XLOOKUP(C41,'Info Clientes'!A:A,'Info Clientes'!C:C)</f>
        <v>Litigation</v>
      </c>
      <c r="I41" s="292" t="str">
        <f>IF(_xlfn.XLOOKUP(C41,'Info Clientes'!A:A,'Info Clientes'!D:D,"")=0,"",_xlfn.XLOOKUP(C41,'Info Clientes'!A:A,'Info Clientes'!D:D,""))</f>
        <v/>
      </c>
      <c r="K41" s="290">
        <f t="shared" si="2"/>
        <v>0</v>
      </c>
      <c r="L41" s="290">
        <f>_xlfn.XLOOKUP(C41,'Clientes Consolidado.'!$C:$C,'Clientes Consolidado.'!R:R,0)</f>
        <v>0</v>
      </c>
      <c r="M41" s="290">
        <f>_xlfn.XLOOKUP(C41,'Clientes Consolidado.'!$C:$C,'Clientes Consolidado.'!S:S,0)</f>
        <v>0</v>
      </c>
      <c r="N41" s="290">
        <f>_xlfn.XLOOKUP(C41,'Clientes Consolidado.'!$C:$C,'Clientes Consolidado.'!T:T,0)</f>
        <v>0</v>
      </c>
      <c r="O41" s="290">
        <f>_xlfn.XLOOKUP(C41,'Clientes Consolidado.'!$C:$C,'Clientes Consolidado.'!U:U,0)</f>
        <v>0</v>
      </c>
      <c r="P41" s="290">
        <f>_xlfn.XLOOKUP(C41,'Clientes Consolidado.'!$C:$C,'Clientes Consolidado.'!V:V,0)</f>
        <v>0</v>
      </c>
      <c r="Q41" s="290">
        <f>_xlfn.XLOOKUP(C41,'Clientes Consolidado.'!$C:$C,'Clientes Consolidado.'!W:W,0)</f>
        <v>0</v>
      </c>
      <c r="R41" s="290">
        <f>_xlfn.XLOOKUP(C41,'Clientes Consolidado.'!$C:$C,'Clientes Consolidado.'!X:X,0)</f>
        <v>0</v>
      </c>
      <c r="S41" s="290">
        <f t="shared" si="6"/>
        <v>0</v>
      </c>
      <c r="T41" s="290">
        <f>SUMIFS('Clientes Consolidado.'!I:I,'Clientes Consolidado.'!C:C,C41,'Clientes Consolidado.'!B:B,"Fertilizer")
+SUMIFS('Clientes Consolidado.'!I:I,'Clientes Consolidado.'!C:C,C41,'Clientes Consolidado.'!B:B,"Additive")
+SUMIFS('Clientes Consolidado.'!I:I,'Clientes Consolidado.'!C:C,C41,'Clientes Consolidado.'!B:B,"Additive Intl.")</f>
        <v>0</v>
      </c>
      <c r="U41" s="290">
        <f>SUMIFS('Clientes Consolidado.'!J:J,'Clientes Consolidado.'!C:C,C41,'Clientes Consolidado.'!B:B,"Fertilizer")
+SUMIFS('Clientes Consolidado.'!J:J,'Clientes Consolidado.'!C:C,C41,'Clientes Consolidado.'!B:B,"Additive")
+SUMIFS('Clientes Consolidado.'!J:J,'Clientes Consolidado.'!C:C,C41,'Clientes Consolidado.'!B:B,"Additive Intl.")</f>
        <v>0</v>
      </c>
      <c r="V41" s="290">
        <f>SUMIFS('Clientes Consolidado.'!K:K,'Clientes Consolidado.'!C:C,C41,'Clientes Consolidado.'!B:B,"Fertilizer")
+SUMIFS('Clientes Consolidado.'!K:K,'Clientes Consolidado.'!C:C,C41,'Clientes Consolidado.'!B:B,"Additive")
+SUMIFS('Clientes Consolidado.'!K:K,'Clientes Consolidado.'!C:C,C41,'Clientes Consolidado.'!B:B,"Additive Intl.")</f>
        <v>0</v>
      </c>
      <c r="W41" s="290">
        <f>SUMIFS('Clientes Consolidado.'!L:L,'Clientes Consolidado.'!C:C,C41,'Clientes Consolidado.'!B:B,"Fertilizer")
+SUMIFS('Clientes Consolidado.'!L:L,'Clientes Consolidado.'!C:C,C41,'Clientes Consolidado.'!B:B,"Additive")
+SUMIFS('Clientes Consolidado.'!L:L,'Clientes Consolidado.'!C:C,C41,'Clientes Consolidado.'!B:B,"Additive Intl.")</f>
        <v>0</v>
      </c>
      <c r="X41" s="290">
        <f>SUMIFS('Clientes Consolidado.'!M:M,'Clientes Consolidado.'!C:C,C41,'Clientes Consolidado.'!B:B,"Fertilizer")
+SUMIFS('Clientes Consolidado.'!M:M,'Clientes Consolidado.'!C:C,C41,'Clientes Consolidado.'!B:B,"Additive")
+SUMIFS('Clientes Consolidado.'!M:M,'Clientes Consolidado.'!C:C,C41,'Clientes Consolidado.'!B:B,"Additive Intl.")</f>
        <v>0</v>
      </c>
      <c r="Y41" s="290">
        <f>SUMIFS('Clientes Consolidado.'!N:N,'Clientes Consolidado.'!C:C,C41,'Clientes Consolidado.'!B:B,"Fertilizer")
+SUMIFS('Clientes Consolidado.'!N:N,'Clientes Consolidado.'!C:C,C41,'Clientes Consolidado.'!B:B,"Additive")
+SUMIFS('Clientes Consolidado.'!N:N,'Clientes Consolidado.'!C:C,C41,'Clientes Consolidado.'!B:B,"Additive Intl.")</f>
        <v>0</v>
      </c>
      <c r="Z41" s="290">
        <f>SUMIFS('Clientes Consolidado.'!O:O,'Clientes Consolidado.'!C:C,C41,'Clientes Consolidado.'!B:B,"Fertilizer")
+SUMIFS('Clientes Consolidado.'!O:O,'Clientes Consolidado.'!C:C,C41,'Clientes Consolidado.'!B:B,"Additive")
+SUMIFS('Clientes Consolidado.'!O:O,'Clientes Consolidado.'!C:C,C41,'Clientes Consolidado.'!B:B,"Additive Intl.")</f>
        <v>0</v>
      </c>
      <c r="AA41" s="290">
        <f>SUMIFS('Clientes Consolidado.'!P:P,'Clientes Consolidado.'!C:C,'Nova Versão '!C41,'Clientes Consolidado.'!B:B,"Fertilizer / Litigation")+SUMIFS('Clientes Consolidado.'!P:P,'Clientes Consolidado.'!C:C,'Nova Versão '!C41,'Clientes Consolidado.'!B:B,"Additive / Litigation")</f>
        <v>237309.12</v>
      </c>
      <c r="AB41" s="288"/>
      <c r="AD41" s="290">
        <f>SUMIFS('Invoiced amount'!I:I,'Invoiced amount'!AH:AH,'Nova Versão '!C41)</f>
        <v>0</v>
      </c>
      <c r="AE41" s="290">
        <f>SUMIFS(Buget!K:K,Buget!E:E,'Nova Versão '!C41)</f>
        <v>0</v>
      </c>
      <c r="AF41" s="264" t="str">
        <f t="shared" si="4"/>
        <v/>
      </c>
      <c r="AG41" s="290">
        <f t="shared" si="5"/>
        <v>0</v>
      </c>
    </row>
    <row r="42" spans="1:33" ht="13.8" customHeight="1" x14ac:dyDescent="0.25">
      <c r="A42" s="283"/>
      <c r="B42" s="288" t="str">
        <f>_xlfn.XLOOKUP(C42,'Info Clientes'!A:A,'Info Clientes'!B:B)</f>
        <v>Additive</v>
      </c>
      <c r="C42" s="234" t="s">
        <v>55</v>
      </c>
      <c r="D42" s="290">
        <f>_xlfn.XLOOKUP(C42,'Limite de crédito'!C:C,'Limite de crédito'!G:G,0)</f>
        <v>270000</v>
      </c>
      <c r="E42" s="290">
        <f t="shared" si="0"/>
        <v>228927.4</v>
      </c>
      <c r="F42" s="290">
        <f>_xlfn.XLOOKUP('Nova Versão '!C42,'Limite de crédito'!C:C,'Limite de crédito'!O:O,0)</f>
        <v>0</v>
      </c>
      <c r="G42" s="291">
        <f t="shared" si="1"/>
        <v>228927.4</v>
      </c>
      <c r="H42" s="292" t="str">
        <f>_xlfn.XLOOKUP(C42,'Info Clientes'!A:A,'Info Clientes'!C:C)</f>
        <v>Approved in credit committee</v>
      </c>
      <c r="I42" s="292" t="str">
        <f>IF(_xlfn.XLOOKUP(C42,'Info Clientes'!A:A,'Info Clientes'!D:D,"")=0,"",_xlfn.XLOOKUP(C42,'Info Clientes'!A:A,'Info Clientes'!D:D,""))</f>
        <v>We have been monitoring the client in alignment with the commercial team. The client’s exposure must not exceed USD 200k. In addition, changes were made to the formulation of the product purchased by the client in order to improve the contribution margin.</v>
      </c>
      <c r="K42" s="290">
        <f t="shared" si="2"/>
        <v>152607</v>
      </c>
      <c r="L42" s="290">
        <f>_xlfn.XLOOKUP(C42,'Clientes Consolidado.'!$C:$C,'Clientes Consolidado.'!R:R,0)</f>
        <v>76134.5</v>
      </c>
      <c r="M42" s="290">
        <f>_xlfn.XLOOKUP(C42,'Clientes Consolidado.'!$C:$C,'Clientes Consolidado.'!S:S,0)</f>
        <v>76472.5</v>
      </c>
      <c r="N42" s="290">
        <f>_xlfn.XLOOKUP(C42,'Clientes Consolidado.'!$C:$C,'Clientes Consolidado.'!T:T,0)</f>
        <v>0</v>
      </c>
      <c r="O42" s="290">
        <f>_xlfn.XLOOKUP(C42,'Clientes Consolidado.'!$C:$C,'Clientes Consolidado.'!U:U,0)</f>
        <v>0</v>
      </c>
      <c r="P42" s="290">
        <f>_xlfn.XLOOKUP(C42,'Clientes Consolidado.'!$C:$C,'Clientes Consolidado.'!V:V,0)</f>
        <v>0</v>
      </c>
      <c r="Q42" s="290">
        <f>_xlfn.XLOOKUP(C42,'Clientes Consolidado.'!$C:$C,'Clientes Consolidado.'!W:W,0)</f>
        <v>0</v>
      </c>
      <c r="R42" s="290">
        <f>_xlfn.XLOOKUP(C42,'Clientes Consolidado.'!$C:$C,'Clientes Consolidado.'!X:X,0)</f>
        <v>0</v>
      </c>
      <c r="S42" s="290">
        <f t="shared" si="6"/>
        <v>76320.399999999994</v>
      </c>
      <c r="T42" s="290">
        <f>SUMIFS('Clientes Consolidado.'!I:I,'Clientes Consolidado.'!C:C,C42,'Clientes Consolidado.'!B:B,"Fertilizer")
+SUMIFS('Clientes Consolidado.'!I:I,'Clientes Consolidado.'!C:C,C42,'Clientes Consolidado.'!B:B,"Additive")
+SUMIFS('Clientes Consolidado.'!I:I,'Clientes Consolidado.'!C:C,C42,'Clientes Consolidado.'!B:B,"Additive Intl.")</f>
        <v>76320.399999999994</v>
      </c>
      <c r="U42" s="290">
        <f>SUMIFS('Clientes Consolidado.'!J:J,'Clientes Consolidado.'!C:C,C42,'Clientes Consolidado.'!B:B,"Fertilizer")
+SUMIFS('Clientes Consolidado.'!J:J,'Clientes Consolidado.'!C:C,C42,'Clientes Consolidado.'!B:B,"Additive")
+SUMIFS('Clientes Consolidado.'!J:J,'Clientes Consolidado.'!C:C,C42,'Clientes Consolidado.'!B:B,"Additive Intl.")</f>
        <v>0</v>
      </c>
      <c r="V42" s="290">
        <f>SUMIFS('Clientes Consolidado.'!K:K,'Clientes Consolidado.'!C:C,C42,'Clientes Consolidado.'!B:B,"Fertilizer")
+SUMIFS('Clientes Consolidado.'!K:K,'Clientes Consolidado.'!C:C,C42,'Clientes Consolidado.'!B:B,"Additive")
+SUMIFS('Clientes Consolidado.'!K:K,'Clientes Consolidado.'!C:C,C42,'Clientes Consolidado.'!B:B,"Additive Intl.")</f>
        <v>0</v>
      </c>
      <c r="W42" s="290">
        <f>SUMIFS('Clientes Consolidado.'!L:L,'Clientes Consolidado.'!C:C,C42,'Clientes Consolidado.'!B:B,"Fertilizer")
+SUMIFS('Clientes Consolidado.'!L:L,'Clientes Consolidado.'!C:C,C42,'Clientes Consolidado.'!B:B,"Additive")
+SUMIFS('Clientes Consolidado.'!L:L,'Clientes Consolidado.'!C:C,C42,'Clientes Consolidado.'!B:B,"Additive Intl.")</f>
        <v>0</v>
      </c>
      <c r="X42" s="290">
        <f>SUMIFS('Clientes Consolidado.'!M:M,'Clientes Consolidado.'!C:C,C42,'Clientes Consolidado.'!B:B,"Fertilizer")
+SUMIFS('Clientes Consolidado.'!M:M,'Clientes Consolidado.'!C:C,C42,'Clientes Consolidado.'!B:B,"Additive")
+SUMIFS('Clientes Consolidado.'!M:M,'Clientes Consolidado.'!C:C,C42,'Clientes Consolidado.'!B:B,"Additive Intl.")</f>
        <v>0</v>
      </c>
      <c r="Y42" s="290">
        <f>SUMIFS('Clientes Consolidado.'!N:N,'Clientes Consolidado.'!C:C,C42,'Clientes Consolidado.'!B:B,"Fertilizer")
+SUMIFS('Clientes Consolidado.'!N:N,'Clientes Consolidado.'!C:C,C42,'Clientes Consolidado.'!B:B,"Additive")
+SUMIFS('Clientes Consolidado.'!N:N,'Clientes Consolidado.'!C:C,C42,'Clientes Consolidado.'!B:B,"Additive Intl.")</f>
        <v>0</v>
      </c>
      <c r="Z42" s="290">
        <f>SUMIFS('Clientes Consolidado.'!O:O,'Clientes Consolidado.'!C:C,C42,'Clientes Consolidado.'!B:B,"Fertilizer")
+SUMIFS('Clientes Consolidado.'!O:O,'Clientes Consolidado.'!C:C,C42,'Clientes Consolidado.'!B:B,"Additive")
+SUMIFS('Clientes Consolidado.'!O:O,'Clientes Consolidado.'!C:C,C42,'Clientes Consolidado.'!B:B,"Additive Intl.")</f>
        <v>0</v>
      </c>
      <c r="AA42" s="290">
        <f>SUMIFS('Clientes Consolidado.'!P:P,'Clientes Consolidado.'!C:C,'Nova Versão '!C42,'Clientes Consolidado.'!B:B,"Fertilizer / Litigation")+SUMIFS('Clientes Consolidado.'!P:P,'Clientes Consolidado.'!C:C,'Nova Versão '!C42,'Clientes Consolidado.'!B:B,"Additive / Litigation")</f>
        <v>0</v>
      </c>
      <c r="AB42" s="288"/>
      <c r="AD42" s="290">
        <f>SUMIFS('Invoiced amount'!I:I,'Invoiced amount'!AH:AH,'Nova Versão '!C42)</f>
        <v>454644.60000000003</v>
      </c>
      <c r="AE42" s="290">
        <f>SUMIFS(Buget!K:K,Buget!E:E,'Nova Versão '!C42)</f>
        <v>1127250</v>
      </c>
      <c r="AF42" s="264">
        <f t="shared" si="4"/>
        <v>0.40332188955422493</v>
      </c>
      <c r="AG42" s="290">
        <f t="shared" si="5"/>
        <v>672605.39999999991</v>
      </c>
    </row>
    <row r="43" spans="1:33" ht="13.8" customHeight="1" x14ac:dyDescent="0.25">
      <c r="A43" s="283"/>
      <c r="B43" s="288" t="str">
        <f>_xlfn.XLOOKUP(C43,'Info Clientes'!A:A,'Info Clientes'!B:B)</f>
        <v>Additive / Litigation</v>
      </c>
      <c r="C43" s="96" t="s">
        <v>44</v>
      </c>
      <c r="D43" s="290">
        <f>_xlfn.XLOOKUP(C43,'Limite de crédito'!C:C,'Limite de crédito'!G:G,0)</f>
        <v>0</v>
      </c>
      <c r="E43" s="290">
        <f t="shared" si="0"/>
        <v>226233.60000000001</v>
      </c>
      <c r="F43" s="290">
        <f>_xlfn.XLOOKUP('Nova Versão '!C43,'Limite de crédito'!C:C,'Limite de crédito'!O:O,0)</f>
        <v>0</v>
      </c>
      <c r="G43" s="291">
        <f t="shared" si="1"/>
        <v>226233.60000000001</v>
      </c>
      <c r="H43" s="292" t="str">
        <f>_xlfn.XLOOKUP(C43,'Info Clientes'!A:A,'Info Clientes'!C:C)</f>
        <v>Litigation</v>
      </c>
      <c r="I43" s="292" t="str">
        <f>IF(_xlfn.XLOOKUP(C43,'Info Clientes'!A:A,'Info Clientes'!D:D,"")=0,"",_xlfn.XLOOKUP(C43,'Info Clientes'!A:A,'Info Clientes'!D:D,""))</f>
        <v/>
      </c>
      <c r="K43" s="290">
        <f t="shared" si="2"/>
        <v>0</v>
      </c>
      <c r="L43" s="290">
        <f>_xlfn.XLOOKUP(C43,'Clientes Consolidado.'!$C:$C,'Clientes Consolidado.'!R:R,0)</f>
        <v>0</v>
      </c>
      <c r="M43" s="290">
        <f>_xlfn.XLOOKUP(C43,'Clientes Consolidado.'!$C:$C,'Clientes Consolidado.'!S:S,0)</f>
        <v>0</v>
      </c>
      <c r="N43" s="290">
        <f>_xlfn.XLOOKUP(C43,'Clientes Consolidado.'!$C:$C,'Clientes Consolidado.'!T:T,0)</f>
        <v>0</v>
      </c>
      <c r="O43" s="290">
        <f>_xlfn.XLOOKUP(C43,'Clientes Consolidado.'!$C:$C,'Clientes Consolidado.'!U:U,0)</f>
        <v>0</v>
      </c>
      <c r="P43" s="290">
        <f>_xlfn.XLOOKUP(C43,'Clientes Consolidado.'!$C:$C,'Clientes Consolidado.'!V:V,0)</f>
        <v>0</v>
      </c>
      <c r="Q43" s="290">
        <f>_xlfn.XLOOKUP(C43,'Clientes Consolidado.'!$C:$C,'Clientes Consolidado.'!W:W,0)</f>
        <v>0</v>
      </c>
      <c r="R43" s="290">
        <f>_xlfn.XLOOKUP(C43,'Clientes Consolidado.'!$C:$C,'Clientes Consolidado.'!X:X,0)</f>
        <v>0</v>
      </c>
      <c r="S43" s="290">
        <f t="shared" si="6"/>
        <v>0</v>
      </c>
      <c r="T43" s="290">
        <f>SUMIFS('Clientes Consolidado.'!I:I,'Clientes Consolidado.'!C:C,C43,'Clientes Consolidado.'!B:B,"Fertilizer")
+SUMIFS('Clientes Consolidado.'!I:I,'Clientes Consolidado.'!C:C,C43,'Clientes Consolidado.'!B:B,"Additive")
+SUMIFS('Clientes Consolidado.'!I:I,'Clientes Consolidado.'!C:C,C43,'Clientes Consolidado.'!B:B,"Additive Intl.")</f>
        <v>0</v>
      </c>
      <c r="U43" s="290">
        <f>SUMIFS('Clientes Consolidado.'!J:J,'Clientes Consolidado.'!C:C,C43,'Clientes Consolidado.'!B:B,"Fertilizer")
+SUMIFS('Clientes Consolidado.'!J:J,'Clientes Consolidado.'!C:C,C43,'Clientes Consolidado.'!B:B,"Additive")
+SUMIFS('Clientes Consolidado.'!J:J,'Clientes Consolidado.'!C:C,C43,'Clientes Consolidado.'!B:B,"Additive Intl.")</f>
        <v>0</v>
      </c>
      <c r="V43" s="290">
        <f>SUMIFS('Clientes Consolidado.'!K:K,'Clientes Consolidado.'!C:C,C43,'Clientes Consolidado.'!B:B,"Fertilizer")
+SUMIFS('Clientes Consolidado.'!K:K,'Clientes Consolidado.'!C:C,C43,'Clientes Consolidado.'!B:B,"Additive")
+SUMIFS('Clientes Consolidado.'!K:K,'Clientes Consolidado.'!C:C,C43,'Clientes Consolidado.'!B:B,"Additive Intl.")</f>
        <v>0</v>
      </c>
      <c r="W43" s="290">
        <f>SUMIFS('Clientes Consolidado.'!L:L,'Clientes Consolidado.'!C:C,C43,'Clientes Consolidado.'!B:B,"Fertilizer")
+SUMIFS('Clientes Consolidado.'!L:L,'Clientes Consolidado.'!C:C,C43,'Clientes Consolidado.'!B:B,"Additive")
+SUMIFS('Clientes Consolidado.'!L:L,'Clientes Consolidado.'!C:C,C43,'Clientes Consolidado.'!B:B,"Additive Intl.")</f>
        <v>0</v>
      </c>
      <c r="X43" s="290">
        <f>SUMIFS('Clientes Consolidado.'!M:M,'Clientes Consolidado.'!C:C,C43,'Clientes Consolidado.'!B:B,"Fertilizer")
+SUMIFS('Clientes Consolidado.'!M:M,'Clientes Consolidado.'!C:C,C43,'Clientes Consolidado.'!B:B,"Additive")
+SUMIFS('Clientes Consolidado.'!M:M,'Clientes Consolidado.'!C:C,C43,'Clientes Consolidado.'!B:B,"Additive Intl.")</f>
        <v>0</v>
      </c>
      <c r="Y43" s="290">
        <f>SUMIFS('Clientes Consolidado.'!N:N,'Clientes Consolidado.'!C:C,C43,'Clientes Consolidado.'!B:B,"Fertilizer")
+SUMIFS('Clientes Consolidado.'!N:N,'Clientes Consolidado.'!C:C,C43,'Clientes Consolidado.'!B:B,"Additive")
+SUMIFS('Clientes Consolidado.'!N:N,'Clientes Consolidado.'!C:C,C43,'Clientes Consolidado.'!B:B,"Additive Intl.")</f>
        <v>0</v>
      </c>
      <c r="Z43" s="290">
        <f>SUMIFS('Clientes Consolidado.'!O:O,'Clientes Consolidado.'!C:C,C43,'Clientes Consolidado.'!B:B,"Fertilizer")
+SUMIFS('Clientes Consolidado.'!O:O,'Clientes Consolidado.'!C:C,C43,'Clientes Consolidado.'!B:B,"Additive")
+SUMIFS('Clientes Consolidado.'!O:O,'Clientes Consolidado.'!C:C,C43,'Clientes Consolidado.'!B:B,"Additive Intl.")</f>
        <v>0</v>
      </c>
      <c r="AA43" s="290">
        <f>SUMIFS('Clientes Consolidado.'!P:P,'Clientes Consolidado.'!C:C,'Nova Versão '!C43,'Clientes Consolidado.'!B:B,"Fertilizer / Litigation")+SUMIFS('Clientes Consolidado.'!P:P,'Clientes Consolidado.'!C:C,'Nova Versão '!C43,'Clientes Consolidado.'!B:B,"Additive / Litigation")</f>
        <v>226233.60000000001</v>
      </c>
      <c r="AB43" s="288"/>
      <c r="AD43" s="290">
        <f>SUMIFS('Invoiced amount'!I:I,'Invoiced amount'!AH:AH,'Nova Versão '!C43)</f>
        <v>0</v>
      </c>
      <c r="AE43" s="290">
        <f>SUMIFS(Buget!K:K,Buget!E:E,'Nova Versão '!C43)</f>
        <v>0</v>
      </c>
      <c r="AF43" s="264" t="str">
        <f t="shared" si="4"/>
        <v/>
      </c>
      <c r="AG43" s="290">
        <f t="shared" si="5"/>
        <v>0</v>
      </c>
    </row>
    <row r="44" spans="1:33" s="237" customFormat="1" ht="13.8" customHeight="1" x14ac:dyDescent="0.25">
      <c r="A44" s="274"/>
      <c r="B44" s="275" t="str">
        <f>_xlfn.XLOOKUP(C44,'Info Clientes'!A:A,'Info Clientes'!B:B)</f>
        <v>Additive / Litigation</v>
      </c>
      <c r="C44" s="96" t="s">
        <v>263</v>
      </c>
      <c r="D44" s="277">
        <f>_xlfn.XLOOKUP(C44,'Limite de crédito'!C:C,'Limite de crédito'!G:G,0)</f>
        <v>0</v>
      </c>
      <c r="E44" s="277">
        <f t="shared" si="0"/>
        <v>213750</v>
      </c>
      <c r="F44" s="277">
        <f>_xlfn.XLOOKUP('Nova Versão '!C44,'Limite de crédito'!C:C,'Limite de crédito'!O:O,0)</f>
        <v>0</v>
      </c>
      <c r="G44" s="278">
        <f t="shared" si="1"/>
        <v>213750</v>
      </c>
      <c r="H44" s="279" t="str">
        <f>_xlfn.XLOOKUP(C44,'Info Clientes'!A:A,'Info Clientes'!C:C)</f>
        <v>Litigation</v>
      </c>
      <c r="I44" s="292" t="str">
        <f>IF(_xlfn.XLOOKUP(C44,'Info Clientes'!A:A,'Info Clientes'!D:D,"")=0,"",_xlfn.XLOOKUP(C44,'Info Clientes'!A:A,'Info Clientes'!D:D,""))</f>
        <v/>
      </c>
      <c r="J44" s="280"/>
      <c r="K44" s="277">
        <f t="shared" si="2"/>
        <v>0</v>
      </c>
      <c r="L44" s="277">
        <f>_xlfn.XLOOKUP(C44,'Clientes Consolidado.'!$C:$C,'Clientes Consolidado.'!R:R,0)</f>
        <v>0</v>
      </c>
      <c r="M44" s="277">
        <f>_xlfn.XLOOKUP(C44,'Clientes Consolidado.'!$C:$C,'Clientes Consolidado.'!S:S,0)</f>
        <v>0</v>
      </c>
      <c r="N44" s="277">
        <f>_xlfn.XLOOKUP(C44,'Clientes Consolidado.'!$C:$C,'Clientes Consolidado.'!T:T,0)</f>
        <v>0</v>
      </c>
      <c r="O44" s="277">
        <f>_xlfn.XLOOKUP(C44,'Clientes Consolidado.'!$C:$C,'Clientes Consolidado.'!U:U,0)</f>
        <v>0</v>
      </c>
      <c r="P44" s="277">
        <f>_xlfn.XLOOKUP(C44,'Clientes Consolidado.'!$C:$C,'Clientes Consolidado.'!V:V,0)</f>
        <v>0</v>
      </c>
      <c r="Q44" s="277">
        <f>_xlfn.XLOOKUP(C44,'Clientes Consolidado.'!$C:$C,'Clientes Consolidado.'!W:W,0)</f>
        <v>0</v>
      </c>
      <c r="R44" s="277">
        <f>_xlfn.XLOOKUP(C44,'Clientes Consolidado.'!$C:$C,'Clientes Consolidado.'!X:X,0)</f>
        <v>0</v>
      </c>
      <c r="S44" s="277">
        <f t="shared" si="6"/>
        <v>0</v>
      </c>
      <c r="T44" s="277">
        <f>SUMIFS('Clientes Consolidado.'!I:I,'Clientes Consolidado.'!C:C,C44,'Clientes Consolidado.'!B:B,"Fertilizer")
+SUMIFS('Clientes Consolidado.'!I:I,'Clientes Consolidado.'!C:C,C44,'Clientes Consolidado.'!B:B,"Additive")
+SUMIFS('Clientes Consolidado.'!I:I,'Clientes Consolidado.'!C:C,C44,'Clientes Consolidado.'!B:B,"Additive Intl.")</f>
        <v>0</v>
      </c>
      <c r="U44" s="277">
        <f>SUMIFS('Clientes Consolidado.'!J:J,'Clientes Consolidado.'!C:C,C44,'Clientes Consolidado.'!B:B,"Fertilizer")
+SUMIFS('Clientes Consolidado.'!J:J,'Clientes Consolidado.'!C:C,C44,'Clientes Consolidado.'!B:B,"Additive")
+SUMIFS('Clientes Consolidado.'!J:J,'Clientes Consolidado.'!C:C,C44,'Clientes Consolidado.'!B:B,"Additive Intl.")</f>
        <v>0</v>
      </c>
      <c r="V44" s="277">
        <f>SUMIFS('Clientes Consolidado.'!K:K,'Clientes Consolidado.'!C:C,C44,'Clientes Consolidado.'!B:B,"Fertilizer")
+SUMIFS('Clientes Consolidado.'!K:K,'Clientes Consolidado.'!C:C,C44,'Clientes Consolidado.'!B:B,"Additive")
+SUMIFS('Clientes Consolidado.'!K:K,'Clientes Consolidado.'!C:C,C44,'Clientes Consolidado.'!B:B,"Additive Intl.")</f>
        <v>0</v>
      </c>
      <c r="W44" s="277">
        <f>SUMIFS('Clientes Consolidado.'!L:L,'Clientes Consolidado.'!C:C,C44,'Clientes Consolidado.'!B:B,"Fertilizer")
+SUMIFS('Clientes Consolidado.'!L:L,'Clientes Consolidado.'!C:C,C44,'Clientes Consolidado.'!B:B,"Additive")
+SUMIFS('Clientes Consolidado.'!L:L,'Clientes Consolidado.'!C:C,C44,'Clientes Consolidado.'!B:B,"Additive Intl.")</f>
        <v>0</v>
      </c>
      <c r="X44" s="277">
        <f>SUMIFS('Clientes Consolidado.'!M:M,'Clientes Consolidado.'!C:C,C44,'Clientes Consolidado.'!B:B,"Fertilizer")
+SUMIFS('Clientes Consolidado.'!M:M,'Clientes Consolidado.'!C:C,C44,'Clientes Consolidado.'!B:B,"Additive")
+SUMIFS('Clientes Consolidado.'!M:M,'Clientes Consolidado.'!C:C,C44,'Clientes Consolidado.'!B:B,"Additive Intl.")</f>
        <v>0</v>
      </c>
      <c r="Y44" s="277">
        <f>SUMIFS('Clientes Consolidado.'!N:N,'Clientes Consolidado.'!C:C,C44,'Clientes Consolidado.'!B:B,"Fertilizer")
+SUMIFS('Clientes Consolidado.'!N:N,'Clientes Consolidado.'!C:C,C44,'Clientes Consolidado.'!B:B,"Additive")
+SUMIFS('Clientes Consolidado.'!N:N,'Clientes Consolidado.'!C:C,C44,'Clientes Consolidado.'!B:B,"Additive Intl.")</f>
        <v>0</v>
      </c>
      <c r="Z44" s="277">
        <f>SUMIFS('Clientes Consolidado.'!O:O,'Clientes Consolidado.'!C:C,C44,'Clientes Consolidado.'!B:B,"Fertilizer")
+SUMIFS('Clientes Consolidado.'!O:O,'Clientes Consolidado.'!C:C,C44,'Clientes Consolidado.'!B:B,"Additive")
+SUMIFS('Clientes Consolidado.'!O:O,'Clientes Consolidado.'!C:C,C44,'Clientes Consolidado.'!B:B,"Additive Intl.")</f>
        <v>0</v>
      </c>
      <c r="AA44" s="277">
        <f>SUMIFS('Clientes Consolidado.'!P:P,'Clientes Consolidado.'!C:C,'Nova Versão '!C44,'Clientes Consolidado.'!B:B,"Fertilizer / Litigation")+SUMIFS('Clientes Consolidado.'!P:P,'Clientes Consolidado.'!C:C,'Nova Versão '!C44,'Clientes Consolidado.'!B:B,"Additive / Litigation")</f>
        <v>213750</v>
      </c>
      <c r="AB44" s="275"/>
      <c r="AC44" s="280"/>
      <c r="AD44" s="290">
        <f>SUMIFS('Invoiced amount'!I:I,'Invoiced amount'!AH:AH,'Nova Versão '!C44)</f>
        <v>0</v>
      </c>
      <c r="AE44" s="290">
        <f>SUMIFS(Buget!K:K,Buget!E:E,'Nova Versão '!C44)</f>
        <v>0</v>
      </c>
      <c r="AF44" s="264" t="str">
        <f t="shared" si="4"/>
        <v/>
      </c>
      <c r="AG44" s="290">
        <f t="shared" si="5"/>
        <v>0</v>
      </c>
    </row>
    <row r="45" spans="1:33" ht="13.8" customHeight="1" x14ac:dyDescent="0.25">
      <c r="A45" s="283"/>
      <c r="B45" s="288" t="str">
        <f>_xlfn.XLOOKUP(C45,'Info Clientes'!A:A,'Info Clientes'!B:B)</f>
        <v>Additive</v>
      </c>
      <c r="C45" s="234" t="s">
        <v>369</v>
      </c>
      <c r="D45" s="290">
        <f>_xlfn.XLOOKUP(C45,'Limite de crédito'!C:C,'Limite de crédito'!G:G,0)</f>
        <v>1000000</v>
      </c>
      <c r="E45" s="290">
        <f t="shared" si="0"/>
        <v>185040</v>
      </c>
      <c r="F45" s="290">
        <f>_xlfn.XLOOKUP('Nova Versão '!C45,'Limite de crédito'!C:C,'Limite de crédito'!O:O,0)</f>
        <v>1000000</v>
      </c>
      <c r="G45" s="291">
        <f t="shared" si="1"/>
        <v>0</v>
      </c>
      <c r="H45" s="292" t="str">
        <f>_xlfn.XLOOKUP(C45,'Info Clientes'!A:A,'Info Clientes'!C:C)</f>
        <v>Guarantee or credit</v>
      </c>
      <c r="I45" s="292" t="str">
        <f>IF(_xlfn.XLOOKUP(C45,'Info Clientes'!A:A,'Info Clientes'!D:D,"")=0,"",_xlfn.XLOOKUP(C45,'Info Clientes'!A:A,'Info Clientes'!D:D,""))</f>
        <v/>
      </c>
      <c r="K45" s="290">
        <f t="shared" si="2"/>
        <v>185040</v>
      </c>
      <c r="L45" s="290">
        <f>_xlfn.XLOOKUP(C45,'Clientes Consolidado.'!$C:$C,'Clientes Consolidado.'!R:R,0)</f>
        <v>0</v>
      </c>
      <c r="M45" s="290">
        <f>_xlfn.XLOOKUP(C45,'Clientes Consolidado.'!$C:$C,'Clientes Consolidado.'!S:S,0)</f>
        <v>185040</v>
      </c>
      <c r="N45" s="290">
        <f>_xlfn.XLOOKUP(C45,'Clientes Consolidado.'!$C:$C,'Clientes Consolidado.'!T:T,0)</f>
        <v>0</v>
      </c>
      <c r="O45" s="290">
        <f>_xlfn.XLOOKUP(C45,'Clientes Consolidado.'!$C:$C,'Clientes Consolidado.'!U:U,0)</f>
        <v>0</v>
      </c>
      <c r="P45" s="290">
        <f>_xlfn.XLOOKUP(C45,'Clientes Consolidado.'!$C:$C,'Clientes Consolidado.'!V:V,0)</f>
        <v>0</v>
      </c>
      <c r="Q45" s="290">
        <f>_xlfn.XLOOKUP(C45,'Clientes Consolidado.'!$C:$C,'Clientes Consolidado.'!W:W,0)</f>
        <v>0</v>
      </c>
      <c r="R45" s="290">
        <f>_xlfn.XLOOKUP(C45,'Clientes Consolidado.'!$C:$C,'Clientes Consolidado.'!X:X,0)</f>
        <v>0</v>
      </c>
      <c r="S45" s="290">
        <f t="shared" si="6"/>
        <v>0</v>
      </c>
      <c r="T45" s="290">
        <f>SUMIFS('Clientes Consolidado.'!I:I,'Clientes Consolidado.'!C:C,C45,'Clientes Consolidado.'!B:B,"Fertilizer")
+SUMIFS('Clientes Consolidado.'!I:I,'Clientes Consolidado.'!C:C,C45,'Clientes Consolidado.'!B:B,"Additive")
+SUMIFS('Clientes Consolidado.'!I:I,'Clientes Consolidado.'!C:C,C45,'Clientes Consolidado.'!B:B,"Additive Intl.")</f>
        <v>0</v>
      </c>
      <c r="U45" s="290">
        <f>SUMIFS('Clientes Consolidado.'!J:J,'Clientes Consolidado.'!C:C,C45,'Clientes Consolidado.'!B:B,"Fertilizer")
+SUMIFS('Clientes Consolidado.'!J:J,'Clientes Consolidado.'!C:C,C45,'Clientes Consolidado.'!B:B,"Additive")
+SUMIFS('Clientes Consolidado.'!J:J,'Clientes Consolidado.'!C:C,C45,'Clientes Consolidado.'!B:B,"Additive Intl.")</f>
        <v>0</v>
      </c>
      <c r="V45" s="290">
        <f>SUMIFS('Clientes Consolidado.'!K:K,'Clientes Consolidado.'!C:C,C45,'Clientes Consolidado.'!B:B,"Fertilizer")
+SUMIFS('Clientes Consolidado.'!K:K,'Clientes Consolidado.'!C:C,C45,'Clientes Consolidado.'!B:B,"Additive")
+SUMIFS('Clientes Consolidado.'!K:K,'Clientes Consolidado.'!C:C,C45,'Clientes Consolidado.'!B:B,"Additive Intl.")</f>
        <v>0</v>
      </c>
      <c r="W45" s="290">
        <f>SUMIFS('Clientes Consolidado.'!L:L,'Clientes Consolidado.'!C:C,C45,'Clientes Consolidado.'!B:B,"Fertilizer")
+SUMIFS('Clientes Consolidado.'!L:L,'Clientes Consolidado.'!C:C,C45,'Clientes Consolidado.'!B:B,"Additive")
+SUMIFS('Clientes Consolidado.'!L:L,'Clientes Consolidado.'!C:C,C45,'Clientes Consolidado.'!B:B,"Additive Intl.")</f>
        <v>0</v>
      </c>
      <c r="X45" s="290">
        <f>SUMIFS('Clientes Consolidado.'!M:M,'Clientes Consolidado.'!C:C,C45,'Clientes Consolidado.'!B:B,"Fertilizer")
+SUMIFS('Clientes Consolidado.'!M:M,'Clientes Consolidado.'!C:C,C45,'Clientes Consolidado.'!B:B,"Additive")
+SUMIFS('Clientes Consolidado.'!M:M,'Clientes Consolidado.'!C:C,C45,'Clientes Consolidado.'!B:B,"Additive Intl.")</f>
        <v>0</v>
      </c>
      <c r="Y45" s="290">
        <f>SUMIFS('Clientes Consolidado.'!N:N,'Clientes Consolidado.'!C:C,C45,'Clientes Consolidado.'!B:B,"Fertilizer")
+SUMIFS('Clientes Consolidado.'!N:N,'Clientes Consolidado.'!C:C,C45,'Clientes Consolidado.'!B:B,"Additive")
+SUMIFS('Clientes Consolidado.'!N:N,'Clientes Consolidado.'!C:C,C45,'Clientes Consolidado.'!B:B,"Additive Intl.")</f>
        <v>0</v>
      </c>
      <c r="Z45" s="290">
        <f>SUMIFS('Clientes Consolidado.'!O:O,'Clientes Consolidado.'!C:C,C45,'Clientes Consolidado.'!B:B,"Fertilizer")
+SUMIFS('Clientes Consolidado.'!O:O,'Clientes Consolidado.'!C:C,C45,'Clientes Consolidado.'!B:B,"Additive")
+SUMIFS('Clientes Consolidado.'!O:O,'Clientes Consolidado.'!C:C,C45,'Clientes Consolidado.'!B:B,"Additive Intl.")</f>
        <v>0</v>
      </c>
      <c r="AA45" s="290">
        <f>SUMIFS('Clientes Consolidado.'!P:P,'Clientes Consolidado.'!C:C,'Nova Versão '!C45,'Clientes Consolidado.'!B:B,"Fertilizer / Litigation")+SUMIFS('Clientes Consolidado.'!P:P,'Clientes Consolidado.'!C:C,'Nova Versão '!C45,'Clientes Consolidado.'!B:B,"Additive / Litigation")</f>
        <v>0</v>
      </c>
      <c r="AB45" s="288"/>
      <c r="AD45" s="290">
        <f>SUMIFS('Invoiced amount'!I:I,'Invoiced amount'!AH:AH,'Nova Versão '!C45)</f>
        <v>890184</v>
      </c>
      <c r="AE45" s="290">
        <f>SUMIFS(Buget!K:K,Buget!E:E,'Nova Versão '!C45)</f>
        <v>1252657.5702089041</v>
      </c>
      <c r="AF45" s="264">
        <f t="shared" si="4"/>
        <v>0.71063634721142921</v>
      </c>
      <c r="AG45" s="290">
        <f t="shared" si="5"/>
        <v>362473.5702089041</v>
      </c>
    </row>
    <row r="46" spans="1:33" ht="13.8" customHeight="1" x14ac:dyDescent="0.25">
      <c r="A46" s="283"/>
      <c r="B46" s="288" t="str">
        <f>_xlfn.XLOOKUP(C46,'Info Clientes'!A:A,'Info Clientes'!B:B)</f>
        <v>Additive</v>
      </c>
      <c r="C46" s="96" t="s">
        <v>514</v>
      </c>
      <c r="D46" s="290">
        <f>_xlfn.XLOOKUP(C46,'Limite de crédito'!C:C,'Limite de crédito'!G:G,0)</f>
        <v>1500000</v>
      </c>
      <c r="E46" s="290">
        <f t="shared" si="0"/>
        <v>180359.2</v>
      </c>
      <c r="F46" s="290">
        <f>_xlfn.XLOOKUP('Nova Versão '!C46,'Limite de crédito'!C:C,'Limite de crédito'!O:O,0)</f>
        <v>1500000</v>
      </c>
      <c r="G46" s="291">
        <f t="shared" si="1"/>
        <v>0</v>
      </c>
      <c r="H46" s="292" t="str">
        <f>_xlfn.XLOOKUP(C46,'Info Clientes'!A:A,'Info Clientes'!C:C)</f>
        <v>Guarantee or credit</v>
      </c>
      <c r="I46" s="292" t="str">
        <f>IF(_xlfn.XLOOKUP(C46,'Info Clientes'!A:A,'Info Clientes'!D:D,"")=0,"",_xlfn.XLOOKUP(C46,'Info Clientes'!A:A,'Info Clientes'!D:D,""))</f>
        <v/>
      </c>
      <c r="K46" s="290">
        <f t="shared" si="2"/>
        <v>180359.2</v>
      </c>
      <c r="L46" s="290">
        <f>_xlfn.XLOOKUP(C46,'Clientes Consolidado.'!$C:$C,'Clientes Consolidado.'!R:R,0)</f>
        <v>180359.2</v>
      </c>
      <c r="M46" s="290">
        <f>_xlfn.XLOOKUP(C46,'Clientes Consolidado.'!$C:$C,'Clientes Consolidado.'!S:S,0)</f>
        <v>0</v>
      </c>
      <c r="N46" s="290">
        <f>_xlfn.XLOOKUP(C46,'Clientes Consolidado.'!$C:$C,'Clientes Consolidado.'!T:T,0)</f>
        <v>0</v>
      </c>
      <c r="O46" s="290">
        <f>_xlfn.XLOOKUP(C46,'Clientes Consolidado.'!$C:$C,'Clientes Consolidado.'!U:U,0)</f>
        <v>0</v>
      </c>
      <c r="P46" s="290">
        <f>_xlfn.XLOOKUP(C46,'Clientes Consolidado.'!$C:$C,'Clientes Consolidado.'!V:V,0)</f>
        <v>0</v>
      </c>
      <c r="Q46" s="290">
        <f>_xlfn.XLOOKUP(C46,'Clientes Consolidado.'!$C:$C,'Clientes Consolidado.'!W:W,0)</f>
        <v>0</v>
      </c>
      <c r="R46" s="290">
        <f>_xlfn.XLOOKUP(C46,'Clientes Consolidado.'!$C:$C,'Clientes Consolidado.'!X:X,0)</f>
        <v>0</v>
      </c>
      <c r="S46" s="290">
        <f t="shared" si="6"/>
        <v>0</v>
      </c>
      <c r="T46" s="290">
        <f>SUMIFS('Clientes Consolidado.'!I:I,'Clientes Consolidado.'!C:C,C46,'Clientes Consolidado.'!B:B,"Fertilizer")
+SUMIFS('Clientes Consolidado.'!I:I,'Clientes Consolidado.'!C:C,C46,'Clientes Consolidado.'!B:B,"Additive")
+SUMIFS('Clientes Consolidado.'!I:I,'Clientes Consolidado.'!C:C,C46,'Clientes Consolidado.'!B:B,"Additive Intl.")</f>
        <v>0</v>
      </c>
      <c r="U46" s="290">
        <f>SUMIFS('Clientes Consolidado.'!J:J,'Clientes Consolidado.'!C:C,C46,'Clientes Consolidado.'!B:B,"Fertilizer")
+SUMIFS('Clientes Consolidado.'!J:J,'Clientes Consolidado.'!C:C,C46,'Clientes Consolidado.'!B:B,"Additive")
+SUMIFS('Clientes Consolidado.'!J:J,'Clientes Consolidado.'!C:C,C46,'Clientes Consolidado.'!B:B,"Additive Intl.")</f>
        <v>0</v>
      </c>
      <c r="V46" s="290">
        <f>SUMIFS('Clientes Consolidado.'!K:K,'Clientes Consolidado.'!C:C,C46,'Clientes Consolidado.'!B:B,"Fertilizer")
+SUMIFS('Clientes Consolidado.'!K:K,'Clientes Consolidado.'!C:C,C46,'Clientes Consolidado.'!B:B,"Additive")
+SUMIFS('Clientes Consolidado.'!K:K,'Clientes Consolidado.'!C:C,C46,'Clientes Consolidado.'!B:B,"Additive Intl.")</f>
        <v>0</v>
      </c>
      <c r="W46" s="290">
        <f>SUMIFS('Clientes Consolidado.'!L:L,'Clientes Consolidado.'!C:C,C46,'Clientes Consolidado.'!B:B,"Fertilizer")
+SUMIFS('Clientes Consolidado.'!L:L,'Clientes Consolidado.'!C:C,C46,'Clientes Consolidado.'!B:B,"Additive")
+SUMIFS('Clientes Consolidado.'!L:L,'Clientes Consolidado.'!C:C,C46,'Clientes Consolidado.'!B:B,"Additive Intl.")</f>
        <v>0</v>
      </c>
      <c r="X46" s="290">
        <f>SUMIFS('Clientes Consolidado.'!M:M,'Clientes Consolidado.'!C:C,C46,'Clientes Consolidado.'!B:B,"Fertilizer")
+SUMIFS('Clientes Consolidado.'!M:M,'Clientes Consolidado.'!C:C,C46,'Clientes Consolidado.'!B:B,"Additive")
+SUMIFS('Clientes Consolidado.'!M:M,'Clientes Consolidado.'!C:C,C46,'Clientes Consolidado.'!B:B,"Additive Intl.")</f>
        <v>0</v>
      </c>
      <c r="Y46" s="290">
        <f>SUMIFS('Clientes Consolidado.'!N:N,'Clientes Consolidado.'!C:C,C46,'Clientes Consolidado.'!B:B,"Fertilizer")
+SUMIFS('Clientes Consolidado.'!N:N,'Clientes Consolidado.'!C:C,C46,'Clientes Consolidado.'!B:B,"Additive")
+SUMIFS('Clientes Consolidado.'!N:N,'Clientes Consolidado.'!C:C,C46,'Clientes Consolidado.'!B:B,"Additive Intl.")</f>
        <v>0</v>
      </c>
      <c r="Z46" s="290">
        <f>SUMIFS('Clientes Consolidado.'!O:O,'Clientes Consolidado.'!C:C,C46,'Clientes Consolidado.'!B:B,"Fertilizer")
+SUMIFS('Clientes Consolidado.'!O:O,'Clientes Consolidado.'!C:C,C46,'Clientes Consolidado.'!B:B,"Additive")
+SUMIFS('Clientes Consolidado.'!O:O,'Clientes Consolidado.'!C:C,C46,'Clientes Consolidado.'!B:B,"Additive Intl.")</f>
        <v>0</v>
      </c>
      <c r="AA46" s="290">
        <f>SUMIFS('Clientes Consolidado.'!P:P,'Clientes Consolidado.'!C:C,'Nova Versão '!C46,'Clientes Consolidado.'!B:B,"Fertilizer / Litigation")+SUMIFS('Clientes Consolidado.'!P:P,'Clientes Consolidado.'!C:C,'Nova Versão '!C46,'Clientes Consolidado.'!B:B,"Additive / Litigation")</f>
        <v>0</v>
      </c>
      <c r="AB46" s="288"/>
      <c r="AD46" s="290">
        <f>SUMIFS('Invoiced amount'!I:I,'Invoiced amount'!AH:AH,'Nova Versão '!C46)</f>
        <v>495161.60000000003</v>
      </c>
      <c r="AE46" s="290">
        <f>SUMIFS(Buget!K:K,Buget!E:E,'Nova Versão '!C46)</f>
        <v>2309012.8694158262</v>
      </c>
      <c r="AF46" s="264">
        <f t="shared" si="4"/>
        <v>0.21444731060562452</v>
      </c>
      <c r="AG46" s="290">
        <f t="shared" si="5"/>
        <v>1813851.2694158261</v>
      </c>
    </row>
    <row r="47" spans="1:33" ht="13.8" customHeight="1" x14ac:dyDescent="0.25">
      <c r="A47" s="283"/>
      <c r="B47" s="288" t="str">
        <f>_xlfn.XLOOKUP(C47,'Info Clientes'!A:A,'Info Clientes'!B:B)</f>
        <v>Additive Intl.</v>
      </c>
      <c r="C47" s="234" t="s">
        <v>716</v>
      </c>
      <c r="D47" s="290">
        <f>_xlfn.XLOOKUP(C47,'Limite de crédito'!C:C,'Limite de crédito'!G:G,0)</f>
        <v>200000</v>
      </c>
      <c r="E47" s="290">
        <f t="shared" si="0"/>
        <v>179474.58</v>
      </c>
      <c r="F47" s="290">
        <f>_xlfn.XLOOKUP('Nova Versão '!C47,'Limite de crédito'!C:C,'Limite de crédito'!O:O,0)</f>
        <v>0</v>
      </c>
      <c r="G47" s="291">
        <f t="shared" si="1"/>
        <v>179474.58</v>
      </c>
      <c r="H47" s="292" t="str">
        <f>_xlfn.XLOOKUP(C47,'Info Clientes'!A:A,'Info Clientes'!C:C)</f>
        <v>Approved in credit committee</v>
      </c>
      <c r="I47" s="292" t="str">
        <f>IF(_xlfn.XLOOKUP(C47,'Info Clientes'!A:A,'Info Clientes'!D:D,"")=0,"",_xlfn.XLOOKUP(C47,'Info Clientes'!A:A,'Info Clientes'!D:D,""))</f>
        <v xml:space="preserve">Coface is analyzing the credit request; a response is expected within 3 to 6 days. ( Previously, sales were handled by Solinag, but they changed the final entity; we are awaiting analysis from the insurance company). </v>
      </c>
      <c r="K47" s="290">
        <f t="shared" si="2"/>
        <v>133756.12</v>
      </c>
      <c r="L47" s="290">
        <f>_xlfn.XLOOKUP(C47,'Clientes Consolidado.'!$C:$C,'Clientes Consolidado.'!R:R,0)</f>
        <v>0</v>
      </c>
      <c r="M47" s="290">
        <f>_xlfn.XLOOKUP(C47,'Clientes Consolidado.'!$C:$C,'Clientes Consolidado.'!S:S,0)</f>
        <v>0</v>
      </c>
      <c r="N47" s="290">
        <f>_xlfn.XLOOKUP(C47,'Clientes Consolidado.'!$C:$C,'Clientes Consolidado.'!T:T,0)</f>
        <v>133756.12</v>
      </c>
      <c r="O47" s="290">
        <f>_xlfn.XLOOKUP(C47,'Clientes Consolidado.'!$C:$C,'Clientes Consolidado.'!U:U,0)</f>
        <v>0</v>
      </c>
      <c r="P47" s="290">
        <f>_xlfn.XLOOKUP(C47,'Clientes Consolidado.'!$C:$C,'Clientes Consolidado.'!V:V,0)</f>
        <v>0</v>
      </c>
      <c r="Q47" s="290">
        <f>_xlfn.XLOOKUP(C47,'Clientes Consolidado.'!$C:$C,'Clientes Consolidado.'!W:W,0)</f>
        <v>0</v>
      </c>
      <c r="R47" s="290">
        <f>_xlfn.XLOOKUP(C47,'Clientes Consolidado.'!$C:$C,'Clientes Consolidado.'!X:X,0)</f>
        <v>0</v>
      </c>
      <c r="S47" s="290">
        <f t="shared" si="6"/>
        <v>45718.46</v>
      </c>
      <c r="T47" s="290">
        <f>SUMIFS('Clientes Consolidado.'!I:I,'Clientes Consolidado.'!C:C,C47,'Clientes Consolidado.'!B:B,"Fertilizer")
+SUMIFS('Clientes Consolidado.'!I:I,'Clientes Consolidado.'!C:C,C47,'Clientes Consolidado.'!B:B,"Additive")
+SUMIFS('Clientes Consolidado.'!I:I,'Clientes Consolidado.'!C:C,C47,'Clientes Consolidado.'!B:B,"Additive Intl.")</f>
        <v>45718.46</v>
      </c>
      <c r="U47" s="290">
        <f>SUMIFS('Clientes Consolidado.'!J:J,'Clientes Consolidado.'!C:C,C47,'Clientes Consolidado.'!B:B,"Fertilizer")
+SUMIFS('Clientes Consolidado.'!J:J,'Clientes Consolidado.'!C:C,C47,'Clientes Consolidado.'!B:B,"Additive")
+SUMIFS('Clientes Consolidado.'!J:J,'Clientes Consolidado.'!C:C,C47,'Clientes Consolidado.'!B:B,"Additive Intl.")</f>
        <v>0</v>
      </c>
      <c r="V47" s="290">
        <f>SUMIFS('Clientes Consolidado.'!K:K,'Clientes Consolidado.'!C:C,C47,'Clientes Consolidado.'!B:B,"Fertilizer")
+SUMIFS('Clientes Consolidado.'!K:K,'Clientes Consolidado.'!C:C,C47,'Clientes Consolidado.'!B:B,"Additive")
+SUMIFS('Clientes Consolidado.'!K:K,'Clientes Consolidado.'!C:C,C47,'Clientes Consolidado.'!B:B,"Additive Intl.")</f>
        <v>0</v>
      </c>
      <c r="W47" s="290">
        <f>SUMIFS('Clientes Consolidado.'!L:L,'Clientes Consolidado.'!C:C,C47,'Clientes Consolidado.'!B:B,"Fertilizer")
+SUMIFS('Clientes Consolidado.'!L:L,'Clientes Consolidado.'!C:C,C47,'Clientes Consolidado.'!B:B,"Additive")
+SUMIFS('Clientes Consolidado.'!L:L,'Clientes Consolidado.'!C:C,C47,'Clientes Consolidado.'!B:B,"Additive Intl.")</f>
        <v>0</v>
      </c>
      <c r="X47" s="290">
        <f>SUMIFS('Clientes Consolidado.'!M:M,'Clientes Consolidado.'!C:C,C47,'Clientes Consolidado.'!B:B,"Fertilizer")
+SUMIFS('Clientes Consolidado.'!M:M,'Clientes Consolidado.'!C:C,C47,'Clientes Consolidado.'!B:B,"Additive")
+SUMIFS('Clientes Consolidado.'!M:M,'Clientes Consolidado.'!C:C,C47,'Clientes Consolidado.'!B:B,"Additive Intl.")</f>
        <v>0</v>
      </c>
      <c r="Y47" s="290">
        <f>SUMIFS('Clientes Consolidado.'!N:N,'Clientes Consolidado.'!C:C,C47,'Clientes Consolidado.'!B:B,"Fertilizer")
+SUMIFS('Clientes Consolidado.'!N:N,'Clientes Consolidado.'!C:C,C47,'Clientes Consolidado.'!B:B,"Additive")
+SUMIFS('Clientes Consolidado.'!N:N,'Clientes Consolidado.'!C:C,C47,'Clientes Consolidado.'!B:B,"Additive Intl.")</f>
        <v>0</v>
      </c>
      <c r="Z47" s="290">
        <f>SUMIFS('Clientes Consolidado.'!O:O,'Clientes Consolidado.'!C:C,C47,'Clientes Consolidado.'!B:B,"Fertilizer")
+SUMIFS('Clientes Consolidado.'!O:O,'Clientes Consolidado.'!C:C,C47,'Clientes Consolidado.'!B:B,"Additive")
+SUMIFS('Clientes Consolidado.'!O:O,'Clientes Consolidado.'!C:C,C47,'Clientes Consolidado.'!B:B,"Additive Intl.")</f>
        <v>0</v>
      </c>
      <c r="AA47" s="290">
        <f>SUMIFS('Clientes Consolidado.'!P:P,'Clientes Consolidado.'!C:C,'Nova Versão '!C47,'Clientes Consolidado.'!B:B,"Fertilizer / Litigation")+SUMIFS('Clientes Consolidado.'!P:P,'Clientes Consolidado.'!C:C,'Nova Versão '!C47,'Clientes Consolidado.'!B:B,"Additive / Litigation")</f>
        <v>0</v>
      </c>
      <c r="AB47" s="288"/>
      <c r="AD47" s="290">
        <f>SUMIFS('Invoiced amount'!I:I,'Invoiced amount'!AH:AH,'Nova Versão '!C47)</f>
        <v>179474.58</v>
      </c>
      <c r="AE47" s="290">
        <f>SUMIFS(Buget!K:K,Buget!E:E,'Nova Versão '!C47)</f>
        <v>0</v>
      </c>
      <c r="AF47" s="264" t="str">
        <f t="shared" si="4"/>
        <v/>
      </c>
      <c r="AG47" s="290">
        <f t="shared" si="5"/>
        <v>0</v>
      </c>
    </row>
    <row r="48" spans="1:33" ht="13.8" customHeight="1" x14ac:dyDescent="0.25">
      <c r="A48" s="283"/>
      <c r="B48" s="288" t="str">
        <f>_xlfn.XLOOKUP(C48,'Info Clientes'!A:A,'Info Clientes'!B:B)</f>
        <v>Additive Intl.</v>
      </c>
      <c r="C48" s="96" t="s">
        <v>313</v>
      </c>
      <c r="D48" s="290">
        <f>_xlfn.XLOOKUP(C48,'Limite de crédito'!C:C,'Limite de crédito'!G:G,0)</f>
        <v>770000</v>
      </c>
      <c r="E48" s="290">
        <f t="shared" si="0"/>
        <v>175275.24</v>
      </c>
      <c r="F48" s="290">
        <f>_xlfn.XLOOKUP('Nova Versão '!C48,'Limite de crédito'!C:C,'Limite de crédito'!O:O,0)</f>
        <v>770000</v>
      </c>
      <c r="G48" s="291">
        <f t="shared" si="1"/>
        <v>0</v>
      </c>
      <c r="H48" s="292" t="str">
        <f>_xlfn.XLOOKUP(C48,'Info Clientes'!A:A,'Info Clientes'!C:C)</f>
        <v>Guarantee or credit</v>
      </c>
      <c r="I48" s="292" t="str">
        <f>IF(_xlfn.XLOOKUP(C48,'Info Clientes'!A:A,'Info Clientes'!D:D,"")=0,"",_xlfn.XLOOKUP(C48,'Info Clientes'!A:A,'Info Clientes'!D:D,""))</f>
        <v/>
      </c>
      <c r="K48" s="290">
        <f t="shared" si="2"/>
        <v>0</v>
      </c>
      <c r="L48" s="290">
        <f>_xlfn.XLOOKUP(C48,'Clientes Consolidado.'!$C:$C,'Clientes Consolidado.'!R:R,0)</f>
        <v>0</v>
      </c>
      <c r="M48" s="290">
        <f>_xlfn.XLOOKUP(C48,'Clientes Consolidado.'!$C:$C,'Clientes Consolidado.'!S:S,0)</f>
        <v>0</v>
      </c>
      <c r="N48" s="290">
        <f>_xlfn.XLOOKUP(C48,'Clientes Consolidado.'!$C:$C,'Clientes Consolidado.'!T:T,0)</f>
        <v>0</v>
      </c>
      <c r="O48" s="290">
        <f>_xlfn.XLOOKUP(C48,'Clientes Consolidado.'!$C:$C,'Clientes Consolidado.'!U:U,0)</f>
        <v>0</v>
      </c>
      <c r="P48" s="290">
        <f>_xlfn.XLOOKUP(C48,'Clientes Consolidado.'!$C:$C,'Clientes Consolidado.'!V:V,0)</f>
        <v>0</v>
      </c>
      <c r="Q48" s="290">
        <f>_xlfn.XLOOKUP(C48,'Clientes Consolidado.'!$C:$C,'Clientes Consolidado.'!W:W,0)</f>
        <v>0</v>
      </c>
      <c r="R48" s="290">
        <f>_xlfn.XLOOKUP(C48,'Clientes Consolidado.'!$C:$C,'Clientes Consolidado.'!X:X,0)</f>
        <v>0</v>
      </c>
      <c r="S48" s="290">
        <f t="shared" si="6"/>
        <v>175275.24</v>
      </c>
      <c r="T48" s="290">
        <f>SUMIFS('Clientes Consolidado.'!I:I,'Clientes Consolidado.'!C:C,C48,'Clientes Consolidado.'!B:B,"Fertilizer")
+SUMIFS('Clientes Consolidado.'!I:I,'Clientes Consolidado.'!C:C,C48,'Clientes Consolidado.'!B:B,"Additive")
+SUMIFS('Clientes Consolidado.'!I:I,'Clientes Consolidado.'!C:C,C48,'Clientes Consolidado.'!B:B,"Additive Intl.")</f>
        <v>175275.24</v>
      </c>
      <c r="U48" s="290">
        <f>SUMIFS('Clientes Consolidado.'!J:J,'Clientes Consolidado.'!C:C,C48,'Clientes Consolidado.'!B:B,"Fertilizer")
+SUMIFS('Clientes Consolidado.'!J:J,'Clientes Consolidado.'!C:C,C48,'Clientes Consolidado.'!B:B,"Additive")
+SUMIFS('Clientes Consolidado.'!J:J,'Clientes Consolidado.'!C:C,C48,'Clientes Consolidado.'!B:B,"Additive Intl.")</f>
        <v>0</v>
      </c>
      <c r="V48" s="290">
        <f>SUMIFS('Clientes Consolidado.'!K:K,'Clientes Consolidado.'!C:C,C48,'Clientes Consolidado.'!B:B,"Fertilizer")
+SUMIFS('Clientes Consolidado.'!K:K,'Clientes Consolidado.'!C:C,C48,'Clientes Consolidado.'!B:B,"Additive")
+SUMIFS('Clientes Consolidado.'!K:K,'Clientes Consolidado.'!C:C,C48,'Clientes Consolidado.'!B:B,"Additive Intl.")</f>
        <v>0</v>
      </c>
      <c r="W48" s="290">
        <f>SUMIFS('Clientes Consolidado.'!L:L,'Clientes Consolidado.'!C:C,C48,'Clientes Consolidado.'!B:B,"Fertilizer")
+SUMIFS('Clientes Consolidado.'!L:L,'Clientes Consolidado.'!C:C,C48,'Clientes Consolidado.'!B:B,"Additive")
+SUMIFS('Clientes Consolidado.'!L:L,'Clientes Consolidado.'!C:C,C48,'Clientes Consolidado.'!B:B,"Additive Intl.")</f>
        <v>0</v>
      </c>
      <c r="X48" s="290">
        <f>SUMIFS('Clientes Consolidado.'!M:M,'Clientes Consolidado.'!C:C,C48,'Clientes Consolidado.'!B:B,"Fertilizer")
+SUMIFS('Clientes Consolidado.'!M:M,'Clientes Consolidado.'!C:C,C48,'Clientes Consolidado.'!B:B,"Additive")
+SUMIFS('Clientes Consolidado.'!M:M,'Clientes Consolidado.'!C:C,C48,'Clientes Consolidado.'!B:B,"Additive Intl.")</f>
        <v>0</v>
      </c>
      <c r="Y48" s="290">
        <f>SUMIFS('Clientes Consolidado.'!N:N,'Clientes Consolidado.'!C:C,C48,'Clientes Consolidado.'!B:B,"Fertilizer")
+SUMIFS('Clientes Consolidado.'!N:N,'Clientes Consolidado.'!C:C,C48,'Clientes Consolidado.'!B:B,"Additive")
+SUMIFS('Clientes Consolidado.'!N:N,'Clientes Consolidado.'!C:C,C48,'Clientes Consolidado.'!B:B,"Additive Intl.")</f>
        <v>0</v>
      </c>
      <c r="Z48" s="290">
        <f>SUMIFS('Clientes Consolidado.'!O:O,'Clientes Consolidado.'!C:C,C48,'Clientes Consolidado.'!B:B,"Fertilizer")
+SUMIFS('Clientes Consolidado.'!O:O,'Clientes Consolidado.'!C:C,C48,'Clientes Consolidado.'!B:B,"Additive")
+SUMIFS('Clientes Consolidado.'!O:O,'Clientes Consolidado.'!C:C,C48,'Clientes Consolidado.'!B:B,"Additive Intl.")</f>
        <v>0</v>
      </c>
      <c r="AA48" s="290">
        <f>SUMIFS('Clientes Consolidado.'!P:P,'Clientes Consolidado.'!C:C,'Nova Versão '!C48,'Clientes Consolidado.'!B:B,"Fertilizer / Litigation")+SUMIFS('Clientes Consolidado.'!P:P,'Clientes Consolidado.'!C:C,'Nova Versão '!C48,'Clientes Consolidado.'!B:B,"Additive / Litigation")</f>
        <v>0</v>
      </c>
      <c r="AB48" s="288"/>
      <c r="AD48" s="290">
        <f>SUMIFS('Invoiced amount'!I:I,'Invoiced amount'!AH:AH,'Nova Versão '!C48)</f>
        <v>400087.85</v>
      </c>
      <c r="AE48" s="290">
        <f>SUMIFS(Buget!K:K,Buget!E:E,'Nova Versão '!C48)</f>
        <v>980403.0869980678</v>
      </c>
      <c r="AF48" s="264">
        <f t="shared" si="4"/>
        <v>0.40808505736660178</v>
      </c>
      <c r="AG48" s="290">
        <f t="shared" si="5"/>
        <v>580315.23699806782</v>
      </c>
    </row>
    <row r="49" spans="1:33" ht="13.8" customHeight="1" x14ac:dyDescent="0.25">
      <c r="A49" s="283"/>
      <c r="B49" s="288" t="str">
        <f>_xlfn.XLOOKUP(C49,'Info Clientes'!A:A,'Info Clientes'!B:B)</f>
        <v>Additive</v>
      </c>
      <c r="C49" s="96" t="s">
        <v>358</v>
      </c>
      <c r="D49" s="290">
        <f>_xlfn.XLOOKUP(C49,'Limite de crédito'!C:C,'Limite de crédito'!G:G,0)</f>
        <v>500000</v>
      </c>
      <c r="E49" s="290">
        <f t="shared" si="0"/>
        <v>170959.4</v>
      </c>
      <c r="F49" s="290">
        <f>_xlfn.XLOOKUP('Nova Versão '!C49,'Limite de crédito'!C:C,'Limite de crédito'!O:O,0)</f>
        <v>500000</v>
      </c>
      <c r="G49" s="291">
        <f t="shared" si="1"/>
        <v>0</v>
      </c>
      <c r="H49" s="292" t="str">
        <f>_xlfn.XLOOKUP(C49,'Info Clientes'!A:A,'Info Clientes'!C:C)</f>
        <v>Guarantee or credit</v>
      </c>
      <c r="I49" s="292" t="str">
        <f>IF(_xlfn.XLOOKUP(C49,'Info Clientes'!A:A,'Info Clientes'!D:D,"")=0,"",_xlfn.XLOOKUP(C49,'Info Clientes'!A:A,'Info Clientes'!D:D,""))</f>
        <v/>
      </c>
      <c r="K49" s="290">
        <f t="shared" si="2"/>
        <v>170959.4</v>
      </c>
      <c r="L49" s="290">
        <f>_xlfn.XLOOKUP(C49,'Clientes Consolidado.'!$C:$C,'Clientes Consolidado.'!R:R,0)</f>
        <v>65330</v>
      </c>
      <c r="M49" s="290">
        <f>_xlfn.XLOOKUP(C49,'Clientes Consolidado.'!$C:$C,'Clientes Consolidado.'!S:S,0)</f>
        <v>105629.4</v>
      </c>
      <c r="N49" s="290">
        <f>_xlfn.XLOOKUP(C49,'Clientes Consolidado.'!$C:$C,'Clientes Consolidado.'!T:T,0)</f>
        <v>0</v>
      </c>
      <c r="O49" s="290">
        <f>_xlfn.XLOOKUP(C49,'Clientes Consolidado.'!$C:$C,'Clientes Consolidado.'!U:U,0)</f>
        <v>0</v>
      </c>
      <c r="P49" s="290">
        <f>_xlfn.XLOOKUP(C49,'Clientes Consolidado.'!$C:$C,'Clientes Consolidado.'!V:V,0)</f>
        <v>0</v>
      </c>
      <c r="Q49" s="290">
        <f>_xlfn.XLOOKUP(C49,'Clientes Consolidado.'!$C:$C,'Clientes Consolidado.'!W:W,0)</f>
        <v>0</v>
      </c>
      <c r="R49" s="290">
        <f>_xlfn.XLOOKUP(C49,'Clientes Consolidado.'!$C:$C,'Clientes Consolidado.'!X:X,0)</f>
        <v>0</v>
      </c>
      <c r="S49" s="290">
        <f t="shared" si="6"/>
        <v>0</v>
      </c>
      <c r="T49" s="290">
        <f>SUMIFS('Clientes Consolidado.'!I:I,'Clientes Consolidado.'!C:C,C49,'Clientes Consolidado.'!B:B,"Fertilizer")
+SUMIFS('Clientes Consolidado.'!I:I,'Clientes Consolidado.'!C:C,C49,'Clientes Consolidado.'!B:B,"Additive")
+SUMIFS('Clientes Consolidado.'!I:I,'Clientes Consolidado.'!C:C,C49,'Clientes Consolidado.'!B:B,"Additive Intl.")</f>
        <v>0</v>
      </c>
      <c r="U49" s="290">
        <f>SUMIFS('Clientes Consolidado.'!J:J,'Clientes Consolidado.'!C:C,C49,'Clientes Consolidado.'!B:B,"Fertilizer")
+SUMIFS('Clientes Consolidado.'!J:J,'Clientes Consolidado.'!C:C,C49,'Clientes Consolidado.'!B:B,"Additive")
+SUMIFS('Clientes Consolidado.'!J:J,'Clientes Consolidado.'!C:C,C49,'Clientes Consolidado.'!B:B,"Additive Intl.")</f>
        <v>0</v>
      </c>
      <c r="V49" s="290">
        <f>SUMIFS('Clientes Consolidado.'!K:K,'Clientes Consolidado.'!C:C,C49,'Clientes Consolidado.'!B:B,"Fertilizer")
+SUMIFS('Clientes Consolidado.'!K:K,'Clientes Consolidado.'!C:C,C49,'Clientes Consolidado.'!B:B,"Additive")
+SUMIFS('Clientes Consolidado.'!K:K,'Clientes Consolidado.'!C:C,C49,'Clientes Consolidado.'!B:B,"Additive Intl.")</f>
        <v>0</v>
      </c>
      <c r="W49" s="290">
        <f>SUMIFS('Clientes Consolidado.'!L:L,'Clientes Consolidado.'!C:C,C49,'Clientes Consolidado.'!B:B,"Fertilizer")
+SUMIFS('Clientes Consolidado.'!L:L,'Clientes Consolidado.'!C:C,C49,'Clientes Consolidado.'!B:B,"Additive")
+SUMIFS('Clientes Consolidado.'!L:L,'Clientes Consolidado.'!C:C,C49,'Clientes Consolidado.'!B:B,"Additive Intl.")</f>
        <v>0</v>
      </c>
      <c r="X49" s="290">
        <f>SUMIFS('Clientes Consolidado.'!M:M,'Clientes Consolidado.'!C:C,C49,'Clientes Consolidado.'!B:B,"Fertilizer")
+SUMIFS('Clientes Consolidado.'!M:M,'Clientes Consolidado.'!C:C,C49,'Clientes Consolidado.'!B:B,"Additive")
+SUMIFS('Clientes Consolidado.'!M:M,'Clientes Consolidado.'!C:C,C49,'Clientes Consolidado.'!B:B,"Additive Intl.")</f>
        <v>0</v>
      </c>
      <c r="Y49" s="290">
        <f>SUMIFS('Clientes Consolidado.'!N:N,'Clientes Consolidado.'!C:C,C49,'Clientes Consolidado.'!B:B,"Fertilizer")
+SUMIFS('Clientes Consolidado.'!N:N,'Clientes Consolidado.'!C:C,C49,'Clientes Consolidado.'!B:B,"Additive")
+SUMIFS('Clientes Consolidado.'!N:N,'Clientes Consolidado.'!C:C,C49,'Clientes Consolidado.'!B:B,"Additive Intl.")</f>
        <v>0</v>
      </c>
      <c r="Z49" s="290">
        <f>SUMIFS('Clientes Consolidado.'!O:O,'Clientes Consolidado.'!C:C,C49,'Clientes Consolidado.'!B:B,"Fertilizer")
+SUMIFS('Clientes Consolidado.'!O:O,'Clientes Consolidado.'!C:C,C49,'Clientes Consolidado.'!B:B,"Additive")
+SUMIFS('Clientes Consolidado.'!O:O,'Clientes Consolidado.'!C:C,C49,'Clientes Consolidado.'!B:B,"Additive Intl.")</f>
        <v>0</v>
      </c>
      <c r="AA49" s="290">
        <f>SUMIFS('Clientes Consolidado.'!P:P,'Clientes Consolidado.'!C:C,'Nova Versão '!C49,'Clientes Consolidado.'!B:B,"Fertilizer / Litigation")+SUMIFS('Clientes Consolidado.'!P:P,'Clientes Consolidado.'!C:C,'Nova Versão '!C49,'Clientes Consolidado.'!B:B,"Additive / Litigation")</f>
        <v>0</v>
      </c>
      <c r="AB49" s="288"/>
      <c r="AD49" s="290">
        <f>SUMIFS('Invoiced amount'!I:I,'Invoiced amount'!AH:AH,'Nova Versão '!C49)</f>
        <v>251939.4</v>
      </c>
      <c r="AE49" s="290">
        <f>SUMIFS(Buget!K:K,Buget!E:E,'Nova Versão '!C49)</f>
        <v>7984108.17017953</v>
      </c>
      <c r="AF49" s="264">
        <f t="shared" si="4"/>
        <v>3.1555108551884127E-2</v>
      </c>
      <c r="AG49" s="290">
        <f t="shared" si="5"/>
        <v>7732168.7701795297</v>
      </c>
    </row>
    <row r="50" spans="1:33" ht="13.8" customHeight="1" x14ac:dyDescent="0.25">
      <c r="A50" s="283"/>
      <c r="B50" s="288" t="str">
        <f>_xlfn.XLOOKUP(C50,'Info Clientes'!A:A,'Info Clientes'!B:B)</f>
        <v>Additive Intl.</v>
      </c>
      <c r="C50" s="234" t="s">
        <v>117</v>
      </c>
      <c r="D50" s="290">
        <f>_xlfn.XLOOKUP(C50,'Limite de crédito'!C:C,'Limite de crédito'!G:G,0)</f>
        <v>1375000</v>
      </c>
      <c r="E50" s="290">
        <f t="shared" si="0"/>
        <v>166161.39000000001</v>
      </c>
      <c r="F50" s="290">
        <f>_xlfn.XLOOKUP('Nova Versão '!C50,'Limite de crédito'!C:C,'Limite de crédito'!O:O,0)</f>
        <v>1375000</v>
      </c>
      <c r="G50" s="291">
        <f t="shared" si="1"/>
        <v>0</v>
      </c>
      <c r="H50" s="292" t="str">
        <f>_xlfn.XLOOKUP(C50,'Info Clientes'!A:A,'Info Clientes'!C:C)</f>
        <v>Guarantee or credit</v>
      </c>
      <c r="I50" s="292" t="str">
        <f>IF(_xlfn.XLOOKUP(C50,'Info Clientes'!A:A,'Info Clientes'!D:D,"")=0,"",_xlfn.XLOOKUP(C50,'Info Clientes'!A:A,'Info Clientes'!D:D,""))</f>
        <v/>
      </c>
      <c r="K50" s="290">
        <f t="shared" si="2"/>
        <v>166161.39000000001</v>
      </c>
      <c r="L50" s="290">
        <f>_xlfn.XLOOKUP(C50,'Clientes Consolidado.'!$C:$C,'Clientes Consolidado.'!R:R,0)</f>
        <v>166161.39000000001</v>
      </c>
      <c r="M50" s="290">
        <f>_xlfn.XLOOKUP(C50,'Clientes Consolidado.'!$C:$C,'Clientes Consolidado.'!S:S,0)</f>
        <v>0</v>
      </c>
      <c r="N50" s="290">
        <f>_xlfn.XLOOKUP(C50,'Clientes Consolidado.'!$C:$C,'Clientes Consolidado.'!T:T,0)</f>
        <v>0</v>
      </c>
      <c r="O50" s="290">
        <f>_xlfn.XLOOKUP(C50,'Clientes Consolidado.'!$C:$C,'Clientes Consolidado.'!U:U,0)</f>
        <v>0</v>
      </c>
      <c r="P50" s="290">
        <f>_xlfn.XLOOKUP(C50,'Clientes Consolidado.'!$C:$C,'Clientes Consolidado.'!V:V,0)</f>
        <v>0</v>
      </c>
      <c r="Q50" s="290">
        <f>_xlfn.XLOOKUP(C50,'Clientes Consolidado.'!$C:$C,'Clientes Consolidado.'!W:W,0)</f>
        <v>0</v>
      </c>
      <c r="R50" s="290">
        <f>_xlfn.XLOOKUP(C50,'Clientes Consolidado.'!$C:$C,'Clientes Consolidado.'!X:X,0)</f>
        <v>0</v>
      </c>
      <c r="S50" s="290">
        <f t="shared" si="6"/>
        <v>0</v>
      </c>
      <c r="T50" s="290">
        <f>SUMIFS('Clientes Consolidado.'!I:I,'Clientes Consolidado.'!C:C,C50,'Clientes Consolidado.'!B:B,"Fertilizer")
+SUMIFS('Clientes Consolidado.'!I:I,'Clientes Consolidado.'!C:C,C50,'Clientes Consolidado.'!B:B,"Additive")
+SUMIFS('Clientes Consolidado.'!I:I,'Clientes Consolidado.'!C:C,C50,'Clientes Consolidado.'!B:B,"Additive Intl.")</f>
        <v>0</v>
      </c>
      <c r="U50" s="290">
        <f>SUMIFS('Clientes Consolidado.'!J:J,'Clientes Consolidado.'!C:C,C50,'Clientes Consolidado.'!B:B,"Fertilizer")
+SUMIFS('Clientes Consolidado.'!J:J,'Clientes Consolidado.'!C:C,C50,'Clientes Consolidado.'!B:B,"Additive")
+SUMIFS('Clientes Consolidado.'!J:J,'Clientes Consolidado.'!C:C,C50,'Clientes Consolidado.'!B:B,"Additive Intl.")</f>
        <v>0</v>
      </c>
      <c r="V50" s="290">
        <f>SUMIFS('Clientes Consolidado.'!K:K,'Clientes Consolidado.'!C:C,C50,'Clientes Consolidado.'!B:B,"Fertilizer")
+SUMIFS('Clientes Consolidado.'!K:K,'Clientes Consolidado.'!C:C,C50,'Clientes Consolidado.'!B:B,"Additive")
+SUMIFS('Clientes Consolidado.'!K:K,'Clientes Consolidado.'!C:C,C50,'Clientes Consolidado.'!B:B,"Additive Intl.")</f>
        <v>0</v>
      </c>
      <c r="W50" s="290">
        <f>SUMIFS('Clientes Consolidado.'!L:L,'Clientes Consolidado.'!C:C,C50,'Clientes Consolidado.'!B:B,"Fertilizer")
+SUMIFS('Clientes Consolidado.'!L:L,'Clientes Consolidado.'!C:C,C50,'Clientes Consolidado.'!B:B,"Additive")
+SUMIFS('Clientes Consolidado.'!L:L,'Clientes Consolidado.'!C:C,C50,'Clientes Consolidado.'!B:B,"Additive Intl.")</f>
        <v>0</v>
      </c>
      <c r="X50" s="290">
        <f>SUMIFS('Clientes Consolidado.'!M:M,'Clientes Consolidado.'!C:C,C50,'Clientes Consolidado.'!B:B,"Fertilizer")
+SUMIFS('Clientes Consolidado.'!M:M,'Clientes Consolidado.'!C:C,C50,'Clientes Consolidado.'!B:B,"Additive")
+SUMIFS('Clientes Consolidado.'!M:M,'Clientes Consolidado.'!C:C,C50,'Clientes Consolidado.'!B:B,"Additive Intl.")</f>
        <v>0</v>
      </c>
      <c r="Y50" s="290">
        <f>SUMIFS('Clientes Consolidado.'!N:N,'Clientes Consolidado.'!C:C,C50,'Clientes Consolidado.'!B:B,"Fertilizer")
+SUMIFS('Clientes Consolidado.'!N:N,'Clientes Consolidado.'!C:C,C50,'Clientes Consolidado.'!B:B,"Additive")
+SUMIFS('Clientes Consolidado.'!N:N,'Clientes Consolidado.'!C:C,C50,'Clientes Consolidado.'!B:B,"Additive Intl.")</f>
        <v>0</v>
      </c>
      <c r="Z50" s="290">
        <f>SUMIFS('Clientes Consolidado.'!O:O,'Clientes Consolidado.'!C:C,C50,'Clientes Consolidado.'!B:B,"Fertilizer")
+SUMIFS('Clientes Consolidado.'!O:O,'Clientes Consolidado.'!C:C,C50,'Clientes Consolidado.'!B:B,"Additive")
+SUMIFS('Clientes Consolidado.'!O:O,'Clientes Consolidado.'!C:C,C50,'Clientes Consolidado.'!B:B,"Additive Intl.")</f>
        <v>0</v>
      </c>
      <c r="AA50" s="290">
        <f>SUMIFS('Clientes Consolidado.'!P:P,'Clientes Consolidado.'!C:C,'Nova Versão '!C50,'Clientes Consolidado.'!B:B,"Fertilizer / Litigation")+SUMIFS('Clientes Consolidado.'!P:P,'Clientes Consolidado.'!C:C,'Nova Versão '!C50,'Clientes Consolidado.'!B:B,"Additive / Litigation")</f>
        <v>0</v>
      </c>
      <c r="AB50" s="288"/>
      <c r="AD50" s="290">
        <f>SUMIFS('Invoiced amount'!I:I,'Invoiced amount'!AH:AH,'Nova Versão '!C50)</f>
        <v>645512.31000000006</v>
      </c>
      <c r="AE50" s="290">
        <f>SUMIFS(Buget!K:K,Buget!E:E,'Nova Versão '!C50)</f>
        <v>0</v>
      </c>
      <c r="AF50" s="264" t="str">
        <f t="shared" si="4"/>
        <v/>
      </c>
      <c r="AG50" s="290">
        <f t="shared" si="5"/>
        <v>0</v>
      </c>
    </row>
    <row r="51" spans="1:33" ht="13.8" customHeight="1" x14ac:dyDescent="0.25">
      <c r="A51" s="283"/>
      <c r="B51" s="288" t="str">
        <f>_xlfn.XLOOKUP(C51,'Info Clientes'!A:A,'Info Clientes'!B:B)</f>
        <v>Additive Intl.</v>
      </c>
      <c r="C51" s="96" t="s">
        <v>296</v>
      </c>
      <c r="D51" s="290">
        <f>_xlfn.XLOOKUP(C51,'Limite de crédito'!C:C,'Limite de crédito'!G:G,0)</f>
        <v>200000</v>
      </c>
      <c r="E51" s="290">
        <f t="shared" si="0"/>
        <v>164297.04999999999</v>
      </c>
      <c r="F51" s="290">
        <f>_xlfn.XLOOKUP('Nova Versão '!C51,'Limite de crédito'!C:C,'Limite de crédito'!O:O,0)</f>
        <v>0</v>
      </c>
      <c r="G51" s="291">
        <f t="shared" si="1"/>
        <v>164297.04999999999</v>
      </c>
      <c r="H51" s="292" t="str">
        <f>_xlfn.XLOOKUP(C51,'Info Clientes'!A:A,'Info Clientes'!C:C)</f>
        <v>Approved in credit committee</v>
      </c>
      <c r="I51" s="292" t="str">
        <f>IF(_xlfn.XLOOKUP(C51,'Info Clientes'!A:A,'Info Clientes'!D:D,"")=0,"",_xlfn.XLOOKUP(C51,'Info Clientes'!A:A,'Info Clientes'!D:D,""))</f>
        <v/>
      </c>
      <c r="K51" s="290">
        <f t="shared" si="2"/>
        <v>164297.04999999999</v>
      </c>
      <c r="L51" s="290">
        <f>_xlfn.XLOOKUP(C51,'Clientes Consolidado.'!$C:$C,'Clientes Consolidado.'!R:R,0)</f>
        <v>164297.04999999999</v>
      </c>
      <c r="M51" s="290">
        <f>_xlfn.XLOOKUP(C51,'Clientes Consolidado.'!$C:$C,'Clientes Consolidado.'!S:S,0)</f>
        <v>0</v>
      </c>
      <c r="N51" s="290">
        <f>_xlfn.XLOOKUP(C51,'Clientes Consolidado.'!$C:$C,'Clientes Consolidado.'!T:T,0)</f>
        <v>0</v>
      </c>
      <c r="O51" s="290">
        <f>_xlfn.XLOOKUP(C51,'Clientes Consolidado.'!$C:$C,'Clientes Consolidado.'!U:U,0)</f>
        <v>0</v>
      </c>
      <c r="P51" s="290">
        <f>_xlfn.XLOOKUP(C51,'Clientes Consolidado.'!$C:$C,'Clientes Consolidado.'!V:V,0)</f>
        <v>0</v>
      </c>
      <c r="Q51" s="290">
        <f>_xlfn.XLOOKUP(C51,'Clientes Consolidado.'!$C:$C,'Clientes Consolidado.'!W:W,0)</f>
        <v>0</v>
      </c>
      <c r="R51" s="290">
        <f>_xlfn.XLOOKUP(C51,'Clientes Consolidado.'!$C:$C,'Clientes Consolidado.'!X:X,0)</f>
        <v>0</v>
      </c>
      <c r="S51" s="290">
        <f t="shared" si="6"/>
        <v>0</v>
      </c>
      <c r="T51" s="290">
        <f>SUMIFS('Clientes Consolidado.'!I:I,'Clientes Consolidado.'!C:C,C51,'Clientes Consolidado.'!B:B,"Fertilizer")
+SUMIFS('Clientes Consolidado.'!I:I,'Clientes Consolidado.'!C:C,C51,'Clientes Consolidado.'!B:B,"Additive")
+SUMIFS('Clientes Consolidado.'!I:I,'Clientes Consolidado.'!C:C,C51,'Clientes Consolidado.'!B:B,"Additive Intl.")</f>
        <v>0</v>
      </c>
      <c r="U51" s="290">
        <f>SUMIFS('Clientes Consolidado.'!J:J,'Clientes Consolidado.'!C:C,C51,'Clientes Consolidado.'!B:B,"Fertilizer")
+SUMIFS('Clientes Consolidado.'!J:J,'Clientes Consolidado.'!C:C,C51,'Clientes Consolidado.'!B:B,"Additive")
+SUMIFS('Clientes Consolidado.'!J:J,'Clientes Consolidado.'!C:C,C51,'Clientes Consolidado.'!B:B,"Additive Intl.")</f>
        <v>0</v>
      </c>
      <c r="V51" s="290">
        <f>SUMIFS('Clientes Consolidado.'!K:K,'Clientes Consolidado.'!C:C,C51,'Clientes Consolidado.'!B:B,"Fertilizer")
+SUMIFS('Clientes Consolidado.'!K:K,'Clientes Consolidado.'!C:C,C51,'Clientes Consolidado.'!B:B,"Additive")
+SUMIFS('Clientes Consolidado.'!K:K,'Clientes Consolidado.'!C:C,C51,'Clientes Consolidado.'!B:B,"Additive Intl.")</f>
        <v>0</v>
      </c>
      <c r="W51" s="290">
        <f>SUMIFS('Clientes Consolidado.'!L:L,'Clientes Consolidado.'!C:C,C51,'Clientes Consolidado.'!B:B,"Fertilizer")
+SUMIFS('Clientes Consolidado.'!L:L,'Clientes Consolidado.'!C:C,C51,'Clientes Consolidado.'!B:B,"Additive")
+SUMIFS('Clientes Consolidado.'!L:L,'Clientes Consolidado.'!C:C,C51,'Clientes Consolidado.'!B:B,"Additive Intl.")</f>
        <v>0</v>
      </c>
      <c r="X51" s="290">
        <f>SUMIFS('Clientes Consolidado.'!M:M,'Clientes Consolidado.'!C:C,C51,'Clientes Consolidado.'!B:B,"Fertilizer")
+SUMIFS('Clientes Consolidado.'!M:M,'Clientes Consolidado.'!C:C,C51,'Clientes Consolidado.'!B:B,"Additive")
+SUMIFS('Clientes Consolidado.'!M:M,'Clientes Consolidado.'!C:C,C51,'Clientes Consolidado.'!B:B,"Additive Intl.")</f>
        <v>0</v>
      </c>
      <c r="Y51" s="290">
        <f>SUMIFS('Clientes Consolidado.'!N:N,'Clientes Consolidado.'!C:C,C51,'Clientes Consolidado.'!B:B,"Fertilizer")
+SUMIFS('Clientes Consolidado.'!N:N,'Clientes Consolidado.'!C:C,C51,'Clientes Consolidado.'!B:B,"Additive")
+SUMIFS('Clientes Consolidado.'!N:N,'Clientes Consolidado.'!C:C,C51,'Clientes Consolidado.'!B:B,"Additive Intl.")</f>
        <v>0</v>
      </c>
      <c r="Z51" s="290">
        <f>SUMIFS('Clientes Consolidado.'!O:O,'Clientes Consolidado.'!C:C,C51,'Clientes Consolidado.'!B:B,"Fertilizer")
+SUMIFS('Clientes Consolidado.'!O:O,'Clientes Consolidado.'!C:C,C51,'Clientes Consolidado.'!B:B,"Additive")
+SUMIFS('Clientes Consolidado.'!O:O,'Clientes Consolidado.'!C:C,C51,'Clientes Consolidado.'!B:B,"Additive Intl.")</f>
        <v>0</v>
      </c>
      <c r="AA51" s="290">
        <f>SUMIFS('Clientes Consolidado.'!P:P,'Clientes Consolidado.'!C:C,'Nova Versão '!C51,'Clientes Consolidado.'!B:B,"Fertilizer / Litigation")+SUMIFS('Clientes Consolidado.'!P:P,'Clientes Consolidado.'!C:C,'Nova Versão '!C51,'Clientes Consolidado.'!B:B,"Additive / Litigation")</f>
        <v>0</v>
      </c>
      <c r="AB51" s="288"/>
      <c r="AD51" s="290">
        <f>SUMIFS('Invoiced amount'!I:I,'Invoiced amount'!AH:AH,'Nova Versão '!C51)</f>
        <v>404098.14</v>
      </c>
      <c r="AE51" s="290">
        <f>SUMIFS(Buget!K:K,Buget!E:E,'Nova Versão '!C51)</f>
        <v>894647.55260460998</v>
      </c>
      <c r="AF51" s="264">
        <f t="shared" si="4"/>
        <v>0.45168417308418146</v>
      </c>
      <c r="AG51" s="290">
        <f t="shared" si="5"/>
        <v>490549.41260460997</v>
      </c>
    </row>
    <row r="52" spans="1:33" ht="13.8" customHeight="1" x14ac:dyDescent="0.25">
      <c r="A52" s="283"/>
      <c r="B52" s="288" t="str">
        <f>_xlfn.XLOOKUP(C52,'Info Clientes'!A:A,'Info Clientes'!B:B)</f>
        <v>Additive</v>
      </c>
      <c r="C52" s="96" t="s">
        <v>272</v>
      </c>
      <c r="D52" s="290">
        <f>_xlfn.XLOOKUP(C52,'Limite de crédito'!C:C,'Limite de crédito'!G:G,0)</f>
        <v>300000</v>
      </c>
      <c r="E52" s="290">
        <f t="shared" si="0"/>
        <v>163952.4</v>
      </c>
      <c r="F52" s="290">
        <f>_xlfn.XLOOKUP('Nova Versão '!C52,'Limite de crédito'!C:C,'Limite de crédito'!O:O,0)</f>
        <v>300000</v>
      </c>
      <c r="G52" s="291">
        <f t="shared" si="1"/>
        <v>0</v>
      </c>
      <c r="H52" s="292" t="str">
        <f>_xlfn.XLOOKUP(C52,'Info Clientes'!A:A,'Info Clientes'!C:C)</f>
        <v>Guarantee or credit</v>
      </c>
      <c r="I52" s="292" t="str">
        <f>IF(_xlfn.XLOOKUP(C52,'Info Clientes'!A:A,'Info Clientes'!D:D,"")=0,"",_xlfn.XLOOKUP(C52,'Info Clientes'!A:A,'Info Clientes'!D:D,""))</f>
        <v/>
      </c>
      <c r="K52" s="290">
        <f t="shared" si="2"/>
        <v>163952.4</v>
      </c>
      <c r="L52" s="290">
        <f>_xlfn.XLOOKUP(C52,'Clientes Consolidado.'!$C:$C,'Clientes Consolidado.'!R:R,0)</f>
        <v>104834.4</v>
      </c>
      <c r="M52" s="290">
        <f>_xlfn.XLOOKUP(C52,'Clientes Consolidado.'!$C:$C,'Clientes Consolidado.'!S:S,0)</f>
        <v>59118</v>
      </c>
      <c r="N52" s="290">
        <f>_xlfn.XLOOKUP(C52,'Clientes Consolidado.'!$C:$C,'Clientes Consolidado.'!T:T,0)</f>
        <v>0</v>
      </c>
      <c r="O52" s="290">
        <f>_xlfn.XLOOKUP(C52,'Clientes Consolidado.'!$C:$C,'Clientes Consolidado.'!U:U,0)</f>
        <v>0</v>
      </c>
      <c r="P52" s="290">
        <f>_xlfn.XLOOKUP(C52,'Clientes Consolidado.'!$C:$C,'Clientes Consolidado.'!V:V,0)</f>
        <v>0</v>
      </c>
      <c r="Q52" s="290">
        <f>_xlfn.XLOOKUP(C52,'Clientes Consolidado.'!$C:$C,'Clientes Consolidado.'!W:W,0)</f>
        <v>0</v>
      </c>
      <c r="R52" s="290">
        <f>_xlfn.XLOOKUP(C52,'Clientes Consolidado.'!$C:$C,'Clientes Consolidado.'!X:X,0)</f>
        <v>0</v>
      </c>
      <c r="S52" s="290">
        <f t="shared" si="6"/>
        <v>0</v>
      </c>
      <c r="T52" s="290">
        <f>SUMIFS('Clientes Consolidado.'!I:I,'Clientes Consolidado.'!C:C,C52,'Clientes Consolidado.'!B:B,"Fertilizer")
+SUMIFS('Clientes Consolidado.'!I:I,'Clientes Consolidado.'!C:C,C52,'Clientes Consolidado.'!B:B,"Additive")
+SUMIFS('Clientes Consolidado.'!I:I,'Clientes Consolidado.'!C:C,C52,'Clientes Consolidado.'!B:B,"Additive Intl.")</f>
        <v>0</v>
      </c>
      <c r="U52" s="290">
        <f>SUMIFS('Clientes Consolidado.'!J:J,'Clientes Consolidado.'!C:C,C52,'Clientes Consolidado.'!B:B,"Fertilizer")
+SUMIFS('Clientes Consolidado.'!J:J,'Clientes Consolidado.'!C:C,C52,'Clientes Consolidado.'!B:B,"Additive")
+SUMIFS('Clientes Consolidado.'!J:J,'Clientes Consolidado.'!C:C,C52,'Clientes Consolidado.'!B:B,"Additive Intl.")</f>
        <v>0</v>
      </c>
      <c r="V52" s="290">
        <f>SUMIFS('Clientes Consolidado.'!K:K,'Clientes Consolidado.'!C:C,C52,'Clientes Consolidado.'!B:B,"Fertilizer")
+SUMIFS('Clientes Consolidado.'!K:K,'Clientes Consolidado.'!C:C,C52,'Clientes Consolidado.'!B:B,"Additive")
+SUMIFS('Clientes Consolidado.'!K:K,'Clientes Consolidado.'!C:C,C52,'Clientes Consolidado.'!B:B,"Additive Intl.")</f>
        <v>0</v>
      </c>
      <c r="W52" s="290">
        <f>SUMIFS('Clientes Consolidado.'!L:L,'Clientes Consolidado.'!C:C,C52,'Clientes Consolidado.'!B:B,"Fertilizer")
+SUMIFS('Clientes Consolidado.'!L:L,'Clientes Consolidado.'!C:C,C52,'Clientes Consolidado.'!B:B,"Additive")
+SUMIFS('Clientes Consolidado.'!L:L,'Clientes Consolidado.'!C:C,C52,'Clientes Consolidado.'!B:B,"Additive Intl.")</f>
        <v>0</v>
      </c>
      <c r="X52" s="290">
        <f>SUMIFS('Clientes Consolidado.'!M:M,'Clientes Consolidado.'!C:C,C52,'Clientes Consolidado.'!B:B,"Fertilizer")
+SUMIFS('Clientes Consolidado.'!M:M,'Clientes Consolidado.'!C:C,C52,'Clientes Consolidado.'!B:B,"Additive")
+SUMIFS('Clientes Consolidado.'!M:M,'Clientes Consolidado.'!C:C,C52,'Clientes Consolidado.'!B:B,"Additive Intl.")</f>
        <v>0</v>
      </c>
      <c r="Y52" s="290">
        <f>SUMIFS('Clientes Consolidado.'!N:N,'Clientes Consolidado.'!C:C,C52,'Clientes Consolidado.'!B:B,"Fertilizer")
+SUMIFS('Clientes Consolidado.'!N:N,'Clientes Consolidado.'!C:C,C52,'Clientes Consolidado.'!B:B,"Additive")
+SUMIFS('Clientes Consolidado.'!N:N,'Clientes Consolidado.'!C:C,C52,'Clientes Consolidado.'!B:B,"Additive Intl.")</f>
        <v>0</v>
      </c>
      <c r="Z52" s="290">
        <f>SUMIFS('Clientes Consolidado.'!O:O,'Clientes Consolidado.'!C:C,C52,'Clientes Consolidado.'!B:B,"Fertilizer")
+SUMIFS('Clientes Consolidado.'!O:O,'Clientes Consolidado.'!C:C,C52,'Clientes Consolidado.'!B:B,"Additive")
+SUMIFS('Clientes Consolidado.'!O:O,'Clientes Consolidado.'!C:C,C52,'Clientes Consolidado.'!B:B,"Additive Intl.")</f>
        <v>0</v>
      </c>
      <c r="AA52" s="290">
        <f>SUMIFS('Clientes Consolidado.'!P:P,'Clientes Consolidado.'!C:C,'Nova Versão '!C52,'Clientes Consolidado.'!B:B,"Fertilizer / Litigation")+SUMIFS('Clientes Consolidado.'!P:P,'Clientes Consolidado.'!C:C,'Nova Versão '!C52,'Clientes Consolidado.'!B:B,"Additive / Litigation")</f>
        <v>0</v>
      </c>
      <c r="AB52" s="288"/>
      <c r="AD52" s="290">
        <f>SUMIFS('Invoiced amount'!I:I,'Invoiced amount'!AH:AH,'Nova Versão '!C52)</f>
        <v>178572.3</v>
      </c>
      <c r="AE52" s="290">
        <f>SUMIFS(Buget!K:K,Buget!E:E,'Nova Versão '!C52)</f>
        <v>276750</v>
      </c>
      <c r="AF52" s="264">
        <f t="shared" si="4"/>
        <v>0.64524769647696478</v>
      </c>
      <c r="AG52" s="290">
        <f t="shared" si="5"/>
        <v>98177.700000000012</v>
      </c>
    </row>
    <row r="53" spans="1:33" ht="13.8" customHeight="1" x14ac:dyDescent="0.25">
      <c r="A53" s="283"/>
      <c r="B53" s="288" t="str">
        <f>_xlfn.XLOOKUP(C53,'Info Clientes'!A:A,'Info Clientes'!B:B)</f>
        <v>Additive</v>
      </c>
      <c r="C53" s="96" t="s">
        <v>420</v>
      </c>
      <c r="D53" s="290">
        <f>_xlfn.XLOOKUP(C53,'Limite de crédito'!C:C,'Limite de crédito'!G:G,0)</f>
        <v>2500000</v>
      </c>
      <c r="E53" s="290">
        <f t="shared" si="0"/>
        <v>161830.20000000001</v>
      </c>
      <c r="F53" s="290">
        <f>_xlfn.XLOOKUP('Nova Versão '!C53,'Limite de crédito'!C:C,'Limite de crédito'!O:O,0)</f>
        <v>2500000</v>
      </c>
      <c r="G53" s="291">
        <f t="shared" si="1"/>
        <v>0</v>
      </c>
      <c r="H53" s="292" t="str">
        <f>_xlfn.XLOOKUP(C53,'Info Clientes'!A:A,'Info Clientes'!C:C)</f>
        <v>Guarantee or credit</v>
      </c>
      <c r="I53" s="292" t="str">
        <f>IF(_xlfn.XLOOKUP(C53,'Info Clientes'!A:A,'Info Clientes'!D:D,"")=0,"",_xlfn.XLOOKUP(C53,'Info Clientes'!A:A,'Info Clientes'!D:D,""))</f>
        <v/>
      </c>
      <c r="K53" s="290">
        <f t="shared" si="2"/>
        <v>161830.20000000001</v>
      </c>
      <c r="L53" s="290">
        <f>_xlfn.XLOOKUP(C53,'Clientes Consolidado.'!$C:$C,'Clientes Consolidado.'!R:R,0)</f>
        <v>161830.20000000001</v>
      </c>
      <c r="M53" s="290">
        <f>_xlfn.XLOOKUP(C53,'Clientes Consolidado.'!$C:$C,'Clientes Consolidado.'!S:S,0)</f>
        <v>0</v>
      </c>
      <c r="N53" s="290">
        <f>_xlfn.XLOOKUP(C53,'Clientes Consolidado.'!$C:$C,'Clientes Consolidado.'!T:T,0)</f>
        <v>0</v>
      </c>
      <c r="O53" s="290">
        <f>_xlfn.XLOOKUP(C53,'Clientes Consolidado.'!$C:$C,'Clientes Consolidado.'!U:U,0)</f>
        <v>0</v>
      </c>
      <c r="P53" s="290">
        <f>_xlfn.XLOOKUP(C53,'Clientes Consolidado.'!$C:$C,'Clientes Consolidado.'!V:V,0)</f>
        <v>0</v>
      </c>
      <c r="Q53" s="290">
        <f>_xlfn.XLOOKUP(C53,'Clientes Consolidado.'!$C:$C,'Clientes Consolidado.'!W:W,0)</f>
        <v>0</v>
      </c>
      <c r="R53" s="290">
        <f>_xlfn.XLOOKUP(C53,'Clientes Consolidado.'!$C:$C,'Clientes Consolidado.'!X:X,0)</f>
        <v>0</v>
      </c>
      <c r="S53" s="290">
        <f t="shared" si="6"/>
        <v>0</v>
      </c>
      <c r="T53" s="290">
        <f>SUMIFS('Clientes Consolidado.'!I:I,'Clientes Consolidado.'!C:C,C53,'Clientes Consolidado.'!B:B,"Fertilizer")
+SUMIFS('Clientes Consolidado.'!I:I,'Clientes Consolidado.'!C:C,C53,'Clientes Consolidado.'!B:B,"Additive")
+SUMIFS('Clientes Consolidado.'!I:I,'Clientes Consolidado.'!C:C,C53,'Clientes Consolidado.'!B:B,"Additive Intl.")</f>
        <v>0</v>
      </c>
      <c r="U53" s="290">
        <f>SUMIFS('Clientes Consolidado.'!J:J,'Clientes Consolidado.'!C:C,C53,'Clientes Consolidado.'!B:B,"Fertilizer")
+SUMIFS('Clientes Consolidado.'!J:J,'Clientes Consolidado.'!C:C,C53,'Clientes Consolidado.'!B:B,"Additive")
+SUMIFS('Clientes Consolidado.'!J:J,'Clientes Consolidado.'!C:C,C53,'Clientes Consolidado.'!B:B,"Additive Intl.")</f>
        <v>0</v>
      </c>
      <c r="V53" s="290">
        <f>SUMIFS('Clientes Consolidado.'!K:K,'Clientes Consolidado.'!C:C,C53,'Clientes Consolidado.'!B:B,"Fertilizer")
+SUMIFS('Clientes Consolidado.'!K:K,'Clientes Consolidado.'!C:C,C53,'Clientes Consolidado.'!B:B,"Additive")
+SUMIFS('Clientes Consolidado.'!K:K,'Clientes Consolidado.'!C:C,C53,'Clientes Consolidado.'!B:B,"Additive Intl.")</f>
        <v>0</v>
      </c>
      <c r="W53" s="290">
        <f>SUMIFS('Clientes Consolidado.'!L:L,'Clientes Consolidado.'!C:C,C53,'Clientes Consolidado.'!B:B,"Fertilizer")
+SUMIFS('Clientes Consolidado.'!L:L,'Clientes Consolidado.'!C:C,C53,'Clientes Consolidado.'!B:B,"Additive")
+SUMIFS('Clientes Consolidado.'!L:L,'Clientes Consolidado.'!C:C,C53,'Clientes Consolidado.'!B:B,"Additive Intl.")</f>
        <v>0</v>
      </c>
      <c r="X53" s="290">
        <f>SUMIFS('Clientes Consolidado.'!M:M,'Clientes Consolidado.'!C:C,C53,'Clientes Consolidado.'!B:B,"Fertilizer")
+SUMIFS('Clientes Consolidado.'!M:M,'Clientes Consolidado.'!C:C,C53,'Clientes Consolidado.'!B:B,"Additive")
+SUMIFS('Clientes Consolidado.'!M:M,'Clientes Consolidado.'!C:C,C53,'Clientes Consolidado.'!B:B,"Additive Intl.")</f>
        <v>0</v>
      </c>
      <c r="Y53" s="290">
        <f>SUMIFS('Clientes Consolidado.'!N:N,'Clientes Consolidado.'!C:C,C53,'Clientes Consolidado.'!B:B,"Fertilizer")
+SUMIFS('Clientes Consolidado.'!N:N,'Clientes Consolidado.'!C:C,C53,'Clientes Consolidado.'!B:B,"Additive")
+SUMIFS('Clientes Consolidado.'!N:N,'Clientes Consolidado.'!C:C,C53,'Clientes Consolidado.'!B:B,"Additive Intl.")</f>
        <v>0</v>
      </c>
      <c r="Z53" s="290">
        <f>SUMIFS('Clientes Consolidado.'!O:O,'Clientes Consolidado.'!C:C,C53,'Clientes Consolidado.'!B:B,"Fertilizer")
+SUMIFS('Clientes Consolidado.'!O:O,'Clientes Consolidado.'!C:C,C53,'Clientes Consolidado.'!B:B,"Additive")
+SUMIFS('Clientes Consolidado.'!O:O,'Clientes Consolidado.'!C:C,C53,'Clientes Consolidado.'!B:B,"Additive Intl.")</f>
        <v>0</v>
      </c>
      <c r="AA53" s="290">
        <f>SUMIFS('Clientes Consolidado.'!P:P,'Clientes Consolidado.'!C:C,'Nova Versão '!C53,'Clientes Consolidado.'!B:B,"Fertilizer / Litigation")+SUMIFS('Clientes Consolidado.'!P:P,'Clientes Consolidado.'!C:C,'Nova Versão '!C53,'Clientes Consolidado.'!B:B,"Additive / Litigation")</f>
        <v>0</v>
      </c>
      <c r="AB53" s="288"/>
      <c r="AD53" s="290">
        <f>SUMIFS('Invoiced amount'!I:I,'Invoiced amount'!AH:AH,'Nova Versão '!C53)</f>
        <v>841245.28999999992</v>
      </c>
      <c r="AE53" s="290">
        <f>SUMIFS(Buget!K:K,Buget!E:E,'Nova Versão '!C53)</f>
        <v>3459604.4928345811</v>
      </c>
      <c r="AF53" s="264">
        <f t="shared" si="4"/>
        <v>0.24316227237603588</v>
      </c>
      <c r="AG53" s="290">
        <f t="shared" si="5"/>
        <v>2618359.202834581</v>
      </c>
    </row>
    <row r="54" spans="1:33" ht="13.8" customHeight="1" x14ac:dyDescent="0.25">
      <c r="A54" s="283"/>
      <c r="B54" s="288" t="str">
        <f>_xlfn.XLOOKUP(C54,'Info Clientes'!A:A,'Info Clientes'!B:B)</f>
        <v>Additive</v>
      </c>
      <c r="C54" s="96" t="s">
        <v>265</v>
      </c>
      <c r="D54" s="290">
        <f>_xlfn.XLOOKUP(C54,'Limite de crédito'!C:C,'Limite de crédito'!G:G,0)</f>
        <v>800000</v>
      </c>
      <c r="E54" s="290">
        <f t="shared" si="0"/>
        <v>158012.20000000001</v>
      </c>
      <c r="F54" s="290">
        <f>_xlfn.XLOOKUP('Nova Versão '!C54,'Limite de crédito'!C:C,'Limite de crédito'!O:O,0)</f>
        <v>800000</v>
      </c>
      <c r="G54" s="291">
        <f t="shared" si="1"/>
        <v>0</v>
      </c>
      <c r="H54" s="292" t="str">
        <f>_xlfn.XLOOKUP(C54,'Info Clientes'!A:A,'Info Clientes'!C:C)</f>
        <v>Guarantee or credit</v>
      </c>
      <c r="I54" s="292" t="str">
        <f>IF(_xlfn.XLOOKUP(C54,'Info Clientes'!A:A,'Info Clientes'!D:D,"")=0,"",_xlfn.XLOOKUP(C54,'Info Clientes'!A:A,'Info Clientes'!D:D,""))</f>
        <v/>
      </c>
      <c r="K54" s="290">
        <f t="shared" si="2"/>
        <v>158012.20000000001</v>
      </c>
      <c r="L54" s="290">
        <f>_xlfn.XLOOKUP(C54,'Clientes Consolidado.'!$C:$C,'Clientes Consolidado.'!R:R,0)</f>
        <v>158012.20000000001</v>
      </c>
      <c r="M54" s="290">
        <f>_xlfn.XLOOKUP(C54,'Clientes Consolidado.'!$C:$C,'Clientes Consolidado.'!S:S,0)</f>
        <v>0</v>
      </c>
      <c r="N54" s="290">
        <f>_xlfn.XLOOKUP(C54,'Clientes Consolidado.'!$C:$C,'Clientes Consolidado.'!T:T,0)</f>
        <v>0</v>
      </c>
      <c r="O54" s="290">
        <f>_xlfn.XLOOKUP(C54,'Clientes Consolidado.'!$C:$C,'Clientes Consolidado.'!U:U,0)</f>
        <v>0</v>
      </c>
      <c r="P54" s="290">
        <f>_xlfn.XLOOKUP(C54,'Clientes Consolidado.'!$C:$C,'Clientes Consolidado.'!V:V,0)</f>
        <v>0</v>
      </c>
      <c r="Q54" s="290">
        <f>_xlfn.XLOOKUP(C54,'Clientes Consolidado.'!$C:$C,'Clientes Consolidado.'!W:W,0)</f>
        <v>0</v>
      </c>
      <c r="R54" s="290">
        <f>_xlfn.XLOOKUP(C54,'Clientes Consolidado.'!$C:$C,'Clientes Consolidado.'!X:X,0)</f>
        <v>0</v>
      </c>
      <c r="S54" s="290">
        <f t="shared" si="6"/>
        <v>0</v>
      </c>
      <c r="T54" s="290">
        <f>SUMIFS('Clientes Consolidado.'!I:I,'Clientes Consolidado.'!C:C,C54,'Clientes Consolidado.'!B:B,"Fertilizer")
+SUMIFS('Clientes Consolidado.'!I:I,'Clientes Consolidado.'!C:C,C54,'Clientes Consolidado.'!B:B,"Additive")
+SUMIFS('Clientes Consolidado.'!I:I,'Clientes Consolidado.'!C:C,C54,'Clientes Consolidado.'!B:B,"Additive Intl.")</f>
        <v>0</v>
      </c>
      <c r="U54" s="290">
        <f>SUMIFS('Clientes Consolidado.'!J:J,'Clientes Consolidado.'!C:C,C54,'Clientes Consolidado.'!B:B,"Fertilizer")
+SUMIFS('Clientes Consolidado.'!J:J,'Clientes Consolidado.'!C:C,C54,'Clientes Consolidado.'!B:B,"Additive")
+SUMIFS('Clientes Consolidado.'!J:J,'Clientes Consolidado.'!C:C,C54,'Clientes Consolidado.'!B:B,"Additive Intl.")</f>
        <v>0</v>
      </c>
      <c r="V54" s="290">
        <f>SUMIFS('Clientes Consolidado.'!K:K,'Clientes Consolidado.'!C:C,C54,'Clientes Consolidado.'!B:B,"Fertilizer")
+SUMIFS('Clientes Consolidado.'!K:K,'Clientes Consolidado.'!C:C,C54,'Clientes Consolidado.'!B:B,"Additive")
+SUMIFS('Clientes Consolidado.'!K:K,'Clientes Consolidado.'!C:C,C54,'Clientes Consolidado.'!B:B,"Additive Intl.")</f>
        <v>0</v>
      </c>
      <c r="W54" s="290">
        <f>SUMIFS('Clientes Consolidado.'!L:L,'Clientes Consolidado.'!C:C,C54,'Clientes Consolidado.'!B:B,"Fertilizer")
+SUMIFS('Clientes Consolidado.'!L:L,'Clientes Consolidado.'!C:C,C54,'Clientes Consolidado.'!B:B,"Additive")
+SUMIFS('Clientes Consolidado.'!L:L,'Clientes Consolidado.'!C:C,C54,'Clientes Consolidado.'!B:B,"Additive Intl.")</f>
        <v>0</v>
      </c>
      <c r="X54" s="290">
        <f>SUMIFS('Clientes Consolidado.'!M:M,'Clientes Consolidado.'!C:C,C54,'Clientes Consolidado.'!B:B,"Fertilizer")
+SUMIFS('Clientes Consolidado.'!M:M,'Clientes Consolidado.'!C:C,C54,'Clientes Consolidado.'!B:B,"Additive")
+SUMIFS('Clientes Consolidado.'!M:M,'Clientes Consolidado.'!C:C,C54,'Clientes Consolidado.'!B:B,"Additive Intl.")</f>
        <v>0</v>
      </c>
      <c r="Y54" s="290">
        <f>SUMIFS('Clientes Consolidado.'!N:N,'Clientes Consolidado.'!C:C,C54,'Clientes Consolidado.'!B:B,"Fertilizer")
+SUMIFS('Clientes Consolidado.'!N:N,'Clientes Consolidado.'!C:C,C54,'Clientes Consolidado.'!B:B,"Additive")
+SUMIFS('Clientes Consolidado.'!N:N,'Clientes Consolidado.'!C:C,C54,'Clientes Consolidado.'!B:B,"Additive Intl.")</f>
        <v>0</v>
      </c>
      <c r="Z54" s="290">
        <f>SUMIFS('Clientes Consolidado.'!O:O,'Clientes Consolidado.'!C:C,C54,'Clientes Consolidado.'!B:B,"Fertilizer")
+SUMIFS('Clientes Consolidado.'!O:O,'Clientes Consolidado.'!C:C,C54,'Clientes Consolidado.'!B:B,"Additive")
+SUMIFS('Clientes Consolidado.'!O:O,'Clientes Consolidado.'!C:C,C54,'Clientes Consolidado.'!B:B,"Additive Intl.")</f>
        <v>0</v>
      </c>
      <c r="AA54" s="290">
        <f>SUMIFS('Clientes Consolidado.'!P:P,'Clientes Consolidado.'!C:C,'Nova Versão '!C54,'Clientes Consolidado.'!B:B,"Fertilizer / Litigation")+SUMIFS('Clientes Consolidado.'!P:P,'Clientes Consolidado.'!C:C,'Nova Versão '!C54,'Clientes Consolidado.'!B:B,"Additive / Litigation")</f>
        <v>0</v>
      </c>
      <c r="AB54" s="288"/>
      <c r="AD54" s="290">
        <f>SUMIFS('Invoiced amount'!I:I,'Invoiced amount'!AH:AH,'Nova Versão '!C54)</f>
        <v>533278</v>
      </c>
      <c r="AE54" s="290">
        <f>SUMIFS(Buget!K:K,Buget!E:E,'Nova Versão '!C54)</f>
        <v>0</v>
      </c>
      <c r="AF54" s="264" t="str">
        <f t="shared" si="4"/>
        <v/>
      </c>
      <c r="AG54" s="290">
        <f t="shared" si="5"/>
        <v>0</v>
      </c>
    </row>
    <row r="55" spans="1:33" ht="13.8" customHeight="1" x14ac:dyDescent="0.25">
      <c r="A55" s="283"/>
      <c r="B55" s="288" t="str">
        <f>_xlfn.XLOOKUP(C55,'Info Clientes'!A:A,'Info Clientes'!B:B)</f>
        <v>Additive</v>
      </c>
      <c r="C55" s="96" t="s">
        <v>367</v>
      </c>
      <c r="D55" s="290">
        <f>_xlfn.XLOOKUP(C55,'Limite de crédito'!C:C,'Limite de crédito'!G:G,0)</f>
        <v>0</v>
      </c>
      <c r="E55" s="290">
        <f t="shared" si="0"/>
        <v>144324</v>
      </c>
      <c r="F55" s="290">
        <f>_xlfn.XLOOKUP('Nova Versão '!C55,'Limite de crédito'!C:C,'Limite de crédito'!O:O,0)</f>
        <v>0</v>
      </c>
      <c r="G55" s="291">
        <f t="shared" si="1"/>
        <v>144324</v>
      </c>
      <c r="H55" s="292" t="str">
        <f>_xlfn.XLOOKUP(C55,'Info Clientes'!A:A,'Info Clientes'!C:C)</f>
        <v>Credit without Insurance</v>
      </c>
      <c r="I55" s="292" t="str">
        <f>IF(_xlfn.XLOOKUP(C55,'Info Clientes'!A:A,'Info Clientes'!D:D,"")=0,"",_xlfn.XLOOKUP(C55,'Info Clientes'!A:A,'Info Clientes'!D:D,""))</f>
        <v>We have requested the audited financial statements for 2025 to assess the possibility of granting a credit limit with Coface.</v>
      </c>
      <c r="K55" s="290">
        <f t="shared" si="2"/>
        <v>144324</v>
      </c>
      <c r="L55" s="290">
        <f>_xlfn.XLOOKUP(C55,'Clientes Consolidado.'!$C:$C,'Clientes Consolidado.'!R:R,0)</f>
        <v>144324</v>
      </c>
      <c r="M55" s="290">
        <f>_xlfn.XLOOKUP(C55,'Clientes Consolidado.'!$C:$C,'Clientes Consolidado.'!S:S,0)</f>
        <v>0</v>
      </c>
      <c r="N55" s="290">
        <f>_xlfn.XLOOKUP(C55,'Clientes Consolidado.'!$C:$C,'Clientes Consolidado.'!T:T,0)</f>
        <v>0</v>
      </c>
      <c r="O55" s="290">
        <f>_xlfn.XLOOKUP(C55,'Clientes Consolidado.'!$C:$C,'Clientes Consolidado.'!U:U,0)</f>
        <v>0</v>
      </c>
      <c r="P55" s="290">
        <f>_xlfn.XLOOKUP(C55,'Clientes Consolidado.'!$C:$C,'Clientes Consolidado.'!V:V,0)</f>
        <v>0</v>
      </c>
      <c r="Q55" s="290">
        <f>_xlfn.XLOOKUP(C55,'Clientes Consolidado.'!$C:$C,'Clientes Consolidado.'!W:W,0)</f>
        <v>0</v>
      </c>
      <c r="R55" s="290">
        <f>_xlfn.XLOOKUP(C55,'Clientes Consolidado.'!$C:$C,'Clientes Consolidado.'!X:X,0)</f>
        <v>0</v>
      </c>
      <c r="S55" s="290">
        <f t="shared" si="6"/>
        <v>0</v>
      </c>
      <c r="T55" s="290">
        <f>SUMIFS('Clientes Consolidado.'!I:I,'Clientes Consolidado.'!C:C,C55,'Clientes Consolidado.'!B:B,"Fertilizer")
+SUMIFS('Clientes Consolidado.'!I:I,'Clientes Consolidado.'!C:C,C55,'Clientes Consolidado.'!B:B,"Additive")
+SUMIFS('Clientes Consolidado.'!I:I,'Clientes Consolidado.'!C:C,C55,'Clientes Consolidado.'!B:B,"Additive Intl.")</f>
        <v>0</v>
      </c>
      <c r="U55" s="290">
        <f>SUMIFS('Clientes Consolidado.'!J:J,'Clientes Consolidado.'!C:C,C55,'Clientes Consolidado.'!B:B,"Fertilizer")
+SUMIFS('Clientes Consolidado.'!J:J,'Clientes Consolidado.'!C:C,C55,'Clientes Consolidado.'!B:B,"Additive")
+SUMIFS('Clientes Consolidado.'!J:J,'Clientes Consolidado.'!C:C,C55,'Clientes Consolidado.'!B:B,"Additive Intl.")</f>
        <v>0</v>
      </c>
      <c r="V55" s="290">
        <f>SUMIFS('Clientes Consolidado.'!K:K,'Clientes Consolidado.'!C:C,C55,'Clientes Consolidado.'!B:B,"Fertilizer")
+SUMIFS('Clientes Consolidado.'!K:K,'Clientes Consolidado.'!C:C,C55,'Clientes Consolidado.'!B:B,"Additive")
+SUMIFS('Clientes Consolidado.'!K:K,'Clientes Consolidado.'!C:C,C55,'Clientes Consolidado.'!B:B,"Additive Intl.")</f>
        <v>0</v>
      </c>
      <c r="W55" s="290">
        <f>SUMIFS('Clientes Consolidado.'!L:L,'Clientes Consolidado.'!C:C,C55,'Clientes Consolidado.'!B:B,"Fertilizer")
+SUMIFS('Clientes Consolidado.'!L:L,'Clientes Consolidado.'!C:C,C55,'Clientes Consolidado.'!B:B,"Additive")
+SUMIFS('Clientes Consolidado.'!L:L,'Clientes Consolidado.'!C:C,C55,'Clientes Consolidado.'!B:B,"Additive Intl.")</f>
        <v>0</v>
      </c>
      <c r="X55" s="290">
        <f>SUMIFS('Clientes Consolidado.'!M:M,'Clientes Consolidado.'!C:C,C55,'Clientes Consolidado.'!B:B,"Fertilizer")
+SUMIFS('Clientes Consolidado.'!M:M,'Clientes Consolidado.'!C:C,C55,'Clientes Consolidado.'!B:B,"Additive")
+SUMIFS('Clientes Consolidado.'!M:M,'Clientes Consolidado.'!C:C,C55,'Clientes Consolidado.'!B:B,"Additive Intl.")</f>
        <v>0</v>
      </c>
      <c r="Y55" s="290">
        <f>SUMIFS('Clientes Consolidado.'!N:N,'Clientes Consolidado.'!C:C,C55,'Clientes Consolidado.'!B:B,"Fertilizer")
+SUMIFS('Clientes Consolidado.'!N:N,'Clientes Consolidado.'!C:C,C55,'Clientes Consolidado.'!B:B,"Additive")
+SUMIFS('Clientes Consolidado.'!N:N,'Clientes Consolidado.'!C:C,C55,'Clientes Consolidado.'!B:B,"Additive Intl.")</f>
        <v>0</v>
      </c>
      <c r="Z55" s="290">
        <f>SUMIFS('Clientes Consolidado.'!O:O,'Clientes Consolidado.'!C:C,C55,'Clientes Consolidado.'!B:B,"Fertilizer")
+SUMIFS('Clientes Consolidado.'!O:O,'Clientes Consolidado.'!C:C,C55,'Clientes Consolidado.'!B:B,"Additive")
+SUMIFS('Clientes Consolidado.'!O:O,'Clientes Consolidado.'!C:C,C55,'Clientes Consolidado.'!B:B,"Additive Intl.")</f>
        <v>0</v>
      </c>
      <c r="AA55" s="290">
        <f>SUMIFS('Clientes Consolidado.'!P:P,'Clientes Consolidado.'!C:C,'Nova Versão '!C55,'Clientes Consolidado.'!B:B,"Fertilizer / Litigation")+SUMIFS('Clientes Consolidado.'!P:P,'Clientes Consolidado.'!C:C,'Nova Versão '!C55,'Clientes Consolidado.'!B:B,"Additive / Litigation")</f>
        <v>0</v>
      </c>
      <c r="AB55" s="288"/>
      <c r="AD55" s="290">
        <f>SUMIFS('Invoiced amount'!I:I,'Invoiced amount'!AH:AH,'Nova Versão '!C55)</f>
        <v>1134723.8999999999</v>
      </c>
      <c r="AE55" s="290">
        <f>SUMIFS(Buget!K:K,Buget!E:E,'Nova Versão '!C55)</f>
        <v>6318009.8116163462</v>
      </c>
      <c r="AF55" s="264">
        <f t="shared" si="4"/>
        <v>0.17960147797075068</v>
      </c>
      <c r="AG55" s="290">
        <f t="shared" si="5"/>
        <v>5183285.9116163459</v>
      </c>
    </row>
    <row r="56" spans="1:33" ht="13.8" customHeight="1" x14ac:dyDescent="0.25">
      <c r="A56" s="283"/>
      <c r="B56" s="288" t="str">
        <f>_xlfn.XLOOKUP(C56,'Info Clientes'!A:A,'Info Clientes'!B:B)</f>
        <v>Additive Intl.</v>
      </c>
      <c r="C56" s="96" t="s">
        <v>342</v>
      </c>
      <c r="D56" s="290">
        <f>_xlfn.XLOOKUP(C56,'Limite de crédito'!C:C,'Limite de crédito'!G:G,0)</f>
        <v>825000</v>
      </c>
      <c r="E56" s="290">
        <f t="shared" si="0"/>
        <v>143222.74</v>
      </c>
      <c r="F56" s="290">
        <f>_xlfn.XLOOKUP('Nova Versão '!C56,'Limite de crédito'!C:C,'Limite de crédito'!O:O,0)</f>
        <v>825000</v>
      </c>
      <c r="G56" s="291">
        <f t="shared" si="1"/>
        <v>0</v>
      </c>
      <c r="H56" s="292" t="str">
        <f>_xlfn.XLOOKUP(C56,'Info Clientes'!A:A,'Info Clientes'!C:C)</f>
        <v>Guarantee or credit</v>
      </c>
      <c r="I56" s="292" t="str">
        <f>IF(_xlfn.XLOOKUP(C56,'Info Clientes'!A:A,'Info Clientes'!D:D,"")=0,"",_xlfn.XLOOKUP(C56,'Info Clientes'!A:A,'Info Clientes'!D:D,""))</f>
        <v/>
      </c>
      <c r="K56" s="290">
        <f t="shared" si="2"/>
        <v>143222.74</v>
      </c>
      <c r="L56" s="290">
        <f>_xlfn.XLOOKUP(C56,'Clientes Consolidado.'!$C:$C,'Clientes Consolidado.'!R:R,0)</f>
        <v>143222.74</v>
      </c>
      <c r="M56" s="290">
        <f>_xlfn.XLOOKUP(C56,'Clientes Consolidado.'!$C:$C,'Clientes Consolidado.'!S:S,0)</f>
        <v>0</v>
      </c>
      <c r="N56" s="290">
        <f>_xlfn.XLOOKUP(C56,'Clientes Consolidado.'!$C:$C,'Clientes Consolidado.'!T:T,0)</f>
        <v>0</v>
      </c>
      <c r="O56" s="290">
        <f>_xlfn.XLOOKUP(C56,'Clientes Consolidado.'!$C:$C,'Clientes Consolidado.'!U:U,0)</f>
        <v>0</v>
      </c>
      <c r="P56" s="290">
        <f>_xlfn.XLOOKUP(C56,'Clientes Consolidado.'!$C:$C,'Clientes Consolidado.'!V:V,0)</f>
        <v>0</v>
      </c>
      <c r="Q56" s="290">
        <f>_xlfn.XLOOKUP(C56,'Clientes Consolidado.'!$C:$C,'Clientes Consolidado.'!W:W,0)</f>
        <v>0</v>
      </c>
      <c r="R56" s="290">
        <f>_xlfn.XLOOKUP(C56,'Clientes Consolidado.'!$C:$C,'Clientes Consolidado.'!X:X,0)</f>
        <v>0</v>
      </c>
      <c r="S56" s="290">
        <f t="shared" si="6"/>
        <v>0</v>
      </c>
      <c r="T56" s="290">
        <f>SUMIFS('Clientes Consolidado.'!I:I,'Clientes Consolidado.'!C:C,C56,'Clientes Consolidado.'!B:B,"Fertilizer")
+SUMIFS('Clientes Consolidado.'!I:I,'Clientes Consolidado.'!C:C,C56,'Clientes Consolidado.'!B:B,"Additive")
+SUMIFS('Clientes Consolidado.'!I:I,'Clientes Consolidado.'!C:C,C56,'Clientes Consolidado.'!B:B,"Additive Intl.")</f>
        <v>0</v>
      </c>
      <c r="U56" s="290">
        <f>SUMIFS('Clientes Consolidado.'!J:J,'Clientes Consolidado.'!C:C,C56,'Clientes Consolidado.'!B:B,"Fertilizer")
+SUMIFS('Clientes Consolidado.'!J:J,'Clientes Consolidado.'!C:C,C56,'Clientes Consolidado.'!B:B,"Additive")
+SUMIFS('Clientes Consolidado.'!J:J,'Clientes Consolidado.'!C:C,C56,'Clientes Consolidado.'!B:B,"Additive Intl.")</f>
        <v>0</v>
      </c>
      <c r="V56" s="290">
        <f>SUMIFS('Clientes Consolidado.'!K:K,'Clientes Consolidado.'!C:C,C56,'Clientes Consolidado.'!B:B,"Fertilizer")
+SUMIFS('Clientes Consolidado.'!K:K,'Clientes Consolidado.'!C:C,C56,'Clientes Consolidado.'!B:B,"Additive")
+SUMIFS('Clientes Consolidado.'!K:K,'Clientes Consolidado.'!C:C,C56,'Clientes Consolidado.'!B:B,"Additive Intl.")</f>
        <v>0</v>
      </c>
      <c r="W56" s="290">
        <f>SUMIFS('Clientes Consolidado.'!L:L,'Clientes Consolidado.'!C:C,C56,'Clientes Consolidado.'!B:B,"Fertilizer")
+SUMIFS('Clientes Consolidado.'!L:L,'Clientes Consolidado.'!C:C,C56,'Clientes Consolidado.'!B:B,"Additive")
+SUMIFS('Clientes Consolidado.'!L:L,'Clientes Consolidado.'!C:C,C56,'Clientes Consolidado.'!B:B,"Additive Intl.")</f>
        <v>0</v>
      </c>
      <c r="X56" s="290">
        <f>SUMIFS('Clientes Consolidado.'!M:M,'Clientes Consolidado.'!C:C,C56,'Clientes Consolidado.'!B:B,"Fertilizer")
+SUMIFS('Clientes Consolidado.'!M:M,'Clientes Consolidado.'!C:C,C56,'Clientes Consolidado.'!B:B,"Additive")
+SUMIFS('Clientes Consolidado.'!M:M,'Clientes Consolidado.'!C:C,C56,'Clientes Consolidado.'!B:B,"Additive Intl.")</f>
        <v>0</v>
      </c>
      <c r="Y56" s="290">
        <f>SUMIFS('Clientes Consolidado.'!N:N,'Clientes Consolidado.'!C:C,C56,'Clientes Consolidado.'!B:B,"Fertilizer")
+SUMIFS('Clientes Consolidado.'!N:N,'Clientes Consolidado.'!C:C,C56,'Clientes Consolidado.'!B:B,"Additive")
+SUMIFS('Clientes Consolidado.'!N:N,'Clientes Consolidado.'!C:C,C56,'Clientes Consolidado.'!B:B,"Additive Intl.")</f>
        <v>0</v>
      </c>
      <c r="Z56" s="290">
        <f>SUMIFS('Clientes Consolidado.'!O:O,'Clientes Consolidado.'!C:C,C56,'Clientes Consolidado.'!B:B,"Fertilizer")
+SUMIFS('Clientes Consolidado.'!O:O,'Clientes Consolidado.'!C:C,C56,'Clientes Consolidado.'!B:B,"Additive")
+SUMIFS('Clientes Consolidado.'!O:O,'Clientes Consolidado.'!C:C,C56,'Clientes Consolidado.'!B:B,"Additive Intl.")</f>
        <v>0</v>
      </c>
      <c r="AA56" s="290">
        <f>SUMIFS('Clientes Consolidado.'!P:P,'Clientes Consolidado.'!C:C,'Nova Versão '!C56,'Clientes Consolidado.'!B:B,"Fertilizer / Litigation")+SUMIFS('Clientes Consolidado.'!P:P,'Clientes Consolidado.'!C:C,'Nova Versão '!C56,'Clientes Consolidado.'!B:B,"Additive / Litigation")</f>
        <v>0</v>
      </c>
      <c r="AB56" s="288"/>
      <c r="AD56" s="290">
        <f>SUMIFS('Invoiced amount'!I:I,'Invoiced amount'!AH:AH,'Nova Versão '!C56)</f>
        <v>143222.74</v>
      </c>
      <c r="AE56" s="290">
        <f>SUMIFS(Buget!K:K,Buget!E:E,'Nova Versão '!C56)</f>
        <v>207190.8810415325</v>
      </c>
      <c r="AF56" s="264">
        <f t="shared" si="4"/>
        <v>0.69125986278947404</v>
      </c>
      <c r="AG56" s="290">
        <f t="shared" si="5"/>
        <v>63968.141041532508</v>
      </c>
    </row>
    <row r="57" spans="1:33" ht="13.8" customHeight="1" x14ac:dyDescent="0.25">
      <c r="A57" s="283"/>
      <c r="B57" s="288" t="str">
        <f>_xlfn.XLOOKUP(C57,'Info Clientes'!A:A,'Info Clientes'!B:B)</f>
        <v>Additive Intl.</v>
      </c>
      <c r="C57" s="96" t="s">
        <v>116</v>
      </c>
      <c r="D57" s="290">
        <f>_xlfn.XLOOKUP(C57,'Limite de crédito'!C:C,'Limite de crédito'!G:G,0)</f>
        <v>320000</v>
      </c>
      <c r="E57" s="290">
        <f t="shared" si="0"/>
        <v>132309.32999999999</v>
      </c>
      <c r="F57" s="290">
        <f>_xlfn.XLOOKUP('Nova Versão '!C57,'Limite de crédito'!C:C,'Limite de crédito'!O:O,0)</f>
        <v>0</v>
      </c>
      <c r="G57" s="291">
        <f t="shared" si="1"/>
        <v>132309.32999999999</v>
      </c>
      <c r="H57" s="292" t="str">
        <f>_xlfn.XLOOKUP(C57,'Info Clientes'!A:A,'Info Clientes'!C:C)</f>
        <v>Approved in credit committee</v>
      </c>
      <c r="I57" s="292" t="str">
        <f>IF(_xlfn.XLOOKUP(C57,'Info Clientes'!A:A,'Info Clientes'!D:D,"")=0,"",_xlfn.XLOOKUP(C57,'Info Clientes'!A:A,'Info Clientes'!D:D,""))</f>
        <v>New sales to the client have been blocked. We are awaiting payment of the overdue amount following the payment commitment made during a meeting with the AFT CEO.</v>
      </c>
      <c r="K57" s="290">
        <f t="shared" si="2"/>
        <v>132309.32999999999</v>
      </c>
      <c r="L57" s="290">
        <f>_xlfn.XLOOKUP(C57,'Clientes Consolidado.'!$C:$C,'Clientes Consolidado.'!R:R,0)</f>
        <v>0</v>
      </c>
      <c r="M57" s="290">
        <f>_xlfn.XLOOKUP(C57,'Clientes Consolidado.'!$C:$C,'Clientes Consolidado.'!S:S,0)</f>
        <v>132309.32999999999</v>
      </c>
      <c r="N57" s="290">
        <f>_xlfn.XLOOKUP(C57,'Clientes Consolidado.'!$C:$C,'Clientes Consolidado.'!T:T,0)</f>
        <v>0</v>
      </c>
      <c r="O57" s="290">
        <f>_xlfn.XLOOKUP(C57,'Clientes Consolidado.'!$C:$C,'Clientes Consolidado.'!U:U,0)</f>
        <v>0</v>
      </c>
      <c r="P57" s="290">
        <f>_xlfn.XLOOKUP(C57,'Clientes Consolidado.'!$C:$C,'Clientes Consolidado.'!V:V,0)</f>
        <v>0</v>
      </c>
      <c r="Q57" s="290">
        <f>_xlfn.XLOOKUP(C57,'Clientes Consolidado.'!$C:$C,'Clientes Consolidado.'!W:W,0)</f>
        <v>0</v>
      </c>
      <c r="R57" s="290">
        <f>_xlfn.XLOOKUP(C57,'Clientes Consolidado.'!$C:$C,'Clientes Consolidado.'!X:X,0)</f>
        <v>0</v>
      </c>
      <c r="S57" s="290">
        <f t="shared" si="6"/>
        <v>0</v>
      </c>
      <c r="T57" s="290">
        <f>SUMIFS('Clientes Consolidado.'!I:I,'Clientes Consolidado.'!C:C,C57,'Clientes Consolidado.'!B:B,"Fertilizer")
+SUMIFS('Clientes Consolidado.'!I:I,'Clientes Consolidado.'!C:C,C57,'Clientes Consolidado.'!B:B,"Additive")
+SUMIFS('Clientes Consolidado.'!I:I,'Clientes Consolidado.'!C:C,C57,'Clientes Consolidado.'!B:B,"Additive Intl.")</f>
        <v>0</v>
      </c>
      <c r="U57" s="290">
        <f>SUMIFS('Clientes Consolidado.'!J:J,'Clientes Consolidado.'!C:C,C57,'Clientes Consolidado.'!B:B,"Fertilizer")
+SUMIFS('Clientes Consolidado.'!J:J,'Clientes Consolidado.'!C:C,C57,'Clientes Consolidado.'!B:B,"Additive")
+SUMIFS('Clientes Consolidado.'!J:J,'Clientes Consolidado.'!C:C,C57,'Clientes Consolidado.'!B:B,"Additive Intl.")</f>
        <v>0</v>
      </c>
      <c r="V57" s="290">
        <f>SUMIFS('Clientes Consolidado.'!K:K,'Clientes Consolidado.'!C:C,C57,'Clientes Consolidado.'!B:B,"Fertilizer")
+SUMIFS('Clientes Consolidado.'!K:K,'Clientes Consolidado.'!C:C,C57,'Clientes Consolidado.'!B:B,"Additive")
+SUMIFS('Clientes Consolidado.'!K:K,'Clientes Consolidado.'!C:C,C57,'Clientes Consolidado.'!B:B,"Additive Intl.")</f>
        <v>0</v>
      </c>
      <c r="W57" s="290">
        <f>SUMIFS('Clientes Consolidado.'!L:L,'Clientes Consolidado.'!C:C,C57,'Clientes Consolidado.'!B:B,"Fertilizer")
+SUMIFS('Clientes Consolidado.'!L:L,'Clientes Consolidado.'!C:C,C57,'Clientes Consolidado.'!B:B,"Additive")
+SUMIFS('Clientes Consolidado.'!L:L,'Clientes Consolidado.'!C:C,C57,'Clientes Consolidado.'!B:B,"Additive Intl.")</f>
        <v>0</v>
      </c>
      <c r="X57" s="290">
        <f>SUMIFS('Clientes Consolidado.'!M:M,'Clientes Consolidado.'!C:C,C57,'Clientes Consolidado.'!B:B,"Fertilizer")
+SUMIFS('Clientes Consolidado.'!M:M,'Clientes Consolidado.'!C:C,C57,'Clientes Consolidado.'!B:B,"Additive")
+SUMIFS('Clientes Consolidado.'!M:M,'Clientes Consolidado.'!C:C,C57,'Clientes Consolidado.'!B:B,"Additive Intl.")</f>
        <v>0</v>
      </c>
      <c r="Y57" s="290">
        <f>SUMIFS('Clientes Consolidado.'!N:N,'Clientes Consolidado.'!C:C,C57,'Clientes Consolidado.'!B:B,"Fertilizer")
+SUMIFS('Clientes Consolidado.'!N:N,'Clientes Consolidado.'!C:C,C57,'Clientes Consolidado.'!B:B,"Additive")
+SUMIFS('Clientes Consolidado.'!N:N,'Clientes Consolidado.'!C:C,C57,'Clientes Consolidado.'!B:B,"Additive Intl.")</f>
        <v>0</v>
      </c>
      <c r="Z57" s="290">
        <f>SUMIFS('Clientes Consolidado.'!O:O,'Clientes Consolidado.'!C:C,C57,'Clientes Consolidado.'!B:B,"Fertilizer")
+SUMIFS('Clientes Consolidado.'!O:O,'Clientes Consolidado.'!C:C,C57,'Clientes Consolidado.'!B:B,"Additive")
+SUMIFS('Clientes Consolidado.'!O:O,'Clientes Consolidado.'!C:C,C57,'Clientes Consolidado.'!B:B,"Additive Intl.")</f>
        <v>0</v>
      </c>
      <c r="AA57" s="290">
        <f>SUMIFS('Clientes Consolidado.'!P:P,'Clientes Consolidado.'!C:C,'Nova Versão '!C57,'Clientes Consolidado.'!B:B,"Fertilizer / Litigation")+SUMIFS('Clientes Consolidado.'!P:P,'Clientes Consolidado.'!C:C,'Nova Versão '!C57,'Clientes Consolidado.'!B:B,"Additive / Litigation")</f>
        <v>0</v>
      </c>
      <c r="AB57" s="288"/>
      <c r="AD57" s="290">
        <f>SUMIFS('Invoiced amount'!I:I,'Invoiced amount'!AH:AH,'Nova Versão '!C57)</f>
        <v>264618.65999999997</v>
      </c>
      <c r="AE57" s="290">
        <f>SUMIFS(Buget!K:K,Buget!E:E,'Nova Versão '!C57)</f>
        <v>747794.31608505908</v>
      </c>
      <c r="AF57" s="264">
        <f t="shared" si="4"/>
        <v>0.35386556745357839</v>
      </c>
      <c r="AG57" s="290">
        <f t="shared" si="5"/>
        <v>483175.6560850591</v>
      </c>
    </row>
    <row r="58" spans="1:33" ht="13.8" customHeight="1" x14ac:dyDescent="0.25">
      <c r="A58" s="283"/>
      <c r="B58" s="288" t="str">
        <f>_xlfn.XLOOKUP(C58,'Info Clientes'!A:A,'Info Clientes'!B:B)</f>
        <v>Additive</v>
      </c>
      <c r="C58" s="234" t="s">
        <v>364</v>
      </c>
      <c r="D58" s="290">
        <f>_xlfn.XLOOKUP(C58,'Limite de crédito'!C:C,'Limite de crédito'!G:G,0)</f>
        <v>1500000</v>
      </c>
      <c r="E58" s="290">
        <f t="shared" si="0"/>
        <v>131762.5</v>
      </c>
      <c r="F58" s="290">
        <f>_xlfn.XLOOKUP('Nova Versão '!C58,'Limite de crédito'!C:C,'Limite de crédito'!O:O,0)</f>
        <v>1500000</v>
      </c>
      <c r="G58" s="291">
        <f t="shared" si="1"/>
        <v>0</v>
      </c>
      <c r="H58" s="292" t="str">
        <f>_xlfn.XLOOKUP(C58,'Info Clientes'!A:A,'Info Clientes'!C:C)</f>
        <v>Guarantee or credit</v>
      </c>
      <c r="I58" s="292" t="str">
        <f>IF(_xlfn.XLOOKUP(C58,'Info Clientes'!A:A,'Info Clientes'!D:D,"")=0,"",_xlfn.XLOOKUP(C58,'Info Clientes'!A:A,'Info Clientes'!D:D,""))</f>
        <v/>
      </c>
      <c r="K58" s="290">
        <f t="shared" si="2"/>
        <v>131762.5</v>
      </c>
      <c r="L58" s="290">
        <f>_xlfn.XLOOKUP(C58,'Clientes Consolidado.'!$C:$C,'Clientes Consolidado.'!R:R,0)</f>
        <v>131762.5</v>
      </c>
      <c r="M58" s="290">
        <f>_xlfn.XLOOKUP(C58,'Clientes Consolidado.'!$C:$C,'Clientes Consolidado.'!S:S,0)</f>
        <v>0</v>
      </c>
      <c r="N58" s="290">
        <f>_xlfn.XLOOKUP(C58,'Clientes Consolidado.'!$C:$C,'Clientes Consolidado.'!T:T,0)</f>
        <v>0</v>
      </c>
      <c r="O58" s="290">
        <f>_xlfn.XLOOKUP(C58,'Clientes Consolidado.'!$C:$C,'Clientes Consolidado.'!U:U,0)</f>
        <v>0</v>
      </c>
      <c r="P58" s="290">
        <f>_xlfn.XLOOKUP(C58,'Clientes Consolidado.'!$C:$C,'Clientes Consolidado.'!V:V,0)</f>
        <v>0</v>
      </c>
      <c r="Q58" s="290">
        <f>_xlfn.XLOOKUP(C58,'Clientes Consolidado.'!$C:$C,'Clientes Consolidado.'!W:W,0)</f>
        <v>0</v>
      </c>
      <c r="R58" s="290">
        <f>_xlfn.XLOOKUP(C58,'Clientes Consolidado.'!$C:$C,'Clientes Consolidado.'!X:X,0)</f>
        <v>0</v>
      </c>
      <c r="S58" s="290">
        <f t="shared" si="6"/>
        <v>0</v>
      </c>
      <c r="T58" s="290">
        <f>SUMIFS('Clientes Consolidado.'!I:I,'Clientes Consolidado.'!C:C,C58,'Clientes Consolidado.'!B:B,"Fertilizer")
+SUMIFS('Clientes Consolidado.'!I:I,'Clientes Consolidado.'!C:C,C58,'Clientes Consolidado.'!B:B,"Additive")
+SUMIFS('Clientes Consolidado.'!I:I,'Clientes Consolidado.'!C:C,C58,'Clientes Consolidado.'!B:B,"Additive Intl.")</f>
        <v>0</v>
      </c>
      <c r="U58" s="290">
        <f>SUMIFS('Clientes Consolidado.'!J:J,'Clientes Consolidado.'!C:C,C58,'Clientes Consolidado.'!B:B,"Fertilizer")
+SUMIFS('Clientes Consolidado.'!J:J,'Clientes Consolidado.'!C:C,C58,'Clientes Consolidado.'!B:B,"Additive")
+SUMIFS('Clientes Consolidado.'!J:J,'Clientes Consolidado.'!C:C,C58,'Clientes Consolidado.'!B:B,"Additive Intl.")</f>
        <v>0</v>
      </c>
      <c r="V58" s="290">
        <f>SUMIFS('Clientes Consolidado.'!K:K,'Clientes Consolidado.'!C:C,C58,'Clientes Consolidado.'!B:B,"Fertilizer")
+SUMIFS('Clientes Consolidado.'!K:K,'Clientes Consolidado.'!C:C,C58,'Clientes Consolidado.'!B:B,"Additive")
+SUMIFS('Clientes Consolidado.'!K:K,'Clientes Consolidado.'!C:C,C58,'Clientes Consolidado.'!B:B,"Additive Intl.")</f>
        <v>0</v>
      </c>
      <c r="W58" s="290">
        <f>SUMIFS('Clientes Consolidado.'!L:L,'Clientes Consolidado.'!C:C,C58,'Clientes Consolidado.'!B:B,"Fertilizer")
+SUMIFS('Clientes Consolidado.'!L:L,'Clientes Consolidado.'!C:C,C58,'Clientes Consolidado.'!B:B,"Additive")
+SUMIFS('Clientes Consolidado.'!L:L,'Clientes Consolidado.'!C:C,C58,'Clientes Consolidado.'!B:B,"Additive Intl.")</f>
        <v>0</v>
      </c>
      <c r="X58" s="290">
        <f>SUMIFS('Clientes Consolidado.'!M:M,'Clientes Consolidado.'!C:C,C58,'Clientes Consolidado.'!B:B,"Fertilizer")
+SUMIFS('Clientes Consolidado.'!M:M,'Clientes Consolidado.'!C:C,C58,'Clientes Consolidado.'!B:B,"Additive")
+SUMIFS('Clientes Consolidado.'!M:M,'Clientes Consolidado.'!C:C,C58,'Clientes Consolidado.'!B:B,"Additive Intl.")</f>
        <v>0</v>
      </c>
      <c r="Y58" s="290">
        <f>SUMIFS('Clientes Consolidado.'!N:N,'Clientes Consolidado.'!C:C,C58,'Clientes Consolidado.'!B:B,"Fertilizer")
+SUMIFS('Clientes Consolidado.'!N:N,'Clientes Consolidado.'!C:C,C58,'Clientes Consolidado.'!B:B,"Additive")
+SUMIFS('Clientes Consolidado.'!N:N,'Clientes Consolidado.'!C:C,C58,'Clientes Consolidado.'!B:B,"Additive Intl.")</f>
        <v>0</v>
      </c>
      <c r="Z58" s="290">
        <f>SUMIFS('Clientes Consolidado.'!O:O,'Clientes Consolidado.'!C:C,C58,'Clientes Consolidado.'!B:B,"Fertilizer")
+SUMIFS('Clientes Consolidado.'!O:O,'Clientes Consolidado.'!C:C,C58,'Clientes Consolidado.'!B:B,"Additive")
+SUMIFS('Clientes Consolidado.'!O:O,'Clientes Consolidado.'!C:C,C58,'Clientes Consolidado.'!B:B,"Additive Intl.")</f>
        <v>0</v>
      </c>
      <c r="AA58" s="290">
        <f>SUMIFS('Clientes Consolidado.'!P:P,'Clientes Consolidado.'!C:C,'Nova Versão '!C58,'Clientes Consolidado.'!B:B,"Fertilizer / Litigation")+SUMIFS('Clientes Consolidado.'!P:P,'Clientes Consolidado.'!C:C,'Nova Versão '!C58,'Clientes Consolidado.'!B:B,"Additive / Litigation")</f>
        <v>0</v>
      </c>
      <c r="AB58" s="288"/>
      <c r="AD58" s="290">
        <f>SUMIFS('Invoiced amount'!I:I,'Invoiced amount'!AH:AH,'Nova Versão '!C58)</f>
        <v>626997.80000000005</v>
      </c>
      <c r="AE58" s="290">
        <f>SUMIFS(Buget!K:K,Buget!E:E,'Nova Versão '!C58)</f>
        <v>1943139.3220036521</v>
      </c>
      <c r="AF58" s="264">
        <f t="shared" si="4"/>
        <v>0.32267259115186681</v>
      </c>
      <c r="AG58" s="290">
        <f t="shared" si="5"/>
        <v>1316141.5220036521</v>
      </c>
    </row>
    <row r="59" spans="1:33" ht="13.8" customHeight="1" x14ac:dyDescent="0.25">
      <c r="A59" s="283"/>
      <c r="B59" s="288" t="str">
        <f>_xlfn.XLOOKUP(C59,'Info Clientes'!A:A,'Info Clientes'!B:B)</f>
        <v>Fertilizer</v>
      </c>
      <c r="C59" s="234" t="s">
        <v>179</v>
      </c>
      <c r="D59" s="290">
        <f>_xlfn.XLOOKUP(C59,'Limite de crédito'!C:C,'Limite de crédito'!G:G,0)</f>
        <v>660000</v>
      </c>
      <c r="E59" s="290">
        <f t="shared" si="0"/>
        <v>131680</v>
      </c>
      <c r="F59" s="290">
        <f>_xlfn.XLOOKUP('Nova Versão '!C59,'Limite de crédito'!C:C,'Limite de crédito'!O:O,0)</f>
        <v>660000</v>
      </c>
      <c r="G59" s="291">
        <f t="shared" si="1"/>
        <v>0</v>
      </c>
      <c r="H59" s="292" t="str">
        <f>_xlfn.XLOOKUP(C59,'Info Clientes'!A:A,'Info Clientes'!C:C)</f>
        <v>Guarantee or credit</v>
      </c>
      <c r="I59" s="292" t="str">
        <f>IF(_xlfn.XLOOKUP(C59,'Info Clientes'!A:A,'Info Clientes'!D:D,"")=0,"",_xlfn.XLOOKUP(C59,'Info Clientes'!A:A,'Info Clientes'!D:D,""))</f>
        <v/>
      </c>
      <c r="K59" s="290">
        <f t="shared" si="2"/>
        <v>131680</v>
      </c>
      <c r="L59" s="290">
        <f>_xlfn.XLOOKUP(C59,'Clientes Consolidado.'!$C:$C,'Clientes Consolidado.'!R:R,0)</f>
        <v>0</v>
      </c>
      <c r="M59" s="290">
        <f>_xlfn.XLOOKUP(C59,'Clientes Consolidado.'!$C:$C,'Clientes Consolidado.'!S:S,0)</f>
        <v>0</v>
      </c>
      <c r="N59" s="290">
        <f>_xlfn.XLOOKUP(C59,'Clientes Consolidado.'!$C:$C,'Clientes Consolidado.'!T:T,0)</f>
        <v>131680</v>
      </c>
      <c r="O59" s="290">
        <f>_xlfn.XLOOKUP(C59,'Clientes Consolidado.'!$C:$C,'Clientes Consolidado.'!U:U,0)</f>
        <v>0</v>
      </c>
      <c r="P59" s="290">
        <f>_xlfn.XLOOKUP(C59,'Clientes Consolidado.'!$C:$C,'Clientes Consolidado.'!V:V,0)</f>
        <v>0</v>
      </c>
      <c r="Q59" s="290">
        <f>_xlfn.XLOOKUP(C59,'Clientes Consolidado.'!$C:$C,'Clientes Consolidado.'!W:W,0)</f>
        <v>0</v>
      </c>
      <c r="R59" s="290">
        <f>_xlfn.XLOOKUP(C59,'Clientes Consolidado.'!$C:$C,'Clientes Consolidado.'!X:X,0)</f>
        <v>0</v>
      </c>
      <c r="S59" s="290">
        <f t="shared" si="6"/>
        <v>0</v>
      </c>
      <c r="T59" s="290">
        <f>SUMIFS('Clientes Consolidado.'!I:I,'Clientes Consolidado.'!C:C,C59,'Clientes Consolidado.'!B:B,"Fertilizer")
+SUMIFS('Clientes Consolidado.'!I:I,'Clientes Consolidado.'!C:C,C59,'Clientes Consolidado.'!B:B,"Additive")
+SUMIFS('Clientes Consolidado.'!I:I,'Clientes Consolidado.'!C:C,C59,'Clientes Consolidado.'!B:B,"Additive Intl.")</f>
        <v>0</v>
      </c>
      <c r="U59" s="290">
        <f>SUMIFS('Clientes Consolidado.'!J:J,'Clientes Consolidado.'!C:C,C59,'Clientes Consolidado.'!B:B,"Fertilizer")
+SUMIFS('Clientes Consolidado.'!J:J,'Clientes Consolidado.'!C:C,C59,'Clientes Consolidado.'!B:B,"Additive")
+SUMIFS('Clientes Consolidado.'!J:J,'Clientes Consolidado.'!C:C,C59,'Clientes Consolidado.'!B:B,"Additive Intl.")</f>
        <v>0</v>
      </c>
      <c r="V59" s="290">
        <f>SUMIFS('Clientes Consolidado.'!K:K,'Clientes Consolidado.'!C:C,C59,'Clientes Consolidado.'!B:B,"Fertilizer")
+SUMIFS('Clientes Consolidado.'!K:K,'Clientes Consolidado.'!C:C,C59,'Clientes Consolidado.'!B:B,"Additive")
+SUMIFS('Clientes Consolidado.'!K:K,'Clientes Consolidado.'!C:C,C59,'Clientes Consolidado.'!B:B,"Additive Intl.")</f>
        <v>0</v>
      </c>
      <c r="W59" s="290">
        <f>SUMIFS('Clientes Consolidado.'!L:L,'Clientes Consolidado.'!C:C,C59,'Clientes Consolidado.'!B:B,"Fertilizer")
+SUMIFS('Clientes Consolidado.'!L:L,'Clientes Consolidado.'!C:C,C59,'Clientes Consolidado.'!B:B,"Additive")
+SUMIFS('Clientes Consolidado.'!L:L,'Clientes Consolidado.'!C:C,C59,'Clientes Consolidado.'!B:B,"Additive Intl.")</f>
        <v>0</v>
      </c>
      <c r="X59" s="290">
        <f>SUMIFS('Clientes Consolidado.'!M:M,'Clientes Consolidado.'!C:C,C59,'Clientes Consolidado.'!B:B,"Fertilizer")
+SUMIFS('Clientes Consolidado.'!M:M,'Clientes Consolidado.'!C:C,C59,'Clientes Consolidado.'!B:B,"Additive")
+SUMIFS('Clientes Consolidado.'!M:M,'Clientes Consolidado.'!C:C,C59,'Clientes Consolidado.'!B:B,"Additive Intl.")</f>
        <v>0</v>
      </c>
      <c r="Y59" s="290">
        <f>SUMIFS('Clientes Consolidado.'!N:N,'Clientes Consolidado.'!C:C,C59,'Clientes Consolidado.'!B:B,"Fertilizer")
+SUMIFS('Clientes Consolidado.'!N:N,'Clientes Consolidado.'!C:C,C59,'Clientes Consolidado.'!B:B,"Additive")
+SUMIFS('Clientes Consolidado.'!N:N,'Clientes Consolidado.'!C:C,C59,'Clientes Consolidado.'!B:B,"Additive Intl.")</f>
        <v>0</v>
      </c>
      <c r="Z59" s="290">
        <f>SUMIFS('Clientes Consolidado.'!O:O,'Clientes Consolidado.'!C:C,C59,'Clientes Consolidado.'!B:B,"Fertilizer")
+SUMIFS('Clientes Consolidado.'!O:O,'Clientes Consolidado.'!C:C,C59,'Clientes Consolidado.'!B:B,"Additive")
+SUMIFS('Clientes Consolidado.'!O:O,'Clientes Consolidado.'!C:C,C59,'Clientes Consolidado.'!B:B,"Additive Intl.")</f>
        <v>0</v>
      </c>
      <c r="AA59" s="290">
        <f>SUMIFS('Clientes Consolidado.'!P:P,'Clientes Consolidado.'!C:C,'Nova Versão '!C59,'Clientes Consolidado.'!B:B,"Fertilizer / Litigation")+SUMIFS('Clientes Consolidado.'!P:P,'Clientes Consolidado.'!C:C,'Nova Versão '!C59,'Clientes Consolidado.'!B:B,"Additive / Litigation")</f>
        <v>0</v>
      </c>
      <c r="AB59" s="288"/>
      <c r="AD59" s="290">
        <f>SUMIFS('Invoiced amount'!I:I,'Invoiced amount'!AH:AH,'Nova Versão '!C59)</f>
        <v>0</v>
      </c>
      <c r="AE59" s="290">
        <f>SUMIFS(Buget!K:K,Buget!E:E,'Nova Versão '!C59)</f>
        <v>270638.39892007672</v>
      </c>
      <c r="AF59" s="264">
        <f t="shared" si="4"/>
        <v>0</v>
      </c>
      <c r="AG59" s="290">
        <f t="shared" si="5"/>
        <v>270638.39892007672</v>
      </c>
    </row>
    <row r="60" spans="1:33" ht="13.8" customHeight="1" x14ac:dyDescent="0.25">
      <c r="A60" s="283"/>
      <c r="B60" s="288" t="str">
        <f>_xlfn.XLOOKUP(C60,'Info Clientes'!A:A,'Info Clientes'!B:B)</f>
        <v>Additive</v>
      </c>
      <c r="C60" s="96" t="s">
        <v>633</v>
      </c>
      <c r="D60" s="290">
        <f>_xlfn.XLOOKUP(C60,'Limite de crédito'!C:C,'Limite de crédito'!G:G,0)</f>
        <v>850000</v>
      </c>
      <c r="E60" s="290">
        <f t="shared" si="0"/>
        <v>122180</v>
      </c>
      <c r="F60" s="290">
        <f>_xlfn.XLOOKUP('Nova Versão '!C60,'Limite de crédito'!C:C,'Limite de crédito'!O:O,0)</f>
        <v>850000</v>
      </c>
      <c r="G60" s="291">
        <f t="shared" si="1"/>
        <v>0</v>
      </c>
      <c r="H60" s="292" t="str">
        <f>_xlfn.XLOOKUP(C60,'Info Clientes'!A:A,'Info Clientes'!C:C)</f>
        <v>Guarantee or credit</v>
      </c>
      <c r="I60" s="292" t="str">
        <f>IF(_xlfn.XLOOKUP(C60,'Info Clientes'!A:A,'Info Clientes'!D:D,"")=0,"",_xlfn.XLOOKUP(C60,'Info Clientes'!A:A,'Info Clientes'!D:D,""))</f>
        <v/>
      </c>
      <c r="K60" s="290">
        <f t="shared" si="2"/>
        <v>122180</v>
      </c>
      <c r="L60" s="290">
        <f>_xlfn.XLOOKUP(C60,'Clientes Consolidado.'!$C:$C,'Clientes Consolidado.'!R:R,0)</f>
        <v>122180</v>
      </c>
      <c r="M60" s="290">
        <f>_xlfn.XLOOKUP(C60,'Clientes Consolidado.'!$C:$C,'Clientes Consolidado.'!S:S,0)</f>
        <v>0</v>
      </c>
      <c r="N60" s="290">
        <f>_xlfn.XLOOKUP(C60,'Clientes Consolidado.'!$C:$C,'Clientes Consolidado.'!T:T,0)</f>
        <v>0</v>
      </c>
      <c r="O60" s="290">
        <f>_xlfn.XLOOKUP(C60,'Clientes Consolidado.'!$C:$C,'Clientes Consolidado.'!U:U,0)</f>
        <v>0</v>
      </c>
      <c r="P60" s="290">
        <f>_xlfn.XLOOKUP(C60,'Clientes Consolidado.'!$C:$C,'Clientes Consolidado.'!V:V,0)</f>
        <v>0</v>
      </c>
      <c r="Q60" s="290">
        <f>_xlfn.XLOOKUP(C60,'Clientes Consolidado.'!$C:$C,'Clientes Consolidado.'!W:W,0)</f>
        <v>0</v>
      </c>
      <c r="R60" s="290">
        <f>_xlfn.XLOOKUP(C60,'Clientes Consolidado.'!$C:$C,'Clientes Consolidado.'!X:X,0)</f>
        <v>0</v>
      </c>
      <c r="S60" s="290">
        <f t="shared" si="6"/>
        <v>0</v>
      </c>
      <c r="T60" s="290">
        <f>SUMIFS('Clientes Consolidado.'!I:I,'Clientes Consolidado.'!C:C,C60,'Clientes Consolidado.'!B:B,"Fertilizer")
+SUMIFS('Clientes Consolidado.'!I:I,'Clientes Consolidado.'!C:C,C60,'Clientes Consolidado.'!B:B,"Additive")
+SUMIFS('Clientes Consolidado.'!I:I,'Clientes Consolidado.'!C:C,C60,'Clientes Consolidado.'!B:B,"Additive Intl.")</f>
        <v>0</v>
      </c>
      <c r="U60" s="290">
        <f>SUMIFS('Clientes Consolidado.'!J:J,'Clientes Consolidado.'!C:C,C60,'Clientes Consolidado.'!B:B,"Fertilizer")
+SUMIFS('Clientes Consolidado.'!J:J,'Clientes Consolidado.'!C:C,C60,'Clientes Consolidado.'!B:B,"Additive")
+SUMIFS('Clientes Consolidado.'!J:J,'Clientes Consolidado.'!C:C,C60,'Clientes Consolidado.'!B:B,"Additive Intl.")</f>
        <v>0</v>
      </c>
      <c r="V60" s="290">
        <f>SUMIFS('Clientes Consolidado.'!K:K,'Clientes Consolidado.'!C:C,C60,'Clientes Consolidado.'!B:B,"Fertilizer")
+SUMIFS('Clientes Consolidado.'!K:K,'Clientes Consolidado.'!C:C,C60,'Clientes Consolidado.'!B:B,"Additive")
+SUMIFS('Clientes Consolidado.'!K:K,'Clientes Consolidado.'!C:C,C60,'Clientes Consolidado.'!B:B,"Additive Intl.")</f>
        <v>0</v>
      </c>
      <c r="W60" s="290">
        <f>SUMIFS('Clientes Consolidado.'!L:L,'Clientes Consolidado.'!C:C,C60,'Clientes Consolidado.'!B:B,"Fertilizer")
+SUMIFS('Clientes Consolidado.'!L:L,'Clientes Consolidado.'!C:C,C60,'Clientes Consolidado.'!B:B,"Additive")
+SUMIFS('Clientes Consolidado.'!L:L,'Clientes Consolidado.'!C:C,C60,'Clientes Consolidado.'!B:B,"Additive Intl.")</f>
        <v>0</v>
      </c>
      <c r="X60" s="290">
        <f>SUMIFS('Clientes Consolidado.'!M:M,'Clientes Consolidado.'!C:C,C60,'Clientes Consolidado.'!B:B,"Fertilizer")
+SUMIFS('Clientes Consolidado.'!M:M,'Clientes Consolidado.'!C:C,C60,'Clientes Consolidado.'!B:B,"Additive")
+SUMIFS('Clientes Consolidado.'!M:M,'Clientes Consolidado.'!C:C,C60,'Clientes Consolidado.'!B:B,"Additive Intl.")</f>
        <v>0</v>
      </c>
      <c r="Y60" s="290">
        <f>SUMIFS('Clientes Consolidado.'!N:N,'Clientes Consolidado.'!C:C,C60,'Clientes Consolidado.'!B:B,"Fertilizer")
+SUMIFS('Clientes Consolidado.'!N:N,'Clientes Consolidado.'!C:C,C60,'Clientes Consolidado.'!B:B,"Additive")
+SUMIFS('Clientes Consolidado.'!N:N,'Clientes Consolidado.'!C:C,C60,'Clientes Consolidado.'!B:B,"Additive Intl.")</f>
        <v>0</v>
      </c>
      <c r="Z60" s="290">
        <f>SUMIFS('Clientes Consolidado.'!O:O,'Clientes Consolidado.'!C:C,C60,'Clientes Consolidado.'!B:B,"Fertilizer")
+SUMIFS('Clientes Consolidado.'!O:O,'Clientes Consolidado.'!C:C,C60,'Clientes Consolidado.'!B:B,"Additive")
+SUMIFS('Clientes Consolidado.'!O:O,'Clientes Consolidado.'!C:C,C60,'Clientes Consolidado.'!B:B,"Additive Intl.")</f>
        <v>0</v>
      </c>
      <c r="AA60" s="290">
        <f>SUMIFS('Clientes Consolidado.'!P:P,'Clientes Consolidado.'!C:C,'Nova Versão '!C60,'Clientes Consolidado.'!B:B,"Fertilizer / Litigation")+SUMIFS('Clientes Consolidado.'!P:P,'Clientes Consolidado.'!C:C,'Nova Versão '!C60,'Clientes Consolidado.'!B:B,"Additive / Litigation")</f>
        <v>0</v>
      </c>
      <c r="AB60" s="288"/>
      <c r="AD60" s="290">
        <f>SUMIFS('Invoiced amount'!I:I,'Invoiced amount'!AH:AH,'Nova Versão '!C60)</f>
        <v>490712.6</v>
      </c>
      <c r="AE60" s="290">
        <f>SUMIFS(Buget!K:K,Buget!E:E,'Nova Versão '!C60)</f>
        <v>135000</v>
      </c>
      <c r="AF60" s="264">
        <f t="shared" si="4"/>
        <v>3.6349081481481478</v>
      </c>
      <c r="AG60" s="290">
        <f t="shared" si="5"/>
        <v>0</v>
      </c>
    </row>
    <row r="61" spans="1:33" ht="13.8" customHeight="1" x14ac:dyDescent="0.25">
      <c r="A61" s="283"/>
      <c r="B61" s="288" t="str">
        <f>_xlfn.XLOOKUP(C61,'Info Clientes'!A:A,'Info Clientes'!B:B)</f>
        <v>Additive</v>
      </c>
      <c r="C61" s="234" t="s">
        <v>560</v>
      </c>
      <c r="D61" s="290">
        <f>_xlfn.XLOOKUP(C61,'Limite de crédito'!C:C,'Limite de crédito'!G:G,0)</f>
        <v>1500000</v>
      </c>
      <c r="E61" s="290">
        <f t="shared" si="0"/>
        <v>103200.03</v>
      </c>
      <c r="F61" s="290">
        <f>_xlfn.XLOOKUP('Nova Versão '!C61,'Limite de crédito'!C:C,'Limite de crédito'!O:O,0)</f>
        <v>1500000</v>
      </c>
      <c r="G61" s="291">
        <f t="shared" si="1"/>
        <v>0</v>
      </c>
      <c r="H61" s="292" t="str">
        <f>_xlfn.XLOOKUP(C61,'Info Clientes'!A:A,'Info Clientes'!C:C)</f>
        <v>Guarantee or credit</v>
      </c>
      <c r="I61" s="292" t="str">
        <f>IF(_xlfn.XLOOKUP(C61,'Info Clientes'!A:A,'Info Clientes'!D:D,"")=0,"",_xlfn.XLOOKUP(C61,'Info Clientes'!A:A,'Info Clientes'!D:D,""))</f>
        <v/>
      </c>
      <c r="K61" s="290">
        <f t="shared" si="2"/>
        <v>103200.03</v>
      </c>
      <c r="L61" s="290">
        <f>_xlfn.XLOOKUP(C61,'Clientes Consolidado.'!$C:$C,'Clientes Consolidado.'!R:R,0)</f>
        <v>103200.03</v>
      </c>
      <c r="M61" s="290">
        <f>_xlfn.XLOOKUP(C61,'Clientes Consolidado.'!$C:$C,'Clientes Consolidado.'!S:S,0)</f>
        <v>0</v>
      </c>
      <c r="N61" s="290">
        <f>_xlfn.XLOOKUP(C61,'Clientes Consolidado.'!$C:$C,'Clientes Consolidado.'!T:T,0)</f>
        <v>0</v>
      </c>
      <c r="O61" s="290">
        <f>_xlfn.XLOOKUP(C61,'Clientes Consolidado.'!$C:$C,'Clientes Consolidado.'!U:U,0)</f>
        <v>0</v>
      </c>
      <c r="P61" s="290">
        <f>_xlfn.XLOOKUP(C61,'Clientes Consolidado.'!$C:$C,'Clientes Consolidado.'!V:V,0)</f>
        <v>0</v>
      </c>
      <c r="Q61" s="290">
        <f>_xlfn.XLOOKUP(C61,'Clientes Consolidado.'!$C:$C,'Clientes Consolidado.'!W:W,0)</f>
        <v>0</v>
      </c>
      <c r="R61" s="290">
        <f>_xlfn.XLOOKUP(C61,'Clientes Consolidado.'!$C:$C,'Clientes Consolidado.'!X:X,0)</f>
        <v>0</v>
      </c>
      <c r="S61" s="290">
        <f t="shared" si="6"/>
        <v>0</v>
      </c>
      <c r="T61" s="290">
        <f>SUMIFS('Clientes Consolidado.'!I:I,'Clientes Consolidado.'!C:C,C61,'Clientes Consolidado.'!B:B,"Fertilizer")
+SUMIFS('Clientes Consolidado.'!I:I,'Clientes Consolidado.'!C:C,C61,'Clientes Consolidado.'!B:B,"Additive")
+SUMIFS('Clientes Consolidado.'!I:I,'Clientes Consolidado.'!C:C,C61,'Clientes Consolidado.'!B:B,"Additive Intl.")</f>
        <v>0</v>
      </c>
      <c r="U61" s="290">
        <f>SUMIFS('Clientes Consolidado.'!J:J,'Clientes Consolidado.'!C:C,C61,'Clientes Consolidado.'!B:B,"Fertilizer")
+SUMIFS('Clientes Consolidado.'!J:J,'Clientes Consolidado.'!C:C,C61,'Clientes Consolidado.'!B:B,"Additive")
+SUMIFS('Clientes Consolidado.'!J:J,'Clientes Consolidado.'!C:C,C61,'Clientes Consolidado.'!B:B,"Additive Intl.")</f>
        <v>0</v>
      </c>
      <c r="V61" s="290">
        <f>SUMIFS('Clientes Consolidado.'!K:K,'Clientes Consolidado.'!C:C,C61,'Clientes Consolidado.'!B:B,"Fertilizer")
+SUMIFS('Clientes Consolidado.'!K:K,'Clientes Consolidado.'!C:C,C61,'Clientes Consolidado.'!B:B,"Additive")
+SUMIFS('Clientes Consolidado.'!K:K,'Clientes Consolidado.'!C:C,C61,'Clientes Consolidado.'!B:B,"Additive Intl.")</f>
        <v>0</v>
      </c>
      <c r="W61" s="290">
        <f>SUMIFS('Clientes Consolidado.'!L:L,'Clientes Consolidado.'!C:C,C61,'Clientes Consolidado.'!B:B,"Fertilizer")
+SUMIFS('Clientes Consolidado.'!L:L,'Clientes Consolidado.'!C:C,C61,'Clientes Consolidado.'!B:B,"Additive")
+SUMIFS('Clientes Consolidado.'!L:L,'Clientes Consolidado.'!C:C,C61,'Clientes Consolidado.'!B:B,"Additive Intl.")</f>
        <v>0</v>
      </c>
      <c r="X61" s="290">
        <f>SUMIFS('Clientes Consolidado.'!M:M,'Clientes Consolidado.'!C:C,C61,'Clientes Consolidado.'!B:B,"Fertilizer")
+SUMIFS('Clientes Consolidado.'!M:M,'Clientes Consolidado.'!C:C,C61,'Clientes Consolidado.'!B:B,"Additive")
+SUMIFS('Clientes Consolidado.'!M:M,'Clientes Consolidado.'!C:C,C61,'Clientes Consolidado.'!B:B,"Additive Intl.")</f>
        <v>0</v>
      </c>
      <c r="Y61" s="290">
        <f>SUMIFS('Clientes Consolidado.'!N:N,'Clientes Consolidado.'!C:C,C61,'Clientes Consolidado.'!B:B,"Fertilizer")
+SUMIFS('Clientes Consolidado.'!N:N,'Clientes Consolidado.'!C:C,C61,'Clientes Consolidado.'!B:B,"Additive")
+SUMIFS('Clientes Consolidado.'!N:N,'Clientes Consolidado.'!C:C,C61,'Clientes Consolidado.'!B:B,"Additive Intl.")</f>
        <v>0</v>
      </c>
      <c r="Z61" s="290">
        <f>SUMIFS('Clientes Consolidado.'!O:O,'Clientes Consolidado.'!C:C,C61,'Clientes Consolidado.'!B:B,"Fertilizer")
+SUMIFS('Clientes Consolidado.'!O:O,'Clientes Consolidado.'!C:C,C61,'Clientes Consolidado.'!B:B,"Additive")
+SUMIFS('Clientes Consolidado.'!O:O,'Clientes Consolidado.'!C:C,C61,'Clientes Consolidado.'!B:B,"Additive Intl.")</f>
        <v>0</v>
      </c>
      <c r="AA61" s="290">
        <f>SUMIFS('Clientes Consolidado.'!P:P,'Clientes Consolidado.'!C:C,'Nova Versão '!C61,'Clientes Consolidado.'!B:B,"Fertilizer / Litigation")+SUMIFS('Clientes Consolidado.'!P:P,'Clientes Consolidado.'!C:C,'Nova Versão '!C61,'Clientes Consolidado.'!B:B,"Additive / Litigation")</f>
        <v>0</v>
      </c>
      <c r="AB61" s="288"/>
      <c r="AD61" s="290">
        <f>SUMIFS('Invoiced amount'!I:I,'Invoiced amount'!AH:AH,'Nova Versão '!C61)</f>
        <v>728900.05</v>
      </c>
      <c r="AE61" s="290">
        <f>SUMIFS(Buget!K:K,Buget!E:E,'Nova Versão '!C61)</f>
        <v>2871000</v>
      </c>
      <c r="AF61" s="264">
        <f t="shared" si="4"/>
        <v>0.25388368164402647</v>
      </c>
      <c r="AG61" s="290">
        <f t="shared" si="5"/>
        <v>2142099.9500000002</v>
      </c>
    </row>
    <row r="62" spans="1:33" ht="13.8" customHeight="1" x14ac:dyDescent="0.25">
      <c r="A62" s="283"/>
      <c r="B62" s="288" t="str">
        <f>_xlfn.XLOOKUP(C62,'Info Clientes'!A:A,'Info Clientes'!B:B)</f>
        <v>Additive Intl.</v>
      </c>
      <c r="C62" s="96" t="s">
        <v>274</v>
      </c>
      <c r="D62" s="290">
        <f>_xlfn.XLOOKUP(C62,'Limite de crédito'!C:C,'Limite de crédito'!G:G,0)</f>
        <v>550000</v>
      </c>
      <c r="E62" s="290">
        <f t="shared" si="0"/>
        <v>86689.1</v>
      </c>
      <c r="F62" s="290">
        <f>_xlfn.XLOOKUP('Nova Versão '!C62,'Limite de crédito'!C:C,'Limite de crédito'!O:O,0)</f>
        <v>550000</v>
      </c>
      <c r="G62" s="291">
        <f t="shared" si="1"/>
        <v>0</v>
      </c>
      <c r="H62" s="292" t="str">
        <f>_xlfn.XLOOKUP(C62,'Info Clientes'!A:A,'Info Clientes'!C:C)</f>
        <v>Guarantee or credit</v>
      </c>
      <c r="I62" s="292" t="str">
        <f>IF(_xlfn.XLOOKUP(C62,'Info Clientes'!A:A,'Info Clientes'!D:D,"")=0,"",_xlfn.XLOOKUP(C62,'Info Clientes'!A:A,'Info Clientes'!D:D,""))</f>
        <v/>
      </c>
      <c r="K62" s="290">
        <f t="shared" si="2"/>
        <v>0</v>
      </c>
      <c r="L62" s="290">
        <f>_xlfn.XLOOKUP(C62,'Clientes Consolidado.'!$C:$C,'Clientes Consolidado.'!R:R,0)</f>
        <v>0</v>
      </c>
      <c r="M62" s="290">
        <f>_xlfn.XLOOKUP(C62,'Clientes Consolidado.'!$C:$C,'Clientes Consolidado.'!S:S,0)</f>
        <v>0</v>
      </c>
      <c r="N62" s="290">
        <f>_xlfn.XLOOKUP(C62,'Clientes Consolidado.'!$C:$C,'Clientes Consolidado.'!T:T,0)</f>
        <v>0</v>
      </c>
      <c r="O62" s="290">
        <f>_xlfn.XLOOKUP(C62,'Clientes Consolidado.'!$C:$C,'Clientes Consolidado.'!U:U,0)</f>
        <v>0</v>
      </c>
      <c r="P62" s="290">
        <f>_xlfn.XLOOKUP(C62,'Clientes Consolidado.'!$C:$C,'Clientes Consolidado.'!V:V,0)</f>
        <v>0</v>
      </c>
      <c r="Q62" s="290">
        <f>_xlfn.XLOOKUP(C62,'Clientes Consolidado.'!$C:$C,'Clientes Consolidado.'!W:W,0)</f>
        <v>0</v>
      </c>
      <c r="R62" s="290">
        <f>_xlfn.XLOOKUP(C62,'Clientes Consolidado.'!$C:$C,'Clientes Consolidado.'!X:X,0)</f>
        <v>0</v>
      </c>
      <c r="S62" s="290">
        <f t="shared" si="6"/>
        <v>86689.1</v>
      </c>
      <c r="T62" s="290">
        <f>SUMIFS('Clientes Consolidado.'!I:I,'Clientes Consolidado.'!C:C,C62,'Clientes Consolidado.'!B:B,"Fertilizer")
+SUMIFS('Clientes Consolidado.'!I:I,'Clientes Consolidado.'!C:C,C62,'Clientes Consolidado.'!B:B,"Additive")
+SUMIFS('Clientes Consolidado.'!I:I,'Clientes Consolidado.'!C:C,C62,'Clientes Consolidado.'!B:B,"Additive Intl.")</f>
        <v>0</v>
      </c>
      <c r="U62" s="290">
        <f>SUMIFS('Clientes Consolidado.'!J:J,'Clientes Consolidado.'!C:C,C62,'Clientes Consolidado.'!B:B,"Fertilizer")
+SUMIFS('Clientes Consolidado.'!J:J,'Clientes Consolidado.'!C:C,C62,'Clientes Consolidado.'!B:B,"Additive")
+SUMIFS('Clientes Consolidado.'!J:J,'Clientes Consolidado.'!C:C,C62,'Clientes Consolidado.'!B:B,"Additive Intl.")</f>
        <v>86689.1</v>
      </c>
      <c r="V62" s="290">
        <f>SUMIFS('Clientes Consolidado.'!K:K,'Clientes Consolidado.'!C:C,C62,'Clientes Consolidado.'!B:B,"Fertilizer")
+SUMIFS('Clientes Consolidado.'!K:K,'Clientes Consolidado.'!C:C,C62,'Clientes Consolidado.'!B:B,"Additive")
+SUMIFS('Clientes Consolidado.'!K:K,'Clientes Consolidado.'!C:C,C62,'Clientes Consolidado.'!B:B,"Additive Intl.")</f>
        <v>0</v>
      </c>
      <c r="W62" s="290">
        <f>SUMIFS('Clientes Consolidado.'!L:L,'Clientes Consolidado.'!C:C,C62,'Clientes Consolidado.'!B:B,"Fertilizer")
+SUMIFS('Clientes Consolidado.'!L:L,'Clientes Consolidado.'!C:C,C62,'Clientes Consolidado.'!B:B,"Additive")
+SUMIFS('Clientes Consolidado.'!L:L,'Clientes Consolidado.'!C:C,C62,'Clientes Consolidado.'!B:B,"Additive Intl.")</f>
        <v>0</v>
      </c>
      <c r="X62" s="290">
        <f>SUMIFS('Clientes Consolidado.'!M:M,'Clientes Consolidado.'!C:C,C62,'Clientes Consolidado.'!B:B,"Fertilizer")
+SUMIFS('Clientes Consolidado.'!M:M,'Clientes Consolidado.'!C:C,C62,'Clientes Consolidado.'!B:B,"Additive")
+SUMIFS('Clientes Consolidado.'!M:M,'Clientes Consolidado.'!C:C,C62,'Clientes Consolidado.'!B:B,"Additive Intl.")</f>
        <v>0</v>
      </c>
      <c r="Y62" s="290">
        <f>SUMIFS('Clientes Consolidado.'!N:N,'Clientes Consolidado.'!C:C,C62,'Clientes Consolidado.'!B:B,"Fertilizer")
+SUMIFS('Clientes Consolidado.'!N:N,'Clientes Consolidado.'!C:C,C62,'Clientes Consolidado.'!B:B,"Additive")
+SUMIFS('Clientes Consolidado.'!N:N,'Clientes Consolidado.'!C:C,C62,'Clientes Consolidado.'!B:B,"Additive Intl.")</f>
        <v>0</v>
      </c>
      <c r="Z62" s="290">
        <f>SUMIFS('Clientes Consolidado.'!O:O,'Clientes Consolidado.'!C:C,C62,'Clientes Consolidado.'!B:B,"Fertilizer")
+SUMIFS('Clientes Consolidado.'!O:O,'Clientes Consolidado.'!C:C,C62,'Clientes Consolidado.'!B:B,"Additive")
+SUMIFS('Clientes Consolidado.'!O:O,'Clientes Consolidado.'!C:C,C62,'Clientes Consolidado.'!B:B,"Additive Intl.")</f>
        <v>0</v>
      </c>
      <c r="AA62" s="290">
        <f>SUMIFS('Clientes Consolidado.'!P:P,'Clientes Consolidado.'!C:C,'Nova Versão '!C62,'Clientes Consolidado.'!B:B,"Fertilizer / Litigation")+SUMIFS('Clientes Consolidado.'!P:P,'Clientes Consolidado.'!C:C,'Nova Versão '!C62,'Clientes Consolidado.'!B:B,"Additive / Litigation")</f>
        <v>0</v>
      </c>
      <c r="AB62" s="288"/>
      <c r="AD62" s="290">
        <f>SUMIFS('Invoiced amount'!I:I,'Invoiced amount'!AH:AH,'Nova Versão '!C62)</f>
        <v>86689.1</v>
      </c>
      <c r="AE62" s="290">
        <f>SUMIFS(Buget!K:K,Buget!E:E,'Nova Versão '!C62)</f>
        <v>147597.762083065</v>
      </c>
      <c r="AF62" s="264">
        <f t="shared" si="4"/>
        <v>0.58733343091755796</v>
      </c>
      <c r="AG62" s="290">
        <f t="shared" si="5"/>
        <v>60908.662083064992</v>
      </c>
    </row>
    <row r="63" spans="1:33" ht="13.8" customHeight="1" x14ac:dyDescent="0.25">
      <c r="A63" s="283"/>
      <c r="B63" s="288" t="str">
        <f>_xlfn.XLOOKUP(C63,'Info Clientes'!A:A,'Info Clientes'!B:B)</f>
        <v>Additive</v>
      </c>
      <c r="C63" s="96" t="s">
        <v>78</v>
      </c>
      <c r="D63" s="290">
        <f>_xlfn.XLOOKUP(C63,'Limite de crédito'!C:C,'Limite de crédito'!G:G,0)</f>
        <v>200000</v>
      </c>
      <c r="E63" s="290">
        <f t="shared" si="0"/>
        <v>83393.100000000006</v>
      </c>
      <c r="F63" s="290">
        <f>_xlfn.XLOOKUP('Nova Versão '!C63,'Limite de crédito'!C:C,'Limite de crédito'!O:O,0)</f>
        <v>200000</v>
      </c>
      <c r="G63" s="291">
        <f t="shared" si="1"/>
        <v>0</v>
      </c>
      <c r="H63" s="292" t="str">
        <f>_xlfn.XLOOKUP(C63,'Info Clientes'!A:A,'Info Clientes'!C:C)</f>
        <v>Guarantee or credit</v>
      </c>
      <c r="I63" s="292" t="str">
        <f>IF(_xlfn.XLOOKUP(C63,'Info Clientes'!A:A,'Info Clientes'!D:D,"")=0,"",_xlfn.XLOOKUP(C63,'Info Clientes'!A:A,'Info Clientes'!D:D,""))</f>
        <v/>
      </c>
      <c r="K63" s="290">
        <f t="shared" si="2"/>
        <v>83393.100000000006</v>
      </c>
      <c r="L63" s="290">
        <f>_xlfn.XLOOKUP(C63,'Clientes Consolidado.'!$C:$C,'Clientes Consolidado.'!R:R,0)</f>
        <v>83393.100000000006</v>
      </c>
      <c r="M63" s="290">
        <f>_xlfn.XLOOKUP(C63,'Clientes Consolidado.'!$C:$C,'Clientes Consolidado.'!S:S,0)</f>
        <v>0</v>
      </c>
      <c r="N63" s="290">
        <f>_xlfn.XLOOKUP(C63,'Clientes Consolidado.'!$C:$C,'Clientes Consolidado.'!T:T,0)</f>
        <v>0</v>
      </c>
      <c r="O63" s="290">
        <f>_xlfn.XLOOKUP(C63,'Clientes Consolidado.'!$C:$C,'Clientes Consolidado.'!U:U,0)</f>
        <v>0</v>
      </c>
      <c r="P63" s="290">
        <f>_xlfn.XLOOKUP(C63,'Clientes Consolidado.'!$C:$C,'Clientes Consolidado.'!V:V,0)</f>
        <v>0</v>
      </c>
      <c r="Q63" s="290">
        <f>_xlfn.XLOOKUP(C63,'Clientes Consolidado.'!$C:$C,'Clientes Consolidado.'!W:W,0)</f>
        <v>0</v>
      </c>
      <c r="R63" s="290">
        <f>_xlfn.XLOOKUP(C63,'Clientes Consolidado.'!$C:$C,'Clientes Consolidado.'!X:X,0)</f>
        <v>0</v>
      </c>
      <c r="S63" s="290">
        <f t="shared" si="6"/>
        <v>0</v>
      </c>
      <c r="T63" s="290">
        <f>SUMIFS('Clientes Consolidado.'!I:I,'Clientes Consolidado.'!C:C,C63,'Clientes Consolidado.'!B:B,"Fertilizer")
+SUMIFS('Clientes Consolidado.'!I:I,'Clientes Consolidado.'!C:C,C63,'Clientes Consolidado.'!B:B,"Additive")
+SUMIFS('Clientes Consolidado.'!I:I,'Clientes Consolidado.'!C:C,C63,'Clientes Consolidado.'!B:B,"Additive Intl.")</f>
        <v>0</v>
      </c>
      <c r="U63" s="290">
        <f>SUMIFS('Clientes Consolidado.'!J:J,'Clientes Consolidado.'!C:C,C63,'Clientes Consolidado.'!B:B,"Fertilizer")
+SUMIFS('Clientes Consolidado.'!J:J,'Clientes Consolidado.'!C:C,C63,'Clientes Consolidado.'!B:B,"Additive")
+SUMIFS('Clientes Consolidado.'!J:J,'Clientes Consolidado.'!C:C,C63,'Clientes Consolidado.'!B:B,"Additive Intl.")</f>
        <v>0</v>
      </c>
      <c r="V63" s="290">
        <f>SUMIFS('Clientes Consolidado.'!K:K,'Clientes Consolidado.'!C:C,C63,'Clientes Consolidado.'!B:B,"Fertilizer")
+SUMIFS('Clientes Consolidado.'!K:K,'Clientes Consolidado.'!C:C,C63,'Clientes Consolidado.'!B:B,"Additive")
+SUMIFS('Clientes Consolidado.'!K:K,'Clientes Consolidado.'!C:C,C63,'Clientes Consolidado.'!B:B,"Additive Intl.")</f>
        <v>0</v>
      </c>
      <c r="W63" s="290">
        <f>SUMIFS('Clientes Consolidado.'!L:L,'Clientes Consolidado.'!C:C,C63,'Clientes Consolidado.'!B:B,"Fertilizer")
+SUMIFS('Clientes Consolidado.'!L:L,'Clientes Consolidado.'!C:C,C63,'Clientes Consolidado.'!B:B,"Additive")
+SUMIFS('Clientes Consolidado.'!L:L,'Clientes Consolidado.'!C:C,C63,'Clientes Consolidado.'!B:B,"Additive Intl.")</f>
        <v>0</v>
      </c>
      <c r="X63" s="290">
        <f>SUMIFS('Clientes Consolidado.'!M:M,'Clientes Consolidado.'!C:C,C63,'Clientes Consolidado.'!B:B,"Fertilizer")
+SUMIFS('Clientes Consolidado.'!M:M,'Clientes Consolidado.'!C:C,C63,'Clientes Consolidado.'!B:B,"Additive")
+SUMIFS('Clientes Consolidado.'!M:M,'Clientes Consolidado.'!C:C,C63,'Clientes Consolidado.'!B:B,"Additive Intl.")</f>
        <v>0</v>
      </c>
      <c r="Y63" s="290">
        <f>SUMIFS('Clientes Consolidado.'!N:N,'Clientes Consolidado.'!C:C,C63,'Clientes Consolidado.'!B:B,"Fertilizer")
+SUMIFS('Clientes Consolidado.'!N:N,'Clientes Consolidado.'!C:C,C63,'Clientes Consolidado.'!B:B,"Additive")
+SUMIFS('Clientes Consolidado.'!N:N,'Clientes Consolidado.'!C:C,C63,'Clientes Consolidado.'!B:B,"Additive Intl.")</f>
        <v>0</v>
      </c>
      <c r="Z63" s="290">
        <f>SUMIFS('Clientes Consolidado.'!O:O,'Clientes Consolidado.'!C:C,C63,'Clientes Consolidado.'!B:B,"Fertilizer")
+SUMIFS('Clientes Consolidado.'!O:O,'Clientes Consolidado.'!C:C,C63,'Clientes Consolidado.'!B:B,"Additive")
+SUMIFS('Clientes Consolidado.'!O:O,'Clientes Consolidado.'!C:C,C63,'Clientes Consolidado.'!B:B,"Additive Intl.")</f>
        <v>0</v>
      </c>
      <c r="AA63" s="290">
        <f>SUMIFS('Clientes Consolidado.'!P:P,'Clientes Consolidado.'!C:C,'Nova Versão '!C63,'Clientes Consolidado.'!B:B,"Fertilizer / Litigation")+SUMIFS('Clientes Consolidado.'!P:P,'Clientes Consolidado.'!C:C,'Nova Versão '!C63,'Clientes Consolidado.'!B:B,"Additive / Litigation")</f>
        <v>0</v>
      </c>
      <c r="AB63" s="288"/>
      <c r="AD63" s="290">
        <f>SUMIFS('Invoiced amount'!I:I,'Invoiced amount'!AH:AH,'Nova Versão '!C63)</f>
        <v>497346.2</v>
      </c>
      <c r="AE63" s="290">
        <f>SUMIFS(Buget!K:K,Buget!E:E,'Nova Versão '!C63)</f>
        <v>1473211.2577443775</v>
      </c>
      <c r="AF63" s="264">
        <f t="shared" si="4"/>
        <v>0.33759326599328532</v>
      </c>
      <c r="AG63" s="290">
        <f t="shared" si="5"/>
        <v>975865.05774437753</v>
      </c>
    </row>
    <row r="64" spans="1:33" ht="13.8" customHeight="1" x14ac:dyDescent="0.25">
      <c r="A64" s="283"/>
      <c r="B64" s="288" t="str">
        <f>_xlfn.XLOOKUP(C64,'Info Clientes'!A:A,'Info Clientes'!B:B)</f>
        <v>Additive</v>
      </c>
      <c r="C64" s="234" t="s">
        <v>15465</v>
      </c>
      <c r="D64" s="290">
        <f>_xlfn.XLOOKUP(C64,'Limite de crédito'!C:C,'Limite de crédito'!G:G,0)</f>
        <v>700000</v>
      </c>
      <c r="E64" s="290">
        <f t="shared" si="0"/>
        <v>80600</v>
      </c>
      <c r="F64" s="290">
        <f>_xlfn.XLOOKUP('Nova Versão '!C64,'Limite de crédito'!C:C,'Limite de crédito'!O:O,0)</f>
        <v>0</v>
      </c>
      <c r="G64" s="291">
        <f t="shared" si="1"/>
        <v>80600</v>
      </c>
      <c r="H64" s="292" t="str">
        <f>_xlfn.XLOOKUP(C64,'Info Clientes'!A:A,'Info Clientes'!C:C)</f>
        <v>Approved in credit committee</v>
      </c>
      <c r="I64" s="292" t="str">
        <f>IF(_xlfn.XLOOKUP(C64,'Info Clientes'!A:A,'Info Clientes'!D:D,"")=0,"",_xlfn.XLOOKUP(C64,'Info Clientes'!A:A,'Info Clientes'!D:D,""))</f>
        <v/>
      </c>
      <c r="K64" s="290">
        <f t="shared" si="2"/>
        <v>80600</v>
      </c>
      <c r="L64" s="290">
        <f>_xlfn.XLOOKUP(C64,'Clientes Consolidado.'!$C:$C,'Clientes Consolidado.'!R:R,0)</f>
        <v>80600</v>
      </c>
      <c r="M64" s="290">
        <f>_xlfn.XLOOKUP(C64,'Clientes Consolidado.'!$C:$C,'Clientes Consolidado.'!S:S,0)</f>
        <v>0</v>
      </c>
      <c r="N64" s="290">
        <f>_xlfn.XLOOKUP(C64,'Clientes Consolidado.'!$C:$C,'Clientes Consolidado.'!T:T,0)</f>
        <v>0</v>
      </c>
      <c r="O64" s="290">
        <f>_xlfn.XLOOKUP(C64,'Clientes Consolidado.'!$C:$C,'Clientes Consolidado.'!U:U,0)</f>
        <v>0</v>
      </c>
      <c r="P64" s="290">
        <f>_xlfn.XLOOKUP(C64,'Clientes Consolidado.'!$C:$C,'Clientes Consolidado.'!V:V,0)</f>
        <v>0</v>
      </c>
      <c r="Q64" s="290">
        <f>_xlfn.XLOOKUP(C64,'Clientes Consolidado.'!$C:$C,'Clientes Consolidado.'!W:W,0)</f>
        <v>0</v>
      </c>
      <c r="R64" s="290">
        <f>_xlfn.XLOOKUP(C64,'Clientes Consolidado.'!$C:$C,'Clientes Consolidado.'!X:X,0)</f>
        <v>0</v>
      </c>
      <c r="S64" s="290">
        <f t="shared" si="6"/>
        <v>0</v>
      </c>
      <c r="T64" s="290">
        <f>SUMIFS('Clientes Consolidado.'!I:I,'Clientes Consolidado.'!C:C,C64,'Clientes Consolidado.'!B:B,"Fertilizer")
+SUMIFS('Clientes Consolidado.'!I:I,'Clientes Consolidado.'!C:C,C64,'Clientes Consolidado.'!B:B,"Additive")
+SUMIFS('Clientes Consolidado.'!I:I,'Clientes Consolidado.'!C:C,C64,'Clientes Consolidado.'!B:B,"Additive Intl.")</f>
        <v>0</v>
      </c>
      <c r="U64" s="290">
        <f>SUMIFS('Clientes Consolidado.'!J:J,'Clientes Consolidado.'!C:C,C64,'Clientes Consolidado.'!B:B,"Fertilizer")
+SUMIFS('Clientes Consolidado.'!J:J,'Clientes Consolidado.'!C:C,C64,'Clientes Consolidado.'!B:B,"Additive")
+SUMIFS('Clientes Consolidado.'!J:J,'Clientes Consolidado.'!C:C,C64,'Clientes Consolidado.'!B:B,"Additive Intl.")</f>
        <v>0</v>
      </c>
      <c r="V64" s="290">
        <f>SUMIFS('Clientes Consolidado.'!K:K,'Clientes Consolidado.'!C:C,C64,'Clientes Consolidado.'!B:B,"Fertilizer")
+SUMIFS('Clientes Consolidado.'!K:K,'Clientes Consolidado.'!C:C,C64,'Clientes Consolidado.'!B:B,"Additive")
+SUMIFS('Clientes Consolidado.'!K:K,'Clientes Consolidado.'!C:C,C64,'Clientes Consolidado.'!B:B,"Additive Intl.")</f>
        <v>0</v>
      </c>
      <c r="W64" s="290">
        <f>SUMIFS('Clientes Consolidado.'!L:L,'Clientes Consolidado.'!C:C,C64,'Clientes Consolidado.'!B:B,"Fertilizer")
+SUMIFS('Clientes Consolidado.'!L:L,'Clientes Consolidado.'!C:C,C64,'Clientes Consolidado.'!B:B,"Additive")
+SUMIFS('Clientes Consolidado.'!L:L,'Clientes Consolidado.'!C:C,C64,'Clientes Consolidado.'!B:B,"Additive Intl.")</f>
        <v>0</v>
      </c>
      <c r="X64" s="290">
        <f>SUMIFS('Clientes Consolidado.'!M:M,'Clientes Consolidado.'!C:C,C64,'Clientes Consolidado.'!B:B,"Fertilizer")
+SUMIFS('Clientes Consolidado.'!M:M,'Clientes Consolidado.'!C:C,C64,'Clientes Consolidado.'!B:B,"Additive")
+SUMIFS('Clientes Consolidado.'!M:M,'Clientes Consolidado.'!C:C,C64,'Clientes Consolidado.'!B:B,"Additive Intl.")</f>
        <v>0</v>
      </c>
      <c r="Y64" s="290">
        <f>SUMIFS('Clientes Consolidado.'!N:N,'Clientes Consolidado.'!C:C,C64,'Clientes Consolidado.'!B:B,"Fertilizer")
+SUMIFS('Clientes Consolidado.'!N:N,'Clientes Consolidado.'!C:C,C64,'Clientes Consolidado.'!B:B,"Additive")
+SUMIFS('Clientes Consolidado.'!N:N,'Clientes Consolidado.'!C:C,C64,'Clientes Consolidado.'!B:B,"Additive Intl.")</f>
        <v>0</v>
      </c>
      <c r="Z64" s="290">
        <f>SUMIFS('Clientes Consolidado.'!O:O,'Clientes Consolidado.'!C:C,C64,'Clientes Consolidado.'!B:B,"Fertilizer")
+SUMIFS('Clientes Consolidado.'!O:O,'Clientes Consolidado.'!C:C,C64,'Clientes Consolidado.'!B:B,"Additive")
+SUMIFS('Clientes Consolidado.'!O:O,'Clientes Consolidado.'!C:C,C64,'Clientes Consolidado.'!B:B,"Additive Intl.")</f>
        <v>0</v>
      </c>
      <c r="AA64" s="290">
        <f>SUMIFS('Clientes Consolidado.'!P:P,'Clientes Consolidado.'!C:C,'Nova Versão '!C64,'Clientes Consolidado.'!B:B,"Fertilizer / Litigation")+SUMIFS('Clientes Consolidado.'!P:P,'Clientes Consolidado.'!C:C,'Nova Versão '!C64,'Clientes Consolidado.'!B:B,"Additive / Litigation")</f>
        <v>0</v>
      </c>
      <c r="AB64" s="288"/>
      <c r="AD64" s="290">
        <f>SUMIFS('Invoiced amount'!I:I,'Invoiced amount'!AH:AH,'Nova Versão '!C64)</f>
        <v>1624061.8</v>
      </c>
      <c r="AE64" s="290">
        <f>SUMIFS(Buget!K:K,Buget!E:E,'Nova Versão '!C64)</f>
        <v>5260614.7412925037</v>
      </c>
      <c r="AF64" s="264">
        <f t="shared" si="4"/>
        <v>0.30872091568541232</v>
      </c>
      <c r="AG64" s="290">
        <f t="shared" si="5"/>
        <v>3636552.9412925038</v>
      </c>
    </row>
    <row r="65" spans="1:33" ht="13.8" customHeight="1" x14ac:dyDescent="0.25">
      <c r="A65" s="283"/>
      <c r="B65" s="288" t="str">
        <f>_xlfn.XLOOKUP(C65,'Info Clientes'!A:A,'Info Clientes'!B:B)</f>
        <v>Additive Intl.</v>
      </c>
      <c r="C65" s="96" t="s">
        <v>424</v>
      </c>
      <c r="D65" s="290">
        <f>_xlfn.XLOOKUP(C65,'Limite de crédito'!C:C,'Limite de crédito'!G:G,0)</f>
        <v>302500</v>
      </c>
      <c r="E65" s="290">
        <f t="shared" si="0"/>
        <v>76480.23</v>
      </c>
      <c r="F65" s="290">
        <f>_xlfn.XLOOKUP('Nova Versão '!C65,'Limite de crédito'!C:C,'Limite de crédito'!O:O,0)</f>
        <v>302500</v>
      </c>
      <c r="G65" s="291">
        <f t="shared" si="1"/>
        <v>0</v>
      </c>
      <c r="H65" s="292" t="str">
        <f>_xlfn.XLOOKUP(C65,'Info Clientes'!A:A,'Info Clientes'!C:C)</f>
        <v>Guarantee or credit</v>
      </c>
      <c r="I65" s="292" t="str">
        <f>IF(_xlfn.XLOOKUP(C65,'Info Clientes'!A:A,'Info Clientes'!D:D,"")=0,"",_xlfn.XLOOKUP(C65,'Info Clientes'!A:A,'Info Clientes'!D:D,""))</f>
        <v/>
      </c>
      <c r="K65" s="290">
        <f t="shared" si="2"/>
        <v>76480.23</v>
      </c>
      <c r="L65" s="290">
        <f>_xlfn.XLOOKUP(C65,'Clientes Consolidado.'!$C:$C,'Clientes Consolidado.'!R:R,0)</f>
        <v>0</v>
      </c>
      <c r="M65" s="290">
        <f>_xlfn.XLOOKUP(C65,'Clientes Consolidado.'!$C:$C,'Clientes Consolidado.'!S:S,0)</f>
        <v>0</v>
      </c>
      <c r="N65" s="290">
        <f>_xlfn.XLOOKUP(C65,'Clientes Consolidado.'!$C:$C,'Clientes Consolidado.'!T:T,0)</f>
        <v>0</v>
      </c>
      <c r="O65" s="290">
        <f>_xlfn.XLOOKUP(C65,'Clientes Consolidado.'!$C:$C,'Clientes Consolidado.'!U:U,0)</f>
        <v>0</v>
      </c>
      <c r="P65" s="290">
        <f>_xlfn.XLOOKUP(C65,'Clientes Consolidado.'!$C:$C,'Clientes Consolidado.'!V:V,0)</f>
        <v>0</v>
      </c>
      <c r="Q65" s="290">
        <f>_xlfn.XLOOKUP(C65,'Clientes Consolidado.'!$C:$C,'Clientes Consolidado.'!W:W,0)</f>
        <v>76480.23</v>
      </c>
      <c r="R65" s="290">
        <f>_xlfn.XLOOKUP(C65,'Clientes Consolidado.'!$C:$C,'Clientes Consolidado.'!X:X,0)</f>
        <v>0</v>
      </c>
      <c r="S65" s="290">
        <f t="shared" si="6"/>
        <v>0</v>
      </c>
      <c r="T65" s="290">
        <f>SUMIFS('Clientes Consolidado.'!I:I,'Clientes Consolidado.'!C:C,C65,'Clientes Consolidado.'!B:B,"Fertilizer")
+SUMIFS('Clientes Consolidado.'!I:I,'Clientes Consolidado.'!C:C,C65,'Clientes Consolidado.'!B:B,"Additive")
+SUMIFS('Clientes Consolidado.'!I:I,'Clientes Consolidado.'!C:C,C65,'Clientes Consolidado.'!B:B,"Additive Intl.")</f>
        <v>0</v>
      </c>
      <c r="U65" s="290">
        <f>SUMIFS('Clientes Consolidado.'!J:J,'Clientes Consolidado.'!C:C,C65,'Clientes Consolidado.'!B:B,"Fertilizer")
+SUMIFS('Clientes Consolidado.'!J:J,'Clientes Consolidado.'!C:C,C65,'Clientes Consolidado.'!B:B,"Additive")
+SUMIFS('Clientes Consolidado.'!J:J,'Clientes Consolidado.'!C:C,C65,'Clientes Consolidado.'!B:B,"Additive Intl.")</f>
        <v>0</v>
      </c>
      <c r="V65" s="290">
        <f>SUMIFS('Clientes Consolidado.'!K:K,'Clientes Consolidado.'!C:C,C65,'Clientes Consolidado.'!B:B,"Fertilizer")
+SUMIFS('Clientes Consolidado.'!K:K,'Clientes Consolidado.'!C:C,C65,'Clientes Consolidado.'!B:B,"Additive")
+SUMIFS('Clientes Consolidado.'!K:K,'Clientes Consolidado.'!C:C,C65,'Clientes Consolidado.'!B:B,"Additive Intl.")</f>
        <v>0</v>
      </c>
      <c r="W65" s="290">
        <f>SUMIFS('Clientes Consolidado.'!L:L,'Clientes Consolidado.'!C:C,C65,'Clientes Consolidado.'!B:B,"Fertilizer")
+SUMIFS('Clientes Consolidado.'!L:L,'Clientes Consolidado.'!C:C,C65,'Clientes Consolidado.'!B:B,"Additive")
+SUMIFS('Clientes Consolidado.'!L:L,'Clientes Consolidado.'!C:C,C65,'Clientes Consolidado.'!B:B,"Additive Intl.")</f>
        <v>0</v>
      </c>
      <c r="X65" s="290">
        <f>SUMIFS('Clientes Consolidado.'!M:M,'Clientes Consolidado.'!C:C,C65,'Clientes Consolidado.'!B:B,"Fertilizer")
+SUMIFS('Clientes Consolidado.'!M:M,'Clientes Consolidado.'!C:C,C65,'Clientes Consolidado.'!B:B,"Additive")
+SUMIFS('Clientes Consolidado.'!M:M,'Clientes Consolidado.'!C:C,C65,'Clientes Consolidado.'!B:B,"Additive Intl.")</f>
        <v>0</v>
      </c>
      <c r="Y65" s="290">
        <f>SUMIFS('Clientes Consolidado.'!N:N,'Clientes Consolidado.'!C:C,C65,'Clientes Consolidado.'!B:B,"Fertilizer")
+SUMIFS('Clientes Consolidado.'!N:N,'Clientes Consolidado.'!C:C,C65,'Clientes Consolidado.'!B:B,"Additive")
+SUMIFS('Clientes Consolidado.'!N:N,'Clientes Consolidado.'!C:C,C65,'Clientes Consolidado.'!B:B,"Additive Intl.")</f>
        <v>0</v>
      </c>
      <c r="Z65" s="290">
        <f>SUMIFS('Clientes Consolidado.'!O:O,'Clientes Consolidado.'!C:C,C65,'Clientes Consolidado.'!B:B,"Fertilizer")
+SUMIFS('Clientes Consolidado.'!O:O,'Clientes Consolidado.'!C:C,C65,'Clientes Consolidado.'!B:B,"Additive")
+SUMIFS('Clientes Consolidado.'!O:O,'Clientes Consolidado.'!C:C,C65,'Clientes Consolidado.'!B:B,"Additive Intl.")</f>
        <v>0</v>
      </c>
      <c r="AA65" s="290">
        <f>SUMIFS('Clientes Consolidado.'!P:P,'Clientes Consolidado.'!C:C,'Nova Versão '!C65,'Clientes Consolidado.'!B:B,"Fertilizer / Litigation")+SUMIFS('Clientes Consolidado.'!P:P,'Clientes Consolidado.'!C:C,'Nova Versão '!C65,'Clientes Consolidado.'!B:B,"Additive / Litigation")</f>
        <v>0</v>
      </c>
      <c r="AB65" s="288"/>
      <c r="AD65" s="290">
        <f>SUMIFS('Invoiced amount'!I:I,'Invoiced amount'!AH:AH,'Nova Versão '!C65)</f>
        <v>76480.23</v>
      </c>
      <c r="AE65" s="290">
        <f>SUMIFS(Buget!K:K,Buget!E:E,'Nova Versão '!C65)</f>
        <v>274742.82041965146</v>
      </c>
      <c r="AF65" s="264">
        <f t="shared" si="4"/>
        <v>0.27837025871388199</v>
      </c>
      <c r="AG65" s="290">
        <f t="shared" si="5"/>
        <v>198262.59041965147</v>
      </c>
    </row>
    <row r="66" spans="1:33" ht="13.8" customHeight="1" x14ac:dyDescent="0.25">
      <c r="A66" s="283"/>
      <c r="B66" s="288" t="str">
        <f>_xlfn.XLOOKUP(C66,'Info Clientes'!A:A,'Info Clientes'!B:B)</f>
        <v>Additive</v>
      </c>
      <c r="C66" s="96" t="s">
        <v>42</v>
      </c>
      <c r="D66" s="290">
        <f>_xlfn.XLOOKUP(C66,'Limite de crédito'!C:C,'Limite de crédito'!G:G,0)</f>
        <v>200000</v>
      </c>
      <c r="E66" s="290">
        <f t="shared" si="0"/>
        <v>69596</v>
      </c>
      <c r="F66" s="290">
        <f>_xlfn.XLOOKUP('Nova Versão '!C66,'Limite de crédito'!C:C,'Limite de crédito'!O:O,0)</f>
        <v>200000</v>
      </c>
      <c r="G66" s="291">
        <f t="shared" si="1"/>
        <v>0</v>
      </c>
      <c r="H66" s="292" t="str">
        <f>_xlfn.XLOOKUP(C66,'Info Clientes'!A:A,'Info Clientes'!C:C)</f>
        <v>Guarantee or credit</v>
      </c>
      <c r="I66" s="292" t="str">
        <f>IF(_xlfn.XLOOKUP(C66,'Info Clientes'!A:A,'Info Clientes'!D:D,"")=0,"",_xlfn.XLOOKUP(C66,'Info Clientes'!A:A,'Info Clientes'!D:D,""))</f>
        <v/>
      </c>
      <c r="K66" s="290">
        <f t="shared" si="2"/>
        <v>69596</v>
      </c>
      <c r="L66" s="290">
        <f>_xlfn.XLOOKUP(C66,'Clientes Consolidado.'!$C:$C,'Clientes Consolidado.'!R:R,0)</f>
        <v>69596</v>
      </c>
      <c r="M66" s="290">
        <f>_xlfn.XLOOKUP(C66,'Clientes Consolidado.'!$C:$C,'Clientes Consolidado.'!S:S,0)</f>
        <v>0</v>
      </c>
      <c r="N66" s="290">
        <f>_xlfn.XLOOKUP(C66,'Clientes Consolidado.'!$C:$C,'Clientes Consolidado.'!T:T,0)</f>
        <v>0</v>
      </c>
      <c r="O66" s="290">
        <f>_xlfn.XLOOKUP(C66,'Clientes Consolidado.'!$C:$C,'Clientes Consolidado.'!U:U,0)</f>
        <v>0</v>
      </c>
      <c r="P66" s="290">
        <f>_xlfn.XLOOKUP(C66,'Clientes Consolidado.'!$C:$C,'Clientes Consolidado.'!V:V,0)</f>
        <v>0</v>
      </c>
      <c r="Q66" s="290">
        <f>_xlfn.XLOOKUP(C66,'Clientes Consolidado.'!$C:$C,'Clientes Consolidado.'!W:W,0)</f>
        <v>0</v>
      </c>
      <c r="R66" s="290">
        <f>_xlfn.XLOOKUP(C66,'Clientes Consolidado.'!$C:$C,'Clientes Consolidado.'!X:X,0)</f>
        <v>0</v>
      </c>
      <c r="S66" s="290">
        <f t="shared" si="6"/>
        <v>0</v>
      </c>
      <c r="T66" s="290">
        <f>SUMIFS('Clientes Consolidado.'!I:I,'Clientes Consolidado.'!C:C,C66,'Clientes Consolidado.'!B:B,"Fertilizer")
+SUMIFS('Clientes Consolidado.'!I:I,'Clientes Consolidado.'!C:C,C66,'Clientes Consolidado.'!B:B,"Additive")
+SUMIFS('Clientes Consolidado.'!I:I,'Clientes Consolidado.'!C:C,C66,'Clientes Consolidado.'!B:B,"Additive Intl.")</f>
        <v>0</v>
      </c>
      <c r="U66" s="290">
        <f>SUMIFS('Clientes Consolidado.'!J:J,'Clientes Consolidado.'!C:C,C66,'Clientes Consolidado.'!B:B,"Fertilizer")
+SUMIFS('Clientes Consolidado.'!J:J,'Clientes Consolidado.'!C:C,C66,'Clientes Consolidado.'!B:B,"Additive")
+SUMIFS('Clientes Consolidado.'!J:J,'Clientes Consolidado.'!C:C,C66,'Clientes Consolidado.'!B:B,"Additive Intl.")</f>
        <v>0</v>
      </c>
      <c r="V66" s="290">
        <f>SUMIFS('Clientes Consolidado.'!K:K,'Clientes Consolidado.'!C:C,C66,'Clientes Consolidado.'!B:B,"Fertilizer")
+SUMIFS('Clientes Consolidado.'!K:K,'Clientes Consolidado.'!C:C,C66,'Clientes Consolidado.'!B:B,"Additive")
+SUMIFS('Clientes Consolidado.'!K:K,'Clientes Consolidado.'!C:C,C66,'Clientes Consolidado.'!B:B,"Additive Intl.")</f>
        <v>0</v>
      </c>
      <c r="W66" s="290">
        <f>SUMIFS('Clientes Consolidado.'!L:L,'Clientes Consolidado.'!C:C,C66,'Clientes Consolidado.'!B:B,"Fertilizer")
+SUMIFS('Clientes Consolidado.'!L:L,'Clientes Consolidado.'!C:C,C66,'Clientes Consolidado.'!B:B,"Additive")
+SUMIFS('Clientes Consolidado.'!L:L,'Clientes Consolidado.'!C:C,C66,'Clientes Consolidado.'!B:B,"Additive Intl.")</f>
        <v>0</v>
      </c>
      <c r="X66" s="290">
        <f>SUMIFS('Clientes Consolidado.'!M:M,'Clientes Consolidado.'!C:C,C66,'Clientes Consolidado.'!B:B,"Fertilizer")
+SUMIFS('Clientes Consolidado.'!M:M,'Clientes Consolidado.'!C:C,C66,'Clientes Consolidado.'!B:B,"Additive")
+SUMIFS('Clientes Consolidado.'!M:M,'Clientes Consolidado.'!C:C,C66,'Clientes Consolidado.'!B:B,"Additive Intl.")</f>
        <v>0</v>
      </c>
      <c r="Y66" s="290">
        <f>SUMIFS('Clientes Consolidado.'!N:N,'Clientes Consolidado.'!C:C,C66,'Clientes Consolidado.'!B:B,"Fertilizer")
+SUMIFS('Clientes Consolidado.'!N:N,'Clientes Consolidado.'!C:C,C66,'Clientes Consolidado.'!B:B,"Additive")
+SUMIFS('Clientes Consolidado.'!N:N,'Clientes Consolidado.'!C:C,C66,'Clientes Consolidado.'!B:B,"Additive Intl.")</f>
        <v>0</v>
      </c>
      <c r="Z66" s="290">
        <f>SUMIFS('Clientes Consolidado.'!O:O,'Clientes Consolidado.'!C:C,C66,'Clientes Consolidado.'!B:B,"Fertilizer")
+SUMIFS('Clientes Consolidado.'!O:O,'Clientes Consolidado.'!C:C,C66,'Clientes Consolidado.'!B:B,"Additive")
+SUMIFS('Clientes Consolidado.'!O:O,'Clientes Consolidado.'!C:C,C66,'Clientes Consolidado.'!B:B,"Additive Intl.")</f>
        <v>0</v>
      </c>
      <c r="AA66" s="290">
        <f>SUMIFS('Clientes Consolidado.'!P:P,'Clientes Consolidado.'!C:C,'Nova Versão '!C66,'Clientes Consolidado.'!B:B,"Fertilizer / Litigation")+SUMIFS('Clientes Consolidado.'!P:P,'Clientes Consolidado.'!C:C,'Nova Versão '!C66,'Clientes Consolidado.'!B:B,"Additive / Litigation")</f>
        <v>0</v>
      </c>
      <c r="AB66" s="288"/>
      <c r="AD66" s="290">
        <f>SUMIFS('Invoiced amount'!I:I,'Invoiced amount'!AH:AH,'Nova Versão '!C66)</f>
        <v>0</v>
      </c>
      <c r="AE66" s="290">
        <f>SUMIFS(Buget!K:K,Buget!E:E,'Nova Versão '!C66)</f>
        <v>291840</v>
      </c>
      <c r="AF66" s="264">
        <f t="shared" si="4"/>
        <v>0</v>
      </c>
      <c r="AG66" s="290">
        <f t="shared" si="5"/>
        <v>291840</v>
      </c>
    </row>
    <row r="67" spans="1:33" ht="13.8" customHeight="1" x14ac:dyDescent="0.25">
      <c r="A67" s="283"/>
      <c r="B67" s="288" t="str">
        <f>_xlfn.XLOOKUP(C67,'Info Clientes'!A:A,'Info Clientes'!B:B)</f>
        <v>Additive</v>
      </c>
      <c r="C67" s="96" t="s">
        <v>508</v>
      </c>
      <c r="D67" s="290">
        <f>_xlfn.XLOOKUP(C67,'Limite de crédito'!C:C,'Limite de crédito'!G:G,0)</f>
        <v>1300000</v>
      </c>
      <c r="E67" s="290">
        <f t="shared" si="0"/>
        <v>68500</v>
      </c>
      <c r="F67" s="290">
        <f>_xlfn.XLOOKUP('Nova Versão '!C67,'Limite de crédito'!C:C,'Limite de crédito'!O:O,0)</f>
        <v>1300000</v>
      </c>
      <c r="G67" s="291">
        <f t="shared" si="1"/>
        <v>0</v>
      </c>
      <c r="H67" s="292" t="str">
        <f>_xlfn.XLOOKUP(C67,'Info Clientes'!A:A,'Info Clientes'!C:C)</f>
        <v>Guarantee or credit</v>
      </c>
      <c r="I67" s="292" t="str">
        <f>IF(_xlfn.XLOOKUP(C67,'Info Clientes'!A:A,'Info Clientes'!D:D,"")=0,"",_xlfn.XLOOKUP(C67,'Info Clientes'!A:A,'Info Clientes'!D:D,""))</f>
        <v/>
      </c>
      <c r="K67" s="290">
        <f t="shared" si="2"/>
        <v>68500</v>
      </c>
      <c r="L67" s="290">
        <f>_xlfn.XLOOKUP(C67,'Clientes Consolidado.'!$C:$C,'Clientes Consolidado.'!R:R,0)</f>
        <v>68500</v>
      </c>
      <c r="M67" s="290">
        <f>_xlfn.XLOOKUP(C67,'Clientes Consolidado.'!$C:$C,'Clientes Consolidado.'!S:S,0)</f>
        <v>0</v>
      </c>
      <c r="N67" s="290">
        <f>_xlfn.XLOOKUP(C67,'Clientes Consolidado.'!$C:$C,'Clientes Consolidado.'!T:T,0)</f>
        <v>0</v>
      </c>
      <c r="O67" s="290">
        <f>_xlfn.XLOOKUP(C67,'Clientes Consolidado.'!$C:$C,'Clientes Consolidado.'!U:U,0)</f>
        <v>0</v>
      </c>
      <c r="P67" s="290">
        <f>_xlfn.XLOOKUP(C67,'Clientes Consolidado.'!$C:$C,'Clientes Consolidado.'!V:V,0)</f>
        <v>0</v>
      </c>
      <c r="Q67" s="290">
        <f>_xlfn.XLOOKUP(C67,'Clientes Consolidado.'!$C:$C,'Clientes Consolidado.'!W:W,0)</f>
        <v>0</v>
      </c>
      <c r="R67" s="290">
        <f>_xlfn.XLOOKUP(C67,'Clientes Consolidado.'!$C:$C,'Clientes Consolidado.'!X:X,0)</f>
        <v>0</v>
      </c>
      <c r="S67" s="290">
        <f t="shared" ref="S67:S81" si="7">SUM(T67:Z67)</f>
        <v>0</v>
      </c>
      <c r="T67" s="290">
        <f>SUMIFS('Clientes Consolidado.'!I:I,'Clientes Consolidado.'!C:C,C67,'Clientes Consolidado.'!B:B,"Fertilizer")
+SUMIFS('Clientes Consolidado.'!I:I,'Clientes Consolidado.'!C:C,C67,'Clientes Consolidado.'!B:B,"Additive")
+SUMIFS('Clientes Consolidado.'!I:I,'Clientes Consolidado.'!C:C,C67,'Clientes Consolidado.'!B:B,"Additive Intl.")</f>
        <v>0</v>
      </c>
      <c r="U67" s="290">
        <f>SUMIFS('Clientes Consolidado.'!J:J,'Clientes Consolidado.'!C:C,C67,'Clientes Consolidado.'!B:B,"Fertilizer")
+SUMIFS('Clientes Consolidado.'!J:J,'Clientes Consolidado.'!C:C,C67,'Clientes Consolidado.'!B:B,"Additive")
+SUMIFS('Clientes Consolidado.'!J:J,'Clientes Consolidado.'!C:C,C67,'Clientes Consolidado.'!B:B,"Additive Intl.")</f>
        <v>0</v>
      </c>
      <c r="V67" s="290">
        <f>SUMIFS('Clientes Consolidado.'!K:K,'Clientes Consolidado.'!C:C,C67,'Clientes Consolidado.'!B:B,"Fertilizer")
+SUMIFS('Clientes Consolidado.'!K:K,'Clientes Consolidado.'!C:C,C67,'Clientes Consolidado.'!B:B,"Additive")
+SUMIFS('Clientes Consolidado.'!K:K,'Clientes Consolidado.'!C:C,C67,'Clientes Consolidado.'!B:B,"Additive Intl.")</f>
        <v>0</v>
      </c>
      <c r="W67" s="290">
        <f>SUMIFS('Clientes Consolidado.'!L:L,'Clientes Consolidado.'!C:C,C67,'Clientes Consolidado.'!B:B,"Fertilizer")
+SUMIFS('Clientes Consolidado.'!L:L,'Clientes Consolidado.'!C:C,C67,'Clientes Consolidado.'!B:B,"Additive")
+SUMIFS('Clientes Consolidado.'!L:L,'Clientes Consolidado.'!C:C,C67,'Clientes Consolidado.'!B:B,"Additive Intl.")</f>
        <v>0</v>
      </c>
      <c r="X67" s="290">
        <f>SUMIFS('Clientes Consolidado.'!M:M,'Clientes Consolidado.'!C:C,C67,'Clientes Consolidado.'!B:B,"Fertilizer")
+SUMIFS('Clientes Consolidado.'!M:M,'Clientes Consolidado.'!C:C,C67,'Clientes Consolidado.'!B:B,"Additive")
+SUMIFS('Clientes Consolidado.'!M:M,'Clientes Consolidado.'!C:C,C67,'Clientes Consolidado.'!B:B,"Additive Intl.")</f>
        <v>0</v>
      </c>
      <c r="Y67" s="290">
        <f>SUMIFS('Clientes Consolidado.'!N:N,'Clientes Consolidado.'!C:C,C67,'Clientes Consolidado.'!B:B,"Fertilizer")
+SUMIFS('Clientes Consolidado.'!N:N,'Clientes Consolidado.'!C:C,C67,'Clientes Consolidado.'!B:B,"Additive")
+SUMIFS('Clientes Consolidado.'!N:N,'Clientes Consolidado.'!C:C,C67,'Clientes Consolidado.'!B:B,"Additive Intl.")</f>
        <v>0</v>
      </c>
      <c r="Z67" s="290">
        <f>SUMIFS('Clientes Consolidado.'!O:O,'Clientes Consolidado.'!C:C,C67,'Clientes Consolidado.'!B:B,"Fertilizer")
+SUMIFS('Clientes Consolidado.'!O:O,'Clientes Consolidado.'!C:C,C67,'Clientes Consolidado.'!B:B,"Additive")
+SUMIFS('Clientes Consolidado.'!O:O,'Clientes Consolidado.'!C:C,C67,'Clientes Consolidado.'!B:B,"Additive Intl.")</f>
        <v>0</v>
      </c>
      <c r="AA67" s="290">
        <f>SUMIFS('Clientes Consolidado.'!P:P,'Clientes Consolidado.'!C:C,'Nova Versão '!C67,'Clientes Consolidado.'!B:B,"Fertilizer / Litigation")+SUMIFS('Clientes Consolidado.'!P:P,'Clientes Consolidado.'!C:C,'Nova Versão '!C67,'Clientes Consolidado.'!B:B,"Additive / Litigation")</f>
        <v>0</v>
      </c>
      <c r="AB67" s="288"/>
      <c r="AD67" s="290">
        <f>SUMIFS('Invoiced amount'!I:I,'Invoiced amount'!AH:AH,'Nova Versão '!C67)</f>
        <v>0</v>
      </c>
      <c r="AE67" s="290">
        <f>SUMIFS(Buget!K:K,Buget!E:E,'Nova Versão '!C67)</f>
        <v>284400</v>
      </c>
      <c r="AF67" s="264">
        <f t="shared" si="4"/>
        <v>0</v>
      </c>
      <c r="AG67" s="290">
        <f t="shared" si="5"/>
        <v>284400</v>
      </c>
    </row>
    <row r="68" spans="1:33" ht="13.8" customHeight="1" x14ac:dyDescent="0.25">
      <c r="A68" s="283"/>
      <c r="B68" s="288" t="str">
        <f>_xlfn.XLOOKUP(C68,'Info Clientes'!A:A,'Info Clientes'!B:B)</f>
        <v>Additive</v>
      </c>
      <c r="C68" s="96" t="s">
        <v>468</v>
      </c>
      <c r="D68" s="290">
        <f>_xlfn.XLOOKUP(C68,'Limite de crédito'!C:C,'Limite de crédito'!G:G,0)</f>
        <v>1000000</v>
      </c>
      <c r="E68" s="290">
        <f t="shared" ref="E68:E81" si="8">K68+S68+AA68</f>
        <v>66740</v>
      </c>
      <c r="F68" s="290">
        <f>_xlfn.XLOOKUP('Nova Versão '!C68,'Limite de crédito'!C:C,'Limite de crédito'!O:O,0)</f>
        <v>1000000</v>
      </c>
      <c r="G68" s="291">
        <f t="shared" ref="G68:G81" si="9">MAX(E68-F68,0)</f>
        <v>0</v>
      </c>
      <c r="H68" s="292" t="str">
        <f>_xlfn.XLOOKUP(C68,'Info Clientes'!A:A,'Info Clientes'!C:C)</f>
        <v>Guarantee or credit</v>
      </c>
      <c r="I68" s="292" t="str">
        <f>IF(_xlfn.XLOOKUP(C68,'Info Clientes'!A:A,'Info Clientes'!D:D,"")=0,"",_xlfn.XLOOKUP(C68,'Info Clientes'!A:A,'Info Clientes'!D:D,""))</f>
        <v/>
      </c>
      <c r="K68" s="290">
        <f t="shared" ref="K68:K81" si="10">L68+M68+N68+O68+P68+Q68+R68</f>
        <v>66740</v>
      </c>
      <c r="L68" s="290">
        <f>_xlfn.XLOOKUP(C68,'Clientes Consolidado.'!$C:$C,'Clientes Consolidado.'!R:R,0)</f>
        <v>66740</v>
      </c>
      <c r="M68" s="290">
        <f>_xlfn.XLOOKUP(C68,'Clientes Consolidado.'!$C:$C,'Clientes Consolidado.'!S:S,0)</f>
        <v>0</v>
      </c>
      <c r="N68" s="290">
        <f>_xlfn.XLOOKUP(C68,'Clientes Consolidado.'!$C:$C,'Clientes Consolidado.'!T:T,0)</f>
        <v>0</v>
      </c>
      <c r="O68" s="290">
        <f>_xlfn.XLOOKUP(C68,'Clientes Consolidado.'!$C:$C,'Clientes Consolidado.'!U:U,0)</f>
        <v>0</v>
      </c>
      <c r="P68" s="290">
        <f>_xlfn.XLOOKUP(C68,'Clientes Consolidado.'!$C:$C,'Clientes Consolidado.'!V:V,0)</f>
        <v>0</v>
      </c>
      <c r="Q68" s="290">
        <f>_xlfn.XLOOKUP(C68,'Clientes Consolidado.'!$C:$C,'Clientes Consolidado.'!W:W,0)</f>
        <v>0</v>
      </c>
      <c r="R68" s="290">
        <f>_xlfn.XLOOKUP(C68,'Clientes Consolidado.'!$C:$C,'Clientes Consolidado.'!X:X,0)</f>
        <v>0</v>
      </c>
      <c r="S68" s="290">
        <f t="shared" si="7"/>
        <v>0</v>
      </c>
      <c r="T68" s="290">
        <f>SUMIFS('Clientes Consolidado.'!I:I,'Clientes Consolidado.'!C:C,C68,'Clientes Consolidado.'!B:B,"Fertilizer")
+SUMIFS('Clientes Consolidado.'!I:I,'Clientes Consolidado.'!C:C,C68,'Clientes Consolidado.'!B:B,"Additive")
+SUMIFS('Clientes Consolidado.'!I:I,'Clientes Consolidado.'!C:C,C68,'Clientes Consolidado.'!B:B,"Additive Intl.")</f>
        <v>0</v>
      </c>
      <c r="U68" s="290">
        <f>SUMIFS('Clientes Consolidado.'!J:J,'Clientes Consolidado.'!C:C,C68,'Clientes Consolidado.'!B:B,"Fertilizer")
+SUMIFS('Clientes Consolidado.'!J:J,'Clientes Consolidado.'!C:C,C68,'Clientes Consolidado.'!B:B,"Additive")
+SUMIFS('Clientes Consolidado.'!J:J,'Clientes Consolidado.'!C:C,C68,'Clientes Consolidado.'!B:B,"Additive Intl.")</f>
        <v>0</v>
      </c>
      <c r="V68" s="290">
        <f>SUMIFS('Clientes Consolidado.'!K:K,'Clientes Consolidado.'!C:C,C68,'Clientes Consolidado.'!B:B,"Fertilizer")
+SUMIFS('Clientes Consolidado.'!K:K,'Clientes Consolidado.'!C:C,C68,'Clientes Consolidado.'!B:B,"Additive")
+SUMIFS('Clientes Consolidado.'!K:K,'Clientes Consolidado.'!C:C,C68,'Clientes Consolidado.'!B:B,"Additive Intl.")</f>
        <v>0</v>
      </c>
      <c r="W68" s="290">
        <f>SUMIFS('Clientes Consolidado.'!L:L,'Clientes Consolidado.'!C:C,C68,'Clientes Consolidado.'!B:B,"Fertilizer")
+SUMIFS('Clientes Consolidado.'!L:L,'Clientes Consolidado.'!C:C,C68,'Clientes Consolidado.'!B:B,"Additive")
+SUMIFS('Clientes Consolidado.'!L:L,'Clientes Consolidado.'!C:C,C68,'Clientes Consolidado.'!B:B,"Additive Intl.")</f>
        <v>0</v>
      </c>
      <c r="X68" s="290">
        <f>SUMIFS('Clientes Consolidado.'!M:M,'Clientes Consolidado.'!C:C,C68,'Clientes Consolidado.'!B:B,"Fertilizer")
+SUMIFS('Clientes Consolidado.'!M:M,'Clientes Consolidado.'!C:C,C68,'Clientes Consolidado.'!B:B,"Additive")
+SUMIFS('Clientes Consolidado.'!M:M,'Clientes Consolidado.'!C:C,C68,'Clientes Consolidado.'!B:B,"Additive Intl.")</f>
        <v>0</v>
      </c>
      <c r="Y68" s="290">
        <f>SUMIFS('Clientes Consolidado.'!N:N,'Clientes Consolidado.'!C:C,C68,'Clientes Consolidado.'!B:B,"Fertilizer")
+SUMIFS('Clientes Consolidado.'!N:N,'Clientes Consolidado.'!C:C,C68,'Clientes Consolidado.'!B:B,"Additive")
+SUMIFS('Clientes Consolidado.'!N:N,'Clientes Consolidado.'!C:C,C68,'Clientes Consolidado.'!B:B,"Additive Intl.")</f>
        <v>0</v>
      </c>
      <c r="Z68" s="290">
        <f>SUMIFS('Clientes Consolidado.'!O:O,'Clientes Consolidado.'!C:C,C68,'Clientes Consolidado.'!B:B,"Fertilizer")
+SUMIFS('Clientes Consolidado.'!O:O,'Clientes Consolidado.'!C:C,C68,'Clientes Consolidado.'!B:B,"Additive")
+SUMIFS('Clientes Consolidado.'!O:O,'Clientes Consolidado.'!C:C,C68,'Clientes Consolidado.'!B:B,"Additive Intl.")</f>
        <v>0</v>
      </c>
      <c r="AA68" s="290">
        <f>SUMIFS('Clientes Consolidado.'!P:P,'Clientes Consolidado.'!C:C,'Nova Versão '!C68,'Clientes Consolidado.'!B:B,"Fertilizer / Litigation")+SUMIFS('Clientes Consolidado.'!P:P,'Clientes Consolidado.'!C:C,'Nova Versão '!C68,'Clientes Consolidado.'!B:B,"Additive / Litigation")</f>
        <v>0</v>
      </c>
      <c r="AB68" s="288"/>
      <c r="AD68" s="290">
        <f>SUMIFS('Invoiced amount'!I:I,'Invoiced amount'!AH:AH,'Nova Versão '!C68)</f>
        <v>133480</v>
      </c>
      <c r="AE68" s="290">
        <f>SUMIFS(Buget!K:K,Buget!E:E,'Nova Versão '!C68)</f>
        <v>340390.04380996648</v>
      </c>
      <c r="AF68" s="264">
        <f t="shared" ref="AF68:AF85" si="11">IF(OR(AE68=0,AE68=""),"",AD68/AE68)</f>
        <v>0.39213837897832121</v>
      </c>
      <c r="AG68" s="290">
        <f t="shared" ref="AG68:AG85" si="12">MAX(AE68-AD68,0)</f>
        <v>206910.04380996648</v>
      </c>
    </row>
    <row r="69" spans="1:33" ht="13.8" customHeight="1" x14ac:dyDescent="0.25">
      <c r="A69" s="283"/>
      <c r="B69" s="288" t="str">
        <f>_xlfn.XLOOKUP(C69,'Info Clientes'!A:A,'Info Clientes'!B:B)</f>
        <v>Additive</v>
      </c>
      <c r="C69" s="234" t="s">
        <v>224</v>
      </c>
      <c r="D69" s="290">
        <f>_xlfn.XLOOKUP(C69,'Limite de crédito'!C:C,'Limite de crédito'!G:G,0)</f>
        <v>100000</v>
      </c>
      <c r="E69" s="290">
        <f t="shared" si="8"/>
        <v>65758</v>
      </c>
      <c r="F69" s="290">
        <f>_xlfn.XLOOKUP('Nova Versão '!C69,'Limite de crédito'!C:C,'Limite de crédito'!O:O,0)</f>
        <v>0</v>
      </c>
      <c r="G69" s="291">
        <f t="shared" si="9"/>
        <v>65758</v>
      </c>
      <c r="H69" s="292" t="str">
        <f>_xlfn.XLOOKUP(C69,'Info Clientes'!A:A,'Info Clientes'!C:C)</f>
        <v>Approved in credit committee</v>
      </c>
      <c r="I69" s="292" t="str">
        <f>IF(_xlfn.XLOOKUP(C69,'Info Clientes'!A:A,'Info Clientes'!D:D,"")=0,"",_xlfn.XLOOKUP(C69,'Info Clientes'!A:A,'Info Clientes'!D:D,""))</f>
        <v/>
      </c>
      <c r="K69" s="290">
        <f t="shared" si="10"/>
        <v>65758</v>
      </c>
      <c r="L69" s="290">
        <f>_xlfn.XLOOKUP(C69,'Clientes Consolidado.'!$C:$C,'Clientes Consolidado.'!R:R,0)</f>
        <v>65758</v>
      </c>
      <c r="M69" s="290">
        <f>_xlfn.XLOOKUP(C69,'Clientes Consolidado.'!$C:$C,'Clientes Consolidado.'!S:S,0)</f>
        <v>0</v>
      </c>
      <c r="N69" s="290">
        <f>_xlfn.XLOOKUP(C69,'Clientes Consolidado.'!$C:$C,'Clientes Consolidado.'!T:T,0)</f>
        <v>0</v>
      </c>
      <c r="O69" s="290">
        <f>_xlfn.XLOOKUP(C69,'Clientes Consolidado.'!$C:$C,'Clientes Consolidado.'!U:U,0)</f>
        <v>0</v>
      </c>
      <c r="P69" s="290">
        <f>_xlfn.XLOOKUP(C69,'Clientes Consolidado.'!$C:$C,'Clientes Consolidado.'!V:V,0)</f>
        <v>0</v>
      </c>
      <c r="Q69" s="290">
        <f>_xlfn.XLOOKUP(C69,'Clientes Consolidado.'!$C:$C,'Clientes Consolidado.'!W:W,0)</f>
        <v>0</v>
      </c>
      <c r="R69" s="290">
        <f>_xlfn.XLOOKUP(C69,'Clientes Consolidado.'!$C:$C,'Clientes Consolidado.'!X:X,0)</f>
        <v>0</v>
      </c>
      <c r="S69" s="290">
        <f t="shared" si="7"/>
        <v>0</v>
      </c>
      <c r="T69" s="290">
        <f>SUMIFS('Clientes Consolidado.'!I:I,'Clientes Consolidado.'!C:C,C69,'Clientes Consolidado.'!B:B,"Fertilizer")
+SUMIFS('Clientes Consolidado.'!I:I,'Clientes Consolidado.'!C:C,C69,'Clientes Consolidado.'!B:B,"Additive")
+SUMIFS('Clientes Consolidado.'!I:I,'Clientes Consolidado.'!C:C,C69,'Clientes Consolidado.'!B:B,"Additive Intl.")</f>
        <v>0</v>
      </c>
      <c r="U69" s="290">
        <f>SUMIFS('Clientes Consolidado.'!J:J,'Clientes Consolidado.'!C:C,C69,'Clientes Consolidado.'!B:B,"Fertilizer")
+SUMIFS('Clientes Consolidado.'!J:J,'Clientes Consolidado.'!C:C,C69,'Clientes Consolidado.'!B:B,"Additive")
+SUMIFS('Clientes Consolidado.'!J:J,'Clientes Consolidado.'!C:C,C69,'Clientes Consolidado.'!B:B,"Additive Intl.")</f>
        <v>0</v>
      </c>
      <c r="V69" s="290">
        <f>SUMIFS('Clientes Consolidado.'!K:K,'Clientes Consolidado.'!C:C,C69,'Clientes Consolidado.'!B:B,"Fertilizer")
+SUMIFS('Clientes Consolidado.'!K:K,'Clientes Consolidado.'!C:C,C69,'Clientes Consolidado.'!B:B,"Additive")
+SUMIFS('Clientes Consolidado.'!K:K,'Clientes Consolidado.'!C:C,C69,'Clientes Consolidado.'!B:B,"Additive Intl.")</f>
        <v>0</v>
      </c>
      <c r="W69" s="290">
        <f>SUMIFS('Clientes Consolidado.'!L:L,'Clientes Consolidado.'!C:C,C69,'Clientes Consolidado.'!B:B,"Fertilizer")
+SUMIFS('Clientes Consolidado.'!L:L,'Clientes Consolidado.'!C:C,C69,'Clientes Consolidado.'!B:B,"Additive")
+SUMIFS('Clientes Consolidado.'!L:L,'Clientes Consolidado.'!C:C,C69,'Clientes Consolidado.'!B:B,"Additive Intl.")</f>
        <v>0</v>
      </c>
      <c r="X69" s="290">
        <f>SUMIFS('Clientes Consolidado.'!M:M,'Clientes Consolidado.'!C:C,C69,'Clientes Consolidado.'!B:B,"Fertilizer")
+SUMIFS('Clientes Consolidado.'!M:M,'Clientes Consolidado.'!C:C,C69,'Clientes Consolidado.'!B:B,"Additive")
+SUMIFS('Clientes Consolidado.'!M:M,'Clientes Consolidado.'!C:C,C69,'Clientes Consolidado.'!B:B,"Additive Intl.")</f>
        <v>0</v>
      </c>
      <c r="Y69" s="290">
        <f>SUMIFS('Clientes Consolidado.'!N:N,'Clientes Consolidado.'!C:C,C69,'Clientes Consolidado.'!B:B,"Fertilizer")
+SUMIFS('Clientes Consolidado.'!N:N,'Clientes Consolidado.'!C:C,C69,'Clientes Consolidado.'!B:B,"Additive")
+SUMIFS('Clientes Consolidado.'!N:N,'Clientes Consolidado.'!C:C,C69,'Clientes Consolidado.'!B:B,"Additive Intl.")</f>
        <v>0</v>
      </c>
      <c r="Z69" s="290">
        <f>SUMIFS('Clientes Consolidado.'!O:O,'Clientes Consolidado.'!C:C,C69,'Clientes Consolidado.'!B:B,"Fertilizer")
+SUMIFS('Clientes Consolidado.'!O:O,'Clientes Consolidado.'!C:C,C69,'Clientes Consolidado.'!B:B,"Additive")
+SUMIFS('Clientes Consolidado.'!O:O,'Clientes Consolidado.'!C:C,C69,'Clientes Consolidado.'!B:B,"Additive Intl.")</f>
        <v>0</v>
      </c>
      <c r="AA69" s="290">
        <f>SUMIFS('Clientes Consolidado.'!P:P,'Clientes Consolidado.'!C:C,'Nova Versão '!C69,'Clientes Consolidado.'!B:B,"Fertilizer / Litigation")+SUMIFS('Clientes Consolidado.'!P:P,'Clientes Consolidado.'!C:C,'Nova Versão '!C69,'Clientes Consolidado.'!B:B,"Additive / Litigation")</f>
        <v>0</v>
      </c>
      <c r="AB69" s="288"/>
      <c r="AD69" s="290">
        <f>SUMIFS('Invoiced amount'!I:I,'Invoiced amount'!AH:AH,'Nova Versão '!C69)</f>
        <v>267958</v>
      </c>
      <c r="AE69" s="290">
        <f>SUMIFS(Buget!K:K,Buget!E:E,'Nova Versão '!C69)</f>
        <v>417600</v>
      </c>
      <c r="AF69" s="264">
        <f t="shared" si="11"/>
        <v>0.64166187739463598</v>
      </c>
      <c r="AG69" s="290">
        <f t="shared" si="12"/>
        <v>149642</v>
      </c>
    </row>
    <row r="70" spans="1:33" ht="13.8" customHeight="1" x14ac:dyDescent="0.25">
      <c r="A70" s="283"/>
      <c r="B70" s="288" t="str">
        <f>_xlfn.XLOOKUP(C70,'Info Clientes'!A:A,'Info Clientes'!B:B)</f>
        <v>Additive</v>
      </c>
      <c r="C70" s="96" t="s">
        <v>357</v>
      </c>
      <c r="D70" s="290">
        <f>_xlfn.XLOOKUP(C70,'Limite de crédito'!C:C,'Limite de crédito'!G:G,0)</f>
        <v>2000000</v>
      </c>
      <c r="E70" s="290">
        <f t="shared" si="8"/>
        <v>62590</v>
      </c>
      <c r="F70" s="290">
        <f>_xlfn.XLOOKUP('Nova Versão '!C70,'Limite de crédito'!C:C,'Limite de crédito'!O:O,0)</f>
        <v>2000000</v>
      </c>
      <c r="G70" s="291">
        <f t="shared" si="9"/>
        <v>0</v>
      </c>
      <c r="H70" s="292" t="str">
        <f>_xlfn.XLOOKUP(C70,'Info Clientes'!A:A,'Info Clientes'!C:C)</f>
        <v>Guarantee or credit</v>
      </c>
      <c r="I70" s="292" t="str">
        <f>IF(_xlfn.XLOOKUP(C70,'Info Clientes'!A:A,'Info Clientes'!D:D,"")=0,"",_xlfn.XLOOKUP(C70,'Info Clientes'!A:A,'Info Clientes'!D:D,""))</f>
        <v/>
      </c>
      <c r="K70" s="290">
        <f t="shared" si="10"/>
        <v>62590</v>
      </c>
      <c r="L70" s="290">
        <f>_xlfn.XLOOKUP(C70,'Clientes Consolidado.'!$C:$C,'Clientes Consolidado.'!R:R,0)</f>
        <v>62590</v>
      </c>
      <c r="M70" s="290">
        <f>_xlfn.XLOOKUP(C70,'Clientes Consolidado.'!$C:$C,'Clientes Consolidado.'!S:S,0)</f>
        <v>0</v>
      </c>
      <c r="N70" s="290">
        <f>_xlfn.XLOOKUP(C70,'Clientes Consolidado.'!$C:$C,'Clientes Consolidado.'!T:T,0)</f>
        <v>0</v>
      </c>
      <c r="O70" s="290">
        <f>_xlfn.XLOOKUP(C70,'Clientes Consolidado.'!$C:$C,'Clientes Consolidado.'!U:U,0)</f>
        <v>0</v>
      </c>
      <c r="P70" s="290">
        <f>_xlfn.XLOOKUP(C70,'Clientes Consolidado.'!$C:$C,'Clientes Consolidado.'!V:V,0)</f>
        <v>0</v>
      </c>
      <c r="Q70" s="290">
        <f>_xlfn.XLOOKUP(C70,'Clientes Consolidado.'!$C:$C,'Clientes Consolidado.'!W:W,0)</f>
        <v>0</v>
      </c>
      <c r="R70" s="290">
        <f>_xlfn.XLOOKUP(C70,'Clientes Consolidado.'!$C:$C,'Clientes Consolidado.'!X:X,0)</f>
        <v>0</v>
      </c>
      <c r="S70" s="290">
        <f t="shared" si="7"/>
        <v>0</v>
      </c>
      <c r="T70" s="290">
        <f>SUMIFS('Clientes Consolidado.'!I:I,'Clientes Consolidado.'!C:C,C70,'Clientes Consolidado.'!B:B,"Fertilizer")
+SUMIFS('Clientes Consolidado.'!I:I,'Clientes Consolidado.'!C:C,C70,'Clientes Consolidado.'!B:B,"Additive")
+SUMIFS('Clientes Consolidado.'!I:I,'Clientes Consolidado.'!C:C,C70,'Clientes Consolidado.'!B:B,"Additive Intl.")</f>
        <v>0</v>
      </c>
      <c r="U70" s="290">
        <f>SUMIFS('Clientes Consolidado.'!J:J,'Clientes Consolidado.'!C:C,C70,'Clientes Consolidado.'!B:B,"Fertilizer")
+SUMIFS('Clientes Consolidado.'!J:J,'Clientes Consolidado.'!C:C,C70,'Clientes Consolidado.'!B:B,"Additive")
+SUMIFS('Clientes Consolidado.'!J:J,'Clientes Consolidado.'!C:C,C70,'Clientes Consolidado.'!B:B,"Additive Intl.")</f>
        <v>0</v>
      </c>
      <c r="V70" s="290">
        <f>SUMIFS('Clientes Consolidado.'!K:K,'Clientes Consolidado.'!C:C,C70,'Clientes Consolidado.'!B:B,"Fertilizer")
+SUMIFS('Clientes Consolidado.'!K:K,'Clientes Consolidado.'!C:C,C70,'Clientes Consolidado.'!B:B,"Additive")
+SUMIFS('Clientes Consolidado.'!K:K,'Clientes Consolidado.'!C:C,C70,'Clientes Consolidado.'!B:B,"Additive Intl.")</f>
        <v>0</v>
      </c>
      <c r="W70" s="290">
        <f>SUMIFS('Clientes Consolidado.'!L:L,'Clientes Consolidado.'!C:C,C70,'Clientes Consolidado.'!B:B,"Fertilizer")
+SUMIFS('Clientes Consolidado.'!L:L,'Clientes Consolidado.'!C:C,C70,'Clientes Consolidado.'!B:B,"Additive")
+SUMIFS('Clientes Consolidado.'!L:L,'Clientes Consolidado.'!C:C,C70,'Clientes Consolidado.'!B:B,"Additive Intl.")</f>
        <v>0</v>
      </c>
      <c r="X70" s="290">
        <f>SUMIFS('Clientes Consolidado.'!M:M,'Clientes Consolidado.'!C:C,C70,'Clientes Consolidado.'!B:B,"Fertilizer")
+SUMIFS('Clientes Consolidado.'!M:M,'Clientes Consolidado.'!C:C,C70,'Clientes Consolidado.'!B:B,"Additive")
+SUMIFS('Clientes Consolidado.'!M:M,'Clientes Consolidado.'!C:C,C70,'Clientes Consolidado.'!B:B,"Additive Intl.")</f>
        <v>0</v>
      </c>
      <c r="Y70" s="290">
        <f>SUMIFS('Clientes Consolidado.'!N:N,'Clientes Consolidado.'!C:C,C70,'Clientes Consolidado.'!B:B,"Fertilizer")
+SUMIFS('Clientes Consolidado.'!N:N,'Clientes Consolidado.'!C:C,C70,'Clientes Consolidado.'!B:B,"Additive")
+SUMIFS('Clientes Consolidado.'!N:N,'Clientes Consolidado.'!C:C,C70,'Clientes Consolidado.'!B:B,"Additive Intl.")</f>
        <v>0</v>
      </c>
      <c r="Z70" s="290">
        <f>SUMIFS('Clientes Consolidado.'!O:O,'Clientes Consolidado.'!C:C,C70,'Clientes Consolidado.'!B:B,"Fertilizer")
+SUMIFS('Clientes Consolidado.'!O:O,'Clientes Consolidado.'!C:C,C70,'Clientes Consolidado.'!B:B,"Additive")
+SUMIFS('Clientes Consolidado.'!O:O,'Clientes Consolidado.'!C:C,C70,'Clientes Consolidado.'!B:B,"Additive Intl.")</f>
        <v>0</v>
      </c>
      <c r="AA70" s="290">
        <f>SUMIFS('Clientes Consolidado.'!P:P,'Clientes Consolidado.'!C:C,'Nova Versão '!C70,'Clientes Consolidado.'!B:B,"Fertilizer / Litigation")+SUMIFS('Clientes Consolidado.'!P:P,'Clientes Consolidado.'!C:C,'Nova Versão '!C70,'Clientes Consolidado.'!B:B,"Additive / Litigation")</f>
        <v>0</v>
      </c>
      <c r="AB70" s="288"/>
      <c r="AD70" s="290">
        <f>SUMIFS('Invoiced amount'!I:I,'Invoiced amount'!AH:AH,'Nova Versão '!C70)</f>
        <v>853135.5</v>
      </c>
      <c r="AE70" s="290">
        <f>SUMIFS(Buget!K:K,Buget!E:E,'Nova Versão '!C70)</f>
        <v>1082400</v>
      </c>
      <c r="AF70" s="264">
        <f t="shared" si="11"/>
        <v>0.78818874722838139</v>
      </c>
      <c r="AG70" s="290">
        <f t="shared" si="12"/>
        <v>229264.5</v>
      </c>
    </row>
    <row r="71" spans="1:33" ht="13.8" customHeight="1" x14ac:dyDescent="0.25">
      <c r="A71" s="283"/>
      <c r="B71" s="288" t="str">
        <f>_xlfn.XLOOKUP(C71,'Info Clientes'!A:A,'Info Clientes'!B:B)</f>
        <v>Additive Intl.</v>
      </c>
      <c r="C71" s="96" t="s">
        <v>550</v>
      </c>
      <c r="D71" s="290">
        <f>_xlfn.XLOOKUP(C71,'Limite de crédito'!C:C,'Limite de crédito'!G:G,0)</f>
        <v>990000</v>
      </c>
      <c r="E71" s="290">
        <f t="shared" si="8"/>
        <v>49956.68</v>
      </c>
      <c r="F71" s="290">
        <f>_xlfn.XLOOKUP('Nova Versão '!C71,'Limite de crédito'!C:C,'Limite de crédito'!O:O,0)</f>
        <v>990000</v>
      </c>
      <c r="G71" s="291">
        <f t="shared" si="9"/>
        <v>0</v>
      </c>
      <c r="H71" s="292" t="str">
        <f>_xlfn.XLOOKUP(C71,'Info Clientes'!A:A,'Info Clientes'!C:C)</f>
        <v>Guarantee or credit</v>
      </c>
      <c r="I71" s="292" t="str">
        <f>IF(_xlfn.XLOOKUP(C71,'Info Clientes'!A:A,'Info Clientes'!D:D,"")=0,"",_xlfn.XLOOKUP(C71,'Info Clientes'!A:A,'Info Clientes'!D:D,""))</f>
        <v/>
      </c>
      <c r="K71" s="290">
        <f t="shared" si="10"/>
        <v>49956.68</v>
      </c>
      <c r="L71" s="290">
        <f>_xlfn.XLOOKUP(C71,'Clientes Consolidado.'!$C:$C,'Clientes Consolidado.'!R:R,0)</f>
        <v>49956.68</v>
      </c>
      <c r="M71" s="290">
        <f>_xlfn.XLOOKUP(C71,'Clientes Consolidado.'!$C:$C,'Clientes Consolidado.'!S:S,0)</f>
        <v>0</v>
      </c>
      <c r="N71" s="290">
        <f>_xlfn.XLOOKUP(C71,'Clientes Consolidado.'!$C:$C,'Clientes Consolidado.'!T:T,0)</f>
        <v>0</v>
      </c>
      <c r="O71" s="290">
        <f>_xlfn.XLOOKUP(C71,'Clientes Consolidado.'!$C:$C,'Clientes Consolidado.'!U:U,0)</f>
        <v>0</v>
      </c>
      <c r="P71" s="290">
        <f>_xlfn.XLOOKUP(C71,'Clientes Consolidado.'!$C:$C,'Clientes Consolidado.'!V:V,0)</f>
        <v>0</v>
      </c>
      <c r="Q71" s="290">
        <f>_xlfn.XLOOKUP(C71,'Clientes Consolidado.'!$C:$C,'Clientes Consolidado.'!W:W,0)</f>
        <v>0</v>
      </c>
      <c r="R71" s="290">
        <f>_xlfn.XLOOKUP(C71,'Clientes Consolidado.'!$C:$C,'Clientes Consolidado.'!X:X,0)</f>
        <v>0</v>
      </c>
      <c r="S71" s="290">
        <f t="shared" si="7"/>
        <v>0</v>
      </c>
      <c r="T71" s="290">
        <f>SUMIFS('Clientes Consolidado.'!I:I,'Clientes Consolidado.'!C:C,C71,'Clientes Consolidado.'!B:B,"Fertilizer")
+SUMIFS('Clientes Consolidado.'!I:I,'Clientes Consolidado.'!C:C,C71,'Clientes Consolidado.'!B:B,"Additive")
+SUMIFS('Clientes Consolidado.'!I:I,'Clientes Consolidado.'!C:C,C71,'Clientes Consolidado.'!B:B,"Additive Intl.")</f>
        <v>0</v>
      </c>
      <c r="U71" s="290">
        <f>SUMIFS('Clientes Consolidado.'!J:J,'Clientes Consolidado.'!C:C,C71,'Clientes Consolidado.'!B:B,"Fertilizer")
+SUMIFS('Clientes Consolidado.'!J:J,'Clientes Consolidado.'!C:C,C71,'Clientes Consolidado.'!B:B,"Additive")
+SUMIFS('Clientes Consolidado.'!J:J,'Clientes Consolidado.'!C:C,C71,'Clientes Consolidado.'!B:B,"Additive Intl.")</f>
        <v>0</v>
      </c>
      <c r="V71" s="290">
        <f>SUMIFS('Clientes Consolidado.'!K:K,'Clientes Consolidado.'!C:C,C71,'Clientes Consolidado.'!B:B,"Fertilizer")
+SUMIFS('Clientes Consolidado.'!K:K,'Clientes Consolidado.'!C:C,C71,'Clientes Consolidado.'!B:B,"Additive")
+SUMIFS('Clientes Consolidado.'!K:K,'Clientes Consolidado.'!C:C,C71,'Clientes Consolidado.'!B:B,"Additive Intl.")</f>
        <v>0</v>
      </c>
      <c r="W71" s="290">
        <f>SUMIFS('Clientes Consolidado.'!L:L,'Clientes Consolidado.'!C:C,C71,'Clientes Consolidado.'!B:B,"Fertilizer")
+SUMIFS('Clientes Consolidado.'!L:L,'Clientes Consolidado.'!C:C,C71,'Clientes Consolidado.'!B:B,"Additive")
+SUMIFS('Clientes Consolidado.'!L:L,'Clientes Consolidado.'!C:C,C71,'Clientes Consolidado.'!B:B,"Additive Intl.")</f>
        <v>0</v>
      </c>
      <c r="X71" s="290">
        <f>SUMIFS('Clientes Consolidado.'!M:M,'Clientes Consolidado.'!C:C,C71,'Clientes Consolidado.'!B:B,"Fertilizer")
+SUMIFS('Clientes Consolidado.'!M:M,'Clientes Consolidado.'!C:C,C71,'Clientes Consolidado.'!B:B,"Additive")
+SUMIFS('Clientes Consolidado.'!M:M,'Clientes Consolidado.'!C:C,C71,'Clientes Consolidado.'!B:B,"Additive Intl.")</f>
        <v>0</v>
      </c>
      <c r="Y71" s="290">
        <f>SUMIFS('Clientes Consolidado.'!N:N,'Clientes Consolidado.'!C:C,C71,'Clientes Consolidado.'!B:B,"Fertilizer")
+SUMIFS('Clientes Consolidado.'!N:N,'Clientes Consolidado.'!C:C,C71,'Clientes Consolidado.'!B:B,"Additive")
+SUMIFS('Clientes Consolidado.'!N:N,'Clientes Consolidado.'!C:C,C71,'Clientes Consolidado.'!B:B,"Additive Intl.")</f>
        <v>0</v>
      </c>
      <c r="Z71" s="290">
        <f>SUMIFS('Clientes Consolidado.'!O:O,'Clientes Consolidado.'!C:C,C71,'Clientes Consolidado.'!B:B,"Fertilizer")
+SUMIFS('Clientes Consolidado.'!O:O,'Clientes Consolidado.'!C:C,C71,'Clientes Consolidado.'!B:B,"Additive")
+SUMIFS('Clientes Consolidado.'!O:O,'Clientes Consolidado.'!C:C,C71,'Clientes Consolidado.'!B:B,"Additive Intl.")</f>
        <v>0</v>
      </c>
      <c r="AA71" s="290">
        <f>SUMIFS('Clientes Consolidado.'!P:P,'Clientes Consolidado.'!C:C,'Nova Versão '!C71,'Clientes Consolidado.'!B:B,"Fertilizer / Litigation")+SUMIFS('Clientes Consolidado.'!P:P,'Clientes Consolidado.'!C:C,'Nova Versão '!C71,'Clientes Consolidado.'!B:B,"Additive / Litigation")</f>
        <v>0</v>
      </c>
      <c r="AB71" s="288"/>
      <c r="AD71" s="290">
        <f>SUMIFS('Invoiced amount'!I:I,'Invoiced amount'!AH:AH,'Nova Versão '!C71)</f>
        <v>49956.68</v>
      </c>
      <c r="AE71" s="290">
        <f>SUMIFS(Buget!K:K,Buget!E:E,'Nova Versão '!C71)</f>
        <v>147234</v>
      </c>
      <c r="AF71" s="264">
        <f t="shared" si="11"/>
        <v>0.33930124835296194</v>
      </c>
      <c r="AG71" s="290">
        <f t="shared" si="12"/>
        <v>97277.32</v>
      </c>
    </row>
    <row r="72" spans="1:33" ht="13.8" customHeight="1" x14ac:dyDescent="0.25">
      <c r="A72" s="283"/>
      <c r="B72" s="288" t="str">
        <f>_xlfn.XLOOKUP(C72,'Info Clientes'!A:A,'Info Clientes'!B:B)</f>
        <v>Additive</v>
      </c>
      <c r="C72" s="96" t="s">
        <v>84</v>
      </c>
      <c r="D72" s="290">
        <f>_xlfn.XLOOKUP(C72,'Limite de crédito'!C:C,'Limite de crédito'!G:G,0)</f>
        <v>75000</v>
      </c>
      <c r="E72" s="290">
        <f t="shared" si="8"/>
        <v>49880</v>
      </c>
      <c r="F72" s="290">
        <f>_xlfn.XLOOKUP('Nova Versão '!C72,'Limite de crédito'!C:C,'Limite de crédito'!O:O,0)</f>
        <v>0</v>
      </c>
      <c r="G72" s="291">
        <f t="shared" si="9"/>
        <v>49880</v>
      </c>
      <c r="H72" s="292" t="str">
        <f>_xlfn.XLOOKUP(C72,'Info Clientes'!A:A,'Info Clientes'!C:C)</f>
        <v>Approved in credit committee</v>
      </c>
      <c r="I72" s="292" t="str">
        <f>IF(_xlfn.XLOOKUP(C72,'Info Clientes'!A:A,'Info Clientes'!D:D,"")=0,"",_xlfn.XLOOKUP(C72,'Info Clientes'!A:A,'Info Clientes'!D:D,""))</f>
        <v/>
      </c>
      <c r="K72" s="290">
        <f t="shared" si="10"/>
        <v>49880</v>
      </c>
      <c r="L72" s="290">
        <f>_xlfn.XLOOKUP(C72,'Clientes Consolidado.'!$C:$C,'Clientes Consolidado.'!R:R,0)</f>
        <v>49880</v>
      </c>
      <c r="M72" s="290">
        <f>_xlfn.XLOOKUP(C72,'Clientes Consolidado.'!$C:$C,'Clientes Consolidado.'!S:S,0)</f>
        <v>0</v>
      </c>
      <c r="N72" s="290">
        <f>_xlfn.XLOOKUP(C72,'Clientes Consolidado.'!$C:$C,'Clientes Consolidado.'!T:T,0)</f>
        <v>0</v>
      </c>
      <c r="O72" s="290">
        <f>_xlfn.XLOOKUP(C72,'Clientes Consolidado.'!$C:$C,'Clientes Consolidado.'!U:U,0)</f>
        <v>0</v>
      </c>
      <c r="P72" s="290">
        <f>_xlfn.XLOOKUP(C72,'Clientes Consolidado.'!$C:$C,'Clientes Consolidado.'!V:V,0)</f>
        <v>0</v>
      </c>
      <c r="Q72" s="290">
        <f>_xlfn.XLOOKUP(C72,'Clientes Consolidado.'!$C:$C,'Clientes Consolidado.'!W:W,0)</f>
        <v>0</v>
      </c>
      <c r="R72" s="290">
        <f>_xlfn.XLOOKUP(C72,'Clientes Consolidado.'!$C:$C,'Clientes Consolidado.'!X:X,0)</f>
        <v>0</v>
      </c>
      <c r="S72" s="290">
        <f t="shared" si="7"/>
        <v>0</v>
      </c>
      <c r="T72" s="290">
        <f>SUMIFS('Clientes Consolidado.'!I:I,'Clientes Consolidado.'!C:C,C72,'Clientes Consolidado.'!B:B,"Fertilizer")
+SUMIFS('Clientes Consolidado.'!I:I,'Clientes Consolidado.'!C:C,C72,'Clientes Consolidado.'!B:B,"Additive")
+SUMIFS('Clientes Consolidado.'!I:I,'Clientes Consolidado.'!C:C,C72,'Clientes Consolidado.'!B:B,"Additive Intl.")</f>
        <v>0</v>
      </c>
      <c r="U72" s="290">
        <f>SUMIFS('Clientes Consolidado.'!J:J,'Clientes Consolidado.'!C:C,C72,'Clientes Consolidado.'!B:B,"Fertilizer")
+SUMIFS('Clientes Consolidado.'!J:J,'Clientes Consolidado.'!C:C,C72,'Clientes Consolidado.'!B:B,"Additive")
+SUMIFS('Clientes Consolidado.'!J:J,'Clientes Consolidado.'!C:C,C72,'Clientes Consolidado.'!B:B,"Additive Intl.")</f>
        <v>0</v>
      </c>
      <c r="V72" s="290">
        <f>SUMIFS('Clientes Consolidado.'!K:K,'Clientes Consolidado.'!C:C,C72,'Clientes Consolidado.'!B:B,"Fertilizer")
+SUMIFS('Clientes Consolidado.'!K:K,'Clientes Consolidado.'!C:C,C72,'Clientes Consolidado.'!B:B,"Additive")
+SUMIFS('Clientes Consolidado.'!K:K,'Clientes Consolidado.'!C:C,C72,'Clientes Consolidado.'!B:B,"Additive Intl.")</f>
        <v>0</v>
      </c>
      <c r="W72" s="290">
        <f>SUMIFS('Clientes Consolidado.'!L:L,'Clientes Consolidado.'!C:C,C72,'Clientes Consolidado.'!B:B,"Fertilizer")
+SUMIFS('Clientes Consolidado.'!L:L,'Clientes Consolidado.'!C:C,C72,'Clientes Consolidado.'!B:B,"Additive")
+SUMIFS('Clientes Consolidado.'!L:L,'Clientes Consolidado.'!C:C,C72,'Clientes Consolidado.'!B:B,"Additive Intl.")</f>
        <v>0</v>
      </c>
      <c r="X72" s="290">
        <f>SUMIFS('Clientes Consolidado.'!M:M,'Clientes Consolidado.'!C:C,C72,'Clientes Consolidado.'!B:B,"Fertilizer")
+SUMIFS('Clientes Consolidado.'!M:M,'Clientes Consolidado.'!C:C,C72,'Clientes Consolidado.'!B:B,"Additive")
+SUMIFS('Clientes Consolidado.'!M:M,'Clientes Consolidado.'!C:C,C72,'Clientes Consolidado.'!B:B,"Additive Intl.")</f>
        <v>0</v>
      </c>
      <c r="Y72" s="290">
        <f>SUMIFS('Clientes Consolidado.'!N:N,'Clientes Consolidado.'!C:C,C72,'Clientes Consolidado.'!B:B,"Fertilizer")
+SUMIFS('Clientes Consolidado.'!N:N,'Clientes Consolidado.'!C:C,C72,'Clientes Consolidado.'!B:B,"Additive")
+SUMIFS('Clientes Consolidado.'!N:N,'Clientes Consolidado.'!C:C,C72,'Clientes Consolidado.'!B:B,"Additive Intl.")</f>
        <v>0</v>
      </c>
      <c r="Z72" s="290">
        <f>SUMIFS('Clientes Consolidado.'!O:O,'Clientes Consolidado.'!C:C,C72,'Clientes Consolidado.'!B:B,"Fertilizer")
+SUMIFS('Clientes Consolidado.'!O:O,'Clientes Consolidado.'!C:C,C72,'Clientes Consolidado.'!B:B,"Additive")
+SUMIFS('Clientes Consolidado.'!O:O,'Clientes Consolidado.'!C:C,C72,'Clientes Consolidado.'!B:B,"Additive Intl.")</f>
        <v>0</v>
      </c>
      <c r="AA72" s="290">
        <f>SUMIFS('Clientes Consolidado.'!P:P,'Clientes Consolidado.'!C:C,'Nova Versão '!C72,'Clientes Consolidado.'!B:B,"Fertilizer / Litigation")+SUMIFS('Clientes Consolidado.'!P:P,'Clientes Consolidado.'!C:C,'Nova Versão '!C72,'Clientes Consolidado.'!B:B,"Additive / Litigation")</f>
        <v>0</v>
      </c>
      <c r="AB72" s="288"/>
      <c r="AD72" s="290">
        <f>SUMIFS('Invoiced amount'!I:I,'Invoiced amount'!AH:AH,'Nova Versão '!C72)</f>
        <v>152080</v>
      </c>
      <c r="AE72" s="290">
        <f>SUMIFS(Buget!K:K,Buget!E:E,'Nova Versão '!C72)</f>
        <v>474600.79573553341</v>
      </c>
      <c r="AF72" s="264">
        <f t="shared" si="11"/>
        <v>0.32043772654090757</v>
      </c>
      <c r="AG72" s="290">
        <f t="shared" si="12"/>
        <v>322520.79573553341</v>
      </c>
    </row>
    <row r="73" spans="1:33" ht="13.8" customHeight="1" x14ac:dyDescent="0.25">
      <c r="A73" s="283"/>
      <c r="B73" s="288" t="str">
        <f>_xlfn.XLOOKUP(C73,'Info Clientes'!A:A,'Info Clientes'!B:B)</f>
        <v>Additive</v>
      </c>
      <c r="C73" s="96" t="s">
        <v>709</v>
      </c>
      <c r="D73" s="290">
        <f>_xlfn.XLOOKUP(C73,'Limite de crédito'!C:C,'Limite de crédito'!G:G,0)</f>
        <v>0</v>
      </c>
      <c r="E73" s="290">
        <f t="shared" si="8"/>
        <v>49440</v>
      </c>
      <c r="F73" s="290">
        <f>_xlfn.XLOOKUP('Nova Versão '!C73,'Limite de crédito'!C:C,'Limite de crédito'!O:O,0)</f>
        <v>0</v>
      </c>
      <c r="G73" s="291">
        <f t="shared" si="9"/>
        <v>49440</v>
      </c>
      <c r="H73" s="292" t="str">
        <f>_xlfn.XLOOKUP(C73,'Info Clientes'!A:A,'Info Clientes'!C:C)</f>
        <v>Credit without Insurance</v>
      </c>
      <c r="I73" s="292" t="str">
        <f>IF(_xlfn.XLOOKUP(C73,'Info Clientes'!A:A,'Info Clientes'!D:D,"")=0,"",_xlfn.XLOOKUP(C73,'Info Clientes'!A:A,'Info Clientes'!D:D,""))</f>
        <v>The amount refers to the reimbursement for an accident that occurred in 2025; the carrier is awaiting payment from their insurance company.</v>
      </c>
      <c r="K73" s="290">
        <f t="shared" si="10"/>
        <v>0</v>
      </c>
      <c r="L73" s="290">
        <f>_xlfn.XLOOKUP(C73,'Clientes Consolidado.'!$C:$C,'Clientes Consolidado.'!R:R,0)</f>
        <v>0</v>
      </c>
      <c r="M73" s="290">
        <f>_xlfn.XLOOKUP(C73,'Clientes Consolidado.'!$C:$C,'Clientes Consolidado.'!S:S,0)</f>
        <v>0</v>
      </c>
      <c r="N73" s="290">
        <f>_xlfn.XLOOKUP(C73,'Clientes Consolidado.'!$C:$C,'Clientes Consolidado.'!T:T,0)</f>
        <v>0</v>
      </c>
      <c r="O73" s="290">
        <f>_xlfn.XLOOKUP(C73,'Clientes Consolidado.'!$C:$C,'Clientes Consolidado.'!U:U,0)</f>
        <v>0</v>
      </c>
      <c r="P73" s="290">
        <f>_xlfn.XLOOKUP(C73,'Clientes Consolidado.'!$C:$C,'Clientes Consolidado.'!V:V,0)</f>
        <v>0</v>
      </c>
      <c r="Q73" s="290">
        <f>_xlfn.XLOOKUP(C73,'Clientes Consolidado.'!$C:$C,'Clientes Consolidado.'!W:W,0)</f>
        <v>0</v>
      </c>
      <c r="R73" s="290">
        <f>_xlfn.XLOOKUP(C73,'Clientes Consolidado.'!$C:$C,'Clientes Consolidado.'!X:X,0)</f>
        <v>0</v>
      </c>
      <c r="S73" s="290">
        <f t="shared" si="7"/>
        <v>49440</v>
      </c>
      <c r="T73" s="290">
        <f>SUMIFS('Clientes Consolidado.'!I:I,'Clientes Consolidado.'!C:C,C73,'Clientes Consolidado.'!B:B,"Fertilizer")
+SUMIFS('Clientes Consolidado.'!I:I,'Clientes Consolidado.'!C:C,C73,'Clientes Consolidado.'!B:B,"Additive")
+SUMIFS('Clientes Consolidado.'!I:I,'Clientes Consolidado.'!C:C,C73,'Clientes Consolidado.'!B:B,"Additive Intl.")</f>
        <v>0</v>
      </c>
      <c r="U73" s="290">
        <f>SUMIFS('Clientes Consolidado.'!J:J,'Clientes Consolidado.'!C:C,C73,'Clientes Consolidado.'!B:B,"Fertilizer")
+SUMIFS('Clientes Consolidado.'!J:J,'Clientes Consolidado.'!C:C,C73,'Clientes Consolidado.'!B:B,"Additive")
+SUMIFS('Clientes Consolidado.'!J:J,'Clientes Consolidado.'!C:C,C73,'Clientes Consolidado.'!B:B,"Additive Intl.")</f>
        <v>0</v>
      </c>
      <c r="V73" s="290">
        <f>SUMIFS('Clientes Consolidado.'!K:K,'Clientes Consolidado.'!C:C,C73,'Clientes Consolidado.'!B:B,"Fertilizer")
+SUMIFS('Clientes Consolidado.'!K:K,'Clientes Consolidado.'!C:C,C73,'Clientes Consolidado.'!B:B,"Additive")
+SUMIFS('Clientes Consolidado.'!K:K,'Clientes Consolidado.'!C:C,C73,'Clientes Consolidado.'!B:B,"Additive Intl.")</f>
        <v>0</v>
      </c>
      <c r="W73" s="290">
        <f>SUMIFS('Clientes Consolidado.'!L:L,'Clientes Consolidado.'!C:C,C73,'Clientes Consolidado.'!B:B,"Fertilizer")
+SUMIFS('Clientes Consolidado.'!L:L,'Clientes Consolidado.'!C:C,C73,'Clientes Consolidado.'!B:B,"Additive")
+SUMIFS('Clientes Consolidado.'!L:L,'Clientes Consolidado.'!C:C,C73,'Clientes Consolidado.'!B:B,"Additive Intl.")</f>
        <v>49440</v>
      </c>
      <c r="X73" s="290">
        <f>SUMIFS('Clientes Consolidado.'!M:M,'Clientes Consolidado.'!C:C,C73,'Clientes Consolidado.'!B:B,"Fertilizer")
+SUMIFS('Clientes Consolidado.'!M:M,'Clientes Consolidado.'!C:C,C73,'Clientes Consolidado.'!B:B,"Additive")
+SUMIFS('Clientes Consolidado.'!M:M,'Clientes Consolidado.'!C:C,C73,'Clientes Consolidado.'!B:B,"Additive Intl.")</f>
        <v>0</v>
      </c>
      <c r="Y73" s="290">
        <f>SUMIFS('Clientes Consolidado.'!N:N,'Clientes Consolidado.'!C:C,C73,'Clientes Consolidado.'!B:B,"Fertilizer")
+SUMIFS('Clientes Consolidado.'!N:N,'Clientes Consolidado.'!C:C,C73,'Clientes Consolidado.'!B:B,"Additive")
+SUMIFS('Clientes Consolidado.'!N:N,'Clientes Consolidado.'!C:C,C73,'Clientes Consolidado.'!B:B,"Additive Intl.")</f>
        <v>0</v>
      </c>
      <c r="Z73" s="290">
        <f>SUMIFS('Clientes Consolidado.'!O:O,'Clientes Consolidado.'!C:C,C73,'Clientes Consolidado.'!B:B,"Fertilizer")
+SUMIFS('Clientes Consolidado.'!O:O,'Clientes Consolidado.'!C:C,C73,'Clientes Consolidado.'!B:B,"Additive")
+SUMIFS('Clientes Consolidado.'!O:O,'Clientes Consolidado.'!C:C,C73,'Clientes Consolidado.'!B:B,"Additive Intl.")</f>
        <v>0</v>
      </c>
      <c r="AA73" s="290">
        <f>SUMIFS('Clientes Consolidado.'!P:P,'Clientes Consolidado.'!C:C,'Nova Versão '!C73,'Clientes Consolidado.'!B:B,"Fertilizer / Litigation")+SUMIFS('Clientes Consolidado.'!P:P,'Clientes Consolidado.'!C:C,'Nova Versão '!C73,'Clientes Consolidado.'!B:B,"Additive / Litigation")</f>
        <v>0</v>
      </c>
      <c r="AB73" s="288"/>
      <c r="AD73" s="290">
        <f>SUMIFS('Invoiced amount'!I:I,'Invoiced amount'!AH:AH,'Nova Versão '!C73)</f>
        <v>0</v>
      </c>
      <c r="AE73" s="290">
        <f>SUMIFS(Buget!K:K,Buget!E:E,'Nova Versão '!C73)</f>
        <v>0</v>
      </c>
      <c r="AF73" s="264" t="str">
        <f t="shared" si="11"/>
        <v/>
      </c>
      <c r="AG73" s="290">
        <f t="shared" si="12"/>
        <v>0</v>
      </c>
    </row>
    <row r="74" spans="1:33" ht="13.8" customHeight="1" x14ac:dyDescent="0.25">
      <c r="A74" s="283"/>
      <c r="B74" s="288" t="str">
        <f>_xlfn.XLOOKUP(C74,'Info Clientes'!A:A,'Info Clientes'!B:B)</f>
        <v>Additive</v>
      </c>
      <c r="C74" s="234" t="s">
        <v>159</v>
      </c>
      <c r="D74" s="290">
        <f>_xlfn.XLOOKUP(C74,'Limite de crédito'!C:C,'Limite de crédito'!G:G,0)</f>
        <v>600000</v>
      </c>
      <c r="E74" s="290">
        <f t="shared" si="8"/>
        <v>48336</v>
      </c>
      <c r="F74" s="290">
        <f>_xlfn.XLOOKUP('Nova Versão '!C74,'Limite de crédito'!C:C,'Limite de crédito'!O:O,0)</f>
        <v>600000</v>
      </c>
      <c r="G74" s="291">
        <f t="shared" si="9"/>
        <v>0</v>
      </c>
      <c r="H74" s="292" t="str">
        <f>_xlfn.XLOOKUP(C74,'Info Clientes'!A:A,'Info Clientes'!C:C)</f>
        <v>Guarantee or credit</v>
      </c>
      <c r="I74" s="292" t="str">
        <f>IF(_xlfn.XLOOKUP(C74,'Info Clientes'!A:A,'Info Clientes'!D:D,"")=0,"",_xlfn.XLOOKUP(C74,'Info Clientes'!A:A,'Info Clientes'!D:D,""))</f>
        <v/>
      </c>
      <c r="K74" s="290">
        <f t="shared" si="10"/>
        <v>48336</v>
      </c>
      <c r="L74" s="290">
        <f>_xlfn.XLOOKUP(C74,'Clientes Consolidado.'!$C:$C,'Clientes Consolidado.'!R:R,0)</f>
        <v>48336</v>
      </c>
      <c r="M74" s="290">
        <f>_xlfn.XLOOKUP(C74,'Clientes Consolidado.'!$C:$C,'Clientes Consolidado.'!S:S,0)</f>
        <v>0</v>
      </c>
      <c r="N74" s="290">
        <f>_xlfn.XLOOKUP(C74,'Clientes Consolidado.'!$C:$C,'Clientes Consolidado.'!T:T,0)</f>
        <v>0</v>
      </c>
      <c r="O74" s="290">
        <f>_xlfn.XLOOKUP(C74,'Clientes Consolidado.'!$C:$C,'Clientes Consolidado.'!U:U,0)</f>
        <v>0</v>
      </c>
      <c r="P74" s="290">
        <f>_xlfn.XLOOKUP(C74,'Clientes Consolidado.'!$C:$C,'Clientes Consolidado.'!V:V,0)</f>
        <v>0</v>
      </c>
      <c r="Q74" s="290">
        <f>_xlfn.XLOOKUP(C74,'Clientes Consolidado.'!$C:$C,'Clientes Consolidado.'!W:W,0)</f>
        <v>0</v>
      </c>
      <c r="R74" s="290">
        <f>_xlfn.XLOOKUP(C74,'Clientes Consolidado.'!$C:$C,'Clientes Consolidado.'!X:X,0)</f>
        <v>0</v>
      </c>
      <c r="S74" s="290">
        <f t="shared" si="7"/>
        <v>0</v>
      </c>
      <c r="T74" s="290">
        <f>SUMIFS('Clientes Consolidado.'!I:I,'Clientes Consolidado.'!C:C,C74,'Clientes Consolidado.'!B:B,"Fertilizer")
+SUMIFS('Clientes Consolidado.'!I:I,'Clientes Consolidado.'!C:C,C74,'Clientes Consolidado.'!B:B,"Additive")
+SUMIFS('Clientes Consolidado.'!I:I,'Clientes Consolidado.'!C:C,C74,'Clientes Consolidado.'!B:B,"Additive Intl.")</f>
        <v>0</v>
      </c>
      <c r="U74" s="290">
        <f>SUMIFS('Clientes Consolidado.'!J:J,'Clientes Consolidado.'!C:C,C74,'Clientes Consolidado.'!B:B,"Fertilizer")
+SUMIFS('Clientes Consolidado.'!J:J,'Clientes Consolidado.'!C:C,C74,'Clientes Consolidado.'!B:B,"Additive")
+SUMIFS('Clientes Consolidado.'!J:J,'Clientes Consolidado.'!C:C,C74,'Clientes Consolidado.'!B:B,"Additive Intl.")</f>
        <v>0</v>
      </c>
      <c r="V74" s="290">
        <f>SUMIFS('Clientes Consolidado.'!K:K,'Clientes Consolidado.'!C:C,C74,'Clientes Consolidado.'!B:B,"Fertilizer")
+SUMIFS('Clientes Consolidado.'!K:K,'Clientes Consolidado.'!C:C,C74,'Clientes Consolidado.'!B:B,"Additive")
+SUMIFS('Clientes Consolidado.'!K:K,'Clientes Consolidado.'!C:C,C74,'Clientes Consolidado.'!B:B,"Additive Intl.")</f>
        <v>0</v>
      </c>
      <c r="W74" s="290">
        <f>SUMIFS('Clientes Consolidado.'!L:L,'Clientes Consolidado.'!C:C,C74,'Clientes Consolidado.'!B:B,"Fertilizer")
+SUMIFS('Clientes Consolidado.'!L:L,'Clientes Consolidado.'!C:C,C74,'Clientes Consolidado.'!B:B,"Additive")
+SUMIFS('Clientes Consolidado.'!L:L,'Clientes Consolidado.'!C:C,C74,'Clientes Consolidado.'!B:B,"Additive Intl.")</f>
        <v>0</v>
      </c>
      <c r="X74" s="290">
        <f>SUMIFS('Clientes Consolidado.'!M:M,'Clientes Consolidado.'!C:C,C74,'Clientes Consolidado.'!B:B,"Fertilizer")
+SUMIFS('Clientes Consolidado.'!M:M,'Clientes Consolidado.'!C:C,C74,'Clientes Consolidado.'!B:B,"Additive")
+SUMIFS('Clientes Consolidado.'!M:M,'Clientes Consolidado.'!C:C,C74,'Clientes Consolidado.'!B:B,"Additive Intl.")</f>
        <v>0</v>
      </c>
      <c r="Y74" s="290">
        <f>SUMIFS('Clientes Consolidado.'!N:N,'Clientes Consolidado.'!C:C,C74,'Clientes Consolidado.'!B:B,"Fertilizer")
+SUMIFS('Clientes Consolidado.'!N:N,'Clientes Consolidado.'!C:C,C74,'Clientes Consolidado.'!B:B,"Additive")
+SUMIFS('Clientes Consolidado.'!N:N,'Clientes Consolidado.'!C:C,C74,'Clientes Consolidado.'!B:B,"Additive Intl.")</f>
        <v>0</v>
      </c>
      <c r="Z74" s="290">
        <f>SUMIFS('Clientes Consolidado.'!O:O,'Clientes Consolidado.'!C:C,C74,'Clientes Consolidado.'!B:B,"Fertilizer")
+SUMIFS('Clientes Consolidado.'!O:O,'Clientes Consolidado.'!C:C,C74,'Clientes Consolidado.'!B:B,"Additive")
+SUMIFS('Clientes Consolidado.'!O:O,'Clientes Consolidado.'!C:C,C74,'Clientes Consolidado.'!B:B,"Additive Intl.")</f>
        <v>0</v>
      </c>
      <c r="AA74" s="290">
        <f>SUMIFS('Clientes Consolidado.'!P:P,'Clientes Consolidado.'!C:C,'Nova Versão '!C74,'Clientes Consolidado.'!B:B,"Fertilizer / Litigation")+SUMIFS('Clientes Consolidado.'!P:P,'Clientes Consolidado.'!C:C,'Nova Versão '!C74,'Clientes Consolidado.'!B:B,"Additive / Litigation")</f>
        <v>0</v>
      </c>
      <c r="AB74" s="288"/>
      <c r="AD74" s="290">
        <f>SUMIFS('Invoiced amount'!I:I,'Invoiced amount'!AH:AH,'Nova Versão '!C74)</f>
        <v>48336</v>
      </c>
      <c r="AE74" s="290">
        <f>SUMIFS(Buget!K:K,Buget!E:E,'Nova Versão '!C74)</f>
        <v>483029.4759052447</v>
      </c>
      <c r="AF74" s="264">
        <f t="shared" si="11"/>
        <v>0.10006842731370293</v>
      </c>
      <c r="AG74" s="290">
        <f t="shared" si="12"/>
        <v>434693.4759052447</v>
      </c>
    </row>
    <row r="75" spans="1:33" ht="13.8" customHeight="1" x14ac:dyDescent="0.25">
      <c r="A75" s="283"/>
      <c r="B75" s="288" t="str">
        <f>_xlfn.XLOOKUP(C75,'Info Clientes'!A:A,'Info Clientes'!B:B)</f>
        <v>Additive</v>
      </c>
      <c r="C75" s="96" t="s">
        <v>370</v>
      </c>
      <c r="D75" s="290">
        <f>_xlfn.XLOOKUP(C75,'Limite de crédito'!C:C,'Limite de crédito'!G:G,0)</f>
        <v>2000000</v>
      </c>
      <c r="E75" s="290">
        <f t="shared" si="8"/>
        <v>46590.02</v>
      </c>
      <c r="F75" s="290">
        <f>_xlfn.XLOOKUP('Nova Versão '!C75,'Limite de crédito'!C:C,'Limite de crédito'!O:O,0)</f>
        <v>2000000</v>
      </c>
      <c r="G75" s="291">
        <f t="shared" si="9"/>
        <v>0</v>
      </c>
      <c r="H75" s="292" t="str">
        <f>_xlfn.XLOOKUP(C75,'Info Clientes'!A:A,'Info Clientes'!C:C)</f>
        <v>Guarantee or credit</v>
      </c>
      <c r="I75" s="292" t="str">
        <f>IF(_xlfn.XLOOKUP(C75,'Info Clientes'!A:A,'Info Clientes'!D:D,"")=0,"",_xlfn.XLOOKUP(C75,'Info Clientes'!A:A,'Info Clientes'!D:D,""))</f>
        <v/>
      </c>
      <c r="K75" s="290">
        <f t="shared" si="10"/>
        <v>46590.02</v>
      </c>
      <c r="L75" s="290">
        <f>_xlfn.XLOOKUP(C75,'Clientes Consolidado.'!$C:$C,'Clientes Consolidado.'!R:R,0)</f>
        <v>46590.02</v>
      </c>
      <c r="M75" s="290">
        <f>_xlfn.XLOOKUP(C75,'Clientes Consolidado.'!$C:$C,'Clientes Consolidado.'!S:S,0)</f>
        <v>0</v>
      </c>
      <c r="N75" s="290">
        <f>_xlfn.XLOOKUP(C75,'Clientes Consolidado.'!$C:$C,'Clientes Consolidado.'!T:T,0)</f>
        <v>0</v>
      </c>
      <c r="O75" s="290">
        <f>_xlfn.XLOOKUP(C75,'Clientes Consolidado.'!$C:$C,'Clientes Consolidado.'!U:U,0)</f>
        <v>0</v>
      </c>
      <c r="P75" s="290">
        <f>_xlfn.XLOOKUP(C75,'Clientes Consolidado.'!$C:$C,'Clientes Consolidado.'!V:V,0)</f>
        <v>0</v>
      </c>
      <c r="Q75" s="290">
        <f>_xlfn.XLOOKUP(C75,'Clientes Consolidado.'!$C:$C,'Clientes Consolidado.'!W:W,0)</f>
        <v>0</v>
      </c>
      <c r="R75" s="290">
        <f>_xlfn.XLOOKUP(C75,'Clientes Consolidado.'!$C:$C,'Clientes Consolidado.'!X:X,0)</f>
        <v>0</v>
      </c>
      <c r="S75" s="290">
        <f t="shared" si="7"/>
        <v>0</v>
      </c>
      <c r="T75" s="290">
        <f>SUMIFS('Clientes Consolidado.'!I:I,'Clientes Consolidado.'!C:C,C75,'Clientes Consolidado.'!B:B,"Fertilizer")
+SUMIFS('Clientes Consolidado.'!I:I,'Clientes Consolidado.'!C:C,C75,'Clientes Consolidado.'!B:B,"Additive")
+SUMIFS('Clientes Consolidado.'!I:I,'Clientes Consolidado.'!C:C,C75,'Clientes Consolidado.'!B:B,"Additive Intl.")</f>
        <v>0</v>
      </c>
      <c r="U75" s="290">
        <f>SUMIFS('Clientes Consolidado.'!J:J,'Clientes Consolidado.'!C:C,C75,'Clientes Consolidado.'!B:B,"Fertilizer")
+SUMIFS('Clientes Consolidado.'!J:J,'Clientes Consolidado.'!C:C,C75,'Clientes Consolidado.'!B:B,"Additive")
+SUMIFS('Clientes Consolidado.'!J:J,'Clientes Consolidado.'!C:C,C75,'Clientes Consolidado.'!B:B,"Additive Intl.")</f>
        <v>0</v>
      </c>
      <c r="V75" s="290">
        <f>SUMIFS('Clientes Consolidado.'!K:K,'Clientes Consolidado.'!C:C,C75,'Clientes Consolidado.'!B:B,"Fertilizer")
+SUMIFS('Clientes Consolidado.'!K:K,'Clientes Consolidado.'!C:C,C75,'Clientes Consolidado.'!B:B,"Additive")
+SUMIFS('Clientes Consolidado.'!K:K,'Clientes Consolidado.'!C:C,C75,'Clientes Consolidado.'!B:B,"Additive Intl.")</f>
        <v>0</v>
      </c>
      <c r="W75" s="290">
        <f>SUMIFS('Clientes Consolidado.'!L:L,'Clientes Consolidado.'!C:C,C75,'Clientes Consolidado.'!B:B,"Fertilizer")
+SUMIFS('Clientes Consolidado.'!L:L,'Clientes Consolidado.'!C:C,C75,'Clientes Consolidado.'!B:B,"Additive")
+SUMIFS('Clientes Consolidado.'!L:L,'Clientes Consolidado.'!C:C,C75,'Clientes Consolidado.'!B:B,"Additive Intl.")</f>
        <v>0</v>
      </c>
      <c r="X75" s="290">
        <f>SUMIFS('Clientes Consolidado.'!M:M,'Clientes Consolidado.'!C:C,C75,'Clientes Consolidado.'!B:B,"Fertilizer")
+SUMIFS('Clientes Consolidado.'!M:M,'Clientes Consolidado.'!C:C,C75,'Clientes Consolidado.'!B:B,"Additive")
+SUMIFS('Clientes Consolidado.'!M:M,'Clientes Consolidado.'!C:C,C75,'Clientes Consolidado.'!B:B,"Additive Intl.")</f>
        <v>0</v>
      </c>
      <c r="Y75" s="290">
        <f>SUMIFS('Clientes Consolidado.'!N:N,'Clientes Consolidado.'!C:C,C75,'Clientes Consolidado.'!B:B,"Fertilizer")
+SUMIFS('Clientes Consolidado.'!N:N,'Clientes Consolidado.'!C:C,C75,'Clientes Consolidado.'!B:B,"Additive")
+SUMIFS('Clientes Consolidado.'!N:N,'Clientes Consolidado.'!C:C,C75,'Clientes Consolidado.'!B:B,"Additive Intl.")</f>
        <v>0</v>
      </c>
      <c r="Z75" s="290">
        <f>SUMIFS('Clientes Consolidado.'!O:O,'Clientes Consolidado.'!C:C,C75,'Clientes Consolidado.'!B:B,"Fertilizer")
+SUMIFS('Clientes Consolidado.'!O:O,'Clientes Consolidado.'!C:C,C75,'Clientes Consolidado.'!B:B,"Additive")
+SUMIFS('Clientes Consolidado.'!O:O,'Clientes Consolidado.'!C:C,C75,'Clientes Consolidado.'!B:B,"Additive Intl.")</f>
        <v>0</v>
      </c>
      <c r="AA75" s="290">
        <f>SUMIFS('Clientes Consolidado.'!P:P,'Clientes Consolidado.'!C:C,'Nova Versão '!C75,'Clientes Consolidado.'!B:B,"Fertilizer / Litigation")+SUMIFS('Clientes Consolidado.'!P:P,'Clientes Consolidado.'!C:C,'Nova Versão '!C75,'Clientes Consolidado.'!B:B,"Additive / Litigation")</f>
        <v>0</v>
      </c>
      <c r="AB75" s="288"/>
      <c r="AD75" s="290">
        <f>SUMIFS('Invoiced amount'!I:I,'Invoiced amount'!AH:AH,'Nova Versão '!C75)</f>
        <v>0</v>
      </c>
      <c r="AE75" s="290">
        <f>SUMIFS(Buget!K:K,Buget!E:E,'Nova Versão '!C75)</f>
        <v>2406105.5274159559</v>
      </c>
      <c r="AF75" s="264">
        <f t="shared" si="11"/>
        <v>0</v>
      </c>
      <c r="AG75" s="290">
        <f t="shared" si="12"/>
        <v>2406105.5274159559</v>
      </c>
    </row>
    <row r="76" spans="1:33" ht="13.8" customHeight="1" x14ac:dyDescent="0.25">
      <c r="A76" s="283"/>
      <c r="B76" s="288" t="str">
        <f>_xlfn.XLOOKUP(C76,'Info Clientes'!A:A,'Info Clientes'!B:B)</f>
        <v>Additive</v>
      </c>
      <c r="C76" s="96" t="s">
        <v>425</v>
      </c>
      <c r="D76" s="290">
        <f>_xlfn.XLOOKUP(C76,'Limite de crédito'!C:C,'Limite de crédito'!G:G,0)</f>
        <v>70000</v>
      </c>
      <c r="E76" s="290">
        <f t="shared" si="8"/>
        <v>37660</v>
      </c>
      <c r="F76" s="290">
        <f>_xlfn.XLOOKUP('Nova Versão '!C76,'Limite de crédito'!C:C,'Limite de crédito'!O:O,0)</f>
        <v>0</v>
      </c>
      <c r="G76" s="291">
        <f t="shared" si="9"/>
        <v>37660</v>
      </c>
      <c r="H76" s="292" t="str">
        <f>_xlfn.XLOOKUP(C76,'Info Clientes'!A:A,'Info Clientes'!C:C)</f>
        <v>Approved in credit committee</v>
      </c>
      <c r="I76" s="292" t="str">
        <f>IF(_xlfn.XLOOKUP(C76,'Info Clientes'!A:A,'Info Clientes'!D:D,"")=0,"",_xlfn.XLOOKUP(C76,'Info Clientes'!A:A,'Info Clientes'!D:D,""))</f>
        <v>We have requested the audited financial statements for 2025 to assess the possibility of granting a credit limit with Coface.</v>
      </c>
      <c r="K76" s="290">
        <f t="shared" si="10"/>
        <v>37660</v>
      </c>
      <c r="L76" s="290">
        <f>_xlfn.XLOOKUP(C76,'Clientes Consolidado.'!$C:$C,'Clientes Consolidado.'!R:R,0)</f>
        <v>37660</v>
      </c>
      <c r="M76" s="290">
        <f>_xlfn.XLOOKUP(C76,'Clientes Consolidado.'!$C:$C,'Clientes Consolidado.'!S:S,0)</f>
        <v>0</v>
      </c>
      <c r="N76" s="290">
        <f>_xlfn.XLOOKUP(C76,'Clientes Consolidado.'!$C:$C,'Clientes Consolidado.'!T:T,0)</f>
        <v>0</v>
      </c>
      <c r="O76" s="290">
        <f>_xlfn.XLOOKUP(C76,'Clientes Consolidado.'!$C:$C,'Clientes Consolidado.'!U:U,0)</f>
        <v>0</v>
      </c>
      <c r="P76" s="290">
        <f>_xlfn.XLOOKUP(C76,'Clientes Consolidado.'!$C:$C,'Clientes Consolidado.'!V:V,0)</f>
        <v>0</v>
      </c>
      <c r="Q76" s="290">
        <f>_xlfn.XLOOKUP(C76,'Clientes Consolidado.'!$C:$C,'Clientes Consolidado.'!W:W,0)</f>
        <v>0</v>
      </c>
      <c r="R76" s="290">
        <f>_xlfn.XLOOKUP(C76,'Clientes Consolidado.'!$C:$C,'Clientes Consolidado.'!X:X,0)</f>
        <v>0</v>
      </c>
      <c r="S76" s="290">
        <f t="shared" si="7"/>
        <v>0</v>
      </c>
      <c r="T76" s="290">
        <f>SUMIFS('Clientes Consolidado.'!I:I,'Clientes Consolidado.'!C:C,C76,'Clientes Consolidado.'!B:B,"Fertilizer")
+SUMIFS('Clientes Consolidado.'!I:I,'Clientes Consolidado.'!C:C,C76,'Clientes Consolidado.'!B:B,"Additive")
+SUMIFS('Clientes Consolidado.'!I:I,'Clientes Consolidado.'!C:C,C76,'Clientes Consolidado.'!B:B,"Additive Intl.")</f>
        <v>0</v>
      </c>
      <c r="U76" s="290">
        <f>SUMIFS('Clientes Consolidado.'!J:J,'Clientes Consolidado.'!C:C,C76,'Clientes Consolidado.'!B:B,"Fertilizer")
+SUMIFS('Clientes Consolidado.'!J:J,'Clientes Consolidado.'!C:C,C76,'Clientes Consolidado.'!B:B,"Additive")
+SUMIFS('Clientes Consolidado.'!J:J,'Clientes Consolidado.'!C:C,C76,'Clientes Consolidado.'!B:B,"Additive Intl.")</f>
        <v>0</v>
      </c>
      <c r="V76" s="290">
        <f>SUMIFS('Clientes Consolidado.'!K:K,'Clientes Consolidado.'!C:C,C76,'Clientes Consolidado.'!B:B,"Fertilizer")
+SUMIFS('Clientes Consolidado.'!K:K,'Clientes Consolidado.'!C:C,C76,'Clientes Consolidado.'!B:B,"Additive")
+SUMIFS('Clientes Consolidado.'!K:K,'Clientes Consolidado.'!C:C,C76,'Clientes Consolidado.'!B:B,"Additive Intl.")</f>
        <v>0</v>
      </c>
      <c r="W76" s="290">
        <f>SUMIFS('Clientes Consolidado.'!L:L,'Clientes Consolidado.'!C:C,C76,'Clientes Consolidado.'!B:B,"Fertilizer")
+SUMIFS('Clientes Consolidado.'!L:L,'Clientes Consolidado.'!C:C,C76,'Clientes Consolidado.'!B:B,"Additive")
+SUMIFS('Clientes Consolidado.'!L:L,'Clientes Consolidado.'!C:C,C76,'Clientes Consolidado.'!B:B,"Additive Intl.")</f>
        <v>0</v>
      </c>
      <c r="X76" s="290">
        <f>SUMIFS('Clientes Consolidado.'!M:M,'Clientes Consolidado.'!C:C,C76,'Clientes Consolidado.'!B:B,"Fertilizer")
+SUMIFS('Clientes Consolidado.'!M:M,'Clientes Consolidado.'!C:C,C76,'Clientes Consolidado.'!B:B,"Additive")
+SUMIFS('Clientes Consolidado.'!M:M,'Clientes Consolidado.'!C:C,C76,'Clientes Consolidado.'!B:B,"Additive Intl.")</f>
        <v>0</v>
      </c>
      <c r="Y76" s="290">
        <f>SUMIFS('Clientes Consolidado.'!N:N,'Clientes Consolidado.'!C:C,C76,'Clientes Consolidado.'!B:B,"Fertilizer")
+SUMIFS('Clientes Consolidado.'!N:N,'Clientes Consolidado.'!C:C,C76,'Clientes Consolidado.'!B:B,"Additive")
+SUMIFS('Clientes Consolidado.'!N:N,'Clientes Consolidado.'!C:C,C76,'Clientes Consolidado.'!B:B,"Additive Intl.")</f>
        <v>0</v>
      </c>
      <c r="Z76" s="290">
        <f>SUMIFS('Clientes Consolidado.'!O:O,'Clientes Consolidado.'!C:C,C76,'Clientes Consolidado.'!B:B,"Fertilizer")
+SUMIFS('Clientes Consolidado.'!O:O,'Clientes Consolidado.'!C:C,C76,'Clientes Consolidado.'!B:B,"Additive")
+SUMIFS('Clientes Consolidado.'!O:O,'Clientes Consolidado.'!C:C,C76,'Clientes Consolidado.'!B:B,"Additive Intl.")</f>
        <v>0</v>
      </c>
      <c r="AA76" s="290">
        <f>SUMIFS('Clientes Consolidado.'!P:P,'Clientes Consolidado.'!C:C,'Nova Versão '!C76,'Clientes Consolidado.'!B:B,"Fertilizer / Litigation")+SUMIFS('Clientes Consolidado.'!P:P,'Clientes Consolidado.'!C:C,'Nova Versão '!C76,'Clientes Consolidado.'!B:B,"Additive / Litigation")</f>
        <v>0</v>
      </c>
      <c r="AB76" s="288"/>
      <c r="AD76" s="290">
        <f>SUMIFS('Invoiced amount'!I:I,'Invoiced amount'!AH:AH,'Nova Versão '!C76)</f>
        <v>63950</v>
      </c>
      <c r="AE76" s="290">
        <f>SUMIFS(Buget!K:K,Buget!E:E,'Nova Versão '!C76)</f>
        <v>275946.30747330689</v>
      </c>
      <c r="AF76" s="264">
        <f t="shared" si="11"/>
        <v>0.23174798237220867</v>
      </c>
      <c r="AG76" s="290">
        <f t="shared" si="12"/>
        <v>211996.30747330689</v>
      </c>
    </row>
    <row r="77" spans="1:33" ht="13.8" customHeight="1" x14ac:dyDescent="0.25">
      <c r="A77" s="283"/>
      <c r="B77" s="288" t="str">
        <f>_xlfn.XLOOKUP(C77,'Info Clientes'!A:A,'Info Clientes'!B:B)</f>
        <v>Additive / Litigation</v>
      </c>
      <c r="C77" s="96" t="s">
        <v>80</v>
      </c>
      <c r="D77" s="290">
        <f>_xlfn.XLOOKUP(C77,'Limite de crédito'!C:C,'Limite de crédito'!G:G,0)</f>
        <v>0</v>
      </c>
      <c r="E77" s="290">
        <f t="shared" si="8"/>
        <v>20940</v>
      </c>
      <c r="F77" s="290">
        <f>_xlfn.XLOOKUP('Nova Versão '!C77,'Limite de crédito'!C:C,'Limite de crédito'!O:O,0)</f>
        <v>0</v>
      </c>
      <c r="G77" s="291">
        <f t="shared" si="9"/>
        <v>20940</v>
      </c>
      <c r="H77" s="292" t="str">
        <f>_xlfn.XLOOKUP(C77,'Info Clientes'!A:A,'Info Clientes'!C:C)</f>
        <v>Litigation</v>
      </c>
      <c r="I77" s="292" t="str">
        <f>IF(_xlfn.XLOOKUP(C77,'Info Clientes'!A:A,'Info Clientes'!D:D,"")=0,"",_xlfn.XLOOKUP(C77,'Info Clientes'!A:A,'Info Clientes'!D:D,""))</f>
        <v/>
      </c>
      <c r="K77" s="290">
        <f t="shared" si="10"/>
        <v>0</v>
      </c>
      <c r="L77" s="290">
        <f>_xlfn.XLOOKUP(C77,'Clientes Consolidado.'!$C:$C,'Clientes Consolidado.'!R:R,0)</f>
        <v>0</v>
      </c>
      <c r="M77" s="290">
        <f>_xlfn.XLOOKUP(C77,'Clientes Consolidado.'!$C:$C,'Clientes Consolidado.'!S:S,0)</f>
        <v>0</v>
      </c>
      <c r="N77" s="290">
        <f>_xlfn.XLOOKUP(C77,'Clientes Consolidado.'!$C:$C,'Clientes Consolidado.'!T:T,0)</f>
        <v>0</v>
      </c>
      <c r="O77" s="290">
        <f>_xlfn.XLOOKUP(C77,'Clientes Consolidado.'!$C:$C,'Clientes Consolidado.'!U:U,0)</f>
        <v>0</v>
      </c>
      <c r="P77" s="290">
        <f>_xlfn.XLOOKUP(C77,'Clientes Consolidado.'!$C:$C,'Clientes Consolidado.'!V:V,0)</f>
        <v>0</v>
      </c>
      <c r="Q77" s="290">
        <f>_xlfn.XLOOKUP(C77,'Clientes Consolidado.'!$C:$C,'Clientes Consolidado.'!W:W,0)</f>
        <v>0</v>
      </c>
      <c r="R77" s="290">
        <f>_xlfn.XLOOKUP(C77,'Clientes Consolidado.'!$C:$C,'Clientes Consolidado.'!X:X,0)</f>
        <v>0</v>
      </c>
      <c r="S77" s="290">
        <f t="shared" si="7"/>
        <v>0</v>
      </c>
      <c r="T77" s="290">
        <f>SUMIFS('Clientes Consolidado.'!I:I,'Clientes Consolidado.'!C:C,C77,'Clientes Consolidado.'!B:B,"Fertilizer")
+SUMIFS('Clientes Consolidado.'!I:I,'Clientes Consolidado.'!C:C,C77,'Clientes Consolidado.'!B:B,"Additive")
+SUMIFS('Clientes Consolidado.'!I:I,'Clientes Consolidado.'!C:C,C77,'Clientes Consolidado.'!B:B,"Additive Intl.")</f>
        <v>0</v>
      </c>
      <c r="U77" s="290">
        <f>SUMIFS('Clientes Consolidado.'!J:J,'Clientes Consolidado.'!C:C,C77,'Clientes Consolidado.'!B:B,"Fertilizer")
+SUMIFS('Clientes Consolidado.'!J:J,'Clientes Consolidado.'!C:C,C77,'Clientes Consolidado.'!B:B,"Additive")
+SUMIFS('Clientes Consolidado.'!J:J,'Clientes Consolidado.'!C:C,C77,'Clientes Consolidado.'!B:B,"Additive Intl.")</f>
        <v>0</v>
      </c>
      <c r="V77" s="290">
        <f>SUMIFS('Clientes Consolidado.'!K:K,'Clientes Consolidado.'!C:C,C77,'Clientes Consolidado.'!B:B,"Fertilizer")
+SUMIFS('Clientes Consolidado.'!K:K,'Clientes Consolidado.'!C:C,C77,'Clientes Consolidado.'!B:B,"Additive")
+SUMIFS('Clientes Consolidado.'!K:K,'Clientes Consolidado.'!C:C,C77,'Clientes Consolidado.'!B:B,"Additive Intl.")</f>
        <v>0</v>
      </c>
      <c r="W77" s="290">
        <f>SUMIFS('Clientes Consolidado.'!L:L,'Clientes Consolidado.'!C:C,C77,'Clientes Consolidado.'!B:B,"Fertilizer")
+SUMIFS('Clientes Consolidado.'!L:L,'Clientes Consolidado.'!C:C,C77,'Clientes Consolidado.'!B:B,"Additive")
+SUMIFS('Clientes Consolidado.'!L:L,'Clientes Consolidado.'!C:C,C77,'Clientes Consolidado.'!B:B,"Additive Intl.")</f>
        <v>0</v>
      </c>
      <c r="X77" s="290">
        <f>SUMIFS('Clientes Consolidado.'!M:M,'Clientes Consolidado.'!C:C,C77,'Clientes Consolidado.'!B:B,"Fertilizer")
+SUMIFS('Clientes Consolidado.'!M:M,'Clientes Consolidado.'!C:C,C77,'Clientes Consolidado.'!B:B,"Additive")
+SUMIFS('Clientes Consolidado.'!M:M,'Clientes Consolidado.'!C:C,C77,'Clientes Consolidado.'!B:B,"Additive Intl.")</f>
        <v>0</v>
      </c>
      <c r="Y77" s="290">
        <f>SUMIFS('Clientes Consolidado.'!N:N,'Clientes Consolidado.'!C:C,C77,'Clientes Consolidado.'!B:B,"Fertilizer")
+SUMIFS('Clientes Consolidado.'!N:N,'Clientes Consolidado.'!C:C,C77,'Clientes Consolidado.'!B:B,"Additive")
+SUMIFS('Clientes Consolidado.'!N:N,'Clientes Consolidado.'!C:C,C77,'Clientes Consolidado.'!B:B,"Additive Intl.")</f>
        <v>0</v>
      </c>
      <c r="Z77" s="290">
        <f>SUMIFS('Clientes Consolidado.'!O:O,'Clientes Consolidado.'!C:C,C77,'Clientes Consolidado.'!B:B,"Fertilizer")
+SUMIFS('Clientes Consolidado.'!O:O,'Clientes Consolidado.'!C:C,C77,'Clientes Consolidado.'!B:B,"Additive")
+SUMIFS('Clientes Consolidado.'!O:O,'Clientes Consolidado.'!C:C,C77,'Clientes Consolidado.'!B:B,"Additive Intl.")</f>
        <v>0</v>
      </c>
      <c r="AA77" s="290">
        <f>SUMIFS('Clientes Consolidado.'!P:P,'Clientes Consolidado.'!C:C,'Nova Versão '!C77,'Clientes Consolidado.'!B:B,"Fertilizer / Litigation")+SUMIFS('Clientes Consolidado.'!P:P,'Clientes Consolidado.'!C:C,'Nova Versão '!C77,'Clientes Consolidado.'!B:B,"Additive / Litigation")</f>
        <v>20940</v>
      </c>
      <c r="AB77" s="288"/>
      <c r="AD77" s="290">
        <f>SUMIFS('Invoiced amount'!I:I,'Invoiced amount'!AH:AH,'Nova Versão '!C77)</f>
        <v>0</v>
      </c>
      <c r="AE77" s="290">
        <f>SUMIFS(Buget!K:K,Buget!E:E,'Nova Versão '!C77)</f>
        <v>0</v>
      </c>
      <c r="AF77" s="264" t="str">
        <f t="shared" si="11"/>
        <v/>
      </c>
      <c r="AG77" s="290">
        <f t="shared" si="12"/>
        <v>0</v>
      </c>
    </row>
    <row r="78" spans="1:33" ht="13.8" customHeight="1" x14ac:dyDescent="0.25">
      <c r="A78" s="283"/>
      <c r="B78" s="288" t="str">
        <f>_xlfn.XLOOKUP(C78,'Info Clientes'!A:A,'Info Clientes'!B:B)</f>
        <v>Additive</v>
      </c>
      <c r="C78" s="96" t="s">
        <v>349</v>
      </c>
      <c r="D78" s="290">
        <f>_xlfn.XLOOKUP(C78,'Limite de crédito'!C:C,'Limite de crédito'!G:G,0)</f>
        <v>120000</v>
      </c>
      <c r="E78" s="290">
        <f t="shared" si="8"/>
        <v>17125</v>
      </c>
      <c r="F78" s="290">
        <f>_xlfn.XLOOKUP('Nova Versão '!C78,'Limite de crédito'!C:C,'Limite de crédito'!O:O,0)</f>
        <v>120000</v>
      </c>
      <c r="G78" s="291">
        <f t="shared" si="9"/>
        <v>0</v>
      </c>
      <c r="H78" s="292" t="str">
        <f>_xlfn.XLOOKUP(C78,'Info Clientes'!A:A,'Info Clientes'!C:C)</f>
        <v>Guarantee or credit</v>
      </c>
      <c r="I78" s="292" t="str">
        <f>IF(_xlfn.XLOOKUP(C78,'Info Clientes'!A:A,'Info Clientes'!D:D,"")=0,"",_xlfn.XLOOKUP(C78,'Info Clientes'!A:A,'Info Clientes'!D:D,""))</f>
        <v/>
      </c>
      <c r="K78" s="290">
        <f t="shared" si="10"/>
        <v>17125</v>
      </c>
      <c r="L78" s="290">
        <f>_xlfn.XLOOKUP(C78,'Clientes Consolidado.'!$C:$C,'Clientes Consolidado.'!R:R,0)</f>
        <v>17125</v>
      </c>
      <c r="M78" s="290">
        <f>_xlfn.XLOOKUP(C78,'Clientes Consolidado.'!$C:$C,'Clientes Consolidado.'!S:S,0)</f>
        <v>0</v>
      </c>
      <c r="N78" s="290">
        <f>_xlfn.XLOOKUP(C78,'Clientes Consolidado.'!$C:$C,'Clientes Consolidado.'!T:T,0)</f>
        <v>0</v>
      </c>
      <c r="O78" s="290">
        <f>_xlfn.XLOOKUP(C78,'Clientes Consolidado.'!$C:$C,'Clientes Consolidado.'!U:U,0)</f>
        <v>0</v>
      </c>
      <c r="P78" s="290">
        <f>_xlfn.XLOOKUP(C78,'Clientes Consolidado.'!$C:$C,'Clientes Consolidado.'!V:V,0)</f>
        <v>0</v>
      </c>
      <c r="Q78" s="290">
        <f>_xlfn.XLOOKUP(C78,'Clientes Consolidado.'!$C:$C,'Clientes Consolidado.'!W:W,0)</f>
        <v>0</v>
      </c>
      <c r="R78" s="290">
        <f>_xlfn.XLOOKUP(C78,'Clientes Consolidado.'!$C:$C,'Clientes Consolidado.'!X:X,0)</f>
        <v>0</v>
      </c>
      <c r="S78" s="290">
        <f t="shared" si="7"/>
        <v>0</v>
      </c>
      <c r="T78" s="290">
        <f>SUMIFS('Clientes Consolidado.'!I:I,'Clientes Consolidado.'!C:C,C78,'Clientes Consolidado.'!B:B,"Fertilizer")
+SUMIFS('Clientes Consolidado.'!I:I,'Clientes Consolidado.'!C:C,C78,'Clientes Consolidado.'!B:B,"Additive")
+SUMIFS('Clientes Consolidado.'!I:I,'Clientes Consolidado.'!C:C,C78,'Clientes Consolidado.'!B:B,"Additive Intl.")</f>
        <v>0</v>
      </c>
      <c r="U78" s="290">
        <f>SUMIFS('Clientes Consolidado.'!J:J,'Clientes Consolidado.'!C:C,C78,'Clientes Consolidado.'!B:B,"Fertilizer")
+SUMIFS('Clientes Consolidado.'!J:J,'Clientes Consolidado.'!C:C,C78,'Clientes Consolidado.'!B:B,"Additive")
+SUMIFS('Clientes Consolidado.'!J:J,'Clientes Consolidado.'!C:C,C78,'Clientes Consolidado.'!B:B,"Additive Intl.")</f>
        <v>0</v>
      </c>
      <c r="V78" s="290">
        <f>SUMIFS('Clientes Consolidado.'!K:K,'Clientes Consolidado.'!C:C,C78,'Clientes Consolidado.'!B:B,"Fertilizer")
+SUMIFS('Clientes Consolidado.'!K:K,'Clientes Consolidado.'!C:C,C78,'Clientes Consolidado.'!B:B,"Additive")
+SUMIFS('Clientes Consolidado.'!K:K,'Clientes Consolidado.'!C:C,C78,'Clientes Consolidado.'!B:B,"Additive Intl.")</f>
        <v>0</v>
      </c>
      <c r="W78" s="290">
        <f>SUMIFS('Clientes Consolidado.'!L:L,'Clientes Consolidado.'!C:C,C78,'Clientes Consolidado.'!B:B,"Fertilizer")
+SUMIFS('Clientes Consolidado.'!L:L,'Clientes Consolidado.'!C:C,C78,'Clientes Consolidado.'!B:B,"Additive")
+SUMIFS('Clientes Consolidado.'!L:L,'Clientes Consolidado.'!C:C,C78,'Clientes Consolidado.'!B:B,"Additive Intl.")</f>
        <v>0</v>
      </c>
      <c r="X78" s="290">
        <f>SUMIFS('Clientes Consolidado.'!M:M,'Clientes Consolidado.'!C:C,C78,'Clientes Consolidado.'!B:B,"Fertilizer")
+SUMIFS('Clientes Consolidado.'!M:M,'Clientes Consolidado.'!C:C,C78,'Clientes Consolidado.'!B:B,"Additive")
+SUMIFS('Clientes Consolidado.'!M:M,'Clientes Consolidado.'!C:C,C78,'Clientes Consolidado.'!B:B,"Additive Intl.")</f>
        <v>0</v>
      </c>
      <c r="Y78" s="290">
        <f>SUMIFS('Clientes Consolidado.'!N:N,'Clientes Consolidado.'!C:C,C78,'Clientes Consolidado.'!B:B,"Fertilizer")
+SUMIFS('Clientes Consolidado.'!N:N,'Clientes Consolidado.'!C:C,C78,'Clientes Consolidado.'!B:B,"Additive")
+SUMIFS('Clientes Consolidado.'!N:N,'Clientes Consolidado.'!C:C,C78,'Clientes Consolidado.'!B:B,"Additive Intl.")</f>
        <v>0</v>
      </c>
      <c r="Z78" s="290">
        <f>SUMIFS('Clientes Consolidado.'!O:O,'Clientes Consolidado.'!C:C,C78,'Clientes Consolidado.'!B:B,"Fertilizer")
+SUMIFS('Clientes Consolidado.'!O:O,'Clientes Consolidado.'!C:C,C78,'Clientes Consolidado.'!B:B,"Additive")
+SUMIFS('Clientes Consolidado.'!O:O,'Clientes Consolidado.'!C:C,C78,'Clientes Consolidado.'!B:B,"Additive Intl.")</f>
        <v>0</v>
      </c>
      <c r="AA78" s="290">
        <f>SUMIFS('Clientes Consolidado.'!P:P,'Clientes Consolidado.'!C:C,'Nova Versão '!C78,'Clientes Consolidado.'!B:B,"Fertilizer / Litigation")+SUMIFS('Clientes Consolidado.'!P:P,'Clientes Consolidado.'!C:C,'Nova Versão '!C78,'Clientes Consolidado.'!B:B,"Additive / Litigation")</f>
        <v>0</v>
      </c>
      <c r="AB78" s="288"/>
      <c r="AD78" s="290">
        <f>SUMIFS('Invoiced amount'!I:I,'Invoiced amount'!AH:AH,'Nova Versão '!C78)</f>
        <v>34250</v>
      </c>
      <c r="AE78" s="290">
        <f>SUMIFS(Buget!K:K,Buget!E:E,'Nova Versão '!C78)</f>
        <v>120000</v>
      </c>
      <c r="AF78" s="264">
        <f t="shared" si="11"/>
        <v>0.28541666666666665</v>
      </c>
      <c r="AG78" s="290">
        <f t="shared" si="12"/>
        <v>85750</v>
      </c>
    </row>
    <row r="79" spans="1:33" ht="13.8" customHeight="1" x14ac:dyDescent="0.25">
      <c r="A79" s="283"/>
      <c r="B79" s="288" t="str">
        <f>_xlfn.XLOOKUP(C79,'Info Clientes'!A:A,'Info Clientes'!B:B)</f>
        <v>Fertilizer</v>
      </c>
      <c r="C79" s="234" t="s">
        <v>365</v>
      </c>
      <c r="D79" s="290">
        <f>_xlfn.XLOOKUP(C79,'Limite de crédito'!C:C,'Limite de crédito'!G:G,0)</f>
        <v>700000</v>
      </c>
      <c r="E79" s="290">
        <f t="shared" si="8"/>
        <v>5030.5</v>
      </c>
      <c r="F79" s="290">
        <f>_xlfn.XLOOKUP('Nova Versão '!C79,'Limite de crédito'!C:C,'Limite de crédito'!O:O,0)</f>
        <v>700000</v>
      </c>
      <c r="G79" s="291">
        <f t="shared" si="9"/>
        <v>0</v>
      </c>
      <c r="H79" s="292" t="str">
        <f>_xlfn.XLOOKUP(C79,'Info Clientes'!A:A,'Info Clientes'!C:C)</f>
        <v>Guarantee or credit</v>
      </c>
      <c r="I79" s="292" t="str">
        <f>IF(_xlfn.XLOOKUP(C79,'Info Clientes'!A:A,'Info Clientes'!D:D,"")=0,"",_xlfn.XLOOKUP(C79,'Info Clientes'!A:A,'Info Clientes'!D:D,""))</f>
        <v/>
      </c>
      <c r="K79" s="290">
        <f t="shared" si="10"/>
        <v>5030.5</v>
      </c>
      <c r="L79" s="290">
        <f>_xlfn.XLOOKUP(C79,'Clientes Consolidado.'!$C:$C,'Clientes Consolidado.'!R:R,0)</f>
        <v>0</v>
      </c>
      <c r="M79" s="290">
        <f>_xlfn.XLOOKUP(C79,'Clientes Consolidado.'!$C:$C,'Clientes Consolidado.'!S:S,0)</f>
        <v>5030.5</v>
      </c>
      <c r="N79" s="290">
        <f>_xlfn.XLOOKUP(C79,'Clientes Consolidado.'!$C:$C,'Clientes Consolidado.'!T:T,0)</f>
        <v>0</v>
      </c>
      <c r="O79" s="290">
        <f>_xlfn.XLOOKUP(C79,'Clientes Consolidado.'!$C:$C,'Clientes Consolidado.'!U:U,0)</f>
        <v>0</v>
      </c>
      <c r="P79" s="290">
        <f>_xlfn.XLOOKUP(C79,'Clientes Consolidado.'!$C:$C,'Clientes Consolidado.'!V:V,0)</f>
        <v>0</v>
      </c>
      <c r="Q79" s="290">
        <f>_xlfn.XLOOKUP(C79,'Clientes Consolidado.'!$C:$C,'Clientes Consolidado.'!W:W,0)</f>
        <v>0</v>
      </c>
      <c r="R79" s="290">
        <f>_xlfn.XLOOKUP(C79,'Clientes Consolidado.'!$C:$C,'Clientes Consolidado.'!X:X,0)</f>
        <v>0</v>
      </c>
      <c r="S79" s="290">
        <f t="shared" si="7"/>
        <v>0</v>
      </c>
      <c r="T79" s="290">
        <f>SUMIFS('Clientes Consolidado.'!I:I,'Clientes Consolidado.'!C:C,C79,'Clientes Consolidado.'!B:B,"Fertilizer")
+SUMIFS('Clientes Consolidado.'!I:I,'Clientes Consolidado.'!C:C,C79,'Clientes Consolidado.'!B:B,"Additive")
+SUMIFS('Clientes Consolidado.'!I:I,'Clientes Consolidado.'!C:C,C79,'Clientes Consolidado.'!B:B,"Additive Intl.")</f>
        <v>0</v>
      </c>
      <c r="U79" s="290">
        <f>SUMIFS('Clientes Consolidado.'!J:J,'Clientes Consolidado.'!C:C,C79,'Clientes Consolidado.'!B:B,"Fertilizer")
+SUMIFS('Clientes Consolidado.'!J:J,'Clientes Consolidado.'!C:C,C79,'Clientes Consolidado.'!B:B,"Additive")
+SUMIFS('Clientes Consolidado.'!J:J,'Clientes Consolidado.'!C:C,C79,'Clientes Consolidado.'!B:B,"Additive Intl.")</f>
        <v>0</v>
      </c>
      <c r="V79" s="290">
        <f>SUMIFS('Clientes Consolidado.'!K:K,'Clientes Consolidado.'!C:C,C79,'Clientes Consolidado.'!B:B,"Fertilizer")
+SUMIFS('Clientes Consolidado.'!K:K,'Clientes Consolidado.'!C:C,C79,'Clientes Consolidado.'!B:B,"Additive")
+SUMIFS('Clientes Consolidado.'!K:K,'Clientes Consolidado.'!C:C,C79,'Clientes Consolidado.'!B:B,"Additive Intl.")</f>
        <v>0</v>
      </c>
      <c r="W79" s="290">
        <f>SUMIFS('Clientes Consolidado.'!L:L,'Clientes Consolidado.'!C:C,C79,'Clientes Consolidado.'!B:B,"Fertilizer")
+SUMIFS('Clientes Consolidado.'!L:L,'Clientes Consolidado.'!C:C,C79,'Clientes Consolidado.'!B:B,"Additive")
+SUMIFS('Clientes Consolidado.'!L:L,'Clientes Consolidado.'!C:C,C79,'Clientes Consolidado.'!B:B,"Additive Intl.")</f>
        <v>0</v>
      </c>
      <c r="X79" s="290">
        <f>SUMIFS('Clientes Consolidado.'!M:M,'Clientes Consolidado.'!C:C,C79,'Clientes Consolidado.'!B:B,"Fertilizer")
+SUMIFS('Clientes Consolidado.'!M:M,'Clientes Consolidado.'!C:C,C79,'Clientes Consolidado.'!B:B,"Additive")
+SUMIFS('Clientes Consolidado.'!M:M,'Clientes Consolidado.'!C:C,C79,'Clientes Consolidado.'!B:B,"Additive Intl.")</f>
        <v>0</v>
      </c>
      <c r="Y79" s="290">
        <f>SUMIFS('Clientes Consolidado.'!N:N,'Clientes Consolidado.'!C:C,C79,'Clientes Consolidado.'!B:B,"Fertilizer")
+SUMIFS('Clientes Consolidado.'!N:N,'Clientes Consolidado.'!C:C,C79,'Clientes Consolidado.'!B:B,"Additive")
+SUMIFS('Clientes Consolidado.'!N:N,'Clientes Consolidado.'!C:C,C79,'Clientes Consolidado.'!B:B,"Additive Intl.")</f>
        <v>0</v>
      </c>
      <c r="Z79" s="290">
        <f>SUMIFS('Clientes Consolidado.'!O:O,'Clientes Consolidado.'!C:C,C79,'Clientes Consolidado.'!B:B,"Fertilizer")
+SUMIFS('Clientes Consolidado.'!O:O,'Clientes Consolidado.'!C:C,C79,'Clientes Consolidado.'!B:B,"Additive")
+SUMIFS('Clientes Consolidado.'!O:O,'Clientes Consolidado.'!C:C,C79,'Clientes Consolidado.'!B:B,"Additive Intl.")</f>
        <v>0</v>
      </c>
      <c r="AA79" s="290">
        <f>SUMIFS('Clientes Consolidado.'!P:P,'Clientes Consolidado.'!C:C,'Nova Versão '!C79,'Clientes Consolidado.'!B:B,"Fertilizer / Litigation")+SUMIFS('Clientes Consolidado.'!P:P,'Clientes Consolidado.'!C:C,'Nova Versão '!C79,'Clientes Consolidado.'!B:B,"Additive / Litigation")</f>
        <v>0</v>
      </c>
      <c r="AB79" s="288"/>
      <c r="AD79" s="290">
        <f>SUMIFS('Invoiced amount'!I:I,'Invoiced amount'!AH:AH,'Nova Versão '!C79)</f>
        <v>0</v>
      </c>
      <c r="AE79" s="290">
        <f>SUMIFS(Buget!K:K,Buget!E:E,'Nova Versão '!C79)</f>
        <v>816809.25072225276</v>
      </c>
      <c r="AF79" s="264">
        <f t="shared" si="11"/>
        <v>0</v>
      </c>
      <c r="AG79" s="290">
        <f t="shared" si="12"/>
        <v>816809.25072225276</v>
      </c>
    </row>
    <row r="80" spans="1:33" ht="13.8" customHeight="1" x14ac:dyDescent="0.25">
      <c r="A80" s="283"/>
      <c r="B80" s="288" t="str">
        <f>_xlfn.XLOOKUP(C80,'Info Clientes'!A:A,'Info Clientes'!B:B)</f>
        <v>Additive</v>
      </c>
      <c r="C80" s="96" t="s">
        <v>770</v>
      </c>
      <c r="D80" s="290">
        <f>_xlfn.XLOOKUP(C80,'Limite de crédito'!C:C,'Limite de crédito'!G:G,0)</f>
        <v>0</v>
      </c>
      <c r="E80" s="290">
        <f t="shared" si="8"/>
        <v>1743</v>
      </c>
      <c r="F80" s="290">
        <f>_xlfn.XLOOKUP('Nova Versão '!C80,'Limite de crédito'!C:C,'Limite de crédito'!O:O,0)</f>
        <v>0</v>
      </c>
      <c r="G80" s="291">
        <f t="shared" si="9"/>
        <v>1743</v>
      </c>
      <c r="H80" s="292" t="str">
        <f>_xlfn.XLOOKUP(C80,'Info Clientes'!A:A,'Info Clientes'!C:C)</f>
        <v>Sales to employees</v>
      </c>
      <c r="I80" s="292" t="str">
        <f>IF(_xlfn.XLOOKUP(C80,'Info Clientes'!A:A,'Info Clientes'!D:D,"")=0,"",_xlfn.XLOOKUP(C80,'Info Clientes'!A:A,'Info Clientes'!D:D,""))</f>
        <v/>
      </c>
      <c r="K80" s="290">
        <f t="shared" si="10"/>
        <v>1162</v>
      </c>
      <c r="L80" s="290">
        <f>_xlfn.XLOOKUP(C80,'Clientes Consolidado.'!$C:$C,'Clientes Consolidado.'!R:R,0)</f>
        <v>581</v>
      </c>
      <c r="M80" s="290">
        <f>_xlfn.XLOOKUP(C80,'Clientes Consolidado.'!$C:$C,'Clientes Consolidado.'!S:S,0)</f>
        <v>581</v>
      </c>
      <c r="N80" s="290">
        <f>_xlfn.XLOOKUP(C80,'Clientes Consolidado.'!$C:$C,'Clientes Consolidado.'!T:T,0)</f>
        <v>0</v>
      </c>
      <c r="O80" s="290">
        <f>_xlfn.XLOOKUP(C80,'Clientes Consolidado.'!$C:$C,'Clientes Consolidado.'!U:U,0)</f>
        <v>0</v>
      </c>
      <c r="P80" s="290">
        <f>_xlfn.XLOOKUP(C80,'Clientes Consolidado.'!$C:$C,'Clientes Consolidado.'!V:V,0)</f>
        <v>0</v>
      </c>
      <c r="Q80" s="290">
        <f>_xlfn.XLOOKUP(C80,'Clientes Consolidado.'!$C:$C,'Clientes Consolidado.'!W:W,0)</f>
        <v>0</v>
      </c>
      <c r="R80" s="290">
        <f>_xlfn.XLOOKUP(C80,'Clientes Consolidado.'!$C:$C,'Clientes Consolidado.'!X:X,0)</f>
        <v>0</v>
      </c>
      <c r="S80" s="290">
        <f t="shared" si="7"/>
        <v>581</v>
      </c>
      <c r="T80" s="290">
        <f>SUMIFS('Clientes Consolidado.'!I:I,'Clientes Consolidado.'!C:C,C80,'Clientes Consolidado.'!B:B,"Fertilizer")
+SUMIFS('Clientes Consolidado.'!I:I,'Clientes Consolidado.'!C:C,C80,'Clientes Consolidado.'!B:B,"Additive")
+SUMIFS('Clientes Consolidado.'!I:I,'Clientes Consolidado.'!C:C,C80,'Clientes Consolidado.'!B:B,"Additive Intl.")</f>
        <v>581</v>
      </c>
      <c r="U80" s="290">
        <f>SUMIFS('Clientes Consolidado.'!J:J,'Clientes Consolidado.'!C:C,C80,'Clientes Consolidado.'!B:B,"Fertilizer")
+SUMIFS('Clientes Consolidado.'!J:J,'Clientes Consolidado.'!C:C,C80,'Clientes Consolidado.'!B:B,"Additive")
+SUMIFS('Clientes Consolidado.'!J:J,'Clientes Consolidado.'!C:C,C80,'Clientes Consolidado.'!B:B,"Additive Intl.")</f>
        <v>0</v>
      </c>
      <c r="V80" s="290">
        <f>SUMIFS('Clientes Consolidado.'!K:K,'Clientes Consolidado.'!C:C,C80,'Clientes Consolidado.'!B:B,"Fertilizer")
+SUMIFS('Clientes Consolidado.'!K:K,'Clientes Consolidado.'!C:C,C80,'Clientes Consolidado.'!B:B,"Additive")
+SUMIFS('Clientes Consolidado.'!K:K,'Clientes Consolidado.'!C:C,C80,'Clientes Consolidado.'!B:B,"Additive Intl.")</f>
        <v>0</v>
      </c>
      <c r="W80" s="290">
        <f>SUMIFS('Clientes Consolidado.'!L:L,'Clientes Consolidado.'!C:C,C80,'Clientes Consolidado.'!B:B,"Fertilizer")
+SUMIFS('Clientes Consolidado.'!L:L,'Clientes Consolidado.'!C:C,C80,'Clientes Consolidado.'!B:B,"Additive")
+SUMIFS('Clientes Consolidado.'!L:L,'Clientes Consolidado.'!C:C,C80,'Clientes Consolidado.'!B:B,"Additive Intl.")</f>
        <v>0</v>
      </c>
      <c r="X80" s="290">
        <f>SUMIFS('Clientes Consolidado.'!M:M,'Clientes Consolidado.'!C:C,C80,'Clientes Consolidado.'!B:B,"Fertilizer")
+SUMIFS('Clientes Consolidado.'!M:M,'Clientes Consolidado.'!C:C,C80,'Clientes Consolidado.'!B:B,"Additive")
+SUMIFS('Clientes Consolidado.'!M:M,'Clientes Consolidado.'!C:C,C80,'Clientes Consolidado.'!B:B,"Additive Intl.")</f>
        <v>0</v>
      </c>
      <c r="Y80" s="290">
        <f>SUMIFS('Clientes Consolidado.'!N:N,'Clientes Consolidado.'!C:C,C80,'Clientes Consolidado.'!B:B,"Fertilizer")
+SUMIFS('Clientes Consolidado.'!N:N,'Clientes Consolidado.'!C:C,C80,'Clientes Consolidado.'!B:B,"Additive")
+SUMIFS('Clientes Consolidado.'!N:N,'Clientes Consolidado.'!C:C,C80,'Clientes Consolidado.'!B:B,"Additive Intl.")</f>
        <v>0</v>
      </c>
      <c r="Z80" s="290">
        <f>SUMIFS('Clientes Consolidado.'!O:O,'Clientes Consolidado.'!C:C,C80,'Clientes Consolidado.'!B:B,"Fertilizer")
+SUMIFS('Clientes Consolidado.'!O:O,'Clientes Consolidado.'!C:C,C80,'Clientes Consolidado.'!B:B,"Additive")
+SUMIFS('Clientes Consolidado.'!O:O,'Clientes Consolidado.'!C:C,C80,'Clientes Consolidado.'!B:B,"Additive Intl.")</f>
        <v>0</v>
      </c>
      <c r="AA80" s="290">
        <f>SUMIFS('Clientes Consolidado.'!P:P,'Clientes Consolidado.'!C:C,'Nova Versão '!C80,'Clientes Consolidado.'!B:B,"Fertilizer / Litigation")+SUMIFS('Clientes Consolidado.'!P:P,'Clientes Consolidado.'!C:C,'Nova Versão '!C80,'Clientes Consolidado.'!B:B,"Additive / Litigation")</f>
        <v>0</v>
      </c>
      <c r="AB80" s="288"/>
      <c r="AD80" s="290">
        <f>SUMIFS('Invoiced amount'!I:I,'Invoiced amount'!AH:AH,'Nova Versão '!C80)</f>
        <v>0</v>
      </c>
      <c r="AE80" s="290">
        <f>SUMIFS(Buget!K:K,Buget!E:E,'Nova Versão '!C80)</f>
        <v>0</v>
      </c>
      <c r="AF80" s="264" t="str">
        <f t="shared" si="11"/>
        <v/>
      </c>
      <c r="AG80" s="290">
        <f t="shared" si="12"/>
        <v>0</v>
      </c>
    </row>
    <row r="81" spans="1:33" ht="13.8" customHeight="1" x14ac:dyDescent="0.25">
      <c r="A81" s="283"/>
      <c r="B81" s="288" t="str">
        <f>_xlfn.XLOOKUP(C81,'Info Clientes'!A:A,'Info Clientes'!B:B)</f>
        <v>Additive Intl.</v>
      </c>
      <c r="C81" s="96" t="s">
        <v>579</v>
      </c>
      <c r="D81" s="290">
        <f>_xlfn.XLOOKUP(C81,'Limite de crédito'!C:C,'Limite de crédito'!G:G,0)</f>
        <v>330000</v>
      </c>
      <c r="E81" s="290">
        <f t="shared" si="8"/>
        <v>1380.52</v>
      </c>
      <c r="F81" s="290">
        <f>_xlfn.XLOOKUP('Nova Versão '!C81,'Limite de crédito'!C:C,'Limite de crédito'!O:O,0)</f>
        <v>330000</v>
      </c>
      <c r="G81" s="291">
        <f t="shared" si="9"/>
        <v>0</v>
      </c>
      <c r="H81" s="292" t="str">
        <f>_xlfn.XLOOKUP(C81,'Info Clientes'!A:A,'Info Clientes'!C:C)</f>
        <v>Guarantee or credit</v>
      </c>
      <c r="I81" s="292" t="str">
        <f>IF(_xlfn.XLOOKUP(C81,'Info Clientes'!A:A,'Info Clientes'!D:D,"")=0,"",_xlfn.XLOOKUP(C81,'Info Clientes'!A:A,'Info Clientes'!D:D,""))</f>
        <v>The client has been purchasing on a cash basis, and the remaining balance will be settled with the next purchase.</v>
      </c>
      <c r="K81" s="290">
        <f t="shared" si="10"/>
        <v>0</v>
      </c>
      <c r="L81" s="290">
        <f>_xlfn.XLOOKUP(C81,'Clientes Consolidado.'!$C:$C,'Clientes Consolidado.'!R:R,0)</f>
        <v>0</v>
      </c>
      <c r="M81" s="290">
        <f>_xlfn.XLOOKUP(C81,'Clientes Consolidado.'!$C:$C,'Clientes Consolidado.'!S:S,0)</f>
        <v>0</v>
      </c>
      <c r="N81" s="290">
        <f>_xlfn.XLOOKUP(C81,'Clientes Consolidado.'!$C:$C,'Clientes Consolidado.'!T:T,0)</f>
        <v>0</v>
      </c>
      <c r="O81" s="290">
        <f>_xlfn.XLOOKUP(C81,'Clientes Consolidado.'!$C:$C,'Clientes Consolidado.'!U:U,0)</f>
        <v>0</v>
      </c>
      <c r="P81" s="290">
        <f>_xlfn.XLOOKUP(C81,'Clientes Consolidado.'!$C:$C,'Clientes Consolidado.'!V:V,0)</f>
        <v>0</v>
      </c>
      <c r="Q81" s="290">
        <f>_xlfn.XLOOKUP(C81,'Clientes Consolidado.'!$C:$C,'Clientes Consolidado.'!W:W,0)</f>
        <v>0</v>
      </c>
      <c r="R81" s="290">
        <f>_xlfn.XLOOKUP(C81,'Clientes Consolidado.'!$C:$C,'Clientes Consolidado.'!X:X,0)</f>
        <v>0</v>
      </c>
      <c r="S81" s="290">
        <f t="shared" si="7"/>
        <v>1380.52</v>
      </c>
      <c r="T81" s="290">
        <f>SUMIFS('Clientes Consolidado.'!I:I,'Clientes Consolidado.'!C:C,C81,'Clientes Consolidado.'!B:B,"Fertilizer")
+SUMIFS('Clientes Consolidado.'!I:I,'Clientes Consolidado.'!C:C,C81,'Clientes Consolidado.'!B:B,"Additive")
+SUMIFS('Clientes Consolidado.'!I:I,'Clientes Consolidado.'!C:C,C81,'Clientes Consolidado.'!B:B,"Additive Intl.")</f>
        <v>0</v>
      </c>
      <c r="U81" s="290">
        <f>SUMIFS('Clientes Consolidado.'!J:J,'Clientes Consolidado.'!C:C,C81,'Clientes Consolidado.'!B:B,"Fertilizer")
+SUMIFS('Clientes Consolidado.'!J:J,'Clientes Consolidado.'!C:C,C81,'Clientes Consolidado.'!B:B,"Additive")
+SUMIFS('Clientes Consolidado.'!J:J,'Clientes Consolidado.'!C:C,C81,'Clientes Consolidado.'!B:B,"Additive Intl.")</f>
        <v>853.24</v>
      </c>
      <c r="V81" s="290">
        <f>SUMIFS('Clientes Consolidado.'!K:K,'Clientes Consolidado.'!C:C,C81,'Clientes Consolidado.'!B:B,"Fertilizer")
+SUMIFS('Clientes Consolidado.'!K:K,'Clientes Consolidado.'!C:C,C81,'Clientes Consolidado.'!B:B,"Additive")
+SUMIFS('Clientes Consolidado.'!K:K,'Clientes Consolidado.'!C:C,C81,'Clientes Consolidado.'!B:B,"Additive Intl.")</f>
        <v>0</v>
      </c>
      <c r="W81" s="290">
        <f>SUMIFS('Clientes Consolidado.'!L:L,'Clientes Consolidado.'!C:C,C81,'Clientes Consolidado.'!B:B,"Fertilizer")
+SUMIFS('Clientes Consolidado.'!L:L,'Clientes Consolidado.'!C:C,C81,'Clientes Consolidado.'!B:B,"Additive")
+SUMIFS('Clientes Consolidado.'!L:L,'Clientes Consolidado.'!C:C,C81,'Clientes Consolidado.'!B:B,"Additive Intl.")</f>
        <v>0</v>
      </c>
      <c r="X81" s="290">
        <f>SUMIFS('Clientes Consolidado.'!M:M,'Clientes Consolidado.'!C:C,C81,'Clientes Consolidado.'!B:B,"Fertilizer")
+SUMIFS('Clientes Consolidado.'!M:M,'Clientes Consolidado.'!C:C,C81,'Clientes Consolidado.'!B:B,"Additive")
+SUMIFS('Clientes Consolidado.'!M:M,'Clientes Consolidado.'!C:C,C81,'Clientes Consolidado.'!B:B,"Additive Intl.")</f>
        <v>0</v>
      </c>
      <c r="Y81" s="290">
        <f>SUMIFS('Clientes Consolidado.'!N:N,'Clientes Consolidado.'!C:C,C81,'Clientes Consolidado.'!B:B,"Fertilizer")
+SUMIFS('Clientes Consolidado.'!N:N,'Clientes Consolidado.'!C:C,C81,'Clientes Consolidado.'!B:B,"Additive")
+SUMIFS('Clientes Consolidado.'!N:N,'Clientes Consolidado.'!C:C,C81,'Clientes Consolidado.'!B:B,"Additive Intl.")</f>
        <v>527.28</v>
      </c>
      <c r="Z81" s="290">
        <f>SUMIFS('Clientes Consolidado.'!O:O,'Clientes Consolidado.'!C:C,C81,'Clientes Consolidado.'!B:B,"Fertilizer")
+SUMIFS('Clientes Consolidado.'!O:O,'Clientes Consolidado.'!C:C,C81,'Clientes Consolidado.'!B:B,"Additive")
+SUMIFS('Clientes Consolidado.'!O:O,'Clientes Consolidado.'!C:C,C81,'Clientes Consolidado.'!B:B,"Additive Intl.")</f>
        <v>0</v>
      </c>
      <c r="AA81" s="290">
        <f>SUMIFS('Clientes Consolidado.'!P:P,'Clientes Consolidado.'!C:C,'Nova Versão '!C81,'Clientes Consolidado.'!B:B,"Fertilizer / Litigation")+SUMIFS('Clientes Consolidado.'!P:P,'Clientes Consolidado.'!C:C,'Nova Versão '!C81,'Clientes Consolidado.'!B:B,"Additive / Litigation")</f>
        <v>0</v>
      </c>
      <c r="AB81" s="288"/>
      <c r="AD81" s="290">
        <f>SUMIFS('Invoiced amount'!I:I,'Invoiced amount'!AH:AH,'Nova Versão '!C81)</f>
        <v>356495.72</v>
      </c>
      <c r="AE81" s="290">
        <f>SUMIFS(Buget!K:K,Buget!E:E,'Nova Versão '!C81)</f>
        <v>534240</v>
      </c>
      <c r="AF81" s="264">
        <f t="shared" si="11"/>
        <v>0.66729507337526195</v>
      </c>
      <c r="AG81" s="290">
        <f t="shared" si="12"/>
        <v>177744.28000000003</v>
      </c>
    </row>
    <row r="82" spans="1:33" ht="13.8" customHeight="1" x14ac:dyDescent="0.25">
      <c r="A82" s="283"/>
      <c r="B82" s="288" t="str">
        <f>_xlfn.XLOOKUP(C82,'Info Clientes'!A:A,'Info Clientes'!B:B)</f>
        <v>Fertilizer</v>
      </c>
      <c r="C82" s="96" t="s">
        <v>562</v>
      </c>
      <c r="D82" s="290">
        <f>_xlfn.XLOOKUP(C82,'Limite de crédito'!C:C,'Limite de crédito'!G:G,0)</f>
        <v>50000</v>
      </c>
      <c r="E82" s="290">
        <f t="shared" ref="E82:E84" si="13">K82+S82+AA82</f>
        <v>861.6</v>
      </c>
      <c r="F82" s="290">
        <f>_xlfn.XLOOKUP('Nova Versão '!C82,'Limite de crédito'!C:C,'Limite de crédito'!O:O,0)</f>
        <v>50000</v>
      </c>
      <c r="G82" s="291">
        <f t="shared" ref="G82:G84" si="14">MAX(E82-F82,0)</f>
        <v>0</v>
      </c>
      <c r="H82" s="292" t="str">
        <f>_xlfn.XLOOKUP(C82,'Info Clientes'!A:A,'Info Clientes'!C:C)</f>
        <v>Guarantee or credit</v>
      </c>
      <c r="I82" s="292" t="str">
        <f>IF(_xlfn.XLOOKUP(C82,'Info Clientes'!A:A,'Info Clientes'!D:D,"")=0,"",_xlfn.XLOOKUP(C82,'Info Clientes'!A:A,'Info Clientes'!D:D,""))</f>
        <v/>
      </c>
      <c r="K82" s="290">
        <f t="shared" ref="K82:K84" si="15">L82+M82+N82+O82+P82+Q82+R82</f>
        <v>861.6</v>
      </c>
      <c r="L82" s="290">
        <f>_xlfn.XLOOKUP(C82,'Clientes Consolidado.'!$C:$C,'Clientes Consolidado.'!R:R,0)</f>
        <v>861.6</v>
      </c>
      <c r="M82" s="290">
        <f>_xlfn.XLOOKUP(C82,'Clientes Consolidado.'!$C:$C,'Clientes Consolidado.'!S:S,0)</f>
        <v>0</v>
      </c>
      <c r="N82" s="290">
        <f>_xlfn.XLOOKUP(C82,'Clientes Consolidado.'!$C:$C,'Clientes Consolidado.'!T:T,0)</f>
        <v>0</v>
      </c>
      <c r="O82" s="290">
        <f>_xlfn.XLOOKUP(C82,'Clientes Consolidado.'!$C:$C,'Clientes Consolidado.'!U:U,0)</f>
        <v>0</v>
      </c>
      <c r="P82" s="290">
        <f>_xlfn.XLOOKUP(C82,'Clientes Consolidado.'!$C:$C,'Clientes Consolidado.'!V:V,0)</f>
        <v>0</v>
      </c>
      <c r="Q82" s="290">
        <f>_xlfn.XLOOKUP(C82,'Clientes Consolidado.'!$C:$C,'Clientes Consolidado.'!W:W,0)</f>
        <v>0</v>
      </c>
      <c r="R82" s="290">
        <f>_xlfn.XLOOKUP(C82,'Clientes Consolidado.'!$C:$C,'Clientes Consolidado.'!X:X,0)</f>
        <v>0</v>
      </c>
      <c r="S82" s="290">
        <f t="shared" ref="S82:S84" si="16">SUM(T82:Z82)</f>
        <v>0</v>
      </c>
      <c r="T82" s="290">
        <f>SUMIFS('Clientes Consolidado.'!I:I,'Clientes Consolidado.'!C:C,C82,'Clientes Consolidado.'!B:B,"Fertilizer")
+SUMIFS('Clientes Consolidado.'!I:I,'Clientes Consolidado.'!C:C,C82,'Clientes Consolidado.'!B:B,"Additive")
+SUMIFS('Clientes Consolidado.'!I:I,'Clientes Consolidado.'!C:C,C82,'Clientes Consolidado.'!B:B,"Additive Intl.")</f>
        <v>0</v>
      </c>
      <c r="U82" s="290">
        <f>SUMIFS('Clientes Consolidado.'!J:J,'Clientes Consolidado.'!C:C,C82,'Clientes Consolidado.'!B:B,"Fertilizer")
+SUMIFS('Clientes Consolidado.'!J:J,'Clientes Consolidado.'!C:C,C82,'Clientes Consolidado.'!B:B,"Additive")
+SUMIFS('Clientes Consolidado.'!J:J,'Clientes Consolidado.'!C:C,C82,'Clientes Consolidado.'!B:B,"Additive Intl.")</f>
        <v>0</v>
      </c>
      <c r="V82" s="290">
        <f>SUMIFS('Clientes Consolidado.'!K:K,'Clientes Consolidado.'!C:C,C82,'Clientes Consolidado.'!B:B,"Fertilizer")
+SUMIFS('Clientes Consolidado.'!K:K,'Clientes Consolidado.'!C:C,C82,'Clientes Consolidado.'!B:B,"Additive")
+SUMIFS('Clientes Consolidado.'!K:K,'Clientes Consolidado.'!C:C,C82,'Clientes Consolidado.'!B:B,"Additive Intl.")</f>
        <v>0</v>
      </c>
      <c r="W82" s="290">
        <f>SUMIFS('Clientes Consolidado.'!L:L,'Clientes Consolidado.'!C:C,C82,'Clientes Consolidado.'!B:B,"Fertilizer")
+SUMIFS('Clientes Consolidado.'!L:L,'Clientes Consolidado.'!C:C,C82,'Clientes Consolidado.'!B:B,"Additive")
+SUMIFS('Clientes Consolidado.'!L:L,'Clientes Consolidado.'!C:C,C82,'Clientes Consolidado.'!B:B,"Additive Intl.")</f>
        <v>0</v>
      </c>
      <c r="X82" s="290">
        <f>SUMIFS('Clientes Consolidado.'!M:M,'Clientes Consolidado.'!C:C,C82,'Clientes Consolidado.'!B:B,"Fertilizer")
+SUMIFS('Clientes Consolidado.'!M:M,'Clientes Consolidado.'!C:C,C82,'Clientes Consolidado.'!B:B,"Additive")
+SUMIFS('Clientes Consolidado.'!M:M,'Clientes Consolidado.'!C:C,C82,'Clientes Consolidado.'!B:B,"Additive Intl.")</f>
        <v>0</v>
      </c>
      <c r="Y82" s="290">
        <f>SUMIFS('Clientes Consolidado.'!N:N,'Clientes Consolidado.'!C:C,C82,'Clientes Consolidado.'!B:B,"Fertilizer")
+SUMIFS('Clientes Consolidado.'!N:N,'Clientes Consolidado.'!C:C,C82,'Clientes Consolidado.'!B:B,"Additive")
+SUMIFS('Clientes Consolidado.'!N:N,'Clientes Consolidado.'!C:C,C82,'Clientes Consolidado.'!B:B,"Additive Intl.")</f>
        <v>0</v>
      </c>
      <c r="Z82" s="290">
        <f>SUMIFS('Clientes Consolidado.'!O:O,'Clientes Consolidado.'!C:C,C82,'Clientes Consolidado.'!B:B,"Fertilizer")
+SUMIFS('Clientes Consolidado.'!O:O,'Clientes Consolidado.'!C:C,C82,'Clientes Consolidado.'!B:B,"Additive")
+SUMIFS('Clientes Consolidado.'!O:O,'Clientes Consolidado.'!C:C,C82,'Clientes Consolidado.'!B:B,"Additive Intl.")</f>
        <v>0</v>
      </c>
      <c r="AA82" s="290">
        <f>SUMIFS('Clientes Consolidado.'!P:P,'Clientes Consolidado.'!C:C,'Nova Versão '!C82,'Clientes Consolidado.'!B:B,"Fertilizer / Litigation")+SUMIFS('Clientes Consolidado.'!P:P,'Clientes Consolidado.'!C:C,'Nova Versão '!C82,'Clientes Consolidado.'!B:B,"Additive / Litigation")</f>
        <v>0</v>
      </c>
      <c r="AB82" s="288"/>
      <c r="AD82" s="290">
        <f>SUMIFS('Invoiced amount'!I:I,'Invoiced amount'!AH:AH,'Nova Versão '!C82)</f>
        <v>43080</v>
      </c>
      <c r="AE82" s="290">
        <f>SUMIFS(Buget!K:K,Buget!E:E,'Nova Versão '!C82)</f>
        <v>0</v>
      </c>
      <c r="AF82" s="264" t="str">
        <f t="shared" si="11"/>
        <v/>
      </c>
      <c r="AG82" s="290">
        <f t="shared" si="12"/>
        <v>0</v>
      </c>
    </row>
    <row r="83" spans="1:33" ht="13.8" customHeight="1" x14ac:dyDescent="0.25">
      <c r="A83" s="283"/>
      <c r="B83" s="288" t="str">
        <f>_xlfn.XLOOKUP(C83,'Info Clientes'!A:A,'Info Clientes'!B:B)</f>
        <v>Additive</v>
      </c>
      <c r="C83" s="96" t="s">
        <v>334</v>
      </c>
      <c r="D83" s="290">
        <f>_xlfn.XLOOKUP(C83,'Limite de crédito'!C:C,'Limite de crédito'!G:G,0)</f>
        <v>0</v>
      </c>
      <c r="E83" s="290">
        <f t="shared" si="13"/>
        <v>300</v>
      </c>
      <c r="F83" s="290">
        <f>_xlfn.XLOOKUP('Nova Versão '!C83,'Limite de crédito'!C:C,'Limite de crédito'!O:O,0)</f>
        <v>0</v>
      </c>
      <c r="G83" s="291">
        <f t="shared" si="14"/>
        <v>300</v>
      </c>
      <c r="H83" s="292" t="str">
        <f>_xlfn.XLOOKUP(C83,'Info Clientes'!A:A,'Info Clientes'!C:C)</f>
        <v>Credit without Insurance</v>
      </c>
      <c r="I83" s="292" t="str">
        <f>IF(_xlfn.XLOOKUP(C83,'Info Clientes'!A:A,'Info Clientes'!D:D,"")=0,"",_xlfn.XLOOKUP(C83,'Info Clientes'!A:A,'Info Clientes'!D:D,""))</f>
        <v>Scrap sale, with the possibility of a write-off.</v>
      </c>
      <c r="K83" s="290">
        <f t="shared" si="15"/>
        <v>0</v>
      </c>
      <c r="L83" s="290">
        <f>_xlfn.XLOOKUP(C83,'Clientes Consolidado.'!$C:$C,'Clientes Consolidado.'!R:R,0)</f>
        <v>0</v>
      </c>
      <c r="M83" s="290">
        <f>_xlfn.XLOOKUP(C83,'Clientes Consolidado.'!$C:$C,'Clientes Consolidado.'!S:S,0)</f>
        <v>0</v>
      </c>
      <c r="N83" s="290">
        <f>_xlfn.XLOOKUP(C83,'Clientes Consolidado.'!$C:$C,'Clientes Consolidado.'!T:T,0)</f>
        <v>0</v>
      </c>
      <c r="O83" s="290">
        <f>_xlfn.XLOOKUP(C83,'Clientes Consolidado.'!$C:$C,'Clientes Consolidado.'!U:U,0)</f>
        <v>0</v>
      </c>
      <c r="P83" s="290">
        <f>_xlfn.XLOOKUP(C83,'Clientes Consolidado.'!$C:$C,'Clientes Consolidado.'!V:V,0)</f>
        <v>0</v>
      </c>
      <c r="Q83" s="290">
        <f>_xlfn.XLOOKUP(C83,'Clientes Consolidado.'!$C:$C,'Clientes Consolidado.'!W:W,0)</f>
        <v>0</v>
      </c>
      <c r="R83" s="290">
        <f>_xlfn.XLOOKUP(C83,'Clientes Consolidado.'!$C:$C,'Clientes Consolidado.'!X:X,0)</f>
        <v>0</v>
      </c>
      <c r="S83" s="290">
        <f t="shared" si="16"/>
        <v>300</v>
      </c>
      <c r="T83" s="290">
        <f>SUMIFS('Clientes Consolidado.'!I:I,'Clientes Consolidado.'!C:C,C83,'Clientes Consolidado.'!B:B,"Fertilizer")
+SUMIFS('Clientes Consolidado.'!I:I,'Clientes Consolidado.'!C:C,C83,'Clientes Consolidado.'!B:B,"Additive")
+SUMIFS('Clientes Consolidado.'!I:I,'Clientes Consolidado.'!C:C,C83,'Clientes Consolidado.'!B:B,"Additive Intl.")</f>
        <v>0</v>
      </c>
      <c r="U83" s="290">
        <f>SUMIFS('Clientes Consolidado.'!J:J,'Clientes Consolidado.'!C:C,C83,'Clientes Consolidado.'!B:B,"Fertilizer")
+SUMIFS('Clientes Consolidado.'!J:J,'Clientes Consolidado.'!C:C,C83,'Clientes Consolidado.'!B:B,"Additive")
+SUMIFS('Clientes Consolidado.'!J:J,'Clientes Consolidado.'!C:C,C83,'Clientes Consolidado.'!B:B,"Additive Intl.")</f>
        <v>0</v>
      </c>
      <c r="V83" s="290">
        <f>SUMIFS('Clientes Consolidado.'!K:K,'Clientes Consolidado.'!C:C,C83,'Clientes Consolidado.'!B:B,"Fertilizer")
+SUMIFS('Clientes Consolidado.'!K:K,'Clientes Consolidado.'!C:C,C83,'Clientes Consolidado.'!B:B,"Additive")
+SUMIFS('Clientes Consolidado.'!K:K,'Clientes Consolidado.'!C:C,C83,'Clientes Consolidado.'!B:B,"Additive Intl.")</f>
        <v>0</v>
      </c>
      <c r="W83" s="290">
        <f>SUMIFS('Clientes Consolidado.'!L:L,'Clientes Consolidado.'!C:C,C83,'Clientes Consolidado.'!B:B,"Fertilizer")
+SUMIFS('Clientes Consolidado.'!L:L,'Clientes Consolidado.'!C:C,C83,'Clientes Consolidado.'!B:B,"Additive")
+SUMIFS('Clientes Consolidado.'!L:L,'Clientes Consolidado.'!C:C,C83,'Clientes Consolidado.'!B:B,"Additive Intl.")</f>
        <v>0</v>
      </c>
      <c r="X83" s="290">
        <f>SUMIFS('Clientes Consolidado.'!M:M,'Clientes Consolidado.'!C:C,C83,'Clientes Consolidado.'!B:B,"Fertilizer")
+SUMIFS('Clientes Consolidado.'!M:M,'Clientes Consolidado.'!C:C,C83,'Clientes Consolidado.'!B:B,"Additive")
+SUMIFS('Clientes Consolidado.'!M:M,'Clientes Consolidado.'!C:C,C83,'Clientes Consolidado.'!B:B,"Additive Intl.")</f>
        <v>0</v>
      </c>
      <c r="Y83" s="290">
        <f>SUMIFS('Clientes Consolidado.'!N:N,'Clientes Consolidado.'!C:C,C83,'Clientes Consolidado.'!B:B,"Fertilizer")
+SUMIFS('Clientes Consolidado.'!N:N,'Clientes Consolidado.'!C:C,C83,'Clientes Consolidado.'!B:B,"Additive")
+SUMIFS('Clientes Consolidado.'!N:N,'Clientes Consolidado.'!C:C,C83,'Clientes Consolidado.'!B:B,"Additive Intl.")</f>
        <v>0</v>
      </c>
      <c r="Z83" s="290">
        <f>SUMIFS('Clientes Consolidado.'!O:O,'Clientes Consolidado.'!C:C,C83,'Clientes Consolidado.'!B:B,"Fertilizer")
+SUMIFS('Clientes Consolidado.'!O:O,'Clientes Consolidado.'!C:C,C83,'Clientes Consolidado.'!B:B,"Additive")
+SUMIFS('Clientes Consolidado.'!O:O,'Clientes Consolidado.'!C:C,C83,'Clientes Consolidado.'!B:B,"Additive Intl.")</f>
        <v>300</v>
      </c>
      <c r="AA83" s="290">
        <f>SUMIFS('Clientes Consolidado.'!P:P,'Clientes Consolidado.'!C:C,'Nova Versão '!C83,'Clientes Consolidado.'!B:B,"Fertilizer / Litigation")+SUMIFS('Clientes Consolidado.'!P:P,'Clientes Consolidado.'!C:C,'Nova Versão '!C83,'Clientes Consolidado.'!B:B,"Additive / Litigation")</f>
        <v>0</v>
      </c>
      <c r="AB83" s="288"/>
      <c r="AD83" s="290">
        <f>SUMIFS('Invoiced amount'!I:I,'Invoiced amount'!AH:AH,'Nova Versão '!C83)</f>
        <v>0</v>
      </c>
      <c r="AE83" s="290">
        <f>SUMIFS(Buget!K:K,Buget!E:E,'Nova Versão '!C83)</f>
        <v>0</v>
      </c>
      <c r="AF83" s="264" t="str">
        <f t="shared" si="11"/>
        <v/>
      </c>
      <c r="AG83" s="290">
        <f t="shared" si="12"/>
        <v>0</v>
      </c>
    </row>
    <row r="84" spans="1:33" ht="13.8" customHeight="1" x14ac:dyDescent="0.25">
      <c r="A84" s="283"/>
      <c r="B84" s="288" t="str">
        <f>_xlfn.XLOOKUP(C84,'Info Clientes'!A:A,'Info Clientes'!B:B)</f>
        <v>Additive</v>
      </c>
      <c r="C84" s="96" t="s">
        <v>237</v>
      </c>
      <c r="D84" s="290">
        <f>_xlfn.XLOOKUP(C84,'Limite de crédito'!C:C,'Limite de crédito'!G:G,0)</f>
        <v>0</v>
      </c>
      <c r="E84" s="290">
        <f t="shared" si="13"/>
        <v>100</v>
      </c>
      <c r="F84" s="290">
        <f>_xlfn.XLOOKUP('Nova Versão '!C84,'Limite de crédito'!C:C,'Limite de crédito'!O:O,0)</f>
        <v>0</v>
      </c>
      <c r="G84" s="291">
        <f t="shared" si="14"/>
        <v>100</v>
      </c>
      <c r="H84" s="292" t="str">
        <f>_xlfn.XLOOKUP(C84,'Info Clientes'!A:A,'Info Clientes'!C:C)</f>
        <v>Sales to employees</v>
      </c>
      <c r="I84" s="292" t="str">
        <f>IF(_xlfn.XLOOKUP(C84,'Info Clientes'!A:A,'Info Clientes'!D:D,"")=0,"",_xlfn.XLOOKUP(C84,'Info Clientes'!A:A,'Info Clientes'!D:D,""))</f>
        <v/>
      </c>
      <c r="K84" s="290">
        <f t="shared" si="15"/>
        <v>0</v>
      </c>
      <c r="L84" s="290">
        <f>_xlfn.XLOOKUP(C84,'Clientes Consolidado.'!$C:$C,'Clientes Consolidado.'!R:R,0)</f>
        <v>0</v>
      </c>
      <c r="M84" s="290">
        <f>_xlfn.XLOOKUP(C84,'Clientes Consolidado.'!$C:$C,'Clientes Consolidado.'!S:S,0)</f>
        <v>0</v>
      </c>
      <c r="N84" s="290">
        <f>_xlfn.XLOOKUP(C84,'Clientes Consolidado.'!$C:$C,'Clientes Consolidado.'!T:T,0)</f>
        <v>0</v>
      </c>
      <c r="O84" s="290">
        <f>_xlfn.XLOOKUP(C84,'Clientes Consolidado.'!$C:$C,'Clientes Consolidado.'!U:U,0)</f>
        <v>0</v>
      </c>
      <c r="P84" s="290">
        <f>_xlfn.XLOOKUP(C84,'Clientes Consolidado.'!$C:$C,'Clientes Consolidado.'!V:V,0)</f>
        <v>0</v>
      </c>
      <c r="Q84" s="290">
        <f>_xlfn.XLOOKUP(C84,'Clientes Consolidado.'!$C:$C,'Clientes Consolidado.'!W:W,0)</f>
        <v>0</v>
      </c>
      <c r="R84" s="290">
        <f>_xlfn.XLOOKUP(C84,'Clientes Consolidado.'!$C:$C,'Clientes Consolidado.'!X:X,0)</f>
        <v>0</v>
      </c>
      <c r="S84" s="290">
        <f t="shared" si="16"/>
        <v>100</v>
      </c>
      <c r="T84" s="290">
        <f>SUMIFS('Clientes Consolidado.'!I:I,'Clientes Consolidado.'!C:C,C84,'Clientes Consolidado.'!B:B,"Fertilizer")
+SUMIFS('Clientes Consolidado.'!I:I,'Clientes Consolidado.'!C:C,C84,'Clientes Consolidado.'!B:B,"Additive")
+SUMIFS('Clientes Consolidado.'!I:I,'Clientes Consolidado.'!C:C,C84,'Clientes Consolidado.'!B:B,"Additive Intl.")</f>
        <v>0</v>
      </c>
      <c r="U84" s="290">
        <f>SUMIFS('Clientes Consolidado.'!J:J,'Clientes Consolidado.'!C:C,C84,'Clientes Consolidado.'!B:B,"Fertilizer")
+SUMIFS('Clientes Consolidado.'!J:J,'Clientes Consolidado.'!C:C,C84,'Clientes Consolidado.'!B:B,"Additive")
+SUMIFS('Clientes Consolidado.'!J:J,'Clientes Consolidado.'!C:C,C84,'Clientes Consolidado.'!B:B,"Additive Intl.")</f>
        <v>0</v>
      </c>
      <c r="V84" s="290">
        <f>SUMIFS('Clientes Consolidado.'!K:K,'Clientes Consolidado.'!C:C,C84,'Clientes Consolidado.'!B:B,"Fertilizer")
+SUMIFS('Clientes Consolidado.'!K:K,'Clientes Consolidado.'!C:C,C84,'Clientes Consolidado.'!B:B,"Additive")
+SUMIFS('Clientes Consolidado.'!K:K,'Clientes Consolidado.'!C:C,C84,'Clientes Consolidado.'!B:B,"Additive Intl.")</f>
        <v>0</v>
      </c>
      <c r="W84" s="290">
        <f>SUMIFS('Clientes Consolidado.'!L:L,'Clientes Consolidado.'!C:C,C84,'Clientes Consolidado.'!B:B,"Fertilizer")
+SUMIFS('Clientes Consolidado.'!L:L,'Clientes Consolidado.'!C:C,C84,'Clientes Consolidado.'!B:B,"Additive")
+SUMIFS('Clientes Consolidado.'!L:L,'Clientes Consolidado.'!C:C,C84,'Clientes Consolidado.'!B:B,"Additive Intl.")</f>
        <v>0</v>
      </c>
      <c r="X84" s="290">
        <f>SUMIFS('Clientes Consolidado.'!M:M,'Clientes Consolidado.'!C:C,C84,'Clientes Consolidado.'!B:B,"Fertilizer")
+SUMIFS('Clientes Consolidado.'!M:M,'Clientes Consolidado.'!C:C,C84,'Clientes Consolidado.'!B:B,"Additive")
+SUMIFS('Clientes Consolidado.'!M:M,'Clientes Consolidado.'!C:C,C84,'Clientes Consolidado.'!B:B,"Additive Intl.")</f>
        <v>0</v>
      </c>
      <c r="Y84" s="290">
        <f>SUMIFS('Clientes Consolidado.'!N:N,'Clientes Consolidado.'!C:C,C84,'Clientes Consolidado.'!B:B,"Fertilizer")
+SUMIFS('Clientes Consolidado.'!N:N,'Clientes Consolidado.'!C:C,C84,'Clientes Consolidado.'!B:B,"Additive")
+SUMIFS('Clientes Consolidado.'!N:N,'Clientes Consolidado.'!C:C,C84,'Clientes Consolidado.'!B:B,"Additive Intl.")</f>
        <v>0</v>
      </c>
      <c r="Z84" s="290">
        <f>SUMIFS('Clientes Consolidado.'!O:O,'Clientes Consolidado.'!C:C,C84,'Clientes Consolidado.'!B:B,"Fertilizer")
+SUMIFS('Clientes Consolidado.'!O:O,'Clientes Consolidado.'!C:C,C84,'Clientes Consolidado.'!B:B,"Additive")
+SUMIFS('Clientes Consolidado.'!O:O,'Clientes Consolidado.'!C:C,C84,'Clientes Consolidado.'!B:B,"Additive Intl.")</f>
        <v>100</v>
      </c>
      <c r="AA84" s="290">
        <f>SUMIFS('Clientes Consolidado.'!P:P,'Clientes Consolidado.'!C:C,'Nova Versão '!C84,'Clientes Consolidado.'!B:B,"Fertilizer / Litigation")+SUMIFS('Clientes Consolidado.'!P:P,'Clientes Consolidado.'!C:C,'Nova Versão '!C84,'Clientes Consolidado.'!B:B,"Additive / Litigation")</f>
        <v>0</v>
      </c>
      <c r="AB84" s="288"/>
      <c r="AD84" s="290">
        <f>SUMIFS('Invoiced amount'!I:I,'Invoiced amount'!AH:AH,'Nova Versão '!C84)</f>
        <v>0</v>
      </c>
      <c r="AE84" s="290">
        <f>SUMIFS(Buget!K:K,Buget!E:E,'Nova Versão '!C84)</f>
        <v>0</v>
      </c>
      <c r="AF84" s="264" t="str">
        <f t="shared" si="11"/>
        <v/>
      </c>
      <c r="AG84" s="290">
        <f t="shared" si="12"/>
        <v>0</v>
      </c>
    </row>
    <row r="85" spans="1:33" x14ac:dyDescent="0.25">
      <c r="B85" s="288" t="str">
        <f>_xlfn.XLOOKUP(C85,'Info Clientes'!A:A,'Info Clientes'!B:B)</f>
        <v>Additive</v>
      </c>
      <c r="C85" s="96" t="s">
        <v>278</v>
      </c>
      <c r="D85" s="290">
        <f>_xlfn.XLOOKUP(C85,'Limite de crédito'!C:C,'Limite de crédito'!G:G,0)</f>
        <v>0</v>
      </c>
      <c r="E85" s="290">
        <f t="shared" ref="E85" si="17">K85+S85+AA85</f>
        <v>50</v>
      </c>
      <c r="F85" s="290">
        <f>_xlfn.XLOOKUP('Nova Versão '!C85,'Limite de crédito'!C:C,'Limite de crédito'!O:O,0)</f>
        <v>0</v>
      </c>
      <c r="G85" s="291">
        <f t="shared" ref="G85" si="18">MAX(E85-F85,0)</f>
        <v>50</v>
      </c>
      <c r="H85" s="292" t="str">
        <f>_xlfn.XLOOKUP(C85,'Info Clientes'!A:A,'Info Clientes'!C:C)</f>
        <v>Sales to employees</v>
      </c>
      <c r="I85" s="292" t="str">
        <f>IF(_xlfn.XLOOKUP(C85,'Info Clientes'!A:A,'Info Clientes'!D:D,"")=0,"",_xlfn.XLOOKUP(C85,'Info Clientes'!A:A,'Info Clientes'!D:D,""))</f>
        <v/>
      </c>
      <c r="K85" s="290">
        <f t="shared" ref="K85" si="19">L85+M85+N85+O85+P85+Q85+R85</f>
        <v>0</v>
      </c>
      <c r="L85" s="290">
        <f>_xlfn.XLOOKUP(C85,'Clientes Consolidado.'!$C:$C,'Clientes Consolidado.'!R:R,0)</f>
        <v>0</v>
      </c>
      <c r="M85" s="290">
        <f>_xlfn.XLOOKUP(C85,'Clientes Consolidado.'!$C:$C,'Clientes Consolidado.'!S:S,0)</f>
        <v>0</v>
      </c>
      <c r="N85" s="290">
        <f>_xlfn.XLOOKUP(C85,'Clientes Consolidado.'!$C:$C,'Clientes Consolidado.'!T:T,0)</f>
        <v>0</v>
      </c>
      <c r="O85" s="290">
        <f>_xlfn.XLOOKUP(C85,'Clientes Consolidado.'!$C:$C,'Clientes Consolidado.'!U:U,0)</f>
        <v>0</v>
      </c>
      <c r="P85" s="290">
        <f>_xlfn.XLOOKUP(C85,'Clientes Consolidado.'!$C:$C,'Clientes Consolidado.'!V:V,0)</f>
        <v>0</v>
      </c>
      <c r="Q85" s="290">
        <f>_xlfn.XLOOKUP(C85,'Clientes Consolidado.'!$C:$C,'Clientes Consolidado.'!W:W,0)</f>
        <v>0</v>
      </c>
      <c r="R85" s="290">
        <f>_xlfn.XLOOKUP(C85,'Clientes Consolidado.'!$C:$C,'Clientes Consolidado.'!X:X,0)</f>
        <v>0</v>
      </c>
      <c r="S85" s="290">
        <f t="shared" ref="S85" si="20">SUM(T85:Z85)</f>
        <v>50</v>
      </c>
      <c r="T85" s="290">
        <f>SUMIFS('Clientes Consolidado.'!I:I,'Clientes Consolidado.'!C:C,C85,'Clientes Consolidado.'!B:B,"Fertilizer")
+SUMIFS('Clientes Consolidado.'!I:I,'Clientes Consolidado.'!C:C,C85,'Clientes Consolidado.'!B:B,"Additive")
+SUMIFS('Clientes Consolidado.'!I:I,'Clientes Consolidado.'!C:C,C85,'Clientes Consolidado.'!B:B,"Additive Intl.")</f>
        <v>0</v>
      </c>
      <c r="U85" s="290">
        <f>SUMIFS('Clientes Consolidado.'!J:J,'Clientes Consolidado.'!C:C,C85,'Clientes Consolidado.'!B:B,"Fertilizer")
+SUMIFS('Clientes Consolidado.'!J:J,'Clientes Consolidado.'!C:C,C85,'Clientes Consolidado.'!B:B,"Additive")
+SUMIFS('Clientes Consolidado.'!J:J,'Clientes Consolidado.'!C:C,C85,'Clientes Consolidado.'!B:B,"Additive Intl.")</f>
        <v>0</v>
      </c>
      <c r="V85" s="290">
        <f>SUMIFS('Clientes Consolidado.'!K:K,'Clientes Consolidado.'!C:C,C85,'Clientes Consolidado.'!B:B,"Fertilizer")
+SUMIFS('Clientes Consolidado.'!K:K,'Clientes Consolidado.'!C:C,C85,'Clientes Consolidado.'!B:B,"Additive")
+SUMIFS('Clientes Consolidado.'!K:K,'Clientes Consolidado.'!C:C,C85,'Clientes Consolidado.'!B:B,"Additive Intl.")</f>
        <v>0</v>
      </c>
      <c r="W85" s="290">
        <f>SUMIFS('Clientes Consolidado.'!L:L,'Clientes Consolidado.'!C:C,C85,'Clientes Consolidado.'!B:B,"Fertilizer")
+SUMIFS('Clientes Consolidado.'!L:L,'Clientes Consolidado.'!C:C,C85,'Clientes Consolidado.'!B:B,"Additive")
+SUMIFS('Clientes Consolidado.'!L:L,'Clientes Consolidado.'!C:C,C85,'Clientes Consolidado.'!B:B,"Additive Intl.")</f>
        <v>0</v>
      </c>
      <c r="X85" s="290">
        <f>SUMIFS('Clientes Consolidado.'!M:M,'Clientes Consolidado.'!C:C,C85,'Clientes Consolidado.'!B:B,"Fertilizer")
+SUMIFS('Clientes Consolidado.'!M:M,'Clientes Consolidado.'!C:C,C85,'Clientes Consolidado.'!B:B,"Additive")
+SUMIFS('Clientes Consolidado.'!M:M,'Clientes Consolidado.'!C:C,C85,'Clientes Consolidado.'!B:B,"Additive Intl.")</f>
        <v>0</v>
      </c>
      <c r="Y85" s="290">
        <f>SUMIFS('Clientes Consolidado.'!N:N,'Clientes Consolidado.'!C:C,C85,'Clientes Consolidado.'!B:B,"Fertilizer")
+SUMIFS('Clientes Consolidado.'!N:N,'Clientes Consolidado.'!C:C,C85,'Clientes Consolidado.'!B:B,"Additive")
+SUMIFS('Clientes Consolidado.'!N:N,'Clientes Consolidado.'!C:C,C85,'Clientes Consolidado.'!B:B,"Additive Intl.")</f>
        <v>0</v>
      </c>
      <c r="Z85" s="290">
        <f>SUMIFS('Clientes Consolidado.'!O:O,'Clientes Consolidado.'!C:C,C85,'Clientes Consolidado.'!B:B,"Fertilizer")
+SUMIFS('Clientes Consolidado.'!O:O,'Clientes Consolidado.'!C:C,C85,'Clientes Consolidado.'!B:B,"Additive")
+SUMIFS('Clientes Consolidado.'!O:O,'Clientes Consolidado.'!C:C,C85,'Clientes Consolidado.'!B:B,"Additive Intl.")</f>
        <v>50</v>
      </c>
      <c r="AA85" s="290">
        <f>SUMIFS('Clientes Consolidado.'!P:P,'Clientes Consolidado.'!C:C,'Nova Versão '!C85,'Clientes Consolidado.'!B:B,"Fertilizer / Litigation")+SUMIFS('Clientes Consolidado.'!P:P,'Clientes Consolidado.'!C:C,'Nova Versão '!C85,'Clientes Consolidado.'!B:B,"Additive / Litigation")</f>
        <v>0</v>
      </c>
      <c r="AB85" s="288"/>
      <c r="AD85" s="290">
        <f>SUMIFS('Invoiced amount'!I:I,'Invoiced amount'!AH:AH,'Nova Versão '!C85)</f>
        <v>0</v>
      </c>
      <c r="AE85" s="290">
        <f>SUMIFS(Buget!K:K,Buget!E:E,'Nova Versão '!C85)</f>
        <v>0</v>
      </c>
      <c r="AF85" s="264" t="str">
        <f t="shared" si="11"/>
        <v/>
      </c>
      <c r="AG85" s="290">
        <f t="shared" si="12"/>
        <v>0</v>
      </c>
    </row>
    <row r="98" spans="7:7" x14ac:dyDescent="0.25">
      <c r="G98" s="287"/>
    </row>
  </sheetData>
  <autoFilter ref="B2:AG85" xr:uid="{C5B18680-E941-44EF-B65F-B4C2EF04F7E0}"/>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AAD1-3B24-4E8A-8E51-D8FB0EA43227}">
  <sheetPr>
    <tabColor rgb="FF00B050"/>
  </sheetPr>
  <dimension ref="A1:AI95"/>
  <sheetViews>
    <sheetView showGridLines="0" tabSelected="1" zoomScale="90" zoomScaleNormal="90" workbookViewId="0">
      <selection activeCell="A3" sqref="A3"/>
    </sheetView>
  </sheetViews>
  <sheetFormatPr defaultColWidth="13.6640625" defaultRowHeight="13.2" outlineLevelCol="1" x14ac:dyDescent="0.25"/>
  <cols>
    <col min="1" max="1" width="13.6640625" style="49"/>
    <col min="2" max="2" width="17.33203125" style="49" bestFit="1" customWidth="1"/>
    <col min="3" max="3" width="47.44140625" style="49" bestFit="1" customWidth="1"/>
    <col min="4" max="5" width="13.77734375" style="49" bestFit="1" customWidth="1"/>
    <col min="6" max="6" width="14" style="49" bestFit="1" customWidth="1"/>
    <col min="7" max="7" width="15.5546875" style="16" customWidth="1"/>
    <col min="8" max="8" width="53.33203125" style="49" hidden="1" customWidth="1" outlineLevel="1"/>
    <col min="9" max="9" width="26.33203125" style="49" hidden="1" customWidth="1" outlineLevel="1"/>
    <col min="10" max="10" width="4.21875" style="285" customWidth="1" collapsed="1"/>
    <col min="11" max="11" width="12" style="49" customWidth="1"/>
    <col min="12" max="12" width="11" style="49" hidden="1" customWidth="1" outlineLevel="1"/>
    <col min="13" max="13" width="11.44140625" style="49" hidden="1" customWidth="1" outlineLevel="1"/>
    <col min="14" max="14" width="10.44140625" style="49" hidden="1" customWidth="1" outlineLevel="1"/>
    <col min="15" max="15" width="11.6640625" style="49" hidden="1" customWidth="1" outlineLevel="1"/>
    <col min="16" max="16" width="9.6640625" style="49" hidden="1" customWidth="1" outlineLevel="1"/>
    <col min="17" max="17" width="8.77734375" style="49" hidden="1" customWidth="1" outlineLevel="1"/>
    <col min="18" max="18" width="9.6640625" style="49" hidden="1" customWidth="1" outlineLevel="1"/>
    <col min="19" max="19" width="11.6640625" style="49" customWidth="1" collapsed="1"/>
    <col min="20" max="20" width="9.44140625" style="49" hidden="1" customWidth="1" outlineLevel="1"/>
    <col min="21" max="21" width="7.44140625" style="49" hidden="1" customWidth="1" outlineLevel="1"/>
    <col min="22" max="22" width="8.44140625" style="49" hidden="1" customWidth="1" outlineLevel="1"/>
    <col min="23" max="23" width="9.88671875" style="49" hidden="1" customWidth="1" outlineLevel="1"/>
    <col min="24" max="24" width="8.88671875" style="49" hidden="1" customWidth="1" outlineLevel="1"/>
    <col min="25" max="25" width="9.88671875" style="49" hidden="1" customWidth="1" outlineLevel="1"/>
    <col min="26" max="26" width="10.77734375" style="49" hidden="1" customWidth="1" outlineLevel="1"/>
    <col min="27" max="27" width="12" style="49" customWidth="1" collapsed="1"/>
    <col min="28" max="28" width="15.88671875" style="49" customWidth="1"/>
    <col min="29" max="29" width="8.109375" style="285" customWidth="1"/>
    <col min="30" max="30" width="12.109375" style="49" customWidth="1" outlineLevel="1"/>
    <col min="31" max="31" width="13.109375" style="49" customWidth="1" outlineLevel="1"/>
    <col min="32" max="32" width="11.6640625" style="49" customWidth="1" outlineLevel="1"/>
    <col min="33" max="33" width="12.6640625" style="49" customWidth="1" outlineLevel="1"/>
    <col min="34" max="16384" width="13.6640625" style="49"/>
  </cols>
  <sheetData>
    <row r="1" spans="1:34" ht="6" customHeight="1" x14ac:dyDescent="0.25"/>
    <row r="2" spans="1:34" x14ac:dyDescent="0.25">
      <c r="AD2" s="325" t="s">
        <v>15408</v>
      </c>
      <c r="AE2" s="325"/>
      <c r="AF2" s="325"/>
      <c r="AG2" s="325"/>
    </row>
    <row r="3" spans="1:34" ht="13.8" thickBot="1" x14ac:dyDescent="0.3">
      <c r="C3" s="281">
        <v>46198</v>
      </c>
      <c r="E3" s="282">
        <f>SUBTOTAL(9,E5:E828)</f>
        <v>63971254.070000015</v>
      </c>
      <c r="G3" s="299"/>
      <c r="H3" s="284"/>
      <c r="I3" s="284"/>
      <c r="K3" s="282">
        <f>SUBTOTAL(9,K5:K828)</f>
        <v>40542362.830000006</v>
      </c>
      <c r="L3" s="282">
        <f t="shared" ref="K3:Z3" si="0">SUBTOTAL(9,L5:L828)</f>
        <v>16649787.439999994</v>
      </c>
      <c r="M3" s="282">
        <f t="shared" si="0"/>
        <v>10148231.35</v>
      </c>
      <c r="N3" s="282">
        <f t="shared" si="0"/>
        <v>13023614.51</v>
      </c>
      <c r="O3" s="282">
        <f t="shared" si="0"/>
        <v>247837.21</v>
      </c>
      <c r="P3" s="282">
        <f t="shared" si="0"/>
        <v>299642.08</v>
      </c>
      <c r="Q3" s="282">
        <f t="shared" si="0"/>
        <v>76480.23</v>
      </c>
      <c r="R3" s="282">
        <f t="shared" si="0"/>
        <v>96770.01</v>
      </c>
      <c r="S3" s="282">
        <f>SUBTOTAL(9,S5:S828)</f>
        <v>1113139.05</v>
      </c>
      <c r="T3" s="282">
        <f t="shared" si="0"/>
        <v>623406.28</v>
      </c>
      <c r="U3" s="282">
        <f t="shared" si="0"/>
        <v>416870.25</v>
      </c>
      <c r="V3" s="282">
        <f t="shared" si="0"/>
        <v>0</v>
      </c>
      <c r="W3" s="282">
        <f t="shared" si="0"/>
        <v>49440</v>
      </c>
      <c r="X3" s="282">
        <f t="shared" si="0"/>
        <v>0</v>
      </c>
      <c r="Y3" s="282">
        <f t="shared" si="0"/>
        <v>591.48</v>
      </c>
      <c r="Z3" s="282">
        <f t="shared" si="0"/>
        <v>22831.040000000001</v>
      </c>
      <c r="AA3" s="282">
        <f>SUBTOTAL(9,AA5:AA828)</f>
        <v>22315752.189999998</v>
      </c>
      <c r="AD3" s="298">
        <f>SUBTOTAL(9,AD5:AD828)</f>
        <v>112726709.00999998</v>
      </c>
      <c r="AE3" s="298">
        <f>SUBTOTAL(9,AE5:AE828)</f>
        <v>312600577.53604662</v>
      </c>
      <c r="AF3" s="298"/>
      <c r="AG3" s="298">
        <f>SUBTOTAL(9,AG5:AG828)</f>
        <v>203409784.05498829</v>
      </c>
      <c r="AH3" s="287"/>
    </row>
    <row r="4" spans="1:34" ht="73.8" customHeight="1" thickBot="1" x14ac:dyDescent="0.3">
      <c r="B4" s="295" t="s">
        <v>304</v>
      </c>
      <c r="C4" s="296" t="s">
        <v>781</v>
      </c>
      <c r="D4" s="296" t="s">
        <v>775</v>
      </c>
      <c r="E4" s="296" t="s">
        <v>776</v>
      </c>
      <c r="F4" s="296" t="s">
        <v>412</v>
      </c>
      <c r="G4" s="296" t="s">
        <v>15416</v>
      </c>
      <c r="H4" s="296" t="s">
        <v>777</v>
      </c>
      <c r="I4" s="297" t="s">
        <v>15400</v>
      </c>
      <c r="J4" s="240"/>
      <c r="K4" s="295" t="s">
        <v>778</v>
      </c>
      <c r="L4" s="296" t="s">
        <v>8</v>
      </c>
      <c r="M4" s="296" t="s">
        <v>9</v>
      </c>
      <c r="N4" s="296" t="s">
        <v>10</v>
      </c>
      <c r="O4" s="296" t="s">
        <v>11</v>
      </c>
      <c r="P4" s="296" t="s">
        <v>12</v>
      </c>
      <c r="Q4" s="296" t="s">
        <v>13</v>
      </c>
      <c r="R4" s="296" t="s">
        <v>14</v>
      </c>
      <c r="S4" s="296" t="s">
        <v>783</v>
      </c>
      <c r="T4" s="296" t="s">
        <v>8</v>
      </c>
      <c r="U4" s="296" t="s">
        <v>9</v>
      </c>
      <c r="V4" s="296" t="s">
        <v>10</v>
      </c>
      <c r="W4" s="296" t="s">
        <v>11</v>
      </c>
      <c r="X4" s="296" t="s">
        <v>12</v>
      </c>
      <c r="Y4" s="296" t="s">
        <v>13</v>
      </c>
      <c r="Z4" s="296" t="s">
        <v>14</v>
      </c>
      <c r="AA4" s="296" t="s">
        <v>779</v>
      </c>
      <c r="AB4" s="297" t="s">
        <v>780</v>
      </c>
      <c r="AC4" s="240"/>
      <c r="AD4" s="239" t="s">
        <v>15291</v>
      </c>
      <c r="AE4" s="239" t="s">
        <v>1151</v>
      </c>
      <c r="AF4" s="239" t="s">
        <v>15384</v>
      </c>
      <c r="AG4" s="239" t="s">
        <v>15385</v>
      </c>
    </row>
    <row r="5" spans="1:34" ht="13.8" customHeight="1" x14ac:dyDescent="0.25">
      <c r="A5" s="283"/>
      <c r="B5" s="309" t="s">
        <v>460</v>
      </c>
      <c r="C5" s="294" t="s">
        <v>449</v>
      </c>
      <c r="D5" s="310">
        <v>10000000</v>
      </c>
      <c r="E5" s="310">
        <v>7696493.5799999991</v>
      </c>
      <c r="F5" s="310">
        <v>10000000</v>
      </c>
      <c r="G5" s="311">
        <v>0</v>
      </c>
      <c r="H5" s="312" t="s">
        <v>15404</v>
      </c>
      <c r="I5" s="312" t="s">
        <v>15403</v>
      </c>
      <c r="K5" s="310">
        <v>7696493.5799999991</v>
      </c>
      <c r="L5" s="310">
        <v>2989374.9</v>
      </c>
      <c r="M5" s="310">
        <v>1924024.77</v>
      </c>
      <c r="N5" s="310">
        <v>2535256.6999999997</v>
      </c>
      <c r="O5" s="310">
        <v>247837.21</v>
      </c>
      <c r="P5" s="310">
        <v>0</v>
      </c>
      <c r="Q5" s="310">
        <v>0</v>
      </c>
      <c r="R5" s="310">
        <v>0</v>
      </c>
      <c r="S5" s="310">
        <v>0</v>
      </c>
      <c r="T5" s="310">
        <v>0</v>
      </c>
      <c r="U5" s="310">
        <v>0</v>
      </c>
      <c r="V5" s="310">
        <v>0</v>
      </c>
      <c r="W5" s="310">
        <v>0</v>
      </c>
      <c r="X5" s="310">
        <v>0</v>
      </c>
      <c r="Y5" s="310">
        <v>0</v>
      </c>
      <c r="Z5" s="310">
        <v>0</v>
      </c>
      <c r="AA5" s="310">
        <v>0</v>
      </c>
      <c r="AB5" s="309"/>
      <c r="AD5" s="313">
        <v>12849714.939999992</v>
      </c>
      <c r="AE5" s="313">
        <v>32470400</v>
      </c>
      <c r="AF5" s="314">
        <v>0.39573626872474599</v>
      </c>
      <c r="AG5" s="313">
        <v>19620685.06000001</v>
      </c>
    </row>
    <row r="6" spans="1:34" ht="13.8" customHeight="1" x14ac:dyDescent="0.25">
      <c r="A6" s="283"/>
      <c r="B6" s="315" t="s">
        <v>589</v>
      </c>
      <c r="C6" s="289" t="s">
        <v>160</v>
      </c>
      <c r="D6" s="313">
        <v>0</v>
      </c>
      <c r="E6" s="313">
        <v>7560727.799999997</v>
      </c>
      <c r="F6" s="313">
        <v>0</v>
      </c>
      <c r="G6" s="316">
        <v>7560727.799999997</v>
      </c>
      <c r="H6" s="317" t="s">
        <v>15402</v>
      </c>
      <c r="I6" s="317" t="s">
        <v>15403</v>
      </c>
      <c r="K6" s="313">
        <v>0</v>
      </c>
      <c r="L6" s="313">
        <v>0</v>
      </c>
      <c r="M6" s="313">
        <v>0</v>
      </c>
      <c r="N6" s="313">
        <v>0</v>
      </c>
      <c r="O6" s="313">
        <v>0</v>
      </c>
      <c r="P6" s="313">
        <v>0</v>
      </c>
      <c r="Q6" s="313">
        <v>0</v>
      </c>
      <c r="R6" s="313">
        <v>0</v>
      </c>
      <c r="S6" s="313">
        <v>0</v>
      </c>
      <c r="T6" s="313">
        <v>0</v>
      </c>
      <c r="U6" s="313">
        <v>0</v>
      </c>
      <c r="V6" s="313">
        <v>0</v>
      </c>
      <c r="W6" s="313">
        <v>0</v>
      </c>
      <c r="X6" s="313">
        <v>0</v>
      </c>
      <c r="Y6" s="313">
        <v>0</v>
      </c>
      <c r="Z6" s="313">
        <v>0</v>
      </c>
      <c r="AA6" s="313">
        <v>7560727.799999997</v>
      </c>
      <c r="AB6" s="315"/>
      <c r="AD6" s="313">
        <v>17640</v>
      </c>
      <c r="AE6" s="313">
        <v>0</v>
      </c>
      <c r="AF6" s="314" t="s">
        <v>15403</v>
      </c>
      <c r="AG6" s="313">
        <v>0</v>
      </c>
    </row>
    <row r="7" spans="1:34" ht="13.8" customHeight="1" x14ac:dyDescent="0.25">
      <c r="A7" s="283"/>
      <c r="B7" s="315" t="s">
        <v>460</v>
      </c>
      <c r="C7" s="289" t="s">
        <v>431</v>
      </c>
      <c r="D7" s="313">
        <v>15000000</v>
      </c>
      <c r="E7" s="313">
        <v>7490408.5599999996</v>
      </c>
      <c r="F7" s="313">
        <v>15000000</v>
      </c>
      <c r="G7" s="316">
        <v>0</v>
      </c>
      <c r="H7" s="317" t="s">
        <v>15404</v>
      </c>
      <c r="I7" s="317" t="s">
        <v>15403</v>
      </c>
      <c r="K7" s="313">
        <v>7473589.6399999997</v>
      </c>
      <c r="L7" s="313">
        <v>746905.4</v>
      </c>
      <c r="M7" s="313">
        <v>2076080.4700000002</v>
      </c>
      <c r="N7" s="313">
        <v>4650603.7699999996</v>
      </c>
      <c r="O7" s="313">
        <v>0</v>
      </c>
      <c r="P7" s="313">
        <v>0</v>
      </c>
      <c r="Q7" s="313">
        <v>0</v>
      </c>
      <c r="R7" s="313">
        <v>0</v>
      </c>
      <c r="S7" s="313">
        <v>16818.920000000002</v>
      </c>
      <c r="T7" s="313">
        <v>0</v>
      </c>
      <c r="U7" s="313">
        <v>0</v>
      </c>
      <c r="V7" s="313">
        <v>0</v>
      </c>
      <c r="W7" s="313">
        <v>0</v>
      </c>
      <c r="X7" s="313">
        <v>0</v>
      </c>
      <c r="Y7" s="313">
        <v>64.2</v>
      </c>
      <c r="Z7" s="313">
        <v>16754.72</v>
      </c>
      <c r="AA7" s="313">
        <v>0</v>
      </c>
      <c r="AB7" s="315"/>
      <c r="AD7" s="313">
        <v>12642848.35</v>
      </c>
      <c r="AE7" s="313">
        <v>38799848.979704499</v>
      </c>
      <c r="AF7" s="314">
        <v>0.32584787524851566</v>
      </c>
      <c r="AG7" s="313">
        <v>26157000.629704498</v>
      </c>
    </row>
    <row r="8" spans="1:34" ht="13.8" customHeight="1" x14ac:dyDescent="0.25">
      <c r="A8" s="283"/>
      <c r="B8" s="315" t="s">
        <v>460</v>
      </c>
      <c r="C8" s="289" t="s">
        <v>359</v>
      </c>
      <c r="D8" s="313">
        <v>6000000</v>
      </c>
      <c r="E8" s="313">
        <v>4784149.9800000004</v>
      </c>
      <c r="F8" s="313">
        <v>6000000</v>
      </c>
      <c r="G8" s="316">
        <v>0</v>
      </c>
      <c r="H8" s="317" t="s">
        <v>15404</v>
      </c>
      <c r="I8" s="317" t="s">
        <v>15403</v>
      </c>
      <c r="K8" s="313">
        <v>4778523.66</v>
      </c>
      <c r="L8" s="313">
        <v>3419201.11</v>
      </c>
      <c r="M8" s="313">
        <v>1359322.5500000003</v>
      </c>
      <c r="N8" s="313">
        <v>0</v>
      </c>
      <c r="O8" s="313">
        <v>0</v>
      </c>
      <c r="P8" s="313">
        <v>0</v>
      </c>
      <c r="Q8" s="313">
        <v>0</v>
      </c>
      <c r="R8" s="313">
        <v>0</v>
      </c>
      <c r="S8" s="313">
        <v>5626.32</v>
      </c>
      <c r="T8" s="313">
        <v>0</v>
      </c>
      <c r="U8" s="313">
        <v>0</v>
      </c>
      <c r="V8" s="313">
        <v>0</v>
      </c>
      <c r="W8" s="313">
        <v>0</v>
      </c>
      <c r="X8" s="313">
        <v>0</v>
      </c>
      <c r="Y8" s="313">
        <v>0</v>
      </c>
      <c r="Z8" s="313">
        <v>5626.32</v>
      </c>
      <c r="AA8" s="313">
        <v>0</v>
      </c>
      <c r="AB8" s="315"/>
      <c r="AD8" s="313">
        <v>17271600.440000001</v>
      </c>
      <c r="AE8" s="313">
        <v>32129999.999999996</v>
      </c>
      <c r="AF8" s="314">
        <v>0.53755370183629014</v>
      </c>
      <c r="AG8" s="313">
        <v>14858399.559999995</v>
      </c>
    </row>
    <row r="9" spans="1:34" ht="13.8" customHeight="1" x14ac:dyDescent="0.25">
      <c r="A9" s="283"/>
      <c r="B9" s="315" t="s">
        <v>764</v>
      </c>
      <c r="C9" s="289" t="s">
        <v>302</v>
      </c>
      <c r="D9" s="313">
        <v>5000000</v>
      </c>
      <c r="E9" s="313">
        <v>3774575.4000000004</v>
      </c>
      <c r="F9" s="313">
        <v>0</v>
      </c>
      <c r="G9" s="316">
        <v>3774575.4000000004</v>
      </c>
      <c r="H9" s="317" t="s">
        <v>15406</v>
      </c>
      <c r="I9" s="317" t="s">
        <v>15387</v>
      </c>
      <c r="K9" s="313">
        <v>3774575.4000000004</v>
      </c>
      <c r="L9" s="313">
        <v>0</v>
      </c>
      <c r="M9" s="313">
        <v>668371.59000000008</v>
      </c>
      <c r="N9" s="313">
        <v>3106203.81</v>
      </c>
      <c r="O9" s="313">
        <v>0</v>
      </c>
      <c r="P9" s="313">
        <v>0</v>
      </c>
      <c r="Q9" s="313">
        <v>0</v>
      </c>
      <c r="R9" s="313">
        <v>0</v>
      </c>
      <c r="S9" s="313">
        <v>0</v>
      </c>
      <c r="T9" s="313">
        <v>0</v>
      </c>
      <c r="U9" s="313">
        <v>0</v>
      </c>
      <c r="V9" s="313">
        <v>0</v>
      </c>
      <c r="W9" s="313">
        <v>0</v>
      </c>
      <c r="X9" s="313">
        <v>0</v>
      </c>
      <c r="Y9" s="313">
        <v>0</v>
      </c>
      <c r="Z9" s="313">
        <v>0</v>
      </c>
      <c r="AA9" s="313">
        <v>0</v>
      </c>
      <c r="AB9" s="315"/>
      <c r="AD9" s="313">
        <v>7728141.120000001</v>
      </c>
      <c r="AE9" s="313">
        <v>7055332.6435517315</v>
      </c>
      <c r="AF9" s="314">
        <v>1.0953616945422393</v>
      </c>
      <c r="AG9" s="313">
        <v>0</v>
      </c>
    </row>
    <row r="10" spans="1:34" ht="13.8" customHeight="1" x14ac:dyDescent="0.25">
      <c r="A10" s="283"/>
      <c r="B10" s="315" t="s">
        <v>589</v>
      </c>
      <c r="C10" s="289" t="s">
        <v>368</v>
      </c>
      <c r="D10" s="313">
        <v>0</v>
      </c>
      <c r="E10" s="313">
        <v>3088531.0700000008</v>
      </c>
      <c r="F10" s="313">
        <v>0</v>
      </c>
      <c r="G10" s="316">
        <v>3088531.0700000008</v>
      </c>
      <c r="H10" s="317" t="s">
        <v>15402</v>
      </c>
      <c r="I10" s="317" t="s">
        <v>15403</v>
      </c>
      <c r="K10" s="313">
        <v>0</v>
      </c>
      <c r="L10" s="313">
        <v>0</v>
      </c>
      <c r="M10" s="313">
        <v>0</v>
      </c>
      <c r="N10" s="313">
        <v>0</v>
      </c>
      <c r="O10" s="313">
        <v>0</v>
      </c>
      <c r="P10" s="313">
        <v>0</v>
      </c>
      <c r="Q10" s="313">
        <v>0</v>
      </c>
      <c r="R10" s="313">
        <v>0</v>
      </c>
      <c r="S10" s="313">
        <v>0</v>
      </c>
      <c r="T10" s="313">
        <v>0</v>
      </c>
      <c r="U10" s="313">
        <v>0</v>
      </c>
      <c r="V10" s="313">
        <v>0</v>
      </c>
      <c r="W10" s="313">
        <v>0</v>
      </c>
      <c r="X10" s="313">
        <v>0</v>
      </c>
      <c r="Y10" s="313">
        <v>0</v>
      </c>
      <c r="Z10" s="313">
        <v>0</v>
      </c>
      <c r="AA10" s="313">
        <v>3088531.0700000008</v>
      </c>
      <c r="AB10" s="315"/>
      <c r="AD10" s="313">
        <v>0</v>
      </c>
      <c r="AE10" s="313">
        <v>0</v>
      </c>
      <c r="AF10" s="314" t="s">
        <v>15403</v>
      </c>
      <c r="AG10" s="313">
        <v>0</v>
      </c>
    </row>
    <row r="11" spans="1:34" ht="13.8" customHeight="1" x14ac:dyDescent="0.25">
      <c r="A11" s="283"/>
      <c r="B11" s="315" t="s">
        <v>589</v>
      </c>
      <c r="C11" s="289" t="s">
        <v>192</v>
      </c>
      <c r="D11" s="313">
        <v>0</v>
      </c>
      <c r="E11" s="313">
        <v>3044850.9199999995</v>
      </c>
      <c r="F11" s="313">
        <v>0</v>
      </c>
      <c r="G11" s="316">
        <v>3044850.9199999995</v>
      </c>
      <c r="H11" s="317" t="s">
        <v>15402</v>
      </c>
      <c r="I11" s="317" t="s">
        <v>15403</v>
      </c>
      <c r="K11" s="313">
        <v>0</v>
      </c>
      <c r="L11" s="313">
        <v>0</v>
      </c>
      <c r="M11" s="313">
        <v>0</v>
      </c>
      <c r="N11" s="313">
        <v>0</v>
      </c>
      <c r="O11" s="313">
        <v>0</v>
      </c>
      <c r="P11" s="313">
        <v>0</v>
      </c>
      <c r="Q11" s="313">
        <v>0</v>
      </c>
      <c r="R11" s="313">
        <v>0</v>
      </c>
      <c r="S11" s="313">
        <v>0</v>
      </c>
      <c r="T11" s="313">
        <v>0</v>
      </c>
      <c r="U11" s="313">
        <v>0</v>
      </c>
      <c r="V11" s="313">
        <v>0</v>
      </c>
      <c r="W11" s="313">
        <v>0</v>
      </c>
      <c r="X11" s="313">
        <v>0</v>
      </c>
      <c r="Y11" s="313">
        <v>0</v>
      </c>
      <c r="Z11" s="313">
        <v>0</v>
      </c>
      <c r="AA11" s="313">
        <v>3044850.9199999995</v>
      </c>
      <c r="AB11" s="315"/>
      <c r="AD11" s="313">
        <v>0</v>
      </c>
      <c r="AE11" s="313">
        <v>0</v>
      </c>
      <c r="AF11" s="314" t="s">
        <v>15403</v>
      </c>
      <c r="AG11" s="313">
        <v>0</v>
      </c>
    </row>
    <row r="12" spans="1:34" ht="13.8" customHeight="1" x14ac:dyDescent="0.25">
      <c r="A12" s="283"/>
      <c r="B12" s="315" t="s">
        <v>589</v>
      </c>
      <c r="C12" s="289" t="s">
        <v>170</v>
      </c>
      <c r="D12" s="313">
        <v>0</v>
      </c>
      <c r="E12" s="313">
        <v>2492842.0500000007</v>
      </c>
      <c r="F12" s="313">
        <v>0</v>
      </c>
      <c r="G12" s="316">
        <v>2492842.0500000007</v>
      </c>
      <c r="H12" s="317" t="s">
        <v>15402</v>
      </c>
      <c r="I12" s="317" t="s">
        <v>15403</v>
      </c>
      <c r="K12" s="313">
        <v>0</v>
      </c>
      <c r="L12" s="313">
        <v>0</v>
      </c>
      <c r="M12" s="313">
        <v>0</v>
      </c>
      <c r="N12" s="313">
        <v>0</v>
      </c>
      <c r="O12" s="313">
        <v>0</v>
      </c>
      <c r="P12" s="313">
        <v>0</v>
      </c>
      <c r="Q12" s="313">
        <v>0</v>
      </c>
      <c r="R12" s="313">
        <v>0</v>
      </c>
      <c r="S12" s="313">
        <v>0</v>
      </c>
      <c r="T12" s="313">
        <v>0</v>
      </c>
      <c r="U12" s="313">
        <v>0</v>
      </c>
      <c r="V12" s="313">
        <v>0</v>
      </c>
      <c r="W12" s="313">
        <v>0</v>
      </c>
      <c r="X12" s="313">
        <v>0</v>
      </c>
      <c r="Y12" s="313">
        <v>0</v>
      </c>
      <c r="Z12" s="313">
        <v>0</v>
      </c>
      <c r="AA12" s="313">
        <v>2492842.0500000007</v>
      </c>
      <c r="AB12" s="315"/>
      <c r="AD12" s="313">
        <v>0</v>
      </c>
      <c r="AE12" s="313">
        <v>0</v>
      </c>
      <c r="AF12" s="314" t="s">
        <v>15403</v>
      </c>
      <c r="AG12" s="313">
        <v>0</v>
      </c>
    </row>
    <row r="13" spans="1:34" ht="13.8" customHeight="1" x14ac:dyDescent="0.25">
      <c r="A13" s="283"/>
      <c r="B13" s="315" t="s">
        <v>589</v>
      </c>
      <c r="C13" s="289" t="s">
        <v>177</v>
      </c>
      <c r="D13" s="313">
        <v>0</v>
      </c>
      <c r="E13" s="313">
        <v>1863200.9</v>
      </c>
      <c r="F13" s="313">
        <v>0</v>
      </c>
      <c r="G13" s="316">
        <v>1863200.9</v>
      </c>
      <c r="H13" s="317" t="s">
        <v>15402</v>
      </c>
      <c r="I13" s="317" t="s">
        <v>15403</v>
      </c>
      <c r="K13" s="313">
        <v>0</v>
      </c>
      <c r="L13" s="313">
        <v>0</v>
      </c>
      <c r="M13" s="313">
        <v>0</v>
      </c>
      <c r="N13" s="313">
        <v>0</v>
      </c>
      <c r="O13" s="313">
        <v>0</v>
      </c>
      <c r="P13" s="313">
        <v>0</v>
      </c>
      <c r="Q13" s="313">
        <v>0</v>
      </c>
      <c r="R13" s="313">
        <v>0</v>
      </c>
      <c r="S13" s="313">
        <v>0</v>
      </c>
      <c r="T13" s="313">
        <v>0</v>
      </c>
      <c r="U13" s="313">
        <v>0</v>
      </c>
      <c r="V13" s="313">
        <v>0</v>
      </c>
      <c r="W13" s="313">
        <v>0</v>
      </c>
      <c r="X13" s="313">
        <v>0</v>
      </c>
      <c r="Y13" s="313">
        <v>0</v>
      </c>
      <c r="Z13" s="313">
        <v>0</v>
      </c>
      <c r="AA13" s="313">
        <v>1863200.9</v>
      </c>
      <c r="AB13" s="315"/>
      <c r="AD13" s="313">
        <v>0</v>
      </c>
      <c r="AE13" s="313">
        <v>0</v>
      </c>
      <c r="AF13" s="314" t="s">
        <v>15403</v>
      </c>
      <c r="AG13" s="313">
        <v>0</v>
      </c>
    </row>
    <row r="14" spans="1:34" ht="13.8" customHeight="1" x14ac:dyDescent="0.25">
      <c r="A14" s="283"/>
      <c r="B14" s="315" t="s">
        <v>589</v>
      </c>
      <c r="C14" s="289" t="s">
        <v>181</v>
      </c>
      <c r="D14" s="313">
        <v>0</v>
      </c>
      <c r="E14" s="313">
        <v>1702848.7400000002</v>
      </c>
      <c r="F14" s="313">
        <v>0</v>
      </c>
      <c r="G14" s="316">
        <v>1702848.7400000002</v>
      </c>
      <c r="H14" s="317" t="s">
        <v>15402</v>
      </c>
      <c r="I14" s="317" t="s">
        <v>15403</v>
      </c>
      <c r="K14" s="313">
        <v>0</v>
      </c>
      <c r="L14" s="313">
        <v>0</v>
      </c>
      <c r="M14" s="313">
        <v>0</v>
      </c>
      <c r="N14" s="313">
        <v>0</v>
      </c>
      <c r="O14" s="313">
        <v>0</v>
      </c>
      <c r="P14" s="313">
        <v>0</v>
      </c>
      <c r="Q14" s="313">
        <v>0</v>
      </c>
      <c r="R14" s="313">
        <v>0</v>
      </c>
      <c r="S14" s="313">
        <v>0</v>
      </c>
      <c r="T14" s="313">
        <v>0</v>
      </c>
      <c r="U14" s="313">
        <v>0</v>
      </c>
      <c r="V14" s="313">
        <v>0</v>
      </c>
      <c r="W14" s="313">
        <v>0</v>
      </c>
      <c r="X14" s="313">
        <v>0</v>
      </c>
      <c r="Y14" s="313">
        <v>0</v>
      </c>
      <c r="Z14" s="313">
        <v>0</v>
      </c>
      <c r="AA14" s="313">
        <v>1702848.7400000002</v>
      </c>
      <c r="AB14" s="315"/>
      <c r="AD14" s="313">
        <v>0</v>
      </c>
      <c r="AE14" s="313">
        <v>0</v>
      </c>
      <c r="AF14" s="314" t="s">
        <v>15403</v>
      </c>
      <c r="AG14" s="313">
        <v>0</v>
      </c>
    </row>
    <row r="15" spans="1:34" ht="13.8" customHeight="1" x14ac:dyDescent="0.25">
      <c r="A15" s="283"/>
      <c r="B15" s="315" t="s">
        <v>460</v>
      </c>
      <c r="C15" s="289" t="s">
        <v>109</v>
      </c>
      <c r="D15" s="313">
        <v>1500000</v>
      </c>
      <c r="E15" s="313">
        <v>1248148.5999999999</v>
      </c>
      <c r="F15" s="313">
        <v>0</v>
      </c>
      <c r="G15" s="316">
        <v>1248148.5999999999</v>
      </c>
      <c r="H15" s="317" t="s">
        <v>15406</v>
      </c>
      <c r="I15" s="317" t="s">
        <v>15403</v>
      </c>
      <c r="K15" s="313">
        <v>1248148.5999999999</v>
      </c>
      <c r="L15" s="313">
        <v>161488.20000000001</v>
      </c>
      <c r="M15" s="313">
        <v>1086660.3999999999</v>
      </c>
      <c r="N15" s="313">
        <v>0</v>
      </c>
      <c r="O15" s="313">
        <v>0</v>
      </c>
      <c r="P15" s="313">
        <v>0</v>
      </c>
      <c r="Q15" s="313">
        <v>0</v>
      </c>
      <c r="R15" s="313">
        <v>0</v>
      </c>
      <c r="S15" s="313">
        <v>0</v>
      </c>
      <c r="T15" s="313">
        <v>0</v>
      </c>
      <c r="U15" s="313">
        <v>0</v>
      </c>
      <c r="V15" s="313">
        <v>0</v>
      </c>
      <c r="W15" s="313">
        <v>0</v>
      </c>
      <c r="X15" s="313">
        <v>0</v>
      </c>
      <c r="Y15" s="313">
        <v>0</v>
      </c>
      <c r="Z15" s="313">
        <v>0</v>
      </c>
      <c r="AA15" s="313">
        <v>0</v>
      </c>
      <c r="AB15" s="315"/>
      <c r="AD15" s="313">
        <v>3585858.8</v>
      </c>
      <c r="AE15" s="313">
        <v>5559000</v>
      </c>
      <c r="AF15" s="314">
        <v>0.64505465011692742</v>
      </c>
      <c r="AG15" s="313">
        <v>1973141.2000000002</v>
      </c>
    </row>
    <row r="16" spans="1:34" ht="13.8" customHeight="1" x14ac:dyDescent="0.25">
      <c r="A16" s="283"/>
      <c r="B16" s="315" t="s">
        <v>460</v>
      </c>
      <c r="C16" s="289" t="s">
        <v>450</v>
      </c>
      <c r="D16" s="313">
        <v>1500000</v>
      </c>
      <c r="E16" s="313">
        <v>1237619.8999999999</v>
      </c>
      <c r="F16" s="313">
        <v>0</v>
      </c>
      <c r="G16" s="316">
        <v>1237619.8999999999</v>
      </c>
      <c r="H16" s="317" t="s">
        <v>15406</v>
      </c>
      <c r="I16" s="317" t="s">
        <v>15403</v>
      </c>
      <c r="K16" s="313">
        <v>1237619.8999999999</v>
      </c>
      <c r="L16" s="313">
        <v>331136.69999999995</v>
      </c>
      <c r="M16" s="313">
        <v>906483.19999999995</v>
      </c>
      <c r="N16" s="313">
        <v>0</v>
      </c>
      <c r="O16" s="313">
        <v>0</v>
      </c>
      <c r="P16" s="313">
        <v>0</v>
      </c>
      <c r="Q16" s="313">
        <v>0</v>
      </c>
      <c r="R16" s="313">
        <v>0</v>
      </c>
      <c r="S16" s="313">
        <v>0</v>
      </c>
      <c r="T16" s="313">
        <v>0</v>
      </c>
      <c r="U16" s="313">
        <v>0</v>
      </c>
      <c r="V16" s="313">
        <v>0</v>
      </c>
      <c r="W16" s="313">
        <v>0</v>
      </c>
      <c r="X16" s="313">
        <v>0</v>
      </c>
      <c r="Y16" s="313">
        <v>0</v>
      </c>
      <c r="Z16" s="313">
        <v>0</v>
      </c>
      <c r="AA16" s="313">
        <v>0</v>
      </c>
      <c r="AB16" s="315"/>
      <c r="AD16" s="313">
        <v>3913915.9000000004</v>
      </c>
      <c r="AE16" s="313">
        <v>19253157.715669096</v>
      </c>
      <c r="AF16" s="314">
        <v>0.20328695987436271</v>
      </c>
      <c r="AG16" s="313">
        <v>15339241.815669095</v>
      </c>
    </row>
    <row r="17" spans="1:33" ht="13.8" customHeight="1" x14ac:dyDescent="0.25">
      <c r="A17" s="283"/>
      <c r="B17" s="315" t="s">
        <v>589</v>
      </c>
      <c r="C17" s="289" t="s">
        <v>242</v>
      </c>
      <c r="D17" s="313">
        <v>0</v>
      </c>
      <c r="E17" s="313">
        <v>988506.24</v>
      </c>
      <c r="F17" s="313">
        <v>0</v>
      </c>
      <c r="G17" s="316">
        <v>988506.24</v>
      </c>
      <c r="H17" s="317" t="s">
        <v>15402</v>
      </c>
      <c r="I17" s="317" t="s">
        <v>15403</v>
      </c>
      <c r="K17" s="313">
        <v>0</v>
      </c>
      <c r="L17" s="313">
        <v>0</v>
      </c>
      <c r="M17" s="313">
        <v>0</v>
      </c>
      <c r="N17" s="313">
        <v>0</v>
      </c>
      <c r="O17" s="313">
        <v>0</v>
      </c>
      <c r="P17" s="313">
        <v>0</v>
      </c>
      <c r="Q17" s="313">
        <v>0</v>
      </c>
      <c r="R17" s="313">
        <v>0</v>
      </c>
      <c r="S17" s="313">
        <v>0</v>
      </c>
      <c r="T17" s="313">
        <v>0</v>
      </c>
      <c r="U17" s="313">
        <v>0</v>
      </c>
      <c r="V17" s="313">
        <v>0</v>
      </c>
      <c r="W17" s="313">
        <v>0</v>
      </c>
      <c r="X17" s="313">
        <v>0</v>
      </c>
      <c r="Y17" s="313">
        <v>0</v>
      </c>
      <c r="Z17" s="313">
        <v>0</v>
      </c>
      <c r="AA17" s="313">
        <v>988506.24</v>
      </c>
      <c r="AB17" s="315"/>
      <c r="AD17" s="313">
        <v>0</v>
      </c>
      <c r="AE17" s="313">
        <v>0</v>
      </c>
      <c r="AF17" s="314" t="s">
        <v>15403</v>
      </c>
      <c r="AG17" s="313">
        <v>0</v>
      </c>
    </row>
    <row r="18" spans="1:33" ht="13.8" customHeight="1" x14ac:dyDescent="0.25">
      <c r="A18" s="283"/>
      <c r="B18" s="315" t="s">
        <v>306</v>
      </c>
      <c r="C18" s="289" t="s">
        <v>165</v>
      </c>
      <c r="D18" s="313">
        <v>500000</v>
      </c>
      <c r="E18" s="313">
        <v>925457.05999999994</v>
      </c>
      <c r="F18" s="313">
        <v>500000</v>
      </c>
      <c r="G18" s="316">
        <v>425457.05999999994</v>
      </c>
      <c r="H18" s="317" t="s">
        <v>15404</v>
      </c>
      <c r="I18" s="317" t="s">
        <v>15399</v>
      </c>
      <c r="K18" s="313">
        <v>925457.05999999994</v>
      </c>
      <c r="L18" s="313">
        <v>0</v>
      </c>
      <c r="M18" s="313">
        <v>0</v>
      </c>
      <c r="N18" s="313">
        <v>925457.05999999994</v>
      </c>
      <c r="O18" s="313">
        <v>0</v>
      </c>
      <c r="P18" s="313">
        <v>0</v>
      </c>
      <c r="Q18" s="313">
        <v>0</v>
      </c>
      <c r="R18" s="313">
        <v>0</v>
      </c>
      <c r="S18" s="313">
        <v>0</v>
      </c>
      <c r="T18" s="313">
        <v>0</v>
      </c>
      <c r="U18" s="313">
        <v>0</v>
      </c>
      <c r="V18" s="313">
        <v>0</v>
      </c>
      <c r="W18" s="313">
        <v>0</v>
      </c>
      <c r="X18" s="313">
        <v>0</v>
      </c>
      <c r="Y18" s="313">
        <v>0</v>
      </c>
      <c r="Z18" s="313">
        <v>0</v>
      </c>
      <c r="AA18" s="313">
        <v>0</v>
      </c>
      <c r="AB18" s="315"/>
      <c r="AD18" s="313">
        <v>0</v>
      </c>
      <c r="AE18" s="313">
        <v>57003.999537783973</v>
      </c>
      <c r="AF18" s="314">
        <v>0</v>
      </c>
      <c r="AG18" s="313">
        <v>57003.999537783973</v>
      </c>
    </row>
    <row r="19" spans="1:33" ht="13.8" customHeight="1" x14ac:dyDescent="0.25">
      <c r="A19" s="283"/>
      <c r="B19" s="315" t="s">
        <v>589</v>
      </c>
      <c r="C19" s="289" t="s">
        <v>189</v>
      </c>
      <c r="D19" s="313">
        <v>0</v>
      </c>
      <c r="E19" s="313">
        <v>876011.75</v>
      </c>
      <c r="F19" s="313">
        <v>0</v>
      </c>
      <c r="G19" s="316">
        <v>876011.75</v>
      </c>
      <c r="H19" s="317" t="s">
        <v>15402</v>
      </c>
      <c r="I19" s="317" t="s">
        <v>15403</v>
      </c>
      <c r="K19" s="313">
        <v>0</v>
      </c>
      <c r="L19" s="313">
        <v>0</v>
      </c>
      <c r="M19" s="313">
        <v>0</v>
      </c>
      <c r="N19" s="313">
        <v>0</v>
      </c>
      <c r="O19" s="313">
        <v>0</v>
      </c>
      <c r="P19" s="313">
        <v>0</v>
      </c>
      <c r="Q19" s="313">
        <v>0</v>
      </c>
      <c r="R19" s="313">
        <v>0</v>
      </c>
      <c r="S19" s="313">
        <v>0</v>
      </c>
      <c r="T19" s="313">
        <v>0</v>
      </c>
      <c r="U19" s="313">
        <v>0</v>
      </c>
      <c r="V19" s="313">
        <v>0</v>
      </c>
      <c r="W19" s="313">
        <v>0</v>
      </c>
      <c r="X19" s="313">
        <v>0</v>
      </c>
      <c r="Y19" s="313">
        <v>0</v>
      </c>
      <c r="Z19" s="313">
        <v>0</v>
      </c>
      <c r="AA19" s="313">
        <v>876011.75</v>
      </c>
      <c r="AB19" s="315"/>
      <c r="AD19" s="313">
        <v>0</v>
      </c>
      <c r="AE19" s="313">
        <v>0</v>
      </c>
      <c r="AF19" s="314" t="s">
        <v>15403</v>
      </c>
      <c r="AG19" s="313">
        <v>0</v>
      </c>
    </row>
    <row r="20" spans="1:33" ht="13.8" customHeight="1" x14ac:dyDescent="0.25">
      <c r="A20" s="283"/>
      <c r="B20" s="315" t="s">
        <v>460</v>
      </c>
      <c r="C20" s="289" t="s">
        <v>489</v>
      </c>
      <c r="D20" s="313">
        <v>1500000</v>
      </c>
      <c r="E20" s="313">
        <v>815885.6</v>
      </c>
      <c r="F20" s="313">
        <v>1500000</v>
      </c>
      <c r="G20" s="316">
        <v>0</v>
      </c>
      <c r="H20" s="317" t="s">
        <v>15404</v>
      </c>
      <c r="I20" s="317" t="s">
        <v>15403</v>
      </c>
      <c r="K20" s="313">
        <v>815885.6</v>
      </c>
      <c r="L20" s="313">
        <v>815885.6</v>
      </c>
      <c r="M20" s="313">
        <v>0</v>
      </c>
      <c r="N20" s="313">
        <v>0</v>
      </c>
      <c r="O20" s="313">
        <v>0</v>
      </c>
      <c r="P20" s="313">
        <v>0</v>
      </c>
      <c r="Q20" s="313">
        <v>0</v>
      </c>
      <c r="R20" s="313">
        <v>0</v>
      </c>
      <c r="S20" s="313">
        <v>0</v>
      </c>
      <c r="T20" s="313">
        <v>0</v>
      </c>
      <c r="U20" s="313">
        <v>0</v>
      </c>
      <c r="V20" s="313">
        <v>0</v>
      </c>
      <c r="W20" s="313">
        <v>0</v>
      </c>
      <c r="X20" s="313">
        <v>0</v>
      </c>
      <c r="Y20" s="313">
        <v>0</v>
      </c>
      <c r="Z20" s="313">
        <v>0</v>
      </c>
      <c r="AA20" s="313">
        <v>0</v>
      </c>
      <c r="AB20" s="315"/>
      <c r="AD20" s="313">
        <v>2226421.4</v>
      </c>
      <c r="AE20" s="313">
        <v>4967550</v>
      </c>
      <c r="AF20" s="314">
        <v>0.448193052913408</v>
      </c>
      <c r="AG20" s="313">
        <v>2741128.6</v>
      </c>
    </row>
    <row r="21" spans="1:33" ht="13.8" customHeight="1" x14ac:dyDescent="0.25">
      <c r="A21" s="283"/>
      <c r="B21" s="315" t="s">
        <v>306</v>
      </c>
      <c r="C21" s="289" t="s">
        <v>494</v>
      </c>
      <c r="D21" s="313">
        <v>500000</v>
      </c>
      <c r="E21" s="313">
        <v>739540.06</v>
      </c>
      <c r="F21" s="313">
        <v>500000</v>
      </c>
      <c r="G21" s="316">
        <v>239540.06000000006</v>
      </c>
      <c r="H21" s="317" t="s">
        <v>15404</v>
      </c>
      <c r="I21" s="317" t="s">
        <v>15388</v>
      </c>
      <c r="K21" s="313">
        <v>739540.06</v>
      </c>
      <c r="L21" s="313">
        <v>0</v>
      </c>
      <c r="M21" s="313">
        <v>0</v>
      </c>
      <c r="N21" s="313">
        <v>739540.06</v>
      </c>
      <c r="O21" s="313">
        <v>0</v>
      </c>
      <c r="P21" s="313">
        <v>0</v>
      </c>
      <c r="Q21" s="313">
        <v>0</v>
      </c>
      <c r="R21" s="313">
        <v>0</v>
      </c>
      <c r="S21" s="313">
        <v>0</v>
      </c>
      <c r="T21" s="313">
        <v>0</v>
      </c>
      <c r="U21" s="313">
        <v>0</v>
      </c>
      <c r="V21" s="313">
        <v>0</v>
      </c>
      <c r="W21" s="313">
        <v>0</v>
      </c>
      <c r="X21" s="313">
        <v>0</v>
      </c>
      <c r="Y21" s="313">
        <v>0</v>
      </c>
      <c r="Z21" s="313">
        <v>0</v>
      </c>
      <c r="AA21" s="313">
        <v>0</v>
      </c>
      <c r="AB21" s="315"/>
      <c r="AD21" s="313">
        <v>0</v>
      </c>
      <c r="AE21" s="313">
        <v>325986.33128486166</v>
      </c>
      <c r="AF21" s="314">
        <v>0</v>
      </c>
      <c r="AG21" s="313">
        <v>325986.33128486166</v>
      </c>
    </row>
    <row r="22" spans="1:33" ht="13.8" customHeight="1" x14ac:dyDescent="0.25">
      <c r="A22" s="283"/>
      <c r="B22" s="315" t="s">
        <v>460</v>
      </c>
      <c r="C22" s="289" t="s">
        <v>15419</v>
      </c>
      <c r="D22" s="313">
        <v>1500000</v>
      </c>
      <c r="E22" s="313">
        <v>710879.20000000007</v>
      </c>
      <c r="F22" s="313">
        <v>1500000</v>
      </c>
      <c r="G22" s="316">
        <v>0</v>
      </c>
      <c r="H22" s="317" t="s">
        <v>15404</v>
      </c>
      <c r="I22" s="317" t="s">
        <v>15403</v>
      </c>
      <c r="K22" s="313">
        <v>710879.20000000007</v>
      </c>
      <c r="L22" s="313">
        <v>0</v>
      </c>
      <c r="M22" s="313">
        <v>355675.60000000003</v>
      </c>
      <c r="N22" s="313">
        <v>355203.60000000003</v>
      </c>
      <c r="O22" s="313">
        <v>0</v>
      </c>
      <c r="P22" s="313">
        <v>0</v>
      </c>
      <c r="Q22" s="313">
        <v>0</v>
      </c>
      <c r="R22" s="313">
        <v>0</v>
      </c>
      <c r="S22" s="313">
        <v>0</v>
      </c>
      <c r="T22" s="313">
        <v>0</v>
      </c>
      <c r="U22" s="313">
        <v>0</v>
      </c>
      <c r="V22" s="313">
        <v>0</v>
      </c>
      <c r="W22" s="313">
        <v>0</v>
      </c>
      <c r="X22" s="313">
        <v>0</v>
      </c>
      <c r="Y22" s="313">
        <v>0</v>
      </c>
      <c r="Z22" s="313">
        <v>0</v>
      </c>
      <c r="AA22" s="313">
        <v>0</v>
      </c>
      <c r="AB22" s="315"/>
      <c r="AD22" s="313">
        <v>2497258.8000000007</v>
      </c>
      <c r="AE22" s="313">
        <v>4410300</v>
      </c>
      <c r="AF22" s="314">
        <v>0.56623331746139738</v>
      </c>
      <c r="AG22" s="313">
        <v>1913041.1999999993</v>
      </c>
    </row>
    <row r="23" spans="1:33" ht="13.8" customHeight="1" x14ac:dyDescent="0.25">
      <c r="A23" s="283"/>
      <c r="B23" s="315" t="s">
        <v>460</v>
      </c>
      <c r="C23" s="289" t="s">
        <v>25</v>
      </c>
      <c r="D23" s="313">
        <v>2600000</v>
      </c>
      <c r="E23" s="313">
        <v>693727.1</v>
      </c>
      <c r="F23" s="313">
        <v>2600000</v>
      </c>
      <c r="G23" s="316">
        <v>0</v>
      </c>
      <c r="H23" s="317" t="s">
        <v>15404</v>
      </c>
      <c r="I23" s="317" t="s">
        <v>15403</v>
      </c>
      <c r="K23" s="313">
        <v>693727.1</v>
      </c>
      <c r="L23" s="313">
        <v>693727.1</v>
      </c>
      <c r="M23" s="313">
        <v>0</v>
      </c>
      <c r="N23" s="313">
        <v>0</v>
      </c>
      <c r="O23" s="313">
        <v>0</v>
      </c>
      <c r="P23" s="313">
        <v>0</v>
      </c>
      <c r="Q23" s="313">
        <v>0</v>
      </c>
      <c r="R23" s="313">
        <v>0</v>
      </c>
      <c r="S23" s="313">
        <v>0</v>
      </c>
      <c r="T23" s="313">
        <v>0</v>
      </c>
      <c r="U23" s="313">
        <v>0</v>
      </c>
      <c r="V23" s="313">
        <v>0</v>
      </c>
      <c r="W23" s="313">
        <v>0</v>
      </c>
      <c r="X23" s="313">
        <v>0</v>
      </c>
      <c r="Y23" s="313">
        <v>0</v>
      </c>
      <c r="Z23" s="313">
        <v>0</v>
      </c>
      <c r="AA23" s="313">
        <v>0</v>
      </c>
      <c r="AB23" s="315"/>
      <c r="AD23" s="313">
        <v>3467645</v>
      </c>
      <c r="AE23" s="313">
        <v>9477000</v>
      </c>
      <c r="AF23" s="314">
        <v>0.36590112904927719</v>
      </c>
      <c r="AG23" s="313">
        <v>6009355</v>
      </c>
    </row>
    <row r="24" spans="1:33" ht="13.8" customHeight="1" x14ac:dyDescent="0.25">
      <c r="A24" s="283"/>
      <c r="B24" s="315" t="s">
        <v>764</v>
      </c>
      <c r="C24" s="289" t="s">
        <v>264</v>
      </c>
      <c r="D24" s="313">
        <v>750000</v>
      </c>
      <c r="E24" s="313">
        <v>645640.82999999996</v>
      </c>
      <c r="F24" s="313">
        <v>550000</v>
      </c>
      <c r="G24" s="316">
        <v>95640.829999999958</v>
      </c>
      <c r="H24" s="317" t="s">
        <v>15652</v>
      </c>
      <c r="I24" s="317" t="s">
        <v>15403</v>
      </c>
      <c r="K24" s="313">
        <v>453681.62</v>
      </c>
      <c r="L24" s="313">
        <v>453681.62</v>
      </c>
      <c r="M24" s="313">
        <v>0</v>
      </c>
      <c r="N24" s="313">
        <v>0</v>
      </c>
      <c r="O24" s="313">
        <v>0</v>
      </c>
      <c r="P24" s="313">
        <v>0</v>
      </c>
      <c r="Q24" s="313">
        <v>0</v>
      </c>
      <c r="R24" s="313">
        <v>0</v>
      </c>
      <c r="S24" s="313">
        <v>191959.21</v>
      </c>
      <c r="T24" s="313">
        <v>191959.21</v>
      </c>
      <c r="U24" s="313">
        <v>0</v>
      </c>
      <c r="V24" s="313">
        <v>0</v>
      </c>
      <c r="W24" s="313">
        <v>0</v>
      </c>
      <c r="X24" s="313">
        <v>0</v>
      </c>
      <c r="Y24" s="313">
        <v>0</v>
      </c>
      <c r="Z24" s="313">
        <v>0</v>
      </c>
      <c r="AA24" s="313">
        <v>0</v>
      </c>
      <c r="AB24" s="315"/>
      <c r="AD24" s="313">
        <v>2690326.98</v>
      </c>
      <c r="AE24" s="313">
        <v>5338800</v>
      </c>
      <c r="AF24" s="314">
        <v>0.50391979096426165</v>
      </c>
      <c r="AG24" s="313">
        <v>2648473.02</v>
      </c>
    </row>
    <row r="25" spans="1:33" ht="13.8" customHeight="1" x14ac:dyDescent="0.25">
      <c r="A25" s="283"/>
      <c r="B25" s="315" t="s">
        <v>764</v>
      </c>
      <c r="C25" s="289" t="s">
        <v>118</v>
      </c>
      <c r="D25" s="313">
        <v>1375000</v>
      </c>
      <c r="E25" s="313">
        <v>605051.04</v>
      </c>
      <c r="F25" s="313">
        <v>1375000</v>
      </c>
      <c r="G25" s="316">
        <v>0</v>
      </c>
      <c r="H25" s="317" t="s">
        <v>15404</v>
      </c>
      <c r="I25" s="317" t="s">
        <v>15403</v>
      </c>
      <c r="K25" s="313">
        <v>605051.04</v>
      </c>
      <c r="L25" s="313">
        <v>605051.04</v>
      </c>
      <c r="M25" s="313">
        <v>0</v>
      </c>
      <c r="N25" s="313">
        <v>0</v>
      </c>
      <c r="O25" s="313">
        <v>0</v>
      </c>
      <c r="P25" s="313">
        <v>0</v>
      </c>
      <c r="Q25" s="313">
        <v>0</v>
      </c>
      <c r="R25" s="313">
        <v>0</v>
      </c>
      <c r="S25" s="313">
        <v>0</v>
      </c>
      <c r="T25" s="313">
        <v>0</v>
      </c>
      <c r="U25" s="313">
        <v>0</v>
      </c>
      <c r="V25" s="313">
        <v>0</v>
      </c>
      <c r="W25" s="313">
        <v>0</v>
      </c>
      <c r="X25" s="313">
        <v>0</v>
      </c>
      <c r="Y25" s="313">
        <v>0</v>
      </c>
      <c r="Z25" s="313">
        <v>0</v>
      </c>
      <c r="AA25" s="313">
        <v>0</v>
      </c>
      <c r="AB25" s="315"/>
      <c r="AD25" s="313">
        <v>1363533.28</v>
      </c>
      <c r="AE25" s="313">
        <v>861803.51750682388</v>
      </c>
      <c r="AF25" s="314">
        <v>1.5821857909615731</v>
      </c>
      <c r="AG25" s="313">
        <v>0</v>
      </c>
    </row>
    <row r="26" spans="1:33" ht="13.8" customHeight="1" x14ac:dyDescent="0.25">
      <c r="A26" s="283"/>
      <c r="B26" s="315" t="s">
        <v>460</v>
      </c>
      <c r="C26" s="289" t="s">
        <v>448</v>
      </c>
      <c r="D26" s="313">
        <v>800000</v>
      </c>
      <c r="E26" s="313">
        <v>553728.61</v>
      </c>
      <c r="F26" s="313">
        <v>0</v>
      </c>
      <c r="G26" s="316">
        <v>553728.61</v>
      </c>
      <c r="H26" s="317" t="s">
        <v>15406</v>
      </c>
      <c r="I26" s="317" t="s">
        <v>15403</v>
      </c>
      <c r="K26" s="313">
        <v>553728.61</v>
      </c>
      <c r="L26" s="313">
        <v>456958.6</v>
      </c>
      <c r="M26" s="313">
        <v>0</v>
      </c>
      <c r="N26" s="313">
        <v>0</v>
      </c>
      <c r="O26" s="313">
        <v>0</v>
      </c>
      <c r="P26" s="313">
        <v>0</v>
      </c>
      <c r="Q26" s="313">
        <v>0</v>
      </c>
      <c r="R26" s="313">
        <v>96770.01</v>
      </c>
      <c r="S26" s="313">
        <v>0</v>
      </c>
      <c r="T26" s="313">
        <v>0</v>
      </c>
      <c r="U26" s="313">
        <v>0</v>
      </c>
      <c r="V26" s="313">
        <v>0</v>
      </c>
      <c r="W26" s="313">
        <v>0</v>
      </c>
      <c r="X26" s="313">
        <v>0</v>
      </c>
      <c r="Y26" s="313">
        <v>0</v>
      </c>
      <c r="Z26" s="313">
        <v>0</v>
      </c>
      <c r="AA26" s="313">
        <v>0</v>
      </c>
      <c r="AB26" s="315"/>
      <c r="AD26" s="313">
        <v>655665.80000000005</v>
      </c>
      <c r="AE26" s="313">
        <v>5516320.7051005745</v>
      </c>
      <c r="AF26" s="314">
        <v>0.11885926055636133</v>
      </c>
      <c r="AG26" s="313">
        <v>4860654.9051005747</v>
      </c>
    </row>
    <row r="27" spans="1:33" ht="13.8" customHeight="1" x14ac:dyDescent="0.25">
      <c r="A27" s="283"/>
      <c r="B27" s="315" t="s">
        <v>764</v>
      </c>
      <c r="C27" s="289" t="s">
        <v>119</v>
      </c>
      <c r="D27" s="313">
        <v>660000</v>
      </c>
      <c r="E27" s="313">
        <v>537697.80000000005</v>
      </c>
      <c r="F27" s="313">
        <v>660000</v>
      </c>
      <c r="G27" s="316">
        <v>0</v>
      </c>
      <c r="H27" s="317" t="s">
        <v>15404</v>
      </c>
      <c r="I27" s="317" t="s">
        <v>15403</v>
      </c>
      <c r="K27" s="313">
        <v>537697.80000000005</v>
      </c>
      <c r="L27" s="313">
        <v>0</v>
      </c>
      <c r="M27" s="313">
        <v>91784.41</v>
      </c>
      <c r="N27" s="313">
        <v>445913.39</v>
      </c>
      <c r="O27" s="313">
        <v>0</v>
      </c>
      <c r="P27" s="313">
        <v>0</v>
      </c>
      <c r="Q27" s="313">
        <v>0</v>
      </c>
      <c r="R27" s="313">
        <v>0</v>
      </c>
      <c r="S27" s="313">
        <v>0</v>
      </c>
      <c r="T27" s="313">
        <v>0</v>
      </c>
      <c r="U27" s="313">
        <v>0</v>
      </c>
      <c r="V27" s="313">
        <v>0</v>
      </c>
      <c r="W27" s="313">
        <v>0</v>
      </c>
      <c r="X27" s="313">
        <v>0</v>
      </c>
      <c r="Y27" s="313">
        <v>0</v>
      </c>
      <c r="Z27" s="313">
        <v>0</v>
      </c>
      <c r="AA27" s="313">
        <v>0</v>
      </c>
      <c r="AB27" s="315"/>
      <c r="AD27" s="313">
        <v>751415.52</v>
      </c>
      <c r="AE27" s="313">
        <v>3026070.6338235871</v>
      </c>
      <c r="AF27" s="314">
        <v>0.24831393940416718</v>
      </c>
      <c r="AG27" s="313">
        <v>2274655.1138235871</v>
      </c>
    </row>
    <row r="28" spans="1:33" ht="13.8" customHeight="1" x14ac:dyDescent="0.25">
      <c r="A28" s="283"/>
      <c r="B28" s="315" t="s">
        <v>460</v>
      </c>
      <c r="C28" s="289" t="s">
        <v>616</v>
      </c>
      <c r="D28" s="313">
        <v>3500000</v>
      </c>
      <c r="E28" s="313">
        <v>526852.5</v>
      </c>
      <c r="F28" s="313">
        <v>3500000</v>
      </c>
      <c r="G28" s="316">
        <v>0</v>
      </c>
      <c r="H28" s="317" t="s">
        <v>15404</v>
      </c>
      <c r="I28" s="317" t="s">
        <v>15403</v>
      </c>
      <c r="K28" s="313">
        <v>526852.5</v>
      </c>
      <c r="L28" s="313">
        <v>526852.5</v>
      </c>
      <c r="M28" s="313">
        <v>0</v>
      </c>
      <c r="N28" s="313">
        <v>0</v>
      </c>
      <c r="O28" s="313">
        <v>0</v>
      </c>
      <c r="P28" s="313">
        <v>0</v>
      </c>
      <c r="Q28" s="313">
        <v>0</v>
      </c>
      <c r="R28" s="313">
        <v>0</v>
      </c>
      <c r="S28" s="313">
        <v>0</v>
      </c>
      <c r="T28" s="313">
        <v>0</v>
      </c>
      <c r="U28" s="313">
        <v>0</v>
      </c>
      <c r="V28" s="313">
        <v>0</v>
      </c>
      <c r="W28" s="313">
        <v>0</v>
      </c>
      <c r="X28" s="313">
        <v>0</v>
      </c>
      <c r="Y28" s="313">
        <v>0</v>
      </c>
      <c r="Z28" s="313">
        <v>0</v>
      </c>
      <c r="AA28" s="313">
        <v>0</v>
      </c>
      <c r="AB28" s="315"/>
      <c r="AD28" s="313">
        <v>5533915.6600000001</v>
      </c>
      <c r="AE28" s="313">
        <v>13156098.441486135</v>
      </c>
      <c r="AF28" s="314">
        <v>0.42063501459896946</v>
      </c>
      <c r="AG28" s="313">
        <v>7622182.781486135</v>
      </c>
    </row>
    <row r="29" spans="1:33" ht="13.8" customHeight="1" x14ac:dyDescent="0.25">
      <c r="A29" s="283"/>
      <c r="B29" s="315" t="s">
        <v>460</v>
      </c>
      <c r="C29" s="289" t="s">
        <v>583</v>
      </c>
      <c r="D29" s="313">
        <v>1500000</v>
      </c>
      <c r="E29" s="313">
        <v>519608.6</v>
      </c>
      <c r="F29" s="313">
        <v>1500000</v>
      </c>
      <c r="G29" s="316">
        <v>0</v>
      </c>
      <c r="H29" s="317" t="s">
        <v>15404</v>
      </c>
      <c r="I29" s="317" t="s">
        <v>15403</v>
      </c>
      <c r="K29" s="313">
        <v>519608.6</v>
      </c>
      <c r="L29" s="313">
        <v>394528.6</v>
      </c>
      <c r="M29" s="313">
        <v>125080</v>
      </c>
      <c r="N29" s="313">
        <v>0</v>
      </c>
      <c r="O29" s="313">
        <v>0</v>
      </c>
      <c r="P29" s="313">
        <v>0</v>
      </c>
      <c r="Q29" s="313">
        <v>0</v>
      </c>
      <c r="R29" s="313">
        <v>0</v>
      </c>
      <c r="S29" s="313">
        <v>0</v>
      </c>
      <c r="T29" s="313">
        <v>0</v>
      </c>
      <c r="U29" s="313">
        <v>0</v>
      </c>
      <c r="V29" s="313">
        <v>0</v>
      </c>
      <c r="W29" s="313">
        <v>0</v>
      </c>
      <c r="X29" s="313">
        <v>0</v>
      </c>
      <c r="Y29" s="313">
        <v>0</v>
      </c>
      <c r="Z29" s="313">
        <v>0</v>
      </c>
      <c r="AA29" s="313">
        <v>0</v>
      </c>
      <c r="AB29" s="315"/>
      <c r="AD29" s="313">
        <v>586679.79999999993</v>
      </c>
      <c r="AE29" s="313">
        <v>0</v>
      </c>
      <c r="AF29" s="314" t="s">
        <v>15403</v>
      </c>
      <c r="AG29" s="313">
        <v>0</v>
      </c>
    </row>
    <row r="30" spans="1:33" ht="13.8" customHeight="1" x14ac:dyDescent="0.25">
      <c r="A30" s="283"/>
      <c r="B30" s="315" t="s">
        <v>460</v>
      </c>
      <c r="C30" s="289" t="s">
        <v>356</v>
      </c>
      <c r="D30" s="313">
        <v>4500000</v>
      </c>
      <c r="E30" s="313">
        <v>462929.8</v>
      </c>
      <c r="F30" s="313">
        <v>4500000</v>
      </c>
      <c r="G30" s="316">
        <v>0</v>
      </c>
      <c r="H30" s="317" t="s">
        <v>15404</v>
      </c>
      <c r="I30" s="317" t="s">
        <v>15403</v>
      </c>
      <c r="K30" s="313">
        <v>462929.8</v>
      </c>
      <c r="L30" s="313">
        <v>462929.8</v>
      </c>
      <c r="M30" s="313">
        <v>0</v>
      </c>
      <c r="N30" s="313">
        <v>0</v>
      </c>
      <c r="O30" s="313">
        <v>0</v>
      </c>
      <c r="P30" s="313">
        <v>0</v>
      </c>
      <c r="Q30" s="313">
        <v>0</v>
      </c>
      <c r="R30" s="313">
        <v>0</v>
      </c>
      <c r="S30" s="313">
        <v>0</v>
      </c>
      <c r="T30" s="313">
        <v>0</v>
      </c>
      <c r="U30" s="313">
        <v>0</v>
      </c>
      <c r="V30" s="313">
        <v>0</v>
      </c>
      <c r="W30" s="313">
        <v>0</v>
      </c>
      <c r="X30" s="313">
        <v>0</v>
      </c>
      <c r="Y30" s="313">
        <v>0</v>
      </c>
      <c r="Z30" s="313">
        <v>0</v>
      </c>
      <c r="AA30" s="313">
        <v>0</v>
      </c>
      <c r="AB30" s="315"/>
      <c r="AD30" s="313">
        <v>7436152.2000000002</v>
      </c>
      <c r="AE30" s="313">
        <v>21677673.263223819</v>
      </c>
      <c r="AF30" s="314">
        <v>0.34303276508071717</v>
      </c>
      <c r="AG30" s="313">
        <v>14241521.06322382</v>
      </c>
    </row>
    <row r="31" spans="1:33" ht="13.8" customHeight="1" x14ac:dyDescent="0.25">
      <c r="A31" s="283"/>
      <c r="B31" s="315" t="s">
        <v>460</v>
      </c>
      <c r="C31" s="289" t="s">
        <v>353</v>
      </c>
      <c r="D31" s="313">
        <v>4000000</v>
      </c>
      <c r="E31" s="313">
        <v>405140</v>
      </c>
      <c r="F31" s="313">
        <v>4000000</v>
      </c>
      <c r="G31" s="316">
        <v>0</v>
      </c>
      <c r="H31" s="317" t="s">
        <v>15404</v>
      </c>
      <c r="I31" s="317" t="s">
        <v>15403</v>
      </c>
      <c r="K31" s="313">
        <v>405140</v>
      </c>
      <c r="L31" s="313">
        <v>268136.7</v>
      </c>
      <c r="M31" s="313">
        <v>137003.29999999999</v>
      </c>
      <c r="N31" s="313">
        <v>0</v>
      </c>
      <c r="O31" s="313">
        <v>0</v>
      </c>
      <c r="P31" s="313">
        <v>0</v>
      </c>
      <c r="Q31" s="313">
        <v>0</v>
      </c>
      <c r="R31" s="313">
        <v>0</v>
      </c>
      <c r="S31" s="313">
        <v>0</v>
      </c>
      <c r="T31" s="313">
        <v>0</v>
      </c>
      <c r="U31" s="313">
        <v>0</v>
      </c>
      <c r="V31" s="313">
        <v>0</v>
      </c>
      <c r="W31" s="313">
        <v>0</v>
      </c>
      <c r="X31" s="313">
        <v>0</v>
      </c>
      <c r="Y31" s="313">
        <v>0</v>
      </c>
      <c r="Z31" s="313">
        <v>0</v>
      </c>
      <c r="AA31" s="313">
        <v>0</v>
      </c>
      <c r="AB31" s="315"/>
      <c r="AD31" s="313">
        <v>591583.9</v>
      </c>
      <c r="AE31" s="313">
        <v>7894479.6086200597</v>
      </c>
      <c r="AF31" s="314">
        <v>7.493640231257849E-2</v>
      </c>
      <c r="AG31" s="313">
        <v>7302895.7086200593</v>
      </c>
    </row>
    <row r="32" spans="1:33" ht="13.8" customHeight="1" x14ac:dyDescent="0.25">
      <c r="A32" s="283"/>
      <c r="B32" s="315" t="s">
        <v>460</v>
      </c>
      <c r="C32" s="289" t="s">
        <v>355</v>
      </c>
      <c r="D32" s="313">
        <v>1158000</v>
      </c>
      <c r="E32" s="313">
        <v>388925.8</v>
      </c>
      <c r="F32" s="313">
        <v>1158000</v>
      </c>
      <c r="G32" s="316">
        <v>0</v>
      </c>
      <c r="H32" s="317" t="s">
        <v>15404</v>
      </c>
      <c r="I32" s="317" t="s">
        <v>15403</v>
      </c>
      <c r="K32" s="313">
        <v>388925.8</v>
      </c>
      <c r="L32" s="313">
        <v>388925.8</v>
      </c>
      <c r="M32" s="313">
        <v>0</v>
      </c>
      <c r="N32" s="313">
        <v>0</v>
      </c>
      <c r="O32" s="313">
        <v>0</v>
      </c>
      <c r="P32" s="313">
        <v>0</v>
      </c>
      <c r="Q32" s="313">
        <v>0</v>
      </c>
      <c r="R32" s="313">
        <v>0</v>
      </c>
      <c r="S32" s="313">
        <v>0</v>
      </c>
      <c r="T32" s="313">
        <v>0</v>
      </c>
      <c r="U32" s="313">
        <v>0</v>
      </c>
      <c r="V32" s="313">
        <v>0</v>
      </c>
      <c r="W32" s="313">
        <v>0</v>
      </c>
      <c r="X32" s="313">
        <v>0</v>
      </c>
      <c r="Y32" s="313">
        <v>0</v>
      </c>
      <c r="Z32" s="313">
        <v>0</v>
      </c>
      <c r="AA32" s="313">
        <v>0</v>
      </c>
      <c r="AB32" s="315"/>
      <c r="AD32" s="313">
        <v>2142468.7000000002</v>
      </c>
      <c r="AE32" s="313">
        <v>6784771.8209435269</v>
      </c>
      <c r="AF32" s="314">
        <v>0.3157760874708469</v>
      </c>
      <c r="AG32" s="313">
        <v>4642303.1209435267</v>
      </c>
    </row>
    <row r="33" spans="1:33" ht="13.8" customHeight="1" x14ac:dyDescent="0.25">
      <c r="A33" s="283"/>
      <c r="B33" s="315" t="s">
        <v>460</v>
      </c>
      <c r="C33" s="289" t="s">
        <v>73</v>
      </c>
      <c r="D33" s="313">
        <v>3000000</v>
      </c>
      <c r="E33" s="313">
        <v>382561.45</v>
      </c>
      <c r="F33" s="313">
        <v>3000000</v>
      </c>
      <c r="G33" s="316">
        <v>0</v>
      </c>
      <c r="H33" s="317" t="s">
        <v>15404</v>
      </c>
      <c r="I33" s="317" t="s">
        <v>15403</v>
      </c>
      <c r="K33" s="313">
        <v>382561.45</v>
      </c>
      <c r="L33" s="313">
        <v>0</v>
      </c>
      <c r="M33" s="313">
        <v>382561.45</v>
      </c>
      <c r="N33" s="313">
        <v>0</v>
      </c>
      <c r="O33" s="313">
        <v>0</v>
      </c>
      <c r="P33" s="313">
        <v>0</v>
      </c>
      <c r="Q33" s="313">
        <v>0</v>
      </c>
      <c r="R33" s="313">
        <v>0</v>
      </c>
      <c r="S33" s="313">
        <v>0</v>
      </c>
      <c r="T33" s="313">
        <v>0</v>
      </c>
      <c r="U33" s="313">
        <v>0</v>
      </c>
      <c r="V33" s="313">
        <v>0</v>
      </c>
      <c r="W33" s="313">
        <v>0</v>
      </c>
      <c r="X33" s="313">
        <v>0</v>
      </c>
      <c r="Y33" s="313">
        <v>0</v>
      </c>
      <c r="Z33" s="313">
        <v>0</v>
      </c>
      <c r="AA33" s="313">
        <v>0</v>
      </c>
      <c r="AB33" s="315"/>
      <c r="AD33" s="313">
        <v>1213578.58</v>
      </c>
      <c r="AE33" s="313">
        <v>7705567.6510679973</v>
      </c>
      <c r="AF33" s="314">
        <v>0.15749372855506591</v>
      </c>
      <c r="AG33" s="313">
        <v>6491989.0710679973</v>
      </c>
    </row>
    <row r="34" spans="1:33" ht="13.8" customHeight="1" x14ac:dyDescent="0.25">
      <c r="A34" s="283"/>
      <c r="B34" s="315" t="s">
        <v>460</v>
      </c>
      <c r="C34" s="289" t="s">
        <v>490</v>
      </c>
      <c r="D34" s="313">
        <v>3000000</v>
      </c>
      <c r="E34" s="313">
        <v>381559.2</v>
      </c>
      <c r="F34" s="313">
        <v>3000000</v>
      </c>
      <c r="G34" s="316">
        <v>0</v>
      </c>
      <c r="H34" s="317" t="s">
        <v>15404</v>
      </c>
      <c r="I34" s="317" t="s">
        <v>15403</v>
      </c>
      <c r="K34" s="313">
        <v>381559.2</v>
      </c>
      <c r="L34" s="313">
        <v>381559.2</v>
      </c>
      <c r="M34" s="313">
        <v>0</v>
      </c>
      <c r="N34" s="313">
        <v>0</v>
      </c>
      <c r="O34" s="313">
        <v>0</v>
      </c>
      <c r="P34" s="313">
        <v>0</v>
      </c>
      <c r="Q34" s="313">
        <v>0</v>
      </c>
      <c r="R34" s="313">
        <v>0</v>
      </c>
      <c r="S34" s="313">
        <v>0</v>
      </c>
      <c r="T34" s="313">
        <v>0</v>
      </c>
      <c r="U34" s="313">
        <v>0</v>
      </c>
      <c r="V34" s="313">
        <v>0</v>
      </c>
      <c r="W34" s="313">
        <v>0</v>
      </c>
      <c r="X34" s="313">
        <v>0</v>
      </c>
      <c r="Y34" s="313">
        <v>0</v>
      </c>
      <c r="Z34" s="313">
        <v>0</v>
      </c>
      <c r="AA34" s="313">
        <v>0</v>
      </c>
      <c r="AB34" s="315"/>
      <c r="AD34" s="313">
        <v>3877846.04</v>
      </c>
      <c r="AE34" s="313">
        <v>20767516.844419491</v>
      </c>
      <c r="AF34" s="314">
        <v>0.18672651473216592</v>
      </c>
      <c r="AG34" s="313">
        <v>16889670.804419491</v>
      </c>
    </row>
    <row r="35" spans="1:33" ht="13.8" customHeight="1" x14ac:dyDescent="0.25">
      <c r="A35" s="283"/>
      <c r="B35" s="315" t="s">
        <v>306</v>
      </c>
      <c r="C35" s="289" t="s">
        <v>330</v>
      </c>
      <c r="D35" s="313">
        <v>0</v>
      </c>
      <c r="E35" s="313">
        <v>329327.90999999997</v>
      </c>
      <c r="F35" s="313">
        <v>0</v>
      </c>
      <c r="G35" s="316">
        <v>329327.90999999997</v>
      </c>
      <c r="H35" s="317" t="s">
        <v>15405</v>
      </c>
      <c r="I35" s="317" t="s">
        <v>15391</v>
      </c>
      <c r="K35" s="313">
        <v>0</v>
      </c>
      <c r="L35" s="313">
        <v>0</v>
      </c>
      <c r="M35" s="313">
        <v>0</v>
      </c>
      <c r="N35" s="313">
        <v>0</v>
      </c>
      <c r="O35" s="313">
        <v>0</v>
      </c>
      <c r="P35" s="313">
        <v>0</v>
      </c>
      <c r="Q35" s="313">
        <v>0</v>
      </c>
      <c r="R35" s="313">
        <v>0</v>
      </c>
      <c r="S35" s="313">
        <v>329327.90999999997</v>
      </c>
      <c r="T35" s="313">
        <v>0</v>
      </c>
      <c r="U35" s="313">
        <v>329327.90999999997</v>
      </c>
      <c r="V35" s="313">
        <v>0</v>
      </c>
      <c r="W35" s="313">
        <v>0</v>
      </c>
      <c r="X35" s="313">
        <v>0</v>
      </c>
      <c r="Y35" s="313">
        <v>0</v>
      </c>
      <c r="Z35" s="313">
        <v>0</v>
      </c>
      <c r="AA35" s="313">
        <v>0</v>
      </c>
      <c r="AB35" s="315"/>
      <c r="AD35" s="313">
        <v>0</v>
      </c>
      <c r="AE35" s="313">
        <v>268305.82122705691</v>
      </c>
      <c r="AF35" s="314">
        <v>0</v>
      </c>
      <c r="AG35" s="313">
        <v>268305.82122705691</v>
      </c>
    </row>
    <row r="36" spans="1:33" ht="13.8" customHeight="1" x14ac:dyDescent="0.25">
      <c r="A36" s="283"/>
      <c r="B36" s="315" t="s">
        <v>460</v>
      </c>
      <c r="C36" s="289" t="s">
        <v>526</v>
      </c>
      <c r="D36" s="313">
        <v>700000</v>
      </c>
      <c r="E36" s="313">
        <v>317275</v>
      </c>
      <c r="F36" s="313">
        <v>700000</v>
      </c>
      <c r="G36" s="316">
        <v>0</v>
      </c>
      <c r="H36" s="317" t="s">
        <v>15404</v>
      </c>
      <c r="I36" s="317" t="s">
        <v>15403</v>
      </c>
      <c r="K36" s="313">
        <v>317275</v>
      </c>
      <c r="L36" s="313">
        <v>317275</v>
      </c>
      <c r="M36" s="313">
        <v>0</v>
      </c>
      <c r="N36" s="313">
        <v>0</v>
      </c>
      <c r="O36" s="313">
        <v>0</v>
      </c>
      <c r="P36" s="313">
        <v>0</v>
      </c>
      <c r="Q36" s="313">
        <v>0</v>
      </c>
      <c r="R36" s="313">
        <v>0</v>
      </c>
      <c r="S36" s="313">
        <v>0</v>
      </c>
      <c r="T36" s="313">
        <v>0</v>
      </c>
      <c r="U36" s="313">
        <v>0</v>
      </c>
      <c r="V36" s="313">
        <v>0</v>
      </c>
      <c r="W36" s="313">
        <v>0</v>
      </c>
      <c r="X36" s="313">
        <v>0</v>
      </c>
      <c r="Y36" s="313">
        <v>0</v>
      </c>
      <c r="Z36" s="313">
        <v>0</v>
      </c>
      <c r="AA36" s="313">
        <v>0</v>
      </c>
      <c r="AB36" s="315"/>
      <c r="AD36" s="313">
        <v>1256610</v>
      </c>
      <c r="AE36" s="313">
        <v>1601244.8234414661</v>
      </c>
      <c r="AF36" s="314">
        <v>0.78477068690797591</v>
      </c>
      <c r="AG36" s="313">
        <v>344634.82344146608</v>
      </c>
    </row>
    <row r="37" spans="1:33" ht="13.8" customHeight="1" x14ac:dyDescent="0.25">
      <c r="A37" s="283"/>
      <c r="B37" s="315" t="s">
        <v>764</v>
      </c>
      <c r="C37" s="289" t="s">
        <v>114</v>
      </c>
      <c r="D37" s="313">
        <v>1650000</v>
      </c>
      <c r="E37" s="313">
        <v>307440.64999999997</v>
      </c>
      <c r="F37" s="313">
        <v>1650000</v>
      </c>
      <c r="G37" s="316">
        <v>0</v>
      </c>
      <c r="H37" s="317" t="s">
        <v>15404</v>
      </c>
      <c r="I37" s="317" t="s">
        <v>15403</v>
      </c>
      <c r="K37" s="313">
        <v>307440.64999999997</v>
      </c>
      <c r="L37" s="313">
        <v>307440.64999999997</v>
      </c>
      <c r="M37" s="313">
        <v>0</v>
      </c>
      <c r="N37" s="313">
        <v>0</v>
      </c>
      <c r="O37" s="313">
        <v>0</v>
      </c>
      <c r="P37" s="313">
        <v>0</v>
      </c>
      <c r="Q37" s="313">
        <v>0</v>
      </c>
      <c r="R37" s="313">
        <v>0</v>
      </c>
      <c r="S37" s="313">
        <v>0</v>
      </c>
      <c r="T37" s="313">
        <v>0</v>
      </c>
      <c r="U37" s="313">
        <v>0</v>
      </c>
      <c r="V37" s="313">
        <v>0</v>
      </c>
      <c r="W37" s="313">
        <v>0</v>
      </c>
      <c r="X37" s="313">
        <v>0</v>
      </c>
      <c r="Y37" s="313">
        <v>0</v>
      </c>
      <c r="Z37" s="313">
        <v>0</v>
      </c>
      <c r="AA37" s="313">
        <v>0</v>
      </c>
      <c r="AB37" s="315"/>
      <c r="AD37" s="313">
        <v>1985542.69</v>
      </c>
      <c r="AE37" s="313">
        <v>3498901</v>
      </c>
      <c r="AF37" s="314">
        <v>0.56747609892363349</v>
      </c>
      <c r="AG37" s="313">
        <v>1513358.31</v>
      </c>
    </row>
    <row r="38" spans="1:33" ht="13.8" customHeight="1" x14ac:dyDescent="0.25">
      <c r="A38" s="283"/>
      <c r="B38" s="315" t="s">
        <v>306</v>
      </c>
      <c r="C38" s="289" t="s">
        <v>466</v>
      </c>
      <c r="D38" s="313">
        <v>1000000</v>
      </c>
      <c r="E38" s="313">
        <v>299642.08</v>
      </c>
      <c r="F38" s="313">
        <v>1000000</v>
      </c>
      <c r="G38" s="316">
        <v>0</v>
      </c>
      <c r="H38" s="317" t="s">
        <v>15404</v>
      </c>
      <c r="I38" s="317" t="s">
        <v>15403</v>
      </c>
      <c r="K38" s="313">
        <v>299642.08</v>
      </c>
      <c r="L38" s="313">
        <v>0</v>
      </c>
      <c r="M38" s="313">
        <v>0</v>
      </c>
      <c r="N38" s="313">
        <v>0</v>
      </c>
      <c r="O38" s="313">
        <v>0</v>
      </c>
      <c r="P38" s="313">
        <v>299642.08</v>
      </c>
      <c r="Q38" s="313">
        <v>0</v>
      </c>
      <c r="R38" s="313">
        <v>0</v>
      </c>
      <c r="S38" s="313">
        <v>0</v>
      </c>
      <c r="T38" s="313">
        <v>0</v>
      </c>
      <c r="U38" s="313">
        <v>0</v>
      </c>
      <c r="V38" s="313">
        <v>0</v>
      </c>
      <c r="W38" s="313">
        <v>0</v>
      </c>
      <c r="X38" s="313">
        <v>0</v>
      </c>
      <c r="Y38" s="313">
        <v>0</v>
      </c>
      <c r="Z38" s="313">
        <v>0</v>
      </c>
      <c r="AA38" s="313">
        <v>0</v>
      </c>
      <c r="AB38" s="315"/>
      <c r="AD38" s="313">
        <v>299642.08</v>
      </c>
      <c r="AE38" s="313">
        <v>5393775.0200461913</v>
      </c>
      <c r="AF38" s="314">
        <v>5.5553314494276765E-2</v>
      </c>
      <c r="AG38" s="313">
        <v>5094132.9400461912</v>
      </c>
    </row>
    <row r="39" spans="1:33" ht="13.8" customHeight="1" x14ac:dyDescent="0.25">
      <c r="A39" s="283"/>
      <c r="B39" s="315" t="s">
        <v>306</v>
      </c>
      <c r="C39" s="289" t="s">
        <v>784</v>
      </c>
      <c r="D39" s="313">
        <v>3000000</v>
      </c>
      <c r="E39" s="313">
        <v>291024.86</v>
      </c>
      <c r="F39" s="313">
        <v>3000000</v>
      </c>
      <c r="G39" s="316">
        <v>0</v>
      </c>
      <c r="H39" s="317" t="s">
        <v>15404</v>
      </c>
      <c r="I39" s="317" t="s">
        <v>15403</v>
      </c>
      <c r="K39" s="313">
        <v>291024.86</v>
      </c>
      <c r="L39" s="313">
        <v>72587.789999999994</v>
      </c>
      <c r="M39" s="313">
        <v>218437.07</v>
      </c>
      <c r="N39" s="313">
        <v>0</v>
      </c>
      <c r="O39" s="313">
        <v>0</v>
      </c>
      <c r="P39" s="313">
        <v>0</v>
      </c>
      <c r="Q39" s="313">
        <v>0</v>
      </c>
      <c r="R39" s="313">
        <v>0</v>
      </c>
      <c r="S39" s="313">
        <v>0</v>
      </c>
      <c r="T39" s="313">
        <v>0</v>
      </c>
      <c r="U39" s="313">
        <v>0</v>
      </c>
      <c r="V39" s="313">
        <v>0</v>
      </c>
      <c r="W39" s="313">
        <v>0</v>
      </c>
      <c r="X39" s="313">
        <v>0</v>
      </c>
      <c r="Y39" s="313">
        <v>0</v>
      </c>
      <c r="Z39" s="313">
        <v>0</v>
      </c>
      <c r="AA39" s="313">
        <v>0</v>
      </c>
      <c r="AB39" s="315"/>
      <c r="AD39" s="313">
        <v>953390.54</v>
      </c>
      <c r="AE39" s="313">
        <v>4007620.8143715397</v>
      </c>
      <c r="AF39" s="314">
        <v>0.23789439773870102</v>
      </c>
      <c r="AG39" s="313">
        <v>3054230.2743715397</v>
      </c>
    </row>
    <row r="40" spans="1:33" ht="13.8" customHeight="1" x14ac:dyDescent="0.25">
      <c r="A40" s="283"/>
      <c r="B40" s="315" t="s">
        <v>764</v>
      </c>
      <c r="C40" s="289" t="s">
        <v>333</v>
      </c>
      <c r="D40" s="313">
        <v>990000</v>
      </c>
      <c r="E40" s="313">
        <v>265042.57999999996</v>
      </c>
      <c r="F40" s="313">
        <v>990000</v>
      </c>
      <c r="G40" s="316">
        <v>0</v>
      </c>
      <c r="H40" s="317" t="s">
        <v>15404</v>
      </c>
      <c r="I40" s="317" t="s">
        <v>15403</v>
      </c>
      <c r="K40" s="313">
        <v>265042.57999999996</v>
      </c>
      <c r="L40" s="313">
        <v>265042.57999999996</v>
      </c>
      <c r="M40" s="313">
        <v>0</v>
      </c>
      <c r="N40" s="313">
        <v>0</v>
      </c>
      <c r="O40" s="313">
        <v>0</v>
      </c>
      <c r="P40" s="313">
        <v>0</v>
      </c>
      <c r="Q40" s="313">
        <v>0</v>
      </c>
      <c r="R40" s="313">
        <v>0</v>
      </c>
      <c r="S40" s="313">
        <v>0</v>
      </c>
      <c r="T40" s="313">
        <v>0</v>
      </c>
      <c r="U40" s="313">
        <v>0</v>
      </c>
      <c r="V40" s="313">
        <v>0</v>
      </c>
      <c r="W40" s="313">
        <v>0</v>
      </c>
      <c r="X40" s="313">
        <v>0</v>
      </c>
      <c r="Y40" s="313">
        <v>0</v>
      </c>
      <c r="Z40" s="313">
        <v>0</v>
      </c>
      <c r="AA40" s="313">
        <v>0</v>
      </c>
      <c r="AB40" s="315"/>
      <c r="AD40" s="313">
        <v>1411238.72</v>
      </c>
      <c r="AE40" s="313">
        <v>2201656.3090389939</v>
      </c>
      <c r="AF40" s="314">
        <v>0.64098956508611227</v>
      </c>
      <c r="AG40" s="313">
        <v>790417.58903899393</v>
      </c>
    </row>
    <row r="41" spans="1:33" ht="13.8" customHeight="1" x14ac:dyDescent="0.25">
      <c r="A41" s="283"/>
      <c r="B41" s="315" t="s">
        <v>764</v>
      </c>
      <c r="C41" s="289" t="s">
        <v>162</v>
      </c>
      <c r="D41" s="313">
        <v>275000</v>
      </c>
      <c r="E41" s="313">
        <v>264834.83999999997</v>
      </c>
      <c r="F41" s="313">
        <v>275000</v>
      </c>
      <c r="G41" s="316">
        <v>0</v>
      </c>
      <c r="H41" s="317" t="s">
        <v>15404</v>
      </c>
      <c r="I41" s="317" t="s">
        <v>15403</v>
      </c>
      <c r="K41" s="313">
        <v>131282.87</v>
      </c>
      <c r="L41" s="313">
        <v>0</v>
      </c>
      <c r="M41" s="313">
        <v>131282.87</v>
      </c>
      <c r="N41" s="313">
        <v>0</v>
      </c>
      <c r="O41" s="313">
        <v>0</v>
      </c>
      <c r="P41" s="313">
        <v>0</v>
      </c>
      <c r="Q41" s="313">
        <v>0</v>
      </c>
      <c r="R41" s="313">
        <v>0</v>
      </c>
      <c r="S41" s="313">
        <v>133551.97</v>
      </c>
      <c r="T41" s="313">
        <v>133551.97</v>
      </c>
      <c r="U41" s="313">
        <v>0</v>
      </c>
      <c r="V41" s="313">
        <v>0</v>
      </c>
      <c r="W41" s="313">
        <v>0</v>
      </c>
      <c r="X41" s="313">
        <v>0</v>
      </c>
      <c r="Y41" s="313">
        <v>0</v>
      </c>
      <c r="Z41" s="313">
        <v>0</v>
      </c>
      <c r="AA41" s="313">
        <v>0</v>
      </c>
      <c r="AB41" s="315"/>
      <c r="AD41" s="313">
        <v>264834.83999999997</v>
      </c>
      <c r="AE41" s="313">
        <v>519392</v>
      </c>
      <c r="AF41" s="314">
        <v>0.50989395292957918</v>
      </c>
      <c r="AG41" s="313">
        <v>254557.16000000003</v>
      </c>
    </row>
    <row r="42" spans="1:33" ht="13.8" customHeight="1" x14ac:dyDescent="0.25">
      <c r="A42" s="283"/>
      <c r="B42" s="315" t="s">
        <v>460</v>
      </c>
      <c r="C42" s="289" t="s">
        <v>399</v>
      </c>
      <c r="D42" s="313">
        <v>300000</v>
      </c>
      <c r="E42" s="313">
        <v>242565.88</v>
      </c>
      <c r="F42" s="313">
        <v>0</v>
      </c>
      <c r="G42" s="316">
        <v>242565.88</v>
      </c>
      <c r="H42" s="317" t="s">
        <v>15406</v>
      </c>
      <c r="I42" s="317" t="s">
        <v>15403</v>
      </c>
      <c r="K42" s="313">
        <v>242565.88</v>
      </c>
      <c r="L42" s="313">
        <v>121282.94</v>
      </c>
      <c r="M42" s="313">
        <v>121282.94</v>
      </c>
      <c r="N42" s="313">
        <v>0</v>
      </c>
      <c r="O42" s="313">
        <v>0</v>
      </c>
      <c r="P42" s="313">
        <v>0</v>
      </c>
      <c r="Q42" s="313">
        <v>0</v>
      </c>
      <c r="R42" s="313">
        <v>0</v>
      </c>
      <c r="S42" s="313">
        <v>0</v>
      </c>
      <c r="T42" s="313">
        <v>0</v>
      </c>
      <c r="U42" s="313">
        <v>0</v>
      </c>
      <c r="V42" s="313">
        <v>0</v>
      </c>
      <c r="W42" s="313">
        <v>0</v>
      </c>
      <c r="X42" s="313">
        <v>0</v>
      </c>
      <c r="Y42" s="313">
        <v>0</v>
      </c>
      <c r="Z42" s="313">
        <v>0</v>
      </c>
      <c r="AA42" s="313">
        <v>0</v>
      </c>
      <c r="AB42" s="315"/>
      <c r="AD42" s="313">
        <v>560565.88</v>
      </c>
      <c r="AE42" s="313">
        <v>2267031.1374715315</v>
      </c>
      <c r="AF42" s="314">
        <v>0.24726871666403805</v>
      </c>
      <c r="AG42" s="313">
        <v>1706465.2574715316</v>
      </c>
    </row>
    <row r="43" spans="1:33" ht="13.8" customHeight="1" x14ac:dyDescent="0.25">
      <c r="A43" s="283"/>
      <c r="B43" s="315" t="s">
        <v>589</v>
      </c>
      <c r="C43" s="289" t="s">
        <v>366</v>
      </c>
      <c r="D43" s="313">
        <v>0</v>
      </c>
      <c r="E43" s="313">
        <v>237309.12</v>
      </c>
      <c r="F43" s="313">
        <v>0</v>
      </c>
      <c r="G43" s="316">
        <v>237309.12</v>
      </c>
      <c r="H43" s="317" t="s">
        <v>15402</v>
      </c>
      <c r="I43" s="317" t="s">
        <v>15403</v>
      </c>
      <c r="K43" s="313">
        <v>0</v>
      </c>
      <c r="L43" s="313">
        <v>0</v>
      </c>
      <c r="M43" s="313">
        <v>0</v>
      </c>
      <c r="N43" s="313">
        <v>0</v>
      </c>
      <c r="O43" s="313">
        <v>0</v>
      </c>
      <c r="P43" s="313">
        <v>0</v>
      </c>
      <c r="Q43" s="313">
        <v>0</v>
      </c>
      <c r="R43" s="313">
        <v>0</v>
      </c>
      <c r="S43" s="313">
        <v>0</v>
      </c>
      <c r="T43" s="313">
        <v>0</v>
      </c>
      <c r="U43" s="313">
        <v>0</v>
      </c>
      <c r="V43" s="313">
        <v>0</v>
      </c>
      <c r="W43" s="313">
        <v>0</v>
      </c>
      <c r="X43" s="313">
        <v>0</v>
      </c>
      <c r="Y43" s="313">
        <v>0</v>
      </c>
      <c r="Z43" s="313">
        <v>0</v>
      </c>
      <c r="AA43" s="313">
        <v>237309.12</v>
      </c>
      <c r="AB43" s="315"/>
      <c r="AD43" s="313">
        <v>0</v>
      </c>
      <c r="AE43" s="313">
        <v>0</v>
      </c>
      <c r="AF43" s="314" t="s">
        <v>15403</v>
      </c>
      <c r="AG43" s="313">
        <v>0</v>
      </c>
    </row>
    <row r="44" spans="1:33" ht="13.8" customHeight="1" x14ac:dyDescent="0.25">
      <c r="A44" s="283"/>
      <c r="B44" s="289" t="s">
        <v>460</v>
      </c>
      <c r="C44" s="289" t="s">
        <v>55</v>
      </c>
      <c r="D44" s="318">
        <v>270000</v>
      </c>
      <c r="E44" s="318">
        <v>228927.4</v>
      </c>
      <c r="F44" s="318">
        <v>0</v>
      </c>
      <c r="G44" s="319">
        <v>228927.4</v>
      </c>
      <c r="H44" s="317" t="s">
        <v>15406</v>
      </c>
      <c r="I44" s="317" t="s">
        <v>15392</v>
      </c>
      <c r="J44" s="320"/>
      <c r="K44" s="318">
        <v>152607</v>
      </c>
      <c r="L44" s="313">
        <v>76134.5</v>
      </c>
      <c r="M44" s="313">
        <v>76472.5</v>
      </c>
      <c r="N44" s="313">
        <v>0</v>
      </c>
      <c r="O44" s="313">
        <v>0</v>
      </c>
      <c r="P44" s="313">
        <v>0</v>
      </c>
      <c r="Q44" s="313">
        <v>0</v>
      </c>
      <c r="R44" s="313">
        <v>0</v>
      </c>
      <c r="S44" s="318">
        <v>76320.399999999994</v>
      </c>
      <c r="T44" s="313">
        <v>76320.399999999994</v>
      </c>
      <c r="U44" s="313">
        <v>0</v>
      </c>
      <c r="V44" s="313">
        <v>0</v>
      </c>
      <c r="W44" s="313">
        <v>0</v>
      </c>
      <c r="X44" s="313">
        <v>0</v>
      </c>
      <c r="Y44" s="313">
        <v>0</v>
      </c>
      <c r="Z44" s="313">
        <v>0</v>
      </c>
      <c r="AA44" s="318">
        <v>0</v>
      </c>
      <c r="AB44" s="289"/>
      <c r="AC44" s="320"/>
      <c r="AD44" s="318">
        <v>454644.60000000003</v>
      </c>
      <c r="AE44" s="318">
        <v>1127250</v>
      </c>
      <c r="AF44" s="321">
        <v>0.40332188955422493</v>
      </c>
      <c r="AG44" s="318">
        <v>672605.39999999991</v>
      </c>
    </row>
    <row r="45" spans="1:33" ht="13.8" customHeight="1" x14ac:dyDescent="0.25">
      <c r="A45" s="283"/>
      <c r="B45" s="315" t="s">
        <v>767</v>
      </c>
      <c r="C45" s="289" t="s">
        <v>44</v>
      </c>
      <c r="D45" s="313">
        <v>0</v>
      </c>
      <c r="E45" s="313">
        <v>226233.60000000001</v>
      </c>
      <c r="F45" s="313">
        <v>0</v>
      </c>
      <c r="G45" s="316">
        <v>226233.60000000001</v>
      </c>
      <c r="H45" s="317" t="s">
        <v>15402</v>
      </c>
      <c r="I45" s="317" t="s">
        <v>15403</v>
      </c>
      <c r="K45" s="313">
        <v>0</v>
      </c>
      <c r="L45" s="313">
        <v>0</v>
      </c>
      <c r="M45" s="313">
        <v>0</v>
      </c>
      <c r="N45" s="313">
        <v>0</v>
      </c>
      <c r="O45" s="313">
        <v>0</v>
      </c>
      <c r="P45" s="313">
        <v>0</v>
      </c>
      <c r="Q45" s="313">
        <v>0</v>
      </c>
      <c r="R45" s="313">
        <v>0</v>
      </c>
      <c r="S45" s="313">
        <v>0</v>
      </c>
      <c r="T45" s="313">
        <v>0</v>
      </c>
      <c r="U45" s="313">
        <v>0</v>
      </c>
      <c r="V45" s="313">
        <v>0</v>
      </c>
      <c r="W45" s="313">
        <v>0</v>
      </c>
      <c r="X45" s="313">
        <v>0</v>
      </c>
      <c r="Y45" s="313">
        <v>0</v>
      </c>
      <c r="Z45" s="313">
        <v>0</v>
      </c>
      <c r="AA45" s="313">
        <v>226233.60000000001</v>
      </c>
      <c r="AB45" s="315"/>
      <c r="AD45" s="313">
        <v>0</v>
      </c>
      <c r="AE45" s="313">
        <v>0</v>
      </c>
      <c r="AF45" s="314" t="s">
        <v>15403</v>
      </c>
      <c r="AG45" s="313">
        <v>0</v>
      </c>
    </row>
    <row r="46" spans="1:33" s="237" customFormat="1" ht="13.8" customHeight="1" x14ac:dyDescent="0.25">
      <c r="A46" s="274"/>
      <c r="B46" s="322" t="s">
        <v>767</v>
      </c>
      <c r="C46" s="276" t="s">
        <v>263</v>
      </c>
      <c r="D46" s="323">
        <v>0</v>
      </c>
      <c r="E46" s="323">
        <v>213750</v>
      </c>
      <c r="F46" s="323">
        <v>0</v>
      </c>
      <c r="G46" s="316">
        <v>213750</v>
      </c>
      <c r="H46" s="324" t="s">
        <v>15402</v>
      </c>
      <c r="I46" s="317" t="s">
        <v>15403</v>
      </c>
      <c r="J46" s="280"/>
      <c r="K46" s="323">
        <v>0</v>
      </c>
      <c r="L46" s="323">
        <v>0</v>
      </c>
      <c r="M46" s="323">
        <v>0</v>
      </c>
      <c r="N46" s="323">
        <v>0</v>
      </c>
      <c r="O46" s="323">
        <v>0</v>
      </c>
      <c r="P46" s="323">
        <v>0</v>
      </c>
      <c r="Q46" s="323">
        <v>0</v>
      </c>
      <c r="R46" s="323">
        <v>0</v>
      </c>
      <c r="S46" s="323">
        <v>0</v>
      </c>
      <c r="T46" s="323">
        <v>0</v>
      </c>
      <c r="U46" s="323">
        <v>0</v>
      </c>
      <c r="V46" s="323">
        <v>0</v>
      </c>
      <c r="W46" s="323">
        <v>0</v>
      </c>
      <c r="X46" s="323">
        <v>0</v>
      </c>
      <c r="Y46" s="323">
        <v>0</v>
      </c>
      <c r="Z46" s="323">
        <v>0</v>
      </c>
      <c r="AA46" s="323">
        <v>213750</v>
      </c>
      <c r="AB46" s="322"/>
      <c r="AC46" s="280"/>
      <c r="AD46" s="323">
        <v>0</v>
      </c>
      <c r="AE46" s="323">
        <v>0</v>
      </c>
      <c r="AF46" s="314" t="s">
        <v>15403</v>
      </c>
      <c r="AG46" s="323">
        <v>0</v>
      </c>
    </row>
    <row r="47" spans="1:33" ht="13.8" customHeight="1" x14ac:dyDescent="0.25">
      <c r="A47" s="283"/>
      <c r="B47" s="315" t="s">
        <v>460</v>
      </c>
      <c r="C47" s="289" t="s">
        <v>369</v>
      </c>
      <c r="D47" s="313">
        <v>1000000</v>
      </c>
      <c r="E47" s="313">
        <v>185040</v>
      </c>
      <c r="F47" s="313">
        <v>1000000</v>
      </c>
      <c r="G47" s="316">
        <v>0</v>
      </c>
      <c r="H47" s="317" t="s">
        <v>15404</v>
      </c>
      <c r="I47" s="317" t="s">
        <v>15403</v>
      </c>
      <c r="K47" s="313">
        <v>185040</v>
      </c>
      <c r="L47" s="313">
        <v>0</v>
      </c>
      <c r="M47" s="313">
        <v>185040</v>
      </c>
      <c r="N47" s="313">
        <v>0</v>
      </c>
      <c r="O47" s="313">
        <v>0</v>
      </c>
      <c r="P47" s="313">
        <v>0</v>
      </c>
      <c r="Q47" s="313">
        <v>0</v>
      </c>
      <c r="R47" s="313">
        <v>0</v>
      </c>
      <c r="S47" s="313">
        <v>0</v>
      </c>
      <c r="T47" s="313">
        <v>0</v>
      </c>
      <c r="U47" s="313">
        <v>0</v>
      </c>
      <c r="V47" s="313">
        <v>0</v>
      </c>
      <c r="W47" s="313">
        <v>0</v>
      </c>
      <c r="X47" s="313">
        <v>0</v>
      </c>
      <c r="Y47" s="313">
        <v>0</v>
      </c>
      <c r="Z47" s="313">
        <v>0</v>
      </c>
      <c r="AA47" s="313">
        <v>0</v>
      </c>
      <c r="AB47" s="315"/>
      <c r="AD47" s="313">
        <v>890184</v>
      </c>
      <c r="AE47" s="313">
        <v>1252657.5702089041</v>
      </c>
      <c r="AF47" s="314">
        <v>0.71063634721142921</v>
      </c>
      <c r="AG47" s="313">
        <v>362473.5702089041</v>
      </c>
    </row>
    <row r="48" spans="1:33" ht="13.8" customHeight="1" x14ac:dyDescent="0.25">
      <c r="A48" s="283"/>
      <c r="B48" s="315" t="s">
        <v>460</v>
      </c>
      <c r="C48" s="289" t="s">
        <v>514</v>
      </c>
      <c r="D48" s="313">
        <v>1500000</v>
      </c>
      <c r="E48" s="313">
        <v>180359.2</v>
      </c>
      <c r="F48" s="313">
        <v>1500000</v>
      </c>
      <c r="G48" s="316">
        <v>0</v>
      </c>
      <c r="H48" s="317" t="s">
        <v>15404</v>
      </c>
      <c r="I48" s="317" t="s">
        <v>15403</v>
      </c>
      <c r="K48" s="313">
        <v>180359.2</v>
      </c>
      <c r="L48" s="313">
        <v>180359.2</v>
      </c>
      <c r="M48" s="313">
        <v>0</v>
      </c>
      <c r="N48" s="313">
        <v>0</v>
      </c>
      <c r="O48" s="313">
        <v>0</v>
      </c>
      <c r="P48" s="313">
        <v>0</v>
      </c>
      <c r="Q48" s="313">
        <v>0</v>
      </c>
      <c r="R48" s="313">
        <v>0</v>
      </c>
      <c r="S48" s="313">
        <v>0</v>
      </c>
      <c r="T48" s="313">
        <v>0</v>
      </c>
      <c r="U48" s="313">
        <v>0</v>
      </c>
      <c r="V48" s="313">
        <v>0</v>
      </c>
      <c r="W48" s="313">
        <v>0</v>
      </c>
      <c r="X48" s="313">
        <v>0</v>
      </c>
      <c r="Y48" s="313">
        <v>0</v>
      </c>
      <c r="Z48" s="313">
        <v>0</v>
      </c>
      <c r="AA48" s="313">
        <v>0</v>
      </c>
      <c r="AB48" s="315"/>
      <c r="AD48" s="313">
        <v>495161.60000000003</v>
      </c>
      <c r="AE48" s="313">
        <v>2309012.8694158262</v>
      </c>
      <c r="AF48" s="314">
        <v>0.21444731060562452</v>
      </c>
      <c r="AG48" s="313">
        <v>1813851.2694158261</v>
      </c>
    </row>
    <row r="49" spans="1:33" ht="13.8" customHeight="1" x14ac:dyDescent="0.25">
      <c r="A49" s="283"/>
      <c r="B49" s="315" t="s">
        <v>764</v>
      </c>
      <c r="C49" s="289" t="s">
        <v>716</v>
      </c>
      <c r="D49" s="313">
        <v>200000</v>
      </c>
      <c r="E49" s="313">
        <v>179474.58</v>
      </c>
      <c r="F49" s="313">
        <v>0</v>
      </c>
      <c r="G49" s="316">
        <v>179474.58</v>
      </c>
      <c r="H49" s="317" t="s">
        <v>15406</v>
      </c>
      <c r="I49" s="317" t="s">
        <v>15395</v>
      </c>
      <c r="K49" s="313">
        <v>133756.12</v>
      </c>
      <c r="L49" s="313">
        <v>0</v>
      </c>
      <c r="M49" s="313">
        <v>0</v>
      </c>
      <c r="N49" s="313">
        <v>133756.12</v>
      </c>
      <c r="O49" s="313">
        <v>0</v>
      </c>
      <c r="P49" s="313">
        <v>0</v>
      </c>
      <c r="Q49" s="313">
        <v>0</v>
      </c>
      <c r="R49" s="313">
        <v>0</v>
      </c>
      <c r="S49" s="313">
        <v>45718.46</v>
      </c>
      <c r="T49" s="313">
        <v>45718.46</v>
      </c>
      <c r="U49" s="313">
        <v>0</v>
      </c>
      <c r="V49" s="313">
        <v>0</v>
      </c>
      <c r="W49" s="313">
        <v>0</v>
      </c>
      <c r="X49" s="313">
        <v>0</v>
      </c>
      <c r="Y49" s="313">
        <v>0</v>
      </c>
      <c r="Z49" s="313">
        <v>0</v>
      </c>
      <c r="AA49" s="313">
        <v>0</v>
      </c>
      <c r="AB49" s="315"/>
      <c r="AD49" s="313">
        <v>179474.58</v>
      </c>
      <c r="AE49" s="313">
        <v>0</v>
      </c>
      <c r="AF49" s="314" t="s">
        <v>15403</v>
      </c>
      <c r="AG49" s="313">
        <v>0</v>
      </c>
    </row>
    <row r="50" spans="1:33" ht="13.8" customHeight="1" x14ac:dyDescent="0.25">
      <c r="A50" s="283"/>
      <c r="B50" s="315" t="s">
        <v>764</v>
      </c>
      <c r="C50" s="289" t="s">
        <v>313</v>
      </c>
      <c r="D50" s="313">
        <v>770000</v>
      </c>
      <c r="E50" s="313">
        <v>175275.24</v>
      </c>
      <c r="F50" s="313">
        <v>770000</v>
      </c>
      <c r="G50" s="316">
        <v>0</v>
      </c>
      <c r="H50" s="317" t="s">
        <v>15404</v>
      </c>
      <c r="I50" s="317" t="s">
        <v>15403</v>
      </c>
      <c r="K50" s="313">
        <v>0</v>
      </c>
      <c r="L50" s="313">
        <v>0</v>
      </c>
      <c r="M50" s="313">
        <v>0</v>
      </c>
      <c r="N50" s="313">
        <v>0</v>
      </c>
      <c r="O50" s="313">
        <v>0</v>
      </c>
      <c r="P50" s="313">
        <v>0</v>
      </c>
      <c r="Q50" s="313">
        <v>0</v>
      </c>
      <c r="R50" s="313">
        <v>0</v>
      </c>
      <c r="S50" s="313">
        <v>175275.24</v>
      </c>
      <c r="T50" s="313">
        <v>175275.24</v>
      </c>
      <c r="U50" s="313">
        <v>0</v>
      </c>
      <c r="V50" s="313">
        <v>0</v>
      </c>
      <c r="W50" s="313">
        <v>0</v>
      </c>
      <c r="X50" s="313">
        <v>0</v>
      </c>
      <c r="Y50" s="313">
        <v>0</v>
      </c>
      <c r="Z50" s="313">
        <v>0</v>
      </c>
      <c r="AA50" s="313">
        <v>0</v>
      </c>
      <c r="AB50" s="315"/>
      <c r="AD50" s="313">
        <v>400087.85</v>
      </c>
      <c r="AE50" s="313">
        <v>980403.0869980678</v>
      </c>
      <c r="AF50" s="314">
        <v>0.40808505736660178</v>
      </c>
      <c r="AG50" s="313">
        <v>580315.23699806782</v>
      </c>
    </row>
    <row r="51" spans="1:33" ht="13.8" customHeight="1" x14ac:dyDescent="0.25">
      <c r="A51" s="283"/>
      <c r="B51" s="315" t="s">
        <v>460</v>
      </c>
      <c r="C51" s="289" t="s">
        <v>358</v>
      </c>
      <c r="D51" s="313">
        <v>500000</v>
      </c>
      <c r="E51" s="313">
        <v>170959.4</v>
      </c>
      <c r="F51" s="313">
        <v>500000</v>
      </c>
      <c r="G51" s="316">
        <v>0</v>
      </c>
      <c r="H51" s="317" t="s">
        <v>15404</v>
      </c>
      <c r="I51" s="317" t="s">
        <v>15403</v>
      </c>
      <c r="K51" s="313">
        <v>170959.4</v>
      </c>
      <c r="L51" s="313">
        <v>65330</v>
      </c>
      <c r="M51" s="313">
        <v>105629.4</v>
      </c>
      <c r="N51" s="313">
        <v>0</v>
      </c>
      <c r="O51" s="313">
        <v>0</v>
      </c>
      <c r="P51" s="313">
        <v>0</v>
      </c>
      <c r="Q51" s="313">
        <v>0</v>
      </c>
      <c r="R51" s="313">
        <v>0</v>
      </c>
      <c r="S51" s="313">
        <v>0</v>
      </c>
      <c r="T51" s="313">
        <v>0</v>
      </c>
      <c r="U51" s="313">
        <v>0</v>
      </c>
      <c r="V51" s="313">
        <v>0</v>
      </c>
      <c r="W51" s="313">
        <v>0</v>
      </c>
      <c r="X51" s="313">
        <v>0</v>
      </c>
      <c r="Y51" s="313">
        <v>0</v>
      </c>
      <c r="Z51" s="313">
        <v>0</v>
      </c>
      <c r="AA51" s="313">
        <v>0</v>
      </c>
      <c r="AB51" s="315"/>
      <c r="AD51" s="313">
        <v>251939.4</v>
      </c>
      <c r="AE51" s="313">
        <v>7984108.17017953</v>
      </c>
      <c r="AF51" s="314">
        <v>3.1555108551884127E-2</v>
      </c>
      <c r="AG51" s="313">
        <v>7732168.7701795297</v>
      </c>
    </row>
    <row r="52" spans="1:33" ht="13.8" customHeight="1" x14ac:dyDescent="0.25">
      <c r="A52" s="283"/>
      <c r="B52" s="315" t="s">
        <v>764</v>
      </c>
      <c r="C52" s="289" t="s">
        <v>117</v>
      </c>
      <c r="D52" s="313">
        <v>1375000</v>
      </c>
      <c r="E52" s="313">
        <v>166161.39000000001</v>
      </c>
      <c r="F52" s="313">
        <v>1375000</v>
      </c>
      <c r="G52" s="316">
        <v>0</v>
      </c>
      <c r="H52" s="317" t="s">
        <v>15404</v>
      </c>
      <c r="I52" s="317" t="s">
        <v>15403</v>
      </c>
      <c r="K52" s="313">
        <v>166161.39000000001</v>
      </c>
      <c r="L52" s="313">
        <v>166161.39000000001</v>
      </c>
      <c r="M52" s="313">
        <v>0</v>
      </c>
      <c r="N52" s="313">
        <v>0</v>
      </c>
      <c r="O52" s="313">
        <v>0</v>
      </c>
      <c r="P52" s="313">
        <v>0</v>
      </c>
      <c r="Q52" s="313">
        <v>0</v>
      </c>
      <c r="R52" s="313">
        <v>0</v>
      </c>
      <c r="S52" s="313">
        <v>0</v>
      </c>
      <c r="T52" s="313">
        <v>0</v>
      </c>
      <c r="U52" s="313">
        <v>0</v>
      </c>
      <c r="V52" s="313">
        <v>0</v>
      </c>
      <c r="W52" s="313">
        <v>0</v>
      </c>
      <c r="X52" s="313">
        <v>0</v>
      </c>
      <c r="Y52" s="313">
        <v>0</v>
      </c>
      <c r="Z52" s="313">
        <v>0</v>
      </c>
      <c r="AA52" s="313">
        <v>0</v>
      </c>
      <c r="AB52" s="315"/>
      <c r="AD52" s="313">
        <v>645512.31000000006</v>
      </c>
      <c r="AE52" s="313">
        <v>0</v>
      </c>
      <c r="AF52" s="314" t="s">
        <v>15403</v>
      </c>
      <c r="AG52" s="313">
        <v>0</v>
      </c>
    </row>
    <row r="53" spans="1:33" ht="13.8" customHeight="1" x14ac:dyDescent="0.25">
      <c r="A53" s="283"/>
      <c r="B53" s="315" t="s">
        <v>764</v>
      </c>
      <c r="C53" s="289" t="s">
        <v>296</v>
      </c>
      <c r="D53" s="313">
        <v>200000</v>
      </c>
      <c r="E53" s="313">
        <v>164297.04999999999</v>
      </c>
      <c r="F53" s="313">
        <v>0</v>
      </c>
      <c r="G53" s="316">
        <v>164297.04999999999</v>
      </c>
      <c r="H53" s="317" t="s">
        <v>15406</v>
      </c>
      <c r="I53" s="317" t="s">
        <v>15403</v>
      </c>
      <c r="K53" s="313">
        <v>164297.04999999999</v>
      </c>
      <c r="L53" s="313">
        <v>164297.04999999999</v>
      </c>
      <c r="M53" s="313">
        <v>0</v>
      </c>
      <c r="N53" s="313">
        <v>0</v>
      </c>
      <c r="O53" s="313">
        <v>0</v>
      </c>
      <c r="P53" s="313">
        <v>0</v>
      </c>
      <c r="Q53" s="313">
        <v>0</v>
      </c>
      <c r="R53" s="313">
        <v>0</v>
      </c>
      <c r="S53" s="313">
        <v>0</v>
      </c>
      <c r="T53" s="313">
        <v>0</v>
      </c>
      <c r="U53" s="313">
        <v>0</v>
      </c>
      <c r="V53" s="313">
        <v>0</v>
      </c>
      <c r="W53" s="313">
        <v>0</v>
      </c>
      <c r="X53" s="313">
        <v>0</v>
      </c>
      <c r="Y53" s="313">
        <v>0</v>
      </c>
      <c r="Z53" s="313">
        <v>0</v>
      </c>
      <c r="AA53" s="313">
        <v>0</v>
      </c>
      <c r="AB53" s="315"/>
      <c r="AD53" s="313">
        <v>404098.14</v>
      </c>
      <c r="AE53" s="313">
        <v>894647.55260460998</v>
      </c>
      <c r="AF53" s="314">
        <v>0.45168417308418146</v>
      </c>
      <c r="AG53" s="313">
        <v>490549.41260460997</v>
      </c>
    </row>
    <row r="54" spans="1:33" ht="13.8" customHeight="1" x14ac:dyDescent="0.25">
      <c r="A54" s="283"/>
      <c r="B54" s="315" t="s">
        <v>460</v>
      </c>
      <c r="C54" s="289" t="s">
        <v>272</v>
      </c>
      <c r="D54" s="313">
        <v>300000</v>
      </c>
      <c r="E54" s="313">
        <v>163952.4</v>
      </c>
      <c r="F54" s="313">
        <v>300000</v>
      </c>
      <c r="G54" s="316">
        <v>0</v>
      </c>
      <c r="H54" s="317" t="s">
        <v>15404</v>
      </c>
      <c r="I54" s="317" t="s">
        <v>15403</v>
      </c>
      <c r="K54" s="313">
        <v>163952.4</v>
      </c>
      <c r="L54" s="313">
        <v>104834.4</v>
      </c>
      <c r="M54" s="313">
        <v>59118</v>
      </c>
      <c r="N54" s="313">
        <v>0</v>
      </c>
      <c r="O54" s="313">
        <v>0</v>
      </c>
      <c r="P54" s="313">
        <v>0</v>
      </c>
      <c r="Q54" s="313">
        <v>0</v>
      </c>
      <c r="R54" s="313">
        <v>0</v>
      </c>
      <c r="S54" s="313">
        <v>0</v>
      </c>
      <c r="T54" s="313">
        <v>0</v>
      </c>
      <c r="U54" s="313">
        <v>0</v>
      </c>
      <c r="V54" s="313">
        <v>0</v>
      </c>
      <c r="W54" s="313">
        <v>0</v>
      </c>
      <c r="X54" s="313">
        <v>0</v>
      </c>
      <c r="Y54" s="313">
        <v>0</v>
      </c>
      <c r="Z54" s="313">
        <v>0</v>
      </c>
      <c r="AA54" s="313">
        <v>0</v>
      </c>
      <c r="AB54" s="315"/>
      <c r="AD54" s="313">
        <v>178572.3</v>
      </c>
      <c r="AE54" s="313">
        <v>276750</v>
      </c>
      <c r="AF54" s="314">
        <v>0.64524769647696478</v>
      </c>
      <c r="AG54" s="313">
        <v>98177.700000000012</v>
      </c>
    </row>
    <row r="55" spans="1:33" ht="13.8" customHeight="1" x14ac:dyDescent="0.25">
      <c r="A55" s="283"/>
      <c r="B55" s="315" t="s">
        <v>460</v>
      </c>
      <c r="C55" s="289" t="s">
        <v>420</v>
      </c>
      <c r="D55" s="313">
        <v>2500000</v>
      </c>
      <c r="E55" s="313">
        <v>161830.20000000001</v>
      </c>
      <c r="F55" s="313">
        <v>2500000</v>
      </c>
      <c r="G55" s="316">
        <v>0</v>
      </c>
      <c r="H55" s="317" t="s">
        <v>15404</v>
      </c>
      <c r="I55" s="317" t="s">
        <v>15403</v>
      </c>
      <c r="K55" s="313">
        <v>161830.20000000001</v>
      </c>
      <c r="L55" s="313">
        <v>161830.20000000001</v>
      </c>
      <c r="M55" s="313">
        <v>0</v>
      </c>
      <c r="N55" s="313">
        <v>0</v>
      </c>
      <c r="O55" s="313">
        <v>0</v>
      </c>
      <c r="P55" s="313">
        <v>0</v>
      </c>
      <c r="Q55" s="313">
        <v>0</v>
      </c>
      <c r="R55" s="313">
        <v>0</v>
      </c>
      <c r="S55" s="313">
        <v>0</v>
      </c>
      <c r="T55" s="313">
        <v>0</v>
      </c>
      <c r="U55" s="313">
        <v>0</v>
      </c>
      <c r="V55" s="313">
        <v>0</v>
      </c>
      <c r="W55" s="313">
        <v>0</v>
      </c>
      <c r="X55" s="313">
        <v>0</v>
      </c>
      <c r="Y55" s="313">
        <v>0</v>
      </c>
      <c r="Z55" s="313">
        <v>0</v>
      </c>
      <c r="AA55" s="313">
        <v>0</v>
      </c>
      <c r="AB55" s="315"/>
      <c r="AD55" s="313">
        <v>841245.28999999992</v>
      </c>
      <c r="AE55" s="313">
        <v>3459604.4928345811</v>
      </c>
      <c r="AF55" s="314">
        <v>0.24316227237603588</v>
      </c>
      <c r="AG55" s="313">
        <v>2618359.202834581</v>
      </c>
    </row>
    <row r="56" spans="1:33" ht="13.8" customHeight="1" x14ac:dyDescent="0.25">
      <c r="A56" s="283"/>
      <c r="B56" s="315" t="s">
        <v>460</v>
      </c>
      <c r="C56" s="289" t="s">
        <v>265</v>
      </c>
      <c r="D56" s="313">
        <v>800000</v>
      </c>
      <c r="E56" s="313">
        <v>158012.20000000001</v>
      </c>
      <c r="F56" s="313">
        <v>800000</v>
      </c>
      <c r="G56" s="316">
        <v>0</v>
      </c>
      <c r="H56" s="317" t="s">
        <v>15404</v>
      </c>
      <c r="I56" s="317" t="s">
        <v>15403</v>
      </c>
      <c r="K56" s="313">
        <v>158012.20000000001</v>
      </c>
      <c r="L56" s="313">
        <v>158012.20000000001</v>
      </c>
      <c r="M56" s="313">
        <v>0</v>
      </c>
      <c r="N56" s="313">
        <v>0</v>
      </c>
      <c r="O56" s="313">
        <v>0</v>
      </c>
      <c r="P56" s="313">
        <v>0</v>
      </c>
      <c r="Q56" s="313">
        <v>0</v>
      </c>
      <c r="R56" s="313">
        <v>0</v>
      </c>
      <c r="S56" s="313">
        <v>0</v>
      </c>
      <c r="T56" s="313">
        <v>0</v>
      </c>
      <c r="U56" s="313">
        <v>0</v>
      </c>
      <c r="V56" s="313">
        <v>0</v>
      </c>
      <c r="W56" s="313">
        <v>0</v>
      </c>
      <c r="X56" s="313">
        <v>0</v>
      </c>
      <c r="Y56" s="313">
        <v>0</v>
      </c>
      <c r="Z56" s="313">
        <v>0</v>
      </c>
      <c r="AA56" s="313">
        <v>0</v>
      </c>
      <c r="AB56" s="315"/>
      <c r="AD56" s="313">
        <v>533278</v>
      </c>
      <c r="AE56" s="313">
        <v>0</v>
      </c>
      <c r="AF56" s="314" t="s">
        <v>15403</v>
      </c>
      <c r="AG56" s="313">
        <v>0</v>
      </c>
    </row>
    <row r="57" spans="1:33" ht="13.8" customHeight="1" x14ac:dyDescent="0.25">
      <c r="A57" s="283"/>
      <c r="B57" s="315" t="s">
        <v>460</v>
      </c>
      <c r="C57" s="289" t="s">
        <v>367</v>
      </c>
      <c r="D57" s="313">
        <v>0</v>
      </c>
      <c r="E57" s="313">
        <v>144324</v>
      </c>
      <c r="F57" s="313">
        <v>0</v>
      </c>
      <c r="G57" s="316">
        <v>144324</v>
      </c>
      <c r="H57" s="317" t="s">
        <v>15405</v>
      </c>
      <c r="I57" s="317" t="s">
        <v>15389</v>
      </c>
      <c r="K57" s="313">
        <v>144324</v>
      </c>
      <c r="L57" s="313">
        <v>144324</v>
      </c>
      <c r="M57" s="313">
        <v>0</v>
      </c>
      <c r="N57" s="313">
        <v>0</v>
      </c>
      <c r="O57" s="313">
        <v>0</v>
      </c>
      <c r="P57" s="313">
        <v>0</v>
      </c>
      <c r="Q57" s="313">
        <v>0</v>
      </c>
      <c r="R57" s="313">
        <v>0</v>
      </c>
      <c r="S57" s="313">
        <v>0</v>
      </c>
      <c r="T57" s="313">
        <v>0</v>
      </c>
      <c r="U57" s="313">
        <v>0</v>
      </c>
      <c r="V57" s="313">
        <v>0</v>
      </c>
      <c r="W57" s="313">
        <v>0</v>
      </c>
      <c r="X57" s="313">
        <v>0</v>
      </c>
      <c r="Y57" s="313">
        <v>0</v>
      </c>
      <c r="Z57" s="313">
        <v>0</v>
      </c>
      <c r="AA57" s="313">
        <v>0</v>
      </c>
      <c r="AB57" s="315"/>
      <c r="AD57" s="313">
        <v>1134723.8999999999</v>
      </c>
      <c r="AE57" s="313">
        <v>6318009.8116163462</v>
      </c>
      <c r="AF57" s="314">
        <v>0.17960147797075068</v>
      </c>
      <c r="AG57" s="313">
        <v>5183285.9116163459</v>
      </c>
    </row>
    <row r="58" spans="1:33" ht="13.8" customHeight="1" x14ac:dyDescent="0.25">
      <c r="A58" s="283"/>
      <c r="B58" s="315" t="s">
        <v>764</v>
      </c>
      <c r="C58" s="289" t="s">
        <v>342</v>
      </c>
      <c r="D58" s="313">
        <v>825000</v>
      </c>
      <c r="E58" s="313">
        <v>143222.74</v>
      </c>
      <c r="F58" s="313">
        <v>825000</v>
      </c>
      <c r="G58" s="316">
        <v>0</v>
      </c>
      <c r="H58" s="317" t="s">
        <v>15404</v>
      </c>
      <c r="I58" s="317" t="s">
        <v>15403</v>
      </c>
      <c r="K58" s="313">
        <v>143222.74</v>
      </c>
      <c r="L58" s="313">
        <v>143222.74</v>
      </c>
      <c r="M58" s="313">
        <v>0</v>
      </c>
      <c r="N58" s="313">
        <v>0</v>
      </c>
      <c r="O58" s="313">
        <v>0</v>
      </c>
      <c r="P58" s="313">
        <v>0</v>
      </c>
      <c r="Q58" s="313">
        <v>0</v>
      </c>
      <c r="R58" s="313">
        <v>0</v>
      </c>
      <c r="S58" s="313">
        <v>0</v>
      </c>
      <c r="T58" s="313">
        <v>0</v>
      </c>
      <c r="U58" s="313">
        <v>0</v>
      </c>
      <c r="V58" s="313">
        <v>0</v>
      </c>
      <c r="W58" s="313">
        <v>0</v>
      </c>
      <c r="X58" s="313">
        <v>0</v>
      </c>
      <c r="Y58" s="313">
        <v>0</v>
      </c>
      <c r="Z58" s="313">
        <v>0</v>
      </c>
      <c r="AA58" s="313">
        <v>0</v>
      </c>
      <c r="AB58" s="315"/>
      <c r="AD58" s="313">
        <v>143222.74</v>
      </c>
      <c r="AE58" s="313">
        <v>207190.8810415325</v>
      </c>
      <c r="AF58" s="314">
        <v>0.69125986278947404</v>
      </c>
      <c r="AG58" s="313">
        <v>63968.141041532508</v>
      </c>
    </row>
    <row r="59" spans="1:33" ht="13.8" customHeight="1" x14ac:dyDescent="0.25">
      <c r="A59" s="283"/>
      <c r="B59" s="315" t="s">
        <v>764</v>
      </c>
      <c r="C59" s="289" t="s">
        <v>116</v>
      </c>
      <c r="D59" s="313">
        <v>320000</v>
      </c>
      <c r="E59" s="313">
        <v>132309.32999999999</v>
      </c>
      <c r="F59" s="313">
        <v>0</v>
      </c>
      <c r="G59" s="316">
        <v>132309.32999999999</v>
      </c>
      <c r="H59" s="317" t="s">
        <v>15406</v>
      </c>
      <c r="I59" s="317" t="s">
        <v>15390</v>
      </c>
      <c r="K59" s="313">
        <v>132309.32999999999</v>
      </c>
      <c r="L59" s="313">
        <v>0</v>
      </c>
      <c r="M59" s="313">
        <v>132309.32999999999</v>
      </c>
      <c r="N59" s="313">
        <v>0</v>
      </c>
      <c r="O59" s="313">
        <v>0</v>
      </c>
      <c r="P59" s="313">
        <v>0</v>
      </c>
      <c r="Q59" s="313">
        <v>0</v>
      </c>
      <c r="R59" s="313">
        <v>0</v>
      </c>
      <c r="S59" s="313">
        <v>0</v>
      </c>
      <c r="T59" s="313">
        <v>0</v>
      </c>
      <c r="U59" s="313">
        <v>0</v>
      </c>
      <c r="V59" s="313">
        <v>0</v>
      </c>
      <c r="W59" s="313">
        <v>0</v>
      </c>
      <c r="X59" s="313">
        <v>0</v>
      </c>
      <c r="Y59" s="313">
        <v>0</v>
      </c>
      <c r="Z59" s="313">
        <v>0</v>
      </c>
      <c r="AA59" s="313">
        <v>0</v>
      </c>
      <c r="AB59" s="315"/>
      <c r="AD59" s="313">
        <v>264618.65999999997</v>
      </c>
      <c r="AE59" s="313">
        <v>747794.31608505908</v>
      </c>
      <c r="AF59" s="314">
        <v>0.35386556745357839</v>
      </c>
      <c r="AG59" s="313">
        <v>483175.6560850591</v>
      </c>
    </row>
    <row r="60" spans="1:33" ht="13.8" customHeight="1" x14ac:dyDescent="0.25">
      <c r="A60" s="283"/>
      <c r="B60" s="315" t="s">
        <v>460</v>
      </c>
      <c r="C60" s="289" t="s">
        <v>364</v>
      </c>
      <c r="D60" s="313">
        <v>1500000</v>
      </c>
      <c r="E60" s="313">
        <v>131762.5</v>
      </c>
      <c r="F60" s="313">
        <v>1500000</v>
      </c>
      <c r="G60" s="316">
        <v>0</v>
      </c>
      <c r="H60" s="317" t="s">
        <v>15404</v>
      </c>
      <c r="I60" s="317" t="s">
        <v>15403</v>
      </c>
      <c r="K60" s="313">
        <v>131762.5</v>
      </c>
      <c r="L60" s="313">
        <v>131762.5</v>
      </c>
      <c r="M60" s="313">
        <v>0</v>
      </c>
      <c r="N60" s="313">
        <v>0</v>
      </c>
      <c r="O60" s="313">
        <v>0</v>
      </c>
      <c r="P60" s="313">
        <v>0</v>
      </c>
      <c r="Q60" s="313">
        <v>0</v>
      </c>
      <c r="R60" s="313">
        <v>0</v>
      </c>
      <c r="S60" s="313">
        <v>0</v>
      </c>
      <c r="T60" s="313">
        <v>0</v>
      </c>
      <c r="U60" s="313">
        <v>0</v>
      </c>
      <c r="V60" s="313">
        <v>0</v>
      </c>
      <c r="W60" s="313">
        <v>0</v>
      </c>
      <c r="X60" s="313">
        <v>0</v>
      </c>
      <c r="Y60" s="313">
        <v>0</v>
      </c>
      <c r="Z60" s="313">
        <v>0</v>
      </c>
      <c r="AA60" s="313">
        <v>0</v>
      </c>
      <c r="AB60" s="315"/>
      <c r="AD60" s="313">
        <v>626997.80000000005</v>
      </c>
      <c r="AE60" s="313">
        <v>1943139.3220036521</v>
      </c>
      <c r="AF60" s="314">
        <v>0.32267259115186681</v>
      </c>
      <c r="AG60" s="313">
        <v>1316141.5220036521</v>
      </c>
    </row>
    <row r="61" spans="1:33" ht="13.8" customHeight="1" x14ac:dyDescent="0.25">
      <c r="A61" s="283"/>
      <c r="B61" s="315" t="s">
        <v>306</v>
      </c>
      <c r="C61" s="289" t="s">
        <v>179</v>
      </c>
      <c r="D61" s="313">
        <v>660000</v>
      </c>
      <c r="E61" s="313">
        <v>131680</v>
      </c>
      <c r="F61" s="313">
        <v>660000</v>
      </c>
      <c r="G61" s="316">
        <v>0</v>
      </c>
      <c r="H61" s="317" t="s">
        <v>15404</v>
      </c>
      <c r="I61" s="317" t="s">
        <v>15403</v>
      </c>
      <c r="K61" s="313">
        <v>131680</v>
      </c>
      <c r="L61" s="313">
        <v>0</v>
      </c>
      <c r="M61" s="313">
        <v>0</v>
      </c>
      <c r="N61" s="313">
        <v>131680</v>
      </c>
      <c r="O61" s="313">
        <v>0</v>
      </c>
      <c r="P61" s="313">
        <v>0</v>
      </c>
      <c r="Q61" s="313">
        <v>0</v>
      </c>
      <c r="R61" s="313">
        <v>0</v>
      </c>
      <c r="S61" s="313">
        <v>0</v>
      </c>
      <c r="T61" s="313">
        <v>0</v>
      </c>
      <c r="U61" s="313">
        <v>0</v>
      </c>
      <c r="V61" s="313">
        <v>0</v>
      </c>
      <c r="W61" s="313">
        <v>0</v>
      </c>
      <c r="X61" s="313">
        <v>0</v>
      </c>
      <c r="Y61" s="313">
        <v>0</v>
      </c>
      <c r="Z61" s="313">
        <v>0</v>
      </c>
      <c r="AA61" s="313">
        <v>0</v>
      </c>
      <c r="AB61" s="315"/>
      <c r="AD61" s="313">
        <v>0</v>
      </c>
      <c r="AE61" s="313">
        <v>270638.39892007672</v>
      </c>
      <c r="AF61" s="314">
        <v>0</v>
      </c>
      <c r="AG61" s="313">
        <v>270638.39892007672</v>
      </c>
    </row>
    <row r="62" spans="1:33" ht="13.8" customHeight="1" x14ac:dyDescent="0.25">
      <c r="A62" s="283"/>
      <c r="B62" s="315" t="s">
        <v>460</v>
      </c>
      <c r="C62" s="293" t="s">
        <v>633</v>
      </c>
      <c r="D62" s="313">
        <v>850000</v>
      </c>
      <c r="E62" s="313">
        <v>122180</v>
      </c>
      <c r="F62" s="313">
        <v>850000</v>
      </c>
      <c r="G62" s="316">
        <v>0</v>
      </c>
      <c r="H62" s="317" t="s">
        <v>15404</v>
      </c>
      <c r="I62" s="317" t="s">
        <v>15403</v>
      </c>
      <c r="K62" s="313">
        <v>122180</v>
      </c>
      <c r="L62" s="313">
        <v>122180</v>
      </c>
      <c r="M62" s="313">
        <v>0</v>
      </c>
      <c r="N62" s="313">
        <v>0</v>
      </c>
      <c r="O62" s="313">
        <v>0</v>
      </c>
      <c r="P62" s="313">
        <v>0</v>
      </c>
      <c r="Q62" s="313">
        <v>0</v>
      </c>
      <c r="R62" s="313">
        <v>0</v>
      </c>
      <c r="S62" s="313">
        <v>0</v>
      </c>
      <c r="T62" s="313">
        <v>0</v>
      </c>
      <c r="U62" s="313">
        <v>0</v>
      </c>
      <c r="V62" s="313">
        <v>0</v>
      </c>
      <c r="W62" s="313">
        <v>0</v>
      </c>
      <c r="X62" s="313">
        <v>0</v>
      </c>
      <c r="Y62" s="313">
        <v>0</v>
      </c>
      <c r="Z62" s="313">
        <v>0</v>
      </c>
      <c r="AA62" s="313">
        <v>0</v>
      </c>
      <c r="AB62" s="315"/>
      <c r="AD62" s="313">
        <v>490712.6</v>
      </c>
      <c r="AE62" s="313">
        <v>135000</v>
      </c>
      <c r="AF62" s="314">
        <v>3.6349081481481478</v>
      </c>
      <c r="AG62" s="313">
        <v>0</v>
      </c>
    </row>
    <row r="63" spans="1:33" ht="13.8" customHeight="1" x14ac:dyDescent="0.25">
      <c r="A63" s="283"/>
      <c r="B63" s="315" t="s">
        <v>460</v>
      </c>
      <c r="C63" s="289" t="s">
        <v>560</v>
      </c>
      <c r="D63" s="313">
        <v>1500000</v>
      </c>
      <c r="E63" s="313">
        <v>103200.03</v>
      </c>
      <c r="F63" s="313">
        <v>1500000</v>
      </c>
      <c r="G63" s="316">
        <v>0</v>
      </c>
      <c r="H63" s="317" t="s">
        <v>15404</v>
      </c>
      <c r="I63" s="317" t="s">
        <v>15403</v>
      </c>
      <c r="K63" s="313">
        <v>103200.03</v>
      </c>
      <c r="L63" s="313">
        <v>103200.03</v>
      </c>
      <c r="M63" s="313">
        <v>0</v>
      </c>
      <c r="N63" s="313">
        <v>0</v>
      </c>
      <c r="O63" s="313">
        <v>0</v>
      </c>
      <c r="P63" s="313">
        <v>0</v>
      </c>
      <c r="Q63" s="313">
        <v>0</v>
      </c>
      <c r="R63" s="313">
        <v>0</v>
      </c>
      <c r="S63" s="313">
        <v>0</v>
      </c>
      <c r="T63" s="313">
        <v>0</v>
      </c>
      <c r="U63" s="313">
        <v>0</v>
      </c>
      <c r="V63" s="313">
        <v>0</v>
      </c>
      <c r="W63" s="313">
        <v>0</v>
      </c>
      <c r="X63" s="313">
        <v>0</v>
      </c>
      <c r="Y63" s="313">
        <v>0</v>
      </c>
      <c r="Z63" s="313">
        <v>0</v>
      </c>
      <c r="AA63" s="313">
        <v>0</v>
      </c>
      <c r="AB63" s="315"/>
      <c r="AD63" s="313">
        <v>728900.05</v>
      </c>
      <c r="AE63" s="313">
        <v>2871000</v>
      </c>
      <c r="AF63" s="314">
        <v>0.25388368164402647</v>
      </c>
      <c r="AG63" s="313">
        <v>2142099.9500000002</v>
      </c>
    </row>
    <row r="64" spans="1:33" ht="13.8" customHeight="1" x14ac:dyDescent="0.25">
      <c r="A64" s="283"/>
      <c r="B64" s="315" t="s">
        <v>764</v>
      </c>
      <c r="C64" s="289" t="s">
        <v>274</v>
      </c>
      <c r="D64" s="313">
        <v>550000</v>
      </c>
      <c r="E64" s="313">
        <v>86689.1</v>
      </c>
      <c r="F64" s="313">
        <v>550000</v>
      </c>
      <c r="G64" s="316">
        <v>0</v>
      </c>
      <c r="H64" s="317" t="s">
        <v>15404</v>
      </c>
      <c r="I64" s="317" t="s">
        <v>15403</v>
      </c>
      <c r="K64" s="313">
        <v>0</v>
      </c>
      <c r="L64" s="313">
        <v>0</v>
      </c>
      <c r="M64" s="313">
        <v>0</v>
      </c>
      <c r="N64" s="313">
        <v>0</v>
      </c>
      <c r="O64" s="313">
        <v>0</v>
      </c>
      <c r="P64" s="313">
        <v>0</v>
      </c>
      <c r="Q64" s="313">
        <v>0</v>
      </c>
      <c r="R64" s="313">
        <v>0</v>
      </c>
      <c r="S64" s="313">
        <v>86689.1</v>
      </c>
      <c r="T64" s="313">
        <v>0</v>
      </c>
      <c r="U64" s="313">
        <v>86689.1</v>
      </c>
      <c r="V64" s="313">
        <v>0</v>
      </c>
      <c r="W64" s="313">
        <v>0</v>
      </c>
      <c r="X64" s="313">
        <v>0</v>
      </c>
      <c r="Y64" s="313">
        <v>0</v>
      </c>
      <c r="Z64" s="313">
        <v>0</v>
      </c>
      <c r="AA64" s="313">
        <v>0</v>
      </c>
      <c r="AB64" s="315"/>
      <c r="AD64" s="313">
        <v>86689.1</v>
      </c>
      <c r="AE64" s="313">
        <v>147597.762083065</v>
      </c>
      <c r="AF64" s="314">
        <v>0.58733343091755796</v>
      </c>
      <c r="AG64" s="313">
        <v>60908.662083064992</v>
      </c>
    </row>
    <row r="65" spans="1:33" ht="13.8" customHeight="1" x14ac:dyDescent="0.25">
      <c r="A65" s="283"/>
      <c r="B65" s="315" t="s">
        <v>460</v>
      </c>
      <c r="C65" s="289" t="s">
        <v>78</v>
      </c>
      <c r="D65" s="313">
        <v>200000</v>
      </c>
      <c r="E65" s="313">
        <v>83393.100000000006</v>
      </c>
      <c r="F65" s="313">
        <v>200000</v>
      </c>
      <c r="G65" s="316">
        <v>0</v>
      </c>
      <c r="H65" s="317" t="s">
        <v>15404</v>
      </c>
      <c r="I65" s="317" t="s">
        <v>15403</v>
      </c>
      <c r="K65" s="313">
        <v>83393.100000000006</v>
      </c>
      <c r="L65" s="313">
        <v>83393.100000000006</v>
      </c>
      <c r="M65" s="313">
        <v>0</v>
      </c>
      <c r="N65" s="313">
        <v>0</v>
      </c>
      <c r="O65" s="313">
        <v>0</v>
      </c>
      <c r="P65" s="313">
        <v>0</v>
      </c>
      <c r="Q65" s="313">
        <v>0</v>
      </c>
      <c r="R65" s="313">
        <v>0</v>
      </c>
      <c r="S65" s="313">
        <v>0</v>
      </c>
      <c r="T65" s="313">
        <v>0</v>
      </c>
      <c r="U65" s="313">
        <v>0</v>
      </c>
      <c r="V65" s="313">
        <v>0</v>
      </c>
      <c r="W65" s="313">
        <v>0</v>
      </c>
      <c r="X65" s="313">
        <v>0</v>
      </c>
      <c r="Y65" s="313">
        <v>0</v>
      </c>
      <c r="Z65" s="313">
        <v>0</v>
      </c>
      <c r="AA65" s="313">
        <v>0</v>
      </c>
      <c r="AB65" s="315"/>
      <c r="AD65" s="313">
        <v>497346.2</v>
      </c>
      <c r="AE65" s="313">
        <v>1473211.2577443775</v>
      </c>
      <c r="AF65" s="314">
        <v>0.33759326599328532</v>
      </c>
      <c r="AG65" s="313">
        <v>975865.05774437753</v>
      </c>
    </row>
    <row r="66" spans="1:33" ht="13.8" customHeight="1" x14ac:dyDescent="0.25">
      <c r="A66" s="283"/>
      <c r="B66" s="315" t="s">
        <v>460</v>
      </c>
      <c r="C66" s="289" t="s">
        <v>15465</v>
      </c>
      <c r="D66" s="313">
        <v>700000</v>
      </c>
      <c r="E66" s="313">
        <v>80600</v>
      </c>
      <c r="F66" s="313">
        <v>0</v>
      </c>
      <c r="G66" s="316">
        <v>80600</v>
      </c>
      <c r="H66" s="317" t="s">
        <v>15406</v>
      </c>
      <c r="I66" s="317" t="s">
        <v>15403</v>
      </c>
      <c r="K66" s="313">
        <v>80600</v>
      </c>
      <c r="L66" s="313">
        <v>80600</v>
      </c>
      <c r="M66" s="313">
        <v>0</v>
      </c>
      <c r="N66" s="313">
        <v>0</v>
      </c>
      <c r="O66" s="313">
        <v>0</v>
      </c>
      <c r="P66" s="313">
        <v>0</v>
      </c>
      <c r="Q66" s="313">
        <v>0</v>
      </c>
      <c r="R66" s="313">
        <v>0</v>
      </c>
      <c r="S66" s="313">
        <v>0</v>
      </c>
      <c r="T66" s="313">
        <v>0</v>
      </c>
      <c r="U66" s="313">
        <v>0</v>
      </c>
      <c r="V66" s="313">
        <v>0</v>
      </c>
      <c r="W66" s="313">
        <v>0</v>
      </c>
      <c r="X66" s="313">
        <v>0</v>
      </c>
      <c r="Y66" s="313">
        <v>0</v>
      </c>
      <c r="Z66" s="313">
        <v>0</v>
      </c>
      <c r="AA66" s="313">
        <v>0</v>
      </c>
      <c r="AB66" s="315"/>
      <c r="AD66" s="313">
        <v>1624061.8</v>
      </c>
      <c r="AE66" s="313">
        <v>5260614.7412925037</v>
      </c>
      <c r="AF66" s="314">
        <v>0.30872091568541232</v>
      </c>
      <c r="AG66" s="313">
        <v>3636552.9412925038</v>
      </c>
    </row>
    <row r="67" spans="1:33" ht="13.8" customHeight="1" x14ac:dyDescent="0.25">
      <c r="A67" s="283"/>
      <c r="B67" s="315" t="s">
        <v>764</v>
      </c>
      <c r="C67" s="289" t="s">
        <v>424</v>
      </c>
      <c r="D67" s="313">
        <v>302500</v>
      </c>
      <c r="E67" s="313">
        <v>76480.23</v>
      </c>
      <c r="F67" s="313">
        <v>302500</v>
      </c>
      <c r="G67" s="316">
        <v>0</v>
      </c>
      <c r="H67" s="317" t="s">
        <v>15404</v>
      </c>
      <c r="I67" s="317" t="s">
        <v>15403</v>
      </c>
      <c r="K67" s="313">
        <v>76480.23</v>
      </c>
      <c r="L67" s="313">
        <v>0</v>
      </c>
      <c r="M67" s="313">
        <v>0</v>
      </c>
      <c r="N67" s="313">
        <v>0</v>
      </c>
      <c r="O67" s="313">
        <v>0</v>
      </c>
      <c r="P67" s="313">
        <v>0</v>
      </c>
      <c r="Q67" s="313">
        <v>76480.23</v>
      </c>
      <c r="R67" s="313">
        <v>0</v>
      </c>
      <c r="S67" s="313">
        <v>0</v>
      </c>
      <c r="T67" s="313">
        <v>0</v>
      </c>
      <c r="U67" s="313">
        <v>0</v>
      </c>
      <c r="V67" s="313">
        <v>0</v>
      </c>
      <c r="W67" s="313">
        <v>0</v>
      </c>
      <c r="X67" s="313">
        <v>0</v>
      </c>
      <c r="Y67" s="313">
        <v>0</v>
      </c>
      <c r="Z67" s="313">
        <v>0</v>
      </c>
      <c r="AA67" s="313">
        <v>0</v>
      </c>
      <c r="AB67" s="315"/>
      <c r="AD67" s="313">
        <v>76480.23</v>
      </c>
      <c r="AE67" s="313">
        <v>274742.82041965146</v>
      </c>
      <c r="AF67" s="314">
        <v>0.27837025871388199</v>
      </c>
      <c r="AG67" s="313">
        <v>198262.59041965147</v>
      </c>
    </row>
    <row r="68" spans="1:33" ht="13.8" customHeight="1" x14ac:dyDescent="0.25">
      <c r="A68" s="283"/>
      <c r="B68" s="315" t="s">
        <v>460</v>
      </c>
      <c r="C68" s="289" t="s">
        <v>42</v>
      </c>
      <c r="D68" s="313">
        <v>200000</v>
      </c>
      <c r="E68" s="313">
        <v>69596</v>
      </c>
      <c r="F68" s="313">
        <v>200000</v>
      </c>
      <c r="G68" s="316">
        <v>0</v>
      </c>
      <c r="H68" s="317" t="s">
        <v>15404</v>
      </c>
      <c r="I68" s="317" t="s">
        <v>15403</v>
      </c>
      <c r="K68" s="313">
        <v>69596</v>
      </c>
      <c r="L68" s="313">
        <v>69596</v>
      </c>
      <c r="M68" s="313">
        <v>0</v>
      </c>
      <c r="N68" s="313">
        <v>0</v>
      </c>
      <c r="O68" s="313">
        <v>0</v>
      </c>
      <c r="P68" s="313">
        <v>0</v>
      </c>
      <c r="Q68" s="313">
        <v>0</v>
      </c>
      <c r="R68" s="313">
        <v>0</v>
      </c>
      <c r="S68" s="313">
        <v>0</v>
      </c>
      <c r="T68" s="313">
        <v>0</v>
      </c>
      <c r="U68" s="313">
        <v>0</v>
      </c>
      <c r="V68" s="313">
        <v>0</v>
      </c>
      <c r="W68" s="313">
        <v>0</v>
      </c>
      <c r="X68" s="313">
        <v>0</v>
      </c>
      <c r="Y68" s="313">
        <v>0</v>
      </c>
      <c r="Z68" s="313">
        <v>0</v>
      </c>
      <c r="AA68" s="313">
        <v>0</v>
      </c>
      <c r="AB68" s="315"/>
      <c r="AD68" s="313">
        <v>0</v>
      </c>
      <c r="AE68" s="313">
        <v>291840</v>
      </c>
      <c r="AF68" s="314">
        <v>0</v>
      </c>
      <c r="AG68" s="313">
        <v>291840</v>
      </c>
    </row>
    <row r="69" spans="1:33" ht="13.8" customHeight="1" x14ac:dyDescent="0.25">
      <c r="A69" s="283"/>
      <c r="B69" s="315" t="s">
        <v>460</v>
      </c>
      <c r="C69" s="289" t="s">
        <v>508</v>
      </c>
      <c r="D69" s="313">
        <v>1300000</v>
      </c>
      <c r="E69" s="313">
        <v>68500</v>
      </c>
      <c r="F69" s="313">
        <v>1300000</v>
      </c>
      <c r="G69" s="316">
        <v>0</v>
      </c>
      <c r="H69" s="317" t="s">
        <v>15404</v>
      </c>
      <c r="I69" s="317" t="s">
        <v>15403</v>
      </c>
      <c r="K69" s="313">
        <v>68500</v>
      </c>
      <c r="L69" s="313">
        <v>68500</v>
      </c>
      <c r="M69" s="313">
        <v>0</v>
      </c>
      <c r="N69" s="313">
        <v>0</v>
      </c>
      <c r="O69" s="313">
        <v>0</v>
      </c>
      <c r="P69" s="313">
        <v>0</v>
      </c>
      <c r="Q69" s="313">
        <v>0</v>
      </c>
      <c r="R69" s="313">
        <v>0</v>
      </c>
      <c r="S69" s="313">
        <v>0</v>
      </c>
      <c r="T69" s="313">
        <v>0</v>
      </c>
      <c r="U69" s="313">
        <v>0</v>
      </c>
      <c r="V69" s="313">
        <v>0</v>
      </c>
      <c r="W69" s="313">
        <v>0</v>
      </c>
      <c r="X69" s="313">
        <v>0</v>
      </c>
      <c r="Y69" s="313">
        <v>0</v>
      </c>
      <c r="Z69" s="313">
        <v>0</v>
      </c>
      <c r="AA69" s="313">
        <v>0</v>
      </c>
      <c r="AB69" s="315"/>
      <c r="AD69" s="313">
        <v>0</v>
      </c>
      <c r="AE69" s="313">
        <v>284400</v>
      </c>
      <c r="AF69" s="314">
        <v>0</v>
      </c>
      <c r="AG69" s="313">
        <v>284400</v>
      </c>
    </row>
    <row r="70" spans="1:33" ht="13.8" customHeight="1" x14ac:dyDescent="0.25">
      <c r="A70" s="283"/>
      <c r="B70" s="315" t="s">
        <v>460</v>
      </c>
      <c r="C70" s="289" t="s">
        <v>468</v>
      </c>
      <c r="D70" s="313">
        <v>1000000</v>
      </c>
      <c r="E70" s="313">
        <v>66740</v>
      </c>
      <c r="F70" s="313">
        <v>1000000</v>
      </c>
      <c r="G70" s="316">
        <v>0</v>
      </c>
      <c r="H70" s="317" t="s">
        <v>15404</v>
      </c>
      <c r="I70" s="317" t="s">
        <v>15403</v>
      </c>
      <c r="K70" s="313">
        <v>66740</v>
      </c>
      <c r="L70" s="313">
        <v>66740</v>
      </c>
      <c r="M70" s="313">
        <v>0</v>
      </c>
      <c r="N70" s="313">
        <v>0</v>
      </c>
      <c r="O70" s="313">
        <v>0</v>
      </c>
      <c r="P70" s="313">
        <v>0</v>
      </c>
      <c r="Q70" s="313">
        <v>0</v>
      </c>
      <c r="R70" s="313">
        <v>0</v>
      </c>
      <c r="S70" s="313">
        <v>0</v>
      </c>
      <c r="T70" s="313">
        <v>0</v>
      </c>
      <c r="U70" s="313">
        <v>0</v>
      </c>
      <c r="V70" s="313">
        <v>0</v>
      </c>
      <c r="W70" s="313">
        <v>0</v>
      </c>
      <c r="X70" s="313">
        <v>0</v>
      </c>
      <c r="Y70" s="313">
        <v>0</v>
      </c>
      <c r="Z70" s="313">
        <v>0</v>
      </c>
      <c r="AA70" s="313">
        <v>0</v>
      </c>
      <c r="AB70" s="315"/>
      <c r="AD70" s="313">
        <v>133480</v>
      </c>
      <c r="AE70" s="313">
        <v>340390.04380996648</v>
      </c>
      <c r="AF70" s="314">
        <v>0.39213837897832121</v>
      </c>
      <c r="AG70" s="313">
        <v>206910.04380996648</v>
      </c>
    </row>
    <row r="71" spans="1:33" ht="13.8" customHeight="1" x14ac:dyDescent="0.25">
      <c r="A71" s="283"/>
      <c r="B71" s="315" t="s">
        <v>460</v>
      </c>
      <c r="C71" s="289" t="s">
        <v>224</v>
      </c>
      <c r="D71" s="313">
        <v>100000</v>
      </c>
      <c r="E71" s="313">
        <v>65758</v>
      </c>
      <c r="F71" s="313">
        <v>0</v>
      </c>
      <c r="G71" s="316">
        <v>65758</v>
      </c>
      <c r="H71" s="317" t="s">
        <v>15406</v>
      </c>
      <c r="I71" s="317" t="s">
        <v>15403</v>
      </c>
      <c r="K71" s="313">
        <v>65758</v>
      </c>
      <c r="L71" s="313">
        <v>65758</v>
      </c>
      <c r="M71" s="313">
        <v>0</v>
      </c>
      <c r="N71" s="313">
        <v>0</v>
      </c>
      <c r="O71" s="313">
        <v>0</v>
      </c>
      <c r="P71" s="313">
        <v>0</v>
      </c>
      <c r="Q71" s="313">
        <v>0</v>
      </c>
      <c r="R71" s="313">
        <v>0</v>
      </c>
      <c r="S71" s="313">
        <v>0</v>
      </c>
      <c r="T71" s="313">
        <v>0</v>
      </c>
      <c r="U71" s="313">
        <v>0</v>
      </c>
      <c r="V71" s="313">
        <v>0</v>
      </c>
      <c r="W71" s="313">
        <v>0</v>
      </c>
      <c r="X71" s="313">
        <v>0</v>
      </c>
      <c r="Y71" s="313">
        <v>0</v>
      </c>
      <c r="Z71" s="313">
        <v>0</v>
      </c>
      <c r="AA71" s="313">
        <v>0</v>
      </c>
      <c r="AB71" s="315"/>
      <c r="AD71" s="313">
        <v>267958</v>
      </c>
      <c r="AE71" s="313">
        <v>417600</v>
      </c>
      <c r="AF71" s="314">
        <v>0.64166187739463598</v>
      </c>
      <c r="AG71" s="313">
        <v>149642</v>
      </c>
    </row>
    <row r="72" spans="1:33" ht="13.8" customHeight="1" x14ac:dyDescent="0.25">
      <c r="A72" s="283"/>
      <c r="B72" s="315" t="s">
        <v>460</v>
      </c>
      <c r="C72" s="289" t="s">
        <v>357</v>
      </c>
      <c r="D72" s="313">
        <v>2000000</v>
      </c>
      <c r="E72" s="313">
        <v>62590</v>
      </c>
      <c r="F72" s="313">
        <v>2000000</v>
      </c>
      <c r="G72" s="316">
        <v>0</v>
      </c>
      <c r="H72" s="317" t="s">
        <v>15404</v>
      </c>
      <c r="I72" s="317" t="s">
        <v>15403</v>
      </c>
      <c r="K72" s="313">
        <v>62590</v>
      </c>
      <c r="L72" s="313">
        <v>62590</v>
      </c>
      <c r="M72" s="313">
        <v>0</v>
      </c>
      <c r="N72" s="313">
        <v>0</v>
      </c>
      <c r="O72" s="313">
        <v>0</v>
      </c>
      <c r="P72" s="313">
        <v>0</v>
      </c>
      <c r="Q72" s="313">
        <v>0</v>
      </c>
      <c r="R72" s="313">
        <v>0</v>
      </c>
      <c r="S72" s="313">
        <v>0</v>
      </c>
      <c r="T72" s="313">
        <v>0</v>
      </c>
      <c r="U72" s="313">
        <v>0</v>
      </c>
      <c r="V72" s="313">
        <v>0</v>
      </c>
      <c r="W72" s="313">
        <v>0</v>
      </c>
      <c r="X72" s="313">
        <v>0</v>
      </c>
      <c r="Y72" s="313">
        <v>0</v>
      </c>
      <c r="Z72" s="313">
        <v>0</v>
      </c>
      <c r="AA72" s="313">
        <v>0</v>
      </c>
      <c r="AB72" s="315"/>
      <c r="AD72" s="313">
        <v>853135.5</v>
      </c>
      <c r="AE72" s="313">
        <v>1082400</v>
      </c>
      <c r="AF72" s="314">
        <v>0.78818874722838139</v>
      </c>
      <c r="AG72" s="313">
        <v>229264.5</v>
      </c>
    </row>
    <row r="73" spans="1:33" ht="13.8" customHeight="1" x14ac:dyDescent="0.25">
      <c r="A73" s="283"/>
      <c r="B73" s="315" t="s">
        <v>764</v>
      </c>
      <c r="C73" s="289" t="s">
        <v>550</v>
      </c>
      <c r="D73" s="313">
        <v>990000</v>
      </c>
      <c r="E73" s="313">
        <v>49956.68</v>
      </c>
      <c r="F73" s="313">
        <v>990000</v>
      </c>
      <c r="G73" s="316">
        <v>0</v>
      </c>
      <c r="H73" s="317" t="s">
        <v>15404</v>
      </c>
      <c r="I73" s="317" t="s">
        <v>15403</v>
      </c>
      <c r="K73" s="313">
        <v>49956.68</v>
      </c>
      <c r="L73" s="313">
        <v>49956.68</v>
      </c>
      <c r="M73" s="313">
        <v>0</v>
      </c>
      <c r="N73" s="313">
        <v>0</v>
      </c>
      <c r="O73" s="313">
        <v>0</v>
      </c>
      <c r="P73" s="313">
        <v>0</v>
      </c>
      <c r="Q73" s="313">
        <v>0</v>
      </c>
      <c r="R73" s="313">
        <v>0</v>
      </c>
      <c r="S73" s="313">
        <v>0</v>
      </c>
      <c r="T73" s="313">
        <v>0</v>
      </c>
      <c r="U73" s="313">
        <v>0</v>
      </c>
      <c r="V73" s="313">
        <v>0</v>
      </c>
      <c r="W73" s="313">
        <v>0</v>
      </c>
      <c r="X73" s="313">
        <v>0</v>
      </c>
      <c r="Y73" s="313">
        <v>0</v>
      </c>
      <c r="Z73" s="313">
        <v>0</v>
      </c>
      <c r="AA73" s="313">
        <v>0</v>
      </c>
      <c r="AB73" s="315"/>
      <c r="AD73" s="313">
        <v>49956.68</v>
      </c>
      <c r="AE73" s="313">
        <v>147234</v>
      </c>
      <c r="AF73" s="314">
        <v>0.33930124835296194</v>
      </c>
      <c r="AG73" s="313">
        <v>97277.32</v>
      </c>
    </row>
    <row r="74" spans="1:33" ht="13.8" customHeight="1" x14ac:dyDescent="0.25">
      <c r="A74" s="283"/>
      <c r="B74" s="315" t="s">
        <v>460</v>
      </c>
      <c r="C74" s="289" t="s">
        <v>84</v>
      </c>
      <c r="D74" s="313">
        <v>75000</v>
      </c>
      <c r="E74" s="313">
        <v>49880</v>
      </c>
      <c r="F74" s="313">
        <v>0</v>
      </c>
      <c r="G74" s="316">
        <v>49880</v>
      </c>
      <c r="H74" s="317" t="s">
        <v>15406</v>
      </c>
      <c r="I74" s="317" t="s">
        <v>15403</v>
      </c>
      <c r="K74" s="313">
        <v>49880</v>
      </c>
      <c r="L74" s="313">
        <v>49880</v>
      </c>
      <c r="M74" s="313">
        <v>0</v>
      </c>
      <c r="N74" s="313">
        <v>0</v>
      </c>
      <c r="O74" s="313">
        <v>0</v>
      </c>
      <c r="P74" s="313">
        <v>0</v>
      </c>
      <c r="Q74" s="313">
        <v>0</v>
      </c>
      <c r="R74" s="313">
        <v>0</v>
      </c>
      <c r="S74" s="313">
        <v>0</v>
      </c>
      <c r="T74" s="313">
        <v>0</v>
      </c>
      <c r="U74" s="313">
        <v>0</v>
      </c>
      <c r="V74" s="313">
        <v>0</v>
      </c>
      <c r="W74" s="313">
        <v>0</v>
      </c>
      <c r="X74" s="313">
        <v>0</v>
      </c>
      <c r="Y74" s="313">
        <v>0</v>
      </c>
      <c r="Z74" s="313">
        <v>0</v>
      </c>
      <c r="AA74" s="313">
        <v>0</v>
      </c>
      <c r="AB74" s="315"/>
      <c r="AD74" s="313">
        <v>152080</v>
      </c>
      <c r="AE74" s="313">
        <v>474600.79573553341</v>
      </c>
      <c r="AF74" s="314">
        <v>0.32043772654090757</v>
      </c>
      <c r="AG74" s="313">
        <v>322520.79573553341</v>
      </c>
    </row>
    <row r="75" spans="1:33" ht="13.8" customHeight="1" x14ac:dyDescent="0.25">
      <c r="A75" s="283"/>
      <c r="B75" s="315" t="s">
        <v>460</v>
      </c>
      <c r="C75" s="289" t="s">
        <v>709</v>
      </c>
      <c r="D75" s="313">
        <v>0</v>
      </c>
      <c r="E75" s="313">
        <v>49440</v>
      </c>
      <c r="F75" s="313">
        <v>0</v>
      </c>
      <c r="G75" s="316">
        <v>49440</v>
      </c>
      <c r="H75" s="317" t="s">
        <v>15405</v>
      </c>
      <c r="I75" s="317" t="s">
        <v>15394</v>
      </c>
      <c r="K75" s="313">
        <v>0</v>
      </c>
      <c r="L75" s="313">
        <v>0</v>
      </c>
      <c r="M75" s="313">
        <v>0</v>
      </c>
      <c r="N75" s="313">
        <v>0</v>
      </c>
      <c r="O75" s="313">
        <v>0</v>
      </c>
      <c r="P75" s="313">
        <v>0</v>
      </c>
      <c r="Q75" s="313">
        <v>0</v>
      </c>
      <c r="R75" s="313">
        <v>0</v>
      </c>
      <c r="S75" s="313">
        <v>49440</v>
      </c>
      <c r="T75" s="313">
        <v>0</v>
      </c>
      <c r="U75" s="313">
        <v>0</v>
      </c>
      <c r="V75" s="313">
        <v>0</v>
      </c>
      <c r="W75" s="313">
        <v>49440</v>
      </c>
      <c r="X75" s="313">
        <v>0</v>
      </c>
      <c r="Y75" s="313">
        <v>0</v>
      </c>
      <c r="Z75" s="313">
        <v>0</v>
      </c>
      <c r="AA75" s="313">
        <v>0</v>
      </c>
      <c r="AB75" s="315"/>
      <c r="AD75" s="313">
        <v>0</v>
      </c>
      <c r="AE75" s="313">
        <v>0</v>
      </c>
      <c r="AF75" s="314" t="s">
        <v>15403</v>
      </c>
      <c r="AG75" s="313">
        <v>0</v>
      </c>
    </row>
    <row r="76" spans="1:33" ht="13.8" customHeight="1" x14ac:dyDescent="0.25">
      <c r="A76" s="283"/>
      <c r="B76" s="315" t="s">
        <v>460</v>
      </c>
      <c r="C76" s="289" t="s">
        <v>159</v>
      </c>
      <c r="D76" s="313">
        <v>600000</v>
      </c>
      <c r="E76" s="313">
        <v>48336</v>
      </c>
      <c r="F76" s="313">
        <v>600000</v>
      </c>
      <c r="G76" s="316">
        <v>0</v>
      </c>
      <c r="H76" s="317" t="s">
        <v>15404</v>
      </c>
      <c r="I76" s="317" t="s">
        <v>15403</v>
      </c>
      <c r="K76" s="313">
        <v>48336</v>
      </c>
      <c r="L76" s="313">
        <v>48336</v>
      </c>
      <c r="M76" s="313">
        <v>0</v>
      </c>
      <c r="N76" s="313">
        <v>0</v>
      </c>
      <c r="O76" s="313">
        <v>0</v>
      </c>
      <c r="P76" s="313">
        <v>0</v>
      </c>
      <c r="Q76" s="313">
        <v>0</v>
      </c>
      <c r="R76" s="313">
        <v>0</v>
      </c>
      <c r="S76" s="313">
        <v>0</v>
      </c>
      <c r="T76" s="313">
        <v>0</v>
      </c>
      <c r="U76" s="313">
        <v>0</v>
      </c>
      <c r="V76" s="313">
        <v>0</v>
      </c>
      <c r="W76" s="313">
        <v>0</v>
      </c>
      <c r="X76" s="313">
        <v>0</v>
      </c>
      <c r="Y76" s="313">
        <v>0</v>
      </c>
      <c r="Z76" s="313">
        <v>0</v>
      </c>
      <c r="AA76" s="313">
        <v>0</v>
      </c>
      <c r="AB76" s="315"/>
      <c r="AD76" s="313">
        <v>48336</v>
      </c>
      <c r="AE76" s="313">
        <v>483029.4759052447</v>
      </c>
      <c r="AF76" s="314">
        <v>0.10006842731370293</v>
      </c>
      <c r="AG76" s="313">
        <v>434693.4759052447</v>
      </c>
    </row>
    <row r="77" spans="1:33" ht="13.8" customHeight="1" x14ac:dyDescent="0.25">
      <c r="A77" s="283"/>
      <c r="B77" s="315" t="s">
        <v>460</v>
      </c>
      <c r="C77" s="289" t="s">
        <v>370</v>
      </c>
      <c r="D77" s="313">
        <v>2000000</v>
      </c>
      <c r="E77" s="313">
        <v>46590.02</v>
      </c>
      <c r="F77" s="313">
        <v>2000000</v>
      </c>
      <c r="G77" s="316">
        <v>0</v>
      </c>
      <c r="H77" s="317" t="s">
        <v>15404</v>
      </c>
      <c r="I77" s="317" t="s">
        <v>15403</v>
      </c>
      <c r="K77" s="313">
        <v>46590.02</v>
      </c>
      <c r="L77" s="313">
        <v>46590.02</v>
      </c>
      <c r="M77" s="313">
        <v>0</v>
      </c>
      <c r="N77" s="313">
        <v>0</v>
      </c>
      <c r="O77" s="313">
        <v>0</v>
      </c>
      <c r="P77" s="313">
        <v>0</v>
      </c>
      <c r="Q77" s="313">
        <v>0</v>
      </c>
      <c r="R77" s="313">
        <v>0</v>
      </c>
      <c r="S77" s="313">
        <v>0</v>
      </c>
      <c r="T77" s="313">
        <v>0</v>
      </c>
      <c r="U77" s="313">
        <v>0</v>
      </c>
      <c r="V77" s="313">
        <v>0</v>
      </c>
      <c r="W77" s="313">
        <v>0</v>
      </c>
      <c r="X77" s="313">
        <v>0</v>
      </c>
      <c r="Y77" s="313">
        <v>0</v>
      </c>
      <c r="Z77" s="313">
        <v>0</v>
      </c>
      <c r="AA77" s="313">
        <v>0</v>
      </c>
      <c r="AB77" s="315"/>
      <c r="AD77" s="313">
        <v>0</v>
      </c>
      <c r="AE77" s="313">
        <v>2406105.5274159559</v>
      </c>
      <c r="AF77" s="314">
        <v>0</v>
      </c>
      <c r="AG77" s="313">
        <v>2406105.5274159559</v>
      </c>
    </row>
    <row r="78" spans="1:33" ht="13.8" customHeight="1" x14ac:dyDescent="0.25">
      <c r="A78" s="283"/>
      <c r="B78" s="315" t="s">
        <v>460</v>
      </c>
      <c r="C78" s="289" t="s">
        <v>425</v>
      </c>
      <c r="D78" s="313">
        <v>70000</v>
      </c>
      <c r="E78" s="313">
        <v>37660</v>
      </c>
      <c r="F78" s="313">
        <v>0</v>
      </c>
      <c r="G78" s="316">
        <v>37660</v>
      </c>
      <c r="H78" s="317" t="s">
        <v>15406</v>
      </c>
      <c r="I78" s="317" t="s">
        <v>15389</v>
      </c>
      <c r="K78" s="313">
        <v>37660</v>
      </c>
      <c r="L78" s="313">
        <v>37660</v>
      </c>
      <c r="M78" s="313">
        <v>0</v>
      </c>
      <c r="N78" s="313">
        <v>0</v>
      </c>
      <c r="O78" s="313">
        <v>0</v>
      </c>
      <c r="P78" s="313">
        <v>0</v>
      </c>
      <c r="Q78" s="313">
        <v>0</v>
      </c>
      <c r="R78" s="313">
        <v>0</v>
      </c>
      <c r="S78" s="313">
        <v>0</v>
      </c>
      <c r="T78" s="313">
        <v>0</v>
      </c>
      <c r="U78" s="313">
        <v>0</v>
      </c>
      <c r="V78" s="313">
        <v>0</v>
      </c>
      <c r="W78" s="313">
        <v>0</v>
      </c>
      <c r="X78" s="313">
        <v>0</v>
      </c>
      <c r="Y78" s="313">
        <v>0</v>
      </c>
      <c r="Z78" s="313">
        <v>0</v>
      </c>
      <c r="AA78" s="313">
        <v>0</v>
      </c>
      <c r="AB78" s="315"/>
      <c r="AD78" s="313">
        <v>63950</v>
      </c>
      <c r="AE78" s="313">
        <v>275946.30747330689</v>
      </c>
      <c r="AF78" s="314">
        <v>0.23174798237220867</v>
      </c>
      <c r="AG78" s="313">
        <v>211996.30747330689</v>
      </c>
    </row>
    <row r="79" spans="1:33" ht="13.8" customHeight="1" x14ac:dyDescent="0.25">
      <c r="A79" s="283"/>
      <c r="B79" s="315" t="s">
        <v>767</v>
      </c>
      <c r="C79" s="289" t="s">
        <v>80</v>
      </c>
      <c r="D79" s="313">
        <v>0</v>
      </c>
      <c r="E79" s="313">
        <v>20940</v>
      </c>
      <c r="F79" s="313">
        <v>0</v>
      </c>
      <c r="G79" s="316">
        <v>20940</v>
      </c>
      <c r="H79" s="317" t="s">
        <v>15402</v>
      </c>
      <c r="I79" s="317" t="s">
        <v>15403</v>
      </c>
      <c r="K79" s="313">
        <v>0</v>
      </c>
      <c r="L79" s="313">
        <v>0</v>
      </c>
      <c r="M79" s="313">
        <v>0</v>
      </c>
      <c r="N79" s="313">
        <v>0</v>
      </c>
      <c r="O79" s="313">
        <v>0</v>
      </c>
      <c r="P79" s="313">
        <v>0</v>
      </c>
      <c r="Q79" s="313">
        <v>0</v>
      </c>
      <c r="R79" s="313">
        <v>0</v>
      </c>
      <c r="S79" s="313">
        <v>0</v>
      </c>
      <c r="T79" s="313">
        <v>0</v>
      </c>
      <c r="U79" s="313">
        <v>0</v>
      </c>
      <c r="V79" s="313">
        <v>0</v>
      </c>
      <c r="W79" s="313">
        <v>0</v>
      </c>
      <c r="X79" s="313">
        <v>0</v>
      </c>
      <c r="Y79" s="313">
        <v>0</v>
      </c>
      <c r="Z79" s="313">
        <v>0</v>
      </c>
      <c r="AA79" s="313">
        <v>20940</v>
      </c>
      <c r="AB79" s="315"/>
      <c r="AD79" s="313">
        <v>0</v>
      </c>
      <c r="AE79" s="313">
        <v>0</v>
      </c>
      <c r="AF79" s="314" t="s">
        <v>15403</v>
      </c>
      <c r="AG79" s="313">
        <v>0</v>
      </c>
    </row>
    <row r="80" spans="1:33" ht="13.8" customHeight="1" x14ac:dyDescent="0.25">
      <c r="A80" s="283"/>
      <c r="B80" s="315" t="s">
        <v>460</v>
      </c>
      <c r="C80" s="289" t="s">
        <v>349</v>
      </c>
      <c r="D80" s="313">
        <v>120000</v>
      </c>
      <c r="E80" s="313">
        <v>17125</v>
      </c>
      <c r="F80" s="313">
        <v>120000</v>
      </c>
      <c r="G80" s="316">
        <v>0</v>
      </c>
      <c r="H80" s="317" t="s">
        <v>15404</v>
      </c>
      <c r="I80" s="317" t="s">
        <v>15403</v>
      </c>
      <c r="K80" s="313">
        <v>17125</v>
      </c>
      <c r="L80" s="313">
        <v>17125</v>
      </c>
      <c r="M80" s="313">
        <v>0</v>
      </c>
      <c r="N80" s="313">
        <v>0</v>
      </c>
      <c r="O80" s="313">
        <v>0</v>
      </c>
      <c r="P80" s="313">
        <v>0</v>
      </c>
      <c r="Q80" s="313">
        <v>0</v>
      </c>
      <c r="R80" s="313">
        <v>0</v>
      </c>
      <c r="S80" s="313">
        <v>0</v>
      </c>
      <c r="T80" s="313">
        <v>0</v>
      </c>
      <c r="U80" s="313">
        <v>0</v>
      </c>
      <c r="V80" s="313">
        <v>0</v>
      </c>
      <c r="W80" s="313">
        <v>0</v>
      </c>
      <c r="X80" s="313">
        <v>0</v>
      </c>
      <c r="Y80" s="313">
        <v>0</v>
      </c>
      <c r="Z80" s="313">
        <v>0</v>
      </c>
      <c r="AA80" s="313">
        <v>0</v>
      </c>
      <c r="AB80" s="315"/>
      <c r="AD80" s="313">
        <v>34250</v>
      </c>
      <c r="AE80" s="313">
        <v>120000</v>
      </c>
      <c r="AF80" s="314">
        <v>0.28541666666666665</v>
      </c>
      <c r="AG80" s="313">
        <v>85750</v>
      </c>
    </row>
    <row r="81" spans="1:35" ht="13.8" customHeight="1" x14ac:dyDescent="0.25">
      <c r="A81" s="283"/>
      <c r="B81" s="315" t="s">
        <v>306</v>
      </c>
      <c r="C81" s="289" t="s">
        <v>365</v>
      </c>
      <c r="D81" s="313">
        <v>700000</v>
      </c>
      <c r="E81" s="313">
        <v>5030.5</v>
      </c>
      <c r="F81" s="313">
        <v>700000</v>
      </c>
      <c r="G81" s="316">
        <v>0</v>
      </c>
      <c r="H81" s="317" t="s">
        <v>15404</v>
      </c>
      <c r="I81" s="317" t="s">
        <v>15403</v>
      </c>
      <c r="K81" s="313">
        <v>5030.5</v>
      </c>
      <c r="L81" s="313">
        <v>0</v>
      </c>
      <c r="M81" s="313">
        <v>5030.5</v>
      </c>
      <c r="N81" s="313">
        <v>0</v>
      </c>
      <c r="O81" s="313">
        <v>0</v>
      </c>
      <c r="P81" s="313">
        <v>0</v>
      </c>
      <c r="Q81" s="313">
        <v>0</v>
      </c>
      <c r="R81" s="313">
        <v>0</v>
      </c>
      <c r="S81" s="313">
        <v>0</v>
      </c>
      <c r="T81" s="313">
        <v>0</v>
      </c>
      <c r="U81" s="313">
        <v>0</v>
      </c>
      <c r="V81" s="313">
        <v>0</v>
      </c>
      <c r="W81" s="313">
        <v>0</v>
      </c>
      <c r="X81" s="313">
        <v>0</v>
      </c>
      <c r="Y81" s="313">
        <v>0</v>
      </c>
      <c r="Z81" s="313">
        <v>0</v>
      </c>
      <c r="AA81" s="313">
        <v>0</v>
      </c>
      <c r="AB81" s="315"/>
      <c r="AD81" s="313">
        <v>0</v>
      </c>
      <c r="AE81" s="313">
        <v>816809.25072225276</v>
      </c>
      <c r="AF81" s="314">
        <v>0</v>
      </c>
      <c r="AG81" s="313">
        <v>816809.25072225276</v>
      </c>
    </row>
    <row r="82" spans="1:35" ht="13.8" customHeight="1" x14ac:dyDescent="0.25">
      <c r="A82" s="283"/>
      <c r="B82" s="315" t="s">
        <v>460</v>
      </c>
      <c r="C82" s="289" t="s">
        <v>770</v>
      </c>
      <c r="D82" s="313">
        <v>0</v>
      </c>
      <c r="E82" s="313">
        <v>1743</v>
      </c>
      <c r="F82" s="313">
        <v>0</v>
      </c>
      <c r="G82" s="316">
        <v>1743</v>
      </c>
      <c r="H82" s="317" t="s">
        <v>15407</v>
      </c>
      <c r="I82" s="317" t="s">
        <v>15403</v>
      </c>
      <c r="K82" s="313">
        <v>1162</v>
      </c>
      <c r="L82" s="313">
        <v>581</v>
      </c>
      <c r="M82" s="313">
        <v>581</v>
      </c>
      <c r="N82" s="313">
        <v>0</v>
      </c>
      <c r="O82" s="313">
        <v>0</v>
      </c>
      <c r="P82" s="313">
        <v>0</v>
      </c>
      <c r="Q82" s="313">
        <v>0</v>
      </c>
      <c r="R82" s="313">
        <v>0</v>
      </c>
      <c r="S82" s="313">
        <v>581</v>
      </c>
      <c r="T82" s="313">
        <v>581</v>
      </c>
      <c r="U82" s="313">
        <v>0</v>
      </c>
      <c r="V82" s="313">
        <v>0</v>
      </c>
      <c r="W82" s="313">
        <v>0</v>
      </c>
      <c r="X82" s="313">
        <v>0</v>
      </c>
      <c r="Y82" s="313">
        <v>0</v>
      </c>
      <c r="Z82" s="313">
        <v>0</v>
      </c>
      <c r="AA82" s="313">
        <v>0</v>
      </c>
      <c r="AB82" s="315"/>
      <c r="AD82" s="313">
        <v>0</v>
      </c>
      <c r="AE82" s="313">
        <v>0</v>
      </c>
      <c r="AF82" s="314" t="s">
        <v>15403</v>
      </c>
      <c r="AG82" s="313">
        <v>0</v>
      </c>
    </row>
    <row r="83" spans="1:35" ht="13.8" customHeight="1" x14ac:dyDescent="0.25">
      <c r="A83" s="283"/>
      <c r="B83" s="315" t="s">
        <v>764</v>
      </c>
      <c r="C83" s="289" t="s">
        <v>579</v>
      </c>
      <c r="D83" s="313">
        <v>330000</v>
      </c>
      <c r="E83" s="313">
        <v>1380.52</v>
      </c>
      <c r="F83" s="313">
        <v>330000</v>
      </c>
      <c r="G83" s="316">
        <v>0</v>
      </c>
      <c r="H83" s="317" t="s">
        <v>15404</v>
      </c>
      <c r="I83" s="317" t="s">
        <v>15396</v>
      </c>
      <c r="K83" s="313">
        <v>0</v>
      </c>
      <c r="L83" s="313">
        <v>0</v>
      </c>
      <c r="M83" s="313">
        <v>0</v>
      </c>
      <c r="N83" s="313">
        <v>0</v>
      </c>
      <c r="O83" s="313">
        <v>0</v>
      </c>
      <c r="P83" s="313">
        <v>0</v>
      </c>
      <c r="Q83" s="313">
        <v>0</v>
      </c>
      <c r="R83" s="313">
        <v>0</v>
      </c>
      <c r="S83" s="313">
        <v>1380.52</v>
      </c>
      <c r="T83" s="313">
        <v>0</v>
      </c>
      <c r="U83" s="313">
        <v>853.24</v>
      </c>
      <c r="V83" s="313">
        <v>0</v>
      </c>
      <c r="W83" s="313">
        <v>0</v>
      </c>
      <c r="X83" s="313">
        <v>0</v>
      </c>
      <c r="Y83" s="313">
        <v>527.28</v>
      </c>
      <c r="Z83" s="313">
        <v>0</v>
      </c>
      <c r="AA83" s="313">
        <v>0</v>
      </c>
      <c r="AB83" s="315"/>
      <c r="AD83" s="313">
        <v>356495.72</v>
      </c>
      <c r="AE83" s="313">
        <v>534240</v>
      </c>
      <c r="AF83" s="314">
        <v>0.66729507337526195</v>
      </c>
      <c r="AG83" s="313">
        <v>177744.28000000003</v>
      </c>
    </row>
    <row r="84" spans="1:35" ht="13.8" customHeight="1" x14ac:dyDescent="0.25">
      <c r="A84" s="283"/>
      <c r="B84" s="315" t="s">
        <v>306</v>
      </c>
      <c r="C84" s="289" t="s">
        <v>562</v>
      </c>
      <c r="D84" s="313">
        <v>50000</v>
      </c>
      <c r="E84" s="313">
        <v>861.6</v>
      </c>
      <c r="F84" s="313">
        <v>50000</v>
      </c>
      <c r="G84" s="316">
        <v>0</v>
      </c>
      <c r="H84" s="317" t="s">
        <v>15404</v>
      </c>
      <c r="I84" s="317" t="s">
        <v>15403</v>
      </c>
      <c r="K84" s="313">
        <v>861.6</v>
      </c>
      <c r="L84" s="313">
        <v>861.6</v>
      </c>
      <c r="M84" s="313">
        <v>0</v>
      </c>
      <c r="N84" s="313">
        <v>0</v>
      </c>
      <c r="O84" s="313">
        <v>0</v>
      </c>
      <c r="P84" s="313">
        <v>0</v>
      </c>
      <c r="Q84" s="313">
        <v>0</v>
      </c>
      <c r="R84" s="313">
        <v>0</v>
      </c>
      <c r="S84" s="313">
        <v>0</v>
      </c>
      <c r="T84" s="313">
        <v>0</v>
      </c>
      <c r="U84" s="313">
        <v>0</v>
      </c>
      <c r="V84" s="313">
        <v>0</v>
      </c>
      <c r="W84" s="313">
        <v>0</v>
      </c>
      <c r="X84" s="313">
        <v>0</v>
      </c>
      <c r="Y84" s="313">
        <v>0</v>
      </c>
      <c r="Z84" s="313">
        <v>0</v>
      </c>
      <c r="AA84" s="313">
        <v>0</v>
      </c>
      <c r="AB84" s="315"/>
      <c r="AD84" s="313">
        <v>43080</v>
      </c>
      <c r="AE84" s="313">
        <v>0</v>
      </c>
      <c r="AF84" s="314" t="s">
        <v>15403</v>
      </c>
      <c r="AG84" s="313">
        <v>0</v>
      </c>
    </row>
    <row r="85" spans="1:35" ht="13.8" customHeight="1" x14ac:dyDescent="0.25">
      <c r="A85" s="283"/>
      <c r="B85" s="315" t="s">
        <v>460</v>
      </c>
      <c r="C85" s="289" t="s">
        <v>334</v>
      </c>
      <c r="D85" s="313">
        <v>0</v>
      </c>
      <c r="E85" s="313">
        <v>300</v>
      </c>
      <c r="F85" s="313">
        <v>0</v>
      </c>
      <c r="G85" s="316">
        <v>300</v>
      </c>
      <c r="H85" s="317" t="s">
        <v>15405</v>
      </c>
      <c r="I85" s="317" t="s">
        <v>15397</v>
      </c>
      <c r="K85" s="313">
        <v>0</v>
      </c>
      <c r="L85" s="313">
        <v>0</v>
      </c>
      <c r="M85" s="313">
        <v>0</v>
      </c>
      <c r="N85" s="313">
        <v>0</v>
      </c>
      <c r="O85" s="313">
        <v>0</v>
      </c>
      <c r="P85" s="313">
        <v>0</v>
      </c>
      <c r="Q85" s="313">
        <v>0</v>
      </c>
      <c r="R85" s="313">
        <v>0</v>
      </c>
      <c r="S85" s="313">
        <v>300</v>
      </c>
      <c r="T85" s="313">
        <v>0</v>
      </c>
      <c r="U85" s="313">
        <v>0</v>
      </c>
      <c r="V85" s="313">
        <v>0</v>
      </c>
      <c r="W85" s="313">
        <v>0</v>
      </c>
      <c r="X85" s="313">
        <v>0</v>
      </c>
      <c r="Y85" s="313">
        <v>0</v>
      </c>
      <c r="Z85" s="313">
        <v>300</v>
      </c>
      <c r="AA85" s="313">
        <v>0</v>
      </c>
      <c r="AB85" s="315"/>
      <c r="AD85" s="313">
        <v>0</v>
      </c>
      <c r="AE85" s="313">
        <v>0</v>
      </c>
      <c r="AF85" s="314" t="s">
        <v>15403</v>
      </c>
      <c r="AG85" s="313">
        <v>0</v>
      </c>
    </row>
    <row r="86" spans="1:35" ht="13.8" customHeight="1" x14ac:dyDescent="0.25">
      <c r="A86" s="283"/>
      <c r="B86" s="315" t="s">
        <v>460</v>
      </c>
      <c r="C86" s="289" t="s">
        <v>237</v>
      </c>
      <c r="D86" s="313">
        <v>0</v>
      </c>
      <c r="E86" s="313">
        <v>100</v>
      </c>
      <c r="F86" s="313">
        <v>0</v>
      </c>
      <c r="G86" s="316">
        <v>100</v>
      </c>
      <c r="H86" s="317" t="s">
        <v>15407</v>
      </c>
      <c r="I86" s="317" t="s">
        <v>15403</v>
      </c>
      <c r="K86" s="313">
        <v>0</v>
      </c>
      <c r="L86" s="313">
        <v>0</v>
      </c>
      <c r="M86" s="313">
        <v>0</v>
      </c>
      <c r="N86" s="313">
        <v>0</v>
      </c>
      <c r="O86" s="313">
        <v>0</v>
      </c>
      <c r="P86" s="313">
        <v>0</v>
      </c>
      <c r="Q86" s="313">
        <v>0</v>
      </c>
      <c r="R86" s="313">
        <v>0</v>
      </c>
      <c r="S86" s="313">
        <v>100</v>
      </c>
      <c r="T86" s="313">
        <v>0</v>
      </c>
      <c r="U86" s="313">
        <v>0</v>
      </c>
      <c r="V86" s="313">
        <v>0</v>
      </c>
      <c r="W86" s="313">
        <v>0</v>
      </c>
      <c r="X86" s="313">
        <v>0</v>
      </c>
      <c r="Y86" s="313">
        <v>0</v>
      </c>
      <c r="Z86" s="313">
        <v>100</v>
      </c>
      <c r="AA86" s="313">
        <v>0</v>
      </c>
      <c r="AB86" s="315"/>
      <c r="AD86" s="313">
        <v>0</v>
      </c>
      <c r="AE86" s="313">
        <v>0</v>
      </c>
      <c r="AF86" s="314" t="s">
        <v>15403</v>
      </c>
      <c r="AG86" s="313">
        <v>0</v>
      </c>
    </row>
    <row r="87" spans="1:35" ht="13.8" customHeight="1" x14ac:dyDescent="0.25">
      <c r="A87" s="283"/>
      <c r="B87" s="315" t="s">
        <v>460</v>
      </c>
      <c r="C87" s="289" t="s">
        <v>278</v>
      </c>
      <c r="D87" s="313">
        <v>0</v>
      </c>
      <c r="E87" s="313">
        <v>50</v>
      </c>
      <c r="F87" s="313">
        <v>0</v>
      </c>
      <c r="G87" s="316">
        <v>50</v>
      </c>
      <c r="H87" s="317" t="s">
        <v>15407</v>
      </c>
      <c r="I87" s="317" t="s">
        <v>15403</v>
      </c>
      <c r="K87" s="313">
        <v>0</v>
      </c>
      <c r="L87" s="313">
        <v>0</v>
      </c>
      <c r="M87" s="313">
        <v>0</v>
      </c>
      <c r="N87" s="313">
        <v>0</v>
      </c>
      <c r="O87" s="313">
        <v>0</v>
      </c>
      <c r="P87" s="313">
        <v>0</v>
      </c>
      <c r="Q87" s="313">
        <v>0</v>
      </c>
      <c r="R87" s="313">
        <v>0</v>
      </c>
      <c r="S87" s="313">
        <v>50</v>
      </c>
      <c r="T87" s="313">
        <v>0</v>
      </c>
      <c r="U87" s="313">
        <v>0</v>
      </c>
      <c r="V87" s="313">
        <v>0</v>
      </c>
      <c r="W87" s="313">
        <v>0</v>
      </c>
      <c r="X87" s="313">
        <v>0</v>
      </c>
      <c r="Y87" s="313">
        <v>0</v>
      </c>
      <c r="Z87" s="313">
        <v>50</v>
      </c>
      <c r="AA87" s="313">
        <v>0</v>
      </c>
      <c r="AB87" s="315"/>
      <c r="AD87" s="313">
        <v>0</v>
      </c>
      <c r="AE87" s="313">
        <v>0</v>
      </c>
      <c r="AF87" s="314" t="s">
        <v>15403</v>
      </c>
      <c r="AG87" s="313">
        <v>0</v>
      </c>
    </row>
    <row r="92" spans="1:35" x14ac:dyDescent="0.25">
      <c r="AI92" s="283"/>
    </row>
    <row r="93" spans="1:35" x14ac:dyDescent="0.25">
      <c r="AI93" s="283"/>
    </row>
    <row r="94" spans="1:35" x14ac:dyDescent="0.25">
      <c r="AI94" s="283"/>
    </row>
    <row r="95" spans="1:35" x14ac:dyDescent="0.25">
      <c r="AI95" s="283"/>
    </row>
  </sheetData>
  <autoFilter ref="B4:AG87" xr:uid="{D276AAD1-3B24-4E8A-8E51-D8FB0EA43227}"/>
  <mergeCells count="1">
    <mergeCell ref="AD2:AG2"/>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A7E5-8EDD-4B54-9904-6BBC304825D2}">
  <sheetPr>
    <tabColor rgb="FF00B050"/>
  </sheetPr>
  <dimension ref="B2:K195"/>
  <sheetViews>
    <sheetView showGridLines="0" workbookViewId="0">
      <selection activeCell="B4" sqref="B4:AA144"/>
      <extLst>
        <ext xmlns:xlsdti="http://schemas.microsoft.com/office/spreadsheetml/2023/showDataTypeIcons" uri="{77bfe23e-c014-4d31-8a63-9c772dbf06b6}">
          <xlsdti:showDataTypeIcons visible="0"/>
        </ext>
      </extLst>
    </sheetView>
  </sheetViews>
  <sheetFormatPr defaultColWidth="8.44140625" defaultRowHeight="13.2" x14ac:dyDescent="0.25"/>
  <cols>
    <col min="2" max="2" width="9.88671875" bestFit="1" customWidth="1"/>
    <col min="3" max="3" width="77.21875" bestFit="1" customWidth="1"/>
    <col min="4" max="4" width="16.21875" style="303" hidden="1" customWidth="1"/>
    <col min="5" max="5" width="14.44140625" style="303" hidden="1" customWidth="1"/>
    <col min="6" max="6" width="15" customWidth="1"/>
    <col min="7" max="7" width="14.88671875" bestFit="1" customWidth="1"/>
    <col min="8" max="8" width="6.33203125" customWidth="1"/>
    <col min="9" max="9" width="6.6640625" customWidth="1"/>
    <col min="11" max="11" width="10.6640625" hidden="1" customWidth="1"/>
    <col min="258" max="258" width="8" bestFit="1" customWidth="1"/>
    <col min="259" max="259" width="69.88671875" bestFit="1" customWidth="1"/>
    <col min="260" max="260" width="13.21875" customWidth="1"/>
    <col min="261" max="261" width="16.6640625" customWidth="1"/>
    <col min="262" max="262" width="15" customWidth="1"/>
    <col min="263" max="263" width="17.44140625" customWidth="1"/>
    <col min="264" max="264" width="6.33203125" customWidth="1"/>
    <col min="265" max="265" width="6.6640625" customWidth="1"/>
    <col min="267" max="267" width="0" hidden="1" customWidth="1"/>
    <col min="514" max="514" width="8" bestFit="1" customWidth="1"/>
    <col min="515" max="515" width="69.88671875" bestFit="1" customWidth="1"/>
    <col min="516" max="516" width="13.21875" customWidth="1"/>
    <col min="517" max="517" width="16.6640625" customWidth="1"/>
    <col min="518" max="518" width="15" customWidth="1"/>
    <col min="519" max="519" width="17.44140625" customWidth="1"/>
    <col min="520" max="520" width="6.33203125" customWidth="1"/>
    <col min="521" max="521" width="6.6640625" customWidth="1"/>
    <col min="523" max="523" width="0" hidden="1" customWidth="1"/>
    <col min="770" max="770" width="8" bestFit="1" customWidth="1"/>
    <col min="771" max="771" width="69.88671875" bestFit="1" customWidth="1"/>
    <col min="772" max="772" width="13.21875" customWidth="1"/>
    <col min="773" max="773" width="16.6640625" customWidth="1"/>
    <col min="774" max="774" width="15" customWidth="1"/>
    <col min="775" max="775" width="17.44140625" customWidth="1"/>
    <col min="776" max="776" width="6.33203125" customWidth="1"/>
    <col min="777" max="777" width="6.6640625" customWidth="1"/>
    <col min="779" max="779" width="0" hidden="1" customWidth="1"/>
    <col min="1026" max="1026" width="8" bestFit="1" customWidth="1"/>
    <col min="1027" max="1027" width="69.88671875" bestFit="1" customWidth="1"/>
    <col min="1028" max="1028" width="13.21875" customWidth="1"/>
    <col min="1029" max="1029" width="16.6640625" customWidth="1"/>
    <col min="1030" max="1030" width="15" customWidth="1"/>
    <col min="1031" max="1031" width="17.44140625" customWidth="1"/>
    <col min="1032" max="1032" width="6.33203125" customWidth="1"/>
    <col min="1033" max="1033" width="6.6640625" customWidth="1"/>
    <col min="1035" max="1035" width="0" hidden="1" customWidth="1"/>
    <col min="1282" max="1282" width="8" bestFit="1" customWidth="1"/>
    <col min="1283" max="1283" width="69.88671875" bestFit="1" customWidth="1"/>
    <col min="1284" max="1284" width="13.21875" customWidth="1"/>
    <col min="1285" max="1285" width="16.6640625" customWidth="1"/>
    <col min="1286" max="1286" width="15" customWidth="1"/>
    <col min="1287" max="1287" width="17.44140625" customWidth="1"/>
    <col min="1288" max="1288" width="6.33203125" customWidth="1"/>
    <col min="1289" max="1289" width="6.6640625" customWidth="1"/>
    <col min="1291" max="1291" width="0" hidden="1" customWidth="1"/>
    <col min="1538" max="1538" width="8" bestFit="1" customWidth="1"/>
    <col min="1539" max="1539" width="69.88671875" bestFit="1" customWidth="1"/>
    <col min="1540" max="1540" width="13.21875" customWidth="1"/>
    <col min="1541" max="1541" width="16.6640625" customWidth="1"/>
    <col min="1542" max="1542" width="15" customWidth="1"/>
    <col min="1543" max="1543" width="17.44140625" customWidth="1"/>
    <col min="1544" max="1544" width="6.33203125" customWidth="1"/>
    <col min="1545" max="1545" width="6.6640625" customWidth="1"/>
    <col min="1547" max="1547" width="0" hidden="1" customWidth="1"/>
    <col min="1794" max="1794" width="8" bestFit="1" customWidth="1"/>
    <col min="1795" max="1795" width="69.88671875" bestFit="1" customWidth="1"/>
    <col min="1796" max="1796" width="13.21875" customWidth="1"/>
    <col min="1797" max="1797" width="16.6640625" customWidth="1"/>
    <col min="1798" max="1798" width="15" customWidth="1"/>
    <col min="1799" max="1799" width="17.44140625" customWidth="1"/>
    <col min="1800" max="1800" width="6.33203125" customWidth="1"/>
    <col min="1801" max="1801" width="6.6640625" customWidth="1"/>
    <col min="1803" max="1803" width="0" hidden="1" customWidth="1"/>
    <col min="2050" max="2050" width="8" bestFit="1" customWidth="1"/>
    <col min="2051" max="2051" width="69.88671875" bestFit="1" customWidth="1"/>
    <col min="2052" max="2052" width="13.21875" customWidth="1"/>
    <col min="2053" max="2053" width="16.6640625" customWidth="1"/>
    <col min="2054" max="2054" width="15" customWidth="1"/>
    <col min="2055" max="2055" width="17.44140625" customWidth="1"/>
    <col min="2056" max="2056" width="6.33203125" customWidth="1"/>
    <col min="2057" max="2057" width="6.6640625" customWidth="1"/>
    <col min="2059" max="2059" width="0" hidden="1" customWidth="1"/>
    <col min="2306" max="2306" width="8" bestFit="1" customWidth="1"/>
    <col min="2307" max="2307" width="69.88671875" bestFit="1" customWidth="1"/>
    <col min="2308" max="2308" width="13.21875" customWidth="1"/>
    <col min="2309" max="2309" width="16.6640625" customWidth="1"/>
    <col min="2310" max="2310" width="15" customWidth="1"/>
    <col min="2311" max="2311" width="17.44140625" customWidth="1"/>
    <col min="2312" max="2312" width="6.33203125" customWidth="1"/>
    <col min="2313" max="2313" width="6.6640625" customWidth="1"/>
    <col min="2315" max="2315" width="0" hidden="1" customWidth="1"/>
    <col min="2562" max="2562" width="8" bestFit="1" customWidth="1"/>
    <col min="2563" max="2563" width="69.88671875" bestFit="1" customWidth="1"/>
    <col min="2564" max="2564" width="13.21875" customWidth="1"/>
    <col min="2565" max="2565" width="16.6640625" customWidth="1"/>
    <col min="2566" max="2566" width="15" customWidth="1"/>
    <col min="2567" max="2567" width="17.44140625" customWidth="1"/>
    <col min="2568" max="2568" width="6.33203125" customWidth="1"/>
    <col min="2569" max="2569" width="6.6640625" customWidth="1"/>
    <col min="2571" max="2571" width="0" hidden="1" customWidth="1"/>
    <col min="2818" max="2818" width="8" bestFit="1" customWidth="1"/>
    <col min="2819" max="2819" width="69.88671875" bestFit="1" customWidth="1"/>
    <col min="2820" max="2820" width="13.21875" customWidth="1"/>
    <col min="2821" max="2821" width="16.6640625" customWidth="1"/>
    <col min="2822" max="2822" width="15" customWidth="1"/>
    <col min="2823" max="2823" width="17.44140625" customWidth="1"/>
    <col min="2824" max="2824" width="6.33203125" customWidth="1"/>
    <col min="2825" max="2825" width="6.6640625" customWidth="1"/>
    <col min="2827" max="2827" width="0" hidden="1" customWidth="1"/>
    <col min="3074" max="3074" width="8" bestFit="1" customWidth="1"/>
    <col min="3075" max="3075" width="69.88671875" bestFit="1" customWidth="1"/>
    <col min="3076" max="3076" width="13.21875" customWidth="1"/>
    <col min="3077" max="3077" width="16.6640625" customWidth="1"/>
    <col min="3078" max="3078" width="15" customWidth="1"/>
    <col min="3079" max="3079" width="17.44140625" customWidth="1"/>
    <col min="3080" max="3080" width="6.33203125" customWidth="1"/>
    <col min="3081" max="3081" width="6.6640625" customWidth="1"/>
    <col min="3083" max="3083" width="0" hidden="1" customWidth="1"/>
    <col min="3330" max="3330" width="8" bestFit="1" customWidth="1"/>
    <col min="3331" max="3331" width="69.88671875" bestFit="1" customWidth="1"/>
    <col min="3332" max="3332" width="13.21875" customWidth="1"/>
    <col min="3333" max="3333" width="16.6640625" customWidth="1"/>
    <col min="3334" max="3334" width="15" customWidth="1"/>
    <col min="3335" max="3335" width="17.44140625" customWidth="1"/>
    <col min="3336" max="3336" width="6.33203125" customWidth="1"/>
    <col min="3337" max="3337" width="6.6640625" customWidth="1"/>
    <col min="3339" max="3339" width="0" hidden="1" customWidth="1"/>
    <col min="3586" max="3586" width="8" bestFit="1" customWidth="1"/>
    <col min="3587" max="3587" width="69.88671875" bestFit="1" customWidth="1"/>
    <col min="3588" max="3588" width="13.21875" customWidth="1"/>
    <col min="3589" max="3589" width="16.6640625" customWidth="1"/>
    <col min="3590" max="3590" width="15" customWidth="1"/>
    <col min="3591" max="3591" width="17.44140625" customWidth="1"/>
    <col min="3592" max="3592" width="6.33203125" customWidth="1"/>
    <col min="3593" max="3593" width="6.6640625" customWidth="1"/>
    <col min="3595" max="3595" width="0" hidden="1" customWidth="1"/>
    <col min="3842" max="3842" width="8" bestFit="1" customWidth="1"/>
    <col min="3843" max="3843" width="69.88671875" bestFit="1" customWidth="1"/>
    <col min="3844" max="3844" width="13.21875" customWidth="1"/>
    <col min="3845" max="3845" width="16.6640625" customWidth="1"/>
    <col min="3846" max="3846" width="15" customWidth="1"/>
    <col min="3847" max="3847" width="17.44140625" customWidth="1"/>
    <col min="3848" max="3848" width="6.33203125" customWidth="1"/>
    <col min="3849" max="3849" width="6.6640625" customWidth="1"/>
    <col min="3851" max="3851" width="0" hidden="1" customWidth="1"/>
    <col min="4098" max="4098" width="8" bestFit="1" customWidth="1"/>
    <col min="4099" max="4099" width="69.88671875" bestFit="1" customWidth="1"/>
    <col min="4100" max="4100" width="13.21875" customWidth="1"/>
    <col min="4101" max="4101" width="16.6640625" customWidth="1"/>
    <col min="4102" max="4102" width="15" customWidth="1"/>
    <col min="4103" max="4103" width="17.44140625" customWidth="1"/>
    <col min="4104" max="4104" width="6.33203125" customWidth="1"/>
    <col min="4105" max="4105" width="6.6640625" customWidth="1"/>
    <col min="4107" max="4107" width="0" hidden="1" customWidth="1"/>
    <col min="4354" max="4354" width="8" bestFit="1" customWidth="1"/>
    <col min="4355" max="4355" width="69.88671875" bestFit="1" customWidth="1"/>
    <col min="4356" max="4356" width="13.21875" customWidth="1"/>
    <col min="4357" max="4357" width="16.6640625" customWidth="1"/>
    <col min="4358" max="4358" width="15" customWidth="1"/>
    <col min="4359" max="4359" width="17.44140625" customWidth="1"/>
    <col min="4360" max="4360" width="6.33203125" customWidth="1"/>
    <col min="4361" max="4361" width="6.6640625" customWidth="1"/>
    <col min="4363" max="4363" width="0" hidden="1" customWidth="1"/>
    <col min="4610" max="4610" width="8" bestFit="1" customWidth="1"/>
    <col min="4611" max="4611" width="69.88671875" bestFit="1" customWidth="1"/>
    <col min="4612" max="4612" width="13.21875" customWidth="1"/>
    <col min="4613" max="4613" width="16.6640625" customWidth="1"/>
    <col min="4614" max="4614" width="15" customWidth="1"/>
    <col min="4615" max="4615" width="17.44140625" customWidth="1"/>
    <col min="4616" max="4616" width="6.33203125" customWidth="1"/>
    <col min="4617" max="4617" width="6.6640625" customWidth="1"/>
    <col min="4619" max="4619" width="0" hidden="1" customWidth="1"/>
    <col min="4866" max="4866" width="8" bestFit="1" customWidth="1"/>
    <col min="4867" max="4867" width="69.88671875" bestFit="1" customWidth="1"/>
    <col min="4868" max="4868" width="13.21875" customWidth="1"/>
    <col min="4869" max="4869" width="16.6640625" customWidth="1"/>
    <col min="4870" max="4870" width="15" customWidth="1"/>
    <col min="4871" max="4871" width="17.44140625" customWidth="1"/>
    <col min="4872" max="4872" width="6.33203125" customWidth="1"/>
    <col min="4873" max="4873" width="6.6640625" customWidth="1"/>
    <col min="4875" max="4875" width="0" hidden="1" customWidth="1"/>
    <col min="5122" max="5122" width="8" bestFit="1" customWidth="1"/>
    <col min="5123" max="5123" width="69.88671875" bestFit="1" customWidth="1"/>
    <col min="5124" max="5124" width="13.21875" customWidth="1"/>
    <col min="5125" max="5125" width="16.6640625" customWidth="1"/>
    <col min="5126" max="5126" width="15" customWidth="1"/>
    <col min="5127" max="5127" width="17.44140625" customWidth="1"/>
    <col min="5128" max="5128" width="6.33203125" customWidth="1"/>
    <col min="5129" max="5129" width="6.6640625" customWidth="1"/>
    <col min="5131" max="5131" width="0" hidden="1" customWidth="1"/>
    <col min="5378" max="5378" width="8" bestFit="1" customWidth="1"/>
    <col min="5379" max="5379" width="69.88671875" bestFit="1" customWidth="1"/>
    <col min="5380" max="5380" width="13.21875" customWidth="1"/>
    <col min="5381" max="5381" width="16.6640625" customWidth="1"/>
    <col min="5382" max="5382" width="15" customWidth="1"/>
    <col min="5383" max="5383" width="17.44140625" customWidth="1"/>
    <col min="5384" max="5384" width="6.33203125" customWidth="1"/>
    <col min="5385" max="5385" width="6.6640625" customWidth="1"/>
    <col min="5387" max="5387" width="0" hidden="1" customWidth="1"/>
    <col min="5634" max="5634" width="8" bestFit="1" customWidth="1"/>
    <col min="5635" max="5635" width="69.88671875" bestFit="1" customWidth="1"/>
    <col min="5636" max="5636" width="13.21875" customWidth="1"/>
    <col min="5637" max="5637" width="16.6640625" customWidth="1"/>
    <col min="5638" max="5638" width="15" customWidth="1"/>
    <col min="5639" max="5639" width="17.44140625" customWidth="1"/>
    <col min="5640" max="5640" width="6.33203125" customWidth="1"/>
    <col min="5641" max="5641" width="6.6640625" customWidth="1"/>
    <col min="5643" max="5643" width="0" hidden="1" customWidth="1"/>
    <col min="5890" max="5890" width="8" bestFit="1" customWidth="1"/>
    <col min="5891" max="5891" width="69.88671875" bestFit="1" customWidth="1"/>
    <col min="5892" max="5892" width="13.21875" customWidth="1"/>
    <col min="5893" max="5893" width="16.6640625" customWidth="1"/>
    <col min="5894" max="5894" width="15" customWidth="1"/>
    <col min="5895" max="5895" width="17.44140625" customWidth="1"/>
    <col min="5896" max="5896" width="6.33203125" customWidth="1"/>
    <col min="5897" max="5897" width="6.6640625" customWidth="1"/>
    <col min="5899" max="5899" width="0" hidden="1" customWidth="1"/>
    <col min="6146" max="6146" width="8" bestFit="1" customWidth="1"/>
    <col min="6147" max="6147" width="69.88671875" bestFit="1" customWidth="1"/>
    <col min="6148" max="6148" width="13.21875" customWidth="1"/>
    <col min="6149" max="6149" width="16.6640625" customWidth="1"/>
    <col min="6150" max="6150" width="15" customWidth="1"/>
    <col min="6151" max="6151" width="17.44140625" customWidth="1"/>
    <col min="6152" max="6152" width="6.33203125" customWidth="1"/>
    <col min="6153" max="6153" width="6.6640625" customWidth="1"/>
    <col min="6155" max="6155" width="0" hidden="1" customWidth="1"/>
    <col min="6402" max="6402" width="8" bestFit="1" customWidth="1"/>
    <col min="6403" max="6403" width="69.88671875" bestFit="1" customWidth="1"/>
    <col min="6404" max="6404" width="13.21875" customWidth="1"/>
    <col min="6405" max="6405" width="16.6640625" customWidth="1"/>
    <col min="6406" max="6406" width="15" customWidth="1"/>
    <col min="6407" max="6407" width="17.44140625" customWidth="1"/>
    <col min="6408" max="6408" width="6.33203125" customWidth="1"/>
    <col min="6409" max="6409" width="6.6640625" customWidth="1"/>
    <col min="6411" max="6411" width="0" hidden="1" customWidth="1"/>
    <col min="6658" max="6658" width="8" bestFit="1" customWidth="1"/>
    <col min="6659" max="6659" width="69.88671875" bestFit="1" customWidth="1"/>
    <col min="6660" max="6660" width="13.21875" customWidth="1"/>
    <col min="6661" max="6661" width="16.6640625" customWidth="1"/>
    <col min="6662" max="6662" width="15" customWidth="1"/>
    <col min="6663" max="6663" width="17.44140625" customWidth="1"/>
    <col min="6664" max="6664" width="6.33203125" customWidth="1"/>
    <col min="6665" max="6665" width="6.6640625" customWidth="1"/>
    <col min="6667" max="6667" width="0" hidden="1" customWidth="1"/>
    <col min="6914" max="6914" width="8" bestFit="1" customWidth="1"/>
    <col min="6915" max="6915" width="69.88671875" bestFit="1" customWidth="1"/>
    <col min="6916" max="6916" width="13.21875" customWidth="1"/>
    <col min="6917" max="6917" width="16.6640625" customWidth="1"/>
    <col min="6918" max="6918" width="15" customWidth="1"/>
    <col min="6919" max="6919" width="17.44140625" customWidth="1"/>
    <col min="6920" max="6920" width="6.33203125" customWidth="1"/>
    <col min="6921" max="6921" width="6.6640625" customWidth="1"/>
    <col min="6923" max="6923" width="0" hidden="1" customWidth="1"/>
    <col min="7170" max="7170" width="8" bestFit="1" customWidth="1"/>
    <col min="7171" max="7171" width="69.88671875" bestFit="1" customWidth="1"/>
    <col min="7172" max="7172" width="13.21875" customWidth="1"/>
    <col min="7173" max="7173" width="16.6640625" customWidth="1"/>
    <col min="7174" max="7174" width="15" customWidth="1"/>
    <col min="7175" max="7175" width="17.44140625" customWidth="1"/>
    <col min="7176" max="7176" width="6.33203125" customWidth="1"/>
    <col min="7177" max="7177" width="6.6640625" customWidth="1"/>
    <col min="7179" max="7179" width="0" hidden="1" customWidth="1"/>
    <col min="7426" max="7426" width="8" bestFit="1" customWidth="1"/>
    <col min="7427" max="7427" width="69.88671875" bestFit="1" customWidth="1"/>
    <col min="7428" max="7428" width="13.21875" customWidth="1"/>
    <col min="7429" max="7429" width="16.6640625" customWidth="1"/>
    <col min="7430" max="7430" width="15" customWidth="1"/>
    <col min="7431" max="7431" width="17.44140625" customWidth="1"/>
    <col min="7432" max="7432" width="6.33203125" customWidth="1"/>
    <col min="7433" max="7433" width="6.6640625" customWidth="1"/>
    <col min="7435" max="7435" width="0" hidden="1" customWidth="1"/>
    <col min="7682" max="7682" width="8" bestFit="1" customWidth="1"/>
    <col min="7683" max="7683" width="69.88671875" bestFit="1" customWidth="1"/>
    <col min="7684" max="7684" width="13.21875" customWidth="1"/>
    <col min="7685" max="7685" width="16.6640625" customWidth="1"/>
    <col min="7686" max="7686" width="15" customWidth="1"/>
    <col min="7687" max="7687" width="17.44140625" customWidth="1"/>
    <col min="7688" max="7688" width="6.33203125" customWidth="1"/>
    <col min="7689" max="7689" width="6.6640625" customWidth="1"/>
    <col min="7691" max="7691" width="0" hidden="1" customWidth="1"/>
    <col min="7938" max="7938" width="8" bestFit="1" customWidth="1"/>
    <col min="7939" max="7939" width="69.88671875" bestFit="1" customWidth="1"/>
    <col min="7940" max="7940" width="13.21875" customWidth="1"/>
    <col min="7941" max="7941" width="16.6640625" customWidth="1"/>
    <col min="7942" max="7942" width="15" customWidth="1"/>
    <col min="7943" max="7943" width="17.44140625" customWidth="1"/>
    <col min="7944" max="7944" width="6.33203125" customWidth="1"/>
    <col min="7945" max="7945" width="6.6640625" customWidth="1"/>
    <col min="7947" max="7947" width="0" hidden="1" customWidth="1"/>
    <col min="8194" max="8194" width="8" bestFit="1" customWidth="1"/>
    <col min="8195" max="8195" width="69.88671875" bestFit="1" customWidth="1"/>
    <col min="8196" max="8196" width="13.21875" customWidth="1"/>
    <col min="8197" max="8197" width="16.6640625" customWidth="1"/>
    <col min="8198" max="8198" width="15" customWidth="1"/>
    <col min="8199" max="8199" width="17.44140625" customWidth="1"/>
    <col min="8200" max="8200" width="6.33203125" customWidth="1"/>
    <col min="8201" max="8201" width="6.6640625" customWidth="1"/>
    <col min="8203" max="8203" width="0" hidden="1" customWidth="1"/>
    <col min="8450" max="8450" width="8" bestFit="1" customWidth="1"/>
    <col min="8451" max="8451" width="69.88671875" bestFit="1" customWidth="1"/>
    <col min="8452" max="8452" width="13.21875" customWidth="1"/>
    <col min="8453" max="8453" width="16.6640625" customWidth="1"/>
    <col min="8454" max="8454" width="15" customWidth="1"/>
    <col min="8455" max="8455" width="17.44140625" customWidth="1"/>
    <col min="8456" max="8456" width="6.33203125" customWidth="1"/>
    <col min="8457" max="8457" width="6.6640625" customWidth="1"/>
    <col min="8459" max="8459" width="0" hidden="1" customWidth="1"/>
    <col min="8706" max="8706" width="8" bestFit="1" customWidth="1"/>
    <col min="8707" max="8707" width="69.88671875" bestFit="1" customWidth="1"/>
    <col min="8708" max="8708" width="13.21875" customWidth="1"/>
    <col min="8709" max="8709" width="16.6640625" customWidth="1"/>
    <col min="8710" max="8710" width="15" customWidth="1"/>
    <col min="8711" max="8711" width="17.44140625" customWidth="1"/>
    <col min="8712" max="8712" width="6.33203125" customWidth="1"/>
    <col min="8713" max="8713" width="6.6640625" customWidth="1"/>
    <col min="8715" max="8715" width="0" hidden="1" customWidth="1"/>
    <col min="8962" max="8962" width="8" bestFit="1" customWidth="1"/>
    <col min="8963" max="8963" width="69.88671875" bestFit="1" customWidth="1"/>
    <col min="8964" max="8964" width="13.21875" customWidth="1"/>
    <col min="8965" max="8965" width="16.6640625" customWidth="1"/>
    <col min="8966" max="8966" width="15" customWidth="1"/>
    <col min="8967" max="8967" width="17.44140625" customWidth="1"/>
    <col min="8968" max="8968" width="6.33203125" customWidth="1"/>
    <col min="8969" max="8969" width="6.6640625" customWidth="1"/>
    <col min="8971" max="8971" width="0" hidden="1" customWidth="1"/>
    <col min="9218" max="9218" width="8" bestFit="1" customWidth="1"/>
    <col min="9219" max="9219" width="69.88671875" bestFit="1" customWidth="1"/>
    <col min="9220" max="9220" width="13.21875" customWidth="1"/>
    <col min="9221" max="9221" width="16.6640625" customWidth="1"/>
    <col min="9222" max="9222" width="15" customWidth="1"/>
    <col min="9223" max="9223" width="17.44140625" customWidth="1"/>
    <col min="9224" max="9224" width="6.33203125" customWidth="1"/>
    <col min="9225" max="9225" width="6.6640625" customWidth="1"/>
    <col min="9227" max="9227" width="0" hidden="1" customWidth="1"/>
    <col min="9474" max="9474" width="8" bestFit="1" customWidth="1"/>
    <col min="9475" max="9475" width="69.88671875" bestFit="1" customWidth="1"/>
    <col min="9476" max="9476" width="13.21875" customWidth="1"/>
    <col min="9477" max="9477" width="16.6640625" customWidth="1"/>
    <col min="9478" max="9478" width="15" customWidth="1"/>
    <col min="9479" max="9479" width="17.44140625" customWidth="1"/>
    <col min="9480" max="9480" width="6.33203125" customWidth="1"/>
    <col min="9481" max="9481" width="6.6640625" customWidth="1"/>
    <col min="9483" max="9483" width="0" hidden="1" customWidth="1"/>
    <col min="9730" max="9730" width="8" bestFit="1" customWidth="1"/>
    <col min="9731" max="9731" width="69.88671875" bestFit="1" customWidth="1"/>
    <col min="9732" max="9732" width="13.21875" customWidth="1"/>
    <col min="9733" max="9733" width="16.6640625" customWidth="1"/>
    <col min="9734" max="9734" width="15" customWidth="1"/>
    <col min="9735" max="9735" width="17.44140625" customWidth="1"/>
    <col min="9736" max="9736" width="6.33203125" customWidth="1"/>
    <col min="9737" max="9737" width="6.6640625" customWidth="1"/>
    <col min="9739" max="9739" width="0" hidden="1" customWidth="1"/>
    <col min="9986" max="9986" width="8" bestFit="1" customWidth="1"/>
    <col min="9987" max="9987" width="69.88671875" bestFit="1" customWidth="1"/>
    <col min="9988" max="9988" width="13.21875" customWidth="1"/>
    <col min="9989" max="9989" width="16.6640625" customWidth="1"/>
    <col min="9990" max="9990" width="15" customWidth="1"/>
    <col min="9991" max="9991" width="17.44140625" customWidth="1"/>
    <col min="9992" max="9992" width="6.33203125" customWidth="1"/>
    <col min="9993" max="9993" width="6.6640625" customWidth="1"/>
    <col min="9995" max="9995" width="0" hidden="1" customWidth="1"/>
    <col min="10242" max="10242" width="8" bestFit="1" customWidth="1"/>
    <col min="10243" max="10243" width="69.88671875" bestFit="1" customWidth="1"/>
    <col min="10244" max="10244" width="13.21875" customWidth="1"/>
    <col min="10245" max="10245" width="16.6640625" customWidth="1"/>
    <col min="10246" max="10246" width="15" customWidth="1"/>
    <col min="10247" max="10247" width="17.44140625" customWidth="1"/>
    <col min="10248" max="10248" width="6.33203125" customWidth="1"/>
    <col min="10249" max="10249" width="6.6640625" customWidth="1"/>
    <col min="10251" max="10251" width="0" hidden="1" customWidth="1"/>
    <col min="10498" max="10498" width="8" bestFit="1" customWidth="1"/>
    <col min="10499" max="10499" width="69.88671875" bestFit="1" customWidth="1"/>
    <col min="10500" max="10500" width="13.21875" customWidth="1"/>
    <col min="10501" max="10501" width="16.6640625" customWidth="1"/>
    <col min="10502" max="10502" width="15" customWidth="1"/>
    <col min="10503" max="10503" width="17.44140625" customWidth="1"/>
    <col min="10504" max="10504" width="6.33203125" customWidth="1"/>
    <col min="10505" max="10505" width="6.6640625" customWidth="1"/>
    <col min="10507" max="10507" width="0" hidden="1" customWidth="1"/>
    <col min="10754" max="10754" width="8" bestFit="1" customWidth="1"/>
    <col min="10755" max="10755" width="69.88671875" bestFit="1" customWidth="1"/>
    <col min="10756" max="10756" width="13.21875" customWidth="1"/>
    <col min="10757" max="10757" width="16.6640625" customWidth="1"/>
    <col min="10758" max="10758" width="15" customWidth="1"/>
    <col min="10759" max="10759" width="17.44140625" customWidth="1"/>
    <col min="10760" max="10760" width="6.33203125" customWidth="1"/>
    <col min="10761" max="10761" width="6.6640625" customWidth="1"/>
    <col min="10763" max="10763" width="0" hidden="1" customWidth="1"/>
    <col min="11010" max="11010" width="8" bestFit="1" customWidth="1"/>
    <col min="11011" max="11011" width="69.88671875" bestFit="1" customWidth="1"/>
    <col min="11012" max="11012" width="13.21875" customWidth="1"/>
    <col min="11013" max="11013" width="16.6640625" customWidth="1"/>
    <col min="11014" max="11014" width="15" customWidth="1"/>
    <col min="11015" max="11015" width="17.44140625" customWidth="1"/>
    <col min="11016" max="11016" width="6.33203125" customWidth="1"/>
    <col min="11017" max="11017" width="6.6640625" customWidth="1"/>
    <col min="11019" max="11019" width="0" hidden="1" customWidth="1"/>
    <col min="11266" max="11266" width="8" bestFit="1" customWidth="1"/>
    <col min="11267" max="11267" width="69.88671875" bestFit="1" customWidth="1"/>
    <col min="11268" max="11268" width="13.21875" customWidth="1"/>
    <col min="11269" max="11269" width="16.6640625" customWidth="1"/>
    <col min="11270" max="11270" width="15" customWidth="1"/>
    <col min="11271" max="11271" width="17.44140625" customWidth="1"/>
    <col min="11272" max="11272" width="6.33203125" customWidth="1"/>
    <col min="11273" max="11273" width="6.6640625" customWidth="1"/>
    <col min="11275" max="11275" width="0" hidden="1" customWidth="1"/>
    <col min="11522" max="11522" width="8" bestFit="1" customWidth="1"/>
    <col min="11523" max="11523" width="69.88671875" bestFit="1" customWidth="1"/>
    <col min="11524" max="11524" width="13.21875" customWidth="1"/>
    <col min="11525" max="11525" width="16.6640625" customWidth="1"/>
    <col min="11526" max="11526" width="15" customWidth="1"/>
    <col min="11527" max="11527" width="17.44140625" customWidth="1"/>
    <col min="11528" max="11528" width="6.33203125" customWidth="1"/>
    <col min="11529" max="11529" width="6.6640625" customWidth="1"/>
    <col min="11531" max="11531" width="0" hidden="1" customWidth="1"/>
    <col min="11778" max="11778" width="8" bestFit="1" customWidth="1"/>
    <col min="11779" max="11779" width="69.88671875" bestFit="1" customWidth="1"/>
    <col min="11780" max="11780" width="13.21875" customWidth="1"/>
    <col min="11781" max="11781" width="16.6640625" customWidth="1"/>
    <col min="11782" max="11782" width="15" customWidth="1"/>
    <col min="11783" max="11783" width="17.44140625" customWidth="1"/>
    <col min="11784" max="11784" width="6.33203125" customWidth="1"/>
    <col min="11785" max="11785" width="6.6640625" customWidth="1"/>
    <col min="11787" max="11787" width="0" hidden="1" customWidth="1"/>
    <col min="12034" max="12034" width="8" bestFit="1" customWidth="1"/>
    <col min="12035" max="12035" width="69.88671875" bestFit="1" customWidth="1"/>
    <col min="12036" max="12036" width="13.21875" customWidth="1"/>
    <col min="12037" max="12037" width="16.6640625" customWidth="1"/>
    <col min="12038" max="12038" width="15" customWidth="1"/>
    <col min="12039" max="12039" width="17.44140625" customWidth="1"/>
    <col min="12040" max="12040" width="6.33203125" customWidth="1"/>
    <col min="12041" max="12041" width="6.6640625" customWidth="1"/>
    <col min="12043" max="12043" width="0" hidden="1" customWidth="1"/>
    <col min="12290" max="12290" width="8" bestFit="1" customWidth="1"/>
    <col min="12291" max="12291" width="69.88671875" bestFit="1" customWidth="1"/>
    <col min="12292" max="12292" width="13.21875" customWidth="1"/>
    <col min="12293" max="12293" width="16.6640625" customWidth="1"/>
    <col min="12294" max="12294" width="15" customWidth="1"/>
    <col min="12295" max="12295" width="17.44140625" customWidth="1"/>
    <col min="12296" max="12296" width="6.33203125" customWidth="1"/>
    <col min="12297" max="12297" width="6.6640625" customWidth="1"/>
    <col min="12299" max="12299" width="0" hidden="1" customWidth="1"/>
    <col min="12546" max="12546" width="8" bestFit="1" customWidth="1"/>
    <col min="12547" max="12547" width="69.88671875" bestFit="1" customWidth="1"/>
    <col min="12548" max="12548" width="13.21875" customWidth="1"/>
    <col min="12549" max="12549" width="16.6640625" customWidth="1"/>
    <col min="12550" max="12550" width="15" customWidth="1"/>
    <col min="12551" max="12551" width="17.44140625" customWidth="1"/>
    <col min="12552" max="12552" width="6.33203125" customWidth="1"/>
    <col min="12553" max="12553" width="6.6640625" customWidth="1"/>
    <col min="12555" max="12555" width="0" hidden="1" customWidth="1"/>
    <col min="12802" max="12802" width="8" bestFit="1" customWidth="1"/>
    <col min="12803" max="12803" width="69.88671875" bestFit="1" customWidth="1"/>
    <col min="12804" max="12804" width="13.21875" customWidth="1"/>
    <col min="12805" max="12805" width="16.6640625" customWidth="1"/>
    <col min="12806" max="12806" width="15" customWidth="1"/>
    <col min="12807" max="12807" width="17.44140625" customWidth="1"/>
    <col min="12808" max="12808" width="6.33203125" customWidth="1"/>
    <col min="12809" max="12809" width="6.6640625" customWidth="1"/>
    <col min="12811" max="12811" width="0" hidden="1" customWidth="1"/>
    <col min="13058" max="13058" width="8" bestFit="1" customWidth="1"/>
    <col min="13059" max="13059" width="69.88671875" bestFit="1" customWidth="1"/>
    <col min="13060" max="13060" width="13.21875" customWidth="1"/>
    <col min="13061" max="13061" width="16.6640625" customWidth="1"/>
    <col min="13062" max="13062" width="15" customWidth="1"/>
    <col min="13063" max="13063" width="17.44140625" customWidth="1"/>
    <col min="13064" max="13064" width="6.33203125" customWidth="1"/>
    <col min="13065" max="13065" width="6.6640625" customWidth="1"/>
    <col min="13067" max="13067" width="0" hidden="1" customWidth="1"/>
    <col min="13314" max="13314" width="8" bestFit="1" customWidth="1"/>
    <col min="13315" max="13315" width="69.88671875" bestFit="1" customWidth="1"/>
    <col min="13316" max="13316" width="13.21875" customWidth="1"/>
    <col min="13317" max="13317" width="16.6640625" customWidth="1"/>
    <col min="13318" max="13318" width="15" customWidth="1"/>
    <col min="13319" max="13319" width="17.44140625" customWidth="1"/>
    <col min="13320" max="13320" width="6.33203125" customWidth="1"/>
    <col min="13321" max="13321" width="6.6640625" customWidth="1"/>
    <col min="13323" max="13323" width="0" hidden="1" customWidth="1"/>
    <col min="13570" max="13570" width="8" bestFit="1" customWidth="1"/>
    <col min="13571" max="13571" width="69.88671875" bestFit="1" customWidth="1"/>
    <col min="13572" max="13572" width="13.21875" customWidth="1"/>
    <col min="13573" max="13573" width="16.6640625" customWidth="1"/>
    <col min="13574" max="13574" width="15" customWidth="1"/>
    <col min="13575" max="13575" width="17.44140625" customWidth="1"/>
    <col min="13576" max="13576" width="6.33203125" customWidth="1"/>
    <col min="13577" max="13577" width="6.6640625" customWidth="1"/>
    <col min="13579" max="13579" width="0" hidden="1" customWidth="1"/>
    <col min="13826" max="13826" width="8" bestFit="1" customWidth="1"/>
    <col min="13827" max="13827" width="69.88671875" bestFit="1" customWidth="1"/>
    <col min="13828" max="13828" width="13.21875" customWidth="1"/>
    <col min="13829" max="13829" width="16.6640625" customWidth="1"/>
    <col min="13830" max="13830" width="15" customWidth="1"/>
    <col min="13831" max="13831" width="17.44140625" customWidth="1"/>
    <col min="13832" max="13832" width="6.33203125" customWidth="1"/>
    <col min="13833" max="13833" width="6.6640625" customWidth="1"/>
    <col min="13835" max="13835" width="0" hidden="1" customWidth="1"/>
    <col min="14082" max="14082" width="8" bestFit="1" customWidth="1"/>
    <col min="14083" max="14083" width="69.88671875" bestFit="1" customWidth="1"/>
    <col min="14084" max="14084" width="13.21875" customWidth="1"/>
    <col min="14085" max="14085" width="16.6640625" customWidth="1"/>
    <col min="14086" max="14086" width="15" customWidth="1"/>
    <col min="14087" max="14087" width="17.44140625" customWidth="1"/>
    <col min="14088" max="14088" width="6.33203125" customWidth="1"/>
    <col min="14089" max="14089" width="6.6640625" customWidth="1"/>
    <col min="14091" max="14091" width="0" hidden="1" customWidth="1"/>
    <col min="14338" max="14338" width="8" bestFit="1" customWidth="1"/>
    <col min="14339" max="14339" width="69.88671875" bestFit="1" customWidth="1"/>
    <col min="14340" max="14340" width="13.21875" customWidth="1"/>
    <col min="14341" max="14341" width="16.6640625" customWidth="1"/>
    <col min="14342" max="14342" width="15" customWidth="1"/>
    <col min="14343" max="14343" width="17.44140625" customWidth="1"/>
    <col min="14344" max="14344" width="6.33203125" customWidth="1"/>
    <col min="14345" max="14345" width="6.6640625" customWidth="1"/>
    <col min="14347" max="14347" width="0" hidden="1" customWidth="1"/>
    <col min="14594" max="14594" width="8" bestFit="1" customWidth="1"/>
    <col min="14595" max="14595" width="69.88671875" bestFit="1" customWidth="1"/>
    <col min="14596" max="14596" width="13.21875" customWidth="1"/>
    <col min="14597" max="14597" width="16.6640625" customWidth="1"/>
    <col min="14598" max="14598" width="15" customWidth="1"/>
    <col min="14599" max="14599" width="17.44140625" customWidth="1"/>
    <col min="14600" max="14600" width="6.33203125" customWidth="1"/>
    <col min="14601" max="14601" width="6.6640625" customWidth="1"/>
    <col min="14603" max="14603" width="0" hidden="1" customWidth="1"/>
    <col min="14850" max="14850" width="8" bestFit="1" customWidth="1"/>
    <col min="14851" max="14851" width="69.88671875" bestFit="1" customWidth="1"/>
    <col min="14852" max="14852" width="13.21875" customWidth="1"/>
    <col min="14853" max="14853" width="16.6640625" customWidth="1"/>
    <col min="14854" max="14854" width="15" customWidth="1"/>
    <col min="14855" max="14855" width="17.44140625" customWidth="1"/>
    <col min="14856" max="14856" width="6.33203125" customWidth="1"/>
    <col min="14857" max="14857" width="6.6640625" customWidth="1"/>
    <col min="14859" max="14859" width="0" hidden="1" customWidth="1"/>
    <col min="15106" max="15106" width="8" bestFit="1" customWidth="1"/>
    <col min="15107" max="15107" width="69.88671875" bestFit="1" customWidth="1"/>
    <col min="15108" max="15108" width="13.21875" customWidth="1"/>
    <col min="15109" max="15109" width="16.6640625" customWidth="1"/>
    <col min="15110" max="15110" width="15" customWidth="1"/>
    <col min="15111" max="15111" width="17.44140625" customWidth="1"/>
    <col min="15112" max="15112" width="6.33203125" customWidth="1"/>
    <col min="15113" max="15113" width="6.6640625" customWidth="1"/>
    <col min="15115" max="15115" width="0" hidden="1" customWidth="1"/>
    <col min="15362" max="15362" width="8" bestFit="1" customWidth="1"/>
    <col min="15363" max="15363" width="69.88671875" bestFit="1" customWidth="1"/>
    <col min="15364" max="15364" width="13.21875" customWidth="1"/>
    <col min="15365" max="15365" width="16.6640625" customWidth="1"/>
    <col min="15366" max="15366" width="15" customWidth="1"/>
    <col min="15367" max="15367" width="17.44140625" customWidth="1"/>
    <col min="15368" max="15368" width="6.33203125" customWidth="1"/>
    <col min="15369" max="15369" width="6.6640625" customWidth="1"/>
    <col min="15371" max="15371" width="0" hidden="1" customWidth="1"/>
    <col min="15618" max="15618" width="8" bestFit="1" customWidth="1"/>
    <col min="15619" max="15619" width="69.88671875" bestFit="1" customWidth="1"/>
    <col min="15620" max="15620" width="13.21875" customWidth="1"/>
    <col min="15621" max="15621" width="16.6640625" customWidth="1"/>
    <col min="15622" max="15622" width="15" customWidth="1"/>
    <col min="15623" max="15623" width="17.44140625" customWidth="1"/>
    <col min="15624" max="15624" width="6.33203125" customWidth="1"/>
    <col min="15625" max="15625" width="6.6640625" customWidth="1"/>
    <col min="15627" max="15627" width="0" hidden="1" customWidth="1"/>
    <col min="15874" max="15874" width="8" bestFit="1" customWidth="1"/>
    <col min="15875" max="15875" width="69.88671875" bestFit="1" customWidth="1"/>
    <col min="15876" max="15876" width="13.21875" customWidth="1"/>
    <col min="15877" max="15877" width="16.6640625" customWidth="1"/>
    <col min="15878" max="15878" width="15" customWidth="1"/>
    <col min="15879" max="15879" width="17.44140625" customWidth="1"/>
    <col min="15880" max="15880" width="6.33203125" customWidth="1"/>
    <col min="15881" max="15881" width="6.6640625" customWidth="1"/>
    <col min="15883" max="15883" width="0" hidden="1" customWidth="1"/>
    <col min="16130" max="16130" width="8" bestFit="1" customWidth="1"/>
    <col min="16131" max="16131" width="69.88671875" bestFit="1" customWidth="1"/>
    <col min="16132" max="16132" width="13.21875" customWidth="1"/>
    <col min="16133" max="16133" width="16.6640625" customWidth="1"/>
    <col min="16134" max="16134" width="15" customWidth="1"/>
    <col min="16135" max="16135" width="17.44140625" customWidth="1"/>
    <col min="16136" max="16136" width="6.33203125" customWidth="1"/>
    <col min="16137" max="16137" width="6.6640625" customWidth="1"/>
    <col min="16139" max="16139" width="0" hidden="1" customWidth="1"/>
  </cols>
  <sheetData>
    <row r="2" spans="2:11" x14ac:dyDescent="0.25">
      <c r="B2" s="118"/>
      <c r="C2" s="95">
        <v>46182</v>
      </c>
      <c r="D2" s="117">
        <f>SUBTOTAL(9,D4:D195)</f>
        <v>209570000</v>
      </c>
      <c r="E2" s="117">
        <f>SUBTOTAL(9,E4:E195)</f>
        <v>4300000</v>
      </c>
      <c r="F2" s="117">
        <f>SUBTOTAL(9,F4:F195)</f>
        <v>160160000</v>
      </c>
      <c r="G2" s="117">
        <f>SUBTOTAL(9,G4:G195)</f>
        <v>45110000</v>
      </c>
      <c r="H2" s="119"/>
      <c r="K2" s="117" t="e">
        <f>SUBTOTAL(9,K4:K69)</f>
        <v>#REF!</v>
      </c>
    </row>
    <row r="3" spans="2:11" ht="40.200000000000003" thickBot="1" x14ac:dyDescent="0.3">
      <c r="B3" s="210" t="s">
        <v>304</v>
      </c>
      <c r="C3" s="209" t="s">
        <v>19</v>
      </c>
      <c r="D3" s="231" t="s">
        <v>15421</v>
      </c>
      <c r="E3" s="300" t="s">
        <v>15422</v>
      </c>
      <c r="F3" s="300" t="s">
        <v>15423</v>
      </c>
      <c r="G3" s="300" t="s">
        <v>15424</v>
      </c>
      <c r="H3" s="206" t="s">
        <v>207</v>
      </c>
      <c r="K3" s="215" t="s">
        <v>608</v>
      </c>
    </row>
    <row r="4" spans="2:11" ht="13.8" thickTop="1" x14ac:dyDescent="0.25">
      <c r="B4" s="178" t="s">
        <v>306</v>
      </c>
      <c r="C4" s="234" t="s">
        <v>179</v>
      </c>
      <c r="D4" s="302">
        <v>1410000</v>
      </c>
      <c r="E4" s="302">
        <v>0</v>
      </c>
      <c r="F4" s="236">
        <v>660000</v>
      </c>
      <c r="G4" s="236">
        <v>750000</v>
      </c>
      <c r="H4" s="111"/>
      <c r="K4" s="301" t="e">
        <f>F4-#REF!</f>
        <v>#REF!</v>
      </c>
    </row>
    <row r="5" spans="2:11" x14ac:dyDescent="0.25">
      <c r="B5" s="178" t="s">
        <v>306</v>
      </c>
      <c r="C5" s="234" t="s">
        <v>372</v>
      </c>
      <c r="D5" s="302">
        <v>1750000</v>
      </c>
      <c r="E5" s="302">
        <v>0</v>
      </c>
      <c r="F5" s="236">
        <v>1000000</v>
      </c>
      <c r="G5" s="236">
        <v>750000</v>
      </c>
      <c r="H5" s="111"/>
      <c r="K5" s="301" t="e">
        <f>F5-#REF!</f>
        <v>#REF!</v>
      </c>
    </row>
    <row r="6" spans="2:11" x14ac:dyDescent="0.25">
      <c r="B6" s="178" t="s">
        <v>460</v>
      </c>
      <c r="C6" s="234" t="s">
        <v>73</v>
      </c>
      <c r="D6" s="302">
        <v>2000000</v>
      </c>
      <c r="E6" s="302">
        <v>0</v>
      </c>
      <c r="F6" s="236">
        <v>2000000</v>
      </c>
      <c r="G6" s="236">
        <v>0</v>
      </c>
      <c r="H6" s="111"/>
      <c r="K6" s="301" t="e">
        <f>F6-#REF!</f>
        <v>#REF!</v>
      </c>
    </row>
    <row r="7" spans="2:11" x14ac:dyDescent="0.25">
      <c r="B7" s="178" t="s">
        <v>306</v>
      </c>
      <c r="C7" s="234" t="s">
        <v>332</v>
      </c>
      <c r="D7" s="302">
        <v>0</v>
      </c>
      <c r="E7" s="302">
        <v>0</v>
      </c>
      <c r="F7" s="236">
        <v>0</v>
      </c>
      <c r="G7" s="236">
        <v>0</v>
      </c>
      <c r="H7" s="111"/>
      <c r="K7" s="301" t="e">
        <f>F7-#REF!</f>
        <v>#REF!</v>
      </c>
    </row>
    <row r="8" spans="2:11" x14ac:dyDescent="0.25">
      <c r="B8" s="178" t="s">
        <v>306</v>
      </c>
      <c r="C8" s="234" t="s">
        <v>571</v>
      </c>
      <c r="D8" s="302">
        <v>1250000</v>
      </c>
      <c r="E8" s="302">
        <v>0</v>
      </c>
      <c r="F8" s="236">
        <v>500000</v>
      </c>
      <c r="G8" s="236">
        <v>750000</v>
      </c>
      <c r="H8" s="111"/>
      <c r="K8" s="301" t="e">
        <f>F8-#REF!</f>
        <v>#REF!</v>
      </c>
    </row>
    <row r="9" spans="2:11" x14ac:dyDescent="0.25">
      <c r="B9" s="178" t="s">
        <v>306</v>
      </c>
      <c r="C9" s="234" t="s">
        <v>365</v>
      </c>
      <c r="D9" s="302">
        <v>700000</v>
      </c>
      <c r="E9" s="302">
        <v>0</v>
      </c>
      <c r="F9" s="236">
        <v>700000</v>
      </c>
      <c r="G9" s="236">
        <v>0</v>
      </c>
      <c r="H9" s="111"/>
      <c r="K9" s="301" t="e">
        <f>F9-#REF!</f>
        <v>#REF!</v>
      </c>
    </row>
    <row r="10" spans="2:11" x14ac:dyDescent="0.25">
      <c r="B10" s="178" t="s">
        <v>306</v>
      </c>
      <c r="C10" s="234" t="s">
        <v>466</v>
      </c>
      <c r="D10" s="302">
        <v>4000000</v>
      </c>
      <c r="E10" s="302">
        <v>3000000</v>
      </c>
      <c r="F10" s="236">
        <v>1000000</v>
      </c>
      <c r="G10" s="236">
        <v>0</v>
      </c>
      <c r="H10" s="111"/>
      <c r="K10" s="301" t="e">
        <f>F10-#REF!</f>
        <v>#REF!</v>
      </c>
    </row>
    <row r="11" spans="2:11" x14ac:dyDescent="0.25">
      <c r="B11" s="178" t="s">
        <v>306</v>
      </c>
      <c r="C11" s="234" t="s">
        <v>15426</v>
      </c>
      <c r="D11" s="302">
        <v>750000</v>
      </c>
      <c r="E11" s="302">
        <v>0</v>
      </c>
      <c r="F11" s="236">
        <v>0</v>
      </c>
      <c r="G11" s="236">
        <v>750000</v>
      </c>
      <c r="H11" s="111"/>
      <c r="K11" s="301" t="e">
        <f>F11-#REF!</f>
        <v>#REF!</v>
      </c>
    </row>
    <row r="12" spans="2:11" x14ac:dyDescent="0.25">
      <c r="B12" s="178" t="s">
        <v>306</v>
      </c>
      <c r="C12" s="234" t="s">
        <v>494</v>
      </c>
      <c r="D12" s="302">
        <v>0</v>
      </c>
      <c r="E12" s="302">
        <v>0</v>
      </c>
      <c r="F12" s="236">
        <v>0</v>
      </c>
      <c r="G12" s="236">
        <v>0</v>
      </c>
      <c r="H12" s="111"/>
      <c r="K12" s="301" t="e">
        <f>F12-#REF!</f>
        <v>#REF!</v>
      </c>
    </row>
    <row r="13" spans="2:11" x14ac:dyDescent="0.25">
      <c r="B13" s="178" t="s">
        <v>306</v>
      </c>
      <c r="C13" s="234" t="s">
        <v>165</v>
      </c>
      <c r="D13" s="302">
        <v>1800000</v>
      </c>
      <c r="E13" s="302">
        <v>1300000</v>
      </c>
      <c r="F13" s="236">
        <v>500000</v>
      </c>
      <c r="G13" s="236">
        <v>0</v>
      </c>
      <c r="H13" s="111"/>
      <c r="K13" s="301" t="e">
        <f>F13-#REF!</f>
        <v>#REF!</v>
      </c>
    </row>
    <row r="14" spans="2:11" x14ac:dyDescent="0.25">
      <c r="B14" s="178" t="s">
        <v>306</v>
      </c>
      <c r="C14" s="234" t="s">
        <v>331</v>
      </c>
      <c r="D14" s="302">
        <v>1050000</v>
      </c>
      <c r="E14" s="302">
        <v>0</v>
      </c>
      <c r="F14" s="302">
        <v>300000</v>
      </c>
      <c r="G14" s="236">
        <v>750000</v>
      </c>
      <c r="H14" s="111"/>
      <c r="K14" s="301" t="e">
        <f>F14-#REF!</f>
        <v>#REF!</v>
      </c>
    </row>
    <row r="15" spans="2:11" x14ac:dyDescent="0.25">
      <c r="B15" s="178" t="s">
        <v>306</v>
      </c>
      <c r="C15" s="234" t="s">
        <v>301</v>
      </c>
      <c r="D15" s="302">
        <v>500000</v>
      </c>
      <c r="E15" s="302">
        <v>0</v>
      </c>
      <c r="F15" s="236">
        <v>500000</v>
      </c>
      <c r="G15" s="236">
        <v>0</v>
      </c>
      <c r="H15" s="111"/>
      <c r="K15" s="301" t="e">
        <f>F15-#REF!</f>
        <v>#REF!</v>
      </c>
    </row>
    <row r="16" spans="2:11" x14ac:dyDescent="0.25">
      <c r="B16" s="178" t="s">
        <v>306</v>
      </c>
      <c r="C16" s="234" t="s">
        <v>232</v>
      </c>
      <c r="D16" s="302">
        <v>7750000</v>
      </c>
      <c r="E16" s="302">
        <v>0</v>
      </c>
      <c r="F16" s="236">
        <v>7000000</v>
      </c>
      <c r="G16" s="236">
        <v>750000</v>
      </c>
      <c r="H16" s="111"/>
      <c r="K16" s="301" t="e">
        <f>F16-#REF!</f>
        <v>#REF!</v>
      </c>
    </row>
    <row r="17" spans="2:11" x14ac:dyDescent="0.25">
      <c r="B17" s="178" t="s">
        <v>306</v>
      </c>
      <c r="C17" s="234" t="s">
        <v>339</v>
      </c>
      <c r="D17" s="302">
        <v>2800000</v>
      </c>
      <c r="E17" s="302">
        <v>0</v>
      </c>
      <c r="F17" s="236">
        <v>2800000</v>
      </c>
      <c r="G17" s="236">
        <v>0</v>
      </c>
      <c r="H17" s="111"/>
      <c r="K17" s="301" t="e">
        <f>F17-#REF!</f>
        <v>#REF!</v>
      </c>
    </row>
    <row r="18" spans="2:11" x14ac:dyDescent="0.25">
      <c r="B18" s="178" t="s">
        <v>306</v>
      </c>
      <c r="C18" s="234" t="s">
        <v>290</v>
      </c>
      <c r="D18" s="302">
        <v>2250000</v>
      </c>
      <c r="E18" s="302">
        <v>0</v>
      </c>
      <c r="F18" s="236">
        <v>1500000</v>
      </c>
      <c r="G18" s="236">
        <v>750000</v>
      </c>
      <c r="H18" s="111"/>
      <c r="K18" s="301" t="e">
        <f>F18-#REF!</f>
        <v>#REF!</v>
      </c>
    </row>
    <row r="19" spans="2:11" x14ac:dyDescent="0.25">
      <c r="B19" s="178" t="s">
        <v>306</v>
      </c>
      <c r="C19" s="234" t="s">
        <v>12623</v>
      </c>
      <c r="D19" s="302">
        <v>1500000</v>
      </c>
      <c r="E19" s="302">
        <v>0</v>
      </c>
      <c r="F19" s="236">
        <v>1500000</v>
      </c>
      <c r="G19" s="236">
        <v>0</v>
      </c>
      <c r="H19" s="111"/>
      <c r="K19" s="301" t="e">
        <f>F19-#REF!</f>
        <v>#REF!</v>
      </c>
    </row>
    <row r="20" spans="2:11" x14ac:dyDescent="0.25">
      <c r="B20" s="178" t="s">
        <v>306</v>
      </c>
      <c r="C20" s="234" t="s">
        <v>15427</v>
      </c>
      <c r="D20" s="302">
        <v>2150000</v>
      </c>
      <c r="E20" s="302">
        <v>0</v>
      </c>
      <c r="F20" s="236">
        <v>1400000</v>
      </c>
      <c r="G20" s="236">
        <v>750000</v>
      </c>
      <c r="H20" s="111"/>
      <c r="K20" s="301" t="e">
        <f>F20-#REF!</f>
        <v>#REF!</v>
      </c>
    </row>
    <row r="21" spans="2:11" x14ac:dyDescent="0.25">
      <c r="B21" s="178" t="s">
        <v>306</v>
      </c>
      <c r="C21" s="234" t="s">
        <v>15428</v>
      </c>
      <c r="D21" s="302">
        <v>1200000</v>
      </c>
      <c r="E21" s="302">
        <v>0</v>
      </c>
      <c r="F21" s="236">
        <v>1200000</v>
      </c>
      <c r="G21" s="236">
        <v>0</v>
      </c>
      <c r="H21" s="111"/>
      <c r="K21" s="301" t="e">
        <f>F21-#REF!</f>
        <v>#REF!</v>
      </c>
    </row>
    <row r="22" spans="2:11" x14ac:dyDescent="0.25">
      <c r="B22" s="178" t="s">
        <v>306</v>
      </c>
      <c r="C22" s="234" t="s">
        <v>328</v>
      </c>
      <c r="D22" s="302">
        <v>1023000</v>
      </c>
      <c r="E22" s="302">
        <v>0</v>
      </c>
      <c r="F22" s="236">
        <v>1023000</v>
      </c>
      <c r="G22" s="236">
        <v>0</v>
      </c>
      <c r="H22" s="111"/>
      <c r="K22" s="301" t="e">
        <f>F22-#REF!</f>
        <v>#REF!</v>
      </c>
    </row>
    <row r="23" spans="2:11" x14ac:dyDescent="0.25">
      <c r="B23" s="178" t="s">
        <v>306</v>
      </c>
      <c r="C23" s="234" t="s">
        <v>137</v>
      </c>
      <c r="D23" s="302">
        <v>1000000</v>
      </c>
      <c r="E23" s="302">
        <v>0</v>
      </c>
      <c r="F23" s="236">
        <v>1000000</v>
      </c>
      <c r="G23" s="236">
        <v>0</v>
      </c>
      <c r="H23" s="111"/>
      <c r="K23" s="301" t="e">
        <f>F23-#REF!</f>
        <v>#REF!</v>
      </c>
    </row>
    <row r="24" spans="2:11" x14ac:dyDescent="0.25">
      <c r="B24" s="178" t="s">
        <v>306</v>
      </c>
      <c r="C24" s="234" t="s">
        <v>9569</v>
      </c>
      <c r="D24" s="302">
        <v>1750000</v>
      </c>
      <c r="E24" s="302">
        <v>0</v>
      </c>
      <c r="F24" s="236">
        <v>1000000</v>
      </c>
      <c r="G24" s="236">
        <v>750000</v>
      </c>
      <c r="H24" s="111"/>
      <c r="K24" s="301" t="e">
        <f>F24-#REF!</f>
        <v>#REF!</v>
      </c>
    </row>
    <row r="25" spans="2:11" x14ac:dyDescent="0.25">
      <c r="B25" s="178" t="s">
        <v>306</v>
      </c>
      <c r="C25" s="234" t="s">
        <v>427</v>
      </c>
      <c r="D25" s="302">
        <v>800000</v>
      </c>
      <c r="E25" s="302">
        <v>0</v>
      </c>
      <c r="F25" s="236">
        <v>800000</v>
      </c>
      <c r="G25" s="236">
        <v>0</v>
      </c>
      <c r="H25" s="111"/>
      <c r="K25" s="301" t="e">
        <f>F25-#REF!</f>
        <v>#REF!</v>
      </c>
    </row>
    <row r="26" spans="2:11" x14ac:dyDescent="0.25">
      <c r="B26" s="178" t="s">
        <v>306</v>
      </c>
      <c r="C26" s="234" t="s">
        <v>175</v>
      </c>
      <c r="D26" s="302">
        <v>800000</v>
      </c>
      <c r="E26" s="302">
        <v>0</v>
      </c>
      <c r="F26" s="236">
        <v>800000</v>
      </c>
      <c r="G26" s="236">
        <v>0</v>
      </c>
      <c r="H26" s="111"/>
      <c r="K26" s="301" t="e">
        <f>F26-#REF!</f>
        <v>#REF!</v>
      </c>
    </row>
    <row r="27" spans="2:11" x14ac:dyDescent="0.25">
      <c r="B27" s="178" t="s">
        <v>306</v>
      </c>
      <c r="C27" s="234" t="s">
        <v>534</v>
      </c>
      <c r="D27" s="302">
        <v>1500000</v>
      </c>
      <c r="E27" s="302">
        <v>0</v>
      </c>
      <c r="F27" s="236">
        <v>750000</v>
      </c>
      <c r="G27" s="236">
        <v>750000</v>
      </c>
      <c r="H27" s="111"/>
      <c r="K27" s="301" t="e">
        <f>F27-#REF!</f>
        <v>#REF!</v>
      </c>
    </row>
    <row r="28" spans="2:11" x14ac:dyDescent="0.25">
      <c r="B28" s="178" t="s">
        <v>306</v>
      </c>
      <c r="C28" s="234" t="s">
        <v>9538</v>
      </c>
      <c r="D28" s="302">
        <v>700000</v>
      </c>
      <c r="E28" s="302">
        <v>0</v>
      </c>
      <c r="F28" s="236">
        <v>700000</v>
      </c>
      <c r="G28" s="236">
        <v>0</v>
      </c>
      <c r="H28" s="111"/>
      <c r="K28" s="301" t="e">
        <f>F28-#REF!</f>
        <v>#REF!</v>
      </c>
    </row>
    <row r="29" spans="2:11" x14ac:dyDescent="0.25">
      <c r="B29" s="178" t="s">
        <v>306</v>
      </c>
      <c r="C29" s="234" t="s">
        <v>551</v>
      </c>
      <c r="D29" s="302">
        <v>1400000</v>
      </c>
      <c r="E29" s="302">
        <v>0</v>
      </c>
      <c r="F29" s="236">
        <v>650000</v>
      </c>
      <c r="G29" s="236">
        <v>750000</v>
      </c>
      <c r="H29" s="111"/>
      <c r="K29" s="301" t="e">
        <f>F29-#REF!</f>
        <v>#REF!</v>
      </c>
    </row>
    <row r="30" spans="2:11" x14ac:dyDescent="0.25">
      <c r="B30" s="178" t="s">
        <v>306</v>
      </c>
      <c r="C30" s="234" t="s">
        <v>15429</v>
      </c>
      <c r="D30" s="302">
        <v>650000</v>
      </c>
      <c r="E30" s="302">
        <v>0</v>
      </c>
      <c r="F30" s="236">
        <v>650000</v>
      </c>
      <c r="G30" s="236">
        <v>0</v>
      </c>
      <c r="H30" s="111"/>
      <c r="K30" s="301" t="e">
        <f>F30-#REF!</f>
        <v>#REF!</v>
      </c>
    </row>
    <row r="31" spans="2:11" x14ac:dyDescent="0.25">
      <c r="B31" s="178" t="s">
        <v>306</v>
      </c>
      <c r="C31" s="234" t="s">
        <v>15430</v>
      </c>
      <c r="D31" s="302">
        <v>1150000</v>
      </c>
      <c r="E31" s="302">
        <v>0</v>
      </c>
      <c r="F31" s="236">
        <v>650000</v>
      </c>
      <c r="G31" s="236">
        <v>500000</v>
      </c>
      <c r="H31" s="111"/>
      <c r="K31" s="301" t="e">
        <f>F31-#REF!</f>
        <v>#REF!</v>
      </c>
    </row>
    <row r="32" spans="2:11" x14ac:dyDescent="0.25">
      <c r="B32" s="178" t="s">
        <v>306</v>
      </c>
      <c r="C32" s="234" t="s">
        <v>15431</v>
      </c>
      <c r="D32" s="302">
        <v>1150000</v>
      </c>
      <c r="E32" s="302">
        <v>0</v>
      </c>
      <c r="F32" s="236">
        <v>650000</v>
      </c>
      <c r="G32" s="236">
        <v>500000</v>
      </c>
      <c r="H32" s="111"/>
      <c r="K32" s="301" t="e">
        <f>F32-#REF!</f>
        <v>#REF!</v>
      </c>
    </row>
    <row r="33" spans="2:11" x14ac:dyDescent="0.25">
      <c r="B33" s="178" t="s">
        <v>306</v>
      </c>
      <c r="C33" s="234" t="s">
        <v>15432</v>
      </c>
      <c r="D33" s="302">
        <v>1400000</v>
      </c>
      <c r="E33" s="302">
        <v>0</v>
      </c>
      <c r="F33" s="236">
        <v>650000</v>
      </c>
      <c r="G33" s="236">
        <v>750000</v>
      </c>
      <c r="H33" s="111"/>
      <c r="K33" s="301" t="e">
        <f>F33-#REF!</f>
        <v>#REF!</v>
      </c>
    </row>
    <row r="34" spans="2:11" x14ac:dyDescent="0.25">
      <c r="B34" s="178" t="s">
        <v>306</v>
      </c>
      <c r="C34" s="234" t="s">
        <v>15433</v>
      </c>
      <c r="D34" s="302">
        <v>1400000</v>
      </c>
      <c r="E34" s="302">
        <v>0</v>
      </c>
      <c r="F34" s="236">
        <v>650000</v>
      </c>
      <c r="G34" s="236">
        <v>750000</v>
      </c>
      <c r="H34" s="111"/>
      <c r="K34" s="301" t="e">
        <f>F34-#REF!</f>
        <v>#REF!</v>
      </c>
    </row>
    <row r="35" spans="2:11" x14ac:dyDescent="0.25">
      <c r="B35" s="178" t="s">
        <v>306</v>
      </c>
      <c r="C35" s="234" t="s">
        <v>15434</v>
      </c>
      <c r="D35" s="302">
        <v>1350000</v>
      </c>
      <c r="E35" s="302">
        <v>0</v>
      </c>
      <c r="F35" s="236">
        <v>600000</v>
      </c>
      <c r="G35" s="236">
        <v>750000</v>
      </c>
      <c r="H35" s="111"/>
      <c r="K35" s="301" t="e">
        <f>F35-#REF!</f>
        <v>#REF!</v>
      </c>
    </row>
    <row r="36" spans="2:11" x14ac:dyDescent="0.25">
      <c r="B36" s="178" t="s">
        <v>306</v>
      </c>
      <c r="C36" s="234" t="s">
        <v>15435</v>
      </c>
      <c r="D36" s="302">
        <v>1600000</v>
      </c>
      <c r="E36" s="302">
        <v>0</v>
      </c>
      <c r="F36" s="236">
        <v>600000</v>
      </c>
      <c r="G36" s="236">
        <v>1000000</v>
      </c>
      <c r="H36" s="111"/>
      <c r="K36" s="301" t="e">
        <f>F36-#REF!</f>
        <v>#REF!</v>
      </c>
    </row>
    <row r="37" spans="2:11" x14ac:dyDescent="0.25">
      <c r="B37" s="178" t="s">
        <v>306</v>
      </c>
      <c r="C37" s="234" t="s">
        <v>8911</v>
      </c>
      <c r="D37" s="302">
        <v>500000</v>
      </c>
      <c r="E37" s="302">
        <v>0</v>
      </c>
      <c r="F37" s="236">
        <v>500000</v>
      </c>
      <c r="G37" s="236">
        <v>0</v>
      </c>
      <c r="H37" s="111"/>
      <c r="K37" s="301" t="e">
        <f>F37-#REF!</f>
        <v>#REF!</v>
      </c>
    </row>
    <row r="38" spans="2:11" x14ac:dyDescent="0.25">
      <c r="B38" s="178" t="s">
        <v>306</v>
      </c>
      <c r="C38" s="234" t="s">
        <v>565</v>
      </c>
      <c r="D38" s="302">
        <v>1250000</v>
      </c>
      <c r="E38" s="302">
        <v>0</v>
      </c>
      <c r="F38" s="236">
        <v>500000</v>
      </c>
      <c r="G38" s="236">
        <v>750000</v>
      </c>
      <c r="H38" s="111"/>
      <c r="K38" s="301" t="e">
        <f>F38-#REF!</f>
        <v>#REF!</v>
      </c>
    </row>
    <row r="39" spans="2:11" x14ac:dyDescent="0.25">
      <c r="B39" s="178" t="s">
        <v>306</v>
      </c>
      <c r="C39" s="234" t="s">
        <v>389</v>
      </c>
      <c r="D39" s="302">
        <v>500000</v>
      </c>
      <c r="E39" s="302">
        <v>0</v>
      </c>
      <c r="F39" s="236">
        <v>500000</v>
      </c>
      <c r="G39" s="236">
        <v>0</v>
      </c>
      <c r="H39" s="111"/>
      <c r="K39" s="301" t="e">
        <f>F39-#REF!</f>
        <v>#REF!</v>
      </c>
    </row>
    <row r="40" spans="2:11" x14ac:dyDescent="0.25">
      <c r="B40" s="178" t="s">
        <v>306</v>
      </c>
      <c r="C40" s="234" t="s">
        <v>574</v>
      </c>
      <c r="D40" s="302">
        <v>1250000</v>
      </c>
      <c r="E40" s="302">
        <v>0</v>
      </c>
      <c r="F40" s="236">
        <v>500000</v>
      </c>
      <c r="G40" s="236">
        <v>750000</v>
      </c>
      <c r="H40" s="111"/>
      <c r="K40" s="301" t="e">
        <f>F40-#REF!</f>
        <v>#REF!</v>
      </c>
    </row>
    <row r="41" spans="2:11" x14ac:dyDescent="0.25">
      <c r="B41" s="178" t="s">
        <v>306</v>
      </c>
      <c r="C41" s="234" t="s">
        <v>699</v>
      </c>
      <c r="D41" s="302">
        <v>500000</v>
      </c>
      <c r="E41" s="302">
        <v>0</v>
      </c>
      <c r="F41" s="236">
        <v>500000</v>
      </c>
      <c r="G41" s="236">
        <v>0</v>
      </c>
      <c r="H41" s="111"/>
      <c r="K41" s="301" t="e">
        <f>F41-#REF!</f>
        <v>#REF!</v>
      </c>
    </row>
    <row r="42" spans="2:11" x14ac:dyDescent="0.25">
      <c r="B42" s="178" t="s">
        <v>306</v>
      </c>
      <c r="C42" s="234" t="s">
        <v>573</v>
      </c>
      <c r="D42" s="302">
        <v>400000</v>
      </c>
      <c r="E42" s="302">
        <v>0</v>
      </c>
      <c r="F42" s="236">
        <v>400000</v>
      </c>
      <c r="G42" s="236">
        <v>0</v>
      </c>
      <c r="H42" s="111"/>
      <c r="K42" s="301" t="e">
        <f>F42-#REF!</f>
        <v>#REF!</v>
      </c>
    </row>
    <row r="43" spans="2:11" x14ac:dyDescent="0.25">
      <c r="B43" s="178" t="s">
        <v>306</v>
      </c>
      <c r="C43" s="234" t="s">
        <v>8960</v>
      </c>
      <c r="D43" s="302">
        <v>400000</v>
      </c>
      <c r="E43" s="302">
        <v>0</v>
      </c>
      <c r="F43" s="236">
        <v>400000</v>
      </c>
      <c r="G43" s="236">
        <v>0</v>
      </c>
      <c r="H43" s="111"/>
      <c r="K43" s="301" t="e">
        <f>F43-#REF!</f>
        <v>#REF!</v>
      </c>
    </row>
    <row r="44" spans="2:11" x14ac:dyDescent="0.25">
      <c r="B44" s="178" t="s">
        <v>306</v>
      </c>
      <c r="C44" s="234" t="s">
        <v>684</v>
      </c>
      <c r="D44" s="302">
        <v>1150000</v>
      </c>
      <c r="E44" s="302">
        <v>0</v>
      </c>
      <c r="F44" s="236">
        <v>400000</v>
      </c>
      <c r="G44" s="236">
        <v>750000</v>
      </c>
      <c r="H44" s="111"/>
      <c r="K44" s="301" t="e">
        <f>F44-#REF!</f>
        <v>#REF!</v>
      </c>
    </row>
    <row r="45" spans="2:11" x14ac:dyDescent="0.25">
      <c r="B45" s="178" t="s">
        <v>306</v>
      </c>
      <c r="C45" s="234" t="s">
        <v>660</v>
      </c>
      <c r="D45" s="302">
        <v>350000</v>
      </c>
      <c r="E45" s="302">
        <v>0</v>
      </c>
      <c r="F45" s="236">
        <v>350000</v>
      </c>
      <c r="G45" s="236">
        <v>0</v>
      </c>
      <c r="H45" s="111"/>
      <c r="K45" s="301" t="e">
        <f>F45-#REF!</f>
        <v>#REF!</v>
      </c>
    </row>
    <row r="46" spans="2:11" x14ac:dyDescent="0.25">
      <c r="B46" s="178" t="s">
        <v>306</v>
      </c>
      <c r="C46" s="234" t="s">
        <v>185</v>
      </c>
      <c r="D46" s="302">
        <v>310000</v>
      </c>
      <c r="E46" s="302">
        <v>0</v>
      </c>
      <c r="F46" s="236">
        <v>310000</v>
      </c>
      <c r="G46" s="236">
        <v>0</v>
      </c>
      <c r="H46" s="111"/>
      <c r="K46" s="301" t="e">
        <f>F46-#REF!</f>
        <v>#REF!</v>
      </c>
    </row>
    <row r="47" spans="2:11" x14ac:dyDescent="0.25">
      <c r="B47" s="178" t="s">
        <v>306</v>
      </c>
      <c r="C47" s="234" t="s">
        <v>723</v>
      </c>
      <c r="D47" s="302">
        <v>300000</v>
      </c>
      <c r="E47" s="302">
        <v>0</v>
      </c>
      <c r="F47" s="236">
        <v>300000</v>
      </c>
      <c r="G47" s="236">
        <v>0</v>
      </c>
      <c r="H47" s="111"/>
      <c r="K47" s="301" t="e">
        <f>F47-#REF!</f>
        <v>#REF!</v>
      </c>
    </row>
    <row r="48" spans="2:11" x14ac:dyDescent="0.25">
      <c r="B48" s="178" t="s">
        <v>306</v>
      </c>
      <c r="C48" s="234" t="s">
        <v>729</v>
      </c>
      <c r="D48" s="302">
        <v>1050000</v>
      </c>
      <c r="E48" s="302">
        <v>0</v>
      </c>
      <c r="F48" s="236">
        <v>300000</v>
      </c>
      <c r="G48" s="236">
        <v>750000</v>
      </c>
      <c r="H48" s="111"/>
      <c r="K48" s="301" t="e">
        <f>F48-#REF!</f>
        <v>#REF!</v>
      </c>
    </row>
    <row r="49" spans="2:11" x14ac:dyDescent="0.25">
      <c r="B49" s="178" t="s">
        <v>306</v>
      </c>
      <c r="C49" s="234" t="s">
        <v>741</v>
      </c>
      <c r="D49" s="302">
        <v>1050000</v>
      </c>
      <c r="E49" s="302">
        <v>0</v>
      </c>
      <c r="F49" s="236">
        <v>300000</v>
      </c>
      <c r="G49" s="236">
        <v>750000</v>
      </c>
      <c r="H49" s="111"/>
      <c r="K49" s="301" t="e">
        <f>F49-#REF!</f>
        <v>#REF!</v>
      </c>
    </row>
    <row r="50" spans="2:11" x14ac:dyDescent="0.25">
      <c r="B50" s="178" t="s">
        <v>306</v>
      </c>
      <c r="C50" s="234" t="s">
        <v>15436</v>
      </c>
      <c r="D50" s="302">
        <v>300000</v>
      </c>
      <c r="E50" s="302">
        <v>0</v>
      </c>
      <c r="F50" s="236">
        <v>300000</v>
      </c>
      <c r="G50" s="236">
        <v>0</v>
      </c>
      <c r="H50" s="111"/>
      <c r="K50" s="301" t="e">
        <f>F50-#REF!</f>
        <v>#REF!</v>
      </c>
    </row>
    <row r="51" spans="2:11" x14ac:dyDescent="0.25">
      <c r="B51" s="178" t="s">
        <v>460</v>
      </c>
      <c r="C51" s="234" t="s">
        <v>428</v>
      </c>
      <c r="D51" s="302">
        <v>950000</v>
      </c>
      <c r="E51" s="302">
        <v>0</v>
      </c>
      <c r="F51" s="236">
        <v>200000</v>
      </c>
      <c r="G51" s="236">
        <v>750000</v>
      </c>
      <c r="H51" s="111"/>
      <c r="K51" s="301" t="e">
        <f>F51-#REF!</f>
        <v>#REF!</v>
      </c>
    </row>
    <row r="52" spans="2:11" x14ac:dyDescent="0.25">
      <c r="B52" s="178" t="s">
        <v>306</v>
      </c>
      <c r="C52" s="234" t="s">
        <v>10839</v>
      </c>
      <c r="D52" s="302">
        <v>950000</v>
      </c>
      <c r="E52" s="302">
        <v>0</v>
      </c>
      <c r="F52" s="236">
        <v>200000</v>
      </c>
      <c r="G52" s="236">
        <v>750000</v>
      </c>
      <c r="H52" s="111"/>
      <c r="K52" s="301" t="e">
        <f>F52-#REF!</f>
        <v>#REF!</v>
      </c>
    </row>
    <row r="53" spans="2:11" x14ac:dyDescent="0.25">
      <c r="B53" s="178" t="s">
        <v>306</v>
      </c>
      <c r="C53" s="234" t="s">
        <v>654</v>
      </c>
      <c r="D53" s="302">
        <v>200000</v>
      </c>
      <c r="E53" s="302">
        <v>0</v>
      </c>
      <c r="F53" s="236">
        <v>200000</v>
      </c>
      <c r="G53" s="236">
        <v>0</v>
      </c>
      <c r="H53" s="111"/>
      <c r="K53" s="301" t="e">
        <f>F53-#REF!</f>
        <v>#REF!</v>
      </c>
    </row>
    <row r="54" spans="2:11" x14ac:dyDescent="0.25">
      <c r="B54" s="178" t="s">
        <v>306</v>
      </c>
      <c r="C54" s="234" t="s">
        <v>268</v>
      </c>
      <c r="D54" s="302">
        <v>850000</v>
      </c>
      <c r="E54" s="302">
        <v>0</v>
      </c>
      <c r="F54" s="236">
        <v>100000</v>
      </c>
      <c r="G54" s="236">
        <v>750000</v>
      </c>
      <c r="H54" s="111"/>
      <c r="K54" s="301" t="e">
        <f>F54-#REF!</f>
        <v>#REF!</v>
      </c>
    </row>
    <row r="55" spans="2:11" x14ac:dyDescent="0.25">
      <c r="B55" s="178" t="s">
        <v>306</v>
      </c>
      <c r="C55" s="234" t="s">
        <v>15437</v>
      </c>
      <c r="D55" s="302">
        <v>0</v>
      </c>
      <c r="E55" s="302">
        <v>0</v>
      </c>
      <c r="F55" s="236">
        <v>0</v>
      </c>
      <c r="G55" s="236">
        <v>0</v>
      </c>
      <c r="H55" s="111"/>
      <c r="K55" s="301" t="e">
        <f>F55-#REF!</f>
        <v>#REF!</v>
      </c>
    </row>
    <row r="56" spans="2:11" x14ac:dyDescent="0.25">
      <c r="B56" s="178" t="s">
        <v>306</v>
      </c>
      <c r="C56" s="234" t="s">
        <v>15438</v>
      </c>
      <c r="D56" s="302">
        <v>0</v>
      </c>
      <c r="E56" s="302">
        <v>0</v>
      </c>
      <c r="F56" s="236">
        <v>0</v>
      </c>
      <c r="G56" s="236">
        <v>0</v>
      </c>
      <c r="H56" s="111"/>
      <c r="K56" s="301" t="e">
        <f>F56-#REF!</f>
        <v>#REF!</v>
      </c>
    </row>
    <row r="57" spans="2:11" x14ac:dyDescent="0.25">
      <c r="B57" s="178" t="s">
        <v>306</v>
      </c>
      <c r="C57" s="234" t="s">
        <v>15439</v>
      </c>
      <c r="D57" s="302">
        <v>0</v>
      </c>
      <c r="E57" s="302">
        <v>0</v>
      </c>
      <c r="F57" s="236">
        <v>0</v>
      </c>
      <c r="G57" s="236">
        <v>0</v>
      </c>
      <c r="H57" s="111"/>
      <c r="K57" s="301" t="e">
        <f>F57-#REF!</f>
        <v>#REF!</v>
      </c>
    </row>
    <row r="58" spans="2:11" x14ac:dyDescent="0.25">
      <c r="B58" s="178" t="s">
        <v>306</v>
      </c>
      <c r="C58" s="234" t="s">
        <v>11660</v>
      </c>
      <c r="D58" s="302">
        <v>750000</v>
      </c>
      <c r="E58" s="302">
        <v>0</v>
      </c>
      <c r="F58" s="236">
        <v>0</v>
      </c>
      <c r="G58" s="236">
        <v>750000</v>
      </c>
      <c r="H58" s="111"/>
      <c r="K58" s="301" t="e">
        <f>F58-#REF!</f>
        <v>#REF!</v>
      </c>
    </row>
    <row r="59" spans="2:11" x14ac:dyDescent="0.25">
      <c r="B59" s="178" t="s">
        <v>306</v>
      </c>
      <c r="C59" s="234" t="s">
        <v>15440</v>
      </c>
      <c r="D59" s="302">
        <v>750000</v>
      </c>
      <c r="E59" s="302">
        <v>0</v>
      </c>
      <c r="F59" s="236">
        <v>0</v>
      </c>
      <c r="G59" s="236">
        <v>750000</v>
      </c>
      <c r="H59" s="111"/>
      <c r="K59" s="301" t="e">
        <f>F59-#REF!</f>
        <v>#REF!</v>
      </c>
    </row>
    <row r="60" spans="2:11" x14ac:dyDescent="0.25">
      <c r="B60" s="178" t="s">
        <v>306</v>
      </c>
      <c r="C60" s="234" t="s">
        <v>15441</v>
      </c>
      <c r="D60" s="302">
        <v>750000</v>
      </c>
      <c r="E60" s="302">
        <v>0</v>
      </c>
      <c r="F60" s="236">
        <v>0</v>
      </c>
      <c r="G60" s="236">
        <v>750000</v>
      </c>
      <c r="H60" s="111"/>
      <c r="K60" s="301" t="e">
        <f>F60-#REF!</f>
        <v>#REF!</v>
      </c>
    </row>
    <row r="61" spans="2:11" x14ac:dyDescent="0.25">
      <c r="B61" s="178" t="s">
        <v>306</v>
      </c>
      <c r="C61" s="234" t="s">
        <v>15442</v>
      </c>
      <c r="D61" s="302">
        <v>750000</v>
      </c>
      <c r="E61" s="302">
        <v>0</v>
      </c>
      <c r="F61" s="236">
        <v>0</v>
      </c>
      <c r="G61" s="236">
        <v>750000</v>
      </c>
      <c r="H61" s="111"/>
      <c r="K61" s="301" t="e">
        <f>F61-#REF!</f>
        <v>#REF!</v>
      </c>
    </row>
    <row r="62" spans="2:11" x14ac:dyDescent="0.25">
      <c r="B62" s="178" t="s">
        <v>306</v>
      </c>
      <c r="C62" s="234" t="s">
        <v>15443</v>
      </c>
      <c r="D62" s="302">
        <v>500000</v>
      </c>
      <c r="E62" s="302">
        <v>0</v>
      </c>
      <c r="F62" s="236">
        <v>0</v>
      </c>
      <c r="G62" s="236">
        <v>500000</v>
      </c>
      <c r="H62" s="111"/>
      <c r="K62" s="301" t="e">
        <f>F62-#REF!</f>
        <v>#REF!</v>
      </c>
    </row>
    <row r="63" spans="2:11" x14ac:dyDescent="0.25">
      <c r="B63" s="178" t="s">
        <v>306</v>
      </c>
      <c r="C63" s="234" t="s">
        <v>15444</v>
      </c>
      <c r="D63" s="302">
        <v>750000</v>
      </c>
      <c r="E63" s="302">
        <v>0</v>
      </c>
      <c r="F63" s="236">
        <v>0</v>
      </c>
      <c r="G63" s="236">
        <v>750000</v>
      </c>
      <c r="H63" s="111"/>
      <c r="K63" s="301" t="e">
        <f>F63-#REF!</f>
        <v>#REF!</v>
      </c>
    </row>
    <row r="64" spans="2:11" x14ac:dyDescent="0.25">
      <c r="B64" s="178" t="s">
        <v>306</v>
      </c>
      <c r="C64" s="234" t="s">
        <v>15445</v>
      </c>
      <c r="D64" s="302">
        <v>750000</v>
      </c>
      <c r="E64" s="302">
        <v>0</v>
      </c>
      <c r="F64" s="236">
        <v>0</v>
      </c>
      <c r="G64" s="236">
        <v>750000</v>
      </c>
      <c r="H64" s="111"/>
      <c r="K64" s="301" t="e">
        <f>F64-#REF!</f>
        <v>#REF!</v>
      </c>
    </row>
    <row r="65" spans="2:11" x14ac:dyDescent="0.25">
      <c r="B65" s="178" t="s">
        <v>306</v>
      </c>
      <c r="C65" s="234" t="s">
        <v>5311</v>
      </c>
      <c r="D65" s="302">
        <v>750000</v>
      </c>
      <c r="E65" s="302">
        <v>0</v>
      </c>
      <c r="F65" s="236">
        <v>0</v>
      </c>
      <c r="G65" s="236">
        <v>750000</v>
      </c>
      <c r="H65" s="111"/>
      <c r="K65" s="301" t="e">
        <f>F65-#REF!</f>
        <v>#REF!</v>
      </c>
    </row>
    <row r="66" spans="2:11" x14ac:dyDescent="0.25">
      <c r="B66" s="178" t="s">
        <v>306</v>
      </c>
      <c r="C66" s="234" t="s">
        <v>15446</v>
      </c>
      <c r="D66" s="302">
        <v>750000</v>
      </c>
      <c r="E66" s="302">
        <v>0</v>
      </c>
      <c r="F66" s="236">
        <v>0</v>
      </c>
      <c r="G66" s="236">
        <v>750000</v>
      </c>
      <c r="H66" s="111"/>
      <c r="K66" s="301" t="e">
        <f>F66-#REF!</f>
        <v>#REF!</v>
      </c>
    </row>
    <row r="67" spans="2:11" x14ac:dyDescent="0.25">
      <c r="B67" s="178" t="s">
        <v>306</v>
      </c>
      <c r="C67" s="234" t="s">
        <v>15447</v>
      </c>
      <c r="D67" s="302">
        <v>750000</v>
      </c>
      <c r="E67" s="302">
        <v>0</v>
      </c>
      <c r="F67" s="236">
        <v>0</v>
      </c>
      <c r="G67" s="236">
        <v>750000</v>
      </c>
      <c r="H67" s="111"/>
      <c r="K67" s="301" t="e">
        <f>F67-#REF!</f>
        <v>#REF!</v>
      </c>
    </row>
    <row r="68" spans="2:11" x14ac:dyDescent="0.25">
      <c r="B68" s="178" t="s">
        <v>306</v>
      </c>
      <c r="C68" s="234" t="s">
        <v>15448</v>
      </c>
      <c r="D68" s="302">
        <v>750000</v>
      </c>
      <c r="E68" s="302">
        <v>0</v>
      </c>
      <c r="F68" s="236">
        <v>0</v>
      </c>
      <c r="G68" s="236">
        <v>750000</v>
      </c>
      <c r="H68" s="111"/>
      <c r="K68" s="301" t="e">
        <f>F68-#REF!</f>
        <v>#REF!</v>
      </c>
    </row>
    <row r="69" spans="2:11" x14ac:dyDescent="0.25">
      <c r="B69" s="178" t="s">
        <v>306</v>
      </c>
      <c r="C69" s="234" t="s">
        <v>3319</v>
      </c>
      <c r="D69" s="302">
        <v>750000</v>
      </c>
      <c r="E69" s="302">
        <v>0</v>
      </c>
      <c r="F69" s="236">
        <v>0</v>
      </c>
      <c r="G69" s="236">
        <v>750000</v>
      </c>
      <c r="H69" s="111"/>
      <c r="K69" s="301" t="e">
        <f>F69-#REF!</f>
        <v>#REF!</v>
      </c>
    </row>
    <row r="70" spans="2:11" x14ac:dyDescent="0.25">
      <c r="B70" s="178" t="s">
        <v>306</v>
      </c>
      <c r="C70" s="234" t="s">
        <v>5329</v>
      </c>
      <c r="D70" s="302">
        <v>180000</v>
      </c>
      <c r="E70" s="302">
        <v>0</v>
      </c>
      <c r="F70" s="236">
        <v>0</v>
      </c>
      <c r="G70" s="236">
        <v>180000</v>
      </c>
    </row>
    <row r="71" spans="2:11" x14ac:dyDescent="0.25">
      <c r="B71" s="178" t="s">
        <v>306</v>
      </c>
      <c r="C71" s="234" t="s">
        <v>15449</v>
      </c>
      <c r="D71" s="302">
        <v>750000</v>
      </c>
      <c r="E71" s="302">
        <v>0</v>
      </c>
      <c r="F71" s="236">
        <v>0</v>
      </c>
      <c r="G71" s="236">
        <v>750000</v>
      </c>
    </row>
    <row r="72" spans="2:11" x14ac:dyDescent="0.25">
      <c r="B72" s="178" t="s">
        <v>306</v>
      </c>
      <c r="C72" s="234" t="s">
        <v>15450</v>
      </c>
      <c r="D72" s="302">
        <v>750000</v>
      </c>
      <c r="E72" s="302">
        <v>0</v>
      </c>
      <c r="F72" s="236">
        <v>0</v>
      </c>
      <c r="G72" s="236">
        <v>750000</v>
      </c>
    </row>
    <row r="73" spans="2:11" x14ac:dyDescent="0.25">
      <c r="B73" s="178" t="s">
        <v>306</v>
      </c>
      <c r="C73" s="234" t="s">
        <v>11106</v>
      </c>
      <c r="D73" s="302">
        <v>750000</v>
      </c>
      <c r="E73" s="302">
        <v>0</v>
      </c>
      <c r="F73" s="236">
        <v>0</v>
      </c>
      <c r="G73" s="236">
        <v>750000</v>
      </c>
    </row>
    <row r="74" spans="2:11" x14ac:dyDescent="0.25">
      <c r="B74" s="178" t="s">
        <v>306</v>
      </c>
      <c r="C74" s="234" t="s">
        <v>15451</v>
      </c>
      <c r="D74" s="302">
        <v>750000</v>
      </c>
      <c r="E74" s="302">
        <v>0</v>
      </c>
      <c r="F74" s="236">
        <v>0</v>
      </c>
      <c r="G74" s="236">
        <v>750000</v>
      </c>
    </row>
    <row r="75" spans="2:11" x14ac:dyDescent="0.25">
      <c r="B75" s="178" t="s">
        <v>306</v>
      </c>
      <c r="C75" s="234" t="s">
        <v>15452</v>
      </c>
      <c r="D75" s="302">
        <v>750000</v>
      </c>
      <c r="E75" s="302">
        <v>0</v>
      </c>
      <c r="F75" s="236">
        <v>0</v>
      </c>
      <c r="G75" s="236">
        <v>750000</v>
      </c>
    </row>
    <row r="76" spans="2:11" x14ac:dyDescent="0.25">
      <c r="B76" s="178" t="s">
        <v>306</v>
      </c>
      <c r="C76" s="234" t="s">
        <v>15453</v>
      </c>
      <c r="D76" s="302">
        <v>750000</v>
      </c>
      <c r="E76" s="302">
        <v>0</v>
      </c>
      <c r="F76" s="236">
        <v>0</v>
      </c>
      <c r="G76" s="236">
        <v>750000</v>
      </c>
    </row>
    <row r="77" spans="2:11" x14ac:dyDescent="0.25">
      <c r="B77" s="178" t="s">
        <v>306</v>
      </c>
      <c r="C77" s="234" t="s">
        <v>15454</v>
      </c>
      <c r="D77" s="302">
        <v>750000</v>
      </c>
      <c r="E77" s="302">
        <v>0</v>
      </c>
      <c r="F77" s="236">
        <v>0</v>
      </c>
      <c r="G77" s="236">
        <v>750000</v>
      </c>
    </row>
    <row r="78" spans="2:11" x14ac:dyDescent="0.25">
      <c r="B78" s="178" t="s">
        <v>306</v>
      </c>
      <c r="C78" s="234" t="s">
        <v>11932</v>
      </c>
      <c r="D78" s="302">
        <v>750000</v>
      </c>
      <c r="E78" s="302">
        <v>0</v>
      </c>
      <c r="F78" s="236">
        <v>0</v>
      </c>
      <c r="G78" s="236">
        <v>750000</v>
      </c>
    </row>
    <row r="79" spans="2:11" x14ac:dyDescent="0.25">
      <c r="B79" s="178" t="s">
        <v>306</v>
      </c>
      <c r="C79" s="234" t="s">
        <v>5189</v>
      </c>
      <c r="D79" s="302">
        <v>180000</v>
      </c>
      <c r="E79" s="302">
        <v>0</v>
      </c>
      <c r="F79" s="236">
        <v>0</v>
      </c>
      <c r="G79" s="236">
        <v>180000</v>
      </c>
    </row>
    <row r="80" spans="2:11" x14ac:dyDescent="0.25">
      <c r="B80" s="178" t="s">
        <v>306</v>
      </c>
      <c r="C80" s="234" t="s">
        <v>15455</v>
      </c>
      <c r="D80" s="302">
        <v>750000</v>
      </c>
      <c r="E80" s="302">
        <v>0</v>
      </c>
      <c r="F80" s="236">
        <v>0</v>
      </c>
      <c r="G80" s="236">
        <v>750000</v>
      </c>
    </row>
    <row r="81" spans="2:7" x14ac:dyDescent="0.25">
      <c r="B81" s="178" t="s">
        <v>306</v>
      </c>
      <c r="C81" s="234" t="s">
        <v>6912</v>
      </c>
      <c r="D81" s="302">
        <v>750000</v>
      </c>
      <c r="E81" s="302">
        <v>0</v>
      </c>
      <c r="F81" s="236">
        <v>0</v>
      </c>
      <c r="G81" s="236">
        <v>750000</v>
      </c>
    </row>
    <row r="82" spans="2:7" x14ac:dyDescent="0.25">
      <c r="B82" s="178" t="s">
        <v>306</v>
      </c>
      <c r="C82" s="234" t="s">
        <v>5700</v>
      </c>
      <c r="D82" s="302">
        <v>750000</v>
      </c>
      <c r="E82" s="302">
        <v>0</v>
      </c>
      <c r="F82" s="236">
        <v>0</v>
      </c>
      <c r="G82" s="236">
        <v>750000</v>
      </c>
    </row>
    <row r="83" spans="2:7" x14ac:dyDescent="0.25">
      <c r="B83" s="178" t="s">
        <v>306</v>
      </c>
      <c r="C83" s="234" t="s">
        <v>15456</v>
      </c>
      <c r="D83" s="302">
        <v>750000</v>
      </c>
      <c r="E83" s="302">
        <v>0</v>
      </c>
      <c r="F83" s="236">
        <v>0</v>
      </c>
      <c r="G83" s="236">
        <v>750000</v>
      </c>
    </row>
    <row r="84" spans="2:7" x14ac:dyDescent="0.25">
      <c r="B84" s="178" t="s">
        <v>306</v>
      </c>
      <c r="C84" s="234" t="s">
        <v>6309</v>
      </c>
      <c r="D84" s="302">
        <v>750000</v>
      </c>
      <c r="E84" s="302">
        <v>0</v>
      </c>
      <c r="F84" s="236">
        <v>0</v>
      </c>
      <c r="G84" s="236">
        <v>750000</v>
      </c>
    </row>
    <row r="85" spans="2:7" x14ac:dyDescent="0.25">
      <c r="B85" s="178" t="s">
        <v>306</v>
      </c>
      <c r="C85" s="234" t="s">
        <v>5636</v>
      </c>
      <c r="D85" s="302">
        <v>750000</v>
      </c>
      <c r="E85" s="302">
        <v>0</v>
      </c>
      <c r="F85" s="236">
        <v>0</v>
      </c>
      <c r="G85" s="236">
        <v>750000</v>
      </c>
    </row>
    <row r="86" spans="2:7" x14ac:dyDescent="0.25">
      <c r="B86" s="178" t="s">
        <v>306</v>
      </c>
      <c r="C86" s="234" t="s">
        <v>15457</v>
      </c>
      <c r="D86" s="302">
        <v>750000</v>
      </c>
      <c r="E86" s="302">
        <v>0</v>
      </c>
      <c r="F86" s="236">
        <v>0</v>
      </c>
      <c r="G86" s="236">
        <v>750000</v>
      </c>
    </row>
    <row r="87" spans="2:7" x14ac:dyDescent="0.25">
      <c r="B87" s="178" t="s">
        <v>306</v>
      </c>
      <c r="C87" s="234" t="s">
        <v>266</v>
      </c>
      <c r="D87" s="302">
        <v>750000</v>
      </c>
      <c r="E87" s="302">
        <v>0</v>
      </c>
      <c r="F87" s="236">
        <v>0</v>
      </c>
      <c r="G87" s="236">
        <v>750000</v>
      </c>
    </row>
    <row r="88" spans="2:7" x14ac:dyDescent="0.25">
      <c r="B88" s="178" t="s">
        <v>306</v>
      </c>
      <c r="C88" s="234" t="s">
        <v>15458</v>
      </c>
      <c r="D88" s="302">
        <v>750000</v>
      </c>
      <c r="E88" s="302">
        <v>0</v>
      </c>
      <c r="F88" s="236">
        <v>0</v>
      </c>
      <c r="G88" s="236">
        <v>750000</v>
      </c>
    </row>
    <row r="89" spans="2:7" x14ac:dyDescent="0.25">
      <c r="B89" s="178" t="s">
        <v>306</v>
      </c>
      <c r="C89" s="234" t="s">
        <v>5324</v>
      </c>
      <c r="D89" s="302">
        <v>750000</v>
      </c>
      <c r="E89" s="302">
        <v>0</v>
      </c>
      <c r="F89" s="236">
        <v>0</v>
      </c>
      <c r="G89" s="236">
        <v>750000</v>
      </c>
    </row>
    <row r="90" spans="2:7" x14ac:dyDescent="0.25">
      <c r="B90" s="178" t="s">
        <v>306</v>
      </c>
      <c r="C90" s="234" t="s">
        <v>15459</v>
      </c>
      <c r="D90" s="302">
        <v>750000</v>
      </c>
      <c r="E90" s="302">
        <v>0</v>
      </c>
      <c r="F90" s="236">
        <v>0</v>
      </c>
      <c r="G90" s="236">
        <v>750000</v>
      </c>
    </row>
    <row r="91" spans="2:7" x14ac:dyDescent="0.25">
      <c r="B91" s="178" t="s">
        <v>306</v>
      </c>
      <c r="C91" s="234" t="s">
        <v>15460</v>
      </c>
      <c r="D91" s="302">
        <v>1000000</v>
      </c>
      <c r="E91" s="302">
        <v>0</v>
      </c>
      <c r="F91" s="236"/>
      <c r="G91" s="236">
        <v>1000000</v>
      </c>
    </row>
    <row r="92" spans="2:7" x14ac:dyDescent="0.25">
      <c r="B92" s="178" t="s">
        <v>306</v>
      </c>
      <c r="C92" s="234" t="s">
        <v>15461</v>
      </c>
      <c r="D92" s="302">
        <v>1000000</v>
      </c>
      <c r="E92" s="302">
        <v>0</v>
      </c>
      <c r="F92" s="236"/>
      <c r="G92" s="236">
        <v>1000000</v>
      </c>
    </row>
    <row r="93" spans="2:7" x14ac:dyDescent="0.25">
      <c r="B93" s="178" t="s">
        <v>306</v>
      </c>
      <c r="C93" s="234" t="s">
        <v>15462</v>
      </c>
      <c r="D93" s="302">
        <v>750000</v>
      </c>
      <c r="E93" s="302">
        <v>0</v>
      </c>
      <c r="F93" s="236"/>
      <c r="G93" s="236">
        <v>750000</v>
      </c>
    </row>
    <row r="94" spans="2:7" x14ac:dyDescent="0.25">
      <c r="B94" s="178" t="s">
        <v>306</v>
      </c>
      <c r="C94" s="234" t="s">
        <v>15463</v>
      </c>
      <c r="D94" s="302">
        <v>500000</v>
      </c>
      <c r="E94" s="302">
        <v>0</v>
      </c>
      <c r="F94" s="236"/>
      <c r="G94" s="236">
        <v>500000</v>
      </c>
    </row>
    <row r="95" spans="2:7" x14ac:dyDescent="0.25">
      <c r="B95" s="178" t="s">
        <v>460</v>
      </c>
      <c r="C95" s="234" t="s">
        <v>431</v>
      </c>
      <c r="D95" s="302">
        <v>15000000</v>
      </c>
      <c r="E95" s="302">
        <v>0</v>
      </c>
      <c r="F95" s="236">
        <v>15000000</v>
      </c>
      <c r="G95" s="236"/>
    </row>
    <row r="96" spans="2:7" x14ac:dyDescent="0.25">
      <c r="B96" s="178" t="s">
        <v>460</v>
      </c>
      <c r="C96" s="234" t="s">
        <v>355</v>
      </c>
      <c r="D96" s="302">
        <v>2315000</v>
      </c>
      <c r="E96" s="302">
        <v>0</v>
      </c>
      <c r="F96" s="236">
        <v>2315000</v>
      </c>
      <c r="G96" s="236">
        <v>0</v>
      </c>
    </row>
    <row r="97" spans="2:7" x14ac:dyDescent="0.25">
      <c r="B97" s="178" t="s">
        <v>460</v>
      </c>
      <c r="C97" s="234" t="s">
        <v>359</v>
      </c>
      <c r="D97" s="302">
        <v>6000000</v>
      </c>
      <c r="E97" s="302">
        <v>0</v>
      </c>
      <c r="F97" s="236">
        <v>6000000</v>
      </c>
      <c r="G97" s="236">
        <v>0</v>
      </c>
    </row>
    <row r="98" spans="2:7" x14ac:dyDescent="0.25">
      <c r="B98" s="178" t="s">
        <v>460</v>
      </c>
      <c r="C98" s="234" t="s">
        <v>358</v>
      </c>
      <c r="D98" s="302">
        <v>500000</v>
      </c>
      <c r="E98" s="302">
        <v>0</v>
      </c>
      <c r="F98" s="236">
        <v>500000</v>
      </c>
      <c r="G98" s="236">
        <v>0</v>
      </c>
    </row>
    <row r="99" spans="2:7" x14ac:dyDescent="0.25">
      <c r="B99" s="178" t="s">
        <v>460</v>
      </c>
      <c r="C99" s="234" t="s">
        <v>353</v>
      </c>
      <c r="D99" s="302">
        <v>4000000</v>
      </c>
      <c r="E99" s="302">
        <v>0</v>
      </c>
      <c r="F99" s="236">
        <v>4000000</v>
      </c>
      <c r="G99" s="236">
        <v>0</v>
      </c>
    </row>
    <row r="100" spans="2:7" x14ac:dyDescent="0.25">
      <c r="B100" s="178" t="s">
        <v>460</v>
      </c>
      <c r="C100" s="234" t="s">
        <v>356</v>
      </c>
      <c r="D100" s="302">
        <v>4500000</v>
      </c>
      <c r="E100" s="302">
        <v>0</v>
      </c>
      <c r="F100" s="236">
        <v>4500000</v>
      </c>
      <c r="G100" s="236">
        <v>0</v>
      </c>
    </row>
    <row r="101" spans="2:7" x14ac:dyDescent="0.25">
      <c r="B101" s="178" t="s">
        <v>460</v>
      </c>
      <c r="C101" s="234" t="s">
        <v>370</v>
      </c>
      <c r="D101" s="302">
        <v>2000000</v>
      </c>
      <c r="E101" s="302">
        <v>0</v>
      </c>
      <c r="F101" s="236">
        <v>2000000</v>
      </c>
      <c r="G101" s="236">
        <v>0</v>
      </c>
    </row>
    <row r="102" spans="2:7" x14ac:dyDescent="0.25">
      <c r="B102" s="178" t="s">
        <v>460</v>
      </c>
      <c r="C102" s="234" t="s">
        <v>25</v>
      </c>
      <c r="D102" s="302">
        <v>2600000</v>
      </c>
      <c r="E102" s="302">
        <v>0</v>
      </c>
      <c r="F102" s="236">
        <v>2600000</v>
      </c>
      <c r="G102" s="236">
        <v>0</v>
      </c>
    </row>
    <row r="103" spans="2:7" x14ac:dyDescent="0.25">
      <c r="B103" s="178" t="s">
        <v>460</v>
      </c>
      <c r="C103" s="234" t="s">
        <v>420</v>
      </c>
      <c r="D103" s="302">
        <v>2500000</v>
      </c>
      <c r="E103" s="302">
        <v>0</v>
      </c>
      <c r="F103" s="236">
        <v>2500000</v>
      </c>
      <c r="G103" s="236">
        <v>0</v>
      </c>
    </row>
    <row r="104" spans="2:7" x14ac:dyDescent="0.25">
      <c r="B104" s="178" t="s">
        <v>460</v>
      </c>
      <c r="C104" s="234" t="s">
        <v>364</v>
      </c>
      <c r="D104" s="302">
        <v>1500000</v>
      </c>
      <c r="E104" s="302">
        <v>0</v>
      </c>
      <c r="F104" s="236">
        <v>1500000</v>
      </c>
      <c r="G104" s="236">
        <v>0</v>
      </c>
    </row>
    <row r="105" spans="2:7" x14ac:dyDescent="0.25">
      <c r="B105" s="178" t="s">
        <v>460</v>
      </c>
      <c r="C105" s="234" t="s">
        <v>79</v>
      </c>
      <c r="D105" s="302">
        <v>1500000</v>
      </c>
      <c r="E105" s="302">
        <v>0</v>
      </c>
      <c r="F105" s="236">
        <v>1500000</v>
      </c>
      <c r="G105" s="236">
        <v>0</v>
      </c>
    </row>
    <row r="106" spans="2:7" x14ac:dyDescent="0.25">
      <c r="B106" s="178" t="s">
        <v>460</v>
      </c>
      <c r="C106" s="234" t="s">
        <v>152</v>
      </c>
      <c r="D106" s="302">
        <v>1500000</v>
      </c>
      <c r="E106" s="302">
        <v>0</v>
      </c>
      <c r="F106" s="236">
        <v>1500000</v>
      </c>
      <c r="G106" s="236">
        <v>0</v>
      </c>
    </row>
    <row r="107" spans="2:7" x14ac:dyDescent="0.25">
      <c r="B107" s="178" t="s">
        <v>460</v>
      </c>
      <c r="C107" s="234" t="s">
        <v>261</v>
      </c>
      <c r="D107" s="302">
        <v>500000</v>
      </c>
      <c r="E107" s="302">
        <v>0</v>
      </c>
      <c r="F107" s="236">
        <v>500000</v>
      </c>
      <c r="G107" s="236">
        <v>0</v>
      </c>
    </row>
    <row r="108" spans="2:7" x14ac:dyDescent="0.25">
      <c r="B108" s="178" t="s">
        <v>460</v>
      </c>
      <c r="C108" s="234" t="s">
        <v>357</v>
      </c>
      <c r="D108" s="302">
        <v>2000000</v>
      </c>
      <c r="E108" s="302">
        <v>0</v>
      </c>
      <c r="F108" s="236">
        <v>2000000</v>
      </c>
      <c r="G108" s="236">
        <v>0</v>
      </c>
    </row>
    <row r="109" spans="2:7" x14ac:dyDescent="0.25">
      <c r="B109" s="178" t="s">
        <v>460</v>
      </c>
      <c r="C109" s="234" t="s">
        <v>32</v>
      </c>
      <c r="D109" s="302">
        <v>3000000</v>
      </c>
      <c r="E109" s="302">
        <v>0</v>
      </c>
      <c r="F109" s="236">
        <v>3000000</v>
      </c>
      <c r="G109" s="236">
        <v>0</v>
      </c>
    </row>
    <row r="110" spans="2:7" x14ac:dyDescent="0.25">
      <c r="B110" s="178" t="s">
        <v>460</v>
      </c>
      <c r="C110" s="234" t="s">
        <v>109</v>
      </c>
      <c r="D110" s="302">
        <v>0</v>
      </c>
      <c r="E110" s="302">
        <v>0</v>
      </c>
      <c r="F110" s="236">
        <v>0</v>
      </c>
      <c r="G110" s="236">
        <v>0</v>
      </c>
    </row>
    <row r="111" spans="2:7" x14ac:dyDescent="0.25">
      <c r="B111" s="178" t="s">
        <v>460</v>
      </c>
      <c r="C111" s="234" t="s">
        <v>450</v>
      </c>
      <c r="D111" s="302">
        <v>0</v>
      </c>
      <c r="E111" s="302">
        <v>0</v>
      </c>
      <c r="F111" s="236">
        <v>0</v>
      </c>
      <c r="G111" s="236">
        <v>0</v>
      </c>
    </row>
    <row r="112" spans="2:7" x14ac:dyDescent="0.25">
      <c r="B112" s="178" t="s">
        <v>460</v>
      </c>
      <c r="C112" s="234" t="s">
        <v>448</v>
      </c>
      <c r="D112" s="302">
        <v>0</v>
      </c>
      <c r="E112" s="302">
        <v>0</v>
      </c>
      <c r="F112" s="236">
        <v>0</v>
      </c>
      <c r="G112" s="236">
        <v>0</v>
      </c>
    </row>
    <row r="113" spans="2:7" x14ac:dyDescent="0.25">
      <c r="B113" s="178" t="s">
        <v>460</v>
      </c>
      <c r="C113" s="234" t="s">
        <v>449</v>
      </c>
      <c r="D113" s="302">
        <v>10000000</v>
      </c>
      <c r="E113" s="302">
        <v>0</v>
      </c>
      <c r="F113" s="236">
        <v>10000000</v>
      </c>
      <c r="G113" s="236">
        <v>0</v>
      </c>
    </row>
    <row r="114" spans="2:7" x14ac:dyDescent="0.25">
      <c r="B114" s="178" t="s">
        <v>460</v>
      </c>
      <c r="C114" s="234" t="s">
        <v>78</v>
      </c>
      <c r="D114" s="302">
        <v>200000</v>
      </c>
      <c r="E114" s="302">
        <v>0</v>
      </c>
      <c r="F114" s="236">
        <v>200000</v>
      </c>
      <c r="G114" s="236">
        <v>0</v>
      </c>
    </row>
    <row r="115" spans="2:7" x14ac:dyDescent="0.25">
      <c r="B115" s="178" t="s">
        <v>460</v>
      </c>
      <c r="C115" s="234" t="s">
        <v>272</v>
      </c>
      <c r="D115" s="302">
        <v>300000</v>
      </c>
      <c r="E115" s="302">
        <v>0</v>
      </c>
      <c r="F115" s="236">
        <v>300000</v>
      </c>
      <c r="G115" s="236">
        <v>0</v>
      </c>
    </row>
    <row r="116" spans="2:7" x14ac:dyDescent="0.25">
      <c r="B116" s="178" t="s">
        <v>460</v>
      </c>
      <c r="C116" s="234" t="s">
        <v>463</v>
      </c>
      <c r="D116" s="302">
        <v>200000</v>
      </c>
      <c r="E116" s="302">
        <v>0</v>
      </c>
      <c r="F116" s="236">
        <v>200000</v>
      </c>
      <c r="G116" s="236">
        <v>0</v>
      </c>
    </row>
    <row r="117" spans="2:7" x14ac:dyDescent="0.25">
      <c r="B117" s="178" t="s">
        <v>460</v>
      </c>
      <c r="C117" s="234" t="s">
        <v>244</v>
      </c>
      <c r="D117" s="302">
        <v>300000</v>
      </c>
      <c r="E117" s="302">
        <v>0</v>
      </c>
      <c r="F117" s="236">
        <v>300000</v>
      </c>
      <c r="G117" s="236">
        <v>0</v>
      </c>
    </row>
    <row r="118" spans="2:7" x14ac:dyDescent="0.25">
      <c r="B118" s="178" t="s">
        <v>460</v>
      </c>
      <c r="C118" s="234" t="s">
        <v>468</v>
      </c>
      <c r="D118" s="302">
        <v>1000000</v>
      </c>
      <c r="E118" s="302">
        <v>0</v>
      </c>
      <c r="F118" s="236">
        <v>1000000</v>
      </c>
      <c r="G118" s="236">
        <v>0</v>
      </c>
    </row>
    <row r="119" spans="2:7" x14ac:dyDescent="0.25">
      <c r="B119" s="178" t="s">
        <v>460</v>
      </c>
      <c r="C119" s="234" t="s">
        <v>159</v>
      </c>
      <c r="D119" s="302">
        <v>600000</v>
      </c>
      <c r="E119" s="302">
        <v>0</v>
      </c>
      <c r="F119" s="236">
        <v>600000</v>
      </c>
      <c r="G119" s="236">
        <v>0</v>
      </c>
    </row>
    <row r="120" spans="2:7" x14ac:dyDescent="0.25">
      <c r="B120" s="178" t="s">
        <v>460</v>
      </c>
      <c r="C120" s="234" t="s">
        <v>485</v>
      </c>
      <c r="D120" s="302">
        <v>500000</v>
      </c>
      <c r="E120" s="302">
        <v>0</v>
      </c>
      <c r="F120" s="236">
        <v>500000</v>
      </c>
      <c r="G120" s="236">
        <v>0</v>
      </c>
    </row>
    <row r="121" spans="2:7" x14ac:dyDescent="0.25">
      <c r="B121" s="178" t="s">
        <v>460</v>
      </c>
      <c r="C121" s="234" t="s">
        <v>490</v>
      </c>
      <c r="D121" s="302">
        <v>3000000</v>
      </c>
      <c r="E121" s="302">
        <v>0</v>
      </c>
      <c r="F121" s="236">
        <v>3000000</v>
      </c>
      <c r="G121" s="236">
        <v>0</v>
      </c>
    </row>
    <row r="122" spans="2:7" x14ac:dyDescent="0.25">
      <c r="B122" s="178" t="s">
        <v>460</v>
      </c>
      <c r="C122" s="234" t="s">
        <v>489</v>
      </c>
      <c r="D122" s="302">
        <v>1500000</v>
      </c>
      <c r="E122" s="302">
        <v>0</v>
      </c>
      <c r="F122" s="236">
        <v>1500000</v>
      </c>
      <c r="G122" s="236">
        <v>0</v>
      </c>
    </row>
    <row r="123" spans="2:7" x14ac:dyDescent="0.25">
      <c r="B123" s="178" t="s">
        <v>460</v>
      </c>
      <c r="C123" s="234" t="s">
        <v>491</v>
      </c>
      <c r="D123" s="302">
        <v>1472000</v>
      </c>
      <c r="E123" s="302">
        <v>0</v>
      </c>
      <c r="F123" s="236">
        <v>1472000</v>
      </c>
      <c r="G123" s="236">
        <v>0</v>
      </c>
    </row>
    <row r="124" spans="2:7" x14ac:dyDescent="0.25">
      <c r="B124" s="178" t="s">
        <v>460</v>
      </c>
      <c r="C124" s="234" t="s">
        <v>493</v>
      </c>
      <c r="D124" s="302">
        <v>100000</v>
      </c>
      <c r="E124" s="302">
        <v>0</v>
      </c>
      <c r="F124" s="236">
        <v>100000</v>
      </c>
      <c r="G124" s="236">
        <v>0</v>
      </c>
    </row>
    <row r="125" spans="2:7" x14ac:dyDescent="0.25">
      <c r="B125" s="178" t="s">
        <v>460</v>
      </c>
      <c r="C125" s="234" t="s">
        <v>230</v>
      </c>
      <c r="D125" s="302">
        <v>400000</v>
      </c>
      <c r="E125" s="302">
        <v>0</v>
      </c>
      <c r="F125" s="236">
        <v>400000</v>
      </c>
      <c r="G125" s="236">
        <v>0</v>
      </c>
    </row>
    <row r="126" spans="2:7" x14ac:dyDescent="0.25">
      <c r="B126" s="178" t="s">
        <v>460</v>
      </c>
      <c r="C126" s="234" t="s">
        <v>526</v>
      </c>
      <c r="D126" s="302">
        <v>700000</v>
      </c>
      <c r="E126" s="302">
        <v>0</v>
      </c>
      <c r="F126" s="236">
        <v>700000</v>
      </c>
      <c r="G126" s="236">
        <v>0</v>
      </c>
    </row>
    <row r="127" spans="2:7" x14ac:dyDescent="0.25">
      <c r="B127" s="178" t="s">
        <v>460</v>
      </c>
      <c r="C127" s="234" t="s">
        <v>514</v>
      </c>
      <c r="D127" s="302">
        <v>1500000</v>
      </c>
      <c r="E127" s="302">
        <v>0</v>
      </c>
      <c r="F127" s="236">
        <v>1500000</v>
      </c>
      <c r="G127" s="236">
        <v>0</v>
      </c>
    </row>
    <row r="128" spans="2:7" x14ac:dyDescent="0.25">
      <c r="B128" s="178" t="s">
        <v>460</v>
      </c>
      <c r="C128" s="234" t="s">
        <v>265</v>
      </c>
      <c r="D128" s="302">
        <v>800000</v>
      </c>
      <c r="E128" s="302">
        <v>0</v>
      </c>
      <c r="F128" s="236">
        <v>800000</v>
      </c>
      <c r="G128" s="236">
        <v>0</v>
      </c>
    </row>
    <row r="129" spans="2:7" x14ac:dyDescent="0.25">
      <c r="B129" s="178" t="s">
        <v>460</v>
      </c>
      <c r="C129" s="234" t="s">
        <v>527</v>
      </c>
      <c r="D129" s="302">
        <v>500000</v>
      </c>
      <c r="E129" s="302">
        <v>0</v>
      </c>
      <c r="F129" s="236">
        <v>500000</v>
      </c>
      <c r="G129" s="236">
        <v>0</v>
      </c>
    </row>
    <row r="130" spans="2:7" x14ac:dyDescent="0.25">
      <c r="B130" s="178" t="s">
        <v>460</v>
      </c>
      <c r="C130" s="234" t="s">
        <v>528</v>
      </c>
      <c r="D130" s="302">
        <v>300000</v>
      </c>
      <c r="E130" s="302">
        <v>0</v>
      </c>
      <c r="F130" s="236">
        <v>300000</v>
      </c>
      <c r="G130" s="236">
        <v>0</v>
      </c>
    </row>
    <row r="131" spans="2:7" x14ac:dyDescent="0.25">
      <c r="B131" s="178" t="s">
        <v>460</v>
      </c>
      <c r="C131" s="234" t="s">
        <v>369</v>
      </c>
      <c r="D131" s="302">
        <v>1000000</v>
      </c>
      <c r="E131" s="302">
        <v>0</v>
      </c>
      <c r="F131" s="236">
        <v>1000000</v>
      </c>
      <c r="G131" s="236">
        <v>0</v>
      </c>
    </row>
    <row r="132" spans="2:7" x14ac:dyDescent="0.25">
      <c r="B132" s="178" t="s">
        <v>460</v>
      </c>
      <c r="C132" s="234" t="s">
        <v>399</v>
      </c>
      <c r="D132" s="302">
        <v>0</v>
      </c>
      <c r="E132" s="302">
        <v>0</v>
      </c>
      <c r="F132" s="236">
        <v>0</v>
      </c>
      <c r="G132" s="236">
        <v>0</v>
      </c>
    </row>
    <row r="133" spans="2:7" x14ac:dyDescent="0.25">
      <c r="B133" s="178" t="s">
        <v>460</v>
      </c>
      <c r="C133" s="234" t="s">
        <v>560</v>
      </c>
      <c r="D133" s="302">
        <v>1500000</v>
      </c>
      <c r="E133" s="302">
        <v>0</v>
      </c>
      <c r="F133" s="236">
        <v>1500000</v>
      </c>
      <c r="G133" s="236">
        <v>0</v>
      </c>
    </row>
    <row r="134" spans="2:7" x14ac:dyDescent="0.25">
      <c r="B134" s="178" t="s">
        <v>460</v>
      </c>
      <c r="C134" s="234" t="s">
        <v>83</v>
      </c>
      <c r="D134" s="302">
        <v>100000</v>
      </c>
      <c r="E134" s="302">
        <v>0</v>
      </c>
      <c r="F134" s="236">
        <v>100000</v>
      </c>
      <c r="G134" s="236">
        <v>0</v>
      </c>
    </row>
    <row r="135" spans="2:7" x14ac:dyDescent="0.25">
      <c r="B135" s="178" t="s">
        <v>460</v>
      </c>
      <c r="C135" s="234" t="s">
        <v>515</v>
      </c>
      <c r="D135" s="302">
        <v>500000</v>
      </c>
      <c r="E135" s="302">
        <v>0</v>
      </c>
      <c r="F135" s="236">
        <v>500000</v>
      </c>
      <c r="G135" s="236">
        <v>0</v>
      </c>
    </row>
    <row r="136" spans="2:7" x14ac:dyDescent="0.25">
      <c r="B136" s="178" t="s">
        <v>460</v>
      </c>
      <c r="C136" s="234" t="s">
        <v>508</v>
      </c>
      <c r="D136" s="302">
        <v>1300000</v>
      </c>
      <c r="E136" s="302">
        <v>0</v>
      </c>
      <c r="F136" s="236">
        <v>1300000</v>
      </c>
      <c r="G136" s="236">
        <v>0</v>
      </c>
    </row>
    <row r="137" spans="2:7" x14ac:dyDescent="0.25">
      <c r="B137" s="178" t="s">
        <v>460</v>
      </c>
      <c r="C137" s="234" t="s">
        <v>583</v>
      </c>
      <c r="D137" s="302">
        <v>1500000</v>
      </c>
      <c r="E137" s="302">
        <v>0</v>
      </c>
      <c r="F137" s="236">
        <v>1500000</v>
      </c>
      <c r="G137" s="236">
        <v>0</v>
      </c>
    </row>
    <row r="138" spans="2:7" x14ac:dyDescent="0.25">
      <c r="B138" s="178" t="s">
        <v>460</v>
      </c>
      <c r="C138" s="234" t="s">
        <v>299</v>
      </c>
      <c r="D138" s="302">
        <v>100000</v>
      </c>
      <c r="E138" s="302">
        <v>0</v>
      </c>
      <c r="F138" s="236">
        <v>100000</v>
      </c>
      <c r="G138" s="236">
        <v>0</v>
      </c>
    </row>
    <row r="139" spans="2:7" x14ac:dyDescent="0.25">
      <c r="B139" s="178" t="s">
        <v>460</v>
      </c>
      <c r="C139" s="234" t="s">
        <v>317</v>
      </c>
      <c r="D139" s="302">
        <v>250000</v>
      </c>
      <c r="E139" s="302">
        <v>0</v>
      </c>
      <c r="F139" s="236">
        <v>250000</v>
      </c>
      <c r="G139" s="236">
        <v>0</v>
      </c>
    </row>
    <row r="140" spans="2:7" x14ac:dyDescent="0.25">
      <c r="B140" s="178" t="s">
        <v>460</v>
      </c>
      <c r="C140" s="234" t="s">
        <v>616</v>
      </c>
      <c r="D140" s="302">
        <v>3500000</v>
      </c>
      <c r="E140" s="302">
        <v>0</v>
      </c>
      <c r="F140" s="236">
        <v>3500000</v>
      </c>
      <c r="G140" s="236">
        <v>0</v>
      </c>
    </row>
    <row r="141" spans="2:7" x14ac:dyDescent="0.25">
      <c r="B141" s="178" t="s">
        <v>460</v>
      </c>
      <c r="C141" s="234" t="s">
        <v>41</v>
      </c>
      <c r="D141" s="302">
        <v>150000</v>
      </c>
      <c r="E141" s="302">
        <v>0</v>
      </c>
      <c r="F141" s="236">
        <v>150000</v>
      </c>
      <c r="G141" s="236">
        <v>0</v>
      </c>
    </row>
    <row r="142" spans="2:7" x14ac:dyDescent="0.25">
      <c r="B142" s="178" t="s">
        <v>460</v>
      </c>
      <c r="C142" s="234" t="s">
        <v>633</v>
      </c>
      <c r="D142" s="302">
        <v>850000</v>
      </c>
      <c r="E142" s="302">
        <v>0</v>
      </c>
      <c r="F142" s="236">
        <v>850000</v>
      </c>
      <c r="G142" s="236">
        <v>0</v>
      </c>
    </row>
    <row r="143" spans="2:7" x14ac:dyDescent="0.25">
      <c r="B143" s="178" t="s">
        <v>460</v>
      </c>
      <c r="C143" s="234" t="s">
        <v>636</v>
      </c>
      <c r="D143" s="302">
        <v>650000</v>
      </c>
      <c r="E143" s="302">
        <v>0</v>
      </c>
      <c r="F143" s="236">
        <v>650000</v>
      </c>
      <c r="G143" s="236">
        <v>0</v>
      </c>
    </row>
    <row r="144" spans="2:7" x14ac:dyDescent="0.25">
      <c r="B144" s="178" t="s">
        <v>460</v>
      </c>
      <c r="C144" s="234" t="s">
        <v>15419</v>
      </c>
      <c r="D144" s="302">
        <v>1500000</v>
      </c>
      <c r="E144" s="302">
        <v>0</v>
      </c>
      <c r="F144" s="236">
        <v>1500000</v>
      </c>
      <c r="G144" s="236">
        <v>0</v>
      </c>
    </row>
    <row r="145" spans="2:7" x14ac:dyDescent="0.25">
      <c r="B145" s="178" t="s">
        <v>460</v>
      </c>
      <c r="C145" s="234" t="s">
        <v>677</v>
      </c>
      <c r="D145" s="302">
        <v>50000</v>
      </c>
      <c r="E145" s="302">
        <v>0</v>
      </c>
      <c r="F145" s="236">
        <v>50000</v>
      </c>
      <c r="G145" s="236">
        <v>0</v>
      </c>
    </row>
    <row r="146" spans="2:7" x14ac:dyDescent="0.25">
      <c r="B146" s="178" t="s">
        <v>460</v>
      </c>
      <c r="C146" s="234" t="s">
        <v>68</v>
      </c>
      <c r="D146" s="302">
        <v>500000</v>
      </c>
      <c r="E146" s="302">
        <v>0</v>
      </c>
      <c r="F146" s="236">
        <v>500000</v>
      </c>
      <c r="G146" s="236">
        <v>0</v>
      </c>
    </row>
    <row r="147" spans="2:7" x14ac:dyDescent="0.25">
      <c r="B147" s="178" t="s">
        <v>460</v>
      </c>
      <c r="C147" s="234" t="s">
        <v>693</v>
      </c>
      <c r="D147" s="302">
        <v>200000</v>
      </c>
      <c r="E147" s="302">
        <v>0</v>
      </c>
      <c r="F147" s="236">
        <v>200000</v>
      </c>
      <c r="G147" s="236">
        <v>0</v>
      </c>
    </row>
    <row r="148" spans="2:7" x14ac:dyDescent="0.25">
      <c r="B148" s="178" t="s">
        <v>460</v>
      </c>
      <c r="C148" s="234" t="s">
        <v>694</v>
      </c>
      <c r="D148" s="302">
        <v>550000</v>
      </c>
      <c r="E148" s="302">
        <v>0</v>
      </c>
      <c r="F148" s="236">
        <v>550000</v>
      </c>
      <c r="G148" s="236">
        <v>0</v>
      </c>
    </row>
    <row r="149" spans="2:7" x14ac:dyDescent="0.25">
      <c r="B149" s="178" t="s">
        <v>460</v>
      </c>
      <c r="C149" s="234" t="s">
        <v>592</v>
      </c>
      <c r="D149" s="302">
        <v>1000000</v>
      </c>
      <c r="E149" s="302">
        <v>0</v>
      </c>
      <c r="F149" s="236">
        <v>1000000</v>
      </c>
      <c r="G149" s="236">
        <v>0</v>
      </c>
    </row>
    <row r="150" spans="2:7" x14ac:dyDescent="0.25">
      <c r="B150" s="178" t="s">
        <v>460</v>
      </c>
      <c r="C150" s="234" t="s">
        <v>231</v>
      </c>
      <c r="D150" s="302">
        <v>1000000</v>
      </c>
      <c r="E150" s="302">
        <v>0</v>
      </c>
      <c r="F150" s="236">
        <v>1000000</v>
      </c>
      <c r="G150" s="236">
        <v>0</v>
      </c>
    </row>
    <row r="151" spans="2:7" x14ac:dyDescent="0.25">
      <c r="B151" s="178" t="s">
        <v>306</v>
      </c>
      <c r="C151" s="234" t="s">
        <v>371</v>
      </c>
      <c r="D151" s="302">
        <v>1000000</v>
      </c>
      <c r="E151" s="302">
        <v>0</v>
      </c>
      <c r="F151" s="236">
        <v>1000000</v>
      </c>
      <c r="G151" s="236">
        <v>0</v>
      </c>
    </row>
    <row r="152" spans="2:7" x14ac:dyDescent="0.25">
      <c r="B152" s="178" t="s">
        <v>306</v>
      </c>
      <c r="C152" s="234" t="s">
        <v>390</v>
      </c>
      <c r="D152" s="302">
        <v>350000</v>
      </c>
      <c r="E152" s="302">
        <v>0</v>
      </c>
      <c r="F152" s="236">
        <v>350000</v>
      </c>
      <c r="G152" s="236">
        <v>0</v>
      </c>
    </row>
    <row r="153" spans="2:7" x14ac:dyDescent="0.25">
      <c r="B153" s="178" t="s">
        <v>306</v>
      </c>
      <c r="C153" s="234" t="s">
        <v>562</v>
      </c>
      <c r="D153" s="302">
        <v>50000</v>
      </c>
      <c r="E153" s="302">
        <v>0</v>
      </c>
      <c r="F153" s="236">
        <v>50000</v>
      </c>
      <c r="G153" s="236">
        <v>0</v>
      </c>
    </row>
    <row r="154" spans="2:7" x14ac:dyDescent="0.25">
      <c r="B154" s="178" t="s">
        <v>764</v>
      </c>
      <c r="C154" s="234" t="s">
        <v>419</v>
      </c>
      <c r="D154" s="302">
        <v>1375000</v>
      </c>
      <c r="E154" s="302">
        <v>0</v>
      </c>
      <c r="F154" s="236">
        <v>1375000</v>
      </c>
      <c r="G154" s="236">
        <v>0</v>
      </c>
    </row>
    <row r="155" spans="2:7" x14ac:dyDescent="0.25">
      <c r="B155" s="178" t="s">
        <v>764</v>
      </c>
      <c r="C155" s="234" t="s">
        <v>346</v>
      </c>
      <c r="D155" s="302">
        <v>1100000</v>
      </c>
      <c r="E155" s="302">
        <v>0</v>
      </c>
      <c r="F155" s="236">
        <v>1100000</v>
      </c>
      <c r="G155" s="236">
        <v>0</v>
      </c>
    </row>
    <row r="156" spans="2:7" x14ac:dyDescent="0.25">
      <c r="B156" s="178" t="s">
        <v>764</v>
      </c>
      <c r="C156" s="234" t="s">
        <v>114</v>
      </c>
      <c r="D156" s="302">
        <v>962500</v>
      </c>
      <c r="E156" s="302">
        <v>0</v>
      </c>
      <c r="F156" s="236">
        <v>962500</v>
      </c>
      <c r="G156" s="236">
        <v>0</v>
      </c>
    </row>
    <row r="157" spans="2:7" x14ac:dyDescent="0.25">
      <c r="B157" s="178" t="s">
        <v>764</v>
      </c>
      <c r="C157" s="234" t="s">
        <v>264</v>
      </c>
      <c r="D157" s="302">
        <v>550000</v>
      </c>
      <c r="E157" s="302">
        <v>0</v>
      </c>
      <c r="F157" s="236">
        <v>550000</v>
      </c>
      <c r="G157" s="236">
        <v>0</v>
      </c>
    </row>
    <row r="158" spans="2:7" x14ac:dyDescent="0.25">
      <c r="B158" s="178" t="s">
        <v>764</v>
      </c>
      <c r="C158" s="234" t="s">
        <v>118</v>
      </c>
      <c r="D158" s="302">
        <v>687500</v>
      </c>
      <c r="E158" s="302">
        <v>0</v>
      </c>
      <c r="F158" s="236">
        <v>687500</v>
      </c>
      <c r="G158" s="236">
        <v>0</v>
      </c>
    </row>
    <row r="159" spans="2:7" x14ac:dyDescent="0.25">
      <c r="B159" s="178" t="s">
        <v>764</v>
      </c>
      <c r="C159" s="234" t="s">
        <v>423</v>
      </c>
      <c r="D159" s="302">
        <v>330000</v>
      </c>
      <c r="E159" s="302">
        <v>0</v>
      </c>
      <c r="F159" s="236">
        <v>330000</v>
      </c>
      <c r="G159" s="236">
        <v>0</v>
      </c>
    </row>
    <row r="160" spans="2:7" x14ac:dyDescent="0.25">
      <c r="B160" s="178" t="s">
        <v>764</v>
      </c>
      <c r="C160" s="234" t="s">
        <v>424</v>
      </c>
      <c r="D160" s="302">
        <v>302500</v>
      </c>
      <c r="E160" s="302">
        <v>0</v>
      </c>
      <c r="F160" s="236">
        <v>302500</v>
      </c>
      <c r="G160" s="236">
        <v>0</v>
      </c>
    </row>
    <row r="161" spans="2:7" x14ac:dyDescent="0.25">
      <c r="B161" s="178" t="s">
        <v>764</v>
      </c>
      <c r="C161" s="234" t="s">
        <v>376</v>
      </c>
      <c r="D161" s="302">
        <v>275000</v>
      </c>
      <c r="E161" s="302">
        <v>0</v>
      </c>
      <c r="F161" s="236">
        <v>275000</v>
      </c>
      <c r="G161" s="236">
        <v>0</v>
      </c>
    </row>
    <row r="162" spans="2:7" x14ac:dyDescent="0.25">
      <c r="B162" s="178" t="s">
        <v>764</v>
      </c>
      <c r="C162" s="234" t="s">
        <v>350</v>
      </c>
      <c r="D162" s="302">
        <v>660000</v>
      </c>
      <c r="E162" s="302">
        <v>0</v>
      </c>
      <c r="F162" s="236">
        <v>660000</v>
      </c>
      <c r="G162" s="236">
        <v>0</v>
      </c>
    </row>
    <row r="163" spans="2:7" x14ac:dyDescent="0.25">
      <c r="B163" s="178" t="s">
        <v>764</v>
      </c>
      <c r="C163" s="234" t="s">
        <v>327</v>
      </c>
      <c r="D163" s="302">
        <v>550000</v>
      </c>
      <c r="E163" s="302">
        <v>0</v>
      </c>
      <c r="F163" s="236">
        <v>550000</v>
      </c>
      <c r="G163" s="236">
        <v>0</v>
      </c>
    </row>
    <row r="164" spans="2:7" x14ac:dyDescent="0.25">
      <c r="B164" s="178" t="s">
        <v>764</v>
      </c>
      <c r="C164" s="234" t="s">
        <v>319</v>
      </c>
      <c r="D164" s="302">
        <v>1375000</v>
      </c>
      <c r="E164" s="302">
        <v>0</v>
      </c>
      <c r="F164" s="236">
        <v>1375000</v>
      </c>
      <c r="G164" s="236">
        <v>0</v>
      </c>
    </row>
    <row r="165" spans="2:7" x14ac:dyDescent="0.25">
      <c r="B165" s="178" t="s">
        <v>764</v>
      </c>
      <c r="C165" s="234" t="s">
        <v>120</v>
      </c>
      <c r="D165" s="302">
        <v>550000</v>
      </c>
      <c r="E165" s="302">
        <v>0</v>
      </c>
      <c r="F165" s="236">
        <v>550000</v>
      </c>
      <c r="G165" s="236">
        <v>0</v>
      </c>
    </row>
    <row r="166" spans="2:7" x14ac:dyDescent="0.25">
      <c r="B166" s="178" t="s">
        <v>764</v>
      </c>
      <c r="C166" s="234" t="s">
        <v>333</v>
      </c>
      <c r="D166" s="302">
        <v>990000</v>
      </c>
      <c r="E166" s="302">
        <v>0</v>
      </c>
      <c r="F166" s="236">
        <v>990000</v>
      </c>
      <c r="G166" s="236">
        <v>0</v>
      </c>
    </row>
    <row r="167" spans="2:7" x14ac:dyDescent="0.25">
      <c r="B167" s="178" t="s">
        <v>764</v>
      </c>
      <c r="C167" s="234" t="s">
        <v>119</v>
      </c>
      <c r="D167" s="302">
        <v>660000</v>
      </c>
      <c r="E167" s="302">
        <v>0</v>
      </c>
      <c r="F167" s="236">
        <v>660000</v>
      </c>
      <c r="G167" s="236">
        <v>0</v>
      </c>
    </row>
    <row r="168" spans="2:7" x14ac:dyDescent="0.25">
      <c r="B168" s="178" t="s">
        <v>764</v>
      </c>
      <c r="C168" s="234" t="s">
        <v>429</v>
      </c>
      <c r="D168" s="302">
        <v>275000</v>
      </c>
      <c r="E168" s="302">
        <v>0</v>
      </c>
      <c r="F168" s="236">
        <v>275000</v>
      </c>
      <c r="G168" s="236">
        <v>0</v>
      </c>
    </row>
    <row r="169" spans="2:7" x14ac:dyDescent="0.25">
      <c r="B169" s="178" t="s">
        <v>764</v>
      </c>
      <c r="C169" s="234" t="s">
        <v>313</v>
      </c>
      <c r="D169" s="302">
        <v>770000</v>
      </c>
      <c r="E169" s="302">
        <v>0</v>
      </c>
      <c r="F169" s="236">
        <v>770000</v>
      </c>
      <c r="G169" s="236">
        <v>0</v>
      </c>
    </row>
    <row r="170" spans="2:7" x14ac:dyDescent="0.25">
      <c r="B170" s="178" t="s">
        <v>764</v>
      </c>
      <c r="C170" s="234" t="s">
        <v>162</v>
      </c>
      <c r="D170" s="302">
        <v>275000</v>
      </c>
      <c r="E170" s="302">
        <v>0</v>
      </c>
      <c r="F170" s="236">
        <v>275000</v>
      </c>
      <c r="G170" s="236">
        <v>0</v>
      </c>
    </row>
    <row r="171" spans="2:7" x14ac:dyDescent="0.25">
      <c r="B171" s="178" t="s">
        <v>764</v>
      </c>
      <c r="C171" s="234" t="s">
        <v>452</v>
      </c>
      <c r="D171" s="302">
        <v>1375000</v>
      </c>
      <c r="E171" s="302">
        <v>0</v>
      </c>
      <c r="F171" s="236">
        <v>1375000</v>
      </c>
      <c r="G171" s="236">
        <v>0</v>
      </c>
    </row>
    <row r="172" spans="2:7" x14ac:dyDescent="0.25">
      <c r="B172" s="178" t="s">
        <v>764</v>
      </c>
      <c r="C172" s="234" t="s">
        <v>453</v>
      </c>
      <c r="D172" s="302">
        <v>550000</v>
      </c>
      <c r="E172" s="302">
        <v>0</v>
      </c>
      <c r="F172" s="236">
        <v>550000</v>
      </c>
      <c r="G172" s="236">
        <v>0</v>
      </c>
    </row>
    <row r="173" spans="2:7" x14ac:dyDescent="0.25">
      <c r="B173" s="178" t="s">
        <v>764</v>
      </c>
      <c r="C173" s="234" t="s">
        <v>296</v>
      </c>
      <c r="D173" s="302">
        <v>0</v>
      </c>
      <c r="E173" s="302">
        <v>0</v>
      </c>
      <c r="F173" s="236">
        <v>0</v>
      </c>
      <c r="G173" s="236">
        <v>0</v>
      </c>
    </row>
    <row r="174" spans="2:7" x14ac:dyDescent="0.25">
      <c r="B174" s="178" t="s">
        <v>764</v>
      </c>
      <c r="C174" s="234" t="s">
        <v>318</v>
      </c>
      <c r="D174" s="302">
        <v>1100000</v>
      </c>
      <c r="E174" s="302">
        <v>0</v>
      </c>
      <c r="F174" s="236">
        <v>1100000</v>
      </c>
      <c r="G174" s="236">
        <v>0</v>
      </c>
    </row>
    <row r="175" spans="2:7" x14ac:dyDescent="0.25">
      <c r="B175" s="178" t="s">
        <v>764</v>
      </c>
      <c r="C175" s="234" t="s">
        <v>341</v>
      </c>
      <c r="D175" s="302">
        <v>605000</v>
      </c>
      <c r="E175" s="302">
        <v>0</v>
      </c>
      <c r="F175" s="236">
        <v>605000</v>
      </c>
      <c r="G175" s="236">
        <v>0</v>
      </c>
    </row>
    <row r="176" spans="2:7" x14ac:dyDescent="0.25">
      <c r="B176" s="178" t="s">
        <v>764</v>
      </c>
      <c r="C176" s="234" t="s">
        <v>504</v>
      </c>
      <c r="D176" s="302">
        <v>660000</v>
      </c>
      <c r="E176" s="302">
        <v>0</v>
      </c>
      <c r="F176" s="236">
        <v>660000</v>
      </c>
      <c r="G176" s="236">
        <v>0</v>
      </c>
    </row>
    <row r="177" spans="2:7" x14ac:dyDescent="0.25">
      <c r="B177" s="178" t="s">
        <v>764</v>
      </c>
      <c r="C177" s="234" t="s">
        <v>550</v>
      </c>
      <c r="D177" s="302">
        <v>990000</v>
      </c>
      <c r="E177" s="302">
        <v>0</v>
      </c>
      <c r="F177" s="236">
        <v>990000</v>
      </c>
      <c r="G177" s="236">
        <v>0</v>
      </c>
    </row>
    <row r="178" spans="2:7" x14ac:dyDescent="0.25">
      <c r="B178" s="178" t="s">
        <v>764</v>
      </c>
      <c r="C178" s="234" t="s">
        <v>274</v>
      </c>
      <c r="D178" s="302">
        <v>550000</v>
      </c>
      <c r="E178" s="302">
        <v>0</v>
      </c>
      <c r="F178" s="236">
        <v>550000</v>
      </c>
      <c r="G178" s="236">
        <v>0</v>
      </c>
    </row>
    <row r="179" spans="2:7" x14ac:dyDescent="0.25">
      <c r="B179" s="178" t="s">
        <v>764</v>
      </c>
      <c r="C179" s="234" t="s">
        <v>557</v>
      </c>
      <c r="D179" s="302">
        <v>330000</v>
      </c>
      <c r="E179" s="302">
        <v>0</v>
      </c>
      <c r="F179" s="236">
        <v>330000</v>
      </c>
      <c r="G179" s="236">
        <v>0</v>
      </c>
    </row>
    <row r="180" spans="2:7" x14ac:dyDescent="0.25">
      <c r="B180" s="178" t="s">
        <v>764</v>
      </c>
      <c r="C180" s="234" t="s">
        <v>340</v>
      </c>
      <c r="D180" s="302">
        <v>412500</v>
      </c>
      <c r="E180" s="302">
        <v>0</v>
      </c>
      <c r="F180" s="236">
        <v>412500</v>
      </c>
      <c r="G180" s="236">
        <v>0</v>
      </c>
    </row>
    <row r="181" spans="2:7" x14ac:dyDescent="0.25">
      <c r="B181" s="178" t="s">
        <v>764</v>
      </c>
      <c r="C181" s="234" t="s">
        <v>566</v>
      </c>
      <c r="D181" s="302">
        <v>275000</v>
      </c>
      <c r="E181" s="302">
        <v>0</v>
      </c>
      <c r="F181" s="236">
        <v>275000</v>
      </c>
      <c r="G181" s="236">
        <v>0</v>
      </c>
    </row>
    <row r="182" spans="2:7" x14ac:dyDescent="0.25">
      <c r="B182" s="178" t="s">
        <v>764</v>
      </c>
      <c r="C182" s="234" t="s">
        <v>581</v>
      </c>
      <c r="D182" s="302">
        <v>275000</v>
      </c>
      <c r="E182" s="302">
        <v>0</v>
      </c>
      <c r="F182" s="236">
        <v>275000</v>
      </c>
      <c r="G182" s="236">
        <v>0</v>
      </c>
    </row>
    <row r="183" spans="2:7" x14ac:dyDescent="0.25">
      <c r="B183" s="178" t="s">
        <v>764</v>
      </c>
      <c r="C183" s="234" t="s">
        <v>234</v>
      </c>
      <c r="D183" s="302">
        <v>1375000</v>
      </c>
      <c r="E183" s="302">
        <v>0</v>
      </c>
      <c r="F183" s="236">
        <v>1375000</v>
      </c>
      <c r="G183" s="236">
        <v>0</v>
      </c>
    </row>
    <row r="184" spans="2:7" x14ac:dyDescent="0.25">
      <c r="B184" s="178" t="s">
        <v>764</v>
      </c>
      <c r="C184" s="234" t="s">
        <v>593</v>
      </c>
      <c r="D184" s="302">
        <v>550000</v>
      </c>
      <c r="E184" s="302">
        <v>0</v>
      </c>
      <c r="F184" s="236">
        <v>550000</v>
      </c>
      <c r="G184" s="236">
        <v>0</v>
      </c>
    </row>
    <row r="185" spans="2:7" x14ac:dyDescent="0.25">
      <c r="B185" s="178" t="s">
        <v>764</v>
      </c>
      <c r="C185" s="234" t="s">
        <v>342</v>
      </c>
      <c r="D185" s="302">
        <v>825000</v>
      </c>
      <c r="E185" s="302">
        <v>0</v>
      </c>
      <c r="F185" s="236">
        <v>825000</v>
      </c>
      <c r="G185" s="236">
        <v>0</v>
      </c>
    </row>
    <row r="186" spans="2:7" x14ac:dyDescent="0.25">
      <c r="B186" s="178" t="s">
        <v>764</v>
      </c>
      <c r="C186" s="234" t="s">
        <v>595</v>
      </c>
      <c r="D186" s="302">
        <v>825000</v>
      </c>
      <c r="E186" s="302">
        <v>0</v>
      </c>
      <c r="F186" s="236">
        <v>825000</v>
      </c>
      <c r="G186" s="236">
        <v>0</v>
      </c>
    </row>
    <row r="187" spans="2:7" x14ac:dyDescent="0.25">
      <c r="B187" s="178" t="s">
        <v>764</v>
      </c>
      <c r="C187" s="234" t="s">
        <v>594</v>
      </c>
      <c r="D187" s="302">
        <v>1375000</v>
      </c>
      <c r="E187" s="302">
        <v>0</v>
      </c>
      <c r="F187" s="236">
        <v>1375000</v>
      </c>
      <c r="G187" s="236">
        <v>0</v>
      </c>
    </row>
    <row r="188" spans="2:7" x14ac:dyDescent="0.25">
      <c r="B188" s="178" t="s">
        <v>764</v>
      </c>
      <c r="C188" s="234" t="s">
        <v>117</v>
      </c>
      <c r="D188" s="302">
        <v>1375000</v>
      </c>
      <c r="E188" s="302">
        <v>0</v>
      </c>
      <c r="F188" s="236">
        <v>1375000</v>
      </c>
      <c r="G188" s="236">
        <v>0</v>
      </c>
    </row>
    <row r="189" spans="2:7" x14ac:dyDescent="0.25">
      <c r="B189" s="178" t="s">
        <v>764</v>
      </c>
      <c r="C189" s="234" t="s">
        <v>538</v>
      </c>
      <c r="D189" s="302">
        <v>1100000</v>
      </c>
      <c r="E189" s="302">
        <v>0</v>
      </c>
      <c r="F189" s="236">
        <v>1100000</v>
      </c>
      <c r="G189" s="236">
        <v>0</v>
      </c>
    </row>
    <row r="190" spans="2:7" x14ac:dyDescent="0.25">
      <c r="B190" s="178" t="s">
        <v>764</v>
      </c>
      <c r="C190" s="234" t="s">
        <v>646</v>
      </c>
      <c r="D190" s="302">
        <v>275000</v>
      </c>
      <c r="E190" s="302">
        <v>0</v>
      </c>
      <c r="F190" s="236">
        <v>275000</v>
      </c>
      <c r="G190" s="236">
        <v>0</v>
      </c>
    </row>
    <row r="191" spans="2:7" x14ac:dyDescent="0.25">
      <c r="B191" s="178" t="s">
        <v>306</v>
      </c>
      <c r="C191" s="234" t="s">
        <v>784</v>
      </c>
      <c r="D191" s="302">
        <v>3000000</v>
      </c>
      <c r="E191" s="302">
        <v>0</v>
      </c>
      <c r="F191" s="236">
        <v>3000000</v>
      </c>
      <c r="G191" s="236">
        <v>0</v>
      </c>
    </row>
    <row r="192" spans="2:7" x14ac:dyDescent="0.25">
      <c r="B192" s="178" t="s">
        <v>460</v>
      </c>
      <c r="C192" s="234" t="s">
        <v>349</v>
      </c>
      <c r="D192" s="302">
        <v>120000</v>
      </c>
      <c r="E192" s="302">
        <v>0</v>
      </c>
      <c r="F192" s="236">
        <v>120000</v>
      </c>
      <c r="G192" s="236">
        <v>0</v>
      </c>
    </row>
    <row r="193" spans="2:7" x14ac:dyDescent="0.25">
      <c r="B193" s="178" t="s">
        <v>460</v>
      </c>
      <c r="C193" s="234" t="s">
        <v>578</v>
      </c>
      <c r="D193" s="302">
        <v>150000</v>
      </c>
      <c r="E193" s="302">
        <v>0</v>
      </c>
      <c r="F193" s="236">
        <v>150000</v>
      </c>
      <c r="G193" s="236">
        <v>0</v>
      </c>
    </row>
    <row r="194" spans="2:7" x14ac:dyDescent="0.25">
      <c r="D194"/>
      <c r="E194"/>
    </row>
    <row r="195" spans="2:7" x14ac:dyDescent="0.25">
      <c r="D195"/>
      <c r="E195"/>
    </row>
  </sheetData>
  <autoFilter ref="B3:G195" xr:uid="{97F3A7E5-8EDD-4B54-9904-6BBC304825D2}"/>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dimension ref="A1:Q188"/>
  <sheetViews>
    <sheetView zoomScale="80" zoomScaleNormal="80" workbookViewId="0">
      <selection activeCell="F12" sqref="F12"/>
    </sheetView>
  </sheetViews>
  <sheetFormatPr defaultRowHeight="13.2" x14ac:dyDescent="0.25"/>
  <cols>
    <col min="1" max="1" width="16.77734375" bestFit="1" customWidth="1"/>
    <col min="2" max="2" width="20.21875" bestFit="1" customWidth="1"/>
    <col min="3" max="3" width="46" bestFit="1" customWidth="1"/>
    <col min="4" max="4" width="22.21875" bestFit="1" customWidth="1"/>
    <col min="5" max="5" width="62" customWidth="1"/>
    <col min="6" max="6" width="20.77734375" bestFit="1" customWidth="1"/>
    <col min="7" max="7" width="38.33203125" customWidth="1"/>
    <col min="8" max="8" width="27.33203125"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47" t="s">
        <v>496</v>
      </c>
      <c r="B1" s="47" t="s">
        <v>377</v>
      </c>
      <c r="C1" s="47" t="s">
        <v>378</v>
      </c>
      <c r="D1" s="47" t="s">
        <v>380</v>
      </c>
      <c r="E1" s="47" t="s">
        <v>382</v>
      </c>
      <c r="F1" s="47" t="s">
        <v>383</v>
      </c>
      <c r="G1" s="47" t="s">
        <v>381</v>
      </c>
      <c r="H1" s="47" t="s">
        <v>497</v>
      </c>
      <c r="I1" s="47" t="s">
        <v>384</v>
      </c>
      <c r="J1" s="47" t="s">
        <v>385</v>
      </c>
      <c r="K1" s="47" t="s">
        <v>498</v>
      </c>
      <c r="L1" s="47" t="s">
        <v>379</v>
      </c>
      <c r="M1" s="47" t="s">
        <v>499</v>
      </c>
      <c r="N1" s="47" t="s">
        <v>500</v>
      </c>
      <c r="O1" s="47" t="s">
        <v>501</v>
      </c>
      <c r="P1" s="47" t="s">
        <v>502</v>
      </c>
      <c r="Q1" s="47" t="s">
        <v>503</v>
      </c>
    </row>
    <row r="2" spans="1:17" x14ac:dyDescent="0.25">
      <c r="A2">
        <v>402</v>
      </c>
      <c r="B2">
        <v>16951</v>
      </c>
      <c r="C2" t="s">
        <v>637</v>
      </c>
      <c r="D2" s="185">
        <v>45979</v>
      </c>
      <c r="E2" t="s">
        <v>638</v>
      </c>
      <c r="F2" t="s">
        <v>386</v>
      </c>
      <c r="G2" s="23">
        <v>750000</v>
      </c>
      <c r="H2" s="23">
        <v>750000</v>
      </c>
      <c r="J2" s="185">
        <v>46344</v>
      </c>
      <c r="L2" t="s">
        <v>391</v>
      </c>
      <c r="M2" s="23">
        <v>750000</v>
      </c>
      <c r="N2" t="s">
        <v>386</v>
      </c>
      <c r="O2" s="23">
        <v>750000</v>
      </c>
      <c r="Q2" s="185">
        <v>46344</v>
      </c>
    </row>
    <row r="3" spans="1:17" x14ac:dyDescent="0.25">
      <c r="A3">
        <v>291</v>
      </c>
      <c r="B3">
        <v>4223</v>
      </c>
      <c r="C3" t="s">
        <v>595</v>
      </c>
      <c r="D3" s="185">
        <v>45903</v>
      </c>
      <c r="E3" t="s">
        <v>540</v>
      </c>
      <c r="F3" t="s">
        <v>386</v>
      </c>
      <c r="G3" s="23">
        <v>825000</v>
      </c>
      <c r="H3" s="23">
        <v>825000</v>
      </c>
      <c r="J3" s="185">
        <v>46268</v>
      </c>
      <c r="L3" t="s">
        <v>391</v>
      </c>
      <c r="M3" s="23"/>
      <c r="N3" t="s">
        <v>386</v>
      </c>
      <c r="O3" s="23">
        <v>825000</v>
      </c>
      <c r="Q3" s="185">
        <v>46268</v>
      </c>
    </row>
    <row r="4" spans="1:17" x14ac:dyDescent="0.25">
      <c r="A4">
        <v>533</v>
      </c>
      <c r="B4">
        <v>5882</v>
      </c>
      <c r="C4" t="s">
        <v>162</v>
      </c>
      <c r="D4" s="185">
        <v>45838</v>
      </c>
      <c r="E4" t="s">
        <v>546</v>
      </c>
      <c r="F4" t="s">
        <v>386</v>
      </c>
      <c r="G4" s="23">
        <v>275000</v>
      </c>
      <c r="H4" s="23">
        <v>275000</v>
      </c>
      <c r="J4" s="185">
        <v>46568</v>
      </c>
      <c r="L4" t="s">
        <v>391</v>
      </c>
      <c r="M4" s="23"/>
      <c r="N4" t="s">
        <v>386</v>
      </c>
      <c r="O4" s="23">
        <v>275000</v>
      </c>
      <c r="Q4" s="185">
        <v>46568</v>
      </c>
    </row>
    <row r="5" spans="1:17" x14ac:dyDescent="0.25">
      <c r="A5">
        <v>400</v>
      </c>
      <c r="B5">
        <v>17497</v>
      </c>
      <c r="C5" t="s">
        <v>723</v>
      </c>
      <c r="D5" s="185">
        <v>46083</v>
      </c>
      <c r="E5" t="s">
        <v>724</v>
      </c>
      <c r="F5" t="s">
        <v>386</v>
      </c>
      <c r="G5" s="23">
        <v>300000</v>
      </c>
      <c r="H5" s="23">
        <v>300000</v>
      </c>
      <c r="J5" s="185">
        <v>46448</v>
      </c>
      <c r="L5" t="s">
        <v>391</v>
      </c>
      <c r="M5" s="23"/>
      <c r="N5" t="s">
        <v>386</v>
      </c>
      <c r="O5" s="23">
        <v>300000</v>
      </c>
      <c r="Q5" s="185">
        <v>46448</v>
      </c>
    </row>
    <row r="6" spans="1:17" x14ac:dyDescent="0.25">
      <c r="A6">
        <v>310</v>
      </c>
      <c r="B6">
        <v>1152</v>
      </c>
      <c r="C6" t="s">
        <v>317</v>
      </c>
      <c r="D6" s="185">
        <v>45943</v>
      </c>
      <c r="E6" t="s">
        <v>652</v>
      </c>
      <c r="F6" t="s">
        <v>386</v>
      </c>
      <c r="G6" s="23">
        <v>250000</v>
      </c>
      <c r="H6" s="23">
        <v>250000</v>
      </c>
      <c r="J6" s="185">
        <v>46309</v>
      </c>
      <c r="L6" t="s">
        <v>391</v>
      </c>
      <c r="M6" s="23"/>
      <c r="N6" t="s">
        <v>386</v>
      </c>
      <c r="O6" s="23">
        <v>250000</v>
      </c>
      <c r="Q6" s="185">
        <v>46308</v>
      </c>
    </row>
    <row r="7" spans="1:17" s="24" customFormat="1" x14ac:dyDescent="0.25">
      <c r="A7">
        <v>672</v>
      </c>
      <c r="B7">
        <v>2247</v>
      </c>
      <c r="C7" t="s">
        <v>425</v>
      </c>
      <c r="D7" s="185">
        <v>46184</v>
      </c>
      <c r="E7" t="s">
        <v>15623</v>
      </c>
      <c r="F7" t="s">
        <v>386</v>
      </c>
      <c r="G7" s="23">
        <v>70000</v>
      </c>
      <c r="H7" s="23">
        <v>70000</v>
      </c>
      <c r="I7"/>
      <c r="J7" s="185">
        <v>46549</v>
      </c>
      <c r="K7"/>
      <c r="L7"/>
      <c r="M7" s="23"/>
      <c r="N7" t="s">
        <v>386</v>
      </c>
      <c r="O7" s="23"/>
      <c r="P7"/>
      <c r="Q7" s="185">
        <v>46549</v>
      </c>
    </row>
    <row r="8" spans="1:17" x14ac:dyDescent="0.25">
      <c r="A8">
        <v>249</v>
      </c>
      <c r="B8">
        <v>5998</v>
      </c>
      <c r="C8" t="s">
        <v>563</v>
      </c>
      <c r="D8" s="185">
        <v>45869</v>
      </c>
      <c r="E8" t="s">
        <v>564</v>
      </c>
      <c r="F8" t="s">
        <v>386</v>
      </c>
      <c r="G8" s="23">
        <v>2500000</v>
      </c>
      <c r="H8" s="23">
        <v>2500000</v>
      </c>
      <c r="J8" s="185"/>
      <c r="L8" t="s">
        <v>391</v>
      </c>
      <c r="M8" s="23"/>
      <c r="N8" t="s">
        <v>386</v>
      </c>
      <c r="O8" s="23">
        <v>2500000</v>
      </c>
      <c r="Q8" s="185">
        <v>46234</v>
      </c>
    </row>
    <row r="9" spans="1:17" x14ac:dyDescent="0.25">
      <c r="A9">
        <v>418</v>
      </c>
      <c r="B9">
        <v>37</v>
      </c>
      <c r="C9" t="s">
        <v>747</v>
      </c>
      <c r="D9" s="185">
        <v>46094</v>
      </c>
      <c r="E9" t="s">
        <v>743</v>
      </c>
      <c r="F9" t="s">
        <v>386</v>
      </c>
      <c r="G9" s="23">
        <v>300000</v>
      </c>
      <c r="H9" s="23">
        <v>300000</v>
      </c>
      <c r="J9" s="185">
        <v>411701</v>
      </c>
      <c r="L9" t="s">
        <v>391</v>
      </c>
      <c r="M9" s="23"/>
      <c r="N9" t="s">
        <v>386</v>
      </c>
      <c r="O9" s="23">
        <v>300000</v>
      </c>
      <c r="Q9" s="185">
        <v>46459</v>
      </c>
    </row>
    <row r="10" spans="1:17" x14ac:dyDescent="0.25">
      <c r="A10">
        <v>455</v>
      </c>
      <c r="B10">
        <v>17696</v>
      </c>
      <c r="C10" t="s">
        <v>784</v>
      </c>
      <c r="D10" s="185">
        <v>46100</v>
      </c>
      <c r="E10" t="s">
        <v>763</v>
      </c>
      <c r="F10" t="s">
        <v>386</v>
      </c>
      <c r="G10" s="23">
        <v>3000000</v>
      </c>
      <c r="H10" s="23">
        <v>3000000</v>
      </c>
      <c r="J10" s="185">
        <v>46465</v>
      </c>
      <c r="L10" t="s">
        <v>391</v>
      </c>
      <c r="M10" s="23"/>
      <c r="N10" t="s">
        <v>386</v>
      </c>
      <c r="O10" s="23">
        <v>3000000</v>
      </c>
      <c r="Q10" s="185">
        <v>46465</v>
      </c>
    </row>
    <row r="11" spans="1:17" x14ac:dyDescent="0.25">
      <c r="A11">
        <v>420</v>
      </c>
      <c r="B11">
        <v>2622</v>
      </c>
      <c r="C11" t="s">
        <v>73</v>
      </c>
      <c r="D11" s="185">
        <v>46100</v>
      </c>
      <c r="E11" t="s">
        <v>763</v>
      </c>
      <c r="F11" t="s">
        <v>386</v>
      </c>
      <c r="G11" s="23">
        <v>3000000</v>
      </c>
      <c r="H11" s="23">
        <v>3000000</v>
      </c>
      <c r="J11" s="185">
        <v>46465</v>
      </c>
      <c r="L11" t="s">
        <v>391</v>
      </c>
      <c r="M11" s="23"/>
      <c r="N11" t="s">
        <v>386</v>
      </c>
      <c r="O11" s="23">
        <v>3000000</v>
      </c>
      <c r="Q11" s="185">
        <v>46465</v>
      </c>
    </row>
    <row r="12" spans="1:17" x14ac:dyDescent="0.25">
      <c r="A12">
        <v>654</v>
      </c>
      <c r="B12">
        <v>17057</v>
      </c>
      <c r="C12" t="s">
        <v>4378</v>
      </c>
      <c r="D12" s="185">
        <v>46169</v>
      </c>
      <c r="E12" t="s">
        <v>15602</v>
      </c>
      <c r="F12" t="s">
        <v>386</v>
      </c>
      <c r="G12" s="23">
        <v>1100000</v>
      </c>
      <c r="H12" s="23">
        <v>1100000</v>
      </c>
      <c r="J12" s="185">
        <v>46534</v>
      </c>
      <c r="L12" t="s">
        <v>408</v>
      </c>
      <c r="M12" s="23"/>
      <c r="N12" t="s">
        <v>386</v>
      </c>
      <c r="O12" s="23">
        <v>1100000</v>
      </c>
      <c r="Q12" s="185">
        <v>46534</v>
      </c>
    </row>
    <row r="13" spans="1:17" x14ac:dyDescent="0.25">
      <c r="A13">
        <v>534</v>
      </c>
      <c r="B13">
        <v>11580</v>
      </c>
      <c r="C13" t="s">
        <v>424</v>
      </c>
      <c r="D13" s="185">
        <v>45831</v>
      </c>
      <c r="E13" t="s">
        <v>547</v>
      </c>
      <c r="F13" t="s">
        <v>386</v>
      </c>
      <c r="G13" s="23">
        <v>302500</v>
      </c>
      <c r="H13" s="23">
        <v>302500</v>
      </c>
      <c r="J13" s="185">
        <v>46561</v>
      </c>
      <c r="L13" t="s">
        <v>403</v>
      </c>
      <c r="M13" s="23"/>
      <c r="N13" t="s">
        <v>386</v>
      </c>
      <c r="O13" s="23">
        <v>302500</v>
      </c>
      <c r="Q13" s="185">
        <v>46561</v>
      </c>
    </row>
    <row r="14" spans="1:17" x14ac:dyDescent="0.25">
      <c r="A14">
        <v>666</v>
      </c>
      <c r="B14">
        <v>2651</v>
      </c>
      <c r="C14" t="s">
        <v>116</v>
      </c>
      <c r="D14" s="185">
        <v>46181</v>
      </c>
      <c r="E14" t="s">
        <v>15624</v>
      </c>
      <c r="F14" t="s">
        <v>386</v>
      </c>
      <c r="G14" s="23">
        <v>320000</v>
      </c>
      <c r="H14" s="23">
        <v>320000</v>
      </c>
      <c r="J14" s="185">
        <v>46546</v>
      </c>
      <c r="K14">
        <v>60</v>
      </c>
      <c r="M14" s="23"/>
      <c r="N14" t="s">
        <v>386</v>
      </c>
      <c r="O14" s="23"/>
      <c r="Q14" s="185">
        <v>46546</v>
      </c>
    </row>
    <row r="15" spans="1:17" x14ac:dyDescent="0.25">
      <c r="A15">
        <v>535</v>
      </c>
      <c r="B15">
        <v>14667</v>
      </c>
      <c r="C15" t="s">
        <v>290</v>
      </c>
      <c r="D15" s="185">
        <v>45618</v>
      </c>
      <c r="E15" t="s">
        <v>396</v>
      </c>
      <c r="F15" t="s">
        <v>386</v>
      </c>
      <c r="G15" s="23">
        <v>1500000</v>
      </c>
      <c r="H15" s="23">
        <v>1800000</v>
      </c>
      <c r="I15" t="s">
        <v>397</v>
      </c>
      <c r="J15" s="185">
        <v>46713</v>
      </c>
      <c r="M15" s="23">
        <v>0</v>
      </c>
      <c r="N15" t="s">
        <v>386</v>
      </c>
      <c r="O15" s="23">
        <v>1500000</v>
      </c>
      <c r="Q15" s="185">
        <v>46713</v>
      </c>
    </row>
    <row r="16" spans="1:17" x14ac:dyDescent="0.25">
      <c r="A16">
        <v>626</v>
      </c>
      <c r="B16">
        <v>14258</v>
      </c>
      <c r="C16" t="s">
        <v>268</v>
      </c>
      <c r="D16" s="185">
        <v>45981</v>
      </c>
      <c r="E16" t="s">
        <v>639</v>
      </c>
      <c r="F16" t="s">
        <v>386</v>
      </c>
      <c r="G16" s="23">
        <v>100000</v>
      </c>
      <c r="H16" s="23">
        <v>750000</v>
      </c>
      <c r="J16" s="185">
        <v>46347</v>
      </c>
      <c r="L16" t="s">
        <v>391</v>
      </c>
      <c r="M16" s="23"/>
      <c r="N16" t="s">
        <v>386</v>
      </c>
      <c r="O16" s="23">
        <v>100000</v>
      </c>
      <c r="Q16" s="185">
        <v>46347</v>
      </c>
    </row>
    <row r="17" spans="1:17" x14ac:dyDescent="0.25">
      <c r="A17">
        <v>550</v>
      </c>
      <c r="B17">
        <v>16318</v>
      </c>
      <c r="C17" t="s">
        <v>551</v>
      </c>
      <c r="D17" s="185">
        <v>46076</v>
      </c>
      <c r="E17" t="s">
        <v>725</v>
      </c>
      <c r="F17" t="s">
        <v>386</v>
      </c>
      <c r="G17" s="23">
        <v>650000</v>
      </c>
      <c r="H17" s="23">
        <v>650000</v>
      </c>
      <c r="J17" s="185">
        <v>46441</v>
      </c>
      <c r="L17" t="s">
        <v>391</v>
      </c>
      <c r="M17" s="23"/>
      <c r="N17" t="s">
        <v>386</v>
      </c>
      <c r="O17" s="23">
        <v>650000</v>
      </c>
      <c r="Q17" s="185">
        <v>46441</v>
      </c>
    </row>
    <row r="18" spans="1:17" x14ac:dyDescent="0.25">
      <c r="A18">
        <v>625</v>
      </c>
      <c r="B18">
        <v>8187</v>
      </c>
      <c r="C18" t="s">
        <v>466</v>
      </c>
      <c r="D18" s="185">
        <v>45897</v>
      </c>
      <c r="E18" t="s">
        <v>577</v>
      </c>
      <c r="F18" t="s">
        <v>386</v>
      </c>
      <c r="G18" s="23">
        <v>1000000</v>
      </c>
      <c r="H18" s="23">
        <v>1000000</v>
      </c>
      <c r="J18" s="185">
        <v>46627</v>
      </c>
      <c r="K18">
        <v>180</v>
      </c>
      <c r="L18" t="s">
        <v>391</v>
      </c>
      <c r="M18" s="23"/>
      <c r="N18" t="s">
        <v>386</v>
      </c>
      <c r="O18" s="23">
        <v>1000000</v>
      </c>
      <c r="Q18" s="185">
        <v>46627</v>
      </c>
    </row>
    <row r="19" spans="1:17" x14ac:dyDescent="0.25">
      <c r="A19">
        <v>447</v>
      </c>
      <c r="B19">
        <v>17644</v>
      </c>
      <c r="C19" t="s">
        <v>786</v>
      </c>
      <c r="D19" s="185">
        <v>46099</v>
      </c>
      <c r="E19" t="s">
        <v>787</v>
      </c>
      <c r="F19" t="s">
        <v>386</v>
      </c>
      <c r="G19" s="23">
        <v>300000</v>
      </c>
      <c r="H19" s="23">
        <v>300000</v>
      </c>
      <c r="J19" s="185"/>
      <c r="L19" t="s">
        <v>391</v>
      </c>
      <c r="M19" s="23"/>
      <c r="N19" t="s">
        <v>386</v>
      </c>
      <c r="O19" s="23">
        <v>300000</v>
      </c>
      <c r="Q19" s="185">
        <v>46464</v>
      </c>
    </row>
    <row r="20" spans="1:17" x14ac:dyDescent="0.25">
      <c r="A20">
        <v>645</v>
      </c>
      <c r="B20">
        <v>7060</v>
      </c>
      <c r="C20" t="s">
        <v>165</v>
      </c>
      <c r="D20" s="185">
        <v>46139</v>
      </c>
      <c r="E20" t="s">
        <v>664</v>
      </c>
      <c r="F20" t="s">
        <v>386</v>
      </c>
      <c r="G20" s="23">
        <v>500000</v>
      </c>
      <c r="H20" s="23">
        <v>500000</v>
      </c>
      <c r="J20" s="185">
        <v>46504</v>
      </c>
      <c r="L20" t="s">
        <v>391</v>
      </c>
      <c r="M20" s="23"/>
      <c r="N20" t="s">
        <v>386</v>
      </c>
      <c r="O20" s="23">
        <v>500000</v>
      </c>
      <c r="Q20" s="185">
        <v>46504</v>
      </c>
    </row>
    <row r="21" spans="1:17" x14ac:dyDescent="0.25">
      <c r="A21">
        <v>351</v>
      </c>
      <c r="B21">
        <v>15407</v>
      </c>
      <c r="C21" t="s">
        <v>659</v>
      </c>
      <c r="D21" s="185">
        <v>45980</v>
      </c>
      <c r="E21" t="s">
        <v>642</v>
      </c>
      <c r="F21" t="s">
        <v>386</v>
      </c>
      <c r="G21" s="23">
        <v>50000</v>
      </c>
      <c r="H21" s="23">
        <v>50000</v>
      </c>
      <c r="J21" s="185">
        <v>46345</v>
      </c>
      <c r="L21" t="s">
        <v>391</v>
      </c>
      <c r="M21" s="23"/>
      <c r="N21" t="s">
        <v>386</v>
      </c>
      <c r="O21" s="23">
        <v>50000</v>
      </c>
      <c r="Q21" s="185">
        <v>46345</v>
      </c>
    </row>
    <row r="22" spans="1:17" x14ac:dyDescent="0.25">
      <c r="A22">
        <v>553</v>
      </c>
      <c r="B22">
        <v>2645</v>
      </c>
      <c r="C22" t="s">
        <v>342</v>
      </c>
      <c r="D22" s="185">
        <v>45831</v>
      </c>
      <c r="E22" t="s">
        <v>540</v>
      </c>
      <c r="F22" t="s">
        <v>386</v>
      </c>
      <c r="G22" s="23">
        <v>825000</v>
      </c>
      <c r="H22" s="23">
        <v>825000</v>
      </c>
      <c r="J22" s="185">
        <v>46591</v>
      </c>
      <c r="L22" t="s">
        <v>403</v>
      </c>
      <c r="M22" s="23"/>
      <c r="N22" t="s">
        <v>386</v>
      </c>
      <c r="O22" s="23">
        <v>825000</v>
      </c>
      <c r="Q22" s="185">
        <v>46591</v>
      </c>
    </row>
    <row r="23" spans="1:17" x14ac:dyDescent="0.25">
      <c r="A23">
        <v>661</v>
      </c>
      <c r="B23">
        <v>479</v>
      </c>
      <c r="C23" t="s">
        <v>14030</v>
      </c>
      <c r="D23" s="185">
        <v>46169</v>
      </c>
      <c r="E23" t="s">
        <v>664</v>
      </c>
      <c r="F23" t="s">
        <v>386</v>
      </c>
      <c r="G23" s="23">
        <v>1000000</v>
      </c>
      <c r="H23" s="23">
        <v>1000000</v>
      </c>
      <c r="J23" s="185">
        <v>46534</v>
      </c>
      <c r="L23" t="s">
        <v>391</v>
      </c>
      <c r="M23" s="23"/>
      <c r="N23" t="s">
        <v>386</v>
      </c>
      <c r="O23" s="23">
        <v>1000000</v>
      </c>
      <c r="Q23" s="185">
        <v>46534</v>
      </c>
    </row>
    <row r="24" spans="1:17" x14ac:dyDescent="0.25">
      <c r="A24">
        <v>463</v>
      </c>
      <c r="B24">
        <v>12653</v>
      </c>
      <c r="C24" t="s">
        <v>232</v>
      </c>
      <c r="D24" s="185">
        <v>45821</v>
      </c>
      <c r="E24" t="s">
        <v>532</v>
      </c>
      <c r="F24" t="s">
        <v>386</v>
      </c>
      <c r="G24" s="23">
        <v>7000000</v>
      </c>
      <c r="H24" s="23">
        <v>3000000</v>
      </c>
      <c r="J24" s="185">
        <v>46186</v>
      </c>
      <c r="K24">
        <v>180</v>
      </c>
      <c r="L24" t="s">
        <v>391</v>
      </c>
      <c r="M24" s="23"/>
      <c r="N24" t="s">
        <v>386</v>
      </c>
      <c r="O24" s="23">
        <v>7000000</v>
      </c>
      <c r="Q24" s="185">
        <v>46551</v>
      </c>
    </row>
    <row r="25" spans="1:17" x14ac:dyDescent="0.25">
      <c r="A25">
        <v>348</v>
      </c>
      <c r="B25">
        <v>2494</v>
      </c>
      <c r="C25" t="s">
        <v>327</v>
      </c>
      <c r="D25" s="185">
        <v>45982</v>
      </c>
      <c r="E25" t="s">
        <v>648</v>
      </c>
      <c r="F25" t="s">
        <v>386</v>
      </c>
      <c r="G25" s="23">
        <v>550000</v>
      </c>
      <c r="H25" s="23">
        <v>550000</v>
      </c>
      <c r="J25" s="185"/>
      <c r="L25" t="s">
        <v>408</v>
      </c>
      <c r="M25" s="23"/>
      <c r="N25" t="s">
        <v>386</v>
      </c>
      <c r="O25" s="23">
        <v>550000</v>
      </c>
      <c r="Q25" s="185"/>
    </row>
    <row r="26" spans="1:17" x14ac:dyDescent="0.25">
      <c r="A26">
        <v>657</v>
      </c>
      <c r="B26">
        <v>1462</v>
      </c>
      <c r="C26" t="s">
        <v>55</v>
      </c>
      <c r="D26" s="185">
        <v>46170</v>
      </c>
      <c r="E26" t="s">
        <v>15605</v>
      </c>
      <c r="F26" t="s">
        <v>386</v>
      </c>
      <c r="G26" s="23">
        <v>270000</v>
      </c>
      <c r="H26" s="23">
        <v>270000</v>
      </c>
      <c r="J26" s="185">
        <v>46535</v>
      </c>
      <c r="M26" s="23"/>
      <c r="N26" t="s">
        <v>386</v>
      </c>
      <c r="O26" s="23">
        <v>0</v>
      </c>
      <c r="Q26" s="185">
        <v>46535</v>
      </c>
    </row>
    <row r="27" spans="1:17" x14ac:dyDescent="0.25">
      <c r="A27">
        <v>536</v>
      </c>
      <c r="B27">
        <v>8217</v>
      </c>
      <c r="C27" t="s">
        <v>526</v>
      </c>
      <c r="D27" s="185">
        <v>45824</v>
      </c>
      <c r="E27" t="s">
        <v>533</v>
      </c>
      <c r="F27" t="s">
        <v>386</v>
      </c>
      <c r="G27" s="23">
        <v>700000</v>
      </c>
      <c r="H27" s="23">
        <v>700000</v>
      </c>
      <c r="J27" s="185">
        <v>46554</v>
      </c>
      <c r="K27">
        <v>28</v>
      </c>
      <c r="L27" t="s">
        <v>391</v>
      </c>
      <c r="M27" s="23"/>
      <c r="N27" t="s">
        <v>386</v>
      </c>
      <c r="O27" s="23">
        <v>700000</v>
      </c>
      <c r="Q27" s="185">
        <v>46554</v>
      </c>
    </row>
    <row r="28" spans="1:17" x14ac:dyDescent="0.25">
      <c r="A28">
        <v>648</v>
      </c>
      <c r="B28">
        <v>14632</v>
      </c>
      <c r="C28" t="s">
        <v>399</v>
      </c>
      <c r="D28" s="185">
        <v>46162</v>
      </c>
      <c r="E28" t="s">
        <v>400</v>
      </c>
      <c r="F28" t="s">
        <v>386</v>
      </c>
      <c r="G28" s="23">
        <v>300000</v>
      </c>
      <c r="H28" s="23">
        <v>300000</v>
      </c>
      <c r="I28" t="s">
        <v>401</v>
      </c>
      <c r="J28" s="185">
        <v>46565</v>
      </c>
      <c r="K28">
        <v>28</v>
      </c>
      <c r="L28" t="s">
        <v>392</v>
      </c>
      <c r="M28" s="23"/>
      <c r="N28" t="s">
        <v>386</v>
      </c>
      <c r="O28" s="23"/>
      <c r="Q28" s="185">
        <v>46527</v>
      </c>
    </row>
    <row r="29" spans="1:17" x14ac:dyDescent="0.25">
      <c r="A29">
        <v>397</v>
      </c>
      <c r="B29">
        <v>17472</v>
      </c>
      <c r="C29" t="s">
        <v>726</v>
      </c>
      <c r="D29" s="185">
        <v>46072</v>
      </c>
      <c r="E29" t="s">
        <v>664</v>
      </c>
      <c r="F29" t="s">
        <v>386</v>
      </c>
      <c r="G29" s="23">
        <v>500000</v>
      </c>
      <c r="H29" s="23">
        <v>500000</v>
      </c>
      <c r="J29" s="185">
        <v>46437</v>
      </c>
      <c r="L29" t="s">
        <v>391</v>
      </c>
      <c r="M29" s="23">
        <v>500000</v>
      </c>
      <c r="N29" t="s">
        <v>386</v>
      </c>
      <c r="O29" s="23">
        <v>500000</v>
      </c>
      <c r="Q29" s="185">
        <v>46437</v>
      </c>
    </row>
    <row r="30" spans="1:17" x14ac:dyDescent="0.25">
      <c r="A30">
        <v>537</v>
      </c>
      <c r="B30">
        <v>2900</v>
      </c>
      <c r="C30" t="s">
        <v>463</v>
      </c>
      <c r="D30" s="185">
        <v>46153</v>
      </c>
      <c r="E30" t="s">
        <v>664</v>
      </c>
      <c r="F30" t="s">
        <v>386</v>
      </c>
      <c r="G30" s="23">
        <v>200000</v>
      </c>
      <c r="H30" s="23">
        <v>200000</v>
      </c>
      <c r="J30" s="185">
        <v>46518</v>
      </c>
      <c r="L30" t="s">
        <v>391</v>
      </c>
      <c r="M30" s="23"/>
      <c r="N30" t="s">
        <v>386</v>
      </c>
      <c r="O30" s="23">
        <v>200000</v>
      </c>
      <c r="Q30" s="185">
        <v>46518</v>
      </c>
    </row>
    <row r="31" spans="1:17" x14ac:dyDescent="0.25">
      <c r="A31">
        <v>393</v>
      </c>
      <c r="B31">
        <v>2352</v>
      </c>
      <c r="C31" t="s">
        <v>68</v>
      </c>
      <c r="D31" s="185">
        <v>46023</v>
      </c>
      <c r="E31" t="s">
        <v>638</v>
      </c>
      <c r="F31" t="s">
        <v>386</v>
      </c>
      <c r="G31" s="23">
        <v>500000</v>
      </c>
      <c r="H31" s="23">
        <v>500000</v>
      </c>
      <c r="J31" s="185">
        <v>46388</v>
      </c>
      <c r="L31" t="s">
        <v>391</v>
      </c>
      <c r="M31" s="23"/>
      <c r="N31" t="s">
        <v>386</v>
      </c>
      <c r="O31" s="23">
        <v>500000</v>
      </c>
      <c r="Q31" s="185">
        <v>46388</v>
      </c>
    </row>
    <row r="32" spans="1:17" x14ac:dyDescent="0.25">
      <c r="A32">
        <v>345</v>
      </c>
      <c r="B32">
        <v>17165</v>
      </c>
      <c r="C32" t="s">
        <v>650</v>
      </c>
      <c r="D32" s="185">
        <v>45980</v>
      </c>
      <c r="E32" t="s">
        <v>651</v>
      </c>
      <c r="F32" t="s">
        <v>386</v>
      </c>
      <c r="G32" s="23">
        <v>500000</v>
      </c>
      <c r="H32" s="23">
        <v>500000</v>
      </c>
      <c r="J32" s="185"/>
      <c r="L32" t="s">
        <v>391</v>
      </c>
      <c r="M32" s="23"/>
      <c r="N32" t="s">
        <v>386</v>
      </c>
      <c r="O32" s="23">
        <v>500000</v>
      </c>
      <c r="Q32" s="185"/>
    </row>
    <row r="33" spans="1:17" x14ac:dyDescent="0.25">
      <c r="A33">
        <v>367</v>
      </c>
      <c r="B33">
        <v>2642</v>
      </c>
      <c r="C33" t="s">
        <v>665</v>
      </c>
      <c r="D33" s="185">
        <v>46001</v>
      </c>
      <c r="E33" t="s">
        <v>664</v>
      </c>
      <c r="F33" t="s">
        <v>386</v>
      </c>
      <c r="G33" s="23">
        <v>825000</v>
      </c>
      <c r="H33" s="23">
        <v>825000</v>
      </c>
      <c r="J33" s="185">
        <v>46366</v>
      </c>
      <c r="L33" t="s">
        <v>408</v>
      </c>
      <c r="M33" s="23"/>
      <c r="N33" t="s">
        <v>386</v>
      </c>
      <c r="O33" s="23">
        <v>825000</v>
      </c>
      <c r="Q33" s="185">
        <v>46366</v>
      </c>
    </row>
    <row r="34" spans="1:17" x14ac:dyDescent="0.25">
      <c r="A34">
        <v>538</v>
      </c>
      <c r="B34">
        <v>10413</v>
      </c>
      <c r="C34" t="s">
        <v>265</v>
      </c>
      <c r="D34" s="185">
        <v>45820</v>
      </c>
      <c r="E34" t="s">
        <v>530</v>
      </c>
      <c r="F34" t="s">
        <v>386</v>
      </c>
      <c r="G34" s="23">
        <v>800000</v>
      </c>
      <c r="H34" s="23">
        <v>800000</v>
      </c>
      <c r="J34" s="185">
        <v>46551</v>
      </c>
      <c r="L34" t="s">
        <v>391</v>
      </c>
      <c r="M34" s="23"/>
      <c r="N34" t="s">
        <v>386</v>
      </c>
      <c r="O34" s="23">
        <v>800000</v>
      </c>
      <c r="Q34" s="185">
        <v>46551</v>
      </c>
    </row>
    <row r="35" spans="1:17" x14ac:dyDescent="0.25">
      <c r="A35">
        <v>669</v>
      </c>
      <c r="B35">
        <v>2287</v>
      </c>
      <c r="C35" t="s">
        <v>114</v>
      </c>
      <c r="D35" s="185">
        <v>46181</v>
      </c>
      <c r="E35" t="s">
        <v>15625</v>
      </c>
      <c r="F35" t="s">
        <v>386</v>
      </c>
      <c r="G35" s="23">
        <v>1650000</v>
      </c>
      <c r="H35" s="23">
        <v>1650000</v>
      </c>
      <c r="J35" s="185">
        <v>46546</v>
      </c>
      <c r="L35" t="s">
        <v>391</v>
      </c>
      <c r="M35" s="23"/>
      <c r="N35" t="s">
        <v>386</v>
      </c>
      <c r="O35" s="23">
        <v>1650000</v>
      </c>
      <c r="Q35" s="185">
        <v>46546</v>
      </c>
    </row>
    <row r="36" spans="1:17" x14ac:dyDescent="0.25">
      <c r="A36">
        <v>540</v>
      </c>
      <c r="B36">
        <v>3426</v>
      </c>
      <c r="C36" t="s">
        <v>350</v>
      </c>
      <c r="D36" s="185">
        <v>45831</v>
      </c>
      <c r="E36" t="s">
        <v>541</v>
      </c>
      <c r="F36" t="s">
        <v>386</v>
      </c>
      <c r="G36" s="23">
        <v>660000</v>
      </c>
      <c r="H36" s="23">
        <v>660000</v>
      </c>
      <c r="J36" s="185">
        <v>46561</v>
      </c>
      <c r="L36" t="s">
        <v>403</v>
      </c>
      <c r="M36" s="23"/>
      <c r="N36" t="s">
        <v>386</v>
      </c>
      <c r="O36" s="23">
        <v>660000</v>
      </c>
      <c r="Q36" s="185">
        <v>46561</v>
      </c>
    </row>
    <row r="37" spans="1:17" x14ac:dyDescent="0.25">
      <c r="A37">
        <v>421</v>
      </c>
      <c r="B37">
        <v>16910</v>
      </c>
      <c r="C37" t="s">
        <v>593</v>
      </c>
      <c r="D37" s="185">
        <v>46107</v>
      </c>
      <c r="E37" t="s">
        <v>760</v>
      </c>
      <c r="F37" t="s">
        <v>386</v>
      </c>
      <c r="G37" s="23">
        <v>550000</v>
      </c>
      <c r="H37" s="23">
        <v>550000</v>
      </c>
      <c r="J37" s="185">
        <v>46444</v>
      </c>
      <c r="L37" t="s">
        <v>398</v>
      </c>
      <c r="M37" s="23"/>
      <c r="N37" t="s">
        <v>386</v>
      </c>
      <c r="O37" s="23">
        <v>550000</v>
      </c>
      <c r="Q37" s="185">
        <v>46472</v>
      </c>
    </row>
    <row r="38" spans="1:17" x14ac:dyDescent="0.25">
      <c r="A38">
        <v>555</v>
      </c>
      <c r="B38">
        <v>9708</v>
      </c>
      <c r="C38" t="s">
        <v>538</v>
      </c>
      <c r="D38" s="185">
        <v>45831</v>
      </c>
      <c r="E38" t="s">
        <v>539</v>
      </c>
      <c r="F38" t="s">
        <v>386</v>
      </c>
      <c r="G38" s="23">
        <v>1100000</v>
      </c>
      <c r="H38" s="23">
        <v>1100000</v>
      </c>
      <c r="J38" s="185">
        <v>46561</v>
      </c>
      <c r="L38" t="s">
        <v>403</v>
      </c>
      <c r="M38" s="23"/>
      <c r="N38" t="s">
        <v>386</v>
      </c>
      <c r="O38" s="23">
        <v>1100000</v>
      </c>
      <c r="Q38" s="185">
        <v>46561</v>
      </c>
    </row>
    <row r="39" spans="1:17" x14ac:dyDescent="0.25">
      <c r="A39">
        <v>556</v>
      </c>
      <c r="B39">
        <v>13329</v>
      </c>
      <c r="C39" t="s">
        <v>346</v>
      </c>
      <c r="D39" s="185">
        <v>45831</v>
      </c>
      <c r="E39" t="s">
        <v>536</v>
      </c>
      <c r="F39" t="s">
        <v>386</v>
      </c>
      <c r="G39" s="23">
        <v>1100000</v>
      </c>
      <c r="H39" s="23">
        <v>1100000</v>
      </c>
      <c r="J39" s="185">
        <v>46561</v>
      </c>
      <c r="L39" t="s">
        <v>391</v>
      </c>
      <c r="M39" s="23"/>
      <c r="N39" t="s">
        <v>386</v>
      </c>
      <c r="O39" s="23">
        <v>1100000</v>
      </c>
      <c r="Q39" s="185">
        <v>46561</v>
      </c>
    </row>
    <row r="40" spans="1:17" x14ac:dyDescent="0.25">
      <c r="A40">
        <v>541</v>
      </c>
      <c r="B40">
        <v>11768</v>
      </c>
      <c r="C40" t="s">
        <v>274</v>
      </c>
      <c r="D40" s="185">
        <v>45831</v>
      </c>
      <c r="E40" t="s">
        <v>543</v>
      </c>
      <c r="F40" t="s">
        <v>386</v>
      </c>
      <c r="G40" s="23">
        <v>550000</v>
      </c>
      <c r="H40" s="23">
        <v>550000</v>
      </c>
      <c r="J40" s="185">
        <v>46561</v>
      </c>
      <c r="L40" t="s">
        <v>403</v>
      </c>
      <c r="M40" s="23"/>
      <c r="N40" t="s">
        <v>386</v>
      </c>
      <c r="O40" s="23">
        <v>550000</v>
      </c>
      <c r="Q40" s="185">
        <v>46561</v>
      </c>
    </row>
    <row r="41" spans="1:17" x14ac:dyDescent="0.25">
      <c r="A41">
        <v>627</v>
      </c>
      <c r="B41">
        <v>16288</v>
      </c>
      <c r="C41" t="s">
        <v>565</v>
      </c>
      <c r="D41" s="185">
        <v>45870</v>
      </c>
      <c r="E41" t="s">
        <v>615</v>
      </c>
      <c r="F41" t="s">
        <v>386</v>
      </c>
      <c r="G41" s="23">
        <v>500000</v>
      </c>
      <c r="H41" s="23">
        <v>750000</v>
      </c>
      <c r="J41" s="185">
        <v>46235</v>
      </c>
      <c r="L41" t="s">
        <v>391</v>
      </c>
      <c r="M41" s="23"/>
      <c r="N41" t="s">
        <v>386</v>
      </c>
      <c r="O41" s="23">
        <v>500000</v>
      </c>
      <c r="Q41" s="185">
        <v>46235</v>
      </c>
    </row>
    <row r="42" spans="1:17" x14ac:dyDescent="0.25">
      <c r="A42">
        <v>557</v>
      </c>
      <c r="B42">
        <v>15799</v>
      </c>
      <c r="C42" t="s">
        <v>506</v>
      </c>
      <c r="D42" s="185">
        <v>45709</v>
      </c>
      <c r="E42" t="s">
        <v>507</v>
      </c>
      <c r="F42" t="s">
        <v>386</v>
      </c>
      <c r="G42" s="23">
        <v>1500000</v>
      </c>
      <c r="H42" s="23">
        <v>1500000</v>
      </c>
      <c r="J42" s="185">
        <v>46439</v>
      </c>
      <c r="K42">
        <v>270</v>
      </c>
      <c r="L42" t="s">
        <v>391</v>
      </c>
      <c r="M42" s="23"/>
      <c r="N42" t="s">
        <v>386</v>
      </c>
      <c r="O42" s="23">
        <v>1500000</v>
      </c>
      <c r="Q42" s="185">
        <v>46439</v>
      </c>
    </row>
    <row r="43" spans="1:17" x14ac:dyDescent="0.25">
      <c r="A43">
        <v>558</v>
      </c>
      <c r="B43">
        <v>2809</v>
      </c>
      <c r="C43" t="s">
        <v>159</v>
      </c>
      <c r="D43" s="185">
        <v>46132</v>
      </c>
      <c r="E43" t="s">
        <v>788</v>
      </c>
      <c r="F43" t="s">
        <v>386</v>
      </c>
      <c r="G43" s="23">
        <v>600000</v>
      </c>
      <c r="H43" s="23">
        <v>600000</v>
      </c>
      <c r="J43" s="185">
        <v>46497</v>
      </c>
      <c r="L43" t="s">
        <v>391</v>
      </c>
      <c r="M43" s="23"/>
      <c r="N43" t="s">
        <v>386</v>
      </c>
      <c r="O43" s="23">
        <v>600000</v>
      </c>
      <c r="Q43" s="185">
        <v>46497</v>
      </c>
    </row>
    <row r="44" spans="1:17" x14ac:dyDescent="0.25">
      <c r="A44">
        <v>349</v>
      </c>
      <c r="B44">
        <v>15699</v>
      </c>
      <c r="C44" t="s">
        <v>594</v>
      </c>
      <c r="D44" s="185">
        <v>45987</v>
      </c>
      <c r="E44" t="s">
        <v>640</v>
      </c>
      <c r="F44" t="s">
        <v>386</v>
      </c>
      <c r="G44" s="23">
        <v>1375000</v>
      </c>
      <c r="H44" s="23">
        <v>1375000</v>
      </c>
      <c r="J44" s="185"/>
      <c r="M44" s="23"/>
      <c r="N44" t="s">
        <v>386</v>
      </c>
      <c r="O44" s="23">
        <v>1375000</v>
      </c>
      <c r="Q44" s="185"/>
    </row>
    <row r="45" spans="1:17" x14ac:dyDescent="0.25">
      <c r="A45">
        <v>354</v>
      </c>
      <c r="B45">
        <v>12322</v>
      </c>
      <c r="C45" t="s">
        <v>660</v>
      </c>
      <c r="D45" s="185">
        <v>45994</v>
      </c>
      <c r="E45" t="s">
        <v>661</v>
      </c>
      <c r="F45" t="s">
        <v>386</v>
      </c>
      <c r="G45" s="23">
        <v>350000</v>
      </c>
      <c r="H45" s="23">
        <v>350000</v>
      </c>
      <c r="J45" s="185">
        <v>46359</v>
      </c>
      <c r="L45" t="s">
        <v>391</v>
      </c>
      <c r="M45" s="23"/>
      <c r="N45" t="s">
        <v>386</v>
      </c>
      <c r="O45" s="23">
        <v>350000</v>
      </c>
      <c r="Q45" s="185">
        <v>46359</v>
      </c>
    </row>
    <row r="46" spans="1:17" x14ac:dyDescent="0.25">
      <c r="A46">
        <v>559</v>
      </c>
      <c r="B46">
        <v>139</v>
      </c>
      <c r="C46" t="s">
        <v>32</v>
      </c>
      <c r="D46" s="185">
        <v>45980</v>
      </c>
      <c r="E46" t="s">
        <v>642</v>
      </c>
      <c r="F46" t="s">
        <v>386</v>
      </c>
      <c r="G46" s="23">
        <v>3000000</v>
      </c>
      <c r="H46" s="23">
        <v>3000000</v>
      </c>
      <c r="J46" s="185">
        <v>46710</v>
      </c>
      <c r="L46" t="s">
        <v>391</v>
      </c>
      <c r="M46" s="23"/>
      <c r="N46" t="s">
        <v>386</v>
      </c>
      <c r="O46" s="23">
        <v>3000000</v>
      </c>
      <c r="Q46" s="185">
        <v>46710</v>
      </c>
    </row>
    <row r="47" spans="1:17" x14ac:dyDescent="0.25">
      <c r="A47">
        <v>598</v>
      </c>
      <c r="B47">
        <v>16107</v>
      </c>
      <c r="C47" t="s">
        <v>494</v>
      </c>
      <c r="D47" s="185">
        <v>46157</v>
      </c>
      <c r="E47" t="s">
        <v>15410</v>
      </c>
      <c r="F47" t="s">
        <v>386</v>
      </c>
      <c r="G47" s="23">
        <v>500000</v>
      </c>
      <c r="H47" s="23">
        <v>500000</v>
      </c>
      <c r="J47" s="185">
        <v>46522</v>
      </c>
      <c r="K47">
        <v>0</v>
      </c>
      <c r="L47" t="s">
        <v>15411</v>
      </c>
      <c r="M47" s="23"/>
      <c r="N47" t="s">
        <v>386</v>
      </c>
      <c r="O47" s="23">
        <v>500000</v>
      </c>
      <c r="Q47" s="185">
        <v>46522</v>
      </c>
    </row>
    <row r="48" spans="1:17" x14ac:dyDescent="0.25">
      <c r="A48">
        <v>560</v>
      </c>
      <c r="B48">
        <v>8265</v>
      </c>
      <c r="C48" t="s">
        <v>534</v>
      </c>
      <c r="D48" s="185">
        <v>45834</v>
      </c>
      <c r="E48" t="s">
        <v>535</v>
      </c>
      <c r="F48" t="s">
        <v>386</v>
      </c>
      <c r="G48" s="23">
        <v>750000</v>
      </c>
      <c r="H48" s="23">
        <v>750000</v>
      </c>
      <c r="J48" s="185">
        <v>46564</v>
      </c>
      <c r="K48">
        <v>180</v>
      </c>
      <c r="L48" t="s">
        <v>391</v>
      </c>
      <c r="M48" s="23"/>
      <c r="N48" t="s">
        <v>386</v>
      </c>
      <c r="O48" s="23">
        <v>750000</v>
      </c>
      <c r="Q48" s="185">
        <v>46564</v>
      </c>
    </row>
    <row r="49" spans="1:17" x14ac:dyDescent="0.25">
      <c r="A49">
        <v>561</v>
      </c>
      <c r="B49">
        <v>2975</v>
      </c>
      <c r="C49" t="s">
        <v>420</v>
      </c>
      <c r="D49" s="185">
        <v>45788</v>
      </c>
      <c r="E49" t="s">
        <v>512</v>
      </c>
      <c r="F49" t="s">
        <v>386</v>
      </c>
      <c r="G49" s="23">
        <v>2500000</v>
      </c>
      <c r="H49" s="23">
        <v>2500000</v>
      </c>
      <c r="J49" s="185">
        <v>46518</v>
      </c>
      <c r="L49" t="s">
        <v>391</v>
      </c>
      <c r="M49" s="23"/>
      <c r="N49" t="s">
        <v>386</v>
      </c>
      <c r="O49" s="23">
        <v>2500000</v>
      </c>
      <c r="Q49" s="185">
        <v>46518</v>
      </c>
    </row>
    <row r="50" spans="1:17" x14ac:dyDescent="0.25">
      <c r="A50">
        <v>384</v>
      </c>
      <c r="B50">
        <v>2925</v>
      </c>
      <c r="C50" t="s">
        <v>341</v>
      </c>
      <c r="D50" s="185">
        <v>46030</v>
      </c>
      <c r="E50" t="s">
        <v>700</v>
      </c>
      <c r="F50" t="s">
        <v>386</v>
      </c>
      <c r="G50" s="23">
        <v>605000</v>
      </c>
      <c r="H50" s="23">
        <v>605000</v>
      </c>
      <c r="J50" s="185">
        <v>46395</v>
      </c>
      <c r="L50" t="s">
        <v>391</v>
      </c>
      <c r="M50" s="23"/>
      <c r="N50" t="s">
        <v>386</v>
      </c>
      <c r="O50" s="23">
        <v>605000</v>
      </c>
      <c r="Q50" s="185">
        <v>46395</v>
      </c>
    </row>
    <row r="51" spans="1:17" x14ac:dyDescent="0.25">
      <c r="A51">
        <v>396</v>
      </c>
      <c r="B51">
        <v>17473</v>
      </c>
      <c r="C51" t="s">
        <v>729</v>
      </c>
      <c r="D51" s="185">
        <v>46076</v>
      </c>
      <c r="E51" t="s">
        <v>664</v>
      </c>
      <c r="F51" t="s">
        <v>386</v>
      </c>
      <c r="G51" s="23">
        <v>300000</v>
      </c>
      <c r="H51" s="23">
        <v>300000</v>
      </c>
      <c r="J51" s="185">
        <v>46441</v>
      </c>
      <c r="L51" t="s">
        <v>391</v>
      </c>
      <c r="M51" s="23">
        <v>300000</v>
      </c>
      <c r="N51" t="s">
        <v>386</v>
      </c>
      <c r="O51" s="23">
        <v>300000</v>
      </c>
      <c r="Q51" s="185">
        <v>46441</v>
      </c>
    </row>
    <row r="52" spans="1:17" x14ac:dyDescent="0.25">
      <c r="A52">
        <v>562</v>
      </c>
      <c r="B52">
        <v>12596</v>
      </c>
      <c r="C52" t="s">
        <v>234</v>
      </c>
      <c r="D52" s="185">
        <v>45831</v>
      </c>
      <c r="E52" t="s">
        <v>542</v>
      </c>
      <c r="F52" t="s">
        <v>386</v>
      </c>
      <c r="G52" s="23">
        <v>1375000</v>
      </c>
      <c r="H52" s="23">
        <v>1375000</v>
      </c>
      <c r="J52" s="185">
        <v>46561</v>
      </c>
      <c r="L52" t="s">
        <v>391</v>
      </c>
      <c r="M52" s="23"/>
      <c r="N52" t="s">
        <v>386</v>
      </c>
      <c r="O52" s="23">
        <v>1375000</v>
      </c>
      <c r="Q52" s="185">
        <v>46561</v>
      </c>
    </row>
    <row r="53" spans="1:17" x14ac:dyDescent="0.25">
      <c r="A53">
        <v>389</v>
      </c>
      <c r="B53">
        <v>14766</v>
      </c>
      <c r="C53" t="s">
        <v>693</v>
      </c>
      <c r="D53" s="185">
        <v>46035</v>
      </c>
      <c r="E53" t="s">
        <v>584</v>
      </c>
      <c r="F53" t="s">
        <v>386</v>
      </c>
      <c r="G53" s="23">
        <v>200000</v>
      </c>
      <c r="H53" s="23">
        <v>200000</v>
      </c>
      <c r="J53" s="185">
        <v>46400</v>
      </c>
      <c r="K53">
        <v>30</v>
      </c>
      <c r="L53" t="s">
        <v>391</v>
      </c>
      <c r="M53" s="23"/>
      <c r="N53" t="s">
        <v>386</v>
      </c>
      <c r="O53" s="23">
        <v>200000</v>
      </c>
      <c r="Q53" s="185">
        <v>46400</v>
      </c>
    </row>
    <row r="54" spans="1:17" x14ac:dyDescent="0.25">
      <c r="A54">
        <v>563</v>
      </c>
      <c r="B54">
        <v>2655</v>
      </c>
      <c r="C54" t="s">
        <v>318</v>
      </c>
      <c r="D54" s="185">
        <v>45831</v>
      </c>
      <c r="E54" t="s">
        <v>544</v>
      </c>
      <c r="F54" t="s">
        <v>386</v>
      </c>
      <c r="G54" s="23">
        <v>1100000</v>
      </c>
      <c r="H54" s="23">
        <v>1100000</v>
      </c>
      <c r="J54" s="185">
        <v>46561</v>
      </c>
      <c r="L54" t="s">
        <v>391</v>
      </c>
      <c r="M54" s="23"/>
      <c r="N54" t="s">
        <v>386</v>
      </c>
      <c r="O54" s="23">
        <v>1100000</v>
      </c>
      <c r="Q54" s="185">
        <v>46561</v>
      </c>
    </row>
    <row r="55" spans="1:17" x14ac:dyDescent="0.25">
      <c r="A55">
        <v>564</v>
      </c>
      <c r="B55">
        <v>668</v>
      </c>
      <c r="C55" t="s">
        <v>339</v>
      </c>
      <c r="D55" s="185">
        <v>45804</v>
      </c>
      <c r="E55" t="s">
        <v>512</v>
      </c>
      <c r="F55" t="s">
        <v>386</v>
      </c>
      <c r="G55" s="23">
        <v>2800000</v>
      </c>
      <c r="H55" s="23">
        <v>500000</v>
      </c>
      <c r="J55" s="185">
        <v>46533</v>
      </c>
      <c r="L55" t="s">
        <v>391</v>
      </c>
      <c r="M55" s="23"/>
      <c r="N55" t="s">
        <v>386</v>
      </c>
      <c r="O55" s="23">
        <v>2800000</v>
      </c>
      <c r="Q55" s="185">
        <v>46533</v>
      </c>
    </row>
    <row r="56" spans="1:17" x14ac:dyDescent="0.25">
      <c r="A56">
        <v>565</v>
      </c>
      <c r="B56">
        <v>7167</v>
      </c>
      <c r="C56" t="s">
        <v>137</v>
      </c>
      <c r="D56" s="185">
        <v>45966</v>
      </c>
      <c r="E56" t="s">
        <v>512</v>
      </c>
      <c r="F56" t="s">
        <v>386</v>
      </c>
      <c r="G56" s="23">
        <v>1000000</v>
      </c>
      <c r="H56" s="23">
        <v>1000000</v>
      </c>
      <c r="J56" s="185">
        <v>46696</v>
      </c>
      <c r="L56" t="s">
        <v>391</v>
      </c>
      <c r="M56" s="23"/>
      <c r="N56" t="s">
        <v>386</v>
      </c>
      <c r="O56" s="23">
        <v>1000000</v>
      </c>
      <c r="Q56" s="185">
        <v>46696</v>
      </c>
    </row>
    <row r="57" spans="1:17" x14ac:dyDescent="0.25">
      <c r="A57">
        <v>681</v>
      </c>
      <c r="B57">
        <v>12629</v>
      </c>
      <c r="C57" t="s">
        <v>109</v>
      </c>
      <c r="D57" s="185">
        <v>46190</v>
      </c>
      <c r="E57" t="s">
        <v>15412</v>
      </c>
      <c r="F57" t="s">
        <v>386</v>
      </c>
      <c r="G57" s="23">
        <v>1500000</v>
      </c>
      <c r="H57" s="23">
        <v>1500000</v>
      </c>
      <c r="J57" s="185">
        <v>46525</v>
      </c>
      <c r="M57" s="23"/>
      <c r="N57" t="s">
        <v>386</v>
      </c>
      <c r="O57" s="23"/>
      <c r="Q57" s="185">
        <v>46525</v>
      </c>
    </row>
    <row r="58" spans="1:17" x14ac:dyDescent="0.25">
      <c r="A58">
        <v>644</v>
      </c>
      <c r="B58">
        <v>12031</v>
      </c>
      <c r="C58" t="s">
        <v>296</v>
      </c>
      <c r="D58" s="185">
        <v>46160</v>
      </c>
      <c r="E58" t="s">
        <v>15415</v>
      </c>
      <c r="F58" t="s">
        <v>386</v>
      </c>
      <c r="G58" s="23">
        <v>200000</v>
      </c>
      <c r="H58" s="23">
        <v>200000</v>
      </c>
      <c r="J58" s="185">
        <v>46525</v>
      </c>
      <c r="K58">
        <v>45</v>
      </c>
      <c r="M58" s="23"/>
      <c r="N58" t="s">
        <v>386</v>
      </c>
      <c r="O58" s="23"/>
      <c r="Q58" s="185">
        <v>46525</v>
      </c>
    </row>
    <row r="59" spans="1:17" x14ac:dyDescent="0.25">
      <c r="A59">
        <v>328</v>
      </c>
      <c r="B59">
        <v>14561</v>
      </c>
      <c r="C59" t="s">
        <v>293</v>
      </c>
      <c r="D59" s="185">
        <v>45980</v>
      </c>
      <c r="E59" t="s">
        <v>658</v>
      </c>
      <c r="F59" t="s">
        <v>386</v>
      </c>
      <c r="G59" s="23">
        <v>100000</v>
      </c>
      <c r="H59" s="23">
        <v>100000</v>
      </c>
      <c r="J59" s="185">
        <v>46345</v>
      </c>
      <c r="L59" t="s">
        <v>391</v>
      </c>
      <c r="M59" s="23"/>
      <c r="N59" t="s">
        <v>386</v>
      </c>
      <c r="O59" s="23">
        <v>100000</v>
      </c>
      <c r="Q59" s="185">
        <v>46345</v>
      </c>
    </row>
    <row r="60" spans="1:17" x14ac:dyDescent="0.25">
      <c r="A60">
        <v>542</v>
      </c>
      <c r="B60">
        <v>15749</v>
      </c>
      <c r="C60" t="s">
        <v>468</v>
      </c>
      <c r="D60" s="185">
        <v>45772</v>
      </c>
      <c r="E60" t="s">
        <v>509</v>
      </c>
      <c r="F60" t="s">
        <v>386</v>
      </c>
      <c r="G60" s="23">
        <v>1000000</v>
      </c>
      <c r="H60" s="23">
        <v>100000</v>
      </c>
      <c r="J60" s="185">
        <v>46502</v>
      </c>
      <c r="M60" s="23"/>
      <c r="N60" t="s">
        <v>386</v>
      </c>
      <c r="O60" s="23">
        <v>1000000</v>
      </c>
      <c r="Q60" s="185">
        <v>46502</v>
      </c>
    </row>
    <row r="61" spans="1:17" x14ac:dyDescent="0.25">
      <c r="A61">
        <v>566</v>
      </c>
      <c r="B61">
        <v>16141</v>
      </c>
      <c r="C61" t="s">
        <v>490</v>
      </c>
      <c r="D61" s="185">
        <v>45867</v>
      </c>
      <c r="E61" t="s">
        <v>512</v>
      </c>
      <c r="F61" t="s">
        <v>386</v>
      </c>
      <c r="G61" s="23">
        <v>3000000</v>
      </c>
      <c r="H61" s="23">
        <v>3000000</v>
      </c>
      <c r="J61" s="185">
        <v>46597</v>
      </c>
      <c r="L61" t="s">
        <v>391</v>
      </c>
      <c r="M61" s="23"/>
      <c r="N61" t="s">
        <v>386</v>
      </c>
      <c r="O61" s="23">
        <v>3000000</v>
      </c>
      <c r="Q61" s="185">
        <v>46597</v>
      </c>
    </row>
    <row r="62" spans="1:17" x14ac:dyDescent="0.25">
      <c r="A62">
        <v>567</v>
      </c>
      <c r="B62">
        <v>2680</v>
      </c>
      <c r="C62" t="s">
        <v>313</v>
      </c>
      <c r="D62" s="185">
        <v>45831</v>
      </c>
      <c r="E62" t="s">
        <v>539</v>
      </c>
      <c r="F62" t="s">
        <v>386</v>
      </c>
      <c r="G62" s="23">
        <v>770000</v>
      </c>
      <c r="H62" s="23">
        <v>770000</v>
      </c>
      <c r="J62" s="185">
        <v>46561</v>
      </c>
      <c r="L62" t="s">
        <v>403</v>
      </c>
      <c r="M62" s="23"/>
      <c r="N62" t="s">
        <v>386</v>
      </c>
      <c r="O62" s="23">
        <v>770000</v>
      </c>
      <c r="Q62" s="185">
        <v>46561</v>
      </c>
    </row>
    <row r="63" spans="1:17" x14ac:dyDescent="0.25">
      <c r="A63">
        <v>445</v>
      </c>
      <c r="B63">
        <v>17645</v>
      </c>
      <c r="C63" t="s">
        <v>789</v>
      </c>
      <c r="D63" s="185">
        <v>46099</v>
      </c>
      <c r="E63" t="s">
        <v>787</v>
      </c>
      <c r="F63" t="s">
        <v>386</v>
      </c>
      <c r="G63" s="23">
        <v>650000</v>
      </c>
      <c r="H63" s="23">
        <v>650000</v>
      </c>
      <c r="J63" s="185"/>
      <c r="L63" t="s">
        <v>391</v>
      </c>
      <c r="M63" s="23"/>
      <c r="N63" t="s">
        <v>386</v>
      </c>
      <c r="O63" s="23">
        <v>650000</v>
      </c>
      <c r="Q63" s="185">
        <v>46464</v>
      </c>
    </row>
    <row r="64" spans="1:17" x14ac:dyDescent="0.25">
      <c r="A64">
        <v>568</v>
      </c>
      <c r="B64">
        <v>13836</v>
      </c>
      <c r="C64" t="s">
        <v>349</v>
      </c>
      <c r="D64" s="185">
        <v>46147</v>
      </c>
      <c r="E64" t="s">
        <v>517</v>
      </c>
      <c r="F64" t="s">
        <v>386</v>
      </c>
      <c r="G64" s="23">
        <v>120000</v>
      </c>
      <c r="H64" s="23">
        <v>120000</v>
      </c>
      <c r="J64" s="185">
        <v>46512</v>
      </c>
      <c r="K64">
        <v>28</v>
      </c>
      <c r="L64" t="s">
        <v>391</v>
      </c>
      <c r="M64" s="23"/>
      <c r="N64" t="s">
        <v>386</v>
      </c>
      <c r="O64" s="23">
        <v>120000</v>
      </c>
      <c r="Q64" s="185">
        <v>46512</v>
      </c>
    </row>
    <row r="65" spans="1:17" x14ac:dyDescent="0.25">
      <c r="A65">
        <v>569</v>
      </c>
      <c r="B65">
        <v>2011</v>
      </c>
      <c r="C65" t="s">
        <v>616</v>
      </c>
      <c r="D65" s="185">
        <v>45994</v>
      </c>
      <c r="E65" t="s">
        <v>661</v>
      </c>
      <c r="F65" t="s">
        <v>386</v>
      </c>
      <c r="G65" s="23">
        <v>3500000</v>
      </c>
      <c r="H65" s="23">
        <v>3500000</v>
      </c>
      <c r="J65" s="185">
        <v>46724</v>
      </c>
      <c r="L65" t="s">
        <v>391</v>
      </c>
      <c r="M65" s="23"/>
      <c r="N65" t="s">
        <v>386</v>
      </c>
      <c r="O65" s="23">
        <v>3500000</v>
      </c>
      <c r="Q65" s="185">
        <v>46724</v>
      </c>
    </row>
    <row r="66" spans="1:17" x14ac:dyDescent="0.25">
      <c r="A66">
        <v>368</v>
      </c>
      <c r="B66">
        <v>15435</v>
      </c>
      <c r="C66" t="s">
        <v>666</v>
      </c>
      <c r="D66" s="185">
        <v>46001</v>
      </c>
      <c r="E66" t="s">
        <v>667</v>
      </c>
      <c r="F66" t="s">
        <v>386</v>
      </c>
      <c r="G66" s="23">
        <v>192500</v>
      </c>
      <c r="H66" s="23"/>
      <c r="J66" s="185">
        <v>46366</v>
      </c>
      <c r="L66" t="s">
        <v>391</v>
      </c>
      <c r="M66" s="23"/>
      <c r="N66" t="s">
        <v>386</v>
      </c>
      <c r="O66" s="23">
        <v>192500</v>
      </c>
      <c r="Q66" s="185">
        <v>46366</v>
      </c>
    </row>
    <row r="67" spans="1:17" x14ac:dyDescent="0.25">
      <c r="A67">
        <v>675</v>
      </c>
      <c r="B67">
        <v>507</v>
      </c>
      <c r="C67" t="s">
        <v>42</v>
      </c>
      <c r="D67" s="185">
        <v>46195</v>
      </c>
      <c r="E67" t="s">
        <v>642</v>
      </c>
      <c r="F67" t="s">
        <v>386</v>
      </c>
      <c r="G67" s="23">
        <v>200000</v>
      </c>
      <c r="H67" s="23">
        <v>200000</v>
      </c>
      <c r="J67" s="185">
        <v>46560</v>
      </c>
      <c r="M67" s="23"/>
      <c r="N67" t="s">
        <v>386</v>
      </c>
      <c r="O67" s="23">
        <v>200000</v>
      </c>
      <c r="Q67" s="185">
        <v>46560</v>
      </c>
    </row>
    <row r="68" spans="1:17" x14ac:dyDescent="0.25">
      <c r="A68">
        <v>570</v>
      </c>
      <c r="B68">
        <v>11770</v>
      </c>
      <c r="C68" t="s">
        <v>376</v>
      </c>
      <c r="D68" s="185">
        <v>45831</v>
      </c>
      <c r="E68" t="s">
        <v>546</v>
      </c>
      <c r="F68" t="s">
        <v>386</v>
      </c>
      <c r="G68" s="23">
        <v>275000</v>
      </c>
      <c r="H68" s="23">
        <v>275000</v>
      </c>
      <c r="J68" s="185">
        <v>46561</v>
      </c>
      <c r="L68" t="s">
        <v>391</v>
      </c>
      <c r="M68" s="23"/>
      <c r="N68" t="s">
        <v>386</v>
      </c>
      <c r="O68" s="23">
        <v>275000</v>
      </c>
      <c r="Q68" s="185">
        <v>46561</v>
      </c>
    </row>
    <row r="69" spans="1:17" x14ac:dyDescent="0.25">
      <c r="A69">
        <v>412</v>
      </c>
      <c r="B69">
        <v>16921</v>
      </c>
      <c r="C69" t="s">
        <v>742</v>
      </c>
      <c r="D69" s="185">
        <v>46093</v>
      </c>
      <c r="E69" t="s">
        <v>743</v>
      </c>
      <c r="F69" t="s">
        <v>386</v>
      </c>
      <c r="G69" s="23">
        <v>250000</v>
      </c>
      <c r="H69" s="23">
        <v>250000</v>
      </c>
      <c r="J69" s="185">
        <v>46458</v>
      </c>
      <c r="L69" t="s">
        <v>391</v>
      </c>
      <c r="M69" s="23"/>
      <c r="N69" t="s">
        <v>386</v>
      </c>
      <c r="O69" s="23">
        <v>250000</v>
      </c>
      <c r="Q69" s="185">
        <v>46458</v>
      </c>
    </row>
    <row r="70" spans="1:17" x14ac:dyDescent="0.25">
      <c r="A70">
        <v>344</v>
      </c>
      <c r="B70">
        <v>1998</v>
      </c>
      <c r="C70" t="s">
        <v>644</v>
      </c>
      <c r="D70" s="185">
        <v>45980</v>
      </c>
      <c r="E70" t="s">
        <v>642</v>
      </c>
      <c r="F70" t="s">
        <v>386</v>
      </c>
      <c r="G70" s="23">
        <v>20000</v>
      </c>
      <c r="H70" s="23">
        <v>20000</v>
      </c>
      <c r="J70" s="185"/>
      <c r="M70" s="23"/>
      <c r="N70" t="s">
        <v>386</v>
      </c>
      <c r="O70" s="23">
        <v>20000</v>
      </c>
      <c r="Q70" s="185"/>
    </row>
    <row r="71" spans="1:17" s="62" customFormat="1" x14ac:dyDescent="0.25">
      <c r="A71">
        <v>571</v>
      </c>
      <c r="B71">
        <v>2652</v>
      </c>
      <c r="C71" t="s">
        <v>117</v>
      </c>
      <c r="D71" s="185">
        <v>45831</v>
      </c>
      <c r="E71" t="s">
        <v>545</v>
      </c>
      <c r="F71" t="s">
        <v>386</v>
      </c>
      <c r="G71" s="23">
        <v>1375000</v>
      </c>
      <c r="H71" s="23">
        <v>1375000</v>
      </c>
      <c r="I71"/>
      <c r="J71" s="185">
        <v>46561</v>
      </c>
      <c r="K71"/>
      <c r="L71" t="s">
        <v>403</v>
      </c>
      <c r="M71" s="23"/>
      <c r="N71" t="s">
        <v>386</v>
      </c>
      <c r="O71" s="23">
        <v>1375000</v>
      </c>
      <c r="P71"/>
      <c r="Q71" s="185">
        <v>46561</v>
      </c>
    </row>
    <row r="72" spans="1:17" x14ac:dyDescent="0.25">
      <c r="A72">
        <v>572</v>
      </c>
      <c r="B72">
        <v>3273</v>
      </c>
      <c r="C72" t="s">
        <v>79</v>
      </c>
      <c r="D72" s="185">
        <v>45804</v>
      </c>
      <c r="E72" t="s">
        <v>512</v>
      </c>
      <c r="F72" t="s">
        <v>386</v>
      </c>
      <c r="G72" s="23">
        <v>1500000</v>
      </c>
      <c r="H72" s="23">
        <v>1500000</v>
      </c>
      <c r="J72" s="185">
        <v>46533</v>
      </c>
      <c r="L72" t="s">
        <v>391</v>
      </c>
      <c r="M72" s="23"/>
      <c r="N72" t="s">
        <v>386</v>
      </c>
      <c r="O72" s="23">
        <v>1500000</v>
      </c>
      <c r="Q72" s="185">
        <v>46533</v>
      </c>
    </row>
    <row r="73" spans="1:17" x14ac:dyDescent="0.25">
      <c r="A73">
        <v>336</v>
      </c>
      <c r="B73">
        <v>505</v>
      </c>
      <c r="C73" t="s">
        <v>41</v>
      </c>
      <c r="D73" s="185">
        <v>45980</v>
      </c>
      <c r="E73" t="s">
        <v>642</v>
      </c>
      <c r="F73" t="s">
        <v>386</v>
      </c>
      <c r="G73" s="23">
        <v>150000</v>
      </c>
      <c r="H73" s="23">
        <v>150000</v>
      </c>
      <c r="J73" s="185"/>
      <c r="L73" t="s">
        <v>391</v>
      </c>
      <c r="M73" s="23"/>
      <c r="N73" t="s">
        <v>386</v>
      </c>
      <c r="O73" s="23">
        <v>150000</v>
      </c>
      <c r="Q73" s="185">
        <v>46345</v>
      </c>
    </row>
    <row r="74" spans="1:17" x14ac:dyDescent="0.25">
      <c r="A74">
        <v>676</v>
      </c>
      <c r="B74">
        <v>5657</v>
      </c>
      <c r="C74" t="s">
        <v>84</v>
      </c>
      <c r="D74" s="185">
        <v>46195</v>
      </c>
      <c r="E74" t="s">
        <v>15626</v>
      </c>
      <c r="F74" t="s">
        <v>386</v>
      </c>
      <c r="G74" s="23">
        <v>75000</v>
      </c>
      <c r="H74" s="23">
        <v>75000</v>
      </c>
      <c r="J74" s="185">
        <v>46560</v>
      </c>
      <c r="K74">
        <v>28</v>
      </c>
      <c r="M74" s="23"/>
      <c r="N74" t="s">
        <v>386</v>
      </c>
      <c r="O74" s="23"/>
      <c r="Q74" s="185">
        <v>46560</v>
      </c>
    </row>
    <row r="75" spans="1:17" x14ac:dyDescent="0.25">
      <c r="A75">
        <v>419</v>
      </c>
      <c r="B75">
        <v>13773</v>
      </c>
      <c r="C75" t="s">
        <v>428</v>
      </c>
      <c r="D75" s="185">
        <v>46094</v>
      </c>
      <c r="E75" t="s">
        <v>661</v>
      </c>
      <c r="F75" t="s">
        <v>386</v>
      </c>
      <c r="G75" s="23">
        <v>200000</v>
      </c>
      <c r="H75" s="23">
        <v>200000</v>
      </c>
      <c r="J75" s="185">
        <v>46459</v>
      </c>
      <c r="L75" t="s">
        <v>391</v>
      </c>
      <c r="M75" s="23"/>
      <c r="N75" t="s">
        <v>386</v>
      </c>
      <c r="O75" s="23">
        <v>200000</v>
      </c>
      <c r="Q75" s="185">
        <v>46459</v>
      </c>
    </row>
    <row r="76" spans="1:17" x14ac:dyDescent="0.25">
      <c r="A76">
        <v>652</v>
      </c>
      <c r="B76">
        <v>6382</v>
      </c>
      <c r="C76" t="s">
        <v>423</v>
      </c>
      <c r="D76" s="185">
        <v>45831</v>
      </c>
      <c r="E76" t="s">
        <v>15601</v>
      </c>
      <c r="F76" t="s">
        <v>386</v>
      </c>
      <c r="G76" s="23">
        <v>550000</v>
      </c>
      <c r="H76" s="23">
        <v>550000</v>
      </c>
      <c r="J76" s="185">
        <v>46561</v>
      </c>
      <c r="L76" t="s">
        <v>391</v>
      </c>
      <c r="M76" s="23"/>
      <c r="N76" t="s">
        <v>386</v>
      </c>
      <c r="O76" s="23">
        <v>550000</v>
      </c>
      <c r="Q76" s="185">
        <v>46561</v>
      </c>
    </row>
    <row r="77" spans="1:17" x14ac:dyDescent="0.25">
      <c r="A77">
        <v>335</v>
      </c>
      <c r="B77">
        <v>16918</v>
      </c>
      <c r="C77" t="s">
        <v>645</v>
      </c>
      <c r="D77" s="185">
        <v>45980</v>
      </c>
      <c r="E77" t="s">
        <v>642</v>
      </c>
      <c r="F77" t="s">
        <v>386</v>
      </c>
      <c r="G77" s="23">
        <v>400000</v>
      </c>
      <c r="H77" s="23">
        <v>400000</v>
      </c>
      <c r="J77" s="185"/>
      <c r="L77" t="s">
        <v>391</v>
      </c>
      <c r="M77" s="23"/>
      <c r="N77" t="s">
        <v>386</v>
      </c>
      <c r="O77" s="23">
        <v>400000</v>
      </c>
      <c r="Q77" s="185">
        <v>46345</v>
      </c>
    </row>
    <row r="78" spans="1:17" x14ac:dyDescent="0.25">
      <c r="A78">
        <v>263</v>
      </c>
      <c r="B78">
        <v>12337</v>
      </c>
      <c r="C78" t="s">
        <v>566</v>
      </c>
      <c r="D78" s="185">
        <v>45870</v>
      </c>
      <c r="E78" t="s">
        <v>567</v>
      </c>
      <c r="F78" t="s">
        <v>386</v>
      </c>
      <c r="G78" s="23">
        <v>275000</v>
      </c>
      <c r="H78" s="23">
        <v>275000</v>
      </c>
      <c r="J78" s="185">
        <v>46253</v>
      </c>
      <c r="L78" t="s">
        <v>391</v>
      </c>
      <c r="M78" s="23"/>
      <c r="N78" t="s">
        <v>386</v>
      </c>
      <c r="O78" s="23">
        <v>275000</v>
      </c>
      <c r="Q78" s="185">
        <v>46253</v>
      </c>
    </row>
    <row r="79" spans="1:17" x14ac:dyDescent="0.25">
      <c r="A79">
        <v>543</v>
      </c>
      <c r="B79">
        <v>943</v>
      </c>
      <c r="C79" t="s">
        <v>152</v>
      </c>
      <c r="D79" s="185">
        <v>45804</v>
      </c>
      <c r="E79" t="s">
        <v>512</v>
      </c>
      <c r="F79" t="s">
        <v>386</v>
      </c>
      <c r="G79" s="23">
        <v>1500000</v>
      </c>
      <c r="H79" s="23">
        <v>1500000</v>
      </c>
      <c r="J79" s="185">
        <v>46533</v>
      </c>
      <c r="L79" t="s">
        <v>391</v>
      </c>
      <c r="M79" s="23"/>
      <c r="N79" t="s">
        <v>386</v>
      </c>
      <c r="O79" s="23">
        <v>1500000</v>
      </c>
      <c r="Q79" s="185">
        <v>46533</v>
      </c>
    </row>
    <row r="80" spans="1:17" x14ac:dyDescent="0.25">
      <c r="A80">
        <v>544</v>
      </c>
      <c r="B80">
        <v>5300</v>
      </c>
      <c r="C80" t="s">
        <v>25</v>
      </c>
      <c r="D80" s="185">
        <v>45995</v>
      </c>
      <c r="E80" t="s">
        <v>661</v>
      </c>
      <c r="F80" t="s">
        <v>386</v>
      </c>
      <c r="G80" s="23">
        <v>2600000</v>
      </c>
      <c r="H80" s="23">
        <v>2600000</v>
      </c>
      <c r="J80" s="185">
        <v>46725</v>
      </c>
      <c r="L80" t="s">
        <v>391</v>
      </c>
      <c r="M80" s="23"/>
      <c r="N80" t="s">
        <v>386</v>
      </c>
      <c r="O80" s="23">
        <v>2600000</v>
      </c>
      <c r="Q80" s="185">
        <v>46725</v>
      </c>
    </row>
    <row r="81" spans="1:17" x14ac:dyDescent="0.25">
      <c r="A81">
        <v>407</v>
      </c>
      <c r="B81">
        <v>2619</v>
      </c>
      <c r="C81" t="s">
        <v>739</v>
      </c>
      <c r="D81" s="185">
        <v>46093</v>
      </c>
      <c r="E81" t="s">
        <v>664</v>
      </c>
      <c r="F81" t="s">
        <v>386</v>
      </c>
      <c r="G81" s="23">
        <v>650000</v>
      </c>
      <c r="H81" s="23">
        <v>650000</v>
      </c>
      <c r="J81" s="185"/>
      <c r="L81" t="s">
        <v>391</v>
      </c>
      <c r="M81" s="23"/>
      <c r="N81" t="s">
        <v>386</v>
      </c>
      <c r="O81" s="23">
        <v>650000</v>
      </c>
      <c r="Q81" s="185">
        <v>46458</v>
      </c>
    </row>
    <row r="82" spans="1:17" x14ac:dyDescent="0.25">
      <c r="A82">
        <v>333</v>
      </c>
      <c r="B82">
        <v>12930</v>
      </c>
      <c r="C82" t="s">
        <v>636</v>
      </c>
      <c r="D82" s="185">
        <v>45989</v>
      </c>
      <c r="E82" t="s">
        <v>649</v>
      </c>
      <c r="F82" t="s">
        <v>386</v>
      </c>
      <c r="G82" s="23">
        <v>650000</v>
      </c>
      <c r="H82" s="23">
        <v>650000</v>
      </c>
      <c r="J82" s="185"/>
      <c r="M82" s="23"/>
      <c r="N82" t="s">
        <v>386</v>
      </c>
      <c r="O82" s="23">
        <v>650000</v>
      </c>
      <c r="Q82" s="185">
        <v>46354</v>
      </c>
    </row>
    <row r="83" spans="1:17" x14ac:dyDescent="0.25">
      <c r="A83">
        <v>444</v>
      </c>
      <c r="B83">
        <v>17648</v>
      </c>
      <c r="C83" t="s">
        <v>790</v>
      </c>
      <c r="D83" s="185">
        <v>46099</v>
      </c>
      <c r="E83" t="s">
        <v>787</v>
      </c>
      <c r="F83" t="s">
        <v>386</v>
      </c>
      <c r="G83" s="23">
        <v>600000</v>
      </c>
      <c r="H83" s="23">
        <v>600000</v>
      </c>
      <c r="J83" s="185"/>
      <c r="L83" t="s">
        <v>391</v>
      </c>
      <c r="M83" s="23"/>
      <c r="N83" t="s">
        <v>386</v>
      </c>
      <c r="O83" s="23">
        <v>600000</v>
      </c>
      <c r="Q83" s="185">
        <v>46464</v>
      </c>
    </row>
    <row r="84" spans="1:17" x14ac:dyDescent="0.25">
      <c r="A84">
        <v>574</v>
      </c>
      <c r="B84">
        <v>14552</v>
      </c>
      <c r="C84" t="s">
        <v>301</v>
      </c>
      <c r="D84" s="185">
        <v>45999</v>
      </c>
      <c r="E84" t="s">
        <v>670</v>
      </c>
      <c r="F84" t="s">
        <v>386</v>
      </c>
      <c r="G84" s="23">
        <v>500000</v>
      </c>
      <c r="H84" s="23">
        <v>500000</v>
      </c>
      <c r="J84" s="185">
        <v>46729</v>
      </c>
      <c r="K84">
        <v>360</v>
      </c>
      <c r="L84" t="s">
        <v>398</v>
      </c>
      <c r="M84" s="23"/>
      <c r="N84" t="s">
        <v>386</v>
      </c>
      <c r="O84" s="23">
        <v>500000</v>
      </c>
      <c r="Q84" s="185">
        <v>46729</v>
      </c>
    </row>
    <row r="85" spans="1:17" x14ac:dyDescent="0.25">
      <c r="A85">
        <v>545</v>
      </c>
      <c r="B85">
        <v>14382</v>
      </c>
      <c r="C85" t="s">
        <v>244</v>
      </c>
      <c r="D85" s="185">
        <v>45799</v>
      </c>
      <c r="E85" t="s">
        <v>517</v>
      </c>
      <c r="F85" t="s">
        <v>386</v>
      </c>
      <c r="G85" s="23">
        <v>300000</v>
      </c>
      <c r="H85" s="23">
        <v>300000</v>
      </c>
      <c r="J85" s="185">
        <v>46529</v>
      </c>
      <c r="M85" s="23"/>
      <c r="N85" t="s">
        <v>386</v>
      </c>
      <c r="O85" s="23">
        <v>300000</v>
      </c>
      <c r="Q85" s="185">
        <v>46529</v>
      </c>
    </row>
    <row r="86" spans="1:17" x14ac:dyDescent="0.25">
      <c r="A86">
        <v>339</v>
      </c>
      <c r="B86">
        <v>2607</v>
      </c>
      <c r="C86" t="s">
        <v>641</v>
      </c>
      <c r="D86" s="185">
        <v>45980</v>
      </c>
      <c r="E86" t="s">
        <v>642</v>
      </c>
      <c r="F86" t="s">
        <v>386</v>
      </c>
      <c r="G86" s="23">
        <v>300000</v>
      </c>
      <c r="H86" s="23">
        <v>300000</v>
      </c>
      <c r="J86" s="185"/>
      <c r="L86" t="s">
        <v>391</v>
      </c>
      <c r="M86" s="23"/>
      <c r="N86" t="s">
        <v>386</v>
      </c>
      <c r="O86" s="23">
        <v>300000</v>
      </c>
      <c r="Q86" s="185"/>
    </row>
    <row r="87" spans="1:17" x14ac:dyDescent="0.25">
      <c r="A87">
        <v>422</v>
      </c>
      <c r="B87">
        <v>17449</v>
      </c>
      <c r="C87" t="s">
        <v>761</v>
      </c>
      <c r="D87" s="185">
        <v>46114</v>
      </c>
      <c r="E87" t="s">
        <v>762</v>
      </c>
      <c r="F87" t="s">
        <v>386</v>
      </c>
      <c r="G87" s="23">
        <v>500000</v>
      </c>
      <c r="H87" s="23">
        <v>500000</v>
      </c>
      <c r="J87" s="185">
        <v>46479</v>
      </c>
      <c r="L87" t="s">
        <v>391</v>
      </c>
      <c r="M87" s="23"/>
      <c r="N87" t="s">
        <v>386</v>
      </c>
      <c r="O87" s="23">
        <v>500000</v>
      </c>
      <c r="Q87" s="185">
        <v>46479</v>
      </c>
    </row>
    <row r="88" spans="1:17" x14ac:dyDescent="0.25">
      <c r="A88">
        <v>653</v>
      </c>
      <c r="B88">
        <v>15543</v>
      </c>
      <c r="C88" t="s">
        <v>716</v>
      </c>
      <c r="D88" s="185">
        <v>46169</v>
      </c>
      <c r="E88" t="s">
        <v>15604</v>
      </c>
      <c r="F88" t="s">
        <v>386</v>
      </c>
      <c r="G88" s="23">
        <v>200000</v>
      </c>
      <c r="H88" s="23">
        <v>200000</v>
      </c>
      <c r="J88" s="185">
        <v>46534</v>
      </c>
      <c r="K88">
        <v>90</v>
      </c>
      <c r="M88" s="23"/>
      <c r="N88" t="s">
        <v>386</v>
      </c>
      <c r="O88" s="23"/>
      <c r="Q88" s="185">
        <v>46534</v>
      </c>
    </row>
    <row r="89" spans="1:17" x14ac:dyDescent="0.25">
      <c r="A89">
        <v>323</v>
      </c>
      <c r="B89">
        <v>2601</v>
      </c>
      <c r="C89" t="s">
        <v>655</v>
      </c>
      <c r="D89" s="185">
        <v>45976</v>
      </c>
      <c r="E89" t="s">
        <v>656</v>
      </c>
      <c r="F89" t="s">
        <v>386</v>
      </c>
      <c r="G89" s="23">
        <v>500000</v>
      </c>
      <c r="H89" s="23">
        <v>500000</v>
      </c>
      <c r="J89" s="185">
        <v>46341</v>
      </c>
      <c r="L89" t="s">
        <v>391</v>
      </c>
      <c r="M89" s="23">
        <v>500000</v>
      </c>
      <c r="N89" t="s">
        <v>386</v>
      </c>
      <c r="O89" s="23">
        <v>500000</v>
      </c>
      <c r="Q89" s="185">
        <v>46341</v>
      </c>
    </row>
    <row r="90" spans="1:17" x14ac:dyDescent="0.25">
      <c r="A90">
        <v>530</v>
      </c>
      <c r="B90">
        <v>5519</v>
      </c>
      <c r="C90" t="s">
        <v>272</v>
      </c>
      <c r="D90" s="185">
        <v>46154</v>
      </c>
      <c r="E90" t="s">
        <v>531</v>
      </c>
      <c r="F90" t="s">
        <v>386</v>
      </c>
      <c r="G90" s="23">
        <v>300000</v>
      </c>
      <c r="H90" s="23">
        <v>300000</v>
      </c>
      <c r="J90" s="185">
        <v>46520</v>
      </c>
      <c r="L90" t="s">
        <v>391</v>
      </c>
      <c r="M90" s="23"/>
      <c r="N90" t="s">
        <v>386</v>
      </c>
      <c r="O90" s="23">
        <v>300000</v>
      </c>
      <c r="Q90" s="185">
        <v>46520</v>
      </c>
    </row>
    <row r="91" spans="1:17" x14ac:dyDescent="0.25">
      <c r="A91">
        <v>575</v>
      </c>
      <c r="B91">
        <v>15319</v>
      </c>
      <c r="C91" t="s">
        <v>358</v>
      </c>
      <c r="D91" s="185">
        <v>46000</v>
      </c>
      <c r="E91" t="s">
        <v>672</v>
      </c>
      <c r="F91" t="s">
        <v>386</v>
      </c>
      <c r="G91" s="23">
        <v>500000</v>
      </c>
      <c r="H91" s="23">
        <v>500000</v>
      </c>
      <c r="J91" s="185">
        <v>46730</v>
      </c>
      <c r="L91" t="s">
        <v>391</v>
      </c>
      <c r="M91" s="23"/>
      <c r="N91" t="s">
        <v>386</v>
      </c>
      <c r="O91" s="23">
        <v>500000</v>
      </c>
      <c r="Q91" s="185">
        <v>46730</v>
      </c>
    </row>
    <row r="92" spans="1:17" x14ac:dyDescent="0.25">
      <c r="A92">
        <v>659</v>
      </c>
      <c r="B92">
        <v>17798</v>
      </c>
      <c r="C92" t="s">
        <v>15465</v>
      </c>
      <c r="D92" s="185">
        <v>46153</v>
      </c>
      <c r="E92" t="s">
        <v>404</v>
      </c>
      <c r="F92" t="s">
        <v>386</v>
      </c>
      <c r="G92" s="23">
        <v>700000</v>
      </c>
      <c r="H92" s="23">
        <v>700000</v>
      </c>
      <c r="J92" s="185">
        <v>46518</v>
      </c>
      <c r="K92">
        <v>30</v>
      </c>
      <c r="M92" s="23"/>
      <c r="N92" t="s">
        <v>386</v>
      </c>
      <c r="O92" s="23"/>
      <c r="Q92" s="185">
        <v>46518</v>
      </c>
    </row>
    <row r="93" spans="1:17" x14ac:dyDescent="0.25">
      <c r="A93">
        <v>576</v>
      </c>
      <c r="B93">
        <v>15320</v>
      </c>
      <c r="C93" t="s">
        <v>353</v>
      </c>
      <c r="D93" s="185">
        <v>45803</v>
      </c>
      <c r="E93" t="s">
        <v>512</v>
      </c>
      <c r="F93" t="s">
        <v>386</v>
      </c>
      <c r="G93" s="23">
        <v>4000000</v>
      </c>
      <c r="H93" s="23">
        <v>4000000</v>
      </c>
      <c r="J93" s="185">
        <v>46533</v>
      </c>
      <c r="L93" t="s">
        <v>391</v>
      </c>
      <c r="M93" s="23"/>
      <c r="N93" t="s">
        <v>386</v>
      </c>
      <c r="O93" s="23">
        <v>4000000</v>
      </c>
      <c r="Q93" s="185">
        <v>46533</v>
      </c>
    </row>
    <row r="94" spans="1:17" x14ac:dyDescent="0.25">
      <c r="A94">
        <v>577</v>
      </c>
      <c r="B94">
        <v>15355</v>
      </c>
      <c r="C94" t="s">
        <v>372</v>
      </c>
      <c r="D94" s="185">
        <v>45869</v>
      </c>
      <c r="E94" t="s">
        <v>568</v>
      </c>
      <c r="F94" t="s">
        <v>386</v>
      </c>
      <c r="G94" s="23">
        <v>1000000</v>
      </c>
      <c r="H94" s="23">
        <v>4200000</v>
      </c>
      <c r="J94" s="185">
        <v>46599</v>
      </c>
      <c r="K94">
        <v>270</v>
      </c>
      <c r="M94" s="23">
        <v>4200000</v>
      </c>
      <c r="N94" t="s">
        <v>386</v>
      </c>
      <c r="O94" s="23">
        <v>1000000</v>
      </c>
      <c r="P94" t="s">
        <v>208</v>
      </c>
      <c r="Q94" s="185">
        <v>46599</v>
      </c>
    </row>
    <row r="95" spans="1:17" x14ac:dyDescent="0.25">
      <c r="A95">
        <v>578</v>
      </c>
      <c r="B95">
        <v>15914</v>
      </c>
      <c r="C95" t="s">
        <v>15413</v>
      </c>
      <c r="D95" s="185">
        <v>45749</v>
      </c>
      <c r="E95" t="s">
        <v>15414</v>
      </c>
      <c r="F95" t="s">
        <v>386</v>
      </c>
      <c r="G95" s="23">
        <v>20000000</v>
      </c>
      <c r="H95" s="23">
        <v>20000000</v>
      </c>
      <c r="J95" s="185">
        <v>46479</v>
      </c>
      <c r="M95" s="23"/>
      <c r="N95" t="s">
        <v>386</v>
      </c>
      <c r="O95" s="23"/>
      <c r="Q95" s="185">
        <v>46479</v>
      </c>
    </row>
    <row r="96" spans="1:17" x14ac:dyDescent="0.25">
      <c r="A96">
        <v>274</v>
      </c>
      <c r="B96">
        <v>15323</v>
      </c>
      <c r="C96" t="s">
        <v>592</v>
      </c>
      <c r="D96" s="185">
        <v>45904</v>
      </c>
      <c r="E96" t="s">
        <v>517</v>
      </c>
      <c r="F96" t="s">
        <v>386</v>
      </c>
      <c r="G96" s="23">
        <v>1000000</v>
      </c>
      <c r="H96" s="23">
        <v>1000000</v>
      </c>
      <c r="J96" s="185">
        <v>46269</v>
      </c>
      <c r="L96" t="s">
        <v>391</v>
      </c>
      <c r="M96" s="23"/>
      <c r="N96" t="s">
        <v>386</v>
      </c>
      <c r="O96" s="23">
        <v>1000000</v>
      </c>
      <c r="Q96" s="185">
        <v>46269</v>
      </c>
    </row>
    <row r="97" spans="1:17" x14ac:dyDescent="0.25">
      <c r="A97">
        <v>579</v>
      </c>
      <c r="B97">
        <v>15324</v>
      </c>
      <c r="C97" t="s">
        <v>357</v>
      </c>
      <c r="D97" s="185">
        <v>45803</v>
      </c>
      <c r="E97" t="s">
        <v>512</v>
      </c>
      <c r="F97" t="s">
        <v>386</v>
      </c>
      <c r="G97" s="23">
        <v>2000000</v>
      </c>
      <c r="H97" s="23">
        <v>2000000</v>
      </c>
      <c r="J97" s="185">
        <v>46533</v>
      </c>
      <c r="L97" t="s">
        <v>391</v>
      </c>
      <c r="M97" s="23"/>
      <c r="N97" t="s">
        <v>386</v>
      </c>
      <c r="O97" s="23">
        <v>2000000</v>
      </c>
      <c r="Q97" s="185">
        <v>46533</v>
      </c>
    </row>
    <row r="98" spans="1:17" x14ac:dyDescent="0.25">
      <c r="A98">
        <v>658</v>
      </c>
      <c r="B98">
        <v>15325</v>
      </c>
      <c r="C98" t="s">
        <v>355</v>
      </c>
      <c r="D98" s="185">
        <v>46153</v>
      </c>
      <c r="E98" t="s">
        <v>404</v>
      </c>
      <c r="F98" t="s">
        <v>386</v>
      </c>
      <c r="G98" s="23">
        <v>1158000</v>
      </c>
      <c r="H98" s="23">
        <v>1158000</v>
      </c>
      <c r="J98" s="185">
        <v>46518</v>
      </c>
      <c r="L98" t="s">
        <v>391</v>
      </c>
      <c r="M98" s="23"/>
      <c r="N98" t="s">
        <v>386</v>
      </c>
      <c r="O98" s="23">
        <v>1158000</v>
      </c>
      <c r="Q98" s="185">
        <v>46518</v>
      </c>
    </row>
    <row r="99" spans="1:17" x14ac:dyDescent="0.25">
      <c r="A99">
        <v>677</v>
      </c>
      <c r="B99">
        <v>15720</v>
      </c>
      <c r="C99" t="s">
        <v>450</v>
      </c>
      <c r="D99" s="185">
        <v>46160</v>
      </c>
      <c r="E99" t="s">
        <v>15412</v>
      </c>
      <c r="F99" t="s">
        <v>386</v>
      </c>
      <c r="G99" s="23">
        <v>1500000</v>
      </c>
      <c r="H99" s="23">
        <v>1500000</v>
      </c>
      <c r="J99" s="185">
        <v>46525</v>
      </c>
      <c r="M99" s="23"/>
      <c r="N99" t="s">
        <v>386</v>
      </c>
      <c r="O99" s="23"/>
      <c r="Q99" s="185">
        <v>46525</v>
      </c>
    </row>
    <row r="100" spans="1:17" x14ac:dyDescent="0.25">
      <c r="A100">
        <v>582</v>
      </c>
      <c r="B100">
        <v>16145</v>
      </c>
      <c r="C100" t="s">
        <v>513</v>
      </c>
      <c r="D100" s="185">
        <v>45804</v>
      </c>
      <c r="E100" t="s">
        <v>512</v>
      </c>
      <c r="F100" t="s">
        <v>386</v>
      </c>
      <c r="G100" s="23">
        <v>250000</v>
      </c>
      <c r="H100" s="23">
        <v>250000</v>
      </c>
      <c r="J100" s="185">
        <v>46533</v>
      </c>
      <c r="L100" t="s">
        <v>391</v>
      </c>
      <c r="M100" s="23"/>
      <c r="N100" t="s">
        <v>386</v>
      </c>
      <c r="O100" s="23">
        <v>250000</v>
      </c>
      <c r="Q100" s="185">
        <v>46533</v>
      </c>
    </row>
    <row r="101" spans="1:17" x14ac:dyDescent="0.25">
      <c r="A101">
        <v>678</v>
      </c>
      <c r="B101">
        <v>15330</v>
      </c>
      <c r="C101" t="s">
        <v>360</v>
      </c>
      <c r="D101" s="185">
        <v>45804</v>
      </c>
      <c r="E101" t="s">
        <v>512</v>
      </c>
      <c r="F101" t="s">
        <v>386</v>
      </c>
      <c r="G101" s="23">
        <v>750000</v>
      </c>
      <c r="H101" s="23">
        <v>750000</v>
      </c>
      <c r="J101" s="185">
        <v>46533</v>
      </c>
      <c r="L101" t="s">
        <v>391</v>
      </c>
      <c r="M101" s="23"/>
      <c r="N101" t="s">
        <v>386</v>
      </c>
      <c r="O101" s="23">
        <v>750000</v>
      </c>
      <c r="Q101" s="185">
        <v>46533</v>
      </c>
    </row>
    <row r="102" spans="1:17" x14ac:dyDescent="0.25">
      <c r="A102">
        <v>329</v>
      </c>
      <c r="B102">
        <v>15331</v>
      </c>
      <c r="C102" t="s">
        <v>657</v>
      </c>
      <c r="D102" s="185">
        <v>45980</v>
      </c>
      <c r="E102" t="s">
        <v>642</v>
      </c>
      <c r="F102" t="s">
        <v>386</v>
      </c>
      <c r="G102" s="23">
        <v>50000</v>
      </c>
      <c r="H102" s="23">
        <v>50000</v>
      </c>
      <c r="J102" s="185"/>
      <c r="L102" t="s">
        <v>391</v>
      </c>
      <c r="M102" s="23"/>
      <c r="N102" t="s">
        <v>386</v>
      </c>
      <c r="O102" s="23">
        <v>50000</v>
      </c>
      <c r="Q102" s="185">
        <v>46345</v>
      </c>
    </row>
    <row r="103" spans="1:17" x14ac:dyDescent="0.25">
      <c r="A103">
        <v>584</v>
      </c>
      <c r="B103">
        <v>15945</v>
      </c>
      <c r="C103" t="s">
        <v>508</v>
      </c>
      <c r="D103" s="185">
        <v>45804</v>
      </c>
      <c r="E103" t="s">
        <v>512</v>
      </c>
      <c r="F103" t="s">
        <v>386</v>
      </c>
      <c r="G103" s="23">
        <v>1300000</v>
      </c>
      <c r="H103" s="23">
        <v>1300000</v>
      </c>
      <c r="J103" s="185">
        <v>46533</v>
      </c>
      <c r="L103" t="s">
        <v>391</v>
      </c>
      <c r="M103" s="23"/>
      <c r="N103" t="s">
        <v>386</v>
      </c>
      <c r="O103" s="23">
        <v>1300000</v>
      </c>
      <c r="Q103" s="185">
        <v>46533</v>
      </c>
    </row>
    <row r="104" spans="1:17" x14ac:dyDescent="0.25">
      <c r="A104">
        <v>629</v>
      </c>
      <c r="B104">
        <v>16146</v>
      </c>
      <c r="C104" t="s">
        <v>560</v>
      </c>
      <c r="D104" s="185">
        <v>45869</v>
      </c>
      <c r="E104" t="s">
        <v>512</v>
      </c>
      <c r="F104" t="s">
        <v>386</v>
      </c>
      <c r="G104" s="23">
        <v>1500000</v>
      </c>
      <c r="H104" s="23">
        <v>1500000</v>
      </c>
      <c r="J104" s="185">
        <v>46599</v>
      </c>
      <c r="L104" t="s">
        <v>391</v>
      </c>
      <c r="M104" s="23"/>
      <c r="N104" t="s">
        <v>386</v>
      </c>
      <c r="O104" s="23">
        <v>1500000</v>
      </c>
      <c r="Q104" s="185">
        <v>46599</v>
      </c>
    </row>
    <row r="105" spans="1:17" x14ac:dyDescent="0.25">
      <c r="A105">
        <v>586</v>
      </c>
      <c r="B105">
        <v>16144</v>
      </c>
      <c r="C105" t="s">
        <v>491</v>
      </c>
      <c r="D105" s="185">
        <v>45831</v>
      </c>
      <c r="E105" t="s">
        <v>512</v>
      </c>
      <c r="F105" t="s">
        <v>386</v>
      </c>
      <c r="G105" s="23">
        <v>1472000</v>
      </c>
      <c r="H105" s="23">
        <v>1472000</v>
      </c>
      <c r="J105" s="185">
        <v>46561</v>
      </c>
      <c r="L105" t="s">
        <v>391</v>
      </c>
      <c r="M105" s="23"/>
      <c r="N105" t="s">
        <v>386</v>
      </c>
      <c r="O105" s="23">
        <v>1472000</v>
      </c>
      <c r="Q105" s="185">
        <v>46561</v>
      </c>
    </row>
    <row r="106" spans="1:17" x14ac:dyDescent="0.25">
      <c r="A106">
        <v>587</v>
      </c>
      <c r="B106">
        <v>15332</v>
      </c>
      <c r="C106" t="s">
        <v>489</v>
      </c>
      <c r="D106" s="185">
        <v>46154</v>
      </c>
      <c r="E106" t="s">
        <v>512</v>
      </c>
      <c r="F106" t="s">
        <v>386</v>
      </c>
      <c r="G106" s="23">
        <v>1500000</v>
      </c>
      <c r="H106" s="23">
        <v>1500000</v>
      </c>
      <c r="J106" s="185">
        <v>46519</v>
      </c>
      <c r="L106" t="s">
        <v>391</v>
      </c>
      <c r="M106" s="23"/>
      <c r="N106" t="s">
        <v>386</v>
      </c>
      <c r="O106" s="23">
        <v>1500000</v>
      </c>
      <c r="Q106" s="185">
        <v>46519</v>
      </c>
    </row>
    <row r="107" spans="1:17" x14ac:dyDescent="0.25">
      <c r="A107">
        <v>588</v>
      </c>
      <c r="B107">
        <v>16143</v>
      </c>
      <c r="C107" t="s">
        <v>514</v>
      </c>
      <c r="D107" s="185">
        <v>45804</v>
      </c>
      <c r="E107" t="s">
        <v>512</v>
      </c>
      <c r="F107" t="s">
        <v>386</v>
      </c>
      <c r="G107" s="23">
        <v>1500000</v>
      </c>
      <c r="H107" s="23">
        <v>1500000</v>
      </c>
      <c r="J107" s="185">
        <v>46533</v>
      </c>
      <c r="L107" t="s">
        <v>391</v>
      </c>
      <c r="M107" s="23"/>
      <c r="N107" t="s">
        <v>386</v>
      </c>
      <c r="O107" s="23">
        <v>1500000</v>
      </c>
      <c r="Q107" s="185">
        <v>46533</v>
      </c>
    </row>
    <row r="108" spans="1:17" x14ac:dyDescent="0.25">
      <c r="A108">
        <v>589</v>
      </c>
      <c r="B108">
        <v>16147</v>
      </c>
      <c r="C108" t="s">
        <v>515</v>
      </c>
      <c r="D108" s="185">
        <v>45804</v>
      </c>
      <c r="E108" t="s">
        <v>512</v>
      </c>
      <c r="F108" t="s">
        <v>386</v>
      </c>
      <c r="G108" s="23">
        <v>500000</v>
      </c>
      <c r="H108" s="23">
        <v>500000</v>
      </c>
      <c r="J108" s="185">
        <v>46533</v>
      </c>
      <c r="L108" t="s">
        <v>391</v>
      </c>
      <c r="M108" s="23"/>
      <c r="N108" t="s">
        <v>386</v>
      </c>
      <c r="O108" s="23">
        <v>500000</v>
      </c>
      <c r="Q108" s="185">
        <v>46533</v>
      </c>
    </row>
    <row r="109" spans="1:17" x14ac:dyDescent="0.25">
      <c r="A109">
        <v>590</v>
      </c>
      <c r="B109">
        <v>15333</v>
      </c>
      <c r="C109" t="s">
        <v>370</v>
      </c>
      <c r="D109" s="185">
        <v>45804</v>
      </c>
      <c r="E109" t="s">
        <v>512</v>
      </c>
      <c r="F109" t="s">
        <v>386</v>
      </c>
      <c r="G109" s="23">
        <v>2000000</v>
      </c>
      <c r="H109" s="23">
        <v>2000000</v>
      </c>
      <c r="J109" s="185">
        <v>46533</v>
      </c>
      <c r="L109" t="s">
        <v>391</v>
      </c>
      <c r="M109" s="23"/>
      <c r="N109" t="s">
        <v>386</v>
      </c>
      <c r="O109" s="23">
        <v>2000000</v>
      </c>
      <c r="Q109" s="185">
        <v>46533</v>
      </c>
    </row>
    <row r="110" spans="1:17" x14ac:dyDescent="0.25">
      <c r="A110">
        <v>643</v>
      </c>
      <c r="B110">
        <v>15328</v>
      </c>
      <c r="C110" t="s">
        <v>448</v>
      </c>
      <c r="D110" s="185">
        <v>46160</v>
      </c>
      <c r="E110" t="s">
        <v>15412</v>
      </c>
      <c r="F110" t="s">
        <v>386</v>
      </c>
      <c r="G110" s="23">
        <v>800000</v>
      </c>
      <c r="H110" s="23">
        <v>800000</v>
      </c>
      <c r="J110" s="185">
        <v>46525</v>
      </c>
      <c r="M110" s="23"/>
      <c r="N110" t="s">
        <v>386</v>
      </c>
      <c r="O110" s="23"/>
      <c r="Q110" s="185">
        <v>46525</v>
      </c>
    </row>
    <row r="111" spans="1:17" x14ac:dyDescent="0.25">
      <c r="A111">
        <v>593</v>
      </c>
      <c r="B111">
        <v>15335</v>
      </c>
      <c r="C111" t="s">
        <v>369</v>
      </c>
      <c r="D111" s="185">
        <v>45834</v>
      </c>
      <c r="E111" t="s">
        <v>552</v>
      </c>
      <c r="F111" t="s">
        <v>386</v>
      </c>
      <c r="G111" s="23">
        <v>1000000</v>
      </c>
      <c r="H111" s="23">
        <v>1000000</v>
      </c>
      <c r="J111" s="185">
        <v>46564</v>
      </c>
      <c r="L111" t="s">
        <v>391</v>
      </c>
      <c r="M111" s="23"/>
      <c r="N111" t="s">
        <v>386</v>
      </c>
      <c r="O111" s="23">
        <v>1000000</v>
      </c>
      <c r="Q111" s="185">
        <v>46564</v>
      </c>
    </row>
    <row r="112" spans="1:17" x14ac:dyDescent="0.25">
      <c r="A112">
        <v>594</v>
      </c>
      <c r="B112">
        <v>15327</v>
      </c>
      <c r="C112" t="s">
        <v>364</v>
      </c>
      <c r="D112" s="185">
        <v>45992</v>
      </c>
      <c r="E112" t="s">
        <v>791</v>
      </c>
      <c r="F112" t="s">
        <v>386</v>
      </c>
      <c r="G112" s="23">
        <v>1500000</v>
      </c>
      <c r="H112" s="23">
        <v>1500000</v>
      </c>
      <c r="J112" s="185">
        <v>46504</v>
      </c>
      <c r="L112" t="s">
        <v>391</v>
      </c>
      <c r="M112" s="23"/>
      <c r="N112" t="s">
        <v>386</v>
      </c>
      <c r="O112" s="23">
        <v>1500000</v>
      </c>
      <c r="Q112" s="185">
        <v>46504</v>
      </c>
    </row>
    <row r="113" spans="1:17" x14ac:dyDescent="0.25">
      <c r="A113">
        <v>459</v>
      </c>
      <c r="B113">
        <v>15336</v>
      </c>
      <c r="C113" t="s">
        <v>431</v>
      </c>
      <c r="D113" s="185">
        <v>46153</v>
      </c>
      <c r="E113" t="s">
        <v>404</v>
      </c>
      <c r="F113" t="s">
        <v>386</v>
      </c>
      <c r="G113" s="23">
        <v>15000000</v>
      </c>
      <c r="H113" s="23">
        <v>15000000</v>
      </c>
      <c r="J113" s="185">
        <v>46518</v>
      </c>
      <c r="K113">
        <v>90</v>
      </c>
      <c r="L113" t="s">
        <v>391</v>
      </c>
      <c r="M113" s="23"/>
      <c r="N113" t="s">
        <v>386</v>
      </c>
      <c r="O113" s="23">
        <v>15000000</v>
      </c>
      <c r="Q113" s="185">
        <v>46518</v>
      </c>
    </row>
    <row r="114" spans="1:17" x14ac:dyDescent="0.25">
      <c r="A114">
        <v>494</v>
      </c>
      <c r="B114">
        <v>15710</v>
      </c>
      <c r="C114" t="s">
        <v>449</v>
      </c>
      <c r="D114" s="185">
        <v>46153</v>
      </c>
      <c r="E114" t="s">
        <v>505</v>
      </c>
      <c r="F114" t="s">
        <v>386</v>
      </c>
      <c r="G114" s="23">
        <v>10000000</v>
      </c>
      <c r="H114" s="23">
        <v>10000000</v>
      </c>
      <c r="J114" s="185">
        <v>46518</v>
      </c>
      <c r="L114" t="s">
        <v>391</v>
      </c>
      <c r="M114" s="23"/>
      <c r="N114" t="s">
        <v>386</v>
      </c>
      <c r="O114" s="23">
        <v>10000000</v>
      </c>
      <c r="Q114" s="185">
        <v>46518</v>
      </c>
    </row>
    <row r="115" spans="1:17" x14ac:dyDescent="0.25">
      <c r="A115">
        <v>372</v>
      </c>
      <c r="B115">
        <v>16465</v>
      </c>
      <c r="C115" t="s">
        <v>685</v>
      </c>
      <c r="D115" s="185">
        <v>46001</v>
      </c>
      <c r="E115" t="s">
        <v>686</v>
      </c>
      <c r="F115" t="s">
        <v>386</v>
      </c>
      <c r="G115" s="23">
        <v>165000</v>
      </c>
      <c r="H115" s="23">
        <v>165000</v>
      </c>
      <c r="J115" s="185"/>
      <c r="L115" t="s">
        <v>391</v>
      </c>
      <c r="M115" s="23"/>
      <c r="N115" t="s">
        <v>386</v>
      </c>
      <c r="O115" s="23">
        <v>165000</v>
      </c>
      <c r="Q115" s="185">
        <v>46366</v>
      </c>
    </row>
    <row r="116" spans="1:17" x14ac:dyDescent="0.25">
      <c r="A116">
        <v>596</v>
      </c>
      <c r="B116">
        <v>15356</v>
      </c>
      <c r="C116" t="s">
        <v>365</v>
      </c>
      <c r="D116" s="185">
        <v>45804</v>
      </c>
      <c r="E116" t="s">
        <v>517</v>
      </c>
      <c r="F116" t="s">
        <v>386</v>
      </c>
      <c r="G116" s="23">
        <v>700000</v>
      </c>
      <c r="H116" s="23">
        <v>700000</v>
      </c>
      <c r="J116" s="185">
        <v>46534</v>
      </c>
      <c r="K116">
        <v>180</v>
      </c>
      <c r="L116" t="s">
        <v>391</v>
      </c>
      <c r="M116" s="23"/>
      <c r="N116" t="s">
        <v>386</v>
      </c>
      <c r="O116" s="23">
        <v>700000</v>
      </c>
      <c r="Q116" s="185">
        <v>46534</v>
      </c>
    </row>
    <row r="117" spans="1:17" x14ac:dyDescent="0.25">
      <c r="A117">
        <v>599</v>
      </c>
      <c r="B117">
        <v>15344</v>
      </c>
      <c r="C117" t="s">
        <v>356</v>
      </c>
      <c r="D117" s="185">
        <v>46153</v>
      </c>
      <c r="E117" t="s">
        <v>661</v>
      </c>
      <c r="F117" t="s">
        <v>386</v>
      </c>
      <c r="G117" s="23">
        <v>4500000</v>
      </c>
      <c r="H117" s="23">
        <v>4500000</v>
      </c>
      <c r="J117" s="185">
        <v>46518</v>
      </c>
      <c r="L117" t="s">
        <v>391</v>
      </c>
      <c r="M117" s="23"/>
      <c r="N117" t="s">
        <v>386</v>
      </c>
      <c r="O117" s="23">
        <v>4500000</v>
      </c>
      <c r="Q117" s="185">
        <v>46518</v>
      </c>
    </row>
    <row r="118" spans="1:17" x14ac:dyDescent="0.25">
      <c r="A118">
        <v>600</v>
      </c>
      <c r="B118">
        <v>15345</v>
      </c>
      <c r="C118" t="s">
        <v>359</v>
      </c>
      <c r="D118" s="185">
        <v>45994</v>
      </c>
      <c r="E118" t="s">
        <v>664</v>
      </c>
      <c r="F118" t="s">
        <v>386</v>
      </c>
      <c r="G118" s="23">
        <v>6000000</v>
      </c>
      <c r="H118" s="23">
        <v>6000000</v>
      </c>
      <c r="J118" s="185">
        <v>46724</v>
      </c>
      <c r="K118">
        <v>28</v>
      </c>
      <c r="L118" t="s">
        <v>391</v>
      </c>
      <c r="M118" s="23"/>
      <c r="N118" t="s">
        <v>386</v>
      </c>
      <c r="O118" s="23">
        <v>6000000</v>
      </c>
      <c r="Q118" s="185">
        <v>46724</v>
      </c>
    </row>
    <row r="119" spans="1:17" x14ac:dyDescent="0.25">
      <c r="A119">
        <v>382</v>
      </c>
      <c r="B119">
        <v>11957</v>
      </c>
      <c r="C119" t="s">
        <v>677</v>
      </c>
      <c r="D119" s="185">
        <v>46028</v>
      </c>
      <c r="E119" t="s">
        <v>661</v>
      </c>
      <c r="F119" t="s">
        <v>386</v>
      </c>
      <c r="G119" s="23">
        <v>50000</v>
      </c>
      <c r="H119" s="23">
        <v>50000</v>
      </c>
      <c r="J119" s="185">
        <v>46393</v>
      </c>
      <c r="L119" t="s">
        <v>391</v>
      </c>
      <c r="M119" s="23"/>
      <c r="N119" t="s">
        <v>386</v>
      </c>
      <c r="O119" s="23">
        <v>50000</v>
      </c>
      <c r="Q119" s="185">
        <v>46393</v>
      </c>
    </row>
    <row r="120" spans="1:17" x14ac:dyDescent="0.25">
      <c r="A120">
        <v>261</v>
      </c>
      <c r="B120">
        <v>12365</v>
      </c>
      <c r="C120" t="s">
        <v>319</v>
      </c>
      <c r="D120" s="185">
        <v>45868</v>
      </c>
      <c r="E120" t="s">
        <v>569</v>
      </c>
      <c r="F120" t="s">
        <v>386</v>
      </c>
      <c r="G120" s="23">
        <v>1375000</v>
      </c>
      <c r="H120" s="23">
        <v>1375000</v>
      </c>
      <c r="J120" s="185">
        <v>46233</v>
      </c>
      <c r="M120" s="23"/>
      <c r="N120" t="s">
        <v>386</v>
      </c>
      <c r="O120" s="23">
        <v>1375000</v>
      </c>
      <c r="Q120" s="185">
        <v>46233</v>
      </c>
    </row>
    <row r="121" spans="1:17" x14ac:dyDescent="0.25">
      <c r="A121">
        <v>370</v>
      </c>
      <c r="B121">
        <v>2527</v>
      </c>
      <c r="C121" t="s">
        <v>340</v>
      </c>
      <c r="D121" s="185">
        <v>46001</v>
      </c>
      <c r="E121" t="s">
        <v>671</v>
      </c>
      <c r="F121" t="s">
        <v>386</v>
      </c>
      <c r="G121" s="23">
        <v>412500</v>
      </c>
      <c r="H121" s="23">
        <v>412500</v>
      </c>
      <c r="J121" s="185">
        <v>46366</v>
      </c>
      <c r="L121" t="s">
        <v>391</v>
      </c>
      <c r="M121" s="23"/>
      <c r="N121" t="s">
        <v>386</v>
      </c>
      <c r="O121" s="23">
        <v>412500</v>
      </c>
      <c r="Q121" s="185">
        <v>46366</v>
      </c>
    </row>
    <row r="122" spans="1:17" x14ac:dyDescent="0.25">
      <c r="A122">
        <v>601</v>
      </c>
      <c r="B122">
        <v>11212</v>
      </c>
      <c r="C122" t="s">
        <v>230</v>
      </c>
      <c r="D122" s="185">
        <v>45799</v>
      </c>
      <c r="E122" t="s">
        <v>402</v>
      </c>
      <c r="F122" t="s">
        <v>386</v>
      </c>
      <c r="G122" s="23">
        <v>400000</v>
      </c>
      <c r="H122" s="23">
        <v>400000</v>
      </c>
      <c r="J122" s="185">
        <v>46529</v>
      </c>
      <c r="K122">
        <v>28</v>
      </c>
      <c r="L122" t="s">
        <v>391</v>
      </c>
      <c r="M122" s="23"/>
      <c r="N122" t="s">
        <v>386</v>
      </c>
      <c r="O122" s="23">
        <v>400000</v>
      </c>
      <c r="Q122" s="185">
        <v>46529</v>
      </c>
    </row>
    <row r="123" spans="1:17" x14ac:dyDescent="0.25">
      <c r="A123">
        <v>410</v>
      </c>
      <c r="B123">
        <v>16660</v>
      </c>
      <c r="C123" t="s">
        <v>653</v>
      </c>
      <c r="D123" s="185">
        <v>46093</v>
      </c>
      <c r="E123" t="s">
        <v>642</v>
      </c>
      <c r="F123" t="s">
        <v>386</v>
      </c>
      <c r="G123" s="23">
        <v>50000</v>
      </c>
      <c r="H123" s="23">
        <v>50000</v>
      </c>
      <c r="J123" s="185">
        <v>46458</v>
      </c>
      <c r="L123" t="s">
        <v>391</v>
      </c>
      <c r="M123" s="23"/>
      <c r="N123" t="s">
        <v>386</v>
      </c>
      <c r="O123" s="23">
        <v>50000</v>
      </c>
      <c r="Q123" s="185">
        <v>46458</v>
      </c>
    </row>
    <row r="124" spans="1:17" x14ac:dyDescent="0.25">
      <c r="A124">
        <v>392</v>
      </c>
      <c r="B124">
        <v>17224</v>
      </c>
      <c r="C124" t="s">
        <v>694</v>
      </c>
      <c r="D124" s="185">
        <v>46042</v>
      </c>
      <c r="E124" t="s">
        <v>702</v>
      </c>
      <c r="F124" t="s">
        <v>386</v>
      </c>
      <c r="G124" s="23">
        <v>550000</v>
      </c>
      <c r="H124" s="23">
        <v>550000</v>
      </c>
      <c r="J124" s="185">
        <v>46408</v>
      </c>
      <c r="K124">
        <v>78</v>
      </c>
      <c r="L124" t="s">
        <v>398</v>
      </c>
      <c r="M124" s="23"/>
      <c r="N124" t="s">
        <v>386</v>
      </c>
      <c r="O124" s="23">
        <v>550000</v>
      </c>
      <c r="Q124" s="185">
        <v>46408</v>
      </c>
    </row>
    <row r="125" spans="1:17" x14ac:dyDescent="0.25">
      <c r="A125">
        <v>411</v>
      </c>
      <c r="B125">
        <v>3142</v>
      </c>
      <c r="C125" t="s">
        <v>78</v>
      </c>
      <c r="D125" s="185">
        <v>46093</v>
      </c>
      <c r="E125" t="s">
        <v>743</v>
      </c>
      <c r="F125" t="s">
        <v>386</v>
      </c>
      <c r="G125" s="23">
        <v>200000</v>
      </c>
      <c r="H125" s="23">
        <v>200000</v>
      </c>
      <c r="J125" s="185">
        <v>46458</v>
      </c>
      <c r="L125" t="s">
        <v>391</v>
      </c>
      <c r="M125" s="23"/>
      <c r="N125" t="s">
        <v>386</v>
      </c>
      <c r="O125" s="23">
        <v>200000</v>
      </c>
      <c r="Q125" s="185">
        <v>46458</v>
      </c>
    </row>
    <row r="126" spans="1:17" x14ac:dyDescent="0.25">
      <c r="A126">
        <v>417</v>
      </c>
      <c r="B126">
        <v>12972</v>
      </c>
      <c r="C126" t="s">
        <v>654</v>
      </c>
      <c r="D126" s="185">
        <v>45980</v>
      </c>
      <c r="E126" t="s">
        <v>642</v>
      </c>
      <c r="F126" t="s">
        <v>386</v>
      </c>
      <c r="G126" s="23">
        <v>200000</v>
      </c>
      <c r="H126" s="23">
        <v>200000</v>
      </c>
      <c r="J126" s="185">
        <v>46345</v>
      </c>
      <c r="L126" t="s">
        <v>391</v>
      </c>
      <c r="M126" s="23"/>
      <c r="N126" t="s">
        <v>386</v>
      </c>
      <c r="O126" s="23">
        <v>200000</v>
      </c>
      <c r="Q126" s="185">
        <v>46345</v>
      </c>
    </row>
    <row r="127" spans="1:17" x14ac:dyDescent="0.25">
      <c r="A127">
        <v>602</v>
      </c>
      <c r="B127">
        <v>10646</v>
      </c>
      <c r="C127" t="s">
        <v>389</v>
      </c>
      <c r="D127" s="185">
        <v>45804</v>
      </c>
      <c r="E127" t="s">
        <v>516</v>
      </c>
      <c r="F127" t="s">
        <v>386</v>
      </c>
      <c r="G127" s="23">
        <v>500000</v>
      </c>
      <c r="H127" s="23">
        <v>500000</v>
      </c>
      <c r="J127" s="185">
        <v>46534</v>
      </c>
      <c r="L127" t="s">
        <v>391</v>
      </c>
      <c r="M127" s="23"/>
      <c r="N127" t="s">
        <v>386</v>
      </c>
      <c r="O127" s="23">
        <v>500000</v>
      </c>
      <c r="Q127" s="185">
        <v>46534</v>
      </c>
    </row>
    <row r="128" spans="1:17" x14ac:dyDescent="0.25">
      <c r="A128">
        <v>655</v>
      </c>
      <c r="B128">
        <v>2656</v>
      </c>
      <c r="C128" t="s">
        <v>118</v>
      </c>
      <c r="D128" s="185">
        <v>45831</v>
      </c>
      <c r="E128" t="s">
        <v>15599</v>
      </c>
      <c r="F128" t="s">
        <v>386</v>
      </c>
      <c r="G128" s="23">
        <v>1375000</v>
      </c>
      <c r="H128" s="23">
        <v>1375000</v>
      </c>
      <c r="J128" s="185">
        <v>46561</v>
      </c>
      <c r="L128" t="s">
        <v>403</v>
      </c>
      <c r="M128" s="23"/>
      <c r="N128" t="s">
        <v>386</v>
      </c>
      <c r="O128" s="23">
        <v>1375000</v>
      </c>
      <c r="Q128" s="185">
        <v>46561</v>
      </c>
    </row>
    <row r="129" spans="1:17" x14ac:dyDescent="0.25">
      <c r="A129">
        <v>646</v>
      </c>
      <c r="B129">
        <v>2225</v>
      </c>
      <c r="C129" t="s">
        <v>727</v>
      </c>
      <c r="D129" s="185">
        <v>46160</v>
      </c>
      <c r="E129" t="s">
        <v>15600</v>
      </c>
      <c r="F129" t="s">
        <v>386</v>
      </c>
      <c r="G129" s="23">
        <v>400000</v>
      </c>
      <c r="H129" s="23">
        <v>400000</v>
      </c>
      <c r="J129" s="185">
        <v>46526</v>
      </c>
      <c r="K129">
        <v>28</v>
      </c>
      <c r="M129" s="23"/>
      <c r="N129" t="s">
        <v>386</v>
      </c>
      <c r="O129" s="23">
        <v>0</v>
      </c>
      <c r="Q129" s="185">
        <v>46526</v>
      </c>
    </row>
    <row r="130" spans="1:17" x14ac:dyDescent="0.25">
      <c r="A130">
        <v>604</v>
      </c>
      <c r="B130">
        <v>6269</v>
      </c>
      <c r="C130" t="s">
        <v>548</v>
      </c>
      <c r="D130" s="185">
        <v>45870</v>
      </c>
      <c r="E130" t="s">
        <v>570</v>
      </c>
      <c r="F130" t="s">
        <v>386</v>
      </c>
      <c r="G130" s="23">
        <v>1375000</v>
      </c>
      <c r="H130" s="23">
        <v>1375000</v>
      </c>
      <c r="J130" s="185">
        <v>46618</v>
      </c>
      <c r="L130" t="s">
        <v>391</v>
      </c>
      <c r="M130" s="23"/>
      <c r="N130" t="s">
        <v>386</v>
      </c>
      <c r="O130" s="23">
        <v>1375000</v>
      </c>
      <c r="Q130" s="185">
        <v>46618</v>
      </c>
    </row>
    <row r="131" spans="1:17" x14ac:dyDescent="0.25">
      <c r="A131">
        <v>273</v>
      </c>
      <c r="B131">
        <v>2678</v>
      </c>
      <c r="C131" t="s">
        <v>581</v>
      </c>
      <c r="D131" s="185">
        <v>45902</v>
      </c>
      <c r="E131" t="s">
        <v>582</v>
      </c>
      <c r="F131" t="s">
        <v>386</v>
      </c>
      <c r="G131" s="23">
        <v>275000</v>
      </c>
      <c r="H131" s="23">
        <v>275000</v>
      </c>
      <c r="J131" s="185">
        <v>46267</v>
      </c>
      <c r="L131" t="s">
        <v>391</v>
      </c>
      <c r="M131" s="23"/>
      <c r="N131" t="s">
        <v>386</v>
      </c>
      <c r="O131" s="23">
        <v>275000</v>
      </c>
      <c r="Q131" s="185">
        <v>46267</v>
      </c>
    </row>
    <row r="132" spans="1:17" x14ac:dyDescent="0.25">
      <c r="A132">
        <v>371</v>
      </c>
      <c r="B132">
        <v>10676</v>
      </c>
      <c r="C132" t="s">
        <v>120</v>
      </c>
      <c r="D132" s="185">
        <v>46001</v>
      </c>
      <c r="E132" t="s">
        <v>680</v>
      </c>
      <c r="F132" t="s">
        <v>386</v>
      </c>
      <c r="G132" s="23">
        <v>550000</v>
      </c>
      <c r="H132" s="23">
        <v>550000</v>
      </c>
      <c r="J132" s="185">
        <v>46366</v>
      </c>
      <c r="L132" t="s">
        <v>408</v>
      </c>
      <c r="M132" s="23"/>
      <c r="N132" t="s">
        <v>386</v>
      </c>
      <c r="O132" s="23">
        <v>550000</v>
      </c>
      <c r="Q132" s="185">
        <v>46366</v>
      </c>
    </row>
    <row r="133" spans="1:17" x14ac:dyDescent="0.25">
      <c r="A133">
        <v>631</v>
      </c>
      <c r="B133">
        <v>12249</v>
      </c>
      <c r="C133" t="s">
        <v>681</v>
      </c>
      <c r="D133" s="185">
        <v>46007</v>
      </c>
      <c r="E133" t="s">
        <v>682</v>
      </c>
      <c r="F133" t="s">
        <v>386</v>
      </c>
      <c r="G133" s="23">
        <v>110000</v>
      </c>
      <c r="H133" s="23">
        <v>110000</v>
      </c>
      <c r="J133" s="185"/>
      <c r="M133" s="23"/>
      <c r="N133" t="s">
        <v>386</v>
      </c>
      <c r="O133" s="23">
        <v>110000</v>
      </c>
      <c r="Q133" s="185"/>
    </row>
    <row r="134" spans="1:17" x14ac:dyDescent="0.25">
      <c r="A134">
        <v>450</v>
      </c>
      <c r="B134">
        <v>3297</v>
      </c>
      <c r="C134" t="s">
        <v>550</v>
      </c>
      <c r="D134" s="185">
        <v>46140</v>
      </c>
      <c r="E134" t="s">
        <v>792</v>
      </c>
      <c r="F134" t="s">
        <v>386</v>
      </c>
      <c r="G134" s="23">
        <v>990000</v>
      </c>
      <c r="H134" s="23">
        <v>990000</v>
      </c>
      <c r="J134" s="185"/>
      <c r="L134" t="s">
        <v>391</v>
      </c>
      <c r="M134" s="23"/>
      <c r="N134" t="s">
        <v>386</v>
      </c>
      <c r="O134" s="23">
        <v>990000</v>
      </c>
      <c r="Q134" s="185">
        <v>46505</v>
      </c>
    </row>
    <row r="135" spans="1:17" x14ac:dyDescent="0.25">
      <c r="A135">
        <v>442</v>
      </c>
      <c r="B135">
        <v>17649</v>
      </c>
      <c r="C135" t="s">
        <v>793</v>
      </c>
      <c r="D135" s="185">
        <v>46099</v>
      </c>
      <c r="E135" t="s">
        <v>794</v>
      </c>
      <c r="F135" t="s">
        <v>386</v>
      </c>
      <c r="G135" s="23">
        <v>650000</v>
      </c>
      <c r="H135" s="23">
        <v>650000</v>
      </c>
      <c r="J135" s="185"/>
      <c r="L135" t="s">
        <v>391</v>
      </c>
      <c r="M135" s="23"/>
      <c r="N135" t="s">
        <v>386</v>
      </c>
      <c r="O135" s="23">
        <v>650000</v>
      </c>
      <c r="Q135" s="185">
        <v>46464</v>
      </c>
    </row>
    <row r="136" spans="1:17" x14ac:dyDescent="0.25">
      <c r="A136">
        <v>385</v>
      </c>
      <c r="B136">
        <v>14116</v>
      </c>
      <c r="C136" t="s">
        <v>557</v>
      </c>
      <c r="D136" s="185">
        <v>46030</v>
      </c>
      <c r="E136" t="s">
        <v>703</v>
      </c>
      <c r="F136" t="s">
        <v>386</v>
      </c>
      <c r="G136" s="23">
        <v>330000</v>
      </c>
      <c r="H136" s="23">
        <v>330000</v>
      </c>
      <c r="J136" s="185">
        <v>46395</v>
      </c>
      <c r="L136" t="s">
        <v>391</v>
      </c>
      <c r="M136" s="23"/>
      <c r="N136" t="s">
        <v>386</v>
      </c>
      <c r="O136" s="23">
        <v>330000</v>
      </c>
      <c r="Q136" s="185">
        <v>46395</v>
      </c>
    </row>
    <row r="137" spans="1:17" x14ac:dyDescent="0.25">
      <c r="A137">
        <v>663</v>
      </c>
      <c r="B137">
        <v>4577</v>
      </c>
      <c r="C137" t="s">
        <v>224</v>
      </c>
      <c r="D137" s="185">
        <v>46171</v>
      </c>
      <c r="E137" t="s">
        <v>15603</v>
      </c>
      <c r="F137" t="s">
        <v>386</v>
      </c>
      <c r="G137" s="23">
        <v>100000</v>
      </c>
      <c r="H137" s="23">
        <v>100000</v>
      </c>
      <c r="J137" s="185">
        <v>46536</v>
      </c>
      <c r="K137">
        <v>30</v>
      </c>
      <c r="M137" s="23"/>
      <c r="N137" t="s">
        <v>386</v>
      </c>
      <c r="O137" s="23"/>
      <c r="Q137" s="185">
        <v>46536</v>
      </c>
    </row>
    <row r="138" spans="1:17" x14ac:dyDescent="0.25">
      <c r="A138">
        <v>632</v>
      </c>
      <c r="B138">
        <v>15917</v>
      </c>
      <c r="C138" t="s">
        <v>571</v>
      </c>
      <c r="D138" s="185">
        <v>45912</v>
      </c>
      <c r="E138" t="s">
        <v>614</v>
      </c>
      <c r="F138" t="s">
        <v>386</v>
      </c>
      <c r="G138" s="23">
        <v>500000</v>
      </c>
      <c r="H138" s="23">
        <v>1200000</v>
      </c>
      <c r="J138" s="185">
        <v>46277</v>
      </c>
      <c r="L138" t="s">
        <v>391</v>
      </c>
      <c r="M138" s="23"/>
      <c r="N138" t="s">
        <v>386</v>
      </c>
      <c r="O138" s="23">
        <v>500000</v>
      </c>
      <c r="Q138" s="185">
        <v>46277</v>
      </c>
    </row>
    <row r="139" spans="1:17" x14ac:dyDescent="0.25">
      <c r="A139">
        <v>605</v>
      </c>
      <c r="B139">
        <v>2696</v>
      </c>
      <c r="C139" t="s">
        <v>119</v>
      </c>
      <c r="D139" s="185">
        <v>46030</v>
      </c>
      <c r="E139" t="s">
        <v>698</v>
      </c>
      <c r="F139" t="s">
        <v>386</v>
      </c>
      <c r="G139" s="23">
        <v>660000</v>
      </c>
      <c r="H139" s="23">
        <v>660000</v>
      </c>
      <c r="J139" s="185">
        <v>46395</v>
      </c>
      <c r="L139" t="s">
        <v>391</v>
      </c>
      <c r="M139" s="23"/>
      <c r="N139" t="s">
        <v>386</v>
      </c>
      <c r="O139" s="23">
        <v>660000</v>
      </c>
      <c r="Q139" s="185">
        <v>46395</v>
      </c>
    </row>
    <row r="140" spans="1:17" x14ac:dyDescent="0.25">
      <c r="A140">
        <v>633</v>
      </c>
      <c r="B140">
        <v>11978</v>
      </c>
      <c r="C140" t="s">
        <v>277</v>
      </c>
      <c r="D140" s="185">
        <v>46001</v>
      </c>
      <c r="E140" t="s">
        <v>683</v>
      </c>
      <c r="F140" t="s">
        <v>386</v>
      </c>
      <c r="G140" s="23">
        <v>192500</v>
      </c>
      <c r="H140" s="23">
        <v>192500</v>
      </c>
      <c r="J140" s="185"/>
      <c r="L140" t="s">
        <v>391</v>
      </c>
      <c r="M140" s="23"/>
      <c r="N140" t="s">
        <v>386</v>
      </c>
      <c r="O140" s="23">
        <v>192500</v>
      </c>
      <c r="Q140" s="185">
        <v>46366</v>
      </c>
    </row>
    <row r="141" spans="1:17" x14ac:dyDescent="0.25">
      <c r="A141">
        <v>606</v>
      </c>
      <c r="B141">
        <v>6431</v>
      </c>
      <c r="C141" t="s">
        <v>427</v>
      </c>
      <c r="D141" s="185">
        <v>45804</v>
      </c>
      <c r="E141" t="s">
        <v>517</v>
      </c>
      <c r="F141" t="s">
        <v>386</v>
      </c>
      <c r="G141" s="23">
        <v>800000</v>
      </c>
      <c r="H141" s="23">
        <v>800000</v>
      </c>
      <c r="J141" s="185">
        <v>46445</v>
      </c>
      <c r="K141">
        <v>270</v>
      </c>
      <c r="L141" t="s">
        <v>391</v>
      </c>
      <c r="M141" s="23"/>
      <c r="N141" t="s">
        <v>386</v>
      </c>
      <c r="O141" s="23">
        <v>800000</v>
      </c>
      <c r="Q141" s="185">
        <v>46445</v>
      </c>
    </row>
    <row r="142" spans="1:17" x14ac:dyDescent="0.25">
      <c r="A142">
        <v>647</v>
      </c>
      <c r="B142">
        <v>4737</v>
      </c>
      <c r="C142" t="s">
        <v>578</v>
      </c>
      <c r="D142" s="185">
        <v>46162</v>
      </c>
      <c r="E142" t="s">
        <v>517</v>
      </c>
      <c r="F142" t="s">
        <v>386</v>
      </c>
      <c r="G142" s="23">
        <v>600000</v>
      </c>
      <c r="H142" s="23">
        <v>600000</v>
      </c>
      <c r="J142" s="185">
        <v>46527</v>
      </c>
      <c r="K142">
        <v>30</v>
      </c>
      <c r="L142" t="s">
        <v>391</v>
      </c>
      <c r="M142" s="23"/>
      <c r="N142" t="s">
        <v>386</v>
      </c>
      <c r="O142" s="23">
        <v>600000</v>
      </c>
      <c r="Q142" s="185">
        <v>46527</v>
      </c>
    </row>
    <row r="143" spans="1:17" x14ac:dyDescent="0.25">
      <c r="A143">
        <v>664</v>
      </c>
      <c r="B143">
        <v>9355</v>
      </c>
      <c r="C143" t="s">
        <v>302</v>
      </c>
      <c r="D143" s="185">
        <v>46163</v>
      </c>
      <c r="E143" t="s">
        <v>15627</v>
      </c>
      <c r="F143" t="s">
        <v>386</v>
      </c>
      <c r="G143" s="23">
        <v>5000000</v>
      </c>
      <c r="H143" s="23">
        <v>5000000</v>
      </c>
      <c r="J143" s="185">
        <v>46528</v>
      </c>
      <c r="K143">
        <v>90</v>
      </c>
      <c r="M143" s="23"/>
      <c r="N143" t="s">
        <v>386</v>
      </c>
      <c r="O143" s="23"/>
      <c r="Q143" s="185">
        <v>46528</v>
      </c>
    </row>
    <row r="144" spans="1:17" x14ac:dyDescent="0.25">
      <c r="A144">
        <v>440</v>
      </c>
      <c r="B144">
        <v>17642</v>
      </c>
      <c r="C144" t="s">
        <v>795</v>
      </c>
      <c r="D144" s="185">
        <v>46084</v>
      </c>
      <c r="E144" t="s">
        <v>796</v>
      </c>
      <c r="F144" t="s">
        <v>386</v>
      </c>
      <c r="G144" s="23">
        <v>1000000</v>
      </c>
      <c r="H144" s="23">
        <v>1000000</v>
      </c>
      <c r="J144" s="185">
        <v>46449</v>
      </c>
      <c r="L144" t="s">
        <v>391</v>
      </c>
      <c r="M144" s="23"/>
      <c r="N144" t="s">
        <v>386</v>
      </c>
      <c r="O144" s="23">
        <v>1000000</v>
      </c>
      <c r="Q144" s="185">
        <v>46449</v>
      </c>
    </row>
    <row r="145" spans="1:17" x14ac:dyDescent="0.25">
      <c r="A145">
        <v>665</v>
      </c>
      <c r="B145">
        <v>17783</v>
      </c>
      <c r="C145" t="s">
        <v>15628</v>
      </c>
      <c r="D145" s="185">
        <v>46178</v>
      </c>
      <c r="E145" t="s">
        <v>15629</v>
      </c>
      <c r="F145" t="s">
        <v>386</v>
      </c>
      <c r="G145" s="23">
        <v>300000</v>
      </c>
      <c r="H145" s="23">
        <v>300000</v>
      </c>
      <c r="J145" s="185">
        <v>46543</v>
      </c>
      <c r="L145" t="s">
        <v>391</v>
      </c>
      <c r="M145" s="23"/>
      <c r="N145" t="s">
        <v>386</v>
      </c>
      <c r="O145" s="23">
        <v>300000</v>
      </c>
      <c r="Q145" s="185">
        <v>46543</v>
      </c>
    </row>
    <row r="146" spans="1:17" x14ac:dyDescent="0.25">
      <c r="A146">
        <v>607</v>
      </c>
      <c r="B146">
        <v>1062</v>
      </c>
      <c r="C146" t="s">
        <v>504</v>
      </c>
      <c r="D146" s="185">
        <v>45834</v>
      </c>
      <c r="E146" t="s">
        <v>553</v>
      </c>
      <c r="F146" t="s">
        <v>386</v>
      </c>
      <c r="G146" s="23">
        <v>660000</v>
      </c>
      <c r="H146" s="23">
        <v>660000</v>
      </c>
      <c r="J146" s="185">
        <v>46564</v>
      </c>
      <c r="L146" t="s">
        <v>403</v>
      </c>
      <c r="M146" s="23"/>
      <c r="N146" t="s">
        <v>386</v>
      </c>
      <c r="O146" s="23">
        <v>660000</v>
      </c>
      <c r="Q146" s="185">
        <v>46564</v>
      </c>
    </row>
    <row r="147" spans="1:17" x14ac:dyDescent="0.25">
      <c r="A147">
        <v>319</v>
      </c>
      <c r="B147">
        <v>6177</v>
      </c>
      <c r="C147" t="s">
        <v>633</v>
      </c>
      <c r="D147" s="185">
        <v>45957</v>
      </c>
      <c r="E147" t="s">
        <v>643</v>
      </c>
      <c r="F147" t="s">
        <v>386</v>
      </c>
      <c r="G147" s="23">
        <v>850000</v>
      </c>
      <c r="H147" s="23">
        <v>850000</v>
      </c>
      <c r="J147" s="185">
        <v>46343</v>
      </c>
      <c r="L147" t="s">
        <v>391</v>
      </c>
      <c r="M147" s="23"/>
      <c r="N147" t="s">
        <v>386</v>
      </c>
      <c r="O147" s="23">
        <v>850000</v>
      </c>
      <c r="Q147" s="185">
        <v>46343</v>
      </c>
    </row>
    <row r="148" spans="1:17" x14ac:dyDescent="0.25">
      <c r="A148">
        <v>608</v>
      </c>
      <c r="B148">
        <v>16042</v>
      </c>
      <c r="C148" t="s">
        <v>485</v>
      </c>
      <c r="D148" s="185">
        <v>45789</v>
      </c>
      <c r="E148" t="s">
        <v>510</v>
      </c>
      <c r="F148" t="s">
        <v>386</v>
      </c>
      <c r="G148" s="23">
        <v>500000</v>
      </c>
      <c r="H148" s="23">
        <v>500000</v>
      </c>
      <c r="J148" s="185">
        <v>46519</v>
      </c>
      <c r="K148">
        <v>15</v>
      </c>
      <c r="L148" t="s">
        <v>391</v>
      </c>
      <c r="M148" s="23"/>
      <c r="N148" t="s">
        <v>386</v>
      </c>
      <c r="O148" s="23">
        <v>500000</v>
      </c>
      <c r="Q148" s="185">
        <v>46519</v>
      </c>
    </row>
    <row r="149" spans="1:17" x14ac:dyDescent="0.25">
      <c r="A149">
        <v>276</v>
      </c>
      <c r="B149">
        <v>5209</v>
      </c>
      <c r="C149" t="s">
        <v>83</v>
      </c>
      <c r="D149" s="185">
        <v>45916</v>
      </c>
      <c r="E149" t="s">
        <v>591</v>
      </c>
      <c r="F149" t="s">
        <v>386</v>
      </c>
      <c r="G149" s="23">
        <v>100000</v>
      </c>
      <c r="H149" s="23">
        <v>100000</v>
      </c>
      <c r="J149" s="185">
        <v>46282</v>
      </c>
      <c r="L149" t="s">
        <v>391</v>
      </c>
      <c r="M149" s="23"/>
      <c r="N149" t="s">
        <v>386</v>
      </c>
      <c r="O149" s="23">
        <v>100000</v>
      </c>
      <c r="Q149" s="185">
        <v>46282</v>
      </c>
    </row>
    <row r="150" spans="1:17" x14ac:dyDescent="0.25">
      <c r="A150">
        <v>338</v>
      </c>
      <c r="B150">
        <v>6315</v>
      </c>
      <c r="C150" t="s">
        <v>86</v>
      </c>
      <c r="D150" s="185">
        <v>45980</v>
      </c>
      <c r="E150" t="s">
        <v>642</v>
      </c>
      <c r="F150" t="s">
        <v>386</v>
      </c>
      <c r="G150" s="23">
        <v>300000</v>
      </c>
      <c r="H150" s="23">
        <v>300000</v>
      </c>
      <c r="J150" s="185"/>
      <c r="L150" t="s">
        <v>391</v>
      </c>
      <c r="M150" s="23"/>
      <c r="N150" t="s">
        <v>386</v>
      </c>
      <c r="O150" s="23">
        <v>300000</v>
      </c>
      <c r="Q150" s="185"/>
    </row>
    <row r="151" spans="1:17" x14ac:dyDescent="0.25">
      <c r="A151">
        <v>343</v>
      </c>
      <c r="B151">
        <v>16645</v>
      </c>
      <c r="C151" t="s">
        <v>573</v>
      </c>
      <c r="D151" s="185">
        <v>45912</v>
      </c>
      <c r="E151" t="s">
        <v>642</v>
      </c>
      <c r="F151" t="s">
        <v>386</v>
      </c>
      <c r="G151" s="23">
        <v>400000</v>
      </c>
      <c r="H151" s="23">
        <v>400000</v>
      </c>
      <c r="J151" s="185">
        <v>46277</v>
      </c>
      <c r="L151" t="s">
        <v>391</v>
      </c>
      <c r="M151" s="23"/>
      <c r="N151" t="s">
        <v>386</v>
      </c>
      <c r="O151" s="23">
        <v>400000</v>
      </c>
      <c r="Q151" s="185"/>
    </row>
    <row r="152" spans="1:17" x14ac:dyDescent="0.25">
      <c r="A152">
        <v>673</v>
      </c>
      <c r="B152">
        <v>13330</v>
      </c>
      <c r="C152" t="s">
        <v>579</v>
      </c>
      <c r="D152" s="185">
        <v>46190</v>
      </c>
      <c r="E152" t="s">
        <v>15630</v>
      </c>
      <c r="F152" t="s">
        <v>386</v>
      </c>
      <c r="G152" s="23">
        <v>330000</v>
      </c>
      <c r="H152" s="23">
        <v>330000</v>
      </c>
      <c r="J152" s="185">
        <v>46555</v>
      </c>
      <c r="L152" t="s">
        <v>391</v>
      </c>
      <c r="M152" s="23"/>
      <c r="N152" t="s">
        <v>386</v>
      </c>
      <c r="O152" s="23">
        <v>330000</v>
      </c>
      <c r="Q152" s="185">
        <v>46555</v>
      </c>
    </row>
    <row r="153" spans="1:17" x14ac:dyDescent="0.25">
      <c r="A153">
        <v>634</v>
      </c>
      <c r="B153">
        <v>14596</v>
      </c>
      <c r="C153" t="s">
        <v>393</v>
      </c>
      <c r="D153" s="185">
        <v>45804</v>
      </c>
      <c r="E153" t="s">
        <v>394</v>
      </c>
      <c r="F153" t="s">
        <v>386</v>
      </c>
      <c r="G153" s="23">
        <v>1400000</v>
      </c>
      <c r="H153" s="23">
        <v>1300000</v>
      </c>
      <c r="I153" t="s">
        <v>395</v>
      </c>
      <c r="J153" s="185">
        <v>46534</v>
      </c>
      <c r="K153">
        <v>270</v>
      </c>
      <c r="L153" t="s">
        <v>391</v>
      </c>
      <c r="M153" s="23">
        <v>1300000</v>
      </c>
      <c r="N153" t="s">
        <v>386</v>
      </c>
      <c r="O153" s="23">
        <v>1400000</v>
      </c>
      <c r="P153" t="s">
        <v>208</v>
      </c>
      <c r="Q153" s="185">
        <v>46534</v>
      </c>
    </row>
    <row r="154" spans="1:17" x14ac:dyDescent="0.25">
      <c r="A154">
        <v>499</v>
      </c>
      <c r="B154">
        <v>12696</v>
      </c>
      <c r="C154" t="s">
        <v>390</v>
      </c>
      <c r="D154" s="185">
        <v>45566</v>
      </c>
      <c r="E154" t="s">
        <v>517</v>
      </c>
      <c r="F154" t="s">
        <v>386</v>
      </c>
      <c r="G154" s="23">
        <v>350000</v>
      </c>
      <c r="H154" s="23">
        <v>350000</v>
      </c>
      <c r="J154" s="185"/>
      <c r="M154" s="23"/>
      <c r="N154" t="s">
        <v>386</v>
      </c>
      <c r="O154" s="23">
        <v>350000</v>
      </c>
      <c r="Q154" s="185">
        <v>46661</v>
      </c>
    </row>
    <row r="155" spans="1:17" x14ac:dyDescent="0.25">
      <c r="A155">
        <v>258</v>
      </c>
      <c r="B155">
        <v>12190</v>
      </c>
      <c r="C155" t="s">
        <v>231</v>
      </c>
      <c r="D155" s="185">
        <v>45869</v>
      </c>
      <c r="E155" t="s">
        <v>517</v>
      </c>
      <c r="F155" t="s">
        <v>386</v>
      </c>
      <c r="G155" s="23">
        <v>1000000</v>
      </c>
      <c r="H155" s="23">
        <v>1000000</v>
      </c>
      <c r="J155" s="185">
        <v>46234</v>
      </c>
      <c r="L155" t="s">
        <v>391</v>
      </c>
      <c r="M155" s="23"/>
      <c r="N155" t="s">
        <v>386</v>
      </c>
      <c r="O155" s="23">
        <v>1000000</v>
      </c>
      <c r="Q155" s="185">
        <v>46234</v>
      </c>
    </row>
    <row r="156" spans="1:17" x14ac:dyDescent="0.25">
      <c r="A156">
        <v>635</v>
      </c>
      <c r="B156">
        <v>14011</v>
      </c>
      <c r="C156" t="s">
        <v>668</v>
      </c>
      <c r="D156" s="185">
        <v>46001</v>
      </c>
      <c r="E156" t="s">
        <v>669</v>
      </c>
      <c r="F156" t="s">
        <v>386</v>
      </c>
      <c r="G156" s="23">
        <v>110000</v>
      </c>
      <c r="H156" s="23">
        <v>110000</v>
      </c>
      <c r="J156" s="185"/>
      <c r="L156" t="s">
        <v>408</v>
      </c>
      <c r="M156" s="23"/>
      <c r="N156" t="s">
        <v>386</v>
      </c>
      <c r="O156" s="23">
        <v>110000</v>
      </c>
      <c r="Q156" s="185"/>
    </row>
    <row r="157" spans="1:17" x14ac:dyDescent="0.25">
      <c r="A157">
        <v>495</v>
      </c>
      <c r="B157">
        <v>2410</v>
      </c>
      <c r="C157" t="s">
        <v>419</v>
      </c>
      <c r="D157" s="185">
        <v>46153</v>
      </c>
      <c r="E157" t="s">
        <v>537</v>
      </c>
      <c r="F157" t="s">
        <v>386</v>
      </c>
      <c r="G157" s="23">
        <v>1375000</v>
      </c>
      <c r="H157" s="23">
        <v>1375000</v>
      </c>
      <c r="J157" s="185">
        <v>46518</v>
      </c>
      <c r="L157" t="s">
        <v>403</v>
      </c>
      <c r="M157" s="23"/>
      <c r="N157" t="s">
        <v>386</v>
      </c>
      <c r="O157" s="23">
        <v>1375000</v>
      </c>
      <c r="Q157" s="185">
        <v>46518</v>
      </c>
    </row>
    <row r="158" spans="1:17" x14ac:dyDescent="0.25">
      <c r="A158">
        <v>399</v>
      </c>
      <c r="B158">
        <v>17341</v>
      </c>
      <c r="C158" t="s">
        <v>701</v>
      </c>
      <c r="D158" s="185">
        <v>46076</v>
      </c>
      <c r="E158" t="s">
        <v>661</v>
      </c>
      <c r="F158" t="s">
        <v>386</v>
      </c>
      <c r="G158" s="23">
        <v>700000</v>
      </c>
      <c r="H158" s="23">
        <v>700000</v>
      </c>
      <c r="J158" s="185">
        <v>46441</v>
      </c>
      <c r="L158" t="s">
        <v>391</v>
      </c>
      <c r="M158" s="23"/>
      <c r="N158" t="s">
        <v>386</v>
      </c>
      <c r="O158" s="23">
        <v>700000</v>
      </c>
      <c r="Q158" s="185">
        <v>46441</v>
      </c>
    </row>
    <row r="159" spans="1:17" x14ac:dyDescent="0.25">
      <c r="A159">
        <v>610</v>
      </c>
      <c r="B159">
        <v>12098</v>
      </c>
      <c r="C159" t="s">
        <v>527</v>
      </c>
      <c r="D159" s="185">
        <v>45824</v>
      </c>
      <c r="E159" t="s">
        <v>533</v>
      </c>
      <c r="F159" t="s">
        <v>386</v>
      </c>
      <c r="G159" s="23">
        <v>500000</v>
      </c>
      <c r="H159" s="23">
        <v>500000</v>
      </c>
      <c r="J159" s="185">
        <v>46554</v>
      </c>
      <c r="K159">
        <v>28</v>
      </c>
      <c r="L159" t="s">
        <v>391</v>
      </c>
      <c r="M159" s="23"/>
      <c r="N159" t="s">
        <v>386</v>
      </c>
      <c r="O159" s="23">
        <v>500000</v>
      </c>
      <c r="Q159" s="185">
        <v>46554</v>
      </c>
    </row>
    <row r="160" spans="1:17" x14ac:dyDescent="0.25">
      <c r="A160">
        <v>259</v>
      </c>
      <c r="B160">
        <v>16646</v>
      </c>
      <c r="C160" t="s">
        <v>574</v>
      </c>
      <c r="D160" s="185">
        <v>45888</v>
      </c>
      <c r="E160" t="s">
        <v>517</v>
      </c>
      <c r="F160" t="s">
        <v>386</v>
      </c>
      <c r="G160" s="23">
        <v>500000</v>
      </c>
      <c r="H160" s="23">
        <v>500000</v>
      </c>
      <c r="J160" s="185">
        <v>46253</v>
      </c>
      <c r="K160">
        <v>360</v>
      </c>
      <c r="L160" t="s">
        <v>391</v>
      </c>
      <c r="M160" s="23"/>
      <c r="N160" t="s">
        <v>386</v>
      </c>
      <c r="O160" s="23">
        <v>500000</v>
      </c>
      <c r="Q160" s="185">
        <v>46253</v>
      </c>
    </row>
    <row r="161" spans="1:17" x14ac:dyDescent="0.25">
      <c r="A161">
        <v>613</v>
      </c>
      <c r="B161">
        <v>7420</v>
      </c>
      <c r="C161" t="s">
        <v>528</v>
      </c>
      <c r="D161" s="185">
        <v>45819</v>
      </c>
      <c r="E161" t="s">
        <v>531</v>
      </c>
      <c r="F161" t="s">
        <v>386</v>
      </c>
      <c r="G161" s="23">
        <v>300000</v>
      </c>
      <c r="H161" s="23">
        <v>300000</v>
      </c>
      <c r="J161" s="185">
        <v>46549</v>
      </c>
      <c r="K161">
        <v>28</v>
      </c>
      <c r="M161" s="23"/>
      <c r="N161" t="s">
        <v>386</v>
      </c>
      <c r="O161" s="23">
        <v>300000</v>
      </c>
      <c r="Q161" s="185">
        <v>46549</v>
      </c>
    </row>
    <row r="162" spans="1:17" x14ac:dyDescent="0.25">
      <c r="A162">
        <v>671</v>
      </c>
      <c r="B162">
        <v>15361</v>
      </c>
      <c r="C162" t="s">
        <v>588</v>
      </c>
      <c r="D162" s="185">
        <v>46183</v>
      </c>
      <c r="E162" t="s">
        <v>15631</v>
      </c>
      <c r="F162" t="s">
        <v>386</v>
      </c>
      <c r="G162" s="23">
        <v>25000</v>
      </c>
      <c r="H162" s="23">
        <v>25000</v>
      </c>
      <c r="J162" s="185">
        <v>46548</v>
      </c>
      <c r="K162">
        <v>20</v>
      </c>
      <c r="L162" t="s">
        <v>391</v>
      </c>
      <c r="M162" s="23"/>
      <c r="N162" t="s">
        <v>386</v>
      </c>
      <c r="O162" s="23">
        <v>25000</v>
      </c>
      <c r="Q162" s="185">
        <v>46548</v>
      </c>
    </row>
    <row r="163" spans="1:17" x14ac:dyDescent="0.25">
      <c r="A163">
        <v>614</v>
      </c>
      <c r="B163">
        <v>10941</v>
      </c>
      <c r="C163" t="s">
        <v>175</v>
      </c>
      <c r="D163" s="185">
        <v>45804</v>
      </c>
      <c r="E163" t="s">
        <v>512</v>
      </c>
      <c r="F163" t="s">
        <v>386</v>
      </c>
      <c r="G163" s="23">
        <v>800000</v>
      </c>
      <c r="H163" s="23">
        <v>800000</v>
      </c>
      <c r="J163" s="185">
        <v>46533</v>
      </c>
      <c r="L163" t="s">
        <v>391</v>
      </c>
      <c r="M163" s="23"/>
      <c r="N163" t="s">
        <v>386</v>
      </c>
      <c r="O163" s="23">
        <v>800000</v>
      </c>
      <c r="Q163" s="185">
        <v>46533</v>
      </c>
    </row>
    <row r="164" spans="1:17" x14ac:dyDescent="0.25">
      <c r="A164">
        <v>443</v>
      </c>
      <c r="B164">
        <v>17647</v>
      </c>
      <c r="C164" t="s">
        <v>798</v>
      </c>
      <c r="D164" s="185">
        <v>46099</v>
      </c>
      <c r="E164" t="s">
        <v>796</v>
      </c>
      <c r="F164" t="s">
        <v>386</v>
      </c>
      <c r="G164" s="23">
        <v>1200000</v>
      </c>
      <c r="H164" s="23">
        <v>1200000</v>
      </c>
      <c r="J164" s="185"/>
      <c r="L164" t="s">
        <v>391</v>
      </c>
      <c r="M164" s="23"/>
      <c r="N164" t="s">
        <v>386</v>
      </c>
      <c r="O164" s="23">
        <v>1200000</v>
      </c>
      <c r="Q164" s="185">
        <v>46464</v>
      </c>
    </row>
    <row r="165" spans="1:17" x14ac:dyDescent="0.25">
      <c r="A165">
        <v>615</v>
      </c>
      <c r="B165">
        <v>13114</v>
      </c>
      <c r="C165" t="s">
        <v>185</v>
      </c>
      <c r="D165" s="185">
        <v>45804</v>
      </c>
      <c r="E165" t="s">
        <v>512</v>
      </c>
      <c r="F165" t="s">
        <v>386</v>
      </c>
      <c r="G165" s="23">
        <v>310000</v>
      </c>
      <c r="H165" s="23">
        <v>310000</v>
      </c>
      <c r="J165" s="185">
        <v>46533</v>
      </c>
      <c r="L165" t="s">
        <v>391</v>
      </c>
      <c r="M165" s="23"/>
      <c r="N165" t="s">
        <v>386</v>
      </c>
      <c r="O165" s="23">
        <v>310000</v>
      </c>
      <c r="Q165" s="185">
        <v>46533</v>
      </c>
    </row>
    <row r="166" spans="1:17" x14ac:dyDescent="0.25">
      <c r="A166">
        <v>446</v>
      </c>
      <c r="B166">
        <v>17643</v>
      </c>
      <c r="C166" t="s">
        <v>799</v>
      </c>
      <c r="D166" s="185">
        <v>46099</v>
      </c>
      <c r="E166" t="s">
        <v>787</v>
      </c>
      <c r="F166" t="s">
        <v>386</v>
      </c>
      <c r="G166" s="23">
        <v>600000</v>
      </c>
      <c r="H166" s="23">
        <v>600000</v>
      </c>
      <c r="J166" s="185"/>
      <c r="L166" t="s">
        <v>391</v>
      </c>
      <c r="M166" s="23"/>
      <c r="N166" t="s">
        <v>386</v>
      </c>
      <c r="O166" s="23">
        <v>600000</v>
      </c>
      <c r="Q166" s="185">
        <v>46464</v>
      </c>
    </row>
    <row r="167" spans="1:17" x14ac:dyDescent="0.25">
      <c r="A167">
        <v>223</v>
      </c>
      <c r="B167">
        <v>9294</v>
      </c>
      <c r="C167" t="s">
        <v>429</v>
      </c>
      <c r="D167" s="185">
        <v>45838</v>
      </c>
      <c r="E167" t="s">
        <v>554</v>
      </c>
      <c r="F167" t="s">
        <v>386</v>
      </c>
      <c r="G167" s="23">
        <v>275000</v>
      </c>
      <c r="H167" s="23">
        <v>275000</v>
      </c>
      <c r="J167" s="185"/>
      <c r="L167" t="s">
        <v>408</v>
      </c>
      <c r="M167" s="23"/>
      <c r="N167" t="s">
        <v>386</v>
      </c>
      <c r="O167" s="23">
        <v>275000</v>
      </c>
      <c r="Q167" s="185">
        <v>46204</v>
      </c>
    </row>
    <row r="168" spans="1:17" x14ac:dyDescent="0.25">
      <c r="A168">
        <v>301</v>
      </c>
      <c r="B168">
        <v>2648</v>
      </c>
      <c r="C168" t="s">
        <v>452</v>
      </c>
      <c r="D168" s="185">
        <v>45933</v>
      </c>
      <c r="E168" t="s">
        <v>612</v>
      </c>
      <c r="F168" t="s">
        <v>386</v>
      </c>
      <c r="G168" s="23">
        <v>1375000</v>
      </c>
      <c r="H168" s="23">
        <v>1375000</v>
      </c>
      <c r="J168" s="185"/>
      <c r="L168" t="s">
        <v>613</v>
      </c>
      <c r="M168" s="23"/>
      <c r="N168" t="s">
        <v>386</v>
      </c>
      <c r="O168" s="23">
        <v>1375000</v>
      </c>
      <c r="Q168" s="185"/>
    </row>
    <row r="169" spans="1:17" x14ac:dyDescent="0.25">
      <c r="A169">
        <v>255</v>
      </c>
      <c r="B169">
        <v>7</v>
      </c>
      <c r="C169" t="s">
        <v>562</v>
      </c>
      <c r="D169" s="185">
        <v>45877</v>
      </c>
      <c r="E169" t="s">
        <v>572</v>
      </c>
      <c r="F169" t="s">
        <v>386</v>
      </c>
      <c r="G169" s="23">
        <v>50000</v>
      </c>
      <c r="H169" s="23">
        <v>50000</v>
      </c>
      <c r="J169" s="185">
        <v>46242</v>
      </c>
      <c r="L169" t="s">
        <v>391</v>
      </c>
      <c r="M169" s="23"/>
      <c r="N169" t="s">
        <v>386</v>
      </c>
      <c r="O169" s="23">
        <v>50000</v>
      </c>
      <c r="Q169" s="185">
        <v>46242</v>
      </c>
    </row>
    <row r="170" spans="1:17" x14ac:dyDescent="0.25">
      <c r="A170">
        <v>617</v>
      </c>
      <c r="B170">
        <v>7022</v>
      </c>
      <c r="C170" t="s">
        <v>15419</v>
      </c>
      <c r="D170" s="185">
        <v>45978</v>
      </c>
      <c r="E170" t="s">
        <v>505</v>
      </c>
      <c r="F170" t="s">
        <v>386</v>
      </c>
      <c r="G170" s="23">
        <v>1500000</v>
      </c>
      <c r="H170" s="23">
        <v>1500000</v>
      </c>
      <c r="J170" s="185">
        <v>46708</v>
      </c>
      <c r="L170" t="s">
        <v>403</v>
      </c>
      <c r="M170" s="23"/>
      <c r="N170" t="s">
        <v>386</v>
      </c>
      <c r="O170" s="23">
        <v>1500000</v>
      </c>
      <c r="Q170" s="185">
        <v>46708</v>
      </c>
    </row>
    <row r="171" spans="1:17" x14ac:dyDescent="0.25">
      <c r="A171">
        <v>303</v>
      </c>
      <c r="B171">
        <v>31</v>
      </c>
      <c r="C171" t="s">
        <v>261</v>
      </c>
      <c r="D171" s="185">
        <v>45936</v>
      </c>
      <c r="E171" t="s">
        <v>611</v>
      </c>
      <c r="F171" t="s">
        <v>386</v>
      </c>
      <c r="G171" s="23">
        <v>500000</v>
      </c>
      <c r="H171" s="23">
        <v>500000</v>
      </c>
      <c r="J171" s="185"/>
      <c r="L171" t="s">
        <v>391</v>
      </c>
      <c r="M171" s="23"/>
      <c r="N171" t="s">
        <v>386</v>
      </c>
      <c r="O171" s="23">
        <v>500000</v>
      </c>
      <c r="Q171" s="185"/>
    </row>
    <row r="172" spans="1:17" x14ac:dyDescent="0.25">
      <c r="A172">
        <v>415</v>
      </c>
      <c r="B172">
        <v>210</v>
      </c>
      <c r="C172" t="s">
        <v>299</v>
      </c>
      <c r="D172" s="185">
        <v>45919</v>
      </c>
      <c r="E172" t="s">
        <v>740</v>
      </c>
      <c r="F172" t="s">
        <v>386</v>
      </c>
      <c r="G172" s="23">
        <v>100000</v>
      </c>
      <c r="H172" s="23">
        <v>100000</v>
      </c>
      <c r="J172" s="185">
        <v>46284</v>
      </c>
      <c r="M172" s="23"/>
      <c r="N172" t="s">
        <v>386</v>
      </c>
      <c r="O172" s="23">
        <v>100000</v>
      </c>
      <c r="Q172" s="185"/>
    </row>
    <row r="173" spans="1:17" x14ac:dyDescent="0.25">
      <c r="A173">
        <v>618</v>
      </c>
      <c r="B173">
        <v>10541</v>
      </c>
      <c r="C173" t="s">
        <v>328</v>
      </c>
      <c r="D173" s="185">
        <v>45804</v>
      </c>
      <c r="E173" t="s">
        <v>512</v>
      </c>
      <c r="F173" t="s">
        <v>386</v>
      </c>
      <c r="G173" s="23">
        <v>1023000</v>
      </c>
      <c r="H173" s="23">
        <v>1023000</v>
      </c>
      <c r="J173" s="185">
        <v>46533</v>
      </c>
      <c r="L173" t="s">
        <v>391</v>
      </c>
      <c r="M173" s="23"/>
      <c r="N173" t="s">
        <v>386</v>
      </c>
      <c r="O173" s="23">
        <v>1023000</v>
      </c>
      <c r="Q173" s="185">
        <v>46533</v>
      </c>
    </row>
    <row r="174" spans="1:17" x14ac:dyDescent="0.25">
      <c r="A174">
        <v>387</v>
      </c>
      <c r="B174">
        <v>9295</v>
      </c>
      <c r="C174" t="s">
        <v>333</v>
      </c>
      <c r="D174" s="185">
        <v>46030</v>
      </c>
      <c r="E174" t="s">
        <v>704</v>
      </c>
      <c r="F174" t="s">
        <v>386</v>
      </c>
      <c r="G174" s="23">
        <v>990000</v>
      </c>
      <c r="H174" s="23">
        <v>990000</v>
      </c>
      <c r="J174" s="185">
        <v>46395</v>
      </c>
      <c r="L174" t="s">
        <v>391</v>
      </c>
      <c r="M174" s="23"/>
      <c r="N174" t="s">
        <v>386</v>
      </c>
      <c r="O174" s="23">
        <v>990000</v>
      </c>
      <c r="Q174" s="185">
        <v>46395</v>
      </c>
    </row>
    <row r="175" spans="1:17" x14ac:dyDescent="0.25">
      <c r="A175">
        <v>637</v>
      </c>
      <c r="B175">
        <v>2346</v>
      </c>
      <c r="C175" t="s">
        <v>453</v>
      </c>
      <c r="D175" s="185">
        <v>46090</v>
      </c>
      <c r="E175" t="s">
        <v>744</v>
      </c>
      <c r="F175" t="s">
        <v>386</v>
      </c>
      <c r="G175" s="23">
        <v>550000</v>
      </c>
      <c r="H175" s="23">
        <v>1100000</v>
      </c>
      <c r="J175" s="185">
        <v>46455</v>
      </c>
      <c r="L175" t="s">
        <v>391</v>
      </c>
      <c r="M175" s="23"/>
      <c r="N175" t="s">
        <v>386</v>
      </c>
      <c r="O175" s="23">
        <v>550000</v>
      </c>
      <c r="Q175" s="185">
        <v>46455</v>
      </c>
    </row>
    <row r="176" spans="1:17" x14ac:dyDescent="0.25">
      <c r="A176">
        <v>340</v>
      </c>
      <c r="B176">
        <v>12323</v>
      </c>
      <c r="C176" t="s">
        <v>235</v>
      </c>
      <c r="D176" s="185">
        <v>45980</v>
      </c>
      <c r="E176" t="s">
        <v>642</v>
      </c>
      <c r="F176" t="s">
        <v>386</v>
      </c>
      <c r="G176" s="23">
        <v>100000</v>
      </c>
      <c r="H176" s="23">
        <v>100000</v>
      </c>
      <c r="J176" s="185"/>
      <c r="L176" t="s">
        <v>391</v>
      </c>
      <c r="M176" s="23"/>
      <c r="N176" t="s">
        <v>386</v>
      </c>
      <c r="O176" s="23">
        <v>100000</v>
      </c>
      <c r="Q176" s="185"/>
    </row>
    <row r="177" spans="1:17" x14ac:dyDescent="0.25">
      <c r="A177">
        <v>413</v>
      </c>
      <c r="B177">
        <v>8855</v>
      </c>
      <c r="C177" t="s">
        <v>745</v>
      </c>
      <c r="D177" s="185">
        <v>46093</v>
      </c>
      <c r="E177" t="s">
        <v>661</v>
      </c>
      <c r="F177" t="s">
        <v>386</v>
      </c>
      <c r="G177" s="23">
        <v>750000</v>
      </c>
      <c r="H177" s="23">
        <v>750000</v>
      </c>
      <c r="J177" s="185">
        <v>46458</v>
      </c>
      <c r="L177" t="s">
        <v>391</v>
      </c>
      <c r="M177" s="23"/>
      <c r="N177" t="s">
        <v>386</v>
      </c>
      <c r="O177" s="23">
        <v>750000</v>
      </c>
      <c r="Q177" s="185">
        <v>46458</v>
      </c>
    </row>
    <row r="178" spans="1:17" x14ac:dyDescent="0.25">
      <c r="A178">
        <v>332</v>
      </c>
      <c r="B178">
        <v>833</v>
      </c>
      <c r="C178" t="s">
        <v>213</v>
      </c>
      <c r="D178" s="185">
        <v>45980</v>
      </c>
      <c r="E178" t="s">
        <v>642</v>
      </c>
      <c r="F178" t="s">
        <v>386</v>
      </c>
      <c r="G178" s="23">
        <v>500000</v>
      </c>
      <c r="H178" s="23">
        <v>500000</v>
      </c>
      <c r="J178" s="185">
        <v>46345</v>
      </c>
      <c r="L178" t="s">
        <v>391</v>
      </c>
      <c r="M178" s="23"/>
      <c r="N178" t="s">
        <v>386</v>
      </c>
      <c r="O178" s="23">
        <v>500000</v>
      </c>
      <c r="Q178" s="185">
        <v>46345</v>
      </c>
    </row>
    <row r="179" spans="1:17" x14ac:dyDescent="0.25">
      <c r="A179">
        <v>388</v>
      </c>
      <c r="B179">
        <v>17310</v>
      </c>
      <c r="C179" t="s">
        <v>699</v>
      </c>
      <c r="D179" s="185">
        <v>46030</v>
      </c>
      <c r="E179" t="s">
        <v>664</v>
      </c>
      <c r="F179" t="s">
        <v>386</v>
      </c>
      <c r="G179" s="23">
        <v>500000</v>
      </c>
      <c r="H179" s="23">
        <v>500000</v>
      </c>
      <c r="J179" s="185">
        <v>46395</v>
      </c>
      <c r="L179" t="s">
        <v>391</v>
      </c>
      <c r="M179" s="23"/>
      <c r="N179" t="s">
        <v>386</v>
      </c>
      <c r="O179" s="23">
        <v>500000</v>
      </c>
      <c r="Q179" s="185">
        <v>46395</v>
      </c>
    </row>
    <row r="180" spans="1:17" x14ac:dyDescent="0.25">
      <c r="A180">
        <v>377</v>
      </c>
      <c r="B180">
        <v>17145</v>
      </c>
      <c r="C180" t="s">
        <v>646</v>
      </c>
      <c r="D180" s="185">
        <v>45986</v>
      </c>
      <c r="E180" t="s">
        <v>647</v>
      </c>
      <c r="F180" t="s">
        <v>386</v>
      </c>
      <c r="G180" s="23">
        <v>275000</v>
      </c>
      <c r="H180" s="23">
        <v>275000</v>
      </c>
      <c r="J180" s="185"/>
      <c r="M180" s="23"/>
      <c r="N180" t="s">
        <v>386</v>
      </c>
      <c r="O180" s="23">
        <v>275000</v>
      </c>
      <c r="Q180" s="185"/>
    </row>
    <row r="181" spans="1:17" x14ac:dyDescent="0.25">
      <c r="A181">
        <v>379</v>
      </c>
      <c r="B181">
        <v>17276</v>
      </c>
      <c r="C181" t="s">
        <v>684</v>
      </c>
      <c r="D181" s="185">
        <v>46020</v>
      </c>
      <c r="E181" t="s">
        <v>664</v>
      </c>
      <c r="F181" t="s">
        <v>386</v>
      </c>
      <c r="G181" s="23">
        <v>400000</v>
      </c>
      <c r="H181" s="23">
        <v>400000</v>
      </c>
      <c r="J181" s="185">
        <v>46385</v>
      </c>
      <c r="L181" t="s">
        <v>391</v>
      </c>
      <c r="M181" s="23"/>
      <c r="N181" t="s">
        <v>386</v>
      </c>
      <c r="O181" s="23">
        <v>400000</v>
      </c>
      <c r="Q181" s="185"/>
    </row>
    <row r="182" spans="1:17" x14ac:dyDescent="0.25">
      <c r="A182">
        <v>272</v>
      </c>
      <c r="B182">
        <v>16723</v>
      </c>
      <c r="C182" t="s">
        <v>583</v>
      </c>
      <c r="D182" s="185">
        <v>45898</v>
      </c>
      <c r="E182" t="s">
        <v>584</v>
      </c>
      <c r="F182" t="s">
        <v>386</v>
      </c>
      <c r="G182" s="23">
        <v>1500000</v>
      </c>
      <c r="H182" s="23">
        <v>1500000</v>
      </c>
      <c r="J182" s="185">
        <v>46263</v>
      </c>
      <c r="L182" t="s">
        <v>391</v>
      </c>
      <c r="M182" s="23"/>
      <c r="N182" t="s">
        <v>386</v>
      </c>
      <c r="O182" s="23">
        <v>1500000</v>
      </c>
      <c r="Q182" s="185">
        <v>46263</v>
      </c>
    </row>
    <row r="183" spans="1:17" x14ac:dyDescent="0.25">
      <c r="A183">
        <v>621</v>
      </c>
      <c r="B183">
        <v>15509</v>
      </c>
      <c r="C183" t="s">
        <v>493</v>
      </c>
      <c r="D183" s="185">
        <v>45800</v>
      </c>
      <c r="E183" t="s">
        <v>511</v>
      </c>
      <c r="F183" t="s">
        <v>386</v>
      </c>
      <c r="G183" s="23">
        <v>100000</v>
      </c>
      <c r="H183" s="23">
        <v>100000</v>
      </c>
      <c r="J183" s="185">
        <v>46530</v>
      </c>
      <c r="K183">
        <v>5</v>
      </c>
      <c r="L183" t="s">
        <v>391</v>
      </c>
      <c r="M183" s="23"/>
      <c r="N183" t="s">
        <v>386</v>
      </c>
      <c r="O183" s="23">
        <v>100000</v>
      </c>
      <c r="Q183" s="185">
        <v>46530</v>
      </c>
    </row>
    <row r="184" spans="1:17" x14ac:dyDescent="0.25">
      <c r="A184">
        <v>638</v>
      </c>
      <c r="B184">
        <v>11326</v>
      </c>
      <c r="C184" t="s">
        <v>179</v>
      </c>
      <c r="D184" s="185">
        <v>45869</v>
      </c>
      <c r="E184" t="s">
        <v>663</v>
      </c>
      <c r="F184" t="s">
        <v>386</v>
      </c>
      <c r="G184" s="23">
        <v>660000</v>
      </c>
      <c r="H184" s="23">
        <v>660000</v>
      </c>
      <c r="J184" s="185">
        <v>46599</v>
      </c>
      <c r="K184">
        <v>270</v>
      </c>
      <c r="M184" s="23"/>
      <c r="N184" t="s">
        <v>386</v>
      </c>
      <c r="O184" s="23">
        <v>660000</v>
      </c>
      <c r="Q184" s="185">
        <v>46599</v>
      </c>
    </row>
    <row r="185" spans="1:17" x14ac:dyDescent="0.25">
      <c r="A185">
        <v>623</v>
      </c>
      <c r="B185">
        <v>17511</v>
      </c>
      <c r="C185" t="s">
        <v>741</v>
      </c>
      <c r="D185" s="185">
        <v>46076</v>
      </c>
      <c r="E185" t="s">
        <v>664</v>
      </c>
      <c r="F185" t="s">
        <v>386</v>
      </c>
      <c r="G185" s="23">
        <v>300000</v>
      </c>
      <c r="H185" s="23">
        <v>300000</v>
      </c>
      <c r="J185" s="185">
        <v>46441</v>
      </c>
      <c r="L185" t="s">
        <v>391</v>
      </c>
      <c r="M185" s="23"/>
      <c r="N185" t="s">
        <v>386</v>
      </c>
      <c r="O185" s="23">
        <v>300000</v>
      </c>
      <c r="Q185" s="185">
        <v>46441</v>
      </c>
    </row>
    <row r="186" spans="1:17" x14ac:dyDescent="0.25">
      <c r="A186">
        <v>409</v>
      </c>
      <c r="B186">
        <v>17512</v>
      </c>
      <c r="C186" t="s">
        <v>746</v>
      </c>
      <c r="D186" s="185">
        <v>46083</v>
      </c>
      <c r="E186" t="s">
        <v>664</v>
      </c>
      <c r="F186" t="s">
        <v>386</v>
      </c>
      <c r="G186" s="23">
        <v>400000</v>
      </c>
      <c r="H186" s="23">
        <v>400000</v>
      </c>
      <c r="J186" s="185">
        <v>46448</v>
      </c>
      <c r="L186" t="s">
        <v>391</v>
      </c>
      <c r="M186" s="23"/>
      <c r="N186" t="s">
        <v>386</v>
      </c>
      <c r="O186" s="23">
        <v>400000</v>
      </c>
      <c r="Q186" s="185">
        <v>46448</v>
      </c>
    </row>
    <row r="187" spans="1:17" x14ac:dyDescent="0.25">
      <c r="A187">
        <v>660</v>
      </c>
      <c r="B187">
        <v>17660</v>
      </c>
      <c r="C187" t="s">
        <v>4523</v>
      </c>
      <c r="D187" s="185">
        <v>46164</v>
      </c>
      <c r="E187" t="s">
        <v>15606</v>
      </c>
      <c r="F187" t="s">
        <v>386</v>
      </c>
      <c r="G187" s="23">
        <v>275000</v>
      </c>
      <c r="H187" s="23">
        <v>275000</v>
      </c>
      <c r="J187" s="185">
        <v>46529</v>
      </c>
      <c r="M187" s="23"/>
      <c r="N187" t="s">
        <v>386</v>
      </c>
      <c r="O187" s="23">
        <v>275000</v>
      </c>
      <c r="Q187" s="185">
        <v>46529</v>
      </c>
    </row>
    <row r="188" spans="1:17" x14ac:dyDescent="0.25">
      <c r="A188">
        <v>682</v>
      </c>
      <c r="B188">
        <v>6370</v>
      </c>
      <c r="C188" t="s">
        <v>264</v>
      </c>
      <c r="D188" s="185">
        <v>45994</v>
      </c>
      <c r="E188" t="s">
        <v>728</v>
      </c>
      <c r="F188" t="s">
        <v>386</v>
      </c>
      <c r="G188" s="23">
        <v>750000</v>
      </c>
      <c r="H188" s="23">
        <v>750000</v>
      </c>
      <c r="J188" s="185">
        <v>46724</v>
      </c>
      <c r="K188">
        <v>60</v>
      </c>
      <c r="L188" t="s">
        <v>391</v>
      </c>
      <c r="M188" s="23"/>
      <c r="N188" t="s">
        <v>386</v>
      </c>
      <c r="O188" s="23">
        <v>550000</v>
      </c>
      <c r="Q188" s="185">
        <v>46724</v>
      </c>
    </row>
  </sheetData>
  <autoFilter ref="A1:Q185" xr:uid="{5B539DC2-5FDB-4BE7-96C1-31ACE1BC57B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45"/>
  <sheetViews>
    <sheetView showGridLines="0" zoomScale="80" zoomScaleNormal="80" workbookViewId="0">
      <pane xSplit="14" ySplit="3" topLeftCell="O4" activePane="bottomRight" state="frozen"/>
      <selection activeCell="B4" sqref="B4:AA145"/>
      <selection pane="topRight" activeCell="B4" sqref="B4:AA145"/>
      <selection pane="bottomLeft" activeCell="B4" sqref="B4:AA145"/>
      <selection pane="bottomRight" activeCell="B4" sqref="B4:AA145"/>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7"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46">
        <v>46154</v>
      </c>
      <c r="C1" s="11"/>
      <c r="D1" s="11"/>
      <c r="E1" s="11"/>
      <c r="F1" s="11"/>
      <c r="G1" s="9">
        <f t="shared" ref="G1:P1" si="0">SUBTOTAL(9,G4:G101)</f>
        <v>30766768.209999997</v>
      </c>
      <c r="H1" s="58">
        <f t="shared" si="0"/>
        <v>76320.399999999994</v>
      </c>
      <c r="I1" s="9">
        <f t="shared" si="0"/>
        <v>0</v>
      </c>
      <c r="J1" s="9">
        <f t="shared" si="0"/>
        <v>0</v>
      </c>
      <c r="K1" s="9">
        <f t="shared" si="0"/>
        <v>0</v>
      </c>
      <c r="L1" s="9">
        <f t="shared" si="0"/>
        <v>0</v>
      </c>
      <c r="M1" s="9">
        <f t="shared" si="0"/>
        <v>64.2</v>
      </c>
      <c r="N1" s="9">
        <f t="shared" si="0"/>
        <v>483754.64</v>
      </c>
      <c r="O1" s="9">
        <f t="shared" si="0"/>
        <v>560139.24</v>
      </c>
      <c r="P1" s="9">
        <f t="shared" si="0"/>
        <v>30206628.969999995</v>
      </c>
      <c r="Q1" s="9">
        <f t="shared" ref="Q1:W1" si="1">SUM(Q4:Q102)</f>
        <v>14131402.299999995</v>
      </c>
      <c r="R1" s="9">
        <f t="shared" si="1"/>
        <v>8544758.9800000004</v>
      </c>
      <c r="S1" s="9">
        <f t="shared" si="1"/>
        <v>7185860.4699999988</v>
      </c>
      <c r="T1" s="9">
        <f t="shared" si="1"/>
        <v>247837.21</v>
      </c>
      <c r="U1" s="9">
        <f t="shared" si="1"/>
        <v>0</v>
      </c>
      <c r="V1" s="9">
        <f t="shared" si="1"/>
        <v>0</v>
      </c>
      <c r="W1" s="9">
        <f t="shared" si="1"/>
        <v>96770.01</v>
      </c>
      <c r="X1" s="9">
        <f>SUBTOTAL(9,X4:X101)</f>
        <v>628719.68599999999</v>
      </c>
      <c r="Y1" s="10"/>
      <c r="Z1" s="10"/>
      <c r="AA1" s="9">
        <f>SUBTOTAL(9,AA4:AA1048576)</f>
        <v>92725000</v>
      </c>
      <c r="AD1" s="10"/>
      <c r="AE1" s="14"/>
      <c r="AF1" s="10"/>
      <c r="AG1" s="25">
        <f>SUBTOTAL(9,AG4:AG106)</f>
        <v>54738231.789999984</v>
      </c>
      <c r="AH1" s="10"/>
      <c r="AI1" s="160">
        <f>O1/G1</f>
        <v>1.8205982382574072E-2</v>
      </c>
    </row>
    <row r="2" spans="1:39" ht="18.600000000000001" customHeight="1" thickBot="1" x14ac:dyDescent="0.3">
      <c r="B2" s="8"/>
      <c r="C2" s="45"/>
      <c r="D2" s="45"/>
      <c r="E2" s="45"/>
      <c r="F2" s="45"/>
      <c r="G2" s="8"/>
      <c r="H2" s="40" t="s">
        <v>21</v>
      </c>
      <c r="I2" s="40"/>
      <c r="J2" s="40"/>
      <c r="K2" s="40"/>
      <c r="L2" s="40"/>
      <c r="M2" s="40"/>
      <c r="N2" s="40"/>
      <c r="O2" s="31"/>
      <c r="P2" s="31"/>
      <c r="Q2" s="40" t="s">
        <v>15</v>
      </c>
      <c r="R2" s="40"/>
      <c r="S2" s="40"/>
      <c r="T2" s="40"/>
      <c r="U2" s="40"/>
      <c r="V2" s="40"/>
      <c r="W2" s="40"/>
      <c r="X2" s="8"/>
      <c r="Y2" s="6"/>
      <c r="Z2" s="6"/>
      <c r="AA2" s="41"/>
      <c r="AB2" s="41"/>
      <c r="AC2" s="41"/>
      <c r="AD2" s="41"/>
      <c r="AE2" s="41"/>
      <c r="AF2" s="6"/>
      <c r="AG2" s="35"/>
      <c r="AH2" s="6"/>
      <c r="AI2" s="36" t="s">
        <v>414</v>
      </c>
      <c r="AJ2" s="36"/>
      <c r="AK2" s="36"/>
    </row>
    <row r="3" spans="1:39" ht="15" thickTop="1" thickBot="1" x14ac:dyDescent="0.3">
      <c r="A3" t="s">
        <v>207</v>
      </c>
      <c r="B3" s="8" t="s">
        <v>19</v>
      </c>
      <c r="C3" s="45" t="s">
        <v>375</v>
      </c>
      <c r="D3" s="45" t="s">
        <v>426</v>
      </c>
      <c r="E3" s="52" t="s">
        <v>410</v>
      </c>
      <c r="F3" s="45" t="s">
        <v>411</v>
      </c>
      <c r="G3" s="12" t="s">
        <v>16</v>
      </c>
      <c r="H3" s="38" t="s">
        <v>8</v>
      </c>
      <c r="I3" s="38" t="s">
        <v>9</v>
      </c>
      <c r="J3" s="38" t="s">
        <v>10</v>
      </c>
      <c r="K3" s="38" t="s">
        <v>11</v>
      </c>
      <c r="L3" s="38" t="s">
        <v>12</v>
      </c>
      <c r="M3" s="38" t="s">
        <v>13</v>
      </c>
      <c r="N3" s="39" t="s">
        <v>14</v>
      </c>
      <c r="O3" s="12" t="s">
        <v>22</v>
      </c>
      <c r="P3" s="12" t="s">
        <v>7</v>
      </c>
      <c r="Q3" s="38" t="s">
        <v>8</v>
      </c>
      <c r="R3" s="38" t="s">
        <v>9</v>
      </c>
      <c r="S3" s="38" t="s">
        <v>10</v>
      </c>
      <c r="T3" s="38" t="s">
        <v>11</v>
      </c>
      <c r="U3" s="38" t="s">
        <v>12</v>
      </c>
      <c r="V3" s="38" t="s">
        <v>13</v>
      </c>
      <c r="W3" s="39" t="s">
        <v>14</v>
      </c>
      <c r="X3" s="12" t="s">
        <v>267</v>
      </c>
      <c r="Y3" s="6" t="s">
        <v>207</v>
      </c>
      <c r="Z3" s="6" t="s">
        <v>207</v>
      </c>
      <c r="AA3" s="12" t="s">
        <v>412</v>
      </c>
      <c r="AB3" s="12" t="s">
        <v>418</v>
      </c>
      <c r="AC3" s="13" t="s">
        <v>18</v>
      </c>
      <c r="AD3" s="13" t="s">
        <v>17</v>
      </c>
      <c r="AE3" s="15" t="s">
        <v>20</v>
      </c>
      <c r="AF3" s="6" t="s">
        <v>207</v>
      </c>
      <c r="AG3" s="35" t="s">
        <v>413</v>
      </c>
      <c r="AH3" s="6" t="s">
        <v>207</v>
      </c>
      <c r="AI3" s="55" t="s">
        <v>415</v>
      </c>
      <c r="AJ3" s="56" t="s">
        <v>416</v>
      </c>
      <c r="AK3" s="56" t="s">
        <v>417</v>
      </c>
    </row>
    <row r="4" spans="1:39" ht="15.75" customHeight="1" thickTop="1" x14ac:dyDescent="0.25">
      <c r="B4" s="37" t="s">
        <v>431</v>
      </c>
      <c r="C4" s="152" t="str">
        <f>IFERROR(_xlfn.XLOOKUP(B4,'Limite de crédito'!C:C,'Limite de crédito'!L:L,),0)</f>
        <v>B</v>
      </c>
      <c r="D4" s="44"/>
      <c r="E4" s="18">
        <f>_xlfn.XLOOKUP(B4,'Limite de crédito'!C:C,'Limite de crédito'!G:G,0)</f>
        <v>15000000</v>
      </c>
      <c r="F4" s="18">
        <f>E4-G4</f>
        <v>7509591.4400000004</v>
      </c>
      <c r="G4" s="18">
        <f>P4+O4</f>
        <v>7490408.5599999996</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2">
        <f>SUMIFS('Data Additive'!$D:$D,'Data Additive'!$P:$P,'Painel Additive'!$B4,'Data Additive'!$Q:$Q,"&gt;360")</f>
        <v>16754.72</v>
      </c>
      <c r="O4" s="65">
        <f>SUMIFS('Data Additive'!$D:$D,'Data Additive'!$P:$P,'Painel Additive'!$B4,'Data Additive'!$Q:$Q,"&gt;0")</f>
        <v>16818.920000000002</v>
      </c>
      <c r="P4" s="19">
        <f>SUM(Q4:W4)</f>
        <v>7473589.6399999997</v>
      </c>
      <c r="Q4" s="19">
        <f>SUMIFS('Data Additive'!$D:$D,'Data Additive'!$P:$P,'Painel Additive'!$B4,'Data Additive'!$Q:$Q,"&lt;=0",'Data Additive'!$Q:$Q,"&gt;=-30")</f>
        <v>746905.4</v>
      </c>
      <c r="R4" s="19">
        <f>SUMIFS('Data Additive'!$D:$D,'Data Additive'!$P:$P,'Painel Additive'!$B4,'Data Additive'!$Q:$Q,"&lt;=-31",'Data Additive'!$Q:$Q,"&gt;=-60")</f>
        <v>2076080.4700000002</v>
      </c>
      <c r="S4" s="19">
        <f>SUMIFS('Data Additive'!$D:$D,'Data Additive'!$P:$P,'Painel Additive'!$B4,'Data Additive'!$Q:$Q,"&lt;=-61",'Data Additive'!$Q:$Q,"&gt;=-90")</f>
        <v>4650603.7699999996</v>
      </c>
      <c r="T4" s="19">
        <f>SUMIFS('Data Additive'!$D:$D,'Data Additive'!$P:$P,'Painel Additive'!$B4,'Data Additive'!$Q:$Q,"&lt;=-91",'Data Additive'!$Q:$Q,"&gt;=-120")</f>
        <v>0</v>
      </c>
      <c r="U4" s="19">
        <f>SUMIFS('Data Additive'!$D:$D,'Data Additive'!$P:$P,'Painel Additive'!$B4,'Data Additive'!$Q:$Q,"&lt;=-121",'Data Additive'!$Q:$Q,"&gt;=-180")</f>
        <v>0</v>
      </c>
      <c r="V4" s="19">
        <f>SUMIFS('Data Additive'!$D:$D,'Data Additive'!$P:$P,'Painel Additive'!$B4,'Data Additive'!$Q:$Q,"&lt;=-181",'Data Additive'!$Q:$Q,"&gt;=-360")</f>
        <v>0</v>
      </c>
      <c r="W4" s="22">
        <f>SUMIFS('Data Additive'!$D:$D,'Data Additive'!$P:$P,'Painel Additive'!$B4,'Data Additive'!$Q:$Q,"&lt;-360")</f>
        <v>0</v>
      </c>
      <c r="X4" s="19">
        <f>SUMIFS('Bad Debt Provision'!AB:AB,'Bad Debt Provision'!B:B,'Painel Additive'!B4)</f>
        <v>84619.766000000003</v>
      </c>
      <c r="Y4" s="5"/>
      <c r="Z4" s="5"/>
      <c r="AA4" s="19">
        <f>IFERROR(_xlfn.XLOOKUP(B4,'Limite de crédito'!C:C,'Limite de crédito'!O:O,),0)</f>
        <v>15000000</v>
      </c>
      <c r="AB4" s="19"/>
      <c r="AC4" s="20"/>
      <c r="AD4" s="21"/>
      <c r="AE4" s="21"/>
      <c r="AF4" s="5"/>
      <c r="AG4" s="53">
        <f t="shared" ref="AG4:AG67" si="2">AA4-G4</f>
        <v>7509591.4400000004</v>
      </c>
    </row>
    <row r="5" spans="1:39" ht="15" customHeight="1" x14ac:dyDescent="0.25">
      <c r="B5" s="37" t="s">
        <v>355</v>
      </c>
      <c r="C5" s="152" t="str">
        <f>IFERROR(_xlfn.XLOOKUP(B5,'Limite de crédito'!C:C,'Limite de crédito'!L:L,),0)</f>
        <v>B</v>
      </c>
      <c r="D5" s="44"/>
      <c r="E5" s="18">
        <f>_xlfn.XLOOKUP(B5,'Limite de crédito'!C:C,'Limite de crédito'!G:G,0)</f>
        <v>1158000</v>
      </c>
      <c r="F5" s="18">
        <f t="shared" ref="F5:F26" si="3">E5-G5</f>
        <v>769074.2</v>
      </c>
      <c r="G5" s="18">
        <f t="shared" ref="G5:G26" si="4">P5+O5</f>
        <v>388925.8</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2">
        <f>SUMIFS('Data Additive'!$D:$D,'Data Additive'!$P:$P,'Painel Additive'!$B5,'Data Additive'!$Q:$Q,"&gt;360")</f>
        <v>0</v>
      </c>
      <c r="O5" s="65">
        <f>SUMIFS('Data Additive'!$D:$D,'Data Additive'!$P:$P,'Painel Additive'!$B5,'Data Additive'!$Q:$Q,"&gt;0")</f>
        <v>0</v>
      </c>
      <c r="P5" s="19">
        <f t="shared" ref="P5:P54" si="5">SUM(Q5:W5)</f>
        <v>388925.8</v>
      </c>
      <c r="Q5" s="19">
        <f>SUMIFS('Data Additive'!$D:$D,'Data Additive'!$P:$P,'Painel Additive'!$B5,'Data Additive'!$Q:$Q,"&lt;=0",'Data Additive'!$Q:$Q,"&gt;=-30")</f>
        <v>388925.8</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2">
        <f>SUMIFS('Data Additive'!$D:$D,'Data Additive'!$P:$P,'Painel Additive'!$B5,'Data Additive'!$Q:$Q,"&lt;-360")</f>
        <v>0</v>
      </c>
      <c r="X5" s="19">
        <f>SUMIFS('Bad Debt Provision'!AB:AB,'Bad Debt Provision'!B:B,'Painel Additive'!B5)</f>
        <v>1200</v>
      </c>
      <c r="Y5" s="5"/>
      <c r="Z5" s="5"/>
      <c r="AA5" s="19">
        <f>IFERROR(_xlfn.XLOOKUP(B5,'Limite de crédito'!C:C,'Limite de crédito'!O:O,),0)</f>
        <v>1158000</v>
      </c>
      <c r="AB5" s="19"/>
      <c r="AC5" s="20"/>
      <c r="AD5" s="21"/>
      <c r="AE5" s="21"/>
      <c r="AF5" s="5"/>
      <c r="AG5" s="53">
        <f t="shared" si="2"/>
        <v>769074.2</v>
      </c>
    </row>
    <row r="6" spans="1:39" ht="15.75" customHeight="1" x14ac:dyDescent="0.25">
      <c r="B6" s="37" t="s">
        <v>359</v>
      </c>
      <c r="C6" s="152" t="str">
        <f>IFERROR(_xlfn.XLOOKUP(B6,'Limite de crédito'!C:C,'Limite de crédito'!L:L,),0)</f>
        <v>B</v>
      </c>
      <c r="D6" s="44"/>
      <c r="E6" s="18">
        <f>_xlfn.XLOOKUP(B6,'Limite de crédito'!C:C,'Limite de crédito'!G:G,0)</f>
        <v>6000000</v>
      </c>
      <c r="F6" s="18">
        <f t="shared" si="3"/>
        <v>1215850.0199999996</v>
      </c>
      <c r="G6" s="18">
        <f t="shared" si="4"/>
        <v>4784149.9800000004</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2">
        <f>SUMIFS('Data Additive'!$D:$D,'Data Additive'!$P:$P,'Painel Additive'!$B6,'Data Additive'!$Q:$Q,"&gt;360")</f>
        <v>5626.32</v>
      </c>
      <c r="O6" s="65">
        <f>SUMIFS('Data Additive'!$D:$D,'Data Additive'!$P:$P,'Painel Additive'!$B6,'Data Additive'!$Q:$Q,"&gt;0")</f>
        <v>5626.32</v>
      </c>
      <c r="P6" s="19">
        <f t="shared" si="5"/>
        <v>4778523.66</v>
      </c>
      <c r="Q6" s="19">
        <f>SUMIFS('Data Additive'!$D:$D,'Data Additive'!$P:$P,'Painel Additive'!$B6,'Data Additive'!$Q:$Q,"&lt;=0",'Data Additive'!$Q:$Q,"&gt;=-30")</f>
        <v>3419201.11</v>
      </c>
      <c r="R6" s="19">
        <f>SUMIFS('Data Additive'!$D:$D,'Data Additive'!$P:$P,'Painel Additive'!$B6,'Data Additive'!$Q:$Q,"&lt;=-31",'Data Additive'!$Q:$Q,"&gt;=-60")</f>
        <v>1359322.5500000003</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2">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1"/>
      <c r="AE6" s="21"/>
      <c r="AF6" s="5"/>
      <c r="AG6" s="53">
        <f t="shared" si="2"/>
        <v>1215850.0199999996</v>
      </c>
      <c r="AL6" t="s">
        <v>16</v>
      </c>
      <c r="AM6" s="34">
        <f>G1+'Painel Fertilizers'!G1+'Painel International'!G1-AM8</f>
        <v>41457912.889999986</v>
      </c>
    </row>
    <row r="7" spans="1:39" ht="16.2" customHeight="1" x14ac:dyDescent="0.25">
      <c r="B7" s="37" t="s">
        <v>358</v>
      </c>
      <c r="C7" s="152" t="str">
        <f>IFERROR(_xlfn.XLOOKUP(B7,'Limite de crédito'!C:C,'Limite de crédito'!L:L,),0)</f>
        <v>B</v>
      </c>
      <c r="D7" s="44"/>
      <c r="E7" s="18">
        <f>_xlfn.XLOOKUP(B7,'Limite de crédito'!C:C,'Limite de crédito'!G:G,0)</f>
        <v>500000</v>
      </c>
      <c r="F7" s="18">
        <f t="shared" si="3"/>
        <v>329040.59999999998</v>
      </c>
      <c r="G7" s="18">
        <f t="shared" si="4"/>
        <v>170959.4</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2">
        <f>SUMIFS('Data Additive'!$D:$D,'Data Additive'!$P:$P,'Painel Additive'!$B7,'Data Additive'!$Q:$Q,"&gt;360")</f>
        <v>0</v>
      </c>
      <c r="O7" s="65">
        <f>SUMIFS('Data Additive'!$D:$D,'Data Additive'!$P:$P,'Painel Additive'!$B7,'Data Additive'!$Q:$Q,"&gt;0")</f>
        <v>0</v>
      </c>
      <c r="P7" s="19">
        <f t="shared" si="5"/>
        <v>170959.4</v>
      </c>
      <c r="Q7" s="19">
        <f>SUMIFS('Data Additive'!$D:$D,'Data Additive'!$P:$P,'Painel Additive'!$B7,'Data Additive'!$Q:$Q,"&lt;=0",'Data Additive'!$Q:$Q,"&gt;=-30")</f>
        <v>65330</v>
      </c>
      <c r="R7" s="19">
        <f>SUMIFS('Data Additive'!$D:$D,'Data Additive'!$P:$P,'Painel Additive'!$B7,'Data Additive'!$Q:$Q,"&lt;=-31",'Data Additive'!$Q:$Q,"&gt;=-60")</f>
        <v>105629.4</v>
      </c>
      <c r="S7" s="19">
        <f>SUMIFS('Data Additive'!$D:$D,'Data Additive'!$P:$P,'Painel Additive'!$B7,'Data Additive'!$Q:$Q,"&lt;=-61",'Data Additive'!$Q:$Q,"&gt;=-90")</f>
        <v>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2">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1"/>
      <c r="AE7" s="21"/>
      <c r="AF7" s="5"/>
      <c r="AG7" s="53">
        <f t="shared" si="2"/>
        <v>329040.59999999998</v>
      </c>
      <c r="AL7" t="s">
        <v>430</v>
      </c>
      <c r="AM7" s="27">
        <f>AG1+'Painel Fertilizers'!AG1+'Painel International'!AG1</f>
        <v>95792322.359999985</v>
      </c>
    </row>
    <row r="8" spans="1:39" ht="16.2" customHeight="1" x14ac:dyDescent="0.25">
      <c r="B8" s="37" t="s">
        <v>353</v>
      </c>
      <c r="C8" s="152" t="str">
        <f>IFERROR(_xlfn.XLOOKUP(B8,'Limite de crédito'!C:C,'Limite de crédito'!L:L,),0)</f>
        <v>B</v>
      </c>
      <c r="D8" s="44"/>
      <c r="E8" s="18">
        <f>_xlfn.XLOOKUP(B8,'Limite de crédito'!C:C,'Limite de crédito'!G:G,0)</f>
        <v>4000000</v>
      </c>
      <c r="F8" s="18">
        <f t="shared" si="3"/>
        <v>3594860</v>
      </c>
      <c r="G8" s="18">
        <f t="shared" si="4"/>
        <v>405140</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2">
        <f>SUMIFS('Data Additive'!$D:$D,'Data Additive'!$P:$P,'Painel Additive'!$B8,'Data Additive'!$Q:$Q,"&gt;360")</f>
        <v>0</v>
      </c>
      <c r="O8" s="65">
        <f>SUMIFS('Data Additive'!$D:$D,'Data Additive'!$P:$P,'Painel Additive'!$B8,'Data Additive'!$Q:$Q,"&gt;0")</f>
        <v>0</v>
      </c>
      <c r="P8" s="19">
        <f t="shared" si="5"/>
        <v>405140</v>
      </c>
      <c r="Q8" s="19">
        <f>SUMIFS('Data Additive'!$D:$D,'Data Additive'!$P:$P,'Painel Additive'!$B8,'Data Additive'!$Q:$Q,"&lt;=0",'Data Additive'!$Q:$Q,"&gt;=-30")</f>
        <v>268136.7</v>
      </c>
      <c r="R8" s="19">
        <f>SUMIFS('Data Additive'!$D:$D,'Data Additive'!$P:$P,'Painel Additive'!$B8,'Data Additive'!$Q:$Q,"&lt;=-31",'Data Additive'!$Q:$Q,"&gt;=-60")</f>
        <v>137003.29999999999</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2">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1"/>
      <c r="AE8" s="21"/>
      <c r="AF8" s="5"/>
      <c r="AG8" s="53">
        <f t="shared" si="2"/>
        <v>3594860</v>
      </c>
      <c r="AM8" s="71">
        <v>21461777.98</v>
      </c>
    </row>
    <row r="9" spans="1:39" ht="15.75" customHeight="1" x14ac:dyDescent="0.25">
      <c r="B9" s="37" t="s">
        <v>356</v>
      </c>
      <c r="C9" s="152" t="str">
        <f>IFERROR(_xlfn.XLOOKUP(B9,'Limite de crédito'!C:C,'Limite de crédito'!L:L,),0)</f>
        <v>B</v>
      </c>
      <c r="D9" s="44"/>
      <c r="E9" s="18">
        <f>_xlfn.XLOOKUP(B9,'Limite de crédito'!C:C,'Limite de crédito'!G:G,0)</f>
        <v>4500000</v>
      </c>
      <c r="F9" s="18">
        <f t="shared" si="3"/>
        <v>4037070.2</v>
      </c>
      <c r="G9" s="18">
        <f t="shared" si="4"/>
        <v>462929.8</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2">
        <f>SUMIFS('Data Additive'!$D:$D,'Data Additive'!$P:$P,'Painel Additive'!$B9,'Data Additive'!$Q:$Q,"&gt;360")</f>
        <v>0</v>
      </c>
      <c r="O9" s="65">
        <f>SUMIFS('Data Additive'!$D:$D,'Data Additive'!$P:$P,'Painel Additive'!$B9,'Data Additive'!$Q:$Q,"&gt;0")</f>
        <v>0</v>
      </c>
      <c r="P9" s="19">
        <f t="shared" si="5"/>
        <v>462929.8</v>
      </c>
      <c r="Q9" s="19">
        <f>SUMIFS('Data Additive'!$D:$D,'Data Additive'!$P:$P,'Painel Additive'!$B9,'Data Additive'!$Q:$Q,"&lt;=0",'Data Additive'!$Q:$Q,"&gt;=-30")</f>
        <v>462929.8</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2">
        <f>SUMIFS('Data Additive'!$D:$D,'Data Additive'!$P:$P,'Painel Additive'!$B9,'Data Additive'!$Q:$Q,"&lt;-360")</f>
        <v>0</v>
      </c>
      <c r="X9" s="19">
        <f>SUMIFS('Bad Debt Provision'!AB:AB,'Bad Debt Provision'!B:B,'Painel Additive'!B9)</f>
        <v>0</v>
      </c>
      <c r="Y9" s="5"/>
      <c r="Z9" s="5"/>
      <c r="AA9" s="19">
        <f>IFERROR(_xlfn.XLOOKUP(B9,'Limite de crédito'!C:C,'Limite de crédito'!O:O,),0)</f>
        <v>4500000</v>
      </c>
      <c r="AB9" s="19"/>
      <c r="AC9" s="20"/>
      <c r="AD9" s="21"/>
      <c r="AE9" s="21"/>
      <c r="AF9" s="5"/>
      <c r="AG9" s="53">
        <f t="shared" si="2"/>
        <v>4037070.2</v>
      </c>
      <c r="AM9" s="34">
        <f>AM7+AM8</f>
        <v>117254100.33999999</v>
      </c>
    </row>
    <row r="10" spans="1:39" ht="13.95" customHeight="1" x14ac:dyDescent="0.25">
      <c r="B10" s="37" t="s">
        <v>367</v>
      </c>
      <c r="C10" s="152">
        <f>IFERROR(_xlfn.XLOOKUP(B10,'Limite de crédito'!C:C,'Limite de crédito'!L:L,),0)</f>
        <v>0</v>
      </c>
      <c r="D10" s="44"/>
      <c r="E10" s="18">
        <f>_xlfn.XLOOKUP(B10,'Limite de crédito'!C:C,'Limite de crédito'!G:G,0)</f>
        <v>0</v>
      </c>
      <c r="F10" s="18">
        <f t="shared" si="3"/>
        <v>-144324</v>
      </c>
      <c r="G10" s="18">
        <f t="shared" si="4"/>
        <v>144324</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2">
        <f>SUMIFS('Data Additive'!$D:$D,'Data Additive'!$P:$P,'Painel Additive'!$B10,'Data Additive'!$Q:$Q,"&gt;360")</f>
        <v>0</v>
      </c>
      <c r="O10" s="65">
        <f>SUMIFS('Data Additive'!$D:$D,'Data Additive'!$P:$P,'Painel Additive'!$B10,'Data Additive'!$Q:$Q,"&gt;0")</f>
        <v>0</v>
      </c>
      <c r="P10" s="19">
        <f t="shared" si="5"/>
        <v>144324</v>
      </c>
      <c r="Q10" s="19">
        <f>SUMIFS('Data Additive'!$D:$D,'Data Additive'!$P:$P,'Painel Additive'!$B10,'Data Additive'!$Q:$Q,"&lt;=0",'Data Additive'!$Q:$Q,"&gt;=-30")</f>
        <v>144324</v>
      </c>
      <c r="R10" s="19">
        <f>SUMIFS('Data Additive'!$D:$D,'Data Additive'!$P:$P,'Painel Additive'!$B10,'Data Additive'!$Q:$Q,"&lt;=-31",'Data Additive'!$Q:$Q,"&gt;=-60")</f>
        <v>0</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2">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1"/>
      <c r="AE10" s="21"/>
      <c r="AF10" s="5"/>
      <c r="AG10" s="53">
        <f t="shared" si="2"/>
        <v>-144324</v>
      </c>
      <c r="AM10" s="72">
        <f>AM9*-1/AM6</f>
        <v>-2.8282682886403263</v>
      </c>
    </row>
    <row r="11" spans="1:39" ht="15" customHeight="1" x14ac:dyDescent="0.25">
      <c r="B11" s="17" t="s">
        <v>67</v>
      </c>
      <c r="C11" s="152">
        <f>IFERROR(_xlfn.XLOOKUP(B11,'Limite de crédito'!C:C,'Limite de crédito'!L:L,),0)</f>
        <v>0</v>
      </c>
      <c r="D11" s="44"/>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2">
        <f>SUMIFS('Data Additive'!$D:$D,'Data Additive'!$P:$P,'Painel Additive'!$B11,'Data Additive'!$Q:$Q,"&gt;360")</f>
        <v>0</v>
      </c>
      <c r="O11" s="65">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2">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1"/>
      <c r="AE11" s="21"/>
      <c r="AF11" s="5"/>
      <c r="AG11" s="53">
        <f t="shared" si="2"/>
        <v>0</v>
      </c>
      <c r="AH11" s="5"/>
      <c r="AM11" s="72"/>
    </row>
    <row r="12" spans="1:39" ht="15.75" customHeight="1" x14ac:dyDescent="0.25">
      <c r="B12" s="37" t="s">
        <v>370</v>
      </c>
      <c r="C12" s="152" t="str">
        <f>IFERROR(_xlfn.XLOOKUP(B12,'Limite de crédito'!C:C,'Limite de crédito'!L:L,),0)</f>
        <v>B</v>
      </c>
      <c r="D12" s="44"/>
      <c r="E12" s="18">
        <f>_xlfn.XLOOKUP(B12,'Limite de crédito'!C:C,'Limite de crédito'!G:G,0)</f>
        <v>2000000</v>
      </c>
      <c r="F12" s="18">
        <f t="shared" si="3"/>
        <v>1953409.98</v>
      </c>
      <c r="G12" s="18">
        <f t="shared" si="4"/>
        <v>46590.02</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2">
        <f>SUMIFS('Data Additive'!$D:$D,'Data Additive'!$P:$P,'Painel Additive'!$B12,'Data Additive'!$Q:$Q,"&gt;360")</f>
        <v>0</v>
      </c>
      <c r="O12" s="65">
        <f>SUMIFS('Data Additive'!$D:$D,'Data Additive'!$P:$P,'Painel Additive'!$B12,'Data Additive'!$Q:$Q,"&gt;0")</f>
        <v>0</v>
      </c>
      <c r="P12" s="19">
        <f t="shared" si="5"/>
        <v>46590.02</v>
      </c>
      <c r="Q12" s="19">
        <f>SUMIFS('Data Additive'!$D:$D,'Data Additive'!$P:$P,'Painel Additive'!$B12,'Data Additive'!$Q:$Q,"&lt;=0",'Data Additive'!$Q:$Q,"&gt;=-30")</f>
        <v>46590.02</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2">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1"/>
      <c r="AE12" s="21"/>
      <c r="AF12" s="5"/>
      <c r="AG12" s="53">
        <f t="shared" si="2"/>
        <v>1953409.98</v>
      </c>
    </row>
    <row r="13" spans="1:39" ht="15.75" customHeight="1" x14ac:dyDescent="0.25">
      <c r="B13" s="37" t="s">
        <v>25</v>
      </c>
      <c r="C13" s="152" t="str">
        <f>IFERROR(_xlfn.XLOOKUP(B13,'Limite de crédito'!C:C,'Limite de crédito'!L:L,),0)</f>
        <v>B</v>
      </c>
      <c r="D13" s="44"/>
      <c r="E13" s="18">
        <f>_xlfn.XLOOKUP(B13,'Limite de crédito'!C:C,'Limite de crédito'!G:G,0)</f>
        <v>2600000</v>
      </c>
      <c r="F13" s="18">
        <f t="shared" si="3"/>
        <v>1906272.9</v>
      </c>
      <c r="G13" s="18">
        <f t="shared" si="4"/>
        <v>693727.1</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2">
        <f>SUMIFS('Data Additive'!$D:$D,'Data Additive'!$P:$P,'Painel Additive'!$B13,'Data Additive'!$Q:$Q,"&gt;360")</f>
        <v>0</v>
      </c>
      <c r="O13" s="65">
        <f>SUMIFS('Data Additive'!$D:$D,'Data Additive'!$P:$P,'Painel Additive'!$B13,'Data Additive'!$Q:$Q,"&gt;0")</f>
        <v>0</v>
      </c>
      <c r="P13" s="19">
        <f t="shared" si="5"/>
        <v>693727.1</v>
      </c>
      <c r="Q13" s="19">
        <f>SUMIFS('Data Additive'!$D:$D,'Data Additive'!$P:$P,'Painel Additive'!$B13,'Data Additive'!$Q:$Q,"&lt;=0",'Data Additive'!$Q:$Q,"&gt;=-30")</f>
        <v>693727.1</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2">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1"/>
      <c r="AE13" s="21"/>
      <c r="AF13" s="5"/>
      <c r="AG13" s="53">
        <f t="shared" si="2"/>
        <v>1906272.9</v>
      </c>
      <c r="AH13" s="5"/>
    </row>
    <row r="14" spans="1:39" ht="15.75" customHeight="1" x14ac:dyDescent="0.25">
      <c r="B14" s="17" t="s">
        <v>73</v>
      </c>
      <c r="C14" s="152" t="str">
        <f>IFERROR(_xlfn.XLOOKUP(B14,'Limite de crédito'!C:C,'Limite de crédito'!L:L,),0)</f>
        <v>B</v>
      </c>
      <c r="D14" s="44"/>
      <c r="E14" s="18">
        <f>_xlfn.XLOOKUP(B14,'Limite de crédito'!C:C,'Limite de crédito'!G:G,0)</f>
        <v>3000000</v>
      </c>
      <c r="F14" s="18">
        <f t="shared" si="3"/>
        <v>2617438.5499999998</v>
      </c>
      <c r="G14" s="18">
        <f t="shared" si="4"/>
        <v>382561.45</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2">
        <f>SUMIFS('Data Additive'!$D:$D,'Data Additive'!$P:$P,'Painel Additive'!$B14,'Data Additive'!$Q:$Q,"&gt;360")</f>
        <v>0</v>
      </c>
      <c r="O14" s="65">
        <f>SUMIFS('Data Additive'!$D:$D,'Data Additive'!$P:$P,'Painel Additive'!$B14,'Data Additive'!$Q:$Q,"&gt;0")</f>
        <v>0</v>
      </c>
      <c r="P14" s="19">
        <f t="shared" si="5"/>
        <v>382561.45</v>
      </c>
      <c r="Q14" s="19">
        <f>SUMIFS('Data Additive'!$D:$D,'Data Additive'!$P:$P,'Painel Additive'!$B14,'Data Additive'!$Q:$Q,"&lt;=0",'Data Additive'!$Q:$Q,"&gt;=-30")</f>
        <v>0</v>
      </c>
      <c r="R14" s="19">
        <f>SUMIFS('Data Additive'!$D:$D,'Data Additive'!$P:$P,'Painel Additive'!$B14,'Data Additive'!$Q:$Q,"&lt;=-31",'Data Additive'!$Q:$Q,"&gt;=-60")</f>
        <v>382561.45</v>
      </c>
      <c r="S14" s="19">
        <f>SUMIFS('Data Additive'!$D:$D,'Data Additive'!$P:$P,'Painel Additive'!$B14,'Data Additive'!$Q:$Q,"&lt;=-61",'Data Additive'!$Q:$Q,"&gt;=-90")</f>
        <v>0</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2">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1"/>
      <c r="AE14" s="21"/>
      <c r="AF14" s="5"/>
      <c r="AG14" s="53">
        <f t="shared" si="2"/>
        <v>2617438.5499999998</v>
      </c>
      <c r="AH14" s="5"/>
    </row>
    <row r="15" spans="1:39" ht="15.75" customHeight="1" x14ac:dyDescent="0.25">
      <c r="B15" s="17" t="s">
        <v>55</v>
      </c>
      <c r="C15" s="152">
        <f>IFERROR(_xlfn.XLOOKUP(B15,'Limite de crédito'!C:C,'Limite de crédito'!L:L,),0)</f>
        <v>0</v>
      </c>
      <c r="D15" s="44"/>
      <c r="E15" s="18">
        <f>_xlfn.XLOOKUP(B15,'Limite de crédito'!C:C,'Limite de crédito'!G:G,0)</f>
        <v>270000</v>
      </c>
      <c r="F15" s="18">
        <f t="shared" si="3"/>
        <v>41072.600000000006</v>
      </c>
      <c r="G15" s="18">
        <f t="shared" si="4"/>
        <v>228927.4</v>
      </c>
      <c r="H15" s="19">
        <f>SUMIFS('Data Additive'!$D:$D,'Data Additive'!$P:$P,'Painel Additive'!$B15,'Data Additive'!$Q:$Q,"&gt;0",'Data Additive'!$Q:$Q,"&lt;=30")</f>
        <v>76320.399999999994</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2">
        <f>SUMIFS('Data Additive'!$D:$D,'Data Additive'!$P:$P,'Painel Additive'!$B15,'Data Additive'!$Q:$Q,"&gt;360")</f>
        <v>0</v>
      </c>
      <c r="O15" s="65">
        <f>SUMIFS('Data Additive'!$D:$D,'Data Additive'!$P:$P,'Painel Additive'!$B15,'Data Additive'!$Q:$Q,"&gt;0")</f>
        <v>76320.399999999994</v>
      </c>
      <c r="P15" s="19">
        <f t="shared" si="5"/>
        <v>152607</v>
      </c>
      <c r="Q15" s="19">
        <f>SUMIFS('Data Additive'!$D:$D,'Data Additive'!$P:$P,'Painel Additive'!$B15,'Data Additive'!$Q:$Q,"&lt;=0",'Data Additive'!$Q:$Q,"&gt;=-30")</f>
        <v>76134.5</v>
      </c>
      <c r="R15" s="19">
        <f>SUMIFS('Data Additive'!$D:$D,'Data Additive'!$P:$P,'Painel Additive'!$B15,'Data Additive'!$Q:$Q,"&lt;=-31",'Data Additive'!$Q:$Q,"&gt;=-60")</f>
        <v>76472.5</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2">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1"/>
      <c r="AE15" s="21"/>
      <c r="AF15" s="5"/>
      <c r="AG15" s="53">
        <f t="shared" si="2"/>
        <v>-228927.4</v>
      </c>
      <c r="AH15" s="5"/>
    </row>
    <row r="16" spans="1:39" ht="15.75" customHeight="1" x14ac:dyDescent="0.25">
      <c r="B16" s="37" t="s">
        <v>420</v>
      </c>
      <c r="C16" s="152" t="str">
        <f>IFERROR(_xlfn.XLOOKUP(B16,'Limite de crédito'!C:C,'Limite de crédito'!L:L,),0)</f>
        <v>B</v>
      </c>
      <c r="D16" s="44"/>
      <c r="E16" s="18">
        <f>_xlfn.XLOOKUP(B16,'Limite de crédito'!C:C,'Limite de crédito'!G:G,0)</f>
        <v>2500000</v>
      </c>
      <c r="F16" s="18">
        <f t="shared" si="3"/>
        <v>2338169.7999999998</v>
      </c>
      <c r="G16" s="18">
        <f t="shared" si="4"/>
        <v>161830.20000000001</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2">
        <f>SUMIFS('Data Additive'!$D:$D,'Data Additive'!$P:$P,'Painel Additive'!$B16,'Data Additive'!$Q:$Q,"&gt;360")</f>
        <v>0</v>
      </c>
      <c r="O16" s="65">
        <f>SUMIFS('Data Additive'!$D:$D,'Data Additive'!$P:$P,'Painel Additive'!$B16,'Data Additive'!$Q:$Q,"&gt;0")</f>
        <v>0</v>
      </c>
      <c r="P16" s="19">
        <f t="shared" si="5"/>
        <v>161830.20000000001</v>
      </c>
      <c r="Q16" s="19">
        <f>SUMIFS('Data Additive'!$D:$D,'Data Additive'!$P:$P,'Painel Additive'!$B16,'Data Additive'!$Q:$Q,"&lt;=0",'Data Additive'!$Q:$Q,"&gt;=-30")</f>
        <v>161830.20000000001</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2">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1"/>
      <c r="AE16" s="21"/>
      <c r="AF16" s="5"/>
      <c r="AG16" s="53">
        <f t="shared" si="2"/>
        <v>2338169.7999999998</v>
      </c>
    </row>
    <row r="17" spans="2:34" s="62" customFormat="1" x14ac:dyDescent="0.25">
      <c r="B17" s="63" t="s">
        <v>44</v>
      </c>
      <c r="C17" s="152">
        <f>IFERROR(_xlfn.XLOOKUP(B17,'Limite de crédito'!C:C,'Limite de crédito'!L:L,),0)</f>
        <v>0</v>
      </c>
      <c r="D17" s="70"/>
      <c r="E17" s="18">
        <f>_xlfn.XLOOKUP(B17,'Limite de crédito'!C:C,'Limite de crédito'!G:G,0)</f>
        <v>0</v>
      </c>
      <c r="F17" s="64">
        <f t="shared" si="3"/>
        <v>-226233.60000000001</v>
      </c>
      <c r="G17" s="64">
        <f t="shared" si="4"/>
        <v>226233.60000000001</v>
      </c>
      <c r="H17" s="65">
        <f>SUMIFS('Data Additive'!$D:$D,'Data Additive'!$P:$P,'Painel Additive'!$B17,'Data Additive'!$Q:$Q,"&gt;0",'Data Additive'!$Q:$Q,"&lt;=30")</f>
        <v>0</v>
      </c>
      <c r="I17" s="65">
        <f>SUMIFS('Data Additive'!$D:$D,'Data Additive'!$P:$P,'Painel Additive'!$B17,'Data Additive'!$Q:$Q,"&gt;30",'Data Additive'!$Q:$Q,"&lt;=60")</f>
        <v>0</v>
      </c>
      <c r="J17" s="65">
        <f>SUMIFS('Data Additive'!$D:$D,'Data Additive'!$P:$P,'Painel Additive'!$B17,'Data Additive'!$Q:$Q,"&gt;60",'Data Additive'!$Q:$Q,"&lt;=90")</f>
        <v>0</v>
      </c>
      <c r="K17" s="65">
        <f>SUMIFS('Data Additive'!$D:$D,'Data Additive'!$P:$P,'Painel Additive'!$B17,'Data Additive'!$Q:$Q,"&gt;90",'Data Additive'!$Q:$Q,"&lt;=120")</f>
        <v>0</v>
      </c>
      <c r="L17" s="65">
        <f>SUMIFS('Data Additive'!$D:$D,'Data Additive'!$P:$P,'Painel Additive'!$B17,'Data Additive'!$Q:$Q,"&gt;120",'Data Additive'!$Q:$Q,"&lt;=180")</f>
        <v>0</v>
      </c>
      <c r="M17" s="65">
        <f>SUMIFS('Data Additive'!$D:$D,'Data Additive'!$P:$P,'Painel Additive'!$B17,'Data Additive'!$Q:$Q,"&gt;180",'Data Additive'!$Q:$Q,"&lt;=360")</f>
        <v>0</v>
      </c>
      <c r="N17" s="66">
        <f>SUMIFS('Data Additive'!$D:$D,'Data Additive'!$P:$P,'Painel Additive'!$B17,'Data Additive'!$Q:$Q,"&gt;360")</f>
        <v>226233.60000000001</v>
      </c>
      <c r="O17" s="65">
        <f>SUMIFS('Data Additive'!$D:$D,'Data Additive'!$P:$P,'Painel Additive'!$B17,'Data Additive'!$Q:$Q,"&gt;0")</f>
        <v>226233.60000000001</v>
      </c>
      <c r="P17" s="65">
        <f t="shared" si="5"/>
        <v>0</v>
      </c>
      <c r="Q17" s="65">
        <f>SUMIFS('Data Additive'!$D:$D,'Data Additive'!$P:$P,'Painel Additive'!$B17,'Data Additive'!$Q:$Q,"&lt;=0",'Data Additive'!$Q:$Q,"&gt;=-30")</f>
        <v>0</v>
      </c>
      <c r="R17" s="65">
        <f>SUMIFS('Data Additive'!$D:$D,'Data Additive'!$P:$P,'Painel Additive'!$B17,'Data Additive'!$Q:$Q,"&lt;=-31",'Data Additive'!$Q:$Q,"&gt;=-60")</f>
        <v>0</v>
      </c>
      <c r="S17" s="65">
        <f>SUMIFS('Data Additive'!$D:$D,'Data Additive'!$P:$P,'Painel Additive'!$B17,'Data Additive'!$Q:$Q,"&lt;=-61",'Data Additive'!$Q:$Q,"&gt;=-90")</f>
        <v>0</v>
      </c>
      <c r="T17" s="65">
        <f>SUMIFS('Data Additive'!$D:$D,'Data Additive'!$P:$P,'Painel Additive'!$B17,'Data Additive'!$Q:$Q,"&lt;=-91",'Data Additive'!$Q:$Q,"&gt;=-120")</f>
        <v>0</v>
      </c>
      <c r="U17" s="65">
        <f>SUMIFS('Data Additive'!$D:$D,'Data Additive'!$P:$P,'Painel Additive'!$B17,'Data Additive'!$Q:$Q,"&lt;=-121",'Data Additive'!$Q:$Q,"&gt;=-180")</f>
        <v>0</v>
      </c>
      <c r="V17" s="65">
        <f>SUMIFS('Data Additive'!$D:$D,'Data Additive'!$P:$P,'Painel Additive'!$B17,'Data Additive'!$Q:$Q,"&lt;=-181",'Data Additive'!$Q:$Q,"&gt;=-360")</f>
        <v>0</v>
      </c>
      <c r="W17" s="66">
        <f>SUMIFS('Data Additive'!$D:$D,'Data Additive'!$P:$P,'Painel Additive'!$B17,'Data Additive'!$Q:$Q,"&lt;-360")</f>
        <v>0</v>
      </c>
      <c r="X17" s="19">
        <f>SUMIFS('Bad Debt Provision'!AB:AB,'Bad Debt Provision'!B:B,'Painel Additive'!B17)</f>
        <v>226233.60000000001</v>
      </c>
      <c r="Y17" s="67"/>
      <c r="Z17" s="67"/>
      <c r="AA17" s="19">
        <f>IFERROR(_xlfn.XLOOKUP(B17,'Limite de crédito'!C:C,'Limite de crédito'!O:O,),0)</f>
        <v>0</v>
      </c>
      <c r="AB17" s="65"/>
      <c r="AC17" s="68"/>
      <c r="AD17" s="69"/>
      <c r="AE17" s="69"/>
      <c r="AF17" s="67"/>
      <c r="AG17" s="53">
        <f t="shared" si="2"/>
        <v>-226233.60000000001</v>
      </c>
      <c r="AH17" s="67"/>
    </row>
    <row r="18" spans="2:34" s="62" customFormat="1" x14ac:dyDescent="0.25">
      <c r="B18" s="63" t="s">
        <v>263</v>
      </c>
      <c r="C18" s="152">
        <f>IFERROR(_xlfn.XLOOKUP(B18,'Limite de crédito'!C:C,'Limite de crédito'!L:L,),0)</f>
        <v>0</v>
      </c>
      <c r="D18" s="70"/>
      <c r="E18" s="18">
        <f>_xlfn.XLOOKUP(B18,'Limite de crédito'!C:C,'Limite de crédito'!G:G,0)</f>
        <v>0</v>
      </c>
      <c r="F18" s="64">
        <f t="shared" si="3"/>
        <v>-213750</v>
      </c>
      <c r="G18" s="64">
        <f t="shared" si="4"/>
        <v>213750</v>
      </c>
      <c r="H18" s="65">
        <f>SUMIFS('Data Additive'!$D:$D,'Data Additive'!$P:$P,'Painel Additive'!$B18,'Data Additive'!$Q:$Q,"&gt;0",'Data Additive'!$Q:$Q,"&lt;=30")</f>
        <v>0</v>
      </c>
      <c r="I18" s="65">
        <f>SUMIFS('Data Additive'!$D:$D,'Data Additive'!$P:$P,'Painel Additive'!$B18,'Data Additive'!$Q:$Q,"&gt;30",'Data Additive'!$Q:$Q,"&lt;=60")</f>
        <v>0</v>
      </c>
      <c r="J18" s="65">
        <f>SUMIFS('Data Additive'!$D:$D,'Data Additive'!$P:$P,'Painel Additive'!$B18,'Data Additive'!$Q:$Q,"&gt;60",'Data Additive'!$Q:$Q,"&lt;=90")</f>
        <v>0</v>
      </c>
      <c r="K18" s="65">
        <f>SUMIFS('Data Additive'!$D:$D,'Data Additive'!$P:$P,'Painel Additive'!$B18,'Data Additive'!$Q:$Q,"&gt;90",'Data Additive'!$Q:$Q,"&lt;=120")</f>
        <v>0</v>
      </c>
      <c r="L18" s="65">
        <f>SUMIFS('Data Additive'!$D:$D,'Data Additive'!$P:$P,'Painel Additive'!$B18,'Data Additive'!$Q:$Q,"&gt;120",'Data Additive'!$Q:$Q,"&lt;=180")</f>
        <v>0</v>
      </c>
      <c r="M18" s="65">
        <f>SUMIFS('Data Additive'!$D:$D,'Data Additive'!$P:$P,'Painel Additive'!$B18,'Data Additive'!$Q:$Q,"&gt;180",'Data Additive'!$Q:$Q,"&lt;=360")</f>
        <v>0</v>
      </c>
      <c r="N18" s="66">
        <f>SUMIFS('Data Additive'!$D:$D,'Data Additive'!$P:$P,'Painel Additive'!$B18,'Data Additive'!$Q:$Q,"&gt;360")</f>
        <v>213750</v>
      </c>
      <c r="O18" s="65">
        <f>SUMIFS('Data Additive'!$D:$D,'Data Additive'!$P:$P,'Painel Additive'!$B18,'Data Additive'!$Q:$Q,"&gt;0")</f>
        <v>213750</v>
      </c>
      <c r="P18" s="65">
        <f t="shared" si="5"/>
        <v>0</v>
      </c>
      <c r="Q18" s="65">
        <f>SUMIFS('Data Additive'!$D:$D,'Data Additive'!$P:$P,'Painel Additive'!$B18,'Data Additive'!$Q:$Q,"&lt;=0",'Data Additive'!$Q:$Q,"&gt;=-30")</f>
        <v>0</v>
      </c>
      <c r="R18" s="65">
        <f>SUMIFS('Data Additive'!$D:$D,'Data Additive'!$P:$P,'Painel Additive'!$B18,'Data Additive'!$Q:$Q,"&lt;=-31",'Data Additive'!$Q:$Q,"&gt;=-60")</f>
        <v>0</v>
      </c>
      <c r="S18" s="65">
        <f>SUMIFS('Data Additive'!$D:$D,'Data Additive'!$P:$P,'Painel Additive'!$B18,'Data Additive'!$Q:$Q,"&lt;=-61",'Data Additive'!$Q:$Q,"&gt;=-90")</f>
        <v>0</v>
      </c>
      <c r="T18" s="65">
        <f>SUMIFS('Data Additive'!$D:$D,'Data Additive'!$P:$P,'Painel Additive'!$B18,'Data Additive'!$Q:$Q,"&lt;=-91",'Data Additive'!$Q:$Q,"&gt;=-120")</f>
        <v>0</v>
      </c>
      <c r="U18" s="65">
        <f>SUMIFS('Data Additive'!$D:$D,'Data Additive'!$P:$P,'Painel Additive'!$B18,'Data Additive'!$Q:$Q,"&lt;=-121",'Data Additive'!$Q:$Q,"&gt;=-180")</f>
        <v>0</v>
      </c>
      <c r="V18" s="65">
        <f>SUMIFS('Data Additive'!$D:$D,'Data Additive'!$P:$P,'Painel Additive'!$B18,'Data Additive'!$Q:$Q,"&lt;=-181",'Data Additive'!$Q:$Q,"&gt;=-360")</f>
        <v>0</v>
      </c>
      <c r="W18" s="66">
        <f>SUMIFS('Data Additive'!$D:$D,'Data Additive'!$P:$P,'Painel Additive'!$B18,'Data Additive'!$Q:$Q,"&lt;-360")</f>
        <v>0</v>
      </c>
      <c r="X18" s="19">
        <f>SUMIFS('Bad Debt Provision'!AB:AB,'Bad Debt Provision'!B:B,'Painel Additive'!B18)</f>
        <v>213750</v>
      </c>
      <c r="Y18" s="67"/>
      <c r="Z18" s="67"/>
      <c r="AA18" s="19">
        <f>IFERROR(_xlfn.XLOOKUP(B18,'Limite de crédito'!C:C,'Limite de crédito'!O:O,),0)</f>
        <v>0</v>
      </c>
      <c r="AB18" s="65"/>
      <c r="AC18" s="68"/>
      <c r="AD18" s="69"/>
      <c r="AE18" s="69"/>
      <c r="AF18" s="67"/>
      <c r="AG18" s="53">
        <f t="shared" si="2"/>
        <v>-213750</v>
      </c>
    </row>
    <row r="19" spans="2:34" x14ac:dyDescent="0.25">
      <c r="B19" s="37" t="s">
        <v>360</v>
      </c>
      <c r="C19" s="152" t="str">
        <f>IFERROR(_xlfn.XLOOKUP(B19,'Limite de crédito'!C:C,'Limite de crédito'!L:L,),0)</f>
        <v>B</v>
      </c>
      <c r="D19" s="44"/>
      <c r="E19" s="18">
        <f>_xlfn.XLOOKUP(B19,'Limite de crédito'!C:C,'Limite de crédito'!G:G,0)</f>
        <v>750000</v>
      </c>
      <c r="F19" s="18">
        <f t="shared" si="3"/>
        <v>750000</v>
      </c>
      <c r="G19" s="18">
        <f t="shared" si="4"/>
        <v>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2">
        <f>SUMIFS('Data Additive'!$D:$D,'Data Additive'!$P:$P,'Painel Additive'!$B19,'Data Additive'!$Q:$Q,"&gt;360")</f>
        <v>0</v>
      </c>
      <c r="O19" s="65">
        <f>SUMIFS('Data Additive'!$D:$D,'Data Additive'!$P:$P,'Painel Additive'!$B19,'Data Additive'!$Q:$Q,"&gt;0")</f>
        <v>0</v>
      </c>
      <c r="P19" s="19">
        <f t="shared" si="5"/>
        <v>0</v>
      </c>
      <c r="Q19" s="19">
        <f>SUMIFS('Data Additive'!$D:$D,'Data Additive'!$P:$P,'Painel Additive'!$B19,'Data Additive'!$Q:$Q,"&lt;=0",'Data Additive'!$Q:$Q,"&gt;=-30")</f>
        <v>0</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2">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1"/>
      <c r="AE19" s="21"/>
      <c r="AF19" s="5"/>
      <c r="AG19" s="53">
        <f t="shared" si="2"/>
        <v>750000</v>
      </c>
    </row>
    <row r="20" spans="2:34" x14ac:dyDescent="0.25">
      <c r="B20" s="37" t="s">
        <v>364</v>
      </c>
      <c r="C20" s="152" t="str">
        <f>IFERROR(_xlfn.XLOOKUP(B20,'Limite de crédito'!C:C,'Limite de crédito'!L:L,),0)</f>
        <v>B</v>
      </c>
      <c r="D20" s="44"/>
      <c r="E20" s="18">
        <f>_xlfn.XLOOKUP(B20,'Limite de crédito'!C:C,'Limite de crédito'!G:G,0)</f>
        <v>1500000</v>
      </c>
      <c r="F20" s="18">
        <f t="shared" si="3"/>
        <v>1368237.5</v>
      </c>
      <c r="G20" s="18">
        <f t="shared" si="4"/>
        <v>131762.5</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2">
        <f>SUMIFS('Data Additive'!$D:$D,'Data Additive'!$P:$P,'Painel Additive'!$B20,'Data Additive'!$Q:$Q,"&gt;360")</f>
        <v>0</v>
      </c>
      <c r="O20" s="65">
        <f>SUMIFS('Data Additive'!$D:$D,'Data Additive'!$P:$P,'Painel Additive'!$B20,'Data Additive'!$Q:$Q,"&gt;0")</f>
        <v>0</v>
      </c>
      <c r="P20" s="19">
        <f t="shared" si="5"/>
        <v>131762.5</v>
      </c>
      <c r="Q20" s="19">
        <f>SUMIFS('Data Additive'!$D:$D,'Data Additive'!$P:$P,'Painel Additive'!$B20,'Data Additive'!$Q:$Q,"&lt;=0",'Data Additive'!$Q:$Q,"&gt;=-30")</f>
        <v>131762.5</v>
      </c>
      <c r="R20" s="19">
        <f>SUMIFS('Data Additive'!$D:$D,'Data Additive'!$P:$P,'Painel Additive'!$B20,'Data Additive'!$Q:$Q,"&lt;=-31",'Data Additive'!$Q:$Q,"&gt;=-60")</f>
        <v>0</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2">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1"/>
      <c r="AE20" s="21"/>
      <c r="AF20" s="5"/>
      <c r="AG20" s="53">
        <f t="shared" si="2"/>
        <v>1368237.5</v>
      </c>
    </row>
    <row r="21" spans="2:34" x14ac:dyDescent="0.25">
      <c r="B21" s="17" t="s">
        <v>79</v>
      </c>
      <c r="C21" s="152" t="str">
        <f>IFERROR(_xlfn.XLOOKUP(B21,'Limite de crédito'!C:C,'Limite de crédito'!L:L,),0)</f>
        <v>B</v>
      </c>
      <c r="D21" s="44"/>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2">
        <f>SUMIFS('Data Additive'!$D:$D,'Data Additive'!$P:$P,'Painel Additive'!$B21,'Data Additive'!$Q:$Q,"&gt;360")</f>
        <v>0</v>
      </c>
      <c r="O21" s="65">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2">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1"/>
      <c r="AE21" s="21"/>
      <c r="AF21" s="5"/>
      <c r="AG21" s="53">
        <f t="shared" si="2"/>
        <v>1500000</v>
      </c>
      <c r="AH21" s="5"/>
    </row>
    <row r="22" spans="2:34" x14ac:dyDescent="0.25">
      <c r="B22" s="17" t="s">
        <v>152</v>
      </c>
      <c r="C22" s="152" t="str">
        <f>IFERROR(_xlfn.XLOOKUP(B22,'Limite de crédito'!C:C,'Limite de crédito'!L:L,),0)</f>
        <v>B</v>
      </c>
      <c r="D22" s="44"/>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2">
        <f>SUMIFS('Data Additive'!$D:$D,'Data Additive'!$P:$P,'Painel Additive'!$B22,'Data Additive'!$Q:$Q,"&gt;360")</f>
        <v>0</v>
      </c>
      <c r="O22" s="65">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2">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1"/>
      <c r="AE22" s="21"/>
      <c r="AF22" s="5"/>
      <c r="AG22" s="53">
        <f t="shared" si="2"/>
        <v>1500000</v>
      </c>
      <c r="AH22" s="5"/>
    </row>
    <row r="23" spans="2:34" s="62" customFormat="1" x14ac:dyDescent="0.25">
      <c r="B23" s="63" t="s">
        <v>142</v>
      </c>
      <c r="C23" s="152">
        <f>IFERROR(_xlfn.XLOOKUP(B23,'Limite de crédito'!C:C,'Limite de crédito'!L:L,),0)</f>
        <v>0</v>
      </c>
      <c r="D23" s="70"/>
      <c r="E23" s="18">
        <f>_xlfn.XLOOKUP(B23,'Limite de crédito'!C:C,'Limite de crédito'!G:G,0)</f>
        <v>0</v>
      </c>
      <c r="F23" s="64">
        <f t="shared" si="3"/>
        <v>0</v>
      </c>
      <c r="G23" s="64">
        <f t="shared" si="4"/>
        <v>0</v>
      </c>
      <c r="H23" s="65">
        <f>SUMIFS('Data Additive'!$D:$D,'Data Additive'!$P:$P,'Painel Additive'!$B23,'Data Additive'!$Q:$Q,"&gt;0",'Data Additive'!$Q:$Q,"&lt;=30")</f>
        <v>0</v>
      </c>
      <c r="I23" s="65">
        <f>SUMIFS('Data Additive'!$D:$D,'Data Additive'!$P:$P,'Painel Additive'!$B23,'Data Additive'!$Q:$Q,"&gt;30",'Data Additive'!$Q:$Q,"&lt;=60")</f>
        <v>0</v>
      </c>
      <c r="J23" s="65">
        <f>SUMIFS('Data Additive'!$D:$D,'Data Additive'!$P:$P,'Painel Additive'!$B23,'Data Additive'!$Q:$Q,"&gt;60",'Data Additive'!$Q:$Q,"&lt;=90")</f>
        <v>0</v>
      </c>
      <c r="K23" s="65">
        <f>SUMIFS('Data Additive'!$D:$D,'Data Additive'!$P:$P,'Painel Additive'!$B23,'Data Additive'!$Q:$Q,"&gt;90",'Data Additive'!$Q:$Q,"&lt;=120")</f>
        <v>0</v>
      </c>
      <c r="L23" s="65">
        <f>SUMIFS('Data Additive'!$D:$D,'Data Additive'!$P:$P,'Painel Additive'!$B23,'Data Additive'!$Q:$Q,"&gt;120",'Data Additive'!$Q:$Q,"&lt;=180")</f>
        <v>0</v>
      </c>
      <c r="M23" s="65">
        <f>SUMIFS('Data Additive'!$D:$D,'Data Additive'!$P:$P,'Painel Additive'!$B23,'Data Additive'!$Q:$Q,"&gt;180",'Data Additive'!$Q:$Q,"&lt;=360")</f>
        <v>0</v>
      </c>
      <c r="N23" s="66">
        <f>SUMIFS('Data Additive'!$D:$D,'Data Additive'!$P:$P,'Painel Additive'!$B23,'Data Additive'!$Q:$Q,"&gt;360")</f>
        <v>0</v>
      </c>
      <c r="O23" s="65">
        <f>SUMIFS('Data Additive'!$D:$D,'Data Additive'!$P:$P,'Painel Additive'!$B23,'Data Additive'!$Q:$Q,"&gt;0")</f>
        <v>0</v>
      </c>
      <c r="P23" s="65">
        <f t="shared" si="5"/>
        <v>0</v>
      </c>
      <c r="Q23" s="65">
        <f>SUMIFS('Data Additive'!$D:$D,'Data Additive'!$P:$P,'Painel Additive'!$B23,'Data Additive'!$Q:$Q,"&lt;=0",'Data Additive'!$Q:$Q,"&gt;=-30")</f>
        <v>0</v>
      </c>
      <c r="R23" s="65">
        <f>SUMIFS('Data Additive'!$D:$D,'Data Additive'!$P:$P,'Painel Additive'!$B23,'Data Additive'!$Q:$Q,"&lt;=-31",'Data Additive'!$Q:$Q,"&gt;=-60")</f>
        <v>0</v>
      </c>
      <c r="S23" s="65">
        <f>SUMIFS('Data Additive'!$D:$D,'Data Additive'!$P:$P,'Painel Additive'!$B23,'Data Additive'!$Q:$Q,"&lt;=-61",'Data Additive'!$Q:$Q,"&gt;=-90")</f>
        <v>0</v>
      </c>
      <c r="T23" s="65">
        <f>SUMIFS('Data Additive'!$D:$D,'Data Additive'!$P:$P,'Painel Additive'!$B23,'Data Additive'!$Q:$Q,"&lt;=-91",'Data Additive'!$Q:$Q,"&gt;=-120")</f>
        <v>0</v>
      </c>
      <c r="U23" s="65">
        <f>SUMIFS('Data Additive'!$D:$D,'Data Additive'!$P:$P,'Painel Additive'!$B23,'Data Additive'!$Q:$Q,"&lt;=-121",'Data Additive'!$Q:$Q,"&gt;=-180")</f>
        <v>0</v>
      </c>
      <c r="V23" s="65">
        <f>SUMIFS('Data Additive'!$D:$D,'Data Additive'!$P:$P,'Painel Additive'!$B23,'Data Additive'!$Q:$Q,"&lt;=-181",'Data Additive'!$Q:$Q,"&gt;=-360")</f>
        <v>0</v>
      </c>
      <c r="W23" s="66">
        <f>SUMIFS('Data Additive'!$D:$D,'Data Additive'!$P:$P,'Painel Additive'!$B23,'Data Additive'!$Q:$Q,"&lt;-360")</f>
        <v>0</v>
      </c>
      <c r="X23" s="19">
        <f>SUMIFS('Bad Debt Provision'!AB:AB,'Bad Debt Provision'!B:B,'Painel Additive'!B23)</f>
        <v>0</v>
      </c>
      <c r="Y23" s="67"/>
      <c r="Z23" s="67"/>
      <c r="AA23" s="19">
        <f>IFERROR(_xlfn.XLOOKUP(B23,'Limite de crédito'!C:C,'Limite de crédito'!O:O,),0)</f>
        <v>0</v>
      </c>
      <c r="AB23" s="65"/>
      <c r="AC23" s="68"/>
      <c r="AD23" s="69"/>
      <c r="AE23" s="69"/>
      <c r="AF23" s="67"/>
      <c r="AG23" s="53">
        <f t="shared" si="2"/>
        <v>0</v>
      </c>
      <c r="AH23" s="67"/>
    </row>
    <row r="24" spans="2:34" ht="13.95" customHeight="1" x14ac:dyDescent="0.25">
      <c r="B24" s="17" t="s">
        <v>261</v>
      </c>
      <c r="C24" s="152" t="str">
        <f>IFERROR(_xlfn.XLOOKUP(B24,'Limite de crédito'!C:C,'Limite de crédito'!L:L,),0)</f>
        <v>B</v>
      </c>
      <c r="D24" s="44"/>
      <c r="E24" s="18">
        <f>_xlfn.XLOOKUP(B24,'Limite de crédito'!C:C,'Limite de crédito'!G:G,0)</f>
        <v>500000</v>
      </c>
      <c r="F24" s="18">
        <f t="shared" si="3"/>
        <v>500000</v>
      </c>
      <c r="G24" s="18">
        <f t="shared" si="4"/>
        <v>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2">
        <f>SUMIFS('Data Additive'!$D:$D,'Data Additive'!$P:$P,'Painel Additive'!$B24,'Data Additive'!$Q:$Q,"&gt;360")</f>
        <v>0</v>
      </c>
      <c r="O24" s="65">
        <f>SUMIFS('Data Additive'!$D:$D,'Data Additive'!$P:$P,'Painel Additive'!$B24,'Data Additive'!$Q:$Q,"&gt;0")</f>
        <v>0</v>
      </c>
      <c r="P24" s="19">
        <f t="shared" si="5"/>
        <v>0</v>
      </c>
      <c r="Q24" s="19">
        <f>SUMIFS('Data Additive'!$D:$D,'Data Additive'!$P:$P,'Painel Additive'!$B24,'Data Additive'!$Q:$Q,"&lt;=0",'Data Additive'!$Q:$Q,"&gt;=-30")</f>
        <v>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2">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1"/>
      <c r="AE24" s="21"/>
      <c r="AF24" s="5"/>
      <c r="AG24" s="53">
        <f t="shared" si="2"/>
        <v>500000</v>
      </c>
    </row>
    <row r="25" spans="2:34" s="62" customFormat="1" x14ac:dyDescent="0.25">
      <c r="B25" s="63" t="s">
        <v>361</v>
      </c>
      <c r="C25" s="152">
        <f>IFERROR(_xlfn.XLOOKUP(B25,'Limite de crédito'!C:C,'Limite de crédito'!L:L,),0)</f>
        <v>0</v>
      </c>
      <c r="D25" s="70"/>
      <c r="E25" s="18">
        <f>_xlfn.XLOOKUP(B25,'Limite de crédito'!C:C,'Limite de crédito'!G:G,0)</f>
        <v>0</v>
      </c>
      <c r="F25" s="64">
        <f t="shared" si="3"/>
        <v>0</v>
      </c>
      <c r="G25" s="64">
        <f t="shared" si="4"/>
        <v>0</v>
      </c>
      <c r="H25" s="65">
        <f>SUMIFS('Data Additive'!$D:$D,'Data Additive'!$P:$P,'Painel Additive'!$B25,'Data Additive'!$Q:$Q,"&gt;0",'Data Additive'!$Q:$Q,"&lt;=30")</f>
        <v>0</v>
      </c>
      <c r="I25" s="65">
        <f>SUMIFS('Data Additive'!$D:$D,'Data Additive'!$P:$P,'Painel Additive'!$B25,'Data Additive'!$Q:$Q,"&gt;30",'Data Additive'!$Q:$Q,"&lt;=60")</f>
        <v>0</v>
      </c>
      <c r="J25" s="65">
        <f>SUMIFS('Data Additive'!$D:$D,'Data Additive'!$P:$P,'Painel Additive'!$B25,'Data Additive'!$Q:$Q,"&gt;60",'Data Additive'!$Q:$Q,"&lt;=90")</f>
        <v>0</v>
      </c>
      <c r="K25" s="65">
        <f>SUMIFS('Data Additive'!$D:$D,'Data Additive'!$P:$P,'Painel Additive'!$B25,'Data Additive'!$Q:$Q,"&gt;90",'Data Additive'!$Q:$Q,"&lt;=120")</f>
        <v>0</v>
      </c>
      <c r="L25" s="65">
        <f>SUMIFS('Data Additive'!$D:$D,'Data Additive'!$P:$P,'Painel Additive'!$B25,'Data Additive'!$Q:$Q,"&gt;120",'Data Additive'!$Q:$Q,"&lt;=180")</f>
        <v>0</v>
      </c>
      <c r="M25" s="65">
        <f>SUMIFS('Data Additive'!$D:$D,'Data Additive'!$P:$P,'Painel Additive'!$B25,'Data Additive'!$Q:$Q,"&gt;180",'Data Additive'!$Q:$Q,"&lt;=360")</f>
        <v>0</v>
      </c>
      <c r="N25" s="66">
        <f>SUMIFS('Data Additive'!$D:$D,'Data Additive'!$P:$P,'Painel Additive'!$B25,'Data Additive'!$Q:$Q,"&gt;360")</f>
        <v>0</v>
      </c>
      <c r="O25" s="65">
        <f>SUMIFS('Data Additive'!$D:$D,'Data Additive'!$P:$P,'Painel Additive'!$B25,'Data Additive'!$Q:$Q,"&gt;0")</f>
        <v>0</v>
      </c>
      <c r="P25" s="65">
        <f t="shared" si="5"/>
        <v>0</v>
      </c>
      <c r="Q25" s="65">
        <f>SUMIFS('Data Additive'!$D:$D,'Data Additive'!$P:$P,'Painel Additive'!$B25,'Data Additive'!$Q:$Q,"&lt;=0",'Data Additive'!$Q:$Q,"&gt;=-30")</f>
        <v>0</v>
      </c>
      <c r="R25" s="65">
        <f>SUMIFS('Data Additive'!$D:$D,'Data Additive'!$P:$P,'Painel Additive'!$B25,'Data Additive'!$Q:$Q,"&lt;=-31",'Data Additive'!$Q:$Q,"&gt;=-60")</f>
        <v>0</v>
      </c>
      <c r="S25" s="65">
        <f>SUMIFS('Data Additive'!$D:$D,'Data Additive'!$P:$P,'Painel Additive'!$B25,'Data Additive'!$Q:$Q,"&lt;=-61",'Data Additive'!$Q:$Q,"&gt;=-90")</f>
        <v>0</v>
      </c>
      <c r="T25" s="65">
        <f>SUMIFS('Data Additive'!$D:$D,'Data Additive'!$P:$P,'Painel Additive'!$B25,'Data Additive'!$Q:$Q,"&lt;=-91",'Data Additive'!$Q:$Q,"&gt;=-120")</f>
        <v>0</v>
      </c>
      <c r="U25" s="65">
        <f>SUMIFS('Data Additive'!$D:$D,'Data Additive'!$P:$P,'Painel Additive'!$B25,'Data Additive'!$Q:$Q,"&lt;=-121",'Data Additive'!$Q:$Q,"&gt;=-180")</f>
        <v>0</v>
      </c>
      <c r="V25" s="65">
        <f>SUMIFS('Data Additive'!$D:$D,'Data Additive'!$P:$P,'Painel Additive'!$B25,'Data Additive'!$Q:$Q,"&lt;=-181",'Data Additive'!$Q:$Q,"&gt;=-360")</f>
        <v>0</v>
      </c>
      <c r="W25" s="66">
        <f>SUMIFS('Data Additive'!$D:$D,'Data Additive'!$P:$P,'Painel Additive'!$B25,'Data Additive'!$Q:$Q,"&lt;-360")</f>
        <v>0</v>
      </c>
      <c r="X25" s="19">
        <f>SUMIFS('Bad Debt Provision'!AB:AB,'Bad Debt Provision'!B:B,'Painel Additive'!B25)</f>
        <v>0</v>
      </c>
      <c r="Y25" s="67"/>
      <c r="Z25" s="67"/>
      <c r="AA25" s="19">
        <f>IFERROR(_xlfn.XLOOKUP(B25,'Limite de crédito'!C:C,'Limite de crédito'!O:O,),0)</f>
        <v>0</v>
      </c>
      <c r="AB25" s="65"/>
      <c r="AC25" s="68"/>
      <c r="AD25" s="69"/>
      <c r="AE25" s="69"/>
      <c r="AF25" s="67"/>
      <c r="AG25" s="53">
        <f t="shared" si="2"/>
        <v>0</v>
      </c>
    </row>
    <row r="26" spans="2:34" x14ac:dyDescent="0.25">
      <c r="B26" s="63" t="s">
        <v>479</v>
      </c>
      <c r="C26" s="152">
        <f>IFERROR(_xlfn.XLOOKUP(B26,'Limite de crédito'!C:C,'Limite de crédito'!L:L,),0)</f>
        <v>0</v>
      </c>
      <c r="D26" s="70"/>
      <c r="E26" s="18">
        <f>_xlfn.XLOOKUP(B26,'Limite de crédito'!C:C,'Limite de crédito'!G:G,0)</f>
        <v>0</v>
      </c>
      <c r="F26" s="64">
        <f t="shared" si="3"/>
        <v>0</v>
      </c>
      <c r="G26" s="64">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2">
        <f>SUMIFS('Data Additive'!$D:$D,'Data Additive'!$P:$P,'Painel Additive'!$B26,'Data Additive'!$Q:$Q,"&gt;360")</f>
        <v>0</v>
      </c>
      <c r="O26" s="65">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2">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1"/>
      <c r="AE26" s="21"/>
      <c r="AF26" s="5"/>
      <c r="AG26" s="53">
        <f t="shared" si="2"/>
        <v>0</v>
      </c>
      <c r="AH26" s="5"/>
    </row>
    <row r="27" spans="2:34" ht="13.95" customHeight="1" x14ac:dyDescent="0.25">
      <c r="B27" s="37" t="s">
        <v>421</v>
      </c>
      <c r="C27" s="152">
        <f>IFERROR(_xlfn.XLOOKUP(B27,'Limite de crédito'!C:C,'Limite de crédito'!L:L,),0)</f>
        <v>0</v>
      </c>
      <c r="D27" s="44"/>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2">
        <f>SUMIFS('Data Additive'!$D:$D,'Data Additive'!$P:$P,'Painel Additive'!$B27,'Data Additive'!$Q:$Q,"&gt;360")</f>
        <v>0</v>
      </c>
      <c r="O27" s="65">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2">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1"/>
      <c r="AE27" s="21"/>
      <c r="AF27" s="5"/>
      <c r="AG27" s="53">
        <f t="shared" si="2"/>
        <v>0</v>
      </c>
    </row>
    <row r="28" spans="2:34" ht="12.6" customHeight="1" x14ac:dyDescent="0.25">
      <c r="B28" s="37" t="s">
        <v>357</v>
      </c>
      <c r="C28" s="152" t="str">
        <f>IFERROR(_xlfn.XLOOKUP(B28,'Limite de crédito'!C:C,'Limite de crédito'!L:L,),0)</f>
        <v>B</v>
      </c>
      <c r="D28" s="44"/>
      <c r="E28" s="18">
        <f>_xlfn.XLOOKUP(B28,'Limite de crédito'!C:C,'Limite de crédito'!G:G,0)</f>
        <v>2000000</v>
      </c>
      <c r="F28" s="18">
        <f t="shared" si="6"/>
        <v>1937410</v>
      </c>
      <c r="G28" s="18">
        <f t="shared" si="7"/>
        <v>62590</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2">
        <f>SUMIFS('Data Additive'!$D:$D,'Data Additive'!$P:$P,'Painel Additive'!$B28,'Data Additive'!$Q:$Q,"&gt;360")</f>
        <v>0</v>
      </c>
      <c r="O28" s="65">
        <f>SUMIFS('Data Additive'!$D:$D,'Data Additive'!$P:$P,'Painel Additive'!$B28,'Data Additive'!$Q:$Q,"&gt;0")</f>
        <v>0</v>
      </c>
      <c r="P28" s="19">
        <f t="shared" si="5"/>
        <v>62590</v>
      </c>
      <c r="Q28" s="19">
        <f>SUMIFS('Data Additive'!$D:$D,'Data Additive'!$P:$P,'Painel Additive'!$B28,'Data Additive'!$Q:$Q,"&lt;=0",'Data Additive'!$Q:$Q,"&gt;=-30")</f>
        <v>62590</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2">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1"/>
      <c r="AE28" s="21"/>
      <c r="AF28" s="5"/>
      <c r="AG28" s="53">
        <f t="shared" si="2"/>
        <v>1937410</v>
      </c>
    </row>
    <row r="29" spans="2:34" x14ac:dyDescent="0.25">
      <c r="B29" s="63" t="s">
        <v>139</v>
      </c>
      <c r="C29" s="152">
        <f>IFERROR(_xlfn.XLOOKUP(B29,'Limite de crédito'!C:C,'Limite de crédito'!L:L,),0)</f>
        <v>0</v>
      </c>
      <c r="D29" s="70"/>
      <c r="E29" s="18">
        <f>_xlfn.XLOOKUP(B29,'Limite de crédito'!C:C,'Limite de crédito'!G:G,0)</f>
        <v>0</v>
      </c>
      <c r="F29" s="64">
        <f t="shared" si="6"/>
        <v>0</v>
      </c>
      <c r="G29" s="64">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2">
        <f>SUMIFS('Data Additive'!$D:$D,'Data Additive'!$P:$P,'Painel Additive'!$B29,'Data Additive'!$Q:$Q,"&gt;360")</f>
        <v>0</v>
      </c>
      <c r="O29" s="65">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2">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1"/>
      <c r="AE29" s="21"/>
      <c r="AF29" s="5"/>
      <c r="AG29" s="53">
        <f t="shared" si="2"/>
        <v>0</v>
      </c>
      <c r="AH29" s="5"/>
    </row>
    <row r="30" spans="2:34" s="62" customFormat="1" x14ac:dyDescent="0.25">
      <c r="B30" s="63" t="s">
        <v>140</v>
      </c>
      <c r="C30" s="152">
        <f>IFERROR(_xlfn.XLOOKUP(B30,'Limite de crédito'!C:C,'Limite de crédito'!L:L,),0)</f>
        <v>0</v>
      </c>
      <c r="D30" s="70"/>
      <c r="E30" s="18">
        <f>_xlfn.XLOOKUP(B30,'Limite de crédito'!C:C,'Limite de crédito'!G:G,0)</f>
        <v>0</v>
      </c>
      <c r="F30" s="64">
        <f t="shared" si="6"/>
        <v>0</v>
      </c>
      <c r="G30" s="64">
        <f t="shared" si="7"/>
        <v>0</v>
      </c>
      <c r="H30" s="65">
        <f>SUMIFS('Data Additive'!$D:$D,'Data Additive'!$P:$P,'Painel Additive'!$B30,'Data Additive'!$Q:$Q,"&gt;0",'Data Additive'!$Q:$Q,"&lt;=30")</f>
        <v>0</v>
      </c>
      <c r="I30" s="65">
        <f>SUMIFS('Data Additive'!$D:$D,'Data Additive'!$P:$P,'Painel Additive'!$B30,'Data Additive'!$Q:$Q,"&gt;30",'Data Additive'!$Q:$Q,"&lt;=60")</f>
        <v>0</v>
      </c>
      <c r="J30" s="65">
        <f>SUMIFS('Data Additive'!$D:$D,'Data Additive'!$P:$P,'Painel Additive'!$B30,'Data Additive'!$Q:$Q,"&gt;60",'Data Additive'!$Q:$Q,"&lt;=90")</f>
        <v>0</v>
      </c>
      <c r="K30" s="65">
        <f>SUMIFS('Data Additive'!$D:$D,'Data Additive'!$P:$P,'Painel Additive'!$B30,'Data Additive'!$Q:$Q,"&gt;90",'Data Additive'!$Q:$Q,"&lt;=120")</f>
        <v>0</v>
      </c>
      <c r="L30" s="65">
        <f>SUMIFS('Data Additive'!$D:$D,'Data Additive'!$P:$P,'Painel Additive'!$B30,'Data Additive'!$Q:$Q,"&gt;120",'Data Additive'!$Q:$Q,"&lt;=180")</f>
        <v>0</v>
      </c>
      <c r="M30" s="65">
        <f>SUMIFS('Data Additive'!$D:$D,'Data Additive'!$P:$P,'Painel Additive'!$B30,'Data Additive'!$Q:$Q,"&gt;180",'Data Additive'!$Q:$Q,"&lt;=360")</f>
        <v>0</v>
      </c>
      <c r="N30" s="66">
        <f>SUMIFS('Data Additive'!$D:$D,'Data Additive'!$P:$P,'Painel Additive'!$B30,'Data Additive'!$Q:$Q,"&gt;360")</f>
        <v>0</v>
      </c>
      <c r="O30" s="65">
        <f>SUMIFS('Data Additive'!$D:$D,'Data Additive'!$P:$P,'Painel Additive'!$B30,'Data Additive'!$Q:$Q,"&gt;0")</f>
        <v>0</v>
      </c>
      <c r="P30" s="65">
        <f t="shared" si="5"/>
        <v>0</v>
      </c>
      <c r="Q30" s="65">
        <f>SUMIFS('Data Additive'!$D:$D,'Data Additive'!$P:$P,'Painel Additive'!$B30,'Data Additive'!$Q:$Q,"&lt;=0",'Data Additive'!$Q:$Q,"&gt;=-30")</f>
        <v>0</v>
      </c>
      <c r="R30" s="65">
        <f>SUMIFS('Data Additive'!$D:$D,'Data Additive'!$P:$P,'Painel Additive'!$B30,'Data Additive'!$Q:$Q,"&lt;=-31",'Data Additive'!$Q:$Q,"&gt;=-60")</f>
        <v>0</v>
      </c>
      <c r="S30" s="65">
        <f>SUMIFS('Data Additive'!$D:$D,'Data Additive'!$P:$P,'Painel Additive'!$B30,'Data Additive'!$Q:$Q,"&lt;=-61",'Data Additive'!$Q:$Q,"&gt;=-90")</f>
        <v>0</v>
      </c>
      <c r="T30" s="65">
        <f>SUMIFS('Data Additive'!$D:$D,'Data Additive'!$P:$P,'Painel Additive'!$B30,'Data Additive'!$Q:$Q,"&lt;=-91",'Data Additive'!$Q:$Q,"&gt;=-120")</f>
        <v>0</v>
      </c>
      <c r="U30" s="65">
        <f>SUMIFS('Data Additive'!$D:$D,'Data Additive'!$P:$P,'Painel Additive'!$B30,'Data Additive'!$Q:$Q,"&lt;=-121",'Data Additive'!$Q:$Q,"&gt;=-180")</f>
        <v>0</v>
      </c>
      <c r="V30" s="65">
        <f>SUMIFS('Data Additive'!$D:$D,'Data Additive'!$P:$P,'Painel Additive'!$B30,'Data Additive'!$Q:$Q,"&lt;=-181",'Data Additive'!$Q:$Q,"&gt;=-360")</f>
        <v>0</v>
      </c>
      <c r="W30" s="66">
        <f>SUMIFS('Data Additive'!$D:$D,'Data Additive'!$P:$P,'Painel Additive'!$B30,'Data Additive'!$Q:$Q,"&lt;-360")</f>
        <v>0</v>
      </c>
      <c r="X30" s="19">
        <f>SUMIFS('Bad Debt Provision'!AB:AB,'Bad Debt Provision'!B:B,'Painel Additive'!B30)</f>
        <v>0</v>
      </c>
      <c r="Y30" s="67"/>
      <c r="Z30" s="67"/>
      <c r="AA30" s="19">
        <f>IFERROR(_xlfn.XLOOKUP(B30,'Limite de crédito'!C:C,'Limite de crédito'!O:O,),0)</f>
        <v>0</v>
      </c>
      <c r="AB30" s="65"/>
      <c r="AC30" s="68"/>
      <c r="AD30" s="69"/>
      <c r="AE30" s="69"/>
      <c r="AF30" s="67"/>
      <c r="AG30" s="53">
        <f t="shared" si="2"/>
        <v>0</v>
      </c>
      <c r="AH30" s="67"/>
    </row>
    <row r="31" spans="2:34" x14ac:dyDescent="0.25">
      <c r="B31" s="37" t="s">
        <v>425</v>
      </c>
      <c r="C31" s="152">
        <f>IFERROR(_xlfn.XLOOKUP(B31,'Limite de crédito'!C:C,'Limite de crédito'!L:L,),0)</f>
        <v>0</v>
      </c>
      <c r="D31" s="44"/>
      <c r="E31" s="18">
        <f>_xlfn.XLOOKUP(B31,'Limite de crédito'!C:C,'Limite de crédito'!G:G,0)</f>
        <v>70000</v>
      </c>
      <c r="F31" s="18">
        <f t="shared" si="6"/>
        <v>32340</v>
      </c>
      <c r="G31" s="18">
        <f t="shared" si="7"/>
        <v>37660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2">
        <f>SUMIFS('Data Additive'!$D:$D,'Data Additive'!$P:$P,'Painel Additive'!$B31,'Data Additive'!$Q:$Q,"&gt;360")</f>
        <v>0</v>
      </c>
      <c r="O31" s="65">
        <f>SUMIFS('Data Additive'!$D:$D,'Data Additive'!$P:$P,'Painel Additive'!$B31,'Data Additive'!$Q:$Q,"&gt;0")</f>
        <v>0</v>
      </c>
      <c r="P31" s="19">
        <f t="shared" si="5"/>
        <v>37660</v>
      </c>
      <c r="Q31" s="19">
        <f>SUMIFS('Data Additive'!$D:$D,'Data Additive'!$P:$P,'Painel Additive'!$B31,'Data Additive'!$Q:$Q,"&lt;=0",'Data Additive'!$Q:$Q,"&gt;=-30")</f>
        <v>37660</v>
      </c>
      <c r="R31" s="19">
        <f>SUMIFS('Data Additive'!$D:$D,'Data Additive'!$P:$P,'Painel Additive'!$B31,'Data Additive'!$Q:$Q,"&lt;=-31",'Data Additive'!$Q:$Q,"&gt;=-60")</f>
        <v>0</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2">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1"/>
      <c r="AE31" s="21"/>
      <c r="AF31" s="5"/>
      <c r="AG31" s="53">
        <f t="shared" si="2"/>
        <v>-37660</v>
      </c>
    </row>
    <row r="32" spans="2:34" s="62" customFormat="1" x14ac:dyDescent="0.25">
      <c r="B32" s="63" t="s">
        <v>80</v>
      </c>
      <c r="C32" s="152">
        <f>IFERROR(_xlfn.XLOOKUP(B32,'Limite de crédito'!C:C,'Limite de crédito'!L:L,),0)</f>
        <v>0</v>
      </c>
      <c r="D32" s="70"/>
      <c r="E32" s="18">
        <f>_xlfn.XLOOKUP(B32,'Limite de crédito'!C:C,'Limite de crédito'!G:G,0)</f>
        <v>0</v>
      </c>
      <c r="F32" s="64">
        <f t="shared" si="6"/>
        <v>-20940</v>
      </c>
      <c r="G32" s="64">
        <f t="shared" si="7"/>
        <v>20940</v>
      </c>
      <c r="H32" s="65">
        <f>SUMIFS('Data Additive'!$D:$D,'Data Additive'!$P:$P,'Painel Additive'!$B32,'Data Additive'!$Q:$Q,"&gt;0",'Data Additive'!$Q:$Q,"&lt;=30")</f>
        <v>0</v>
      </c>
      <c r="I32" s="65">
        <f>SUMIFS('Data Additive'!$D:$D,'Data Additive'!$P:$P,'Painel Additive'!$B32,'Data Additive'!$Q:$Q,"&gt;30",'Data Additive'!$Q:$Q,"&lt;=60")</f>
        <v>0</v>
      </c>
      <c r="J32" s="65">
        <f>SUMIFS('Data Additive'!$D:$D,'Data Additive'!$P:$P,'Painel Additive'!$B32,'Data Additive'!$Q:$Q,"&gt;60",'Data Additive'!$Q:$Q,"&lt;=90")</f>
        <v>0</v>
      </c>
      <c r="K32" s="65">
        <f>SUMIFS('Data Additive'!$D:$D,'Data Additive'!$P:$P,'Painel Additive'!$B32,'Data Additive'!$Q:$Q,"&gt;90",'Data Additive'!$Q:$Q,"&lt;=120")</f>
        <v>0</v>
      </c>
      <c r="L32" s="65">
        <f>SUMIFS('Data Additive'!$D:$D,'Data Additive'!$P:$P,'Painel Additive'!$B32,'Data Additive'!$Q:$Q,"&gt;120",'Data Additive'!$Q:$Q,"&lt;=180")</f>
        <v>0</v>
      </c>
      <c r="M32" s="65">
        <f>SUMIFS('Data Additive'!$D:$D,'Data Additive'!$P:$P,'Painel Additive'!$B32,'Data Additive'!$Q:$Q,"&gt;180",'Data Additive'!$Q:$Q,"&lt;=360")</f>
        <v>0</v>
      </c>
      <c r="N32" s="66">
        <f>SUMIFS('Data Additive'!$D:$D,'Data Additive'!$P:$P,'Painel Additive'!$B32,'Data Additive'!$Q:$Q,"&gt;360")</f>
        <v>20940</v>
      </c>
      <c r="O32" s="65">
        <f>SUMIFS('Data Additive'!$D:$D,'Data Additive'!$P:$P,'Painel Additive'!$B32,'Data Additive'!$Q:$Q,"&gt;0")</f>
        <v>20940</v>
      </c>
      <c r="P32" s="65">
        <f t="shared" si="5"/>
        <v>0</v>
      </c>
      <c r="Q32" s="65">
        <f>SUMIFS('Data Additive'!$D:$D,'Data Additive'!$P:$P,'Painel Additive'!$B32,'Data Additive'!$Q:$Q,"&lt;=0",'Data Additive'!$Q:$Q,"&gt;=-30")</f>
        <v>0</v>
      </c>
      <c r="R32" s="65">
        <f>SUMIFS('Data Additive'!$D:$D,'Data Additive'!$P:$P,'Painel Additive'!$B32,'Data Additive'!$Q:$Q,"&lt;=-31",'Data Additive'!$Q:$Q,"&gt;=-60")</f>
        <v>0</v>
      </c>
      <c r="S32" s="65">
        <f>SUMIFS('Data Additive'!$D:$D,'Data Additive'!$P:$P,'Painel Additive'!$B32,'Data Additive'!$Q:$Q,"&lt;=-61",'Data Additive'!$Q:$Q,"&gt;=-90")</f>
        <v>0</v>
      </c>
      <c r="T32" s="65">
        <f>SUMIFS('Data Additive'!$D:$D,'Data Additive'!$P:$P,'Painel Additive'!$B32,'Data Additive'!$Q:$Q,"&lt;=-91",'Data Additive'!$Q:$Q,"&gt;=-120")</f>
        <v>0</v>
      </c>
      <c r="U32" s="65">
        <f>SUMIFS('Data Additive'!$D:$D,'Data Additive'!$P:$P,'Painel Additive'!$B32,'Data Additive'!$Q:$Q,"&lt;=-121",'Data Additive'!$Q:$Q,"&gt;=-180")</f>
        <v>0</v>
      </c>
      <c r="V32" s="65">
        <f>SUMIFS('Data Additive'!$D:$D,'Data Additive'!$P:$P,'Painel Additive'!$B32,'Data Additive'!$Q:$Q,"&lt;=-181",'Data Additive'!$Q:$Q,"&gt;=-360")</f>
        <v>0</v>
      </c>
      <c r="W32" s="66">
        <f>SUMIFS('Data Additive'!$D:$D,'Data Additive'!$P:$P,'Painel Additive'!$B32,'Data Additive'!$Q:$Q,"&lt;-360")</f>
        <v>0</v>
      </c>
      <c r="X32" s="19">
        <f>SUMIFS('Bad Debt Provision'!AB:AB,'Bad Debt Provision'!B:B,'Painel Additive'!B32)</f>
        <v>20940</v>
      </c>
      <c r="Y32" s="67"/>
      <c r="Z32" s="67"/>
      <c r="AA32" s="19">
        <f>IFERROR(_xlfn.XLOOKUP(B32,'Limite de crédito'!C:C,'Limite de crédito'!O:O,),0)</f>
        <v>0</v>
      </c>
      <c r="AB32" s="65"/>
      <c r="AC32" s="68"/>
      <c r="AD32" s="69"/>
      <c r="AE32" s="69"/>
      <c r="AF32" s="67"/>
      <c r="AG32" s="53">
        <f t="shared" si="2"/>
        <v>-20940</v>
      </c>
      <c r="AH32" s="67"/>
    </row>
    <row r="33" spans="2:34" s="62" customFormat="1" x14ac:dyDescent="0.25">
      <c r="B33" s="63" t="s">
        <v>132</v>
      </c>
      <c r="C33" s="152">
        <f>IFERROR(_xlfn.XLOOKUP(B33,'Limite de crédito'!C:C,'Limite de crédito'!L:L,),0)</f>
        <v>0</v>
      </c>
      <c r="D33" s="70"/>
      <c r="E33" s="18">
        <f>_xlfn.XLOOKUP(B33,'Limite de crédito'!C:C,'Limite de crédito'!G:G,0)</f>
        <v>0</v>
      </c>
      <c r="F33" s="64">
        <f t="shared" si="6"/>
        <v>0</v>
      </c>
      <c r="G33" s="64">
        <f t="shared" si="7"/>
        <v>0</v>
      </c>
      <c r="H33" s="65">
        <f>SUMIFS('Data Additive'!$D:$D,'Data Additive'!$P:$P,'Painel Additive'!$B33,'Data Additive'!$Q:$Q,"&gt;0",'Data Additive'!$Q:$Q,"&lt;=30")</f>
        <v>0</v>
      </c>
      <c r="I33" s="65">
        <f>SUMIFS('Data Additive'!$D:$D,'Data Additive'!$P:$P,'Painel Additive'!$B33,'Data Additive'!$Q:$Q,"&gt;30",'Data Additive'!$Q:$Q,"&lt;=60")</f>
        <v>0</v>
      </c>
      <c r="J33" s="65">
        <f>SUMIFS('Data Additive'!$D:$D,'Data Additive'!$P:$P,'Painel Additive'!$B33,'Data Additive'!$Q:$Q,"&gt;60",'Data Additive'!$Q:$Q,"&lt;=90")</f>
        <v>0</v>
      </c>
      <c r="K33" s="65">
        <f>SUMIFS('Data Additive'!$D:$D,'Data Additive'!$P:$P,'Painel Additive'!$B33,'Data Additive'!$Q:$Q,"&gt;90",'Data Additive'!$Q:$Q,"&lt;=120")</f>
        <v>0</v>
      </c>
      <c r="L33" s="65">
        <f>SUMIFS('Data Additive'!$D:$D,'Data Additive'!$P:$P,'Painel Additive'!$B33,'Data Additive'!$Q:$Q,"&gt;120",'Data Additive'!$Q:$Q,"&lt;=180")</f>
        <v>0</v>
      </c>
      <c r="M33" s="65">
        <f>SUMIFS('Data Additive'!$D:$D,'Data Additive'!$P:$P,'Painel Additive'!$B33,'Data Additive'!$Q:$Q,"&gt;180",'Data Additive'!$Q:$Q,"&lt;=360")</f>
        <v>0</v>
      </c>
      <c r="N33" s="66">
        <f>SUMIFS('Data Additive'!$D:$D,'Data Additive'!$P:$P,'Painel Additive'!$B33,'Data Additive'!$Q:$Q,"&gt;360")</f>
        <v>0</v>
      </c>
      <c r="O33" s="65">
        <f>SUMIFS('Data Additive'!$D:$D,'Data Additive'!$P:$P,'Painel Additive'!$B33,'Data Additive'!$Q:$Q,"&gt;0")</f>
        <v>0</v>
      </c>
      <c r="P33" s="65">
        <f t="shared" si="5"/>
        <v>0</v>
      </c>
      <c r="Q33" s="65">
        <f>SUMIFS('Data Additive'!$D:$D,'Data Additive'!$P:$P,'Painel Additive'!$B33,'Data Additive'!$Q:$Q,"&lt;=0",'Data Additive'!$Q:$Q,"&gt;=-30")</f>
        <v>0</v>
      </c>
      <c r="R33" s="65">
        <f>SUMIFS('Data Additive'!$D:$D,'Data Additive'!$P:$P,'Painel Additive'!$B33,'Data Additive'!$Q:$Q,"&lt;=-31",'Data Additive'!$Q:$Q,"&gt;=-60")</f>
        <v>0</v>
      </c>
      <c r="S33" s="65">
        <f>SUMIFS('Data Additive'!$D:$D,'Data Additive'!$P:$P,'Painel Additive'!$B33,'Data Additive'!$Q:$Q,"&lt;=-61",'Data Additive'!$Q:$Q,"&gt;=-90")</f>
        <v>0</v>
      </c>
      <c r="T33" s="65">
        <f>SUMIFS('Data Additive'!$D:$D,'Data Additive'!$P:$P,'Painel Additive'!$B33,'Data Additive'!$Q:$Q,"&lt;=-91",'Data Additive'!$Q:$Q,"&gt;=-120")</f>
        <v>0</v>
      </c>
      <c r="U33" s="65">
        <f>SUMIFS('Data Additive'!$D:$D,'Data Additive'!$P:$P,'Painel Additive'!$B33,'Data Additive'!$Q:$Q,"&lt;=-121",'Data Additive'!$Q:$Q,"&gt;=-180")</f>
        <v>0</v>
      </c>
      <c r="V33" s="65">
        <f>SUMIFS('Data Additive'!$D:$D,'Data Additive'!$P:$P,'Painel Additive'!$B33,'Data Additive'!$Q:$Q,"&lt;=-181",'Data Additive'!$Q:$Q,"&gt;=-360")</f>
        <v>0</v>
      </c>
      <c r="W33" s="66">
        <f>SUMIFS('Data Additive'!$D:$D,'Data Additive'!$P:$P,'Painel Additive'!$B33,'Data Additive'!$Q:$Q,"&lt;-360")</f>
        <v>0</v>
      </c>
      <c r="X33" s="19">
        <f>SUMIFS('Bad Debt Provision'!AB:AB,'Bad Debt Provision'!B:B,'Painel Additive'!B33)</f>
        <v>0</v>
      </c>
      <c r="Y33" s="67"/>
      <c r="Z33" s="67"/>
      <c r="AA33" s="19">
        <f>IFERROR(_xlfn.XLOOKUP(B33,'Limite de crédito'!C:C,'Limite de crédito'!O:O,),0)</f>
        <v>0</v>
      </c>
      <c r="AB33" s="65"/>
      <c r="AC33" s="68"/>
      <c r="AD33" s="69"/>
      <c r="AE33" s="69"/>
      <c r="AF33" s="67"/>
      <c r="AG33" s="53">
        <f t="shared" si="2"/>
        <v>0</v>
      </c>
      <c r="AH33" s="67"/>
    </row>
    <row r="34" spans="2:34" s="62" customFormat="1" x14ac:dyDescent="0.25">
      <c r="B34" s="63" t="s">
        <v>129</v>
      </c>
      <c r="C34" s="152">
        <f>IFERROR(_xlfn.XLOOKUP(B34,'Limite de crédito'!C:C,'Limite de crédito'!L:L,),0)</f>
        <v>0</v>
      </c>
      <c r="D34" s="70"/>
      <c r="E34" s="18">
        <f>_xlfn.XLOOKUP(B34,'Limite de crédito'!C:C,'Limite de crédito'!G:G,0)</f>
        <v>0</v>
      </c>
      <c r="F34" s="64">
        <f t="shared" si="6"/>
        <v>0</v>
      </c>
      <c r="G34" s="64">
        <f t="shared" si="7"/>
        <v>0</v>
      </c>
      <c r="H34" s="65">
        <f>SUMIFS('Data Additive'!$D:$D,'Data Additive'!$P:$P,'Painel Additive'!$B34,'Data Additive'!$Q:$Q,"&gt;0",'Data Additive'!$Q:$Q,"&lt;=30")</f>
        <v>0</v>
      </c>
      <c r="I34" s="65">
        <f>SUMIFS('Data Additive'!$D:$D,'Data Additive'!$P:$P,'Painel Additive'!$B34,'Data Additive'!$Q:$Q,"&gt;30",'Data Additive'!$Q:$Q,"&lt;=60")</f>
        <v>0</v>
      </c>
      <c r="J34" s="65">
        <f>SUMIFS('Data Additive'!$D:$D,'Data Additive'!$P:$P,'Painel Additive'!$B34,'Data Additive'!$Q:$Q,"&gt;60",'Data Additive'!$Q:$Q,"&lt;=90")</f>
        <v>0</v>
      </c>
      <c r="K34" s="65">
        <f>SUMIFS('Data Additive'!$D:$D,'Data Additive'!$P:$P,'Painel Additive'!$B34,'Data Additive'!$Q:$Q,"&gt;90",'Data Additive'!$Q:$Q,"&lt;=120")</f>
        <v>0</v>
      </c>
      <c r="L34" s="65">
        <f>SUMIFS('Data Additive'!$D:$D,'Data Additive'!$P:$P,'Painel Additive'!$B34,'Data Additive'!$Q:$Q,"&gt;120",'Data Additive'!$Q:$Q,"&lt;=180")</f>
        <v>0</v>
      </c>
      <c r="M34" s="65">
        <f>SUMIFS('Data Additive'!$D:$D,'Data Additive'!$P:$P,'Painel Additive'!$B34,'Data Additive'!$Q:$Q,"&gt;180",'Data Additive'!$Q:$Q,"&lt;=360")</f>
        <v>0</v>
      </c>
      <c r="N34" s="66">
        <f>SUMIFS('Data Additive'!$D:$D,'Data Additive'!$P:$P,'Painel Additive'!$B34,'Data Additive'!$Q:$Q,"&gt;360")</f>
        <v>0</v>
      </c>
      <c r="O34" s="65">
        <f>SUMIFS('Data Additive'!$D:$D,'Data Additive'!$P:$P,'Painel Additive'!$B34,'Data Additive'!$Q:$Q,"&gt;0")</f>
        <v>0</v>
      </c>
      <c r="P34" s="65">
        <f t="shared" si="5"/>
        <v>0</v>
      </c>
      <c r="Q34" s="65">
        <f>SUMIFS('Data Additive'!$D:$D,'Data Additive'!$P:$P,'Painel Additive'!$B34,'Data Additive'!$Q:$Q,"&lt;=0",'Data Additive'!$Q:$Q,"&gt;=-30")</f>
        <v>0</v>
      </c>
      <c r="R34" s="65">
        <f>SUMIFS('Data Additive'!$D:$D,'Data Additive'!$P:$P,'Painel Additive'!$B34,'Data Additive'!$Q:$Q,"&lt;=-31",'Data Additive'!$Q:$Q,"&gt;=-60")</f>
        <v>0</v>
      </c>
      <c r="S34" s="65">
        <f>SUMIFS('Data Additive'!$D:$D,'Data Additive'!$P:$P,'Painel Additive'!$B34,'Data Additive'!$Q:$Q,"&lt;=-61",'Data Additive'!$Q:$Q,"&gt;=-90")</f>
        <v>0</v>
      </c>
      <c r="T34" s="65">
        <f>SUMIFS('Data Additive'!$D:$D,'Data Additive'!$P:$P,'Painel Additive'!$B34,'Data Additive'!$Q:$Q,"&lt;=-91",'Data Additive'!$Q:$Q,"&gt;=-120")</f>
        <v>0</v>
      </c>
      <c r="U34" s="65">
        <f>SUMIFS('Data Additive'!$D:$D,'Data Additive'!$P:$P,'Painel Additive'!$B34,'Data Additive'!$Q:$Q,"&lt;=-121",'Data Additive'!$Q:$Q,"&gt;=-180")</f>
        <v>0</v>
      </c>
      <c r="V34" s="65">
        <f>SUMIFS('Data Additive'!$D:$D,'Data Additive'!$P:$P,'Painel Additive'!$B34,'Data Additive'!$Q:$Q,"&lt;=-181",'Data Additive'!$Q:$Q,"&gt;=-360")</f>
        <v>0</v>
      </c>
      <c r="W34" s="66">
        <f>SUMIFS('Data Additive'!$D:$D,'Data Additive'!$P:$P,'Painel Additive'!$B34,'Data Additive'!$Q:$Q,"&lt;-360")</f>
        <v>0</v>
      </c>
      <c r="X34" s="19">
        <f>SUMIFS('Bad Debt Provision'!AB:AB,'Bad Debt Provision'!B:B,'Painel Additive'!B34)</f>
        <v>0</v>
      </c>
      <c r="Y34" s="67"/>
      <c r="Z34" s="67"/>
      <c r="AA34" s="19">
        <f>IFERROR(_xlfn.XLOOKUP(B34,'Limite de crédito'!C:C,'Limite de crédito'!O:O,),0)</f>
        <v>0</v>
      </c>
      <c r="AB34" s="65"/>
      <c r="AC34" s="68"/>
      <c r="AD34" s="69"/>
      <c r="AE34" s="69"/>
      <c r="AF34" s="67"/>
      <c r="AG34" s="53">
        <f t="shared" si="2"/>
        <v>0</v>
      </c>
      <c r="AH34" s="67"/>
    </row>
    <row r="35" spans="2:34" s="62" customFormat="1" x14ac:dyDescent="0.25">
      <c r="B35" s="63" t="s">
        <v>138</v>
      </c>
      <c r="C35" s="152">
        <f>IFERROR(_xlfn.XLOOKUP(B35,'Limite de crédito'!C:C,'Limite de crédito'!L:L,),0)</f>
        <v>0</v>
      </c>
      <c r="D35" s="70"/>
      <c r="E35" s="18">
        <f>_xlfn.XLOOKUP(B35,'Limite de crédito'!C:C,'Limite de crédito'!G:G,0)</f>
        <v>0</v>
      </c>
      <c r="F35" s="64">
        <f t="shared" si="6"/>
        <v>0</v>
      </c>
      <c r="G35" s="64">
        <f t="shared" si="7"/>
        <v>0</v>
      </c>
      <c r="H35" s="65">
        <f>SUMIFS('Data Additive'!$D:$D,'Data Additive'!$P:$P,'Painel Additive'!$B35,'Data Additive'!$Q:$Q,"&gt;0",'Data Additive'!$Q:$Q,"&lt;=30")</f>
        <v>0</v>
      </c>
      <c r="I35" s="65">
        <f>SUMIFS('Data Additive'!$D:$D,'Data Additive'!$P:$P,'Painel Additive'!$B35,'Data Additive'!$Q:$Q,"&gt;30",'Data Additive'!$Q:$Q,"&lt;=60")</f>
        <v>0</v>
      </c>
      <c r="J35" s="65">
        <f>SUMIFS('Data Additive'!$D:$D,'Data Additive'!$P:$P,'Painel Additive'!$B35,'Data Additive'!$Q:$Q,"&gt;60",'Data Additive'!$Q:$Q,"&lt;=90")</f>
        <v>0</v>
      </c>
      <c r="K35" s="65">
        <f>SUMIFS('Data Additive'!$D:$D,'Data Additive'!$P:$P,'Painel Additive'!$B35,'Data Additive'!$Q:$Q,"&gt;90",'Data Additive'!$Q:$Q,"&lt;=120")</f>
        <v>0</v>
      </c>
      <c r="L35" s="65">
        <f>SUMIFS('Data Additive'!$D:$D,'Data Additive'!$P:$P,'Painel Additive'!$B35,'Data Additive'!$Q:$Q,"&gt;120",'Data Additive'!$Q:$Q,"&lt;=180")</f>
        <v>0</v>
      </c>
      <c r="M35" s="65">
        <f>SUMIFS('Data Additive'!$D:$D,'Data Additive'!$P:$P,'Painel Additive'!$B35,'Data Additive'!$Q:$Q,"&gt;180",'Data Additive'!$Q:$Q,"&lt;=360")</f>
        <v>0</v>
      </c>
      <c r="N35" s="66">
        <f>SUMIFS('Data Additive'!$D:$D,'Data Additive'!$P:$P,'Painel Additive'!$B35,'Data Additive'!$Q:$Q,"&gt;360")</f>
        <v>0</v>
      </c>
      <c r="O35" s="65">
        <f>SUMIFS('Data Additive'!$D:$D,'Data Additive'!$P:$P,'Painel Additive'!$B35,'Data Additive'!$Q:$Q,"&gt;0")</f>
        <v>0</v>
      </c>
      <c r="P35" s="65">
        <f t="shared" si="5"/>
        <v>0</v>
      </c>
      <c r="Q35" s="65">
        <f>SUMIFS('Data Additive'!$D:$D,'Data Additive'!$P:$P,'Painel Additive'!$B35,'Data Additive'!$Q:$Q,"&lt;=0",'Data Additive'!$Q:$Q,"&gt;=-30")</f>
        <v>0</v>
      </c>
      <c r="R35" s="65">
        <f>SUMIFS('Data Additive'!$D:$D,'Data Additive'!$P:$P,'Painel Additive'!$B35,'Data Additive'!$Q:$Q,"&lt;=-31",'Data Additive'!$Q:$Q,"&gt;=-60")</f>
        <v>0</v>
      </c>
      <c r="S35" s="65">
        <f>SUMIFS('Data Additive'!$D:$D,'Data Additive'!$P:$P,'Painel Additive'!$B35,'Data Additive'!$Q:$Q,"&lt;=-61",'Data Additive'!$Q:$Q,"&gt;=-90")</f>
        <v>0</v>
      </c>
      <c r="T35" s="65">
        <f>SUMIFS('Data Additive'!$D:$D,'Data Additive'!$P:$P,'Painel Additive'!$B35,'Data Additive'!$Q:$Q,"&lt;=-91",'Data Additive'!$Q:$Q,"&gt;=-120")</f>
        <v>0</v>
      </c>
      <c r="U35" s="65">
        <f>SUMIFS('Data Additive'!$D:$D,'Data Additive'!$P:$P,'Painel Additive'!$B35,'Data Additive'!$Q:$Q,"&lt;=-121",'Data Additive'!$Q:$Q,"&gt;=-180")</f>
        <v>0</v>
      </c>
      <c r="V35" s="65">
        <f>SUMIFS('Data Additive'!$D:$D,'Data Additive'!$P:$P,'Painel Additive'!$B35,'Data Additive'!$Q:$Q,"&lt;=-181",'Data Additive'!$Q:$Q,"&gt;=-360")</f>
        <v>0</v>
      </c>
      <c r="W35" s="66">
        <f>SUMIFS('Data Additive'!$D:$D,'Data Additive'!$P:$P,'Painel Additive'!$B35,'Data Additive'!$Q:$Q,"&lt;-360")</f>
        <v>0</v>
      </c>
      <c r="X35" s="19">
        <f>SUMIFS('Bad Debt Provision'!AB:AB,'Bad Debt Provision'!B:B,'Painel Additive'!B35)</f>
        <v>0</v>
      </c>
      <c r="Y35" s="67"/>
      <c r="Z35" s="67"/>
      <c r="AA35" s="19">
        <f>IFERROR(_xlfn.XLOOKUP(B35,'Limite de crédito'!C:C,'Limite de crédito'!O:O,),0)</f>
        <v>0</v>
      </c>
      <c r="AB35" s="65"/>
      <c r="AC35" s="68"/>
      <c r="AD35" s="69"/>
      <c r="AE35" s="69"/>
      <c r="AF35" s="67"/>
      <c r="AG35" s="53">
        <f t="shared" si="2"/>
        <v>0</v>
      </c>
      <c r="AH35" s="67"/>
    </row>
    <row r="36" spans="2:34" s="62" customFormat="1" x14ac:dyDescent="0.25">
      <c r="B36" s="63" t="s">
        <v>135</v>
      </c>
      <c r="C36" s="152">
        <f>IFERROR(_xlfn.XLOOKUP(B36,'Limite de crédito'!C:C,'Limite de crédito'!L:L,),0)</f>
        <v>0</v>
      </c>
      <c r="D36" s="70"/>
      <c r="E36" s="18">
        <f>_xlfn.XLOOKUP(B36,'Limite de crédito'!C:C,'Limite de crédito'!G:G,0)</f>
        <v>0</v>
      </c>
      <c r="F36" s="64">
        <f t="shared" si="6"/>
        <v>0</v>
      </c>
      <c r="G36" s="64">
        <f t="shared" si="7"/>
        <v>0</v>
      </c>
      <c r="H36" s="65">
        <f>SUMIFS('Data Additive'!$D:$D,'Data Additive'!$P:$P,'Painel Additive'!$B36,'Data Additive'!$Q:$Q,"&gt;0",'Data Additive'!$Q:$Q,"&lt;=30")</f>
        <v>0</v>
      </c>
      <c r="I36" s="65">
        <f>SUMIFS('Data Additive'!$D:$D,'Data Additive'!$P:$P,'Painel Additive'!$B36,'Data Additive'!$Q:$Q,"&gt;30",'Data Additive'!$Q:$Q,"&lt;=60")</f>
        <v>0</v>
      </c>
      <c r="J36" s="65">
        <f>SUMIFS('Data Additive'!$D:$D,'Data Additive'!$P:$P,'Painel Additive'!$B36,'Data Additive'!$Q:$Q,"&gt;60",'Data Additive'!$Q:$Q,"&lt;=90")</f>
        <v>0</v>
      </c>
      <c r="K36" s="65">
        <f>SUMIFS('Data Additive'!$D:$D,'Data Additive'!$P:$P,'Painel Additive'!$B36,'Data Additive'!$Q:$Q,"&gt;90",'Data Additive'!$Q:$Q,"&lt;=120")</f>
        <v>0</v>
      </c>
      <c r="L36" s="65">
        <f>SUMIFS('Data Additive'!$D:$D,'Data Additive'!$P:$P,'Painel Additive'!$B36,'Data Additive'!$Q:$Q,"&gt;120",'Data Additive'!$Q:$Q,"&lt;=180")</f>
        <v>0</v>
      </c>
      <c r="M36" s="65">
        <f>SUMIFS('Data Additive'!$D:$D,'Data Additive'!$P:$P,'Painel Additive'!$B36,'Data Additive'!$Q:$Q,"&gt;180",'Data Additive'!$Q:$Q,"&lt;=360")</f>
        <v>0</v>
      </c>
      <c r="N36" s="66">
        <f>SUMIFS('Data Additive'!$D:$D,'Data Additive'!$P:$P,'Painel Additive'!$B36,'Data Additive'!$Q:$Q,"&gt;360")</f>
        <v>0</v>
      </c>
      <c r="O36" s="65">
        <f>SUMIFS('Data Additive'!$D:$D,'Data Additive'!$P:$P,'Painel Additive'!$B36,'Data Additive'!$Q:$Q,"&gt;0")</f>
        <v>0</v>
      </c>
      <c r="P36" s="65">
        <f t="shared" si="5"/>
        <v>0</v>
      </c>
      <c r="Q36" s="65">
        <f>SUMIFS('Data Additive'!$D:$D,'Data Additive'!$P:$P,'Painel Additive'!$B36,'Data Additive'!$Q:$Q,"&lt;=0",'Data Additive'!$Q:$Q,"&gt;=-30")</f>
        <v>0</v>
      </c>
      <c r="R36" s="65">
        <f>SUMIFS('Data Additive'!$D:$D,'Data Additive'!$P:$P,'Painel Additive'!$B36,'Data Additive'!$Q:$Q,"&lt;=-31",'Data Additive'!$Q:$Q,"&gt;=-60")</f>
        <v>0</v>
      </c>
      <c r="S36" s="65">
        <f>SUMIFS('Data Additive'!$D:$D,'Data Additive'!$P:$P,'Painel Additive'!$B36,'Data Additive'!$Q:$Q,"&lt;=-61",'Data Additive'!$Q:$Q,"&gt;=-90")</f>
        <v>0</v>
      </c>
      <c r="T36" s="65">
        <f>SUMIFS('Data Additive'!$D:$D,'Data Additive'!$P:$P,'Painel Additive'!$B36,'Data Additive'!$Q:$Q,"&lt;=-91",'Data Additive'!$Q:$Q,"&gt;=-120")</f>
        <v>0</v>
      </c>
      <c r="U36" s="65">
        <f>SUMIFS('Data Additive'!$D:$D,'Data Additive'!$P:$P,'Painel Additive'!$B36,'Data Additive'!$Q:$Q,"&lt;=-121",'Data Additive'!$Q:$Q,"&gt;=-180")</f>
        <v>0</v>
      </c>
      <c r="V36" s="65">
        <f>SUMIFS('Data Additive'!$D:$D,'Data Additive'!$P:$P,'Painel Additive'!$B36,'Data Additive'!$Q:$Q,"&lt;=-181",'Data Additive'!$Q:$Q,"&gt;=-360")</f>
        <v>0</v>
      </c>
      <c r="W36" s="66">
        <f>SUMIFS('Data Additive'!$D:$D,'Data Additive'!$P:$P,'Painel Additive'!$B36,'Data Additive'!$Q:$Q,"&lt;-360")</f>
        <v>0</v>
      </c>
      <c r="X36" s="19">
        <f>SUMIFS('Bad Debt Provision'!AB:AB,'Bad Debt Provision'!B:B,'Painel Additive'!B36)</f>
        <v>0</v>
      </c>
      <c r="Y36" s="67"/>
      <c r="Z36" s="67"/>
      <c r="AA36" s="19">
        <f>IFERROR(_xlfn.XLOOKUP(B36,'Limite de crédito'!C:C,'Limite de crédito'!O:O,),0)</f>
        <v>0</v>
      </c>
      <c r="AB36" s="65"/>
      <c r="AC36" s="68"/>
      <c r="AD36" s="69"/>
      <c r="AE36" s="69"/>
      <c r="AF36" s="67"/>
      <c r="AG36" s="53">
        <f t="shared" si="2"/>
        <v>0</v>
      </c>
      <c r="AH36" s="67"/>
    </row>
    <row r="37" spans="2:34" s="62" customFormat="1" x14ac:dyDescent="0.25">
      <c r="B37" s="63" t="s">
        <v>144</v>
      </c>
      <c r="C37" s="152">
        <f>IFERROR(_xlfn.XLOOKUP(B37,'Limite de crédito'!C:C,'Limite de crédito'!L:L,),0)</f>
        <v>0</v>
      </c>
      <c r="D37" s="70"/>
      <c r="E37" s="18">
        <f>_xlfn.XLOOKUP(B37,'Limite de crédito'!C:C,'Limite de crédito'!G:G,0)</f>
        <v>0</v>
      </c>
      <c r="F37" s="64">
        <f t="shared" si="6"/>
        <v>0</v>
      </c>
      <c r="G37" s="64">
        <f t="shared" si="7"/>
        <v>0</v>
      </c>
      <c r="H37" s="65">
        <f>SUMIFS('Data Additive'!$D:$D,'Data Additive'!$P:$P,'Painel Additive'!$B37,'Data Additive'!$Q:$Q,"&gt;0",'Data Additive'!$Q:$Q,"&lt;=30")</f>
        <v>0</v>
      </c>
      <c r="I37" s="65">
        <f>SUMIFS('Data Additive'!$D:$D,'Data Additive'!$P:$P,'Painel Additive'!$B37,'Data Additive'!$Q:$Q,"&gt;30",'Data Additive'!$Q:$Q,"&lt;=60")</f>
        <v>0</v>
      </c>
      <c r="J37" s="65">
        <f>SUMIFS('Data Additive'!$D:$D,'Data Additive'!$P:$P,'Painel Additive'!$B37,'Data Additive'!$Q:$Q,"&gt;60",'Data Additive'!$Q:$Q,"&lt;=90")</f>
        <v>0</v>
      </c>
      <c r="K37" s="65">
        <f>SUMIFS('Data Additive'!$D:$D,'Data Additive'!$P:$P,'Painel Additive'!$B37,'Data Additive'!$Q:$Q,"&gt;90",'Data Additive'!$Q:$Q,"&lt;=120")</f>
        <v>0</v>
      </c>
      <c r="L37" s="65">
        <f>SUMIFS('Data Additive'!$D:$D,'Data Additive'!$P:$P,'Painel Additive'!$B37,'Data Additive'!$Q:$Q,"&gt;120",'Data Additive'!$Q:$Q,"&lt;=180")</f>
        <v>0</v>
      </c>
      <c r="M37" s="65">
        <f>SUMIFS('Data Additive'!$D:$D,'Data Additive'!$P:$P,'Painel Additive'!$B37,'Data Additive'!$Q:$Q,"&gt;180",'Data Additive'!$Q:$Q,"&lt;=360")</f>
        <v>0</v>
      </c>
      <c r="N37" s="66">
        <f>SUMIFS('Data Additive'!$D:$D,'Data Additive'!$P:$P,'Painel Additive'!$B37,'Data Additive'!$Q:$Q,"&gt;360")</f>
        <v>0</v>
      </c>
      <c r="O37" s="65">
        <f>SUMIFS('Data Additive'!$D:$D,'Data Additive'!$P:$P,'Painel Additive'!$B37,'Data Additive'!$Q:$Q,"&gt;0")</f>
        <v>0</v>
      </c>
      <c r="P37" s="65">
        <f t="shared" si="5"/>
        <v>0</v>
      </c>
      <c r="Q37" s="65">
        <f>SUMIFS('Data Additive'!$D:$D,'Data Additive'!$P:$P,'Painel Additive'!$B37,'Data Additive'!$Q:$Q,"&lt;=0",'Data Additive'!$Q:$Q,"&gt;=-30")</f>
        <v>0</v>
      </c>
      <c r="R37" s="65">
        <f>SUMIFS('Data Additive'!$D:$D,'Data Additive'!$P:$P,'Painel Additive'!$B37,'Data Additive'!$Q:$Q,"&lt;=-31",'Data Additive'!$Q:$Q,"&gt;=-60")</f>
        <v>0</v>
      </c>
      <c r="S37" s="65">
        <f>SUMIFS('Data Additive'!$D:$D,'Data Additive'!$P:$P,'Painel Additive'!$B37,'Data Additive'!$Q:$Q,"&lt;=-61",'Data Additive'!$Q:$Q,"&gt;=-90")</f>
        <v>0</v>
      </c>
      <c r="T37" s="65">
        <f>SUMIFS('Data Additive'!$D:$D,'Data Additive'!$P:$P,'Painel Additive'!$B37,'Data Additive'!$Q:$Q,"&lt;=-91",'Data Additive'!$Q:$Q,"&gt;=-120")</f>
        <v>0</v>
      </c>
      <c r="U37" s="65">
        <f>SUMIFS('Data Additive'!$D:$D,'Data Additive'!$P:$P,'Painel Additive'!$B37,'Data Additive'!$Q:$Q,"&lt;=-121",'Data Additive'!$Q:$Q,"&gt;=-180")</f>
        <v>0</v>
      </c>
      <c r="V37" s="65">
        <f>SUMIFS('Data Additive'!$D:$D,'Data Additive'!$P:$P,'Painel Additive'!$B37,'Data Additive'!$Q:$Q,"&lt;=-181",'Data Additive'!$Q:$Q,"&gt;=-360")</f>
        <v>0</v>
      </c>
      <c r="W37" s="66">
        <f>SUMIFS('Data Additive'!$D:$D,'Data Additive'!$P:$P,'Painel Additive'!$B37,'Data Additive'!$Q:$Q,"&lt;-360")</f>
        <v>0</v>
      </c>
      <c r="X37" s="19">
        <f>SUMIFS('Bad Debt Provision'!AB:AB,'Bad Debt Provision'!B:B,'Painel Additive'!B37)</f>
        <v>0</v>
      </c>
      <c r="Y37" s="67"/>
      <c r="Z37" s="67"/>
      <c r="AA37" s="19">
        <f>IFERROR(_xlfn.XLOOKUP(B37,'Limite de crédito'!C:C,'Limite de crédito'!O:O,),0)</f>
        <v>0</v>
      </c>
      <c r="AB37" s="65"/>
      <c r="AC37" s="68"/>
      <c r="AD37" s="69"/>
      <c r="AE37" s="69"/>
      <c r="AF37" s="67">
        <f>AF38+AF39</f>
        <v>0</v>
      </c>
      <c r="AG37" s="53">
        <f>AA37-G37</f>
        <v>0</v>
      </c>
      <c r="AH37" s="67">
        <f>AH38+AH39</f>
        <v>0</v>
      </c>
    </row>
    <row r="38" spans="2:34" s="62" customFormat="1" x14ac:dyDescent="0.25">
      <c r="B38" s="63" t="s">
        <v>141</v>
      </c>
      <c r="C38" s="152">
        <f>IFERROR(_xlfn.XLOOKUP(B38,'Limite de crédito'!C:C,'Limite de crédito'!L:L,),0)</f>
        <v>0</v>
      </c>
      <c r="D38" s="70"/>
      <c r="E38" s="18">
        <f>_xlfn.XLOOKUP(B38,'Limite de crédito'!C:C,'Limite de crédito'!G:G,0)</f>
        <v>0</v>
      </c>
      <c r="F38" s="64">
        <f t="shared" si="6"/>
        <v>0</v>
      </c>
      <c r="G38" s="64">
        <f t="shared" si="7"/>
        <v>0</v>
      </c>
      <c r="H38" s="65">
        <f>SUMIFS('Data Additive'!$D:$D,'Data Additive'!$P:$P,'Painel Additive'!$B38,'Data Additive'!$Q:$Q,"&gt;0",'Data Additive'!$Q:$Q,"&lt;=30")</f>
        <v>0</v>
      </c>
      <c r="I38" s="65">
        <f>SUMIFS('Data Additive'!$D:$D,'Data Additive'!$P:$P,'Painel Additive'!$B38,'Data Additive'!$Q:$Q,"&gt;30",'Data Additive'!$Q:$Q,"&lt;=60")</f>
        <v>0</v>
      </c>
      <c r="J38" s="65">
        <f>SUMIFS('Data Additive'!$D:$D,'Data Additive'!$P:$P,'Painel Additive'!$B38,'Data Additive'!$Q:$Q,"&gt;60",'Data Additive'!$Q:$Q,"&lt;=90")</f>
        <v>0</v>
      </c>
      <c r="K38" s="65">
        <f>SUMIFS('Data Additive'!$D:$D,'Data Additive'!$P:$P,'Painel Additive'!$B38,'Data Additive'!$Q:$Q,"&gt;90",'Data Additive'!$Q:$Q,"&lt;=120")</f>
        <v>0</v>
      </c>
      <c r="L38" s="65">
        <f>SUMIFS('Data Additive'!$D:$D,'Data Additive'!$P:$P,'Painel Additive'!$B38,'Data Additive'!$Q:$Q,"&gt;120",'Data Additive'!$Q:$Q,"&lt;=180")</f>
        <v>0</v>
      </c>
      <c r="M38" s="65">
        <f>SUMIFS('Data Additive'!$D:$D,'Data Additive'!$P:$P,'Painel Additive'!$B38,'Data Additive'!$Q:$Q,"&gt;180",'Data Additive'!$Q:$Q,"&lt;=360")</f>
        <v>0</v>
      </c>
      <c r="N38" s="66">
        <f>SUMIFS('Data Additive'!$D:$D,'Data Additive'!$P:$P,'Painel Additive'!$B38,'Data Additive'!$Q:$Q,"&gt;360")</f>
        <v>0</v>
      </c>
      <c r="O38" s="65">
        <f>SUMIFS('Data Additive'!$D:$D,'Data Additive'!$P:$P,'Painel Additive'!$B38,'Data Additive'!$Q:$Q,"&gt;0")</f>
        <v>0</v>
      </c>
      <c r="P38" s="65">
        <f t="shared" si="5"/>
        <v>0</v>
      </c>
      <c r="Q38" s="65">
        <f>SUMIFS('Data Additive'!$D:$D,'Data Additive'!$P:$P,'Painel Additive'!$B38,'Data Additive'!$Q:$Q,"&lt;=0",'Data Additive'!$Q:$Q,"&gt;=-30")</f>
        <v>0</v>
      </c>
      <c r="R38" s="65">
        <f>SUMIFS('Data Additive'!$D:$D,'Data Additive'!$P:$P,'Painel Additive'!$B38,'Data Additive'!$Q:$Q,"&lt;=-31",'Data Additive'!$Q:$Q,"&gt;=-60")</f>
        <v>0</v>
      </c>
      <c r="S38" s="65">
        <f>SUMIFS('Data Additive'!$D:$D,'Data Additive'!$P:$P,'Painel Additive'!$B38,'Data Additive'!$Q:$Q,"&lt;=-61",'Data Additive'!$Q:$Q,"&gt;=-90")</f>
        <v>0</v>
      </c>
      <c r="T38" s="65">
        <f>SUMIFS('Data Additive'!$D:$D,'Data Additive'!$P:$P,'Painel Additive'!$B38,'Data Additive'!$Q:$Q,"&lt;=-91",'Data Additive'!$Q:$Q,"&gt;=-120")</f>
        <v>0</v>
      </c>
      <c r="U38" s="65">
        <f>SUMIFS('Data Additive'!$D:$D,'Data Additive'!$P:$P,'Painel Additive'!$B38,'Data Additive'!$Q:$Q,"&lt;=-121",'Data Additive'!$Q:$Q,"&gt;=-180")</f>
        <v>0</v>
      </c>
      <c r="V38" s="65">
        <f>SUMIFS('Data Additive'!$D:$D,'Data Additive'!$P:$P,'Painel Additive'!$B38,'Data Additive'!$Q:$Q,"&lt;=-181",'Data Additive'!$Q:$Q,"&gt;=-360")</f>
        <v>0</v>
      </c>
      <c r="W38" s="66">
        <f>SUMIFS('Data Additive'!$D:$D,'Data Additive'!$P:$P,'Painel Additive'!$B38,'Data Additive'!$Q:$Q,"&lt;-360")</f>
        <v>0</v>
      </c>
      <c r="X38" s="19">
        <f>SUMIFS('Bad Debt Provision'!AB:AB,'Bad Debt Provision'!B:B,'Painel Additive'!B38)</f>
        <v>0</v>
      </c>
      <c r="Y38" s="67"/>
      <c r="Z38" s="67"/>
      <c r="AA38" s="19">
        <f>IFERROR(_xlfn.XLOOKUP(B38,'Limite de crédito'!C:C,'Limite de crédito'!O:O,),0)</f>
        <v>0</v>
      </c>
      <c r="AB38" s="65"/>
      <c r="AC38" s="68"/>
      <c r="AD38" s="69"/>
      <c r="AE38" s="69"/>
      <c r="AF38" s="67"/>
      <c r="AG38" s="53">
        <f t="shared" si="2"/>
        <v>0</v>
      </c>
      <c r="AH38" s="67"/>
    </row>
    <row r="39" spans="2:34" s="62" customFormat="1" x14ac:dyDescent="0.25">
      <c r="B39" s="63" t="s">
        <v>131</v>
      </c>
      <c r="C39" s="152">
        <f>IFERROR(_xlfn.XLOOKUP(B39,'Limite de crédito'!C:C,'Limite de crédito'!L:L,),0)</f>
        <v>0</v>
      </c>
      <c r="D39" s="70"/>
      <c r="E39" s="18">
        <f>_xlfn.XLOOKUP(B39,'Limite de crédito'!C:C,'Limite de crédito'!G:G,0)</f>
        <v>0</v>
      </c>
      <c r="F39" s="64">
        <f t="shared" si="6"/>
        <v>0</v>
      </c>
      <c r="G39" s="64">
        <f t="shared" si="7"/>
        <v>0</v>
      </c>
      <c r="H39" s="65">
        <f>SUMIFS('Data Additive'!$D:$D,'Data Additive'!$P:$P,'Painel Additive'!$B39,'Data Additive'!$Q:$Q,"&gt;0",'Data Additive'!$Q:$Q,"&lt;=30")</f>
        <v>0</v>
      </c>
      <c r="I39" s="65">
        <f>SUMIFS('Data Additive'!$D:$D,'Data Additive'!$P:$P,'Painel Additive'!$B39,'Data Additive'!$Q:$Q,"&gt;30",'Data Additive'!$Q:$Q,"&lt;=60")</f>
        <v>0</v>
      </c>
      <c r="J39" s="65">
        <f>SUMIFS('Data Additive'!$D:$D,'Data Additive'!$P:$P,'Painel Additive'!$B39,'Data Additive'!$Q:$Q,"&gt;60",'Data Additive'!$Q:$Q,"&lt;=90")</f>
        <v>0</v>
      </c>
      <c r="K39" s="65">
        <f>SUMIFS('Data Additive'!$D:$D,'Data Additive'!$P:$P,'Painel Additive'!$B39,'Data Additive'!$Q:$Q,"&gt;90",'Data Additive'!$Q:$Q,"&lt;=120")</f>
        <v>0</v>
      </c>
      <c r="L39" s="65">
        <f>SUMIFS('Data Additive'!$D:$D,'Data Additive'!$P:$P,'Painel Additive'!$B39,'Data Additive'!$Q:$Q,"&gt;120",'Data Additive'!$Q:$Q,"&lt;=180")</f>
        <v>0</v>
      </c>
      <c r="M39" s="65">
        <f>SUMIFS('Data Additive'!$D:$D,'Data Additive'!$P:$P,'Painel Additive'!$B39,'Data Additive'!$Q:$Q,"&gt;180",'Data Additive'!$Q:$Q,"&lt;=360")</f>
        <v>0</v>
      </c>
      <c r="N39" s="66">
        <f>SUMIFS('Data Additive'!$D:$D,'Data Additive'!$P:$P,'Painel Additive'!$B39,'Data Additive'!$Q:$Q,"&gt;360")</f>
        <v>0</v>
      </c>
      <c r="O39" s="65">
        <f>SUMIFS('Data Additive'!$D:$D,'Data Additive'!$P:$P,'Painel Additive'!$B39,'Data Additive'!$Q:$Q,"&gt;0")</f>
        <v>0</v>
      </c>
      <c r="P39" s="65">
        <f t="shared" si="5"/>
        <v>0</v>
      </c>
      <c r="Q39" s="65">
        <f>SUMIFS('Data Additive'!$D:$D,'Data Additive'!$P:$P,'Painel Additive'!$B39,'Data Additive'!$Q:$Q,"&lt;=0",'Data Additive'!$Q:$Q,"&gt;=-30")</f>
        <v>0</v>
      </c>
      <c r="R39" s="65">
        <f>SUMIFS('Data Additive'!$D:$D,'Data Additive'!$P:$P,'Painel Additive'!$B39,'Data Additive'!$Q:$Q,"&lt;=-31",'Data Additive'!$Q:$Q,"&gt;=-60")</f>
        <v>0</v>
      </c>
      <c r="S39" s="65">
        <f>SUMIFS('Data Additive'!$D:$D,'Data Additive'!$P:$P,'Painel Additive'!$B39,'Data Additive'!$Q:$Q,"&lt;=-61",'Data Additive'!$Q:$Q,"&gt;=-90")</f>
        <v>0</v>
      </c>
      <c r="T39" s="65">
        <f>SUMIFS('Data Additive'!$D:$D,'Data Additive'!$P:$P,'Painel Additive'!$B39,'Data Additive'!$Q:$Q,"&lt;=-91",'Data Additive'!$Q:$Q,"&gt;=-120")</f>
        <v>0</v>
      </c>
      <c r="U39" s="65">
        <f>SUMIFS('Data Additive'!$D:$D,'Data Additive'!$P:$P,'Painel Additive'!$B39,'Data Additive'!$Q:$Q,"&lt;=-121",'Data Additive'!$Q:$Q,"&gt;=-180")</f>
        <v>0</v>
      </c>
      <c r="V39" s="65">
        <f>SUMIFS('Data Additive'!$D:$D,'Data Additive'!$P:$P,'Painel Additive'!$B39,'Data Additive'!$Q:$Q,"&lt;=-181",'Data Additive'!$Q:$Q,"&gt;=-360")</f>
        <v>0</v>
      </c>
      <c r="W39" s="66">
        <f>SUMIFS('Data Additive'!$D:$D,'Data Additive'!$P:$P,'Painel Additive'!$B39,'Data Additive'!$Q:$Q,"&lt;-360")</f>
        <v>0</v>
      </c>
      <c r="X39" s="19">
        <f>SUMIFS('Bad Debt Provision'!AB:AB,'Bad Debt Provision'!B:B,'Painel Additive'!B39)</f>
        <v>0</v>
      </c>
      <c r="Y39" s="67"/>
      <c r="Z39" s="67"/>
      <c r="AA39" s="19">
        <f>IFERROR(_xlfn.XLOOKUP(B39,'Limite de crédito'!C:C,'Limite de crédito'!O:O,),0)</f>
        <v>0</v>
      </c>
      <c r="AB39" s="65"/>
      <c r="AC39" s="68"/>
      <c r="AD39" s="69"/>
      <c r="AE39" s="69"/>
      <c r="AF39" s="67"/>
      <c r="AG39" s="53">
        <f t="shared" si="2"/>
        <v>0</v>
      </c>
      <c r="AH39" s="67"/>
    </row>
    <row r="40" spans="2:34" s="62" customFormat="1" x14ac:dyDescent="0.25">
      <c r="B40" s="63" t="s">
        <v>158</v>
      </c>
      <c r="C40" s="152">
        <f>IFERROR(_xlfn.XLOOKUP(B40,'Limite de crédito'!C:C,'Limite de crédito'!L:L,),0)</f>
        <v>0</v>
      </c>
      <c r="D40" s="70"/>
      <c r="E40" s="18">
        <f>_xlfn.XLOOKUP(B40,'Limite de crédito'!C:C,'Limite de crédito'!G:G,0)</f>
        <v>0</v>
      </c>
      <c r="F40" s="64">
        <f t="shared" si="6"/>
        <v>0</v>
      </c>
      <c r="G40" s="64">
        <f t="shared" si="7"/>
        <v>0</v>
      </c>
      <c r="H40" s="65">
        <f>SUMIFS('Data Additive'!$D:$D,'Data Additive'!$P:$P,'Painel Additive'!$B40,'Data Additive'!$Q:$Q,"&gt;0",'Data Additive'!$Q:$Q,"&lt;=30")</f>
        <v>0</v>
      </c>
      <c r="I40" s="65">
        <f>SUMIFS('Data Additive'!$D:$D,'Data Additive'!$P:$P,'Painel Additive'!$B40,'Data Additive'!$Q:$Q,"&gt;30",'Data Additive'!$Q:$Q,"&lt;=60")</f>
        <v>0</v>
      </c>
      <c r="J40" s="65">
        <f>SUMIFS('Data Additive'!$D:$D,'Data Additive'!$P:$P,'Painel Additive'!$B40,'Data Additive'!$Q:$Q,"&gt;60",'Data Additive'!$Q:$Q,"&lt;=90")</f>
        <v>0</v>
      </c>
      <c r="K40" s="65">
        <f>SUMIFS('Data Additive'!$D:$D,'Data Additive'!$P:$P,'Painel Additive'!$B40,'Data Additive'!$Q:$Q,"&gt;90",'Data Additive'!$Q:$Q,"&lt;=120")</f>
        <v>0</v>
      </c>
      <c r="L40" s="65">
        <f>SUMIFS('Data Additive'!$D:$D,'Data Additive'!$P:$P,'Painel Additive'!$B40,'Data Additive'!$Q:$Q,"&gt;120",'Data Additive'!$Q:$Q,"&lt;=180")</f>
        <v>0</v>
      </c>
      <c r="M40" s="65">
        <f>SUMIFS('Data Additive'!$D:$D,'Data Additive'!$P:$P,'Painel Additive'!$B40,'Data Additive'!$Q:$Q,"&gt;180",'Data Additive'!$Q:$Q,"&lt;=360")</f>
        <v>0</v>
      </c>
      <c r="N40" s="66">
        <f>SUMIFS('Data Additive'!$D:$D,'Data Additive'!$P:$P,'Painel Additive'!$B40,'Data Additive'!$Q:$Q,"&gt;360")</f>
        <v>0</v>
      </c>
      <c r="O40" s="65">
        <f>SUMIFS('Data Additive'!$D:$D,'Data Additive'!$P:$P,'Painel Additive'!$B40,'Data Additive'!$Q:$Q,"&gt;0")</f>
        <v>0</v>
      </c>
      <c r="P40" s="65">
        <f t="shared" si="5"/>
        <v>0</v>
      </c>
      <c r="Q40" s="65">
        <f>SUMIFS('Data Additive'!$D:$D,'Data Additive'!$P:$P,'Painel Additive'!$B40,'Data Additive'!$Q:$Q,"&lt;=0",'Data Additive'!$Q:$Q,"&gt;=-30")</f>
        <v>0</v>
      </c>
      <c r="R40" s="65">
        <f>SUMIFS('Data Additive'!$D:$D,'Data Additive'!$P:$P,'Painel Additive'!$B40,'Data Additive'!$Q:$Q,"&lt;=-31",'Data Additive'!$Q:$Q,"&gt;=-60")</f>
        <v>0</v>
      </c>
      <c r="S40" s="65">
        <f>SUMIFS('Data Additive'!$D:$D,'Data Additive'!$P:$P,'Painel Additive'!$B40,'Data Additive'!$Q:$Q,"&lt;=-61",'Data Additive'!$Q:$Q,"&gt;=-90")</f>
        <v>0</v>
      </c>
      <c r="T40" s="65">
        <f>SUMIFS('Data Additive'!$D:$D,'Data Additive'!$P:$P,'Painel Additive'!$B40,'Data Additive'!$Q:$Q,"&lt;=-91",'Data Additive'!$Q:$Q,"&gt;=-120")</f>
        <v>0</v>
      </c>
      <c r="U40" s="65">
        <f>SUMIFS('Data Additive'!$D:$D,'Data Additive'!$P:$P,'Painel Additive'!$B40,'Data Additive'!$Q:$Q,"&lt;=-121",'Data Additive'!$Q:$Q,"&gt;=-180")</f>
        <v>0</v>
      </c>
      <c r="V40" s="65">
        <f>SUMIFS('Data Additive'!$D:$D,'Data Additive'!$P:$P,'Painel Additive'!$B40,'Data Additive'!$Q:$Q,"&lt;=-181",'Data Additive'!$Q:$Q,"&gt;=-360")</f>
        <v>0</v>
      </c>
      <c r="W40" s="66">
        <f>SUMIFS('Data Additive'!$D:$D,'Data Additive'!$P:$P,'Painel Additive'!$B40,'Data Additive'!$Q:$Q,"&lt;-360")</f>
        <v>0</v>
      </c>
      <c r="X40" s="19">
        <f>SUMIFS('Bad Debt Provision'!AB:AB,'Bad Debt Provision'!B:B,'Painel Additive'!B40)</f>
        <v>0</v>
      </c>
      <c r="Y40" s="67"/>
      <c r="Z40" s="67"/>
      <c r="AA40" s="19">
        <f>IFERROR(_xlfn.XLOOKUP(B40,'Limite de crédito'!C:C,'Limite de crédito'!O:O,),0)</f>
        <v>0</v>
      </c>
      <c r="AB40" s="65"/>
      <c r="AC40" s="68"/>
      <c r="AD40" s="69"/>
      <c r="AE40" s="69"/>
      <c r="AF40" s="67"/>
      <c r="AG40" s="53">
        <f t="shared" si="2"/>
        <v>0</v>
      </c>
      <c r="AH40" s="67"/>
    </row>
    <row r="41" spans="2:34" s="62" customFormat="1" x14ac:dyDescent="0.25">
      <c r="B41" s="63" t="s">
        <v>245</v>
      </c>
      <c r="C41" s="152">
        <f>IFERROR(_xlfn.XLOOKUP(B41,'Limite de crédito'!C:C,'Limite de crédito'!L:L,),0)</f>
        <v>0</v>
      </c>
      <c r="D41" s="70"/>
      <c r="E41" s="18">
        <f>_xlfn.XLOOKUP(B41,'Limite de crédito'!C:C,'Limite de crédito'!G:G,0)</f>
        <v>0</v>
      </c>
      <c r="F41" s="64">
        <f t="shared" si="6"/>
        <v>0</v>
      </c>
      <c r="G41" s="64">
        <f t="shared" si="7"/>
        <v>0</v>
      </c>
      <c r="H41" s="65">
        <f>SUMIFS('Data Additive'!$D:$D,'Data Additive'!$P:$P,'Painel Additive'!$B41,'Data Additive'!$Q:$Q,"&gt;0",'Data Additive'!$Q:$Q,"&lt;=30")</f>
        <v>0</v>
      </c>
      <c r="I41" s="65">
        <f>SUMIFS('Data Additive'!$D:$D,'Data Additive'!$P:$P,'Painel Additive'!$B41,'Data Additive'!$Q:$Q,"&gt;30",'Data Additive'!$Q:$Q,"&lt;=60")</f>
        <v>0</v>
      </c>
      <c r="J41" s="65">
        <f>SUMIFS('Data Additive'!$D:$D,'Data Additive'!$P:$P,'Painel Additive'!$B41,'Data Additive'!$Q:$Q,"&gt;60",'Data Additive'!$Q:$Q,"&lt;=90")</f>
        <v>0</v>
      </c>
      <c r="K41" s="65">
        <f>SUMIFS('Data Additive'!$D:$D,'Data Additive'!$P:$P,'Painel Additive'!$B41,'Data Additive'!$Q:$Q,"&gt;90",'Data Additive'!$Q:$Q,"&lt;=120")</f>
        <v>0</v>
      </c>
      <c r="L41" s="65">
        <f>SUMIFS('Data Additive'!$D:$D,'Data Additive'!$P:$P,'Painel Additive'!$B41,'Data Additive'!$Q:$Q,"&gt;120",'Data Additive'!$Q:$Q,"&lt;=180")</f>
        <v>0</v>
      </c>
      <c r="M41" s="65">
        <f>SUMIFS('Data Additive'!$D:$D,'Data Additive'!$P:$P,'Painel Additive'!$B41,'Data Additive'!$Q:$Q,"&gt;180",'Data Additive'!$Q:$Q,"&lt;=360")</f>
        <v>0</v>
      </c>
      <c r="N41" s="66">
        <f>SUMIFS('Data Additive'!$D:$D,'Data Additive'!$P:$P,'Painel Additive'!$B41,'Data Additive'!$Q:$Q,"&gt;360")</f>
        <v>0</v>
      </c>
      <c r="O41" s="65">
        <f>SUMIFS('Data Additive'!$D:$D,'Data Additive'!$P:$P,'Painel Additive'!$B41,'Data Additive'!$Q:$Q,"&gt;0")</f>
        <v>0</v>
      </c>
      <c r="P41" s="65">
        <f t="shared" si="5"/>
        <v>0</v>
      </c>
      <c r="Q41" s="65">
        <f>SUMIFS('Data Additive'!$D:$D,'Data Additive'!$P:$P,'Painel Additive'!$B41,'Data Additive'!$Q:$Q,"&lt;=0",'Data Additive'!$Q:$Q,"&gt;=-30")</f>
        <v>0</v>
      </c>
      <c r="R41" s="65">
        <f>SUMIFS('Data Additive'!$D:$D,'Data Additive'!$P:$P,'Painel Additive'!$B41,'Data Additive'!$Q:$Q,"&lt;=-31",'Data Additive'!$Q:$Q,"&gt;=-60")</f>
        <v>0</v>
      </c>
      <c r="S41" s="65">
        <f>SUMIFS('Data Additive'!$D:$D,'Data Additive'!$P:$P,'Painel Additive'!$B41,'Data Additive'!$Q:$Q,"&lt;=-61",'Data Additive'!$Q:$Q,"&gt;=-90")</f>
        <v>0</v>
      </c>
      <c r="T41" s="65">
        <f>SUMIFS('Data Additive'!$D:$D,'Data Additive'!$P:$P,'Painel Additive'!$B41,'Data Additive'!$Q:$Q,"&lt;=-91",'Data Additive'!$Q:$Q,"&gt;=-120")</f>
        <v>0</v>
      </c>
      <c r="U41" s="65">
        <f>SUMIFS('Data Additive'!$D:$D,'Data Additive'!$P:$P,'Painel Additive'!$B41,'Data Additive'!$Q:$Q,"&lt;=-121",'Data Additive'!$Q:$Q,"&gt;=-180")</f>
        <v>0</v>
      </c>
      <c r="V41" s="65">
        <f>SUMIFS('Data Additive'!$D:$D,'Data Additive'!$P:$P,'Painel Additive'!$B41,'Data Additive'!$Q:$Q,"&lt;=-181",'Data Additive'!$Q:$Q,"&gt;=-360")</f>
        <v>0</v>
      </c>
      <c r="W41" s="66">
        <f>SUMIFS('Data Additive'!$D:$D,'Data Additive'!$P:$P,'Painel Additive'!$B41,'Data Additive'!$Q:$Q,"&lt;-360")</f>
        <v>0</v>
      </c>
      <c r="X41" s="19">
        <f>SUMIFS('Bad Debt Provision'!AB:AB,'Bad Debt Provision'!B:B,'Painel Additive'!B41)</f>
        <v>0</v>
      </c>
      <c r="Y41" s="67"/>
      <c r="Z41" s="67"/>
      <c r="AA41" s="19">
        <f>IFERROR(_xlfn.XLOOKUP(B41,'Limite de crédito'!C:C,'Limite de crédito'!O:O,),0)</f>
        <v>0</v>
      </c>
      <c r="AB41" s="65"/>
      <c r="AC41" s="68"/>
      <c r="AD41" s="69"/>
      <c r="AE41" s="69"/>
      <c r="AF41" s="67"/>
      <c r="AG41" s="53">
        <f t="shared" si="2"/>
        <v>0</v>
      </c>
    </row>
    <row r="42" spans="2:34" s="62" customFormat="1" x14ac:dyDescent="0.25">
      <c r="B42" s="63" t="s">
        <v>334</v>
      </c>
      <c r="C42" s="152">
        <f>IFERROR(_xlfn.XLOOKUP(B42,'Limite de crédito'!C:C,'Limite de crédito'!L:L,),0)</f>
        <v>0</v>
      </c>
      <c r="D42" s="70"/>
      <c r="E42" s="18">
        <f>_xlfn.XLOOKUP(B42,'Limite de crédito'!C:C,'Limite de crédito'!G:G,0)</f>
        <v>0</v>
      </c>
      <c r="F42" s="64">
        <f>E42-G42</f>
        <v>-300</v>
      </c>
      <c r="G42" s="64">
        <f>P42+O42</f>
        <v>300</v>
      </c>
      <c r="H42" s="65">
        <f>SUMIFS('Data Additive'!$D:$D,'Data Additive'!$P:$P,'Painel Additive'!$B42,'Data Additive'!$Q:$Q,"&gt;0",'Data Additive'!$Q:$Q,"&lt;=30")</f>
        <v>0</v>
      </c>
      <c r="I42" s="65">
        <f>SUMIFS('Data Additive'!$D:$D,'Data Additive'!$P:$P,'Painel Additive'!$B42,'Data Additive'!$Q:$Q,"&gt;30",'Data Additive'!$Q:$Q,"&lt;=60")</f>
        <v>0</v>
      </c>
      <c r="J42" s="65">
        <f>SUMIFS('Data Additive'!$D:$D,'Data Additive'!$P:$P,'Painel Additive'!$B42,'Data Additive'!$Q:$Q,"&gt;60",'Data Additive'!$Q:$Q,"&lt;=90")</f>
        <v>0</v>
      </c>
      <c r="K42" s="65">
        <f>SUMIFS('Data Additive'!$D:$D,'Data Additive'!$P:$P,'Painel Additive'!$B42,'Data Additive'!$Q:$Q,"&gt;90",'Data Additive'!$Q:$Q,"&lt;=120")</f>
        <v>0</v>
      </c>
      <c r="L42" s="65">
        <f>SUMIFS('Data Additive'!$D:$D,'Data Additive'!$P:$P,'Painel Additive'!$B42,'Data Additive'!$Q:$Q,"&gt;120",'Data Additive'!$Q:$Q,"&lt;=180")</f>
        <v>0</v>
      </c>
      <c r="M42" s="65">
        <f>SUMIFS('Data Additive'!$D:$D,'Data Additive'!$P:$P,'Painel Additive'!$B42,'Data Additive'!$Q:$Q,"&gt;180",'Data Additive'!$Q:$Q,"&lt;=360")</f>
        <v>0</v>
      </c>
      <c r="N42" s="66">
        <f>SUMIFS('Data Additive'!$D:$D,'Data Additive'!$P:$P,'Painel Additive'!$B42,'Data Additive'!$Q:$Q,"&gt;360")</f>
        <v>300</v>
      </c>
      <c r="O42" s="65">
        <f>SUMIFS('Data Additive'!$D:$D,'Data Additive'!$P:$P,'Painel Additive'!$B42,'Data Additive'!$Q:$Q,"&gt;0")</f>
        <v>300</v>
      </c>
      <c r="P42" s="65">
        <f t="shared" si="5"/>
        <v>0</v>
      </c>
      <c r="Q42" s="65">
        <f>SUMIFS('Data Additive'!$D:$D,'Data Additive'!$P:$P,'Painel Additive'!$B42,'Data Additive'!$Q:$Q,"&lt;=0",'Data Additive'!$Q:$Q,"&gt;=-30")</f>
        <v>0</v>
      </c>
      <c r="R42" s="65">
        <f>SUMIFS('Data Additive'!$D:$D,'Data Additive'!$P:$P,'Painel Additive'!$B42,'Data Additive'!$Q:$Q,"&lt;=-31",'Data Additive'!$Q:$Q,"&gt;=-60")</f>
        <v>0</v>
      </c>
      <c r="S42" s="65">
        <f>SUMIFS('Data Additive'!$D:$D,'Data Additive'!$P:$P,'Painel Additive'!$B42,'Data Additive'!$Q:$Q,"&lt;=-61",'Data Additive'!$Q:$Q,"&gt;=-90")</f>
        <v>0</v>
      </c>
      <c r="T42" s="65">
        <f>SUMIFS('Data Additive'!$D:$D,'Data Additive'!$P:$P,'Painel Additive'!$B42,'Data Additive'!$Q:$Q,"&lt;=-91",'Data Additive'!$Q:$Q,"&gt;=-120")</f>
        <v>0</v>
      </c>
      <c r="U42" s="65">
        <f>SUMIFS('Data Additive'!$D:$D,'Data Additive'!$P:$P,'Painel Additive'!$B42,'Data Additive'!$Q:$Q,"&lt;=-121",'Data Additive'!$Q:$Q,"&gt;=-180")</f>
        <v>0</v>
      </c>
      <c r="V42" s="65">
        <f>SUMIFS('Data Additive'!$D:$D,'Data Additive'!$P:$P,'Painel Additive'!$B42,'Data Additive'!$Q:$Q,"&lt;=-181",'Data Additive'!$Q:$Q,"&gt;=-360")</f>
        <v>0</v>
      </c>
      <c r="W42" s="66">
        <f>SUMIFS('Data Additive'!$D:$D,'Data Additive'!$P:$P,'Painel Additive'!$B42,'Data Additive'!$Q:$Q,"&lt;-360")</f>
        <v>0</v>
      </c>
      <c r="X42" s="19">
        <f>SUMIFS('Bad Debt Provision'!AB:AB,'Bad Debt Provision'!B:B,'Painel Additive'!B42)</f>
        <v>300</v>
      </c>
      <c r="Y42" s="67"/>
      <c r="Z42" s="67"/>
      <c r="AA42" s="19">
        <f>IFERROR(_xlfn.XLOOKUP(B42,'Limite de crédito'!C:C,'Limite de crédito'!O:O,),0)</f>
        <v>0</v>
      </c>
      <c r="AB42" s="65"/>
      <c r="AC42" s="68"/>
      <c r="AD42" s="69"/>
      <c r="AE42" s="69"/>
      <c r="AF42" s="67"/>
      <c r="AG42" s="53">
        <f t="shared" si="2"/>
        <v>-300</v>
      </c>
    </row>
    <row r="43" spans="2:34" s="62" customFormat="1" x14ac:dyDescent="0.25">
      <c r="B43" s="63" t="s">
        <v>123</v>
      </c>
      <c r="C43" s="152">
        <f>IFERROR(_xlfn.XLOOKUP(B43,'Limite de crédito'!C:C,'Limite de crédito'!L:L,),0)</f>
        <v>0</v>
      </c>
      <c r="D43" s="70"/>
      <c r="E43" s="18">
        <f>_xlfn.XLOOKUP(B43,'Limite de crédito'!C:C,'Limite de crédito'!G:G,0)</f>
        <v>0</v>
      </c>
      <c r="F43" s="64">
        <f t="shared" si="6"/>
        <v>0</v>
      </c>
      <c r="G43" s="64">
        <f t="shared" si="7"/>
        <v>0</v>
      </c>
      <c r="H43" s="65">
        <f>SUMIFS('Data Additive'!$D:$D,'Data Additive'!$P:$P,'Painel Additive'!$B43,'Data Additive'!$Q:$Q,"&gt;0",'Data Additive'!$Q:$Q,"&lt;=30")</f>
        <v>0</v>
      </c>
      <c r="I43" s="65">
        <f>SUMIFS('Data Additive'!$D:$D,'Data Additive'!$P:$P,'Painel Additive'!$B43,'Data Additive'!$Q:$Q,"&gt;30",'Data Additive'!$Q:$Q,"&lt;=60")</f>
        <v>0</v>
      </c>
      <c r="J43" s="65">
        <f>SUMIFS('Data Additive'!$D:$D,'Data Additive'!$P:$P,'Painel Additive'!$B43,'Data Additive'!$Q:$Q,"&gt;60",'Data Additive'!$Q:$Q,"&lt;=90")</f>
        <v>0</v>
      </c>
      <c r="K43" s="65">
        <f>SUMIFS('Data Additive'!$D:$D,'Data Additive'!$P:$P,'Painel Additive'!$B43,'Data Additive'!$Q:$Q,"&gt;90",'Data Additive'!$Q:$Q,"&lt;=120")</f>
        <v>0</v>
      </c>
      <c r="L43" s="65">
        <f>SUMIFS('Data Additive'!$D:$D,'Data Additive'!$P:$P,'Painel Additive'!$B43,'Data Additive'!$Q:$Q,"&gt;120",'Data Additive'!$Q:$Q,"&lt;=180")</f>
        <v>0</v>
      </c>
      <c r="M43" s="65">
        <f>SUMIFS('Data Additive'!$D:$D,'Data Additive'!$P:$P,'Painel Additive'!$B43,'Data Additive'!$Q:$Q,"&gt;180",'Data Additive'!$Q:$Q,"&lt;=360")</f>
        <v>0</v>
      </c>
      <c r="N43" s="66">
        <f>SUMIFS('Data Additive'!$D:$D,'Data Additive'!$P:$P,'Painel Additive'!$B43,'Data Additive'!$Q:$Q,"&gt;360")</f>
        <v>0</v>
      </c>
      <c r="O43" s="65">
        <f>SUMIFS('Data Additive'!$D:$D,'Data Additive'!$P:$P,'Painel Additive'!$B43,'Data Additive'!$Q:$Q,"&gt;0")</f>
        <v>0</v>
      </c>
      <c r="P43" s="65">
        <f t="shared" si="5"/>
        <v>0</v>
      </c>
      <c r="Q43" s="65">
        <f>SUMIFS('Data Additive'!$D:$D,'Data Additive'!$P:$P,'Painel Additive'!$B43,'Data Additive'!$Q:$Q,"&lt;=0",'Data Additive'!$Q:$Q,"&gt;=-30")</f>
        <v>0</v>
      </c>
      <c r="R43" s="65">
        <f>SUMIFS('Data Additive'!$D:$D,'Data Additive'!$P:$P,'Painel Additive'!$B43,'Data Additive'!$Q:$Q,"&lt;=-31",'Data Additive'!$Q:$Q,"&gt;=-60")</f>
        <v>0</v>
      </c>
      <c r="S43" s="65">
        <f>SUMIFS('Data Additive'!$D:$D,'Data Additive'!$P:$P,'Painel Additive'!$B43,'Data Additive'!$Q:$Q,"&lt;=-61",'Data Additive'!$Q:$Q,"&gt;=-90")</f>
        <v>0</v>
      </c>
      <c r="T43" s="65">
        <f>SUMIFS('Data Additive'!$D:$D,'Data Additive'!$P:$P,'Painel Additive'!$B43,'Data Additive'!$Q:$Q,"&lt;=-91",'Data Additive'!$Q:$Q,"&gt;=-120")</f>
        <v>0</v>
      </c>
      <c r="U43" s="65">
        <f>SUMIFS('Data Additive'!$D:$D,'Data Additive'!$P:$P,'Painel Additive'!$B43,'Data Additive'!$Q:$Q,"&lt;=-121",'Data Additive'!$Q:$Q,"&gt;=-180")</f>
        <v>0</v>
      </c>
      <c r="V43" s="65">
        <f>SUMIFS('Data Additive'!$D:$D,'Data Additive'!$P:$P,'Painel Additive'!$B43,'Data Additive'!$Q:$Q,"&lt;=-181",'Data Additive'!$Q:$Q,"&gt;=-360")</f>
        <v>0</v>
      </c>
      <c r="W43" s="66">
        <f>SUMIFS('Data Additive'!$D:$D,'Data Additive'!$P:$P,'Painel Additive'!$B43,'Data Additive'!$Q:$Q,"&lt;-360")</f>
        <v>0</v>
      </c>
      <c r="X43" s="19">
        <f>SUMIFS('Bad Debt Provision'!AB:AB,'Bad Debt Provision'!B:B,'Painel Additive'!B43)</f>
        <v>0</v>
      </c>
      <c r="Y43" s="67"/>
      <c r="Z43" s="67"/>
      <c r="AA43" s="19">
        <f>IFERROR(_xlfn.XLOOKUP(B43,'Limite de crédito'!C:C,'Limite de crédito'!O:O,),0)</f>
        <v>0</v>
      </c>
      <c r="AB43" s="65"/>
      <c r="AC43" s="68"/>
      <c r="AD43" s="69"/>
      <c r="AE43" s="69"/>
      <c r="AF43" s="67"/>
      <c r="AG43" s="53">
        <f t="shared" si="2"/>
        <v>0</v>
      </c>
      <c r="AH43" s="67"/>
    </row>
    <row r="44" spans="2:34" s="62" customFormat="1" x14ac:dyDescent="0.25">
      <c r="B44" s="63" t="s">
        <v>237</v>
      </c>
      <c r="C44" s="152">
        <f>IFERROR(_xlfn.XLOOKUP(B44,'Limite de crédito'!C:C,'Limite de crédito'!L:L,),0)</f>
        <v>0</v>
      </c>
      <c r="D44" s="70"/>
      <c r="E44" s="18">
        <f>_xlfn.XLOOKUP(B44,'Limite de crédito'!C:C,'Limite de crédito'!G:G,0)</f>
        <v>0</v>
      </c>
      <c r="F44" s="64">
        <f t="shared" si="6"/>
        <v>-100</v>
      </c>
      <c r="G44" s="64">
        <f t="shared" si="7"/>
        <v>100</v>
      </c>
      <c r="H44" s="65">
        <f>SUMIFS('Data Additive'!$D:$D,'Data Additive'!$P:$P,'Painel Additive'!$B44,'Data Additive'!$Q:$Q,"&gt;0",'Data Additive'!$Q:$Q,"&lt;=30")</f>
        <v>0</v>
      </c>
      <c r="I44" s="65">
        <f>SUMIFS('Data Additive'!$D:$D,'Data Additive'!$P:$P,'Painel Additive'!$B44,'Data Additive'!$Q:$Q,"&gt;30",'Data Additive'!$Q:$Q,"&lt;=60")</f>
        <v>0</v>
      </c>
      <c r="J44" s="65">
        <f>SUMIFS('Data Additive'!$D:$D,'Data Additive'!$P:$P,'Painel Additive'!$B44,'Data Additive'!$Q:$Q,"&gt;60",'Data Additive'!$Q:$Q,"&lt;=90")</f>
        <v>0</v>
      </c>
      <c r="K44" s="65">
        <f>SUMIFS('Data Additive'!$D:$D,'Data Additive'!$P:$P,'Painel Additive'!$B44,'Data Additive'!$Q:$Q,"&gt;90",'Data Additive'!$Q:$Q,"&lt;=120")</f>
        <v>0</v>
      </c>
      <c r="L44" s="65">
        <f>SUMIFS('Data Additive'!$D:$D,'Data Additive'!$P:$P,'Painel Additive'!$B44,'Data Additive'!$Q:$Q,"&gt;120",'Data Additive'!$Q:$Q,"&lt;=180")</f>
        <v>0</v>
      </c>
      <c r="M44" s="65">
        <f>SUMIFS('Data Additive'!$D:$D,'Data Additive'!$P:$P,'Painel Additive'!$B44,'Data Additive'!$Q:$Q,"&gt;180",'Data Additive'!$Q:$Q,"&lt;=360")</f>
        <v>0</v>
      </c>
      <c r="N44" s="66">
        <f>SUMIFS('Data Additive'!$D:$D,'Data Additive'!$P:$P,'Painel Additive'!$B44,'Data Additive'!$Q:$Q,"&gt;360")</f>
        <v>100</v>
      </c>
      <c r="O44" s="65">
        <f>SUMIFS('Data Additive'!$D:$D,'Data Additive'!$P:$P,'Painel Additive'!$B44,'Data Additive'!$Q:$Q,"&gt;0")</f>
        <v>100</v>
      </c>
      <c r="P44" s="65">
        <f t="shared" si="5"/>
        <v>0</v>
      </c>
      <c r="Q44" s="65">
        <f>SUMIFS('Data Additive'!$D:$D,'Data Additive'!$P:$P,'Painel Additive'!$B44,'Data Additive'!$Q:$Q,"&lt;=0",'Data Additive'!$Q:$Q,"&gt;=-30")</f>
        <v>0</v>
      </c>
      <c r="R44" s="65">
        <f>SUMIFS('Data Additive'!$D:$D,'Data Additive'!$P:$P,'Painel Additive'!$B44,'Data Additive'!$Q:$Q,"&lt;=-31",'Data Additive'!$Q:$Q,"&gt;=-60")</f>
        <v>0</v>
      </c>
      <c r="S44" s="65">
        <f>SUMIFS('Data Additive'!$D:$D,'Data Additive'!$P:$P,'Painel Additive'!$B44,'Data Additive'!$Q:$Q,"&lt;=-61",'Data Additive'!$Q:$Q,"&gt;=-90")</f>
        <v>0</v>
      </c>
      <c r="T44" s="65">
        <f>SUMIFS('Data Additive'!$D:$D,'Data Additive'!$P:$P,'Painel Additive'!$B44,'Data Additive'!$Q:$Q,"&lt;=-91",'Data Additive'!$Q:$Q,"&gt;=-120")</f>
        <v>0</v>
      </c>
      <c r="U44" s="65">
        <f>SUMIFS('Data Additive'!$D:$D,'Data Additive'!$P:$P,'Painel Additive'!$B44,'Data Additive'!$Q:$Q,"&lt;=-121",'Data Additive'!$Q:$Q,"&gt;=-180")</f>
        <v>0</v>
      </c>
      <c r="V44" s="65">
        <f>SUMIFS('Data Additive'!$D:$D,'Data Additive'!$P:$P,'Painel Additive'!$B44,'Data Additive'!$Q:$Q,"&lt;=-181",'Data Additive'!$Q:$Q,"&gt;=-360")</f>
        <v>0</v>
      </c>
      <c r="W44" s="66">
        <f>SUMIFS('Data Additive'!$D:$D,'Data Additive'!$P:$P,'Painel Additive'!$B44,'Data Additive'!$Q:$Q,"&lt;-360")</f>
        <v>0</v>
      </c>
      <c r="X44" s="19">
        <f>SUMIFS('Bad Debt Provision'!AB:AB,'Bad Debt Provision'!B:B,'Painel Additive'!B44)</f>
        <v>100</v>
      </c>
      <c r="Y44" s="67"/>
      <c r="Z44" s="67"/>
      <c r="AA44" s="19">
        <f>IFERROR(_xlfn.XLOOKUP(B44,'Limite de crédito'!C:C,'Limite de crédito'!O:O,),0)</f>
        <v>0</v>
      </c>
      <c r="AB44" s="65"/>
      <c r="AC44" s="68"/>
      <c r="AD44" s="69"/>
      <c r="AE44" s="69"/>
      <c r="AF44" s="67"/>
      <c r="AG44" s="53">
        <f t="shared" si="2"/>
        <v>-100</v>
      </c>
    </row>
    <row r="45" spans="2:34" s="62" customFormat="1" ht="13.95" customHeight="1" x14ac:dyDescent="0.25">
      <c r="B45" s="63" t="s">
        <v>278</v>
      </c>
      <c r="C45" s="152">
        <f>IFERROR(_xlfn.XLOOKUP(B45,'Limite de crédito'!C:C,'Limite de crédito'!L:L,),0)</f>
        <v>0</v>
      </c>
      <c r="D45" s="70"/>
      <c r="E45" s="18">
        <f>_xlfn.XLOOKUP(B45,'Limite de crédito'!C:C,'Limite de crédito'!G:G,0)</f>
        <v>0</v>
      </c>
      <c r="F45" s="64">
        <f t="shared" si="6"/>
        <v>-50</v>
      </c>
      <c r="G45" s="64">
        <f t="shared" si="7"/>
        <v>50</v>
      </c>
      <c r="H45" s="65">
        <f>SUMIFS('Data Additive'!$D:$D,'Data Additive'!$P:$P,'Painel Additive'!$B45,'Data Additive'!$Q:$Q,"&gt;0",'Data Additive'!$Q:$Q,"&lt;=30")</f>
        <v>0</v>
      </c>
      <c r="I45" s="65">
        <f>SUMIFS('Data Additive'!$D:$D,'Data Additive'!$P:$P,'Painel Additive'!$B45,'Data Additive'!$Q:$Q,"&gt;30",'Data Additive'!$Q:$Q,"&lt;=60")</f>
        <v>0</v>
      </c>
      <c r="J45" s="65">
        <f>SUMIFS('Data Additive'!$D:$D,'Data Additive'!$P:$P,'Painel Additive'!$B45,'Data Additive'!$Q:$Q,"&gt;60",'Data Additive'!$Q:$Q,"&lt;=90")</f>
        <v>0</v>
      </c>
      <c r="K45" s="65">
        <f>SUMIFS('Data Additive'!$D:$D,'Data Additive'!$P:$P,'Painel Additive'!$B45,'Data Additive'!$Q:$Q,"&gt;90",'Data Additive'!$Q:$Q,"&lt;=120")</f>
        <v>0</v>
      </c>
      <c r="L45" s="65">
        <f>SUMIFS('Data Additive'!$D:$D,'Data Additive'!$P:$P,'Painel Additive'!$B45,'Data Additive'!$Q:$Q,"&gt;120",'Data Additive'!$Q:$Q,"&lt;=180")</f>
        <v>0</v>
      </c>
      <c r="M45" s="65">
        <f>SUMIFS('Data Additive'!$D:$D,'Data Additive'!$P:$P,'Painel Additive'!$B45,'Data Additive'!$Q:$Q,"&gt;180",'Data Additive'!$Q:$Q,"&lt;=360")</f>
        <v>0</v>
      </c>
      <c r="N45" s="66">
        <f>SUMIFS('Data Additive'!$D:$D,'Data Additive'!$P:$P,'Painel Additive'!$B45,'Data Additive'!$Q:$Q,"&gt;360")</f>
        <v>50</v>
      </c>
      <c r="O45" s="65">
        <f>SUMIFS('Data Additive'!$D:$D,'Data Additive'!$P:$P,'Painel Additive'!$B45,'Data Additive'!$Q:$Q,"&gt;0")</f>
        <v>50</v>
      </c>
      <c r="P45" s="65">
        <f t="shared" si="5"/>
        <v>0</v>
      </c>
      <c r="Q45" s="65">
        <f>SUMIFS('Data Additive'!$D:$D,'Data Additive'!$P:$P,'Painel Additive'!$B45,'Data Additive'!$Q:$Q,"&lt;=0",'Data Additive'!$Q:$Q,"&gt;=-30")</f>
        <v>0</v>
      </c>
      <c r="R45" s="65">
        <f>SUMIFS('Data Additive'!$D:$D,'Data Additive'!$P:$P,'Painel Additive'!$B45,'Data Additive'!$Q:$Q,"&lt;=-31",'Data Additive'!$Q:$Q,"&gt;=-60")</f>
        <v>0</v>
      </c>
      <c r="S45" s="65">
        <f>SUMIFS('Data Additive'!$D:$D,'Data Additive'!$P:$P,'Painel Additive'!$B45,'Data Additive'!$Q:$Q,"&lt;=-61",'Data Additive'!$Q:$Q,"&gt;=-90")</f>
        <v>0</v>
      </c>
      <c r="T45" s="65">
        <f>SUMIFS('Data Additive'!$D:$D,'Data Additive'!$P:$P,'Painel Additive'!$B45,'Data Additive'!$Q:$Q,"&lt;=-91",'Data Additive'!$Q:$Q,"&gt;=-120")</f>
        <v>0</v>
      </c>
      <c r="U45" s="65">
        <f>SUMIFS('Data Additive'!$D:$D,'Data Additive'!$P:$P,'Painel Additive'!$B45,'Data Additive'!$Q:$Q,"&lt;=-121",'Data Additive'!$Q:$Q,"&gt;=-180")</f>
        <v>0</v>
      </c>
      <c r="V45" s="65">
        <f>SUMIFS('Data Additive'!$D:$D,'Data Additive'!$P:$P,'Painel Additive'!$B45,'Data Additive'!$Q:$Q,"&lt;=-181",'Data Additive'!$Q:$Q,"&gt;=-360")</f>
        <v>0</v>
      </c>
      <c r="W45" s="66">
        <f>SUMIFS('Data Additive'!$D:$D,'Data Additive'!$P:$P,'Painel Additive'!$B45,'Data Additive'!$Q:$Q,"&lt;-360")</f>
        <v>0</v>
      </c>
      <c r="X45" s="19">
        <f>SUMIFS('Bad Debt Provision'!AB:AB,'Bad Debt Provision'!B:B,'Painel Additive'!B45)</f>
        <v>50</v>
      </c>
      <c r="Y45" s="67"/>
      <c r="Z45" s="67"/>
      <c r="AA45" s="19">
        <f>IFERROR(_xlfn.XLOOKUP(B45,'Limite de crédito'!C:C,'Limite de crédito'!O:O,),0)</f>
        <v>0</v>
      </c>
      <c r="AB45" s="65"/>
      <c r="AC45" s="68"/>
      <c r="AD45" s="69"/>
      <c r="AE45" s="69"/>
      <c r="AF45" s="67"/>
      <c r="AG45" s="53">
        <f t="shared" si="2"/>
        <v>-50</v>
      </c>
    </row>
    <row r="46" spans="2:34" x14ac:dyDescent="0.25">
      <c r="B46" s="17" t="s">
        <v>32</v>
      </c>
      <c r="C46" s="152" t="str">
        <f>IFERROR(_xlfn.XLOOKUP(B46,'Limite de crédito'!C:C,'Limite de crédito'!L:L,),0)</f>
        <v>B</v>
      </c>
      <c r="D46" s="44"/>
      <c r="E46" s="18">
        <f>_xlfn.XLOOKUP(B46,'Limite de crédito'!C:C,'Limite de crédito'!G:G,0)</f>
        <v>3000000</v>
      </c>
      <c r="F46" s="18">
        <f t="shared" si="6"/>
        <v>3000000</v>
      </c>
      <c r="G46" s="18">
        <f t="shared" si="7"/>
        <v>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2">
        <f>SUMIFS('Data Additive'!$D:$D,'Data Additive'!$P:$P,'Painel Additive'!$B46,'Data Additive'!$Q:$Q,"&gt;360")</f>
        <v>0</v>
      </c>
      <c r="O46" s="65">
        <f>SUMIFS('Data Additive'!$D:$D,'Data Additive'!$P:$P,'Painel Additive'!$B46,'Data Additive'!$Q:$Q,"&gt;0")</f>
        <v>0</v>
      </c>
      <c r="P46" s="19">
        <f t="shared" si="5"/>
        <v>0</v>
      </c>
      <c r="Q46" s="19">
        <f>SUMIFS('Data Additive'!$D:$D,'Data Additive'!$P:$P,'Painel Additive'!$B46,'Data Additive'!$Q:$Q,"&lt;=0",'Data Additive'!$Q:$Q,"&gt;=-30")</f>
        <v>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2">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1"/>
      <c r="AE46" s="21"/>
      <c r="AF46" s="5"/>
      <c r="AG46" s="53">
        <f t="shared" si="2"/>
        <v>3000000</v>
      </c>
      <c r="AH46" s="5"/>
    </row>
    <row r="47" spans="2:34" x14ac:dyDescent="0.25">
      <c r="B47" s="17" t="s">
        <v>109</v>
      </c>
      <c r="C47" s="152">
        <f>IFERROR(_xlfn.XLOOKUP(B47,'Limite de crédito'!C:C,'Limite de crédito'!L:L,),0)</f>
        <v>0</v>
      </c>
      <c r="D47" s="44"/>
      <c r="E47" s="18">
        <f>_xlfn.XLOOKUP(B47,'Limite de crédito'!C:C,'Limite de crédito'!G:G,0)</f>
        <v>1500000</v>
      </c>
      <c r="F47" s="18">
        <f t="shared" ref="F47" si="8">E47-G47</f>
        <v>251851.40000000014</v>
      </c>
      <c r="G47" s="18">
        <f t="shared" ref="G47" si="9">P47+O47</f>
        <v>1248148.5999999999</v>
      </c>
      <c r="H47" s="19">
        <f>SUMIFS('Data Additive'!$D:$D,'Data Additive'!$P:$P,'Painel Additive'!$B47,'Data Additive'!$Q:$Q,"&gt;0",'Data Additive'!$Q:$Q,"&lt;=30")</f>
        <v>0</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2">
        <f>SUMIFS('Data Additive'!$D:$D,'Data Additive'!$P:$P,'Painel Additive'!$B47,'Data Additive'!$Q:$Q,"&gt;360")</f>
        <v>0</v>
      </c>
      <c r="O47" s="65">
        <f>SUMIFS('Data Additive'!$D:$D,'Data Additive'!$P:$P,'Painel Additive'!$B47,'Data Additive'!$Q:$Q,"&gt;0")</f>
        <v>0</v>
      </c>
      <c r="P47" s="19">
        <f t="shared" si="5"/>
        <v>1248148.5999999999</v>
      </c>
      <c r="Q47" s="19">
        <f>SUMIFS('Data Additive'!$D:$D,'Data Additive'!$P:$P,'Painel Additive'!$B47,'Data Additive'!$Q:$Q,"&lt;=0",'Data Additive'!$Q:$Q,"&gt;=-30")</f>
        <v>161488.20000000001</v>
      </c>
      <c r="R47" s="19">
        <f>SUMIFS('Data Additive'!$D:$D,'Data Additive'!$P:$P,'Painel Additive'!$B47,'Data Additive'!$Q:$Q,"&lt;=-31",'Data Additive'!$Q:$Q,"&gt;=-60")</f>
        <v>1086660.3999999999</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2">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1"/>
      <c r="AE47" s="21"/>
      <c r="AF47" s="5"/>
      <c r="AG47" s="53">
        <f t="shared" si="2"/>
        <v>-1248148.5999999999</v>
      </c>
      <c r="AH47" s="5"/>
    </row>
    <row r="48" spans="2:34" x14ac:dyDescent="0.25">
      <c r="B48" s="37" t="s">
        <v>422</v>
      </c>
      <c r="C48" s="152">
        <f>IFERROR(_xlfn.XLOOKUP(B48,'Limite de crédito'!C:C,'Limite de crédito'!L:L,),0)</f>
        <v>0</v>
      </c>
      <c r="D48" s="44"/>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2">
        <f>SUMIFS('Data Additive'!$D:$D,'Data Additive'!$P:$P,'Painel Additive'!$B48,'Data Additive'!$Q:$Q,"&gt;360")</f>
        <v>0</v>
      </c>
      <c r="O48" s="65">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2">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1"/>
      <c r="AE48" s="21"/>
      <c r="AF48" s="5"/>
      <c r="AG48" s="53">
        <f t="shared" si="2"/>
        <v>0</v>
      </c>
    </row>
    <row r="49" spans="2:33" x14ac:dyDescent="0.25">
      <c r="B49" s="37" t="s">
        <v>428</v>
      </c>
      <c r="C49" s="152" t="str">
        <f>IFERROR(_xlfn.XLOOKUP(B49,'Limite de crédito'!C:C,'Limite de crédito'!L:L,),0)</f>
        <v>B</v>
      </c>
      <c r="D49" s="44"/>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2">
        <f>SUMIFS('Data Additive'!$D:$D,'Data Additive'!$P:$P,'Painel Additive'!$B49,'Data Additive'!$Q:$Q,"&gt;360")</f>
        <v>0</v>
      </c>
      <c r="O49" s="65">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2">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1"/>
      <c r="AE49" s="21"/>
      <c r="AF49" s="5"/>
      <c r="AG49" s="53">
        <f t="shared" si="2"/>
        <v>200000</v>
      </c>
    </row>
    <row r="50" spans="2:33" x14ac:dyDescent="0.25">
      <c r="B50" s="37" t="s">
        <v>89</v>
      </c>
      <c r="C50" s="152">
        <f>IFERROR(_xlfn.XLOOKUP(B50,'Limite de crédito'!C:C,'Limite de crédito'!L:L,),0)</f>
        <v>0</v>
      </c>
      <c r="D50" s="44"/>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2">
        <f>SUMIFS('Data Additive'!$D:$D,'Data Additive'!$P:$P,'Painel Additive'!$B50,'Data Additive'!$Q:$Q,"&gt;360")</f>
        <v>0</v>
      </c>
      <c r="O50" s="65">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2">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1"/>
      <c r="AE50" s="21"/>
      <c r="AF50" s="5"/>
      <c r="AG50" s="53">
        <f t="shared" si="2"/>
        <v>0</v>
      </c>
    </row>
    <row r="51" spans="2:33" x14ac:dyDescent="0.25">
      <c r="B51" s="37" t="s">
        <v>450</v>
      </c>
      <c r="C51" s="152">
        <f>IFERROR(_xlfn.XLOOKUP(B51,'Limite de crédito'!C:C,'Limite de crédito'!L:L,),0)</f>
        <v>0</v>
      </c>
      <c r="D51" s="44"/>
      <c r="E51" s="18">
        <f>_xlfn.XLOOKUP(B51,'Limite de crédito'!C:C,'Limite de crédito'!G:G,0)</f>
        <v>1500000</v>
      </c>
      <c r="F51" s="18">
        <f t="shared" ref="F51" si="14">E51-G51</f>
        <v>262380.10000000009</v>
      </c>
      <c r="G51" s="18">
        <f t="shared" ref="G51" si="15">P51+O51</f>
        <v>1237619.8999999999</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2">
        <f>SUMIFS('Data Additive'!$D:$D,'Data Additive'!$P:$P,'Painel Additive'!$B51,'Data Additive'!$Q:$Q,"&gt;360")</f>
        <v>0</v>
      </c>
      <c r="O51" s="65">
        <f>SUMIFS('Data Additive'!$D:$D,'Data Additive'!$P:$P,'Painel Additive'!$B51,'Data Additive'!$Q:$Q,"&gt;0")</f>
        <v>0</v>
      </c>
      <c r="P51" s="19">
        <f t="shared" si="5"/>
        <v>1237619.8999999999</v>
      </c>
      <c r="Q51" s="19">
        <f>SUMIFS('Data Additive'!$D:$D,'Data Additive'!$P:$P,'Painel Additive'!$B51,'Data Additive'!$Q:$Q,"&lt;=0",'Data Additive'!$Q:$Q,"&gt;=-30")</f>
        <v>331136.69999999995</v>
      </c>
      <c r="R51" s="19">
        <f>SUMIFS('Data Additive'!$D:$D,'Data Additive'!$P:$P,'Painel Additive'!$B51,'Data Additive'!$Q:$Q,"&lt;=-31",'Data Additive'!$Q:$Q,"&gt;=-60")</f>
        <v>906483.19999999995</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2">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1"/>
      <c r="AE51" s="21"/>
      <c r="AF51" s="5"/>
      <c r="AG51" s="53">
        <f t="shared" si="2"/>
        <v>-1237619.8999999999</v>
      </c>
    </row>
    <row r="52" spans="2:33" ht="13.95" customHeight="1" x14ac:dyDescent="0.25">
      <c r="B52" s="37" t="s">
        <v>448</v>
      </c>
      <c r="C52" s="152">
        <f>IFERROR(_xlfn.XLOOKUP(B52,'Limite de crédito'!C:C,'Limite de crédito'!L:L,),0)</f>
        <v>0</v>
      </c>
      <c r="D52" s="44"/>
      <c r="E52" s="18">
        <f>_xlfn.XLOOKUP(B52,'Limite de crédito'!C:C,'Limite de crédito'!G:G,0)</f>
        <v>800000</v>
      </c>
      <c r="F52" s="18">
        <f t="shared" ref="F52" si="16">E52-G52</f>
        <v>246271.39</v>
      </c>
      <c r="G52" s="18">
        <f t="shared" ref="G52" si="17">P52+O52</f>
        <v>553728.61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2">
        <f>SUMIFS('Data Additive'!$D:$D,'Data Additive'!$P:$P,'Painel Additive'!$B52,'Data Additive'!$Q:$Q,"&gt;360")</f>
        <v>0</v>
      </c>
      <c r="O52" s="65">
        <f>SUMIFS('Data Additive'!$D:$D,'Data Additive'!$P:$P,'Painel Additive'!$B52,'Data Additive'!$Q:$Q,"&gt;0")</f>
        <v>0</v>
      </c>
      <c r="P52" s="19">
        <f t="shared" si="5"/>
        <v>553728.61</v>
      </c>
      <c r="Q52" s="19">
        <f>SUMIFS('Data Additive'!$D:$D,'Data Additive'!$P:$P,'Painel Additive'!$B52,'Data Additive'!$Q:$Q,"&lt;=0",'Data Additive'!$Q:$Q,"&gt;=-30")</f>
        <v>456958.6</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2">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1"/>
      <c r="AE52" s="21"/>
      <c r="AF52" s="5"/>
      <c r="AG52" s="53">
        <f t="shared" si="2"/>
        <v>-553728.61</v>
      </c>
    </row>
    <row r="53" spans="2:33" ht="13.95" customHeight="1" x14ac:dyDescent="0.25">
      <c r="B53" s="37" t="s">
        <v>449</v>
      </c>
      <c r="C53" s="152" t="str">
        <f>IFERROR(_xlfn.XLOOKUP(B53,'Limite de crédito'!C:C,'Limite de crédito'!L:L,),0)</f>
        <v>B</v>
      </c>
      <c r="D53" s="44"/>
      <c r="E53" s="18">
        <f>_xlfn.XLOOKUP(B53,'Limite de crédito'!C:C,'Limite de crédito'!G:G,0)</f>
        <v>10000000</v>
      </c>
      <c r="F53" s="18">
        <f t="shared" ref="F53" si="18">E53-G53</f>
        <v>2303506.4200000009</v>
      </c>
      <c r="G53" s="18">
        <f t="shared" ref="G53" si="19">P53+O53</f>
        <v>7696493.5799999991</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2">
        <f>SUMIFS('Data Additive'!$D:$D,'Data Additive'!$P:$P,'Painel Additive'!$B53,'Data Additive'!$Q:$Q,"&gt;360")</f>
        <v>0</v>
      </c>
      <c r="O53" s="65">
        <f>SUMIFS('Data Additive'!$D:$D,'Data Additive'!$P:$P,'Painel Additive'!$B53,'Data Additive'!$Q:$Q,"&gt;0")</f>
        <v>0</v>
      </c>
      <c r="P53" s="19">
        <f t="shared" si="5"/>
        <v>7696493.5799999991</v>
      </c>
      <c r="Q53" s="19">
        <f>SUMIFS('Data Additive'!$D:$D,'Data Additive'!$P:$P,'Painel Additive'!$B53,'Data Additive'!$Q:$Q,"&lt;=0",'Data Additive'!$Q:$Q,"&gt;=-30")</f>
        <v>2989374.9</v>
      </c>
      <c r="R53" s="19">
        <f>SUMIFS('Data Additive'!$D:$D,'Data Additive'!$P:$P,'Painel Additive'!$B53,'Data Additive'!$Q:$Q,"&lt;=-31",'Data Additive'!$Q:$Q,"&gt;=-60")</f>
        <v>1924024.77</v>
      </c>
      <c r="S53" s="19">
        <f>SUMIFS('Data Additive'!$D:$D,'Data Additive'!$P:$P,'Painel Additive'!$B53,'Data Additive'!$Q:$Q,"&lt;=-61",'Data Additive'!$Q:$Q,"&gt;=-90")</f>
        <v>2535256.6999999997</v>
      </c>
      <c r="T53" s="19">
        <f>SUMIFS('Data Additive'!$D:$D,'Data Additive'!$P:$P,'Painel Additive'!$B53,'Data Additive'!$Q:$Q,"&lt;=-91",'Data Additive'!$Q:$Q,"&gt;=-120")</f>
        <v>247837.21</v>
      </c>
      <c r="U53" s="19">
        <f>SUMIFS('Data Additive'!$D:$D,'Data Additive'!$P:$P,'Painel Additive'!$B53,'Data Additive'!$Q:$Q,"&lt;=-121",'Data Additive'!$Q:$Q,"&gt;=-180")</f>
        <v>0</v>
      </c>
      <c r="V53" s="19">
        <f>SUMIFS('Data Additive'!$D:$D,'Data Additive'!$P:$P,'Painel Additive'!$B53,'Data Additive'!$Q:$Q,"&lt;=-181",'Data Additive'!$Q:$Q,"&gt;=-360")</f>
        <v>0</v>
      </c>
      <c r="W53" s="22">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1"/>
      <c r="AE53" s="21"/>
      <c r="AF53" s="5"/>
      <c r="AG53" s="53">
        <f t="shared" si="2"/>
        <v>2303506.4200000009</v>
      </c>
    </row>
    <row r="54" spans="2:33" ht="13.95" customHeight="1" x14ac:dyDescent="0.25">
      <c r="B54" s="37" t="s">
        <v>78</v>
      </c>
      <c r="C54" s="152" t="str">
        <f>IFERROR(_xlfn.XLOOKUP(B54,'Limite de crédito'!C:C,'Limite de crédito'!L:L,),0)</f>
        <v>B</v>
      </c>
      <c r="D54" s="44"/>
      <c r="E54" s="18">
        <f>_xlfn.XLOOKUP(B54,'Limite de crédito'!C:C,'Limite de crédito'!G:G,0)</f>
        <v>200000</v>
      </c>
      <c r="F54" s="18">
        <f t="shared" ref="F54" si="20">E54-G54</f>
        <v>116606.9</v>
      </c>
      <c r="G54" s="18">
        <f t="shared" ref="G54" si="21">P54+O54</f>
        <v>83393.100000000006</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2">
        <f>SUMIFS('Data Additive'!$D:$D,'Data Additive'!$P:$P,'Painel Additive'!$B54,'Data Additive'!$Q:$Q,"&gt;360")</f>
        <v>0</v>
      </c>
      <c r="O54" s="65">
        <f>SUMIFS('Data Additive'!$D:$D,'Data Additive'!$P:$P,'Painel Additive'!$B54,'Data Additive'!$Q:$Q,"&gt;0")</f>
        <v>0</v>
      </c>
      <c r="P54" s="19">
        <f t="shared" si="5"/>
        <v>83393.100000000006</v>
      </c>
      <c r="Q54" s="19">
        <f>SUMIFS('Data Additive'!$D:$D,'Data Additive'!$P:$P,'Painel Additive'!$B54,'Data Additive'!$Q:$Q,"&lt;=0",'Data Additive'!$Q:$Q,"&gt;=-30")</f>
        <v>83393.100000000006</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2">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1"/>
      <c r="AE54" s="21"/>
      <c r="AF54" s="5"/>
      <c r="AG54" s="53">
        <f t="shared" si="2"/>
        <v>116606.9</v>
      </c>
    </row>
    <row r="55" spans="2:33" ht="13.95" customHeight="1" x14ac:dyDescent="0.25">
      <c r="B55" s="37" t="s">
        <v>150</v>
      </c>
      <c r="C55" s="152">
        <f>IFERROR(_xlfn.XLOOKUP(B55,'Limite de crédito'!C:C,'Limite de crédito'!L:L,),0)</f>
        <v>0</v>
      </c>
      <c r="D55" s="44"/>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2">
        <f>SUMIFS('Data Additive'!$D:$D,'Data Additive'!$P:$P,'Painel Additive'!$B55,'Data Additive'!$Q:$Q,"&gt;360")</f>
        <v>0</v>
      </c>
      <c r="O55" s="65">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2">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1"/>
      <c r="AE55" s="21"/>
      <c r="AF55" s="5"/>
      <c r="AG55" s="53">
        <f t="shared" si="2"/>
        <v>0</v>
      </c>
    </row>
    <row r="56" spans="2:33" ht="13.95" customHeight="1" x14ac:dyDescent="0.25">
      <c r="B56" s="37" t="s">
        <v>272</v>
      </c>
      <c r="C56" s="152" t="str">
        <f>IFERROR(_xlfn.XLOOKUP(B56,'Limite de crédito'!C:C,'Limite de crédito'!L:L,),0)</f>
        <v>B</v>
      </c>
      <c r="D56" s="44"/>
      <c r="E56" s="18">
        <f>_xlfn.XLOOKUP(B56,'Limite de crédito'!C:C,'Limite de crédito'!G:G,0)</f>
        <v>300000</v>
      </c>
      <c r="F56" s="18">
        <f t="shared" si="22"/>
        <v>136047.6</v>
      </c>
      <c r="G56" s="18">
        <f t="shared" si="23"/>
        <v>163952.4</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2">
        <f>SUMIFS('Data Additive'!$D:$D,'Data Additive'!$P:$P,'Painel Additive'!$B56,'Data Additive'!$Q:$Q,"&gt;360")</f>
        <v>0</v>
      </c>
      <c r="O56" s="65">
        <f>SUMIFS('Data Additive'!$D:$D,'Data Additive'!$P:$P,'Painel Additive'!$B56,'Data Additive'!$Q:$Q,"&gt;0")</f>
        <v>0</v>
      </c>
      <c r="P56" s="19">
        <f t="shared" si="24"/>
        <v>163952.4</v>
      </c>
      <c r="Q56" s="19">
        <f>SUMIFS('Data Additive'!$D:$D,'Data Additive'!$P:$P,'Painel Additive'!$B56,'Data Additive'!$Q:$Q,"&lt;=0",'Data Additive'!$Q:$Q,"&gt;=-30")</f>
        <v>104834.4</v>
      </c>
      <c r="R56" s="19">
        <f>SUMIFS('Data Additive'!$D:$D,'Data Additive'!$P:$P,'Painel Additive'!$B56,'Data Additive'!$Q:$Q,"&lt;=-31",'Data Additive'!$Q:$Q,"&gt;=-60")</f>
        <v>59118</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2">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1"/>
      <c r="AE56" s="21"/>
      <c r="AF56" s="5"/>
      <c r="AG56" s="53">
        <f t="shared" si="2"/>
        <v>136047.6</v>
      </c>
    </row>
    <row r="57" spans="2:33" ht="13.95" customHeight="1" x14ac:dyDescent="0.25">
      <c r="B57" s="37" t="s">
        <v>224</v>
      </c>
      <c r="C57" s="152">
        <f>IFERROR(_xlfn.XLOOKUP(B57,'Limite de crédito'!C:C,'Limite de crédito'!L:L,),0)</f>
        <v>0</v>
      </c>
      <c r="D57" s="44"/>
      <c r="E57" s="18">
        <f>_xlfn.XLOOKUP(B57,'Limite de crédito'!C:C,'Limite de crédito'!G:G,0)</f>
        <v>100000</v>
      </c>
      <c r="F57" s="18">
        <f t="shared" si="22"/>
        <v>34242</v>
      </c>
      <c r="G57" s="18">
        <f t="shared" si="23"/>
        <v>65758</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2">
        <f>SUMIFS('Data Additive'!$D:$D,'Data Additive'!$P:$P,'Painel Additive'!$B57,'Data Additive'!$Q:$Q,"&gt;360")</f>
        <v>0</v>
      </c>
      <c r="O57" s="65">
        <f>SUMIFS('Data Additive'!$D:$D,'Data Additive'!$P:$P,'Painel Additive'!$B57,'Data Additive'!$Q:$Q,"&gt;0")</f>
        <v>0</v>
      </c>
      <c r="P57" s="19">
        <f t="shared" si="24"/>
        <v>65758</v>
      </c>
      <c r="Q57" s="19">
        <f>SUMIFS('Data Additive'!$D:$D,'Data Additive'!$P:$P,'Painel Additive'!$B57,'Data Additive'!$Q:$Q,"&lt;=0",'Data Additive'!$Q:$Q,"&gt;=-30")</f>
        <v>65758</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2">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1"/>
      <c r="AE57" s="21"/>
      <c r="AF57" s="5"/>
      <c r="AG57" s="53">
        <f t="shared" si="2"/>
        <v>-65758</v>
      </c>
    </row>
    <row r="58" spans="2:33" ht="13.95" customHeight="1" x14ac:dyDescent="0.25">
      <c r="B58" s="37" t="s">
        <v>454</v>
      </c>
      <c r="C58" s="152">
        <f>IFERROR(_xlfn.XLOOKUP(B58,'Limite de crédito'!C:C,'Limite de crédito'!L:L,),0)</f>
        <v>0</v>
      </c>
      <c r="D58" s="44"/>
      <c r="E58" s="18">
        <f>_xlfn.XLOOKUP(B58,'Limite de crédito'!C:C,'Limite de crédito'!G:G,0)</f>
        <v>0</v>
      </c>
      <c r="F58" s="18">
        <f t="shared" si="22"/>
        <v>0</v>
      </c>
      <c r="G58" s="18">
        <f t="shared" si="23"/>
        <v>0</v>
      </c>
      <c r="H58" s="19">
        <f>SUMIFS('Data Additive'!$D:$D,'Data Additive'!$P:$P,'Painel Additive'!$B58,'Data Additive'!$Q:$Q,"&gt;0",'Data Additive'!$Q:$Q,"&lt;=30")</f>
        <v>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2">
        <f>SUMIFS('Data Additive'!$D:$D,'Data Additive'!$P:$P,'Painel Additive'!$B58,'Data Additive'!$Q:$Q,"&gt;360")</f>
        <v>0</v>
      </c>
      <c r="O58" s="65">
        <f>SUMIFS('Data Additive'!$D:$D,'Data Additive'!$P:$P,'Painel Additive'!$B58,'Data Additive'!$Q:$Q,"&gt;0")</f>
        <v>0</v>
      </c>
      <c r="P58" s="19">
        <f t="shared" si="24"/>
        <v>0</v>
      </c>
      <c r="Q58" s="19">
        <f>SUMIFS('Data Additive'!$D:$D,'Data Additive'!$P:$P,'Painel Additive'!$B58,'Data Additive'!$Q:$Q,"&lt;=0",'Data Additive'!$Q:$Q,"&gt;=-30")</f>
        <v>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2">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1"/>
      <c r="AE58" s="21"/>
      <c r="AF58" s="5"/>
      <c r="AG58" s="53">
        <f t="shared" si="2"/>
        <v>0</v>
      </c>
    </row>
    <row r="59" spans="2:33" ht="13.95" customHeight="1" x14ac:dyDescent="0.25">
      <c r="B59" s="37" t="s">
        <v>463</v>
      </c>
      <c r="C59" s="152" t="str">
        <f>IFERROR(_xlfn.XLOOKUP(B59,'Limite de crédito'!C:C,'Limite de crédito'!L:L,),0)</f>
        <v>B</v>
      </c>
      <c r="D59" s="44"/>
      <c r="E59" s="18">
        <f>_xlfn.XLOOKUP(B59,'Limite de crédito'!C:C,'Limite de crédito'!G:G,0)</f>
        <v>200000</v>
      </c>
      <c r="F59" s="18">
        <f t="shared" ref="F59" si="25">E59-G59</f>
        <v>200000</v>
      </c>
      <c r="G59" s="18">
        <f t="shared" ref="G59" si="26">P59+O59</f>
        <v>0</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2">
        <f>SUMIFS('Data Additive'!$D:$D,'Data Additive'!$P:$P,'Painel Additive'!$B59,'Data Additive'!$Q:$Q,"&gt;360")</f>
        <v>0</v>
      </c>
      <c r="O59" s="65">
        <f>SUMIFS('Data Additive'!$D:$D,'Data Additive'!$P:$P,'Painel Additive'!$B59,'Data Additive'!$Q:$Q,"&gt;0")</f>
        <v>0</v>
      </c>
      <c r="P59" s="19">
        <f t="shared" ref="P59" si="27">SUM(Q59:W59)</f>
        <v>0</v>
      </c>
      <c r="Q59" s="19">
        <f>SUMIFS('Data Additive'!$D:$D,'Data Additive'!$P:$P,'Painel Additive'!$B59,'Data Additive'!$Q:$Q,"&lt;=0",'Data Additive'!$Q:$Q,"&gt;=-30")</f>
        <v>0</v>
      </c>
      <c r="R59" s="19">
        <f>SUMIFS('Data Additive'!$D:$D,'Data Additive'!$P:$P,'Painel Additive'!$B59,'Data Additive'!$Q:$Q,"&lt;=-31",'Data Additive'!$Q:$Q,"&gt;=-60")</f>
        <v>0</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2">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1"/>
      <c r="AE59" s="21"/>
      <c r="AF59" s="5"/>
      <c r="AG59" s="53">
        <f t="shared" si="2"/>
        <v>200000</v>
      </c>
    </row>
    <row r="60" spans="2:33" ht="13.95" customHeight="1" x14ac:dyDescent="0.25">
      <c r="B60" s="37" t="s">
        <v>95</v>
      </c>
      <c r="C60" s="152">
        <f>IFERROR(_xlfn.XLOOKUP(B60,'Limite de crédito'!C:C,'Limite de crédito'!L:L,),0)</f>
        <v>0</v>
      </c>
      <c r="D60" s="44"/>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2">
        <f>SUMIFS('Data Additive'!$D:$D,'Data Additive'!$P:$P,'Painel Additive'!$B60,'Data Additive'!$Q:$Q,"&gt;360")</f>
        <v>0</v>
      </c>
      <c r="O60" s="65">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2">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1"/>
      <c r="AE60" s="21"/>
      <c r="AF60" s="5"/>
      <c r="AG60" s="53">
        <f t="shared" si="2"/>
        <v>0</v>
      </c>
    </row>
    <row r="61" spans="2:33" x14ac:dyDescent="0.25">
      <c r="B61" s="37" t="s">
        <v>271</v>
      </c>
      <c r="C61" s="152">
        <f>IFERROR(_xlfn.XLOOKUP(B61,'Limite de crédito'!C:C,'Limite de crédito'!L:L,),0)</f>
        <v>0</v>
      </c>
      <c r="D61" s="44"/>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2">
        <f>SUMIFS('Data Additive'!$D:$D,'Data Additive'!$P:$P,'Painel Additive'!$B61,'Data Additive'!$Q:$Q,"&gt;360")</f>
        <v>0</v>
      </c>
      <c r="O61" s="65">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2">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1"/>
      <c r="AE61" s="21"/>
      <c r="AF61" s="5"/>
      <c r="AG61" s="53">
        <f t="shared" si="2"/>
        <v>0</v>
      </c>
    </row>
    <row r="62" spans="2:33" x14ac:dyDescent="0.25">
      <c r="B62" s="37" t="s">
        <v>244</v>
      </c>
      <c r="C62" s="152">
        <f>IFERROR(_xlfn.XLOOKUP(B62,'Limite de crédito'!C:C,'Limite de crédito'!L:L,),0)</f>
        <v>0</v>
      </c>
      <c r="D62" s="44"/>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2">
        <f>SUMIFS('Data Additive'!$D:$D,'Data Additive'!$P:$P,'Painel Additive'!$B62,'Data Additive'!$Q:$Q,"&gt;360")</f>
        <v>0</v>
      </c>
      <c r="O62" s="65">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2">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1"/>
      <c r="AE62" s="21"/>
      <c r="AF62" s="5"/>
      <c r="AG62" s="53">
        <f t="shared" si="2"/>
        <v>300000</v>
      </c>
    </row>
    <row r="63" spans="2:33" x14ac:dyDescent="0.25">
      <c r="B63" s="37" t="s">
        <v>468</v>
      </c>
      <c r="C63" s="152">
        <f>IFERROR(_xlfn.XLOOKUP(B63,'Limite de crédito'!C:C,'Limite de crédito'!L:L,),0)</f>
        <v>0</v>
      </c>
      <c r="D63" s="44"/>
      <c r="E63" s="18">
        <f>_xlfn.XLOOKUP(B63,'Limite de crédito'!C:C,'Limite de crédito'!G:G,0)</f>
        <v>1000000</v>
      </c>
      <c r="F63" s="18">
        <f t="shared" ref="F63" si="37">E63-G63</f>
        <v>933260</v>
      </c>
      <c r="G63" s="18">
        <f t="shared" ref="G63" si="38">P63+O63</f>
        <v>66740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2">
        <f>SUMIFS('Data Additive'!$D:$D,'Data Additive'!$P:$P,'Painel Additive'!$B63,'Data Additive'!$Q:$Q,"&gt;360")</f>
        <v>0</v>
      </c>
      <c r="O63" s="65">
        <f>SUMIFS('Data Additive'!$D:$D,'Data Additive'!$P:$P,'Painel Additive'!$B63,'Data Additive'!$Q:$Q,"&gt;0")</f>
        <v>0</v>
      </c>
      <c r="P63" s="19">
        <f t="shared" ref="P63" si="39">SUM(Q63:W63)</f>
        <v>66740</v>
      </c>
      <c r="Q63" s="19">
        <f>SUMIFS('Data Additive'!$D:$D,'Data Additive'!$P:$P,'Painel Additive'!$B63,'Data Additive'!$Q:$Q,"&lt;=0",'Data Additive'!$Q:$Q,"&gt;=-30")</f>
        <v>66740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2">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1"/>
      <c r="AE63" s="21"/>
      <c r="AF63" s="5"/>
      <c r="AG63" s="53">
        <f t="shared" si="2"/>
        <v>933260</v>
      </c>
    </row>
    <row r="64" spans="2:33" x14ac:dyDescent="0.25">
      <c r="B64" s="37" t="s">
        <v>159</v>
      </c>
      <c r="C64" s="152" t="str">
        <f>IFERROR(_xlfn.XLOOKUP(B64,'Limite de crédito'!C:C,'Limite de crédito'!L:L,),0)</f>
        <v>B</v>
      </c>
      <c r="D64" s="44"/>
      <c r="E64" s="18">
        <f>_xlfn.XLOOKUP(B64,'Limite de crédito'!C:C,'Limite de crédito'!G:G,0)</f>
        <v>600000</v>
      </c>
      <c r="F64" s="18">
        <f t="shared" ref="F64:F67" si="40">E64-G64</f>
        <v>551664</v>
      </c>
      <c r="G64" s="18">
        <f t="shared" ref="G64:G67" si="41">P64+O64</f>
        <v>48336</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2">
        <f>SUMIFS('Data Additive'!$D:$D,'Data Additive'!$P:$P,'Painel Additive'!$B64,'Data Additive'!$Q:$Q,"&gt;360")</f>
        <v>0</v>
      </c>
      <c r="O64" s="65">
        <f>SUMIFS('Data Additive'!$D:$D,'Data Additive'!$P:$P,'Painel Additive'!$B64,'Data Additive'!$Q:$Q,"&gt;0")</f>
        <v>0</v>
      </c>
      <c r="P64" s="19">
        <f t="shared" ref="P64:P67" si="42">SUM(Q64:W64)</f>
        <v>48336</v>
      </c>
      <c r="Q64" s="19">
        <f>SUMIFS('Data Additive'!$D:$D,'Data Additive'!$P:$P,'Painel Additive'!$B64,'Data Additive'!$Q:$Q,"&lt;=0",'Data Additive'!$Q:$Q,"&gt;=-30")</f>
        <v>48336</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2">
        <f>SUMIFS('Data Additive'!$D:$D,'Data Additive'!$P:$P,'Painel Additive'!$B64,'Data Additive'!$Q:$Q,"&lt;-360")</f>
        <v>0</v>
      </c>
      <c r="X64" s="19">
        <f>SUMIFS('Bad Debt Provision'!AB:AB,'Bad Debt Provision'!B:B,'Painel Additive'!B64)</f>
        <v>0</v>
      </c>
      <c r="Y64" s="5"/>
      <c r="Z64" s="5"/>
      <c r="AA64" s="19">
        <f>IFERROR(_xlfn.XLOOKUP(B64,'Limite de crédito'!C:C,'Limite de crédito'!O:O,),0)</f>
        <v>600000</v>
      </c>
      <c r="AB64" s="19"/>
      <c r="AC64" s="20"/>
      <c r="AD64" s="21"/>
      <c r="AE64" s="21"/>
      <c r="AF64" s="5"/>
      <c r="AG64" s="53">
        <f t="shared" si="2"/>
        <v>551664</v>
      </c>
    </row>
    <row r="65" spans="2:33" x14ac:dyDescent="0.25">
      <c r="B65" s="37" t="s">
        <v>481</v>
      </c>
      <c r="C65" s="152">
        <f>IFERROR(_xlfn.XLOOKUP(B65,'Limite de crédito'!C:C,'Limite de crédito'!L:L,),0)</f>
        <v>0</v>
      </c>
      <c r="D65" s="44"/>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2">
        <f>SUMIFS('Data Additive'!$D:$D,'Data Additive'!$P:$P,'Painel Additive'!$B65,'Data Additive'!$Q:$Q,"&gt;360")</f>
        <v>0</v>
      </c>
      <c r="O65" s="65">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2">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1"/>
      <c r="AE65" s="21"/>
      <c r="AF65" s="5"/>
      <c r="AG65" s="53">
        <f t="shared" si="2"/>
        <v>0</v>
      </c>
    </row>
    <row r="66" spans="2:33" x14ac:dyDescent="0.25">
      <c r="B66" s="37" t="s">
        <v>485</v>
      </c>
      <c r="C66" s="152" t="str">
        <f>IFERROR(_xlfn.XLOOKUP(B66,'Limite de crédito'!C:C,'Limite de crédito'!L:L,),0)</f>
        <v>B</v>
      </c>
      <c r="D66" s="44"/>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2">
        <f>SUMIFS('Data Additive'!$D:$D,'Data Additive'!$P:$P,'Painel Additive'!$B66,'Data Additive'!$Q:$Q,"&gt;360")</f>
        <v>0</v>
      </c>
      <c r="O66" s="65">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2">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1"/>
      <c r="AE66" s="21"/>
      <c r="AF66" s="5"/>
      <c r="AG66" s="53">
        <f t="shared" si="2"/>
        <v>500000</v>
      </c>
    </row>
    <row r="67" spans="2:33" x14ac:dyDescent="0.25">
      <c r="B67" s="37" t="s">
        <v>486</v>
      </c>
      <c r="C67" s="152">
        <f>IFERROR(_xlfn.XLOOKUP(B67,'Limite de crédito'!C:C,'Limite de crédito'!L:L,),0)</f>
        <v>0</v>
      </c>
      <c r="D67" s="44"/>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2">
        <f>SUMIFS('Data Additive'!$D:$D,'Data Additive'!$P:$P,'Painel Additive'!$B67,'Data Additive'!$Q:$Q,"&gt;360")</f>
        <v>0</v>
      </c>
      <c r="O67" s="65">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2">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1"/>
      <c r="AE67" s="21"/>
      <c r="AF67" s="5"/>
      <c r="AG67" s="53">
        <f t="shared" si="2"/>
        <v>0</v>
      </c>
    </row>
    <row r="68" spans="2:33" x14ac:dyDescent="0.25">
      <c r="B68" s="37" t="s">
        <v>490</v>
      </c>
      <c r="C68" s="152" t="str">
        <f>IFERROR(_xlfn.XLOOKUP(B68,'Limite de crédito'!C:C,'Limite de crédito'!L:L,),0)</f>
        <v>B</v>
      </c>
      <c r="D68" s="44"/>
      <c r="E68" s="18">
        <f>_xlfn.XLOOKUP(B68,'Limite de crédito'!C:C,'Limite de crédito'!G:G,0)</f>
        <v>3000000</v>
      </c>
      <c r="F68" s="18">
        <f t="shared" ref="F68" si="43">E68-G68</f>
        <v>2618440.7999999998</v>
      </c>
      <c r="G68" s="18">
        <f t="shared" ref="G68" si="44">P68+O68</f>
        <v>381559.2</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2">
        <f>SUMIFS('Data Additive'!$D:$D,'Data Additive'!$P:$P,'Painel Additive'!$B68,'Data Additive'!$Q:$Q,"&gt;360")</f>
        <v>0</v>
      </c>
      <c r="O68" s="65">
        <f>SUMIFS('Data Additive'!$D:$D,'Data Additive'!$P:$P,'Painel Additive'!$B68,'Data Additive'!$Q:$Q,"&gt;0")</f>
        <v>0</v>
      </c>
      <c r="P68" s="19">
        <f t="shared" ref="P68" si="45">SUM(Q68:W68)</f>
        <v>381559.2</v>
      </c>
      <c r="Q68" s="19">
        <f>SUMIFS('Data Additive'!$D:$D,'Data Additive'!$P:$P,'Painel Additive'!$B68,'Data Additive'!$Q:$Q,"&lt;=0",'Data Additive'!$Q:$Q,"&gt;=-30")</f>
        <v>381559.2</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2">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1"/>
      <c r="AE68" s="21"/>
      <c r="AF68" s="5"/>
      <c r="AG68" s="53">
        <f t="shared" ref="AG68:AG80" si="46">AA68-G68</f>
        <v>2618440.7999999998</v>
      </c>
    </row>
    <row r="69" spans="2:33" x14ac:dyDescent="0.25">
      <c r="B69" s="37" t="s">
        <v>489</v>
      </c>
      <c r="C69" s="152" t="str">
        <f>IFERROR(_xlfn.XLOOKUP(B69,'Limite de crédito'!C:C,'Limite de crédito'!L:L,),0)</f>
        <v>B</v>
      </c>
      <c r="D69" s="44"/>
      <c r="E69" s="18">
        <f>_xlfn.XLOOKUP(B69,'Limite de crédito'!C:C,'Limite de crédito'!G:G,0)</f>
        <v>1500000</v>
      </c>
      <c r="F69" s="18">
        <f t="shared" ref="F69" si="47">E69-G69</f>
        <v>684114.4</v>
      </c>
      <c r="G69" s="18">
        <f t="shared" ref="G69" si="48">P69+O69</f>
        <v>815885.6</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2">
        <f>SUMIFS('Data Additive'!$D:$D,'Data Additive'!$P:$P,'Painel Additive'!$B69,'Data Additive'!$Q:$Q,"&gt;360")</f>
        <v>0</v>
      </c>
      <c r="O69" s="65">
        <f>SUMIFS('Data Additive'!$D:$D,'Data Additive'!$P:$P,'Painel Additive'!$B69,'Data Additive'!$Q:$Q,"&gt;0")</f>
        <v>0</v>
      </c>
      <c r="P69" s="19">
        <f t="shared" ref="P69" si="49">SUM(Q69:W69)</f>
        <v>815885.6</v>
      </c>
      <c r="Q69" s="19">
        <f>SUMIFS('Data Additive'!$D:$D,'Data Additive'!$P:$P,'Painel Additive'!$B69,'Data Additive'!$Q:$Q,"&lt;=0",'Data Additive'!$Q:$Q,"&gt;=-30")</f>
        <v>815885.6</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2">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1"/>
      <c r="AE69" s="21"/>
      <c r="AF69" s="5"/>
      <c r="AG69" s="53">
        <f t="shared" si="46"/>
        <v>684114.4</v>
      </c>
    </row>
    <row r="70" spans="2:33" x14ac:dyDescent="0.25">
      <c r="B70" s="37" t="s">
        <v>491</v>
      </c>
      <c r="C70" s="152" t="str">
        <f>IFERROR(_xlfn.XLOOKUP(B70,'Limite de crédito'!C:C,'Limite de crédito'!L:L,),0)</f>
        <v>B</v>
      </c>
      <c r="D70" s="44"/>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2">
        <f>SUMIFS('Data Additive'!$D:$D,'Data Additive'!$P:$P,'Painel Additive'!$B70,'Data Additive'!$Q:$Q,"&gt;360")</f>
        <v>0</v>
      </c>
      <c r="O70" s="65">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2">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1"/>
      <c r="AE70" s="21"/>
      <c r="AF70" s="5"/>
      <c r="AG70" s="53">
        <f t="shared" si="46"/>
        <v>1472000</v>
      </c>
    </row>
    <row r="71" spans="2:33" x14ac:dyDescent="0.25">
      <c r="B71" s="37" t="s">
        <v>492</v>
      </c>
      <c r="C71" s="152">
        <f>IFERROR(_xlfn.XLOOKUP(B71,'Limite de crédito'!C:C,'Limite de crédito'!L:L,),0)</f>
        <v>0</v>
      </c>
      <c r="D71" s="44"/>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2">
        <f>SUMIFS('Data Additive'!$D:$D,'Data Additive'!$P:$P,'Painel Additive'!$B71,'Data Additive'!$Q:$Q,"&gt;360")</f>
        <v>0</v>
      </c>
      <c r="O71" s="65">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2">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1"/>
      <c r="AE71" s="21"/>
      <c r="AF71" s="5"/>
      <c r="AG71" s="53">
        <f t="shared" si="46"/>
        <v>0</v>
      </c>
    </row>
    <row r="72" spans="2:33" x14ac:dyDescent="0.25">
      <c r="B72" s="37" t="s">
        <v>493</v>
      </c>
      <c r="C72" s="152" t="str">
        <f>IFERROR(_xlfn.XLOOKUP(B72,'Limite de crédito'!C:C,'Limite de crédito'!L:L,),0)</f>
        <v>B</v>
      </c>
      <c r="D72" s="44"/>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2">
        <f>SUMIFS('Data Additive'!$D:$D,'Data Additive'!$P:$P,'Painel Additive'!$B72,'Data Additive'!$Q:$Q,"&gt;360")</f>
        <v>0</v>
      </c>
      <c r="O72" s="65">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2">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1"/>
      <c r="AE72" s="21"/>
      <c r="AF72" s="5"/>
      <c r="AG72" s="53">
        <f t="shared" si="46"/>
        <v>100000</v>
      </c>
    </row>
    <row r="73" spans="2:33" x14ac:dyDescent="0.25">
      <c r="B73" s="37" t="s">
        <v>525</v>
      </c>
      <c r="C73" s="152">
        <f>IFERROR(_xlfn.XLOOKUP(B73,'Limite de crédito'!C:C,'Limite de crédito'!L:L,),0)</f>
        <v>0</v>
      </c>
      <c r="D73" s="44"/>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2">
        <f>SUMIFS('Data Additive'!$D:$D,'Data Additive'!$P:$P,'Painel Additive'!$B73,'Data Additive'!$Q:$Q,"&gt;360")</f>
        <v>0</v>
      </c>
      <c r="O73" s="65">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2">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1"/>
      <c r="AE73" s="21"/>
      <c r="AF73" s="5"/>
      <c r="AG73" s="53">
        <f t="shared" si="46"/>
        <v>0</v>
      </c>
    </row>
    <row r="74" spans="2:33" x14ac:dyDescent="0.25">
      <c r="B74" s="37" t="s">
        <v>230</v>
      </c>
      <c r="C74" s="152" t="str">
        <f>IFERROR(_xlfn.XLOOKUP(B74,'Limite de crédito'!C:C,'Limite de crédito'!L:L,),0)</f>
        <v>B</v>
      </c>
      <c r="D74" s="44"/>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2">
        <f>SUMIFS('Data Additive'!$D:$D,'Data Additive'!$P:$P,'Painel Additive'!$B74,'Data Additive'!$Q:$Q,"&gt;360")</f>
        <v>0</v>
      </c>
      <c r="O74" s="65">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2">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1"/>
      <c r="AE74" s="21"/>
      <c r="AF74" s="5"/>
      <c r="AG74" s="53">
        <f t="shared" si="46"/>
        <v>400000</v>
      </c>
    </row>
    <row r="75" spans="2:33" x14ac:dyDescent="0.25">
      <c r="B75" s="37" t="s">
        <v>526</v>
      </c>
      <c r="C75" s="152" t="str">
        <f>IFERROR(_xlfn.XLOOKUP(B75,'Limite de crédito'!C:C,'Limite de crédito'!L:L,),0)</f>
        <v>B</v>
      </c>
      <c r="D75" s="44"/>
      <c r="E75" s="18">
        <f>_xlfn.XLOOKUP(B75,'Limite de crédito'!C:C,'Limite de crédito'!G:G,0)</f>
        <v>700000</v>
      </c>
      <c r="F75" s="18">
        <f t="shared" ref="F75" si="62">E75-G75</f>
        <v>382725</v>
      </c>
      <c r="G75" s="18">
        <f t="shared" ref="G75" si="63">P75+O75</f>
        <v>317275</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2">
        <f>SUMIFS('Data Additive'!$D:$D,'Data Additive'!$P:$P,'Painel Additive'!$B75,'Data Additive'!$Q:$Q,"&gt;360")</f>
        <v>0</v>
      </c>
      <c r="O75" s="65">
        <f>SUMIFS('Data Additive'!$D:$D,'Data Additive'!$P:$P,'Painel Additive'!$B75,'Data Additive'!$Q:$Q,"&gt;0")</f>
        <v>0</v>
      </c>
      <c r="P75" s="19">
        <f t="shared" ref="P75" si="64">SUM(Q75:W75)</f>
        <v>317275</v>
      </c>
      <c r="Q75" s="19">
        <f>SUMIFS('Data Additive'!$D:$D,'Data Additive'!$P:$P,'Painel Additive'!$B75,'Data Additive'!$Q:$Q,"&lt;=0",'Data Additive'!$Q:$Q,"&gt;=-30")</f>
        <v>317275</v>
      </c>
      <c r="R75" s="19">
        <f>SUMIFS('Data Additive'!$D:$D,'Data Additive'!$P:$P,'Painel Additive'!$B75,'Data Additive'!$Q:$Q,"&lt;=-31",'Data Additive'!$Q:$Q,"&gt;=-60")</f>
        <v>0</v>
      </c>
      <c r="S75" s="19">
        <f>SUMIFS('Data Additive'!$D:$D,'Data Additive'!$P:$P,'Painel Additive'!$B75,'Data Additive'!$Q:$Q,"&lt;=-61",'Data Additive'!$Q:$Q,"&gt;=-90")</f>
        <v>0</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2">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1"/>
      <c r="AE75" s="21"/>
      <c r="AF75" s="5"/>
      <c r="AG75" s="53">
        <f t="shared" si="46"/>
        <v>382725</v>
      </c>
    </row>
    <row r="76" spans="2:33" x14ac:dyDescent="0.25">
      <c r="B76" s="37" t="s">
        <v>514</v>
      </c>
      <c r="C76" s="152" t="str">
        <f>IFERROR(_xlfn.XLOOKUP(B76,'Limite de crédito'!C:C,'Limite de crédito'!L:L,),0)</f>
        <v>B</v>
      </c>
      <c r="D76" s="44"/>
      <c r="E76" s="18">
        <f>_xlfn.XLOOKUP(B76,'Limite de crédito'!C:C,'Limite de crédito'!G:G,0)</f>
        <v>1500000</v>
      </c>
      <c r="F76" s="18">
        <f t="shared" ref="F76" si="65">E76-G76</f>
        <v>1319640.8</v>
      </c>
      <c r="G76" s="18">
        <f t="shared" ref="G76" si="66">P76+O76</f>
        <v>180359.2</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2">
        <f>SUMIFS('Data Additive'!$D:$D,'Data Additive'!$P:$P,'Painel Additive'!$B76,'Data Additive'!$Q:$Q,"&gt;360")</f>
        <v>0</v>
      </c>
      <c r="O76" s="65">
        <f>SUMIFS('Data Additive'!$D:$D,'Data Additive'!$P:$P,'Painel Additive'!$B76,'Data Additive'!$Q:$Q,"&gt;0")</f>
        <v>0</v>
      </c>
      <c r="P76" s="19">
        <f t="shared" ref="P76" si="67">SUM(Q76:W76)</f>
        <v>180359.2</v>
      </c>
      <c r="Q76" s="19">
        <f>SUMIFS('Data Additive'!$D:$D,'Data Additive'!$P:$P,'Painel Additive'!$B76,'Data Additive'!$Q:$Q,"&lt;=0",'Data Additive'!$Q:$Q,"&gt;=-30")</f>
        <v>180359.2</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2">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1"/>
      <c r="AE76" s="21"/>
      <c r="AF76" s="5"/>
      <c r="AG76" s="53">
        <f t="shared" si="46"/>
        <v>1319640.8</v>
      </c>
    </row>
    <row r="77" spans="2:33" x14ac:dyDescent="0.25">
      <c r="B77" s="37" t="s">
        <v>265</v>
      </c>
      <c r="C77" s="152" t="str">
        <f>IFERROR(_xlfn.XLOOKUP(B77,'Limite de crédito'!C:C,'Limite de crédito'!L:L,),0)</f>
        <v>B</v>
      </c>
      <c r="D77" s="44"/>
      <c r="E77" s="18">
        <f>_xlfn.XLOOKUP(B77,'Limite de crédito'!C:C,'Limite de crédito'!G:G,0)</f>
        <v>800000</v>
      </c>
      <c r="F77" s="18">
        <f t="shared" ref="F77" si="68">E77-G77</f>
        <v>641987.80000000005</v>
      </c>
      <c r="G77" s="18">
        <f t="shared" ref="G77" si="69">P77+O77</f>
        <v>158012.20000000001</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2">
        <f>SUMIFS('Data Additive'!$D:$D,'Data Additive'!$P:$P,'Painel Additive'!$B77,'Data Additive'!$Q:$Q,"&gt;360")</f>
        <v>0</v>
      </c>
      <c r="O77" s="65">
        <f>SUMIFS('Data Additive'!$D:$D,'Data Additive'!$P:$P,'Painel Additive'!$B77,'Data Additive'!$Q:$Q,"&gt;0")</f>
        <v>0</v>
      </c>
      <c r="P77" s="19">
        <f t="shared" ref="P77" si="70">SUM(Q77:W77)</f>
        <v>158012.20000000001</v>
      </c>
      <c r="Q77" s="19">
        <f>SUMIFS('Data Additive'!$D:$D,'Data Additive'!$P:$P,'Painel Additive'!$B77,'Data Additive'!$Q:$Q,"&lt;=0",'Data Additive'!$Q:$Q,"&gt;=-30")</f>
        <v>158012.20000000001</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2">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1"/>
      <c r="AE77" s="21"/>
      <c r="AF77" s="5"/>
      <c r="AG77" s="53">
        <f t="shared" si="46"/>
        <v>641987.80000000005</v>
      </c>
    </row>
    <row r="78" spans="2:33" x14ac:dyDescent="0.25">
      <c r="B78" s="37" t="s">
        <v>527</v>
      </c>
      <c r="C78" s="152" t="str">
        <f>IFERROR(_xlfn.XLOOKUP(B78,'Limite de crédito'!C:C,'Limite de crédito'!L:L,),0)</f>
        <v>B</v>
      </c>
      <c r="D78" s="44"/>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2">
        <f>SUMIFS('Data Additive'!$D:$D,'Data Additive'!$P:$P,'Painel Additive'!$B78,'Data Additive'!$Q:$Q,"&gt;360")</f>
        <v>0</v>
      </c>
      <c r="O78" s="65">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2">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1"/>
      <c r="AE78" s="21"/>
      <c r="AF78" s="5"/>
      <c r="AG78" s="53">
        <f t="shared" si="46"/>
        <v>500000</v>
      </c>
    </row>
    <row r="79" spans="2:33" x14ac:dyDescent="0.25">
      <c r="B79" s="37" t="s">
        <v>528</v>
      </c>
      <c r="C79" s="152">
        <f>IFERROR(_xlfn.XLOOKUP(B79,'Limite de crédito'!C:C,'Limite de crédito'!L:L,),0)</f>
        <v>0</v>
      </c>
      <c r="D79" s="44"/>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2">
        <f>SUMIFS('Data Additive'!$D:$D,'Data Additive'!$P:$P,'Painel Additive'!$B79,'Data Additive'!$Q:$Q,"&gt;360")</f>
        <v>0</v>
      </c>
      <c r="O79" s="65">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2">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1"/>
      <c r="AE79" s="21"/>
      <c r="AF79" s="5"/>
      <c r="AG79" s="53">
        <f t="shared" si="46"/>
        <v>300000</v>
      </c>
    </row>
    <row r="80" spans="2:33" x14ac:dyDescent="0.25">
      <c r="B80" s="37" t="s">
        <v>369</v>
      </c>
      <c r="C80" s="152" t="str">
        <f>IFERROR(_xlfn.XLOOKUP(B80,'Limite de crédito'!C:C,'Limite de crédito'!L:L,),0)</f>
        <v>B</v>
      </c>
      <c r="D80" s="44"/>
      <c r="E80" s="18">
        <f>_xlfn.XLOOKUP(B80,'Limite de crédito'!C:C,'Limite de crédito'!G:G,0)</f>
        <v>1000000</v>
      </c>
      <c r="F80" s="18">
        <f t="shared" ref="F80" si="77">E80-G80</f>
        <v>814960</v>
      </c>
      <c r="G80" s="18">
        <f t="shared" ref="G80" si="78">P80+O80</f>
        <v>185040</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2">
        <f>SUMIFS('Data Additive'!$D:$D,'Data Additive'!$P:$P,'Painel Additive'!$B80,'Data Additive'!$Q:$Q,"&gt;360")</f>
        <v>0</v>
      </c>
      <c r="O80" s="65">
        <f>SUMIFS('Data Additive'!$D:$D,'Data Additive'!$P:$P,'Painel Additive'!$B80,'Data Additive'!$Q:$Q,"&gt;0")</f>
        <v>0</v>
      </c>
      <c r="P80" s="19">
        <f t="shared" ref="P80" si="79">SUM(Q80:W80)</f>
        <v>185040</v>
      </c>
      <c r="Q80" s="19">
        <f>SUMIFS('Data Additive'!$D:$D,'Data Additive'!$P:$P,'Painel Additive'!$B80,'Data Additive'!$Q:$Q,"&lt;=0",'Data Additive'!$Q:$Q,"&gt;=-30")</f>
        <v>0</v>
      </c>
      <c r="R80" s="19">
        <f>SUMIFS('Data Additive'!$D:$D,'Data Additive'!$P:$P,'Painel Additive'!$B80,'Data Additive'!$Q:$Q,"&lt;=-31",'Data Additive'!$Q:$Q,"&gt;=-60")</f>
        <v>185040</v>
      </c>
      <c r="S80" s="19">
        <f>SUMIFS('Data Additive'!$D:$D,'Data Additive'!$P:$P,'Painel Additive'!$B80,'Data Additive'!$Q:$Q,"&lt;=-61",'Data Additive'!$Q:$Q,"&gt;=-90")</f>
        <v>0</v>
      </c>
      <c r="T80" s="19">
        <f>SUMIFS('Data Additive'!$D:$D,'Data Additive'!$P:$P,'Painel Additive'!$B80,'Data Additive'!$Q:$Q,"&lt;=-91",'Data Additive'!$Q:$Q,"&gt;=-120")</f>
        <v>0</v>
      </c>
      <c r="U80" s="19">
        <f>SUMIFS('Data Additive'!$D:$D,'Data Additive'!$P:$P,'Painel Additive'!$B80,'Data Additive'!$Q:$Q,"&lt;=-121",'Data Additive'!$Q:$Q,"&gt;=-180")</f>
        <v>0</v>
      </c>
      <c r="V80" s="19">
        <f>SUMIFS('Data Additive'!$D:$D,'Data Additive'!$P:$P,'Painel Additive'!$B80,'Data Additive'!$Q:$Q,"&lt;=-181",'Data Additive'!$Q:$Q,"&gt;=-360")</f>
        <v>0</v>
      </c>
      <c r="W80" s="22">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1"/>
      <c r="AE80" s="21"/>
      <c r="AF80" s="5"/>
      <c r="AG80" s="53">
        <f t="shared" si="46"/>
        <v>814960</v>
      </c>
    </row>
    <row r="81" spans="2:33" x14ac:dyDescent="0.25">
      <c r="B81" s="37" t="s">
        <v>399</v>
      </c>
      <c r="C81" s="152" t="str">
        <f>IFERROR(_xlfn.XLOOKUP(B81,'Limite de crédito'!C:C,'Limite de crédito'!L:L,),0)</f>
        <v>O</v>
      </c>
      <c r="D81" s="44"/>
      <c r="E81" s="18">
        <f>_xlfn.XLOOKUP(B81,'Limite de crédito'!C:C,'Limite de crédito'!G:G,0)</f>
        <v>300000</v>
      </c>
      <c r="F81" s="18">
        <f t="shared" ref="F81" si="80">E81-G81</f>
        <v>57434.119999999995</v>
      </c>
      <c r="G81" s="18">
        <f t="shared" ref="G81" si="81">P81+O81</f>
        <v>242565.88</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2">
        <f>SUMIFS('Data Additive'!$D:$D,'Data Additive'!$P:$P,'Painel Additive'!$B81,'Data Additive'!$Q:$Q,"&gt;360")</f>
        <v>0</v>
      </c>
      <c r="O81" s="65">
        <f>SUMIFS('Data Additive'!$D:$D,'Data Additive'!$P:$P,'Painel Additive'!$B81,'Data Additive'!$Q:$Q,"&gt;0")</f>
        <v>0</v>
      </c>
      <c r="P81" s="19">
        <f t="shared" ref="P81" si="82">SUM(Q81:W81)</f>
        <v>242565.88</v>
      </c>
      <c r="Q81" s="19">
        <f>SUMIFS('Data Additive'!$D:$D,'Data Additive'!$P:$P,'Painel Additive'!$B81,'Data Additive'!$Q:$Q,"&lt;=0",'Data Additive'!$Q:$Q,"&gt;=-30")</f>
        <v>121282.94</v>
      </c>
      <c r="R81" s="19">
        <f>SUMIFS('Data Additive'!$D:$D,'Data Additive'!$P:$P,'Painel Additive'!$B81,'Data Additive'!$Q:$Q,"&lt;=-31",'Data Additive'!$Q:$Q,"&gt;=-60")</f>
        <v>121282.94</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2">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1"/>
      <c r="AE81" s="21"/>
      <c r="AF81" s="5"/>
      <c r="AG81" s="53">
        <f t="shared" ref="AG81:AG86" si="83">AA81-G81</f>
        <v>-242565.88</v>
      </c>
    </row>
    <row r="82" spans="2:33" x14ac:dyDescent="0.25">
      <c r="B82" s="37" t="s">
        <v>558</v>
      </c>
      <c r="C82" s="152">
        <f>IFERROR(_xlfn.XLOOKUP(B82,'Limite de crédito'!C:C,'Limite de crédito'!L:L,),0)</f>
        <v>0</v>
      </c>
      <c r="D82" s="44"/>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2">
        <f>SUMIFS('Data Additive'!$D:$D,'Data Additive'!$P:$P,'Painel Additive'!$B82,'Data Additive'!$Q:$Q,"&gt;360")</f>
        <v>0</v>
      </c>
      <c r="O82" s="65">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2">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1"/>
      <c r="AE82" s="21"/>
      <c r="AF82" s="5"/>
      <c r="AG82" s="53">
        <f t="shared" si="83"/>
        <v>0</v>
      </c>
    </row>
    <row r="83" spans="2:33" x14ac:dyDescent="0.25">
      <c r="B83" s="37" t="s">
        <v>560</v>
      </c>
      <c r="C83" s="152" t="str">
        <f>IFERROR(_xlfn.XLOOKUP(B83,'Limite de crédito'!C:C,'Limite de crédito'!L:L,),0)</f>
        <v>B</v>
      </c>
      <c r="D83" s="44"/>
      <c r="E83" s="18">
        <f>_xlfn.XLOOKUP(B83,'Limite de crédito'!C:C,'Limite de crédito'!G:G,0)</f>
        <v>1500000</v>
      </c>
      <c r="F83" s="18">
        <f t="shared" ref="F83" si="87">E83-G83</f>
        <v>1396799.97</v>
      </c>
      <c r="G83" s="18">
        <f t="shared" ref="G83" si="88">P83+O83</f>
        <v>103200.03</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0</v>
      </c>
      <c r="M83" s="19">
        <f>SUMIFS('Data Additive'!$D:$D,'Data Additive'!$P:$P,'Painel Additive'!$B83,'Data Additive'!$Q:$Q,"&gt;180",'Data Additive'!$Q:$Q,"&lt;=360")</f>
        <v>0</v>
      </c>
      <c r="N83" s="22">
        <f>SUMIFS('Data Additive'!$D:$D,'Data Additive'!$P:$P,'Painel Additive'!$B83,'Data Additive'!$Q:$Q,"&gt;360")</f>
        <v>0</v>
      </c>
      <c r="O83" s="65">
        <f>SUMIFS('Data Additive'!$D:$D,'Data Additive'!$P:$P,'Painel Additive'!$B83,'Data Additive'!$Q:$Q,"&gt;0")</f>
        <v>0</v>
      </c>
      <c r="P83" s="19">
        <f t="shared" ref="P83" si="89">SUM(Q83:W83)</f>
        <v>103200.03</v>
      </c>
      <c r="Q83" s="19">
        <f>SUMIFS('Data Additive'!$D:$D,'Data Additive'!$P:$P,'Painel Additive'!$B83,'Data Additive'!$Q:$Q,"&lt;=0",'Data Additive'!$Q:$Q,"&gt;=-30")</f>
        <v>103200.03</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2">
        <f>SUMIFS('Data Additive'!$D:$D,'Data Additive'!$P:$P,'Painel Additive'!$B83,'Data Additive'!$Q:$Q,"&lt;-360")</f>
        <v>0</v>
      </c>
      <c r="X83" s="19">
        <f>SUMIFS('Bad Debt Provision'!AB:AB,'Bad Debt Provision'!B:B,'Painel Additive'!B83)</f>
        <v>0</v>
      </c>
      <c r="Y83" s="5"/>
      <c r="Z83" s="5"/>
      <c r="AA83" s="19">
        <f>IFERROR(_xlfn.XLOOKUP(B83,'Limite de crédito'!C:C,'Limite de crédito'!O:O,),0)</f>
        <v>1500000</v>
      </c>
      <c r="AB83" s="19"/>
      <c r="AC83" s="20"/>
      <c r="AD83" s="21"/>
      <c r="AE83" s="21"/>
      <c r="AF83" s="5"/>
      <c r="AG83" s="53">
        <f t="shared" si="83"/>
        <v>1396799.97</v>
      </c>
    </row>
    <row r="84" spans="2:33" x14ac:dyDescent="0.25">
      <c r="B84" s="37" t="s">
        <v>83</v>
      </c>
      <c r="C84" s="152" t="str">
        <f>IFERROR(_xlfn.XLOOKUP(B84,'Limite de crédito'!C:C,'Limite de crédito'!L:L,),0)</f>
        <v>B</v>
      </c>
      <c r="D84" s="44"/>
      <c r="E84" s="18">
        <f>_xlfn.XLOOKUP(B84,'Limite de crédito'!C:C,'Limite de crédito'!G:G,0)</f>
        <v>100000</v>
      </c>
      <c r="F84" s="18">
        <f t="shared" ref="F84" si="90">E84-G84</f>
        <v>100000</v>
      </c>
      <c r="G84" s="18">
        <f t="shared" ref="G84" si="91">P84+O84</f>
        <v>0</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2">
        <f>SUMIFS('Data Additive'!$D:$D,'Data Additive'!$P:$P,'Painel Additive'!$B84,'Data Additive'!$Q:$Q,"&gt;360")</f>
        <v>0</v>
      </c>
      <c r="O84" s="65">
        <f>SUMIFS('Data Additive'!$D:$D,'Data Additive'!$P:$P,'Painel Additive'!$B84,'Data Additive'!$Q:$Q,"&gt;0")</f>
        <v>0</v>
      </c>
      <c r="P84" s="19">
        <f t="shared" ref="P84" si="92">SUM(Q84:W84)</f>
        <v>0</v>
      </c>
      <c r="Q84" s="19">
        <f>SUMIFS('Data Additive'!$D:$D,'Data Additive'!$P:$P,'Painel Additive'!$B84,'Data Additive'!$Q:$Q,"&lt;=0",'Data Additive'!$Q:$Q,"&gt;=-30")</f>
        <v>0</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2">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1"/>
      <c r="AE84" s="21"/>
      <c r="AF84" s="5"/>
      <c r="AG84" s="53">
        <f t="shared" si="83"/>
        <v>100000</v>
      </c>
    </row>
    <row r="85" spans="2:33" x14ac:dyDescent="0.25">
      <c r="B85" s="37" t="s">
        <v>559</v>
      </c>
      <c r="C85" s="152">
        <f>IFERROR(_xlfn.XLOOKUP(B85,'Limite de crédito'!C:C,'Limite de crédito'!L:L,),0)</f>
        <v>0</v>
      </c>
      <c r="D85" s="44"/>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2">
        <f>SUMIFS('Data Additive'!$D:$D,'Data Additive'!$P:$P,'Painel Additive'!$B85,'Data Additive'!$Q:$Q,"&gt;360")</f>
        <v>0</v>
      </c>
      <c r="O85" s="65">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2">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1"/>
      <c r="AE85" s="21"/>
      <c r="AF85" s="5"/>
      <c r="AG85" s="53">
        <f t="shared" si="83"/>
        <v>0</v>
      </c>
    </row>
    <row r="86" spans="2:33" x14ac:dyDescent="0.25">
      <c r="B86" s="37" t="s">
        <v>84</v>
      </c>
      <c r="C86" s="152">
        <f>IFERROR(_xlfn.XLOOKUP(B86,'Limite de crédito'!C:C,'Limite de crédito'!L:L,),0)</f>
        <v>0</v>
      </c>
      <c r="D86" s="44"/>
      <c r="E86" s="18">
        <f>_xlfn.XLOOKUP(B86,'Limite de crédito'!C:C,'Limite de crédito'!G:G,0)</f>
        <v>75000</v>
      </c>
      <c r="F86" s="18">
        <f t="shared" ref="F86" si="96">E86-G86</f>
        <v>25120</v>
      </c>
      <c r="G86" s="18">
        <f t="shared" ref="G86" si="97">P86+O86</f>
        <v>49880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2">
        <f>SUMIFS('Data Additive'!$D:$D,'Data Additive'!$P:$P,'Painel Additive'!$B86,'Data Additive'!$Q:$Q,"&gt;360")</f>
        <v>0</v>
      </c>
      <c r="O86" s="65">
        <f>SUMIFS('Data Additive'!$D:$D,'Data Additive'!$P:$P,'Painel Additive'!$B86,'Data Additive'!$Q:$Q,"&gt;0")</f>
        <v>0</v>
      </c>
      <c r="P86" s="19">
        <f t="shared" ref="P86" si="98">SUM(Q86:W86)</f>
        <v>49880</v>
      </c>
      <c r="Q86" s="19">
        <f>SUMIFS('Data Additive'!$D:$D,'Data Additive'!$P:$P,'Painel Additive'!$B86,'Data Additive'!$Q:$Q,"&lt;=0",'Data Additive'!$Q:$Q,"&gt;=-30")</f>
        <v>49880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2">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1"/>
      <c r="AE86" s="21"/>
      <c r="AF86" s="5"/>
      <c r="AG86" s="53">
        <f t="shared" si="83"/>
        <v>-49880</v>
      </c>
    </row>
    <row r="87" spans="2:33" x14ac:dyDescent="0.25">
      <c r="B87" s="37" t="s">
        <v>515</v>
      </c>
      <c r="C87" s="152" t="str">
        <f>IFERROR(_xlfn.XLOOKUP(B87,'Limite de crédito'!C:C,'Limite de crédito'!L:L,),0)</f>
        <v>B</v>
      </c>
      <c r="D87" s="44"/>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2">
        <f>SUMIFS('Data Additive'!$D:$D,'Data Additive'!$P:$P,'Painel Additive'!$B87,'Data Additive'!$Q:$Q,"&gt;360")</f>
        <v>0</v>
      </c>
      <c r="O87" s="65">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2">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1"/>
      <c r="AE87" s="21"/>
      <c r="AF87" s="5"/>
      <c r="AG87" s="53">
        <f t="shared" ref="AG87" si="102">AA87-G87</f>
        <v>500000</v>
      </c>
    </row>
    <row r="88" spans="2:33" x14ac:dyDescent="0.25">
      <c r="B88" s="37" t="s">
        <v>508</v>
      </c>
      <c r="C88" s="152" t="str">
        <f>IFERROR(_xlfn.XLOOKUP(B88,'Limite de crédito'!C:C,'Limite de crédito'!L:L,),0)</f>
        <v>B</v>
      </c>
      <c r="D88" s="44"/>
      <c r="E88" s="18">
        <f>_xlfn.XLOOKUP(B88,'Limite de crédito'!C:C,'Limite de crédito'!G:G,0)</f>
        <v>1300000</v>
      </c>
      <c r="F88" s="18">
        <f t="shared" ref="F88" si="103">E88-G88</f>
        <v>1231500</v>
      </c>
      <c r="G88" s="18">
        <f t="shared" ref="G88" si="104">P88+O88</f>
        <v>68500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2">
        <f>SUMIFS('Data Additive'!$D:$D,'Data Additive'!$P:$P,'Painel Additive'!$B88,'Data Additive'!$Q:$Q,"&gt;360")</f>
        <v>0</v>
      </c>
      <c r="O88" s="65">
        <f>SUMIFS('Data Additive'!$D:$D,'Data Additive'!$P:$P,'Painel Additive'!$B88,'Data Additive'!$Q:$Q,"&gt;0")</f>
        <v>0</v>
      </c>
      <c r="P88" s="19">
        <f t="shared" ref="P88" si="105">SUM(Q88:W88)</f>
        <v>68500</v>
      </c>
      <c r="Q88" s="19">
        <f>SUMIFS('Data Additive'!$D:$D,'Data Additive'!$P:$P,'Painel Additive'!$B88,'Data Additive'!$Q:$Q,"&lt;=0",'Data Additive'!$Q:$Q,"&gt;=-30")</f>
        <v>68500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2">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1"/>
      <c r="AE88" s="21"/>
      <c r="AF88" s="5"/>
      <c r="AG88" s="53">
        <f t="shared" ref="AG88" si="106">AA88-G88</f>
        <v>1231500</v>
      </c>
    </row>
    <row r="89" spans="2:33" x14ac:dyDescent="0.25">
      <c r="B89" s="37" t="s">
        <v>583</v>
      </c>
      <c r="C89" s="152" t="str">
        <f>IFERROR(_xlfn.XLOOKUP(B89,'Limite de crédito'!C:C,'Limite de crédito'!L:L,),0)</f>
        <v>B</v>
      </c>
      <c r="D89" s="44"/>
      <c r="E89" s="18">
        <f>_xlfn.XLOOKUP(B89,'Limite de crédito'!C:C,'Limite de crédito'!G:G,0)</f>
        <v>1500000</v>
      </c>
      <c r="F89" s="18">
        <f t="shared" ref="F89" si="107">E89-G89</f>
        <v>980391.4</v>
      </c>
      <c r="G89" s="18">
        <f t="shared" ref="G89" si="108">P89+O89</f>
        <v>519608.6</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2">
        <f>SUMIFS('Data Additive'!$D:$D,'Data Additive'!$P:$P,'Painel Additive'!$B89,'Data Additive'!$Q:$Q,"&gt;360")</f>
        <v>0</v>
      </c>
      <c r="O89" s="65">
        <f>SUMIFS('Data Additive'!$D:$D,'Data Additive'!$P:$P,'Painel Additive'!$B89,'Data Additive'!$Q:$Q,"&gt;0")</f>
        <v>0</v>
      </c>
      <c r="P89" s="19">
        <f t="shared" ref="P89" si="109">SUM(Q89:W89)</f>
        <v>519608.6</v>
      </c>
      <c r="Q89" s="19">
        <f>SUMIFS('Data Additive'!$D:$D,'Data Additive'!$P:$P,'Painel Additive'!$B89,'Data Additive'!$Q:$Q,"&lt;=0",'Data Additive'!$Q:$Q,"&gt;=-30")</f>
        <v>394528.6</v>
      </c>
      <c r="R89" s="19">
        <f>SUMIFS('Data Additive'!$D:$D,'Data Additive'!$P:$P,'Painel Additive'!$B89,'Data Additive'!$Q:$Q,"&lt;=-31",'Data Additive'!$Q:$Q,"&gt;=-60")</f>
        <v>125080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2">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1"/>
      <c r="AE89" s="21"/>
      <c r="AF89" s="5"/>
      <c r="AG89" s="53">
        <f t="shared" ref="AG89" si="110">AA89-G89</f>
        <v>980391.4</v>
      </c>
    </row>
    <row r="90" spans="2:33" x14ac:dyDescent="0.25">
      <c r="B90" s="37" t="s">
        <v>588</v>
      </c>
      <c r="C90" s="152" t="str">
        <f>IFERROR(_xlfn.XLOOKUP(B90,'Limite de crédito'!C:C,'Limite de crédito'!L:L,),0)</f>
        <v>B</v>
      </c>
      <c r="D90" s="44"/>
      <c r="E90" s="18">
        <f>_xlfn.XLOOKUP(B90,'Limite de crédito'!C:C,'Limite de crédito'!G:G,0)</f>
        <v>25000</v>
      </c>
      <c r="F90" s="18">
        <f t="shared" ref="F90" si="111">E90-G90</f>
        <v>25000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2">
        <f>SUMIFS('Data Additive'!$D:$D,'Data Additive'!$P:$P,'Painel Additive'!$B90,'Data Additive'!$Q:$Q,"&gt;360")</f>
        <v>0</v>
      </c>
      <c r="O90" s="65">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2">
        <f>SUMIFS('Data Additive'!$D:$D,'Data Additive'!$P:$P,'Painel Additive'!$B90,'Data Additive'!$Q:$Q,"&lt;-360")</f>
        <v>0</v>
      </c>
      <c r="X90" s="19">
        <f>SUMIFS('Bad Debt Provision'!AB:AB,'Bad Debt Provision'!B:B,'Painel Additive'!B90)</f>
        <v>0</v>
      </c>
      <c r="Y90" s="5"/>
      <c r="Z90" s="5"/>
      <c r="AA90" s="19">
        <f>IFERROR(_xlfn.XLOOKUP(B90,'Limite de crédito'!C:C,'Limite de crédito'!O:O,),0)</f>
        <v>25000</v>
      </c>
      <c r="AB90" s="19"/>
      <c r="AC90" s="20"/>
      <c r="AD90" s="21"/>
      <c r="AE90" s="21"/>
      <c r="AF90" s="5"/>
      <c r="AG90" s="53">
        <f t="shared" ref="AG90" si="114">AA90-G90</f>
        <v>25000</v>
      </c>
    </row>
    <row r="91" spans="2:33" x14ac:dyDescent="0.25">
      <c r="B91" s="37" t="s">
        <v>289</v>
      </c>
      <c r="C91" s="152">
        <f>IFERROR(_xlfn.XLOOKUP(B91,'Limite de crédito'!C:C,'Limite de crédito'!L:L,),0)</f>
        <v>0</v>
      </c>
      <c r="D91" s="44"/>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2">
        <f>SUMIFS('Data Additive'!$D:$D,'Data Additive'!$P:$P,'Painel Additive'!$B91,'Data Additive'!$Q:$Q,"&gt;360")</f>
        <v>0</v>
      </c>
      <c r="O91" s="65">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2">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1"/>
      <c r="AE91" s="21"/>
      <c r="AF91" s="5"/>
      <c r="AG91" s="53">
        <f t="shared" ref="AG91" si="118">AA91-G91</f>
        <v>0</v>
      </c>
    </row>
    <row r="92" spans="2:33" x14ac:dyDescent="0.25">
      <c r="B92" s="37" t="s">
        <v>299</v>
      </c>
      <c r="C92" s="152">
        <f>IFERROR(_xlfn.XLOOKUP(B92,'Limite de crédito'!C:C,'Limite de crédito'!L:L,),0)</f>
        <v>0</v>
      </c>
      <c r="D92" s="44"/>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2">
        <f>SUMIFS('Data Additive'!$D:$D,'Data Additive'!$P:$P,'Painel Additive'!$B92,'Data Additive'!$Q:$Q,"&gt;360")</f>
        <v>0</v>
      </c>
      <c r="O92" s="65">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2">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1"/>
      <c r="AE92" s="21"/>
      <c r="AF92" s="5"/>
      <c r="AG92" s="53">
        <f>AA92-G92</f>
        <v>100000</v>
      </c>
    </row>
    <row r="93" spans="2:33" x14ac:dyDescent="0.25">
      <c r="B93" s="37" t="s">
        <v>596</v>
      </c>
      <c r="C93" s="152">
        <f>IFERROR(_xlfn.XLOOKUP(B93,'Limite de crédito'!C:C,'Limite de crédito'!L:L,),0)</f>
        <v>0</v>
      </c>
      <c r="D93" s="44"/>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2">
        <f>SUMIFS('Data Additive'!$D:$D,'Data Additive'!$P:$P,'Painel Additive'!$B93,'Data Additive'!$Q:$Q,"&gt;360")</f>
        <v>0</v>
      </c>
      <c r="O93" s="65">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2">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1"/>
      <c r="AE93" s="21"/>
      <c r="AF93" s="5"/>
      <c r="AG93" s="53">
        <f t="shared" ref="AG93:AG94" si="125">AA93-G93</f>
        <v>0</v>
      </c>
    </row>
    <row r="94" spans="2:33" x14ac:dyDescent="0.25">
      <c r="B94" s="37" t="s">
        <v>598</v>
      </c>
      <c r="C94" s="152">
        <f>IFERROR(_xlfn.XLOOKUP(B94,'Limite de crédito'!C:C,'Limite de crédito'!L:L,),0)</f>
        <v>0</v>
      </c>
      <c r="D94" s="44"/>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2">
        <f>SUMIFS('Data Additive'!$D:$D,'Data Additive'!$P:$P,'Painel Additive'!$B94,'Data Additive'!$Q:$Q,"&gt;360")</f>
        <v>0</v>
      </c>
      <c r="O94" s="65">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2">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1"/>
      <c r="AE94" s="21"/>
      <c r="AF94" s="5"/>
      <c r="AG94" s="53">
        <f t="shared" si="125"/>
        <v>0</v>
      </c>
    </row>
    <row r="95" spans="2:33" x14ac:dyDescent="0.25">
      <c r="B95" s="37" t="s">
        <v>354</v>
      </c>
      <c r="C95" s="152">
        <f>IFERROR(_xlfn.XLOOKUP(B95,'Limite de crédito'!C:C,'Limite de crédito'!L:L,),0)</f>
        <v>0</v>
      </c>
      <c r="D95" s="44"/>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2">
        <f>SUMIFS('Data Additive'!$D:$D,'Data Additive'!$P:$P,'Painel Additive'!$B95,'Data Additive'!$Q:$Q,"&gt;360")</f>
        <v>0</v>
      </c>
      <c r="O95" s="65">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2">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1"/>
      <c r="AE95" s="21"/>
      <c r="AF95" s="5"/>
      <c r="AG95" s="53">
        <f t="shared" ref="AG95:AG97" si="129">AA95-G95</f>
        <v>0</v>
      </c>
    </row>
    <row r="96" spans="2:33" x14ac:dyDescent="0.25">
      <c r="B96" s="37" t="s">
        <v>317</v>
      </c>
      <c r="C96" s="152" t="str">
        <f>IFERROR(_xlfn.XLOOKUP(B96,'Limite de crédito'!C:C,'Limite de crédito'!L:L,),0)</f>
        <v>B</v>
      </c>
      <c r="D96" s="44"/>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2">
        <f>SUMIFS('Data Additive'!$D:$D,'Data Additive'!$P:$P,'Painel Additive'!$B96,'Data Additive'!$Q:$Q,"&gt;360")</f>
        <v>0</v>
      </c>
      <c r="O96" s="65">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2">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1"/>
      <c r="AE96" s="21"/>
      <c r="AF96" s="5"/>
      <c r="AG96" s="53">
        <f t="shared" si="129"/>
        <v>250000</v>
      </c>
    </row>
    <row r="97" spans="2:33" x14ac:dyDescent="0.25">
      <c r="B97" s="37" t="s">
        <v>106</v>
      </c>
      <c r="C97" s="152">
        <f>IFERROR(_xlfn.XLOOKUP(B97,'Limite de crédito'!C:C,'Limite de crédito'!L:L,),0)</f>
        <v>0</v>
      </c>
      <c r="D97" s="44"/>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2">
        <f>SUMIFS('Data Additive'!$D:$D,'Data Additive'!$P:$P,'Painel Additive'!$B97,'Data Additive'!$Q:$Q,"&gt;360")</f>
        <v>0</v>
      </c>
      <c r="O97" s="65">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2">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1"/>
      <c r="AE97" s="21"/>
      <c r="AF97" s="5"/>
      <c r="AG97" s="53">
        <f t="shared" si="129"/>
        <v>0</v>
      </c>
    </row>
    <row r="98" spans="2:33" x14ac:dyDescent="0.25">
      <c r="B98" s="37" t="s">
        <v>607</v>
      </c>
      <c r="C98" s="152">
        <f>IFERROR(_xlfn.XLOOKUP(B98,'Limite de crédito'!C:C,'Limite de crédito'!L:L,),0)</f>
        <v>0</v>
      </c>
      <c r="D98" s="44"/>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2">
        <f>SUMIFS('Data Additive'!$D:$D,'Data Additive'!$P:$P,'Painel Additive'!$B98,'Data Additive'!$Q:$Q,"&gt;360")</f>
        <v>0</v>
      </c>
      <c r="O98" s="65">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2">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1"/>
      <c r="AE98" s="21"/>
      <c r="AF98" s="5"/>
      <c r="AG98" s="53">
        <f t="shared" ref="AG98" si="133">AA98-G98</f>
        <v>0</v>
      </c>
    </row>
    <row r="99" spans="2:33" x14ac:dyDescent="0.25">
      <c r="B99" s="37" t="s">
        <v>609</v>
      </c>
      <c r="C99" s="152">
        <f>IFERROR(_xlfn.XLOOKUP(B99,'Limite de crédito'!C:C,'Limite de crédito'!L:L,),0)</f>
        <v>0</v>
      </c>
      <c r="D99" s="44"/>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2">
        <f>SUMIFS('Data Additive'!$D:$D,'Data Additive'!$P:$P,'Painel Additive'!$B99,'Data Additive'!$Q:$Q,"&gt;360")</f>
        <v>0</v>
      </c>
      <c r="O99" s="65">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2">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1"/>
      <c r="AE99" s="21"/>
      <c r="AF99" s="5"/>
      <c r="AG99" s="53">
        <f t="shared" ref="AG99" si="137">AA99-G99</f>
        <v>0</v>
      </c>
    </row>
    <row r="100" spans="2:33" x14ac:dyDescent="0.25">
      <c r="B100" s="37" t="s">
        <v>616</v>
      </c>
      <c r="C100" s="152" t="str">
        <f>IFERROR(_xlfn.XLOOKUP(B100,'Limite de crédito'!C:C,'Limite de crédito'!L:L,),0)</f>
        <v>B</v>
      </c>
      <c r="D100" s="44"/>
      <c r="E100" s="18">
        <f>_xlfn.XLOOKUP(B100,'Limite de crédito'!C:C,'Limite de crédito'!G:G,0)</f>
        <v>3500000</v>
      </c>
      <c r="F100" s="18">
        <f t="shared" ref="F100" si="138">E100-G100</f>
        <v>2973147.5</v>
      </c>
      <c r="G100" s="18">
        <f t="shared" ref="G100" si="139">P100+O100</f>
        <v>526852.5</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2">
        <f>SUMIFS('Data Additive'!$D:$D,'Data Additive'!$P:$P,'Painel Additive'!$B100,'Data Additive'!$Q:$Q,"&gt;360")</f>
        <v>0</v>
      </c>
      <c r="O100" s="65">
        <f>SUMIFS('Data Additive'!$D:$D,'Data Additive'!$P:$P,'Painel Additive'!$B100,'Data Additive'!$Q:$Q,"&gt;0")</f>
        <v>0</v>
      </c>
      <c r="P100" s="19">
        <f t="shared" ref="P100" si="140">SUM(Q100:W100)</f>
        <v>526852.5</v>
      </c>
      <c r="Q100" s="19">
        <f>SUMIFS('Data Additive'!$D:$D,'Data Additive'!$P:$P,'Painel Additive'!$B100,'Data Additive'!$Q:$Q,"&lt;=0",'Data Additive'!$Q:$Q,"&gt;=-30")</f>
        <v>526852.5</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2">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1"/>
      <c r="AE100" s="21"/>
      <c r="AF100" s="5"/>
      <c r="AG100" s="53">
        <f t="shared" ref="AG100" si="141">AA100-G100</f>
        <v>2973147.5</v>
      </c>
    </row>
    <row r="101" spans="2:33" x14ac:dyDescent="0.25">
      <c r="B101" s="37" t="s">
        <v>617</v>
      </c>
      <c r="C101" s="152">
        <f>IFERROR(_xlfn.XLOOKUP(B101,'Limite de crédito'!C:C,'Limite de crédito'!L:L,),0)</f>
        <v>0</v>
      </c>
      <c r="D101" s="44"/>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2">
        <f>SUMIFS('Data Additive'!$D:$D,'Data Additive'!$P:$P,'Painel Additive'!$B101,'Data Additive'!$Q:$Q,"&gt;360")</f>
        <v>0</v>
      </c>
      <c r="O101" s="65">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2">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1"/>
      <c r="AE101" s="21"/>
      <c r="AF101" s="5"/>
      <c r="AG101" s="53">
        <f t="shared" ref="AG101" si="145">AA101-G101</f>
        <v>0</v>
      </c>
    </row>
    <row r="102" spans="2:33" x14ac:dyDescent="0.25">
      <c r="B102" s="37" t="s">
        <v>41</v>
      </c>
      <c r="C102" s="152" t="str">
        <f>IFERROR(_xlfn.XLOOKUP(B102,'Limite de crédito'!C:C,'Limite de crédito'!L:L,),0)</f>
        <v>B</v>
      </c>
      <c r="D102" s="44"/>
      <c r="E102" s="18">
        <f>_xlfn.XLOOKUP(B102,'Limite de crédito'!C:C,'Limite de crédito'!G:G,0)</f>
        <v>150000</v>
      </c>
      <c r="F102" s="18">
        <f t="shared" ref="F102:F104" si="146">E102-G102</f>
        <v>150000</v>
      </c>
      <c r="G102" s="18">
        <f t="shared" ref="G102:G104" si="147">P102+O102</f>
        <v>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2">
        <f>SUMIFS('Data Additive'!$D:$D,'Data Additive'!$P:$P,'Painel Additive'!$B102,'Data Additive'!$Q:$Q,"&gt;360")</f>
        <v>0</v>
      </c>
      <c r="O102" s="65">
        <f>SUMIFS('Data Additive'!$D:$D,'Data Additive'!$P:$P,'Painel Additive'!$B102,'Data Additive'!$Q:$Q,"&gt;0")</f>
        <v>0</v>
      </c>
      <c r="P102" s="19">
        <f t="shared" ref="P102:P104" si="148">SUM(Q102:W102)</f>
        <v>0</v>
      </c>
      <c r="Q102" s="19">
        <f>SUMIFS('Data Additive'!$D:$D,'Data Additive'!$P:$P,'Painel Additive'!$B102,'Data Additive'!$Q:$Q,"&lt;=0",'Data Additive'!$Q:$Q,"&gt;=-30")</f>
        <v>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2">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1"/>
      <c r="AE102" s="21"/>
      <c r="AF102" s="5"/>
      <c r="AG102" s="53">
        <f t="shared" ref="AG102:AG104" si="149">AA102-G102</f>
        <v>150000</v>
      </c>
    </row>
    <row r="103" spans="2:33" x14ac:dyDescent="0.25">
      <c r="B103" s="37" t="s">
        <v>620</v>
      </c>
      <c r="C103" s="152">
        <f>IFERROR(_xlfn.XLOOKUP(B103,'Limite de crédito'!C:C,'Limite de crédito'!L:L,),0)</f>
        <v>0</v>
      </c>
      <c r="D103" s="44"/>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2">
        <f>SUMIFS('Data Additive'!$D:$D,'Data Additive'!$P:$P,'Painel Additive'!$B103,'Data Additive'!$Q:$Q,"&gt;360")</f>
        <v>0</v>
      </c>
      <c r="O103" s="65">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2">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1"/>
      <c r="AE103" s="21"/>
      <c r="AF103" s="5"/>
      <c r="AG103" s="53">
        <f t="shared" si="149"/>
        <v>0</v>
      </c>
    </row>
    <row r="104" spans="2:33" x14ac:dyDescent="0.25">
      <c r="B104" s="37" t="s">
        <v>625</v>
      </c>
      <c r="C104" s="152">
        <f>IFERROR(_xlfn.XLOOKUP(B104,'Limite de crédito'!C:C,'Limite de crédito'!L:L,),0)</f>
        <v>0</v>
      </c>
      <c r="D104" s="44"/>
      <c r="E104" s="18">
        <f>_xlfn.XLOOKUP(B104,'Limite de crédito'!C:C,'Limite de crédito'!G:G,0)</f>
        <v>0</v>
      </c>
      <c r="F104" s="18">
        <f t="shared" si="146"/>
        <v>0</v>
      </c>
      <c r="G104" s="18">
        <f t="shared" si="147"/>
        <v>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2">
        <f>SUMIFS('Data Additive'!$D:$D,'Data Additive'!$P:$P,'Painel Additive'!$B104,'Data Additive'!$Q:$Q,"&gt;360")</f>
        <v>0</v>
      </c>
      <c r="O104" s="65">
        <f>SUMIFS('Data Additive'!$D:$D,'Data Additive'!$P:$P,'Painel Additive'!$B104,'Data Additive'!$Q:$Q,"&gt;0")</f>
        <v>0</v>
      </c>
      <c r="P104" s="19">
        <f t="shared" si="148"/>
        <v>0</v>
      </c>
      <c r="Q104" s="19">
        <f>SUMIFS('Data Additive'!$D:$D,'Data Additive'!$P:$P,'Painel Additive'!$B104,'Data Additive'!$Q:$Q,"&lt;=0",'Data Additive'!$Q:$Q,"&gt;=-30")</f>
        <v>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2">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1"/>
      <c r="AE104" s="21"/>
      <c r="AF104" s="5"/>
      <c r="AG104" s="53">
        <f t="shared" si="149"/>
        <v>0</v>
      </c>
    </row>
    <row r="105" spans="2:33" x14ac:dyDescent="0.25">
      <c r="B105" s="37" t="s">
        <v>621</v>
      </c>
      <c r="C105" s="152">
        <f>IFERROR(_xlfn.XLOOKUP(B105,'Limite de crédito'!C:C,'Limite de crédito'!L:L,),0)</f>
        <v>0</v>
      </c>
      <c r="D105" s="44"/>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2">
        <f>SUMIFS('Data Additive'!$D:$D,'Data Additive'!$P:$P,'Painel Additive'!$B105,'Data Additive'!$Q:$Q,"&gt;360")</f>
        <v>0</v>
      </c>
      <c r="O105" s="65">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2">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1"/>
      <c r="AE105" s="21"/>
      <c r="AF105" s="5"/>
      <c r="AG105" s="53">
        <f t="shared" ref="AG105" si="153">AA105-G105</f>
        <v>0</v>
      </c>
    </row>
    <row r="106" spans="2:33" x14ac:dyDescent="0.25">
      <c r="B106" s="37" t="s">
        <v>624</v>
      </c>
      <c r="C106" s="152">
        <f>IFERROR(_xlfn.XLOOKUP(B106,'Limite de crédito'!C:C,'Limite de crédito'!L:L,),0)</f>
        <v>0</v>
      </c>
      <c r="D106" s="44"/>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2">
        <f>SUMIFS('Data Additive'!$D:$D,'Data Additive'!$P:$P,'Painel Additive'!$B106,'Data Additive'!$Q:$Q,"&gt;360")</f>
        <v>0</v>
      </c>
      <c r="O106" s="65">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2">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1"/>
      <c r="AE106" s="21"/>
      <c r="AF106" s="5"/>
      <c r="AG106" s="53">
        <f t="shared" ref="AG106" si="157">AA106-G106</f>
        <v>0</v>
      </c>
    </row>
    <row r="107" spans="2:33" x14ac:dyDescent="0.25">
      <c r="B107" s="37" t="s">
        <v>626</v>
      </c>
      <c r="C107" s="152">
        <f>IFERROR(_xlfn.XLOOKUP(B107,'Limite de crédito'!C:C,'Limite de crédito'!L:L,),0)</f>
        <v>0</v>
      </c>
      <c r="D107" s="44"/>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2">
        <f>SUMIFS('Data Additive'!$D:$D,'Data Additive'!$P:$P,'Painel Additive'!$B107,'Data Additive'!$Q:$Q,"&gt;360")</f>
        <v>0</v>
      </c>
      <c r="O107" s="65">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2">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1"/>
      <c r="AE107" s="21"/>
      <c r="AF107" s="5"/>
      <c r="AG107" s="53">
        <f t="shared" ref="AG107" si="161">AA107-G107</f>
        <v>0</v>
      </c>
    </row>
    <row r="108" spans="2:33" x14ac:dyDescent="0.25">
      <c r="B108" s="37" t="s">
        <v>627</v>
      </c>
      <c r="C108" s="152">
        <f>IFERROR(_xlfn.XLOOKUP(B108,'Limite de crédito'!C:C,'Limite de crédito'!L:L,),0)</f>
        <v>0</v>
      </c>
      <c r="D108" s="44"/>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2">
        <f>SUMIFS('Data Additive'!$D:$D,'Data Additive'!$P:$P,'Painel Additive'!$B108,'Data Additive'!$Q:$Q,"&gt;360")</f>
        <v>0</v>
      </c>
      <c r="O108" s="65">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2">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1"/>
      <c r="AE108" s="21"/>
      <c r="AF108" s="5"/>
      <c r="AG108" s="53">
        <f t="shared" ref="AG108" si="165">AA108-G108</f>
        <v>0</v>
      </c>
    </row>
    <row r="109" spans="2:33" x14ac:dyDescent="0.25">
      <c r="B109" s="37" t="s">
        <v>629</v>
      </c>
      <c r="C109" s="152">
        <f>IFERROR(_xlfn.XLOOKUP(B109,'Limite de crédito'!C:C,'Limite de crédito'!L:L,),0)</f>
        <v>0</v>
      </c>
      <c r="D109" s="44"/>
      <c r="E109" s="18">
        <f>_xlfn.XLOOKUP(B109,'Limite de crédito'!C:C,'Limite de crédito'!G:G,0)</f>
        <v>0</v>
      </c>
      <c r="F109" s="18">
        <f t="shared" ref="F109" si="166">E109-G109</f>
        <v>0</v>
      </c>
      <c r="G109" s="18">
        <f t="shared" ref="G109" si="167">P109+O109</f>
        <v>0</v>
      </c>
      <c r="H109" s="19">
        <f>SUMIFS('Data Additive'!$D:$D,'Data Additive'!$P:$P,'Painel Additive'!$B109,'Data Additive'!$Q:$Q,"&gt;0",'Data Additive'!$Q:$Q,"&lt;=30")</f>
        <v>0</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2">
        <f>SUMIFS('Data Additive'!$D:$D,'Data Additive'!$P:$P,'Painel Additive'!$B109,'Data Additive'!$Q:$Q,"&gt;360")</f>
        <v>0</v>
      </c>
      <c r="O109" s="65">
        <f>SUMIFS('Data Additive'!$D:$D,'Data Additive'!$P:$P,'Painel Additive'!$B109,'Data Additive'!$Q:$Q,"&gt;0")</f>
        <v>0</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2">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1"/>
      <c r="AE109" s="21"/>
      <c r="AF109" s="5"/>
      <c r="AG109" s="53">
        <f t="shared" ref="AG109" si="169">AA109-G109</f>
        <v>0</v>
      </c>
    </row>
    <row r="110" spans="2:33" x14ac:dyDescent="0.25">
      <c r="B110" s="37" t="s">
        <v>632</v>
      </c>
      <c r="C110" s="152">
        <f>IFERROR(_xlfn.XLOOKUP(B110,'Limite de crédito'!C:C,'Limite de crédito'!L:L,),0)</f>
        <v>0</v>
      </c>
      <c r="D110" s="44"/>
      <c r="E110" s="18">
        <f>_xlfn.XLOOKUP(B110,'Limite de crédito'!C:C,'Limite de crédito'!G:G,0)</f>
        <v>0</v>
      </c>
      <c r="F110" s="18">
        <f t="shared" ref="F110:F113" si="170">E110-G110</f>
        <v>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2">
        <f>SUMIFS('Data Additive'!$D:$D,'Data Additive'!$P:$P,'Painel Additive'!$B110,'Data Additive'!$Q:$Q,"&gt;360")</f>
        <v>0</v>
      </c>
      <c r="O110" s="65">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2">
        <f>SUMIFS('Data Additive'!$D:$D,'Data Additive'!$P:$P,'Painel Additive'!$B110,'Data Additive'!$Q:$Q,"&lt;-360")</f>
        <v>0</v>
      </c>
      <c r="X110" s="19">
        <f>SUMIFS('Bad Debt Provision'!AB:AB,'Bad Debt Provision'!B:B,'Painel Additive'!B110)</f>
        <v>0</v>
      </c>
      <c r="Y110" s="5"/>
      <c r="Z110" s="5"/>
      <c r="AA110" s="19">
        <f>IFERROR(_xlfn.XLOOKUP(B110,'Limite de crédito'!C:C,'Limite de crédito'!O:O,),0)</f>
        <v>0</v>
      </c>
      <c r="AB110" s="19"/>
      <c r="AC110" s="20"/>
      <c r="AD110" s="21"/>
      <c r="AE110" s="21"/>
      <c r="AF110" s="5"/>
      <c r="AG110" s="53">
        <f t="shared" ref="AG110:AG113" si="173">AA110-G110</f>
        <v>0</v>
      </c>
    </row>
    <row r="111" spans="2:33" x14ac:dyDescent="0.25">
      <c r="B111" s="37" t="s">
        <v>633</v>
      </c>
      <c r="C111" s="152" t="str">
        <f>IFERROR(_xlfn.XLOOKUP(B111,'Limite de crédito'!C:C,'Limite de crédito'!L:L,),0)</f>
        <v>B</v>
      </c>
      <c r="D111" s="44"/>
      <c r="E111" s="18">
        <f>_xlfn.XLOOKUP(B111,'Limite de crédito'!C:C,'Limite de crédito'!G:G,0)</f>
        <v>850000</v>
      </c>
      <c r="F111" s="18">
        <f t="shared" si="170"/>
        <v>727820</v>
      </c>
      <c r="G111" s="18">
        <f t="shared" si="171"/>
        <v>122180</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2">
        <f>SUMIFS('Data Additive'!$D:$D,'Data Additive'!$P:$P,'Painel Additive'!$B111,'Data Additive'!$Q:$Q,"&gt;360")</f>
        <v>0</v>
      </c>
      <c r="O111" s="65">
        <f>SUMIFS('Data Additive'!$D:$D,'Data Additive'!$P:$P,'Painel Additive'!$B111,'Data Additive'!$Q:$Q,"&gt;0")</f>
        <v>0</v>
      </c>
      <c r="P111" s="19">
        <f t="shared" si="172"/>
        <v>122180</v>
      </c>
      <c r="Q111" s="19">
        <f>SUMIFS('Data Additive'!$D:$D,'Data Additive'!$P:$P,'Painel Additive'!$B111,'Data Additive'!$Q:$Q,"&lt;=0",'Data Additive'!$Q:$Q,"&gt;=-30")</f>
        <v>122180</v>
      </c>
      <c r="R111" s="19">
        <f>SUMIFS('Data Additive'!$D:$D,'Data Additive'!$P:$P,'Painel Additive'!$B111,'Data Additive'!$Q:$Q,"&lt;=-31",'Data Additive'!$Q:$Q,"&gt;=-60")</f>
        <v>0</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2">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1"/>
      <c r="AE111" s="21"/>
      <c r="AF111" s="5"/>
      <c r="AG111" s="53">
        <f t="shared" si="173"/>
        <v>727820</v>
      </c>
    </row>
    <row r="112" spans="2:33" x14ac:dyDescent="0.25">
      <c r="B112" s="37" t="s">
        <v>630</v>
      </c>
      <c r="C112" s="152">
        <f>IFERROR(_xlfn.XLOOKUP(B112,'Limite de crédito'!C:C,'Limite de crédito'!L:L,),0)</f>
        <v>0</v>
      </c>
      <c r="D112" s="44"/>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2">
        <f>SUMIFS('Data Additive'!$D:$D,'Data Additive'!$P:$P,'Painel Additive'!$B112,'Data Additive'!$Q:$Q,"&gt;360")</f>
        <v>0</v>
      </c>
      <c r="O112" s="65">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2">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1"/>
      <c r="AE112" s="21"/>
      <c r="AF112" s="5"/>
      <c r="AG112" s="53">
        <f t="shared" si="173"/>
        <v>0</v>
      </c>
    </row>
    <row r="113" spans="2:33" x14ac:dyDescent="0.25">
      <c r="B113" s="37" t="s">
        <v>636</v>
      </c>
      <c r="C113" s="152">
        <f>IFERROR(_xlfn.XLOOKUP(B113,'Limite de crédito'!C:C,'Limite de crédito'!L:L,),0)</f>
        <v>0</v>
      </c>
      <c r="D113" s="44"/>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2">
        <f>SUMIFS('Data Additive'!$D:$D,'Data Additive'!$P:$P,'Painel Additive'!$B113,'Data Additive'!$Q:$Q,"&gt;360")</f>
        <v>0</v>
      </c>
      <c r="O113" s="65">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2">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1"/>
      <c r="AE113" s="21"/>
      <c r="AF113" s="5"/>
      <c r="AG113" s="53">
        <f t="shared" si="173"/>
        <v>650000</v>
      </c>
    </row>
    <row r="114" spans="2:33" x14ac:dyDescent="0.25">
      <c r="B114" s="37" t="s">
        <v>631</v>
      </c>
      <c r="C114" s="152">
        <f>IFERROR(_xlfn.XLOOKUP(B114,'Limite de crédito'!C:C,'Limite de crédito'!L:L,),0)</f>
        <v>0</v>
      </c>
      <c r="D114" s="44"/>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2">
        <f>SUMIFS('Data Additive'!$D:$D,'Data Additive'!$P:$P,'Painel Additive'!$B114,'Data Additive'!$Q:$Q,"&gt;360")</f>
        <v>0</v>
      </c>
      <c r="O114" s="65">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2">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1"/>
      <c r="AE114" s="21"/>
      <c r="AF114" s="5"/>
      <c r="AG114" s="53">
        <f t="shared" ref="AG114" si="177">AA114-G114</f>
        <v>0</v>
      </c>
    </row>
    <row r="115" spans="2:33" x14ac:dyDescent="0.25">
      <c r="B115" s="37" t="s">
        <v>673</v>
      </c>
      <c r="C115" s="152">
        <f>IFERROR(_xlfn.XLOOKUP(B115,'Limite de crédito'!C:C,'Limite de crédito'!L:L,),0)</f>
        <v>0</v>
      </c>
      <c r="D115" s="44"/>
      <c r="E115" s="18">
        <f>_xlfn.XLOOKUP(B115,'Limite de crédito'!C:C,'Limite de crédito'!G:G,0)</f>
        <v>0</v>
      </c>
      <c r="F115" s="18">
        <f t="shared" ref="F115" si="178">E115-G115</f>
        <v>0</v>
      </c>
      <c r="G115" s="18">
        <f t="shared" ref="G115" si="179">P115+O115</f>
        <v>0</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2">
        <f>SUMIFS('Data Additive'!$D:$D,'Data Additive'!$P:$P,'Painel Additive'!$B115,'Data Additive'!$Q:$Q,"&gt;360")</f>
        <v>0</v>
      </c>
      <c r="O115" s="65">
        <f>SUMIFS('Data Additive'!$D:$D,'Data Additive'!$P:$P,'Painel Additive'!$B115,'Data Additive'!$Q:$Q,"&gt;0")</f>
        <v>0</v>
      </c>
      <c r="P115" s="19">
        <f t="shared" ref="P115" si="180">SUM(Q115:W115)</f>
        <v>0</v>
      </c>
      <c r="Q115" s="19">
        <f>SUMIFS('Data Additive'!$D:$D,'Data Additive'!$P:$P,'Painel Additive'!$B115,'Data Additive'!$Q:$Q,"&lt;=0",'Data Additive'!$Q:$Q,"&gt;=-30")</f>
        <v>0</v>
      </c>
      <c r="R115" s="19">
        <f>SUMIFS('Data Additive'!$D:$D,'Data Additive'!$P:$P,'Painel Additive'!$B115,'Data Additive'!$Q:$Q,"&lt;=-31",'Data Additive'!$Q:$Q,"&gt;=-60")</f>
        <v>0</v>
      </c>
      <c r="S115" s="19">
        <f>SUMIFS('Data Additive'!$D:$D,'Data Additive'!$P:$P,'Painel Additive'!$B115,'Data Additive'!$Q:$Q,"&lt;=-61",'Data Additive'!$Q:$Q,"&gt;=-90")</f>
        <v>0</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2">
        <f>SUMIFS('Data Additive'!$D:$D,'Data Additive'!$P:$P,'Painel Additive'!$B115,'Data Additive'!$Q:$Q,"&lt;-360")</f>
        <v>0</v>
      </c>
      <c r="X115" s="19">
        <f>SUMIFS('Bad Debt Provision'!AB:AB,'Bad Debt Provision'!B:B,'Painel Additive'!B115)</f>
        <v>0</v>
      </c>
      <c r="Y115" s="5"/>
      <c r="Z115" s="5"/>
      <c r="AA115" s="19">
        <f>IFERROR(_xlfn.XLOOKUP(B115,'Limite de crédito'!C:C,'Limite de crédito'!O:O,),0)</f>
        <v>0</v>
      </c>
      <c r="AB115" s="19"/>
      <c r="AC115" s="20"/>
      <c r="AD115" s="21"/>
      <c r="AE115" s="21"/>
      <c r="AF115" s="5"/>
      <c r="AG115" s="53">
        <f t="shared" ref="AG115" si="181">AA115-G115</f>
        <v>0</v>
      </c>
    </row>
    <row r="116" spans="2:33" x14ac:dyDescent="0.25">
      <c r="B116" s="37" t="s">
        <v>675</v>
      </c>
      <c r="C116" s="152">
        <f>IFERROR(_xlfn.XLOOKUP(B116,'Limite de crédito'!C:C,'Limite de crédito'!L:L,),0)</f>
        <v>0</v>
      </c>
      <c r="D116" s="44"/>
      <c r="E116" s="18">
        <f>_xlfn.XLOOKUP(B116,'Limite de crédito'!C:C,'Limite de crédito'!G:G,0)</f>
        <v>0</v>
      </c>
      <c r="F116" s="18">
        <f t="shared" ref="F116" si="182">E116-G116</f>
        <v>0</v>
      </c>
      <c r="G116" s="18">
        <f t="shared" ref="G116" si="183">P116+O116</f>
        <v>0</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2">
        <f>SUMIFS('Data Additive'!$D:$D,'Data Additive'!$P:$P,'Painel Additive'!$B116,'Data Additive'!$Q:$Q,"&gt;360")</f>
        <v>0</v>
      </c>
      <c r="O116" s="65">
        <f>SUMIFS('Data Additive'!$D:$D,'Data Additive'!$P:$P,'Painel Additive'!$B116,'Data Additive'!$Q:$Q,"&gt;0")</f>
        <v>0</v>
      </c>
      <c r="P116" s="19">
        <f t="shared" ref="P116" si="184">SUM(Q116:W116)</f>
        <v>0</v>
      </c>
      <c r="Q116" s="19">
        <f>SUMIFS('Data Additive'!$D:$D,'Data Additive'!$P:$P,'Painel Additive'!$B116,'Data Additive'!$Q:$Q,"&lt;=0",'Data Additive'!$Q:$Q,"&gt;=-30")</f>
        <v>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2">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1"/>
      <c r="AE116" s="21"/>
      <c r="AF116" s="5"/>
      <c r="AG116" s="53">
        <f t="shared" ref="AG116" si="185">AA116-G116</f>
        <v>0</v>
      </c>
    </row>
    <row r="117" spans="2:33" x14ac:dyDescent="0.25">
      <c r="B117" s="37" t="s">
        <v>677</v>
      </c>
      <c r="C117" s="152" t="str">
        <f>IFERROR(_xlfn.XLOOKUP(B117,'Limite de crédito'!C:C,'Limite de crédito'!L:L,),0)</f>
        <v>B</v>
      </c>
      <c r="D117" s="44"/>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2">
        <f>SUMIFS('Data Additive'!$D:$D,'Data Additive'!$P:$P,'Painel Additive'!$B117,'Data Additive'!$Q:$Q,"&gt;360")</f>
        <v>0</v>
      </c>
      <c r="O117" s="65">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2">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1"/>
      <c r="AE117" s="21"/>
      <c r="AF117" s="5"/>
      <c r="AG117" s="53">
        <f t="shared" ref="AG117" si="189">AA117-G117</f>
        <v>50000</v>
      </c>
    </row>
    <row r="118" spans="2:33" x14ac:dyDescent="0.25">
      <c r="B118" s="37" t="s">
        <v>679</v>
      </c>
      <c r="C118" s="152">
        <f>IFERROR(_xlfn.XLOOKUP(B118,'Limite de crédito'!C:C,'Limite de crédito'!L:L,),0)</f>
        <v>0</v>
      </c>
      <c r="D118" s="44"/>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2">
        <f>SUMIFS('Data Additive'!$D:$D,'Data Additive'!$P:$P,'Painel Additive'!$B118,'Data Additive'!$Q:$Q,"&gt;360")</f>
        <v>0</v>
      </c>
      <c r="O118" s="65">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2">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1"/>
      <c r="AE118" s="21"/>
      <c r="AF118" s="5"/>
      <c r="AG118" s="53">
        <f t="shared" ref="AG118:AG123" si="193">AA118-G118</f>
        <v>0</v>
      </c>
    </row>
    <row r="119" spans="2:33" x14ac:dyDescent="0.25">
      <c r="B119" s="37" t="s">
        <v>678</v>
      </c>
      <c r="C119" s="152">
        <f>IFERROR(_xlfn.XLOOKUP(B119,'Limite de crédito'!C:C,'Limite de crédito'!L:L,),0)</f>
        <v>0</v>
      </c>
      <c r="D119" s="44"/>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2">
        <f>SUMIFS('Data Additive'!$D:$D,'Data Additive'!$P:$P,'Painel Additive'!$B119,'Data Additive'!$Q:$Q,"&gt;360")</f>
        <v>0</v>
      </c>
      <c r="O119" s="65">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2">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1"/>
      <c r="AE119" s="21"/>
      <c r="AF119" s="5"/>
      <c r="AG119" s="53">
        <f t="shared" si="193"/>
        <v>0</v>
      </c>
    </row>
    <row r="120" spans="2:33" x14ac:dyDescent="0.25">
      <c r="B120" s="37" t="s">
        <v>687</v>
      </c>
      <c r="C120" s="152">
        <f>IFERROR(_xlfn.XLOOKUP(B120,'Limite de crédito'!C:C,'Limite de crédito'!L:L,),0)</f>
        <v>0</v>
      </c>
      <c r="D120" s="44"/>
      <c r="E120" s="18">
        <f>_xlfn.XLOOKUP(B120,'Limite de crédito'!C:C,'Limite de crédito'!G:G,0)</f>
        <v>0</v>
      </c>
      <c r="F120" s="18">
        <f t="shared" si="190"/>
        <v>0</v>
      </c>
      <c r="G120" s="18">
        <f t="shared" si="191"/>
        <v>0</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2">
        <f>SUMIFS('Data Additive'!$D:$D,'Data Additive'!$P:$P,'Painel Additive'!$B120,'Data Additive'!$Q:$Q,"&gt;360")</f>
        <v>0</v>
      </c>
      <c r="O120" s="65">
        <f>SUMIFS('Data Additive'!$D:$D,'Data Additive'!$P:$P,'Painel Additive'!$B120,'Data Additive'!$Q:$Q,"&gt;0")</f>
        <v>0</v>
      </c>
      <c r="P120" s="19">
        <f t="shared" si="192"/>
        <v>0</v>
      </c>
      <c r="Q120" s="19">
        <f>SUMIFS('Data Additive'!$D:$D,'Data Additive'!$P:$P,'Painel Additive'!$B120,'Data Additive'!$Q:$Q,"&lt;=0",'Data Additive'!$Q:$Q,"&gt;=-30")</f>
        <v>0</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2">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1"/>
      <c r="AE120" s="21"/>
      <c r="AF120" s="5"/>
      <c r="AG120" s="53">
        <f t="shared" si="193"/>
        <v>0</v>
      </c>
    </row>
    <row r="121" spans="2:33" x14ac:dyDescent="0.25">
      <c r="B121" s="37" t="s">
        <v>688</v>
      </c>
      <c r="C121" s="152">
        <f>IFERROR(_xlfn.XLOOKUP(B121,'Limite de crédito'!C:C,'Limite de crédito'!L:L,),0)</f>
        <v>0</v>
      </c>
      <c r="D121" s="44"/>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2">
        <f>SUMIFS('Data Additive'!$D:$D,'Data Additive'!$P:$P,'Painel Additive'!$B121,'Data Additive'!$Q:$Q,"&gt;360")</f>
        <v>0</v>
      </c>
      <c r="O121" s="65">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2">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1"/>
      <c r="AE121" s="21"/>
      <c r="AF121" s="5"/>
      <c r="AG121" s="53">
        <f t="shared" si="193"/>
        <v>0</v>
      </c>
    </row>
    <row r="122" spans="2:33" x14ac:dyDescent="0.25">
      <c r="B122" s="37" t="s">
        <v>689</v>
      </c>
      <c r="C122" s="152">
        <f>IFERROR(_xlfn.XLOOKUP(B122,'Limite de crédito'!C:C,'Limite de crédito'!L:L,),0)</f>
        <v>0</v>
      </c>
      <c r="D122" s="44"/>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2">
        <f>SUMIFS('Data Additive'!$D:$D,'Data Additive'!$P:$P,'Painel Additive'!$B122,'Data Additive'!$Q:$Q,"&gt;360")</f>
        <v>0</v>
      </c>
      <c r="O122" s="65">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2">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1"/>
      <c r="AE122" s="21"/>
      <c r="AF122" s="5"/>
      <c r="AG122" s="53">
        <f t="shared" si="193"/>
        <v>0</v>
      </c>
    </row>
    <row r="123" spans="2:33" x14ac:dyDescent="0.25">
      <c r="B123" s="37" t="s">
        <v>122</v>
      </c>
      <c r="C123" s="152">
        <f>IFERROR(_xlfn.XLOOKUP(B123,'Limite de crédito'!C:C,'Limite de crédito'!L:L,),0)</f>
        <v>0</v>
      </c>
      <c r="D123" s="44"/>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2">
        <f>SUMIFS('Data Additive'!$D:$D,'Data Additive'!$P:$P,'Painel Additive'!$B123,'Data Additive'!$Q:$Q,"&gt;360")</f>
        <v>0</v>
      </c>
      <c r="O123" s="65">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2">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1"/>
      <c r="AE123" s="21"/>
      <c r="AF123" s="5"/>
      <c r="AG123" s="53">
        <f t="shared" si="193"/>
        <v>0</v>
      </c>
    </row>
    <row r="124" spans="2:33" x14ac:dyDescent="0.25">
      <c r="B124" s="37" t="s">
        <v>690</v>
      </c>
      <c r="C124" s="152">
        <f>IFERROR(_xlfn.XLOOKUP(B124,'Limite de crédito'!C:C,'Limite de crédito'!L:L,),0)</f>
        <v>0</v>
      </c>
      <c r="D124" s="44"/>
      <c r="E124" s="18">
        <f>_xlfn.XLOOKUP(B124,'Limite de crédito'!C:C,'Limite de crédito'!G:G,0)</f>
        <v>0</v>
      </c>
      <c r="F124" s="18">
        <f t="shared" ref="F124:F125" si="194">E124-G124</f>
        <v>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2">
        <f>SUMIFS('Data Additive'!$D:$D,'Data Additive'!$P:$P,'Painel Additive'!$B124,'Data Additive'!$Q:$Q,"&gt;360")</f>
        <v>0</v>
      </c>
      <c r="O124" s="65">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2">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1"/>
      <c r="AE124" s="21"/>
      <c r="AF124" s="5"/>
      <c r="AG124" s="53">
        <f t="shared" ref="AG124:AG125" si="197">AA124-G124</f>
        <v>0</v>
      </c>
    </row>
    <row r="125" spans="2:33" x14ac:dyDescent="0.25">
      <c r="B125" s="37" t="s">
        <v>68</v>
      </c>
      <c r="C125" s="152" t="str">
        <f>IFERROR(_xlfn.XLOOKUP(B125,'Limite de crédito'!C:C,'Limite de crédito'!L:L,),0)</f>
        <v>B</v>
      </c>
      <c r="D125" s="44"/>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2">
        <f>SUMIFS('Data Additive'!$D:$D,'Data Additive'!$P:$P,'Painel Additive'!$B125,'Data Additive'!$Q:$Q,"&gt;360")</f>
        <v>0</v>
      </c>
      <c r="O125" s="65">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2">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1"/>
      <c r="AE125" s="21"/>
      <c r="AF125" s="5"/>
      <c r="AG125" s="53">
        <f t="shared" si="197"/>
        <v>500000</v>
      </c>
    </row>
    <row r="126" spans="2:33" x14ac:dyDescent="0.25">
      <c r="B126" s="37" t="s">
        <v>691</v>
      </c>
      <c r="C126" s="152">
        <f>IFERROR(_xlfn.XLOOKUP(B126,'Limite de crédito'!C:C,'Limite de crédito'!L:L,),0)</f>
        <v>0</v>
      </c>
      <c r="D126" s="44"/>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2">
        <f>SUMIFS('Data Additive'!$D:$D,'Data Additive'!$P:$P,'Painel Additive'!$B126,'Data Additive'!$Q:$Q,"&gt;360")</f>
        <v>0</v>
      </c>
      <c r="O126" s="65">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2">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1"/>
      <c r="AE126" s="21"/>
      <c r="AF126" s="5"/>
      <c r="AG126" s="53">
        <f t="shared" ref="AG126" si="201">AA126-G126</f>
        <v>0</v>
      </c>
    </row>
    <row r="127" spans="2:33" x14ac:dyDescent="0.25">
      <c r="B127" s="37" t="s">
        <v>693</v>
      </c>
      <c r="C127" s="152" t="str">
        <f>IFERROR(_xlfn.XLOOKUP(B127,'Limite de crédito'!C:C,'Limite de crédito'!L:L,),0)</f>
        <v>B</v>
      </c>
      <c r="D127" s="44"/>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2">
        <f>SUMIFS('Data Additive'!$D:$D,'Data Additive'!$P:$P,'Painel Additive'!$B127,'Data Additive'!$Q:$Q,"&gt;360")</f>
        <v>0</v>
      </c>
      <c r="O127" s="65">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2">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1"/>
      <c r="AE127" s="21"/>
      <c r="AF127" s="5"/>
      <c r="AG127" s="53">
        <f t="shared" ref="AG127" si="205">AA127-G127</f>
        <v>200000</v>
      </c>
    </row>
    <row r="128" spans="2:33" x14ac:dyDescent="0.25">
      <c r="B128" s="37" t="s">
        <v>694</v>
      </c>
      <c r="C128" s="152" t="str">
        <f>IFERROR(_xlfn.XLOOKUP(B128,'Limite de crédito'!C:C,'Limite de crédito'!L:L,),0)</f>
        <v>C</v>
      </c>
      <c r="D128" s="44"/>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2">
        <f>SUMIFS('Data Additive'!$D:$D,'Data Additive'!$P:$P,'Painel Additive'!$B128,'Data Additive'!$Q:$Q,"&gt;360")</f>
        <v>0</v>
      </c>
      <c r="O128" s="65">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2">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1"/>
      <c r="AE128" s="21"/>
      <c r="AF128" s="5"/>
      <c r="AG128" s="53">
        <f t="shared" ref="AG128" si="209">AA128-G128</f>
        <v>550000</v>
      </c>
    </row>
    <row r="129" spans="2:33" x14ac:dyDescent="0.25">
      <c r="B129" s="37" t="s">
        <v>592</v>
      </c>
      <c r="C129" s="152" t="str">
        <f>IFERROR(_xlfn.XLOOKUP(B129,'Limite de crédito'!C:C,'Limite de crédito'!L:L,),0)</f>
        <v>B</v>
      </c>
      <c r="D129" s="44"/>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2">
        <f>SUMIFS('Data Additive'!$D:$D,'Data Additive'!$P:$P,'Painel Additive'!$B129,'Data Additive'!$Q:$Q,"&gt;360")</f>
        <v>0</v>
      </c>
      <c r="O129" s="65">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2">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1"/>
      <c r="AE129" s="21"/>
      <c r="AF129" s="5"/>
      <c r="AG129" s="53">
        <f t="shared" ref="AG129" si="213">AA129-G129</f>
        <v>1000000</v>
      </c>
    </row>
    <row r="130" spans="2:33" x14ac:dyDescent="0.25">
      <c r="B130" s="37" t="s">
        <v>709</v>
      </c>
      <c r="C130" s="152">
        <f>IFERROR(_xlfn.XLOOKUP(B130,'Limite de crédito'!C:C,'Limite de crédito'!L:L,),0)</f>
        <v>0</v>
      </c>
      <c r="D130" s="44"/>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0</v>
      </c>
      <c r="I130" s="19">
        <f>SUMIFS('Data Additive'!$D:$D,'Data Additive'!$P:$P,'Painel Additive'!$B130,'Data Additive'!$Q:$Q,"&gt;30",'Data Additive'!$Q:$Q,"&lt;=60")</f>
        <v>0</v>
      </c>
      <c r="J130" s="19">
        <f>SUMIFS('Data Additive'!$D:$D,'Data Additive'!$P:$P,'Painel Additive'!$B130,'Data Additive'!$Q:$Q,"&gt;60",'Data Additive'!$Q:$Q,"&lt;=90")</f>
        <v>0</v>
      </c>
      <c r="K130" s="19">
        <f>SUMIFS('Data Additive'!$D:$D,'Data Additive'!$P:$P,'Painel Additive'!$B130,'Data Additive'!$Q:$Q,"&gt;90",'Data Additive'!$Q:$Q,"&lt;=120")</f>
        <v>49440</v>
      </c>
      <c r="L130" s="19">
        <f>SUMIFS('Data Additive'!$D:$D,'Data Additive'!$P:$P,'Painel Additive'!$B130,'Data Additive'!$Q:$Q,"&gt;120",'Data Additive'!$Q:$Q,"&lt;=180")</f>
        <v>0</v>
      </c>
      <c r="M130" s="19">
        <f>SUMIFS('Data Additive'!$D:$D,'Data Additive'!$P:$P,'Painel Additive'!$B130,'Data Additive'!$Q:$Q,"&gt;180",'Data Additive'!$Q:$Q,"&lt;=360")</f>
        <v>0</v>
      </c>
      <c r="N130" s="22">
        <f>SUMIFS('Data Additive'!$D:$D,'Data Additive'!$P:$P,'Painel Additive'!$B130,'Data Additive'!$Q:$Q,"&gt;360")</f>
        <v>0</v>
      </c>
      <c r="O130" s="65">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2">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1"/>
      <c r="AE130" s="21"/>
      <c r="AF130" s="5"/>
      <c r="AG130" s="53">
        <f t="shared" ref="AG130" si="217">AA130-G130</f>
        <v>-49440</v>
      </c>
    </row>
    <row r="131" spans="2:33" x14ac:dyDescent="0.25">
      <c r="B131" s="37" t="s">
        <v>713</v>
      </c>
      <c r="C131" s="152">
        <f>IFERROR(_xlfn.XLOOKUP(B131,'Limite de crédito'!C:C,'Limite de crédito'!L:L,),0)</f>
        <v>0</v>
      </c>
      <c r="D131" s="44"/>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2">
        <f>SUMIFS('Data Additive'!$D:$D,'Data Additive'!$P:$P,'Painel Additive'!$B131,'Data Additive'!$Q:$Q,"&gt;360")</f>
        <v>0</v>
      </c>
      <c r="O131" s="65">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2">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1"/>
      <c r="AE131" s="21"/>
      <c r="AF131" s="5"/>
      <c r="AG131" s="53">
        <f t="shared" ref="AG131" si="221">AA131-G131</f>
        <v>0</v>
      </c>
    </row>
    <row r="132" spans="2:33" x14ac:dyDescent="0.25">
      <c r="B132" s="37" t="s">
        <v>231</v>
      </c>
      <c r="C132" s="152" t="str">
        <f>IFERROR(_xlfn.XLOOKUP(B132,'Limite de crédito'!C:C,'Limite de crédito'!L:L,),0)</f>
        <v>B</v>
      </c>
      <c r="D132" s="44"/>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2">
        <f>SUMIFS('Data Additive'!$D:$D,'Data Additive'!$P:$P,'Painel Additive'!$B132,'Data Additive'!$Q:$Q,"&gt;360")</f>
        <v>0</v>
      </c>
      <c r="O132" s="65">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2">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1"/>
      <c r="AE132" s="21"/>
      <c r="AF132" s="5"/>
      <c r="AG132" s="53">
        <f t="shared" ref="AG132" si="225">AA132-G132</f>
        <v>1000000</v>
      </c>
    </row>
    <row r="133" spans="2:33" x14ac:dyDescent="0.25">
      <c r="B133" s="37" t="s">
        <v>718</v>
      </c>
      <c r="C133" s="152">
        <f>IFERROR(_xlfn.XLOOKUP(B133,'Limite de crédito'!C:C,'Limite de crédito'!L:L,),0)</f>
        <v>0</v>
      </c>
      <c r="D133" s="44"/>
      <c r="E133" s="18">
        <f>_xlfn.XLOOKUP(B133,'Limite de crédito'!C:C,'Limite de crédito'!G:G,0)</f>
        <v>0</v>
      </c>
      <c r="F133" s="18">
        <f t="shared" ref="F133" si="226">E133-G133</f>
        <v>0</v>
      </c>
      <c r="G133" s="18">
        <f t="shared" ref="G133" si="227">P133+O133</f>
        <v>0</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2">
        <f>SUMIFS('Data Additive'!$D:$D,'Data Additive'!$P:$P,'Painel Additive'!$B133,'Data Additive'!$Q:$Q,"&gt;360")</f>
        <v>0</v>
      </c>
      <c r="O133" s="65">
        <f>SUMIFS('Data Additive'!$D:$D,'Data Additive'!$P:$P,'Painel Additive'!$B133,'Data Additive'!$Q:$Q,"&gt;0")</f>
        <v>0</v>
      </c>
      <c r="P133" s="19">
        <f t="shared" ref="P133" si="228">SUM(Q133:W133)</f>
        <v>0</v>
      </c>
      <c r="Q133" s="19">
        <f>SUMIFS('Data Additive'!$D:$D,'Data Additive'!$P:$P,'Painel Additive'!$B133,'Data Additive'!$Q:$Q,"&lt;=0",'Data Additive'!$Q:$Q,"&gt;=-30")</f>
        <v>0</v>
      </c>
      <c r="R133" s="19">
        <f>SUMIFS('Data Additive'!$D:$D,'Data Additive'!$P:$P,'Painel Additive'!$B133,'Data Additive'!$Q:$Q,"&lt;=-31",'Data Additive'!$Q:$Q,"&gt;=-60")</f>
        <v>0</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2">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1"/>
      <c r="AE133" s="21"/>
      <c r="AF133" s="5"/>
      <c r="AG133" s="53">
        <f t="shared" ref="AG133" si="229">AA133-G133</f>
        <v>0</v>
      </c>
    </row>
    <row r="134" spans="2:33" x14ac:dyDescent="0.25">
      <c r="B134" s="37" t="s">
        <v>733</v>
      </c>
      <c r="C134" s="152">
        <f>IFERROR(_xlfn.XLOOKUP(B134,'Limite de crédito'!C:C,'Limite de crédito'!L:L,),0)</f>
        <v>0</v>
      </c>
      <c r="D134" s="44"/>
      <c r="E134" s="18">
        <f>_xlfn.XLOOKUP(B134,'Limite de crédito'!C:C,'Limite de crédito'!G:G,0)</f>
        <v>0</v>
      </c>
      <c r="F134" s="18">
        <f t="shared" ref="F134" si="230">E134-G134</f>
        <v>0</v>
      </c>
      <c r="G134" s="18">
        <f t="shared" ref="G134" si="231">P134+O134</f>
        <v>0</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2">
        <f>SUMIFS('Data Additive'!$D:$D,'Data Additive'!$P:$P,'Painel Additive'!$B134,'Data Additive'!$Q:$Q,"&gt;360")</f>
        <v>0</v>
      </c>
      <c r="O134" s="65">
        <f>SUMIFS('Data Additive'!$D:$D,'Data Additive'!$P:$P,'Painel Additive'!$B134,'Data Additive'!$Q:$Q,"&gt;0")</f>
        <v>0</v>
      </c>
      <c r="P134" s="19">
        <f t="shared" ref="P134" si="232">SUM(Q134:W134)</f>
        <v>0</v>
      </c>
      <c r="Q134" s="19">
        <f>SUMIFS('Data Additive'!$D:$D,'Data Additive'!$P:$P,'Painel Additive'!$B134,'Data Additive'!$Q:$Q,"&lt;=0",'Data Additive'!$Q:$Q,"&gt;=-30")</f>
        <v>0</v>
      </c>
      <c r="R134" s="19">
        <f>SUMIFS('Data Additive'!$D:$D,'Data Additive'!$P:$P,'Painel Additive'!$B134,'Data Additive'!$Q:$Q,"&lt;=-31",'Data Additive'!$Q:$Q,"&gt;=-60")</f>
        <v>0</v>
      </c>
      <c r="S134" s="19">
        <f>SUMIFS('Data Additive'!$D:$D,'Data Additive'!$P:$P,'Painel Additive'!$B134,'Data Additive'!$Q:$Q,"&lt;=-61",'Data Additive'!$Q:$Q,"&gt;=-90")</f>
        <v>0</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2">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1"/>
      <c r="AE134" s="21"/>
      <c r="AF134" s="5"/>
      <c r="AG134" s="53">
        <f t="shared" ref="AG134" si="233">AA134-G134</f>
        <v>0</v>
      </c>
    </row>
    <row r="135" spans="2:33" x14ac:dyDescent="0.25">
      <c r="B135" s="37" t="s">
        <v>734</v>
      </c>
      <c r="C135" s="152">
        <f>IFERROR(_xlfn.XLOOKUP(B135,'Limite de crédito'!C:C,'Limite de crédito'!L:L,),0)</f>
        <v>0</v>
      </c>
      <c r="D135" s="44"/>
      <c r="E135" s="18">
        <f>_xlfn.XLOOKUP(B135,'Limite de crédito'!C:C,'Limite de crédito'!G:G,0)</f>
        <v>0</v>
      </c>
      <c r="F135" s="18">
        <f t="shared" ref="F135:F140" si="234">E135-G135</f>
        <v>0</v>
      </c>
      <c r="G135" s="18">
        <f t="shared" ref="G135:G140" si="235">P135+O135</f>
        <v>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2">
        <f>SUMIFS('Data Additive'!$D:$D,'Data Additive'!$P:$P,'Painel Additive'!$B135,'Data Additive'!$Q:$Q,"&gt;360")</f>
        <v>0</v>
      </c>
      <c r="O135" s="65">
        <f>SUMIFS('Data Additive'!$D:$D,'Data Additive'!$P:$P,'Painel Additive'!$B135,'Data Additive'!$Q:$Q,"&gt;0")</f>
        <v>0</v>
      </c>
      <c r="P135" s="19">
        <f t="shared" ref="P135:P140" si="236">SUM(Q135:W135)</f>
        <v>0</v>
      </c>
      <c r="Q135" s="19">
        <f>SUMIFS('Data Additive'!$D:$D,'Data Additive'!$P:$P,'Painel Additive'!$B135,'Data Additive'!$Q:$Q,"&lt;=0",'Data Additive'!$Q:$Q,"&gt;=-30")</f>
        <v>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2">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1"/>
      <c r="AE135" s="21"/>
      <c r="AF135" s="5"/>
      <c r="AG135" s="53">
        <f t="shared" ref="AG135:AG140" si="237">AA135-G135</f>
        <v>0</v>
      </c>
    </row>
    <row r="136" spans="2:33" x14ac:dyDescent="0.25">
      <c r="B136" s="37" t="s">
        <v>766</v>
      </c>
      <c r="C136" s="152">
        <f>IFERROR(_xlfn.XLOOKUP(B136,'Limite de crédito'!C:C,'Limite de crédito'!L:L,),0)</f>
        <v>0</v>
      </c>
      <c r="D136" s="44"/>
      <c r="E136" s="18">
        <f>_xlfn.XLOOKUP(B136,'Limite de crédito'!C:C,'Limite de crédito'!G:G,0)</f>
        <v>0</v>
      </c>
      <c r="F136" s="18">
        <f t="shared" si="234"/>
        <v>0</v>
      </c>
      <c r="G136" s="18">
        <f t="shared" si="235"/>
        <v>0</v>
      </c>
      <c r="H136" s="19">
        <f>SUMIFS('Data Additive'!$D:$D,'Data Additive'!$P:$P,'Painel Additive'!$B136,'Data Additive'!$Q:$Q,"&gt;0",'Data Additive'!$Q:$Q,"&lt;=30")</f>
        <v>0</v>
      </c>
      <c r="I136" s="19">
        <f>SUMIFS('Data Additive'!$D:$D,'Data Additive'!$P:$P,'Painel Additive'!$B136,'Data Additive'!$Q:$Q,"&gt;30",'Data Additive'!$Q:$Q,"&lt;=60")</f>
        <v>0</v>
      </c>
      <c r="J136" s="19">
        <f>SUMIFS('Data Additive'!$D:$D,'Data Additive'!$P:$P,'Painel Additive'!$B136,'Data Additive'!$Q:$Q,"&gt;60",'Data Additive'!$Q:$Q,"&lt;=90")</f>
        <v>0</v>
      </c>
      <c r="K136" s="19">
        <f>SUMIFS('Data Additive'!$D:$D,'Data Additive'!$P:$P,'Painel Additive'!$B136,'Data Additive'!$Q:$Q,"&gt;90",'Data Additive'!$Q:$Q,"&lt;=120")</f>
        <v>0</v>
      </c>
      <c r="L136" s="19">
        <f>SUMIFS('Data Additive'!$D:$D,'Data Additive'!$P:$P,'Painel Additive'!$B136,'Data Additive'!$Q:$Q,"&gt;120",'Data Additive'!$Q:$Q,"&lt;=180")</f>
        <v>0</v>
      </c>
      <c r="M136" s="19">
        <f>SUMIFS('Data Additive'!$D:$D,'Data Additive'!$P:$P,'Painel Additive'!$B136,'Data Additive'!$Q:$Q,"&gt;180",'Data Additive'!$Q:$Q,"&lt;=360")</f>
        <v>0</v>
      </c>
      <c r="N136" s="22">
        <f>SUMIFS('Data Additive'!$D:$D,'Data Additive'!$P:$P,'Painel Additive'!$B136,'Data Additive'!$Q:$Q,"&gt;360")</f>
        <v>0</v>
      </c>
      <c r="O136" s="65">
        <f>SUMIFS('Data Additive'!$D:$D,'Data Additive'!$P:$P,'Painel Additive'!$B136,'Data Additive'!$Q:$Q,"&gt;0")</f>
        <v>0</v>
      </c>
      <c r="P136" s="19">
        <f t="shared" si="236"/>
        <v>0</v>
      </c>
      <c r="Q136" s="19">
        <f>SUMIFS('Data Additive'!$D:$D,'Data Additive'!$P:$P,'Painel Additive'!$B136,'Data Additive'!$Q:$Q,"&lt;=0",'Data Additive'!$Q:$Q,"&gt;=-30")</f>
        <v>0</v>
      </c>
      <c r="R136" s="19">
        <f>SUMIFS('Data Additive'!$D:$D,'Data Additive'!$P:$P,'Painel Additive'!$B136,'Data Additive'!$Q:$Q,"&lt;=-31",'Data Additive'!$Q:$Q,"&gt;=-60")</f>
        <v>0</v>
      </c>
      <c r="S136" s="19">
        <f>SUMIFS('Data Additive'!$D:$D,'Data Additive'!$P:$P,'Painel Additive'!$B136,'Data Additive'!$Q:$Q,"&lt;=-61",'Data Additive'!$Q:$Q,"&gt;=-90")</f>
        <v>0</v>
      </c>
      <c r="T136" s="19">
        <f>SUMIFS('Data Additive'!$D:$D,'Data Additive'!$P:$P,'Painel Additive'!$B136,'Data Additive'!$Q:$Q,"&lt;=-91",'Data Additive'!$Q:$Q,"&gt;=-120")</f>
        <v>0</v>
      </c>
      <c r="U136" s="19">
        <f>SUMIFS('Data Additive'!$D:$D,'Data Additive'!$P:$P,'Painel Additive'!$B136,'Data Additive'!$Q:$Q,"&lt;=-121",'Data Additive'!$Q:$Q,"&gt;=-180")</f>
        <v>0</v>
      </c>
      <c r="V136" s="19">
        <f>SUMIFS('Data Additive'!$D:$D,'Data Additive'!$P:$P,'Painel Additive'!$B136,'Data Additive'!$Q:$Q,"&lt;=-181",'Data Additive'!$Q:$Q,"&gt;=-360")</f>
        <v>0</v>
      </c>
      <c r="W136" s="22">
        <f>SUMIFS('Data Additive'!$D:$D,'Data Additive'!$P:$P,'Painel Additive'!$B136,'Data Additive'!$Q:$Q,"&lt;-360")</f>
        <v>0</v>
      </c>
      <c r="X136" s="19">
        <f>SUMIFS('Bad Debt Provision'!AB:AB,'Bad Debt Provision'!B:B,'Painel Additive'!B136)</f>
        <v>0</v>
      </c>
      <c r="Y136" s="5"/>
      <c r="Z136" s="5"/>
      <c r="AA136" s="19">
        <f>IFERROR(_xlfn.XLOOKUP(B136,'Limite de crédito'!C:C,'Limite de crédito'!O:O,),0)</f>
        <v>0</v>
      </c>
      <c r="AB136" s="19"/>
      <c r="AC136" s="20"/>
      <c r="AD136" s="21"/>
      <c r="AE136" s="21"/>
      <c r="AF136" s="5"/>
      <c r="AG136" s="53">
        <f t="shared" si="237"/>
        <v>0</v>
      </c>
    </row>
    <row r="137" spans="2:33" x14ac:dyDescent="0.25">
      <c r="B137" s="37" t="s">
        <v>770</v>
      </c>
      <c r="C137" s="152">
        <f>IFERROR(_xlfn.XLOOKUP(B137,'Limite de crédito'!C:C,'Limite de crédito'!L:L,),0)</f>
        <v>0</v>
      </c>
      <c r="D137" s="44"/>
      <c r="E137" s="18">
        <f>_xlfn.XLOOKUP(B137,'Limite de crédito'!C:C,'Limite de crédito'!G:G,0)</f>
        <v>0</v>
      </c>
      <c r="F137" s="18">
        <f t="shared" si="234"/>
        <v>-1743</v>
      </c>
      <c r="G137" s="18">
        <f t="shared" si="235"/>
        <v>1743</v>
      </c>
      <c r="H137" s="19">
        <f>SUMIFS('Data Additive'!$D:$D,'Data Additive'!$P:$P,'Painel Additive'!$B137,'Data Additive'!$Q:$Q,"&gt;0",'Data Additive'!$Q:$Q,"&lt;=30")</f>
        <v>581</v>
      </c>
      <c r="I137" s="19">
        <f>SUMIFS('Data Additive'!$D:$D,'Data Additive'!$P:$P,'Painel Additive'!$B137,'Data Additive'!$Q:$Q,"&gt;30",'Data Additive'!$Q:$Q,"&lt;=60")</f>
        <v>0</v>
      </c>
      <c r="J137" s="19">
        <f>SUMIFS('Data Additive'!$D:$D,'Data Additive'!$P:$P,'Painel Additive'!$B137,'Data Additive'!$Q:$Q,"&gt;60",'Data Additive'!$Q:$Q,"&lt;=90")</f>
        <v>0</v>
      </c>
      <c r="K137" s="19">
        <f>SUMIFS('Data Additive'!$D:$D,'Data Additive'!$P:$P,'Painel Additive'!$B137,'Data Additive'!$Q:$Q,"&gt;90",'Data Additive'!$Q:$Q,"&lt;=120")</f>
        <v>0</v>
      </c>
      <c r="L137" s="19">
        <f>SUMIFS('Data Additive'!$D:$D,'Data Additive'!$P:$P,'Painel Additive'!$B137,'Data Additive'!$Q:$Q,"&gt;120",'Data Additive'!$Q:$Q,"&lt;=180")</f>
        <v>0</v>
      </c>
      <c r="M137" s="19">
        <f>SUMIFS('Data Additive'!$D:$D,'Data Additive'!$P:$P,'Painel Additive'!$B137,'Data Additive'!$Q:$Q,"&gt;180",'Data Additive'!$Q:$Q,"&lt;=360")</f>
        <v>0</v>
      </c>
      <c r="N137" s="22">
        <f>SUMIFS('Data Additive'!$D:$D,'Data Additive'!$P:$P,'Painel Additive'!$B137,'Data Additive'!$Q:$Q,"&gt;360")</f>
        <v>0</v>
      </c>
      <c r="O137" s="65">
        <f>SUMIFS('Data Additive'!$D:$D,'Data Additive'!$P:$P,'Painel Additive'!$B137,'Data Additive'!$Q:$Q,"&gt;0")</f>
        <v>581</v>
      </c>
      <c r="P137" s="19">
        <f t="shared" si="236"/>
        <v>1162</v>
      </c>
      <c r="Q137" s="19">
        <f>SUMIFS('Data Additive'!$D:$D,'Data Additive'!$P:$P,'Painel Additive'!$B137,'Data Additive'!$Q:$Q,"&lt;=0",'Data Additive'!$Q:$Q,"&gt;=-30")</f>
        <v>581</v>
      </c>
      <c r="R137" s="19">
        <f>SUMIFS('Data Additive'!$D:$D,'Data Additive'!$P:$P,'Painel Additive'!$B137,'Data Additive'!$Q:$Q,"&lt;=-31",'Data Additive'!$Q:$Q,"&gt;=-60")</f>
        <v>581</v>
      </c>
      <c r="S137" s="19">
        <f>SUMIFS('Data Additive'!$D:$D,'Data Additive'!$P:$P,'Painel Additive'!$B137,'Data Additive'!$Q:$Q,"&lt;=-61",'Data Additive'!$Q:$Q,"&gt;=-90")</f>
        <v>0</v>
      </c>
      <c r="T137" s="19">
        <f>SUMIFS('Data Additive'!$D:$D,'Data Additive'!$P:$P,'Painel Additive'!$B137,'Data Additive'!$Q:$Q,"&lt;=-91",'Data Additive'!$Q:$Q,"&gt;=-120")</f>
        <v>0</v>
      </c>
      <c r="U137" s="19">
        <f>SUMIFS('Data Additive'!$D:$D,'Data Additive'!$P:$P,'Painel Additive'!$B137,'Data Additive'!$Q:$Q,"&lt;=-121",'Data Additive'!$Q:$Q,"&gt;=-180")</f>
        <v>0</v>
      </c>
      <c r="V137" s="19">
        <f>SUMIFS('Data Additive'!$D:$D,'Data Additive'!$P:$P,'Painel Additive'!$B137,'Data Additive'!$Q:$Q,"&lt;=-181",'Data Additive'!$Q:$Q,"&gt;=-360")</f>
        <v>0</v>
      </c>
      <c r="W137" s="22">
        <f>SUMIFS('Data Additive'!$D:$D,'Data Additive'!$P:$P,'Painel Additive'!$B137,'Data Additive'!$Q:$Q,"&lt;-360")</f>
        <v>0</v>
      </c>
      <c r="X137" s="19">
        <f>SUMIFS('Bad Debt Provision'!AB:AB,'Bad Debt Provision'!B:B,'Painel Additive'!B137)</f>
        <v>0</v>
      </c>
      <c r="Y137" s="5"/>
      <c r="Z137" s="5"/>
      <c r="AA137" s="19">
        <f>IFERROR(_xlfn.XLOOKUP(B137,'Limite de crédito'!C:C,'Limite de crédito'!O:O,),0)</f>
        <v>0</v>
      </c>
      <c r="AB137" s="19"/>
      <c r="AC137" s="20"/>
      <c r="AD137" s="21"/>
      <c r="AE137" s="21"/>
      <c r="AF137" s="5"/>
      <c r="AG137" s="53">
        <f t="shared" si="237"/>
        <v>-1743</v>
      </c>
    </row>
    <row r="138" spans="2:33" x14ac:dyDescent="0.25">
      <c r="B138" s="37" t="s">
        <v>349</v>
      </c>
      <c r="C138" s="152" t="str">
        <f>IFERROR(_xlfn.XLOOKUP(B138,'Limite de crédito'!C:C,'Limite de crédito'!L:L,),0)</f>
        <v>B</v>
      </c>
      <c r="D138" s="44"/>
      <c r="E138" s="18">
        <f>_xlfn.XLOOKUP(B138,'Limite de crédito'!C:C,'Limite de crédito'!G:G,0)</f>
        <v>120000</v>
      </c>
      <c r="F138" s="18">
        <f t="shared" si="234"/>
        <v>102875</v>
      </c>
      <c r="G138" s="18">
        <f t="shared" si="235"/>
        <v>17125</v>
      </c>
      <c r="H138" s="19">
        <f>SUMIFS('Data Additive'!$D:$D,'Data Additive'!$P:$P,'Painel Additive'!$B138,'Data Additive'!$Q:$Q,"&gt;0",'Data Additive'!$Q:$Q,"&lt;=30")</f>
        <v>0</v>
      </c>
      <c r="I138" s="19">
        <f>SUMIFS('Data Additive'!$D:$D,'Data Additive'!$P:$P,'Painel Additive'!$B138,'Data Additive'!$Q:$Q,"&gt;30",'Data Additive'!$Q:$Q,"&lt;=60")</f>
        <v>0</v>
      </c>
      <c r="J138" s="19">
        <f>SUMIFS('Data Additive'!$D:$D,'Data Additive'!$P:$P,'Painel Additive'!$B138,'Data Additive'!$Q:$Q,"&gt;60",'Data Additive'!$Q:$Q,"&lt;=90")</f>
        <v>0</v>
      </c>
      <c r="K138" s="19">
        <f>SUMIFS('Data Additive'!$D:$D,'Data Additive'!$P:$P,'Painel Additive'!$B138,'Data Additive'!$Q:$Q,"&gt;90",'Data Additive'!$Q:$Q,"&lt;=120")</f>
        <v>0</v>
      </c>
      <c r="L138" s="19">
        <f>SUMIFS('Data Additive'!$D:$D,'Data Additive'!$P:$P,'Painel Additive'!$B138,'Data Additive'!$Q:$Q,"&gt;120",'Data Additive'!$Q:$Q,"&lt;=180")</f>
        <v>0</v>
      </c>
      <c r="M138" s="19">
        <f>SUMIFS('Data Additive'!$D:$D,'Data Additive'!$P:$P,'Painel Additive'!$B138,'Data Additive'!$Q:$Q,"&gt;180",'Data Additive'!$Q:$Q,"&lt;=360")</f>
        <v>0</v>
      </c>
      <c r="N138" s="22">
        <f>SUMIFS('Data Additive'!$D:$D,'Data Additive'!$P:$P,'Painel Additive'!$B138,'Data Additive'!$Q:$Q,"&gt;360")</f>
        <v>0</v>
      </c>
      <c r="O138" s="65">
        <f>SUMIFS('Data Additive'!$D:$D,'Data Additive'!$P:$P,'Painel Additive'!$B138,'Data Additive'!$Q:$Q,"&gt;0")</f>
        <v>0</v>
      </c>
      <c r="P138" s="19">
        <f t="shared" si="236"/>
        <v>17125</v>
      </c>
      <c r="Q138" s="19">
        <f>SUMIFS('Data Additive'!$D:$D,'Data Additive'!$P:$P,'Painel Additive'!$B138,'Data Additive'!$Q:$Q,"&lt;=0",'Data Additive'!$Q:$Q,"&gt;=-30")</f>
        <v>17125</v>
      </c>
      <c r="R138" s="19">
        <f>SUMIFS('Data Additive'!$D:$D,'Data Additive'!$P:$P,'Painel Additive'!$B138,'Data Additive'!$Q:$Q,"&lt;=-31",'Data Additive'!$Q:$Q,"&gt;=-60")</f>
        <v>0</v>
      </c>
      <c r="S138" s="19">
        <f>SUMIFS('Data Additive'!$D:$D,'Data Additive'!$P:$P,'Painel Additive'!$B138,'Data Additive'!$Q:$Q,"&lt;=-61",'Data Additive'!$Q:$Q,"&gt;=-90")</f>
        <v>0</v>
      </c>
      <c r="T138" s="19">
        <f>SUMIFS('Data Additive'!$D:$D,'Data Additive'!$P:$P,'Painel Additive'!$B138,'Data Additive'!$Q:$Q,"&lt;=-91",'Data Additive'!$Q:$Q,"&gt;=-120")</f>
        <v>0</v>
      </c>
      <c r="U138" s="19">
        <f>SUMIFS('Data Additive'!$D:$D,'Data Additive'!$P:$P,'Painel Additive'!$B138,'Data Additive'!$Q:$Q,"&lt;=-121",'Data Additive'!$Q:$Q,"&gt;=-180")</f>
        <v>0</v>
      </c>
      <c r="V138" s="19">
        <f>SUMIFS('Data Additive'!$D:$D,'Data Additive'!$P:$P,'Painel Additive'!$B138,'Data Additive'!$Q:$Q,"&lt;=-181",'Data Additive'!$Q:$Q,"&gt;=-360")</f>
        <v>0</v>
      </c>
      <c r="W138" s="22">
        <f>SUMIFS('Data Additive'!$D:$D,'Data Additive'!$P:$P,'Painel Additive'!$B138,'Data Additive'!$Q:$Q,"&lt;-360")</f>
        <v>0</v>
      </c>
      <c r="X138" s="19">
        <f>SUMIFS('Bad Debt Provision'!AB:AB,'Bad Debt Provision'!B:B,'Painel Additive'!B138)</f>
        <v>0</v>
      </c>
      <c r="Y138" s="5"/>
      <c r="Z138" s="5"/>
      <c r="AA138" s="19">
        <f>IFERROR(_xlfn.XLOOKUP(B138,'Limite de crédito'!C:C,'Limite de crédito'!O:O,),0)</f>
        <v>120000</v>
      </c>
      <c r="AB138" s="19"/>
      <c r="AC138" s="20"/>
      <c r="AD138" s="21"/>
      <c r="AE138" s="21"/>
      <c r="AF138" s="5"/>
      <c r="AG138" s="53">
        <f t="shared" si="237"/>
        <v>102875</v>
      </c>
    </row>
    <row r="139" spans="2:33" x14ac:dyDescent="0.25">
      <c r="B139" s="37" t="s">
        <v>727</v>
      </c>
      <c r="C139" s="152">
        <f>IFERROR(_xlfn.XLOOKUP(B139,'Limite de crédito'!C:C,'Limite de crédito'!L:L,),0)</f>
        <v>0</v>
      </c>
      <c r="D139" s="44"/>
      <c r="E139" s="18">
        <f>_xlfn.XLOOKUP(B139,'Limite de crédito'!C:C,'Limite de crédito'!G:G,0)</f>
        <v>400000</v>
      </c>
      <c r="F139" s="18">
        <f t="shared" si="234"/>
        <v>400000</v>
      </c>
      <c r="G139" s="18">
        <f t="shared" si="235"/>
        <v>0</v>
      </c>
      <c r="H139" s="19">
        <f>SUMIFS('Data Additive'!$D:$D,'Data Additive'!$P:$P,'Painel Additive'!$B139,'Data Additive'!$Q:$Q,"&gt;0",'Data Additive'!$Q:$Q,"&lt;=30")</f>
        <v>0</v>
      </c>
      <c r="I139" s="19">
        <f>SUMIFS('Data Additive'!$D:$D,'Data Additive'!$P:$P,'Painel Additive'!$B139,'Data Additive'!$Q:$Q,"&gt;30",'Data Additive'!$Q:$Q,"&lt;=60")</f>
        <v>0</v>
      </c>
      <c r="J139" s="19">
        <f>SUMIFS('Data Additive'!$D:$D,'Data Additive'!$P:$P,'Painel Additive'!$B139,'Data Additive'!$Q:$Q,"&gt;60",'Data Additive'!$Q:$Q,"&lt;=90")</f>
        <v>0</v>
      </c>
      <c r="K139" s="19">
        <f>SUMIFS('Data Additive'!$D:$D,'Data Additive'!$P:$P,'Painel Additive'!$B139,'Data Additive'!$Q:$Q,"&gt;90",'Data Additive'!$Q:$Q,"&lt;=120")</f>
        <v>0</v>
      </c>
      <c r="L139" s="19">
        <f>SUMIFS('Data Additive'!$D:$D,'Data Additive'!$P:$P,'Painel Additive'!$B139,'Data Additive'!$Q:$Q,"&gt;120",'Data Additive'!$Q:$Q,"&lt;=180")</f>
        <v>0</v>
      </c>
      <c r="M139" s="19">
        <f>SUMIFS('Data Additive'!$D:$D,'Data Additive'!$P:$P,'Painel Additive'!$B139,'Data Additive'!$Q:$Q,"&gt;180",'Data Additive'!$Q:$Q,"&lt;=360")</f>
        <v>0</v>
      </c>
      <c r="N139" s="22">
        <f>SUMIFS('Data Additive'!$D:$D,'Data Additive'!$P:$P,'Painel Additive'!$B139,'Data Additive'!$Q:$Q,"&gt;360")</f>
        <v>0</v>
      </c>
      <c r="O139" s="65">
        <f>SUMIFS('Data Additive'!$D:$D,'Data Additive'!$P:$P,'Painel Additive'!$B139,'Data Additive'!$Q:$Q,"&gt;0")</f>
        <v>0</v>
      </c>
      <c r="P139" s="19">
        <f t="shared" si="236"/>
        <v>0</v>
      </c>
      <c r="Q139" s="19">
        <f>SUMIFS('Data Additive'!$D:$D,'Data Additive'!$P:$P,'Painel Additive'!$B139,'Data Additive'!$Q:$Q,"&lt;=0",'Data Additive'!$Q:$Q,"&gt;=-30")</f>
        <v>0</v>
      </c>
      <c r="R139" s="19">
        <f>SUMIFS('Data Additive'!$D:$D,'Data Additive'!$P:$P,'Painel Additive'!$B139,'Data Additive'!$Q:$Q,"&lt;=-31",'Data Additive'!$Q:$Q,"&gt;=-60")</f>
        <v>0</v>
      </c>
      <c r="S139" s="19">
        <f>SUMIFS('Data Additive'!$D:$D,'Data Additive'!$P:$P,'Painel Additive'!$B139,'Data Additive'!$Q:$Q,"&lt;=-61",'Data Additive'!$Q:$Q,"&gt;=-90")</f>
        <v>0</v>
      </c>
      <c r="T139" s="19">
        <f>SUMIFS('Data Additive'!$D:$D,'Data Additive'!$P:$P,'Painel Additive'!$B139,'Data Additive'!$Q:$Q,"&lt;=-91",'Data Additive'!$Q:$Q,"&gt;=-120")</f>
        <v>0</v>
      </c>
      <c r="U139" s="19">
        <f>SUMIFS('Data Additive'!$D:$D,'Data Additive'!$P:$P,'Painel Additive'!$B139,'Data Additive'!$Q:$Q,"&lt;=-121",'Data Additive'!$Q:$Q,"&gt;=-180")</f>
        <v>0</v>
      </c>
      <c r="V139" s="19">
        <f>SUMIFS('Data Additive'!$D:$D,'Data Additive'!$P:$P,'Painel Additive'!$B139,'Data Additive'!$Q:$Q,"&lt;=-181",'Data Additive'!$Q:$Q,"&gt;=-360")</f>
        <v>0</v>
      </c>
      <c r="W139" s="22">
        <f>SUMIFS('Data Additive'!$D:$D,'Data Additive'!$P:$P,'Painel Additive'!$B139,'Data Additive'!$Q:$Q,"&lt;-360")</f>
        <v>0</v>
      </c>
      <c r="X139" s="19">
        <f>SUMIFS('Bad Debt Provision'!AB:AB,'Bad Debt Provision'!B:B,'Painel Additive'!B139)</f>
        <v>0</v>
      </c>
      <c r="Y139" s="5"/>
      <c r="Z139" s="5"/>
      <c r="AA139" s="19">
        <f>IFERROR(_xlfn.XLOOKUP(B139,'Limite de crédito'!C:C,'Limite de crédito'!O:O,),0)</f>
        <v>0</v>
      </c>
      <c r="AB139" s="19"/>
      <c r="AC139" s="20"/>
      <c r="AD139" s="21"/>
      <c r="AE139" s="21"/>
      <c r="AF139" s="5"/>
      <c r="AG139" s="53">
        <f t="shared" si="237"/>
        <v>0</v>
      </c>
    </row>
    <row r="140" spans="2:33" x14ac:dyDescent="0.25">
      <c r="B140" s="37" t="s">
        <v>805</v>
      </c>
      <c r="C140" s="152">
        <f>IFERROR(_xlfn.XLOOKUP(B140,'Limite de crédito'!C:C,'Limite de crédito'!L:L,),0)</f>
        <v>0</v>
      </c>
      <c r="D140" s="44"/>
      <c r="E140" s="18">
        <f>_xlfn.XLOOKUP(B140,'Limite de crédito'!C:C,'Limite de crédito'!G:G,0)</f>
        <v>0</v>
      </c>
      <c r="F140" s="18">
        <f t="shared" si="234"/>
        <v>0</v>
      </c>
      <c r="G140" s="18">
        <f t="shared" si="235"/>
        <v>0</v>
      </c>
      <c r="H140" s="19">
        <f>SUMIFS('Data Additive'!$D:$D,'Data Additive'!$P:$P,'Painel Additive'!$B140,'Data Additive'!$Q:$Q,"&gt;0",'Data Additive'!$Q:$Q,"&lt;=30")</f>
        <v>0</v>
      </c>
      <c r="I140" s="19">
        <f>SUMIFS('Data Additive'!$D:$D,'Data Additive'!$P:$P,'Painel Additive'!$B140,'Data Additive'!$Q:$Q,"&gt;30",'Data Additive'!$Q:$Q,"&lt;=60")</f>
        <v>0</v>
      </c>
      <c r="J140" s="19">
        <f>SUMIFS('Data Additive'!$D:$D,'Data Additive'!$P:$P,'Painel Additive'!$B140,'Data Additive'!$Q:$Q,"&gt;60",'Data Additive'!$Q:$Q,"&lt;=90")</f>
        <v>0</v>
      </c>
      <c r="K140" s="19">
        <f>SUMIFS('Data Additive'!$D:$D,'Data Additive'!$P:$P,'Painel Additive'!$B140,'Data Additive'!$Q:$Q,"&gt;90",'Data Additive'!$Q:$Q,"&lt;=120")</f>
        <v>0</v>
      </c>
      <c r="L140" s="19">
        <f>SUMIFS('Data Additive'!$D:$D,'Data Additive'!$P:$P,'Painel Additive'!$B140,'Data Additive'!$Q:$Q,"&gt;120",'Data Additive'!$Q:$Q,"&lt;=180")</f>
        <v>0</v>
      </c>
      <c r="M140" s="19">
        <f>SUMIFS('Data Additive'!$D:$D,'Data Additive'!$P:$P,'Painel Additive'!$B140,'Data Additive'!$Q:$Q,"&gt;180",'Data Additive'!$Q:$Q,"&lt;=360")</f>
        <v>0</v>
      </c>
      <c r="N140" s="22">
        <f>SUMIFS('Data Additive'!$D:$D,'Data Additive'!$P:$P,'Painel Additive'!$B140,'Data Additive'!$Q:$Q,"&gt;360")</f>
        <v>0</v>
      </c>
      <c r="O140" s="65">
        <f>SUMIFS('Data Additive'!$D:$D,'Data Additive'!$P:$P,'Painel Additive'!$B140,'Data Additive'!$Q:$Q,"&gt;0")</f>
        <v>0</v>
      </c>
      <c r="P140" s="19">
        <f t="shared" si="236"/>
        <v>0</v>
      </c>
      <c r="Q140" s="19">
        <f>SUMIFS('Data Additive'!$D:$D,'Data Additive'!$P:$P,'Painel Additive'!$B140,'Data Additive'!$Q:$Q,"&lt;=0",'Data Additive'!$Q:$Q,"&gt;=-30")</f>
        <v>0</v>
      </c>
      <c r="R140" s="19">
        <f>SUMIFS('Data Additive'!$D:$D,'Data Additive'!$P:$P,'Painel Additive'!$B140,'Data Additive'!$Q:$Q,"&lt;=-31",'Data Additive'!$Q:$Q,"&gt;=-60")</f>
        <v>0</v>
      </c>
      <c r="S140" s="19">
        <f>SUMIFS('Data Additive'!$D:$D,'Data Additive'!$P:$P,'Painel Additive'!$B140,'Data Additive'!$Q:$Q,"&lt;=-61",'Data Additive'!$Q:$Q,"&gt;=-90")</f>
        <v>0</v>
      </c>
      <c r="T140" s="19">
        <f>SUMIFS('Data Additive'!$D:$D,'Data Additive'!$P:$P,'Painel Additive'!$B140,'Data Additive'!$Q:$Q,"&lt;=-91",'Data Additive'!$Q:$Q,"&gt;=-120")</f>
        <v>0</v>
      </c>
      <c r="U140" s="19">
        <f>SUMIFS('Data Additive'!$D:$D,'Data Additive'!$P:$P,'Painel Additive'!$B140,'Data Additive'!$Q:$Q,"&lt;=-121",'Data Additive'!$Q:$Q,"&gt;=-180")</f>
        <v>0</v>
      </c>
      <c r="V140" s="19">
        <f>SUMIFS('Data Additive'!$D:$D,'Data Additive'!$P:$P,'Painel Additive'!$B140,'Data Additive'!$Q:$Q,"&lt;=-181",'Data Additive'!$Q:$Q,"&gt;=-360")</f>
        <v>0</v>
      </c>
      <c r="W140" s="22">
        <f>SUMIFS('Data Additive'!$D:$D,'Data Additive'!$P:$P,'Painel Additive'!$B140,'Data Additive'!$Q:$Q,"&lt;-360")</f>
        <v>0</v>
      </c>
      <c r="X140" s="19">
        <f>SUMIFS('Bad Debt Provision'!AB:AB,'Bad Debt Provision'!B:B,'Painel Additive'!B140)</f>
        <v>0</v>
      </c>
      <c r="Y140" s="5"/>
      <c r="Z140" s="5"/>
      <c r="AA140" s="19">
        <f>IFERROR(_xlfn.XLOOKUP(B140,'Limite de crédito'!C:C,'Limite de crédito'!O:O,),0)</f>
        <v>0</v>
      </c>
      <c r="AB140" s="19"/>
      <c r="AC140" s="20"/>
      <c r="AD140" s="21"/>
      <c r="AE140" s="21"/>
      <c r="AF140" s="5"/>
      <c r="AG140" s="53">
        <f t="shared" si="237"/>
        <v>0</v>
      </c>
    </row>
    <row r="141" spans="2:33" x14ac:dyDescent="0.25">
      <c r="B141" s="37" t="s">
        <v>15419</v>
      </c>
      <c r="C141" s="152" t="str">
        <f>IFERROR(_xlfn.XLOOKUP(B141,'Limite de crédito'!C:C,'Limite de crédito'!L:L,),0)</f>
        <v>A</v>
      </c>
      <c r="D141" s="44"/>
      <c r="E141" s="18">
        <f>_xlfn.XLOOKUP(B141,'Limite de crédito'!C:C,'Limite de crédito'!G:G,0)</f>
        <v>1500000</v>
      </c>
      <c r="F141" s="18">
        <f t="shared" ref="F141" si="238">E141-G141</f>
        <v>789120.79999999993</v>
      </c>
      <c r="G141" s="18">
        <f t="shared" ref="G141" si="239">P141+O141</f>
        <v>710879.20000000007</v>
      </c>
      <c r="H141" s="19">
        <f>SUMIFS('Data Additive'!$D:$D,'Data Additive'!$P:$P,'Painel Additive'!$B141,'Data Additive'!$Q:$Q,"&gt;0",'Data Additive'!$Q:$Q,"&lt;=30")</f>
        <v>0</v>
      </c>
      <c r="I141" s="19">
        <f>SUMIFS('Data Additive'!$D:$D,'Data Additive'!$P:$P,'Painel Additive'!$B141,'Data Additive'!$Q:$Q,"&gt;30",'Data Additive'!$Q:$Q,"&lt;=60")</f>
        <v>0</v>
      </c>
      <c r="J141" s="19">
        <f>SUMIFS('Data Additive'!$D:$D,'Data Additive'!$P:$P,'Painel Additive'!$B141,'Data Additive'!$Q:$Q,"&gt;60",'Data Additive'!$Q:$Q,"&lt;=90")</f>
        <v>0</v>
      </c>
      <c r="K141" s="19">
        <f>SUMIFS('Data Additive'!$D:$D,'Data Additive'!$P:$P,'Painel Additive'!$B141,'Data Additive'!$Q:$Q,"&gt;90",'Data Additive'!$Q:$Q,"&lt;=120")</f>
        <v>0</v>
      </c>
      <c r="L141" s="19">
        <f>SUMIFS('Data Additive'!$D:$D,'Data Additive'!$P:$P,'Painel Additive'!$B141,'Data Additive'!$Q:$Q,"&gt;120",'Data Additive'!$Q:$Q,"&lt;=180")</f>
        <v>0</v>
      </c>
      <c r="M141" s="19">
        <f>SUMIFS('Data Additive'!$D:$D,'Data Additive'!$P:$P,'Painel Additive'!$B141,'Data Additive'!$Q:$Q,"&gt;180",'Data Additive'!$Q:$Q,"&lt;=360")</f>
        <v>0</v>
      </c>
      <c r="N141" s="22">
        <f>SUMIFS('Data Additive'!$D:$D,'Data Additive'!$P:$P,'Painel Additive'!$B141,'Data Additive'!$Q:$Q,"&gt;360")</f>
        <v>0</v>
      </c>
      <c r="O141" s="65">
        <f>SUMIFS('Data Additive'!$D:$D,'Data Additive'!$P:$P,'Painel Additive'!$B141,'Data Additive'!$Q:$Q,"&gt;0")</f>
        <v>0</v>
      </c>
      <c r="P141" s="19">
        <f t="shared" ref="P141" si="240">SUM(Q141:W141)</f>
        <v>710879.20000000007</v>
      </c>
      <c r="Q141" s="19">
        <f>SUMIFS('Data Additive'!$D:$D,'Data Additive'!$P:$P,'Painel Additive'!$B141,'Data Additive'!$Q:$Q,"&lt;=0",'Data Additive'!$Q:$Q,"&gt;=-30")</f>
        <v>0</v>
      </c>
      <c r="R141" s="19">
        <f>SUMIFS('Data Additive'!$D:$D,'Data Additive'!$P:$P,'Painel Additive'!$B141,'Data Additive'!$Q:$Q,"&lt;=-31",'Data Additive'!$Q:$Q,"&gt;=-60")</f>
        <v>355675.60000000003</v>
      </c>
      <c r="S141" s="19">
        <f>SUMIFS('Data Additive'!$D:$D,'Data Additive'!$P:$P,'Painel Additive'!$B141,'Data Additive'!$Q:$Q,"&lt;=-61",'Data Additive'!$Q:$Q,"&gt;=-90")</f>
        <v>355203.60000000003</v>
      </c>
      <c r="T141" s="19">
        <f>SUMIFS('Data Additive'!$D:$D,'Data Additive'!$P:$P,'Painel Additive'!$B141,'Data Additive'!$Q:$Q,"&lt;=-91",'Data Additive'!$Q:$Q,"&gt;=-120")</f>
        <v>0</v>
      </c>
      <c r="U141" s="19">
        <f>SUMIFS('Data Additive'!$D:$D,'Data Additive'!$P:$P,'Painel Additive'!$B141,'Data Additive'!$Q:$Q,"&lt;=-121",'Data Additive'!$Q:$Q,"&gt;=-180")</f>
        <v>0</v>
      </c>
      <c r="V141" s="19">
        <f>SUMIFS('Data Additive'!$D:$D,'Data Additive'!$P:$P,'Painel Additive'!$B141,'Data Additive'!$Q:$Q,"&lt;=-181",'Data Additive'!$Q:$Q,"&gt;=-360")</f>
        <v>0</v>
      </c>
      <c r="W141" s="22">
        <f>SUMIFS('Data Additive'!$D:$D,'Data Additive'!$P:$P,'Painel Additive'!$B141,'Data Additive'!$Q:$Q,"&lt;-360")</f>
        <v>0</v>
      </c>
      <c r="X141" s="19">
        <f>SUMIFS('Bad Debt Provision'!AB:AB,'Bad Debt Provision'!B:B,'Painel Additive'!B141)</f>
        <v>1800</v>
      </c>
      <c r="Y141" s="5"/>
      <c r="Z141" s="5"/>
      <c r="AA141" s="19">
        <f>IFERROR(_xlfn.XLOOKUP(B141,'Limite de crédito'!C:C,'Limite de crédito'!O:O,),0)</f>
        <v>1500000</v>
      </c>
      <c r="AB141" s="19"/>
      <c r="AC141" s="20"/>
      <c r="AD141" s="21"/>
      <c r="AE141" s="21"/>
      <c r="AF141" s="5"/>
      <c r="AG141" s="53">
        <f t="shared" ref="AG141" si="241">AA141-G141</f>
        <v>789120.79999999993</v>
      </c>
    </row>
    <row r="142" spans="2:33" x14ac:dyDescent="0.25">
      <c r="B142" s="37" t="s">
        <v>578</v>
      </c>
      <c r="C142" s="152" t="str">
        <f>IFERROR(_xlfn.XLOOKUP(B142,'Limite de crédito'!C:C,'Limite de crédito'!L:L,),0)</f>
        <v>B</v>
      </c>
      <c r="D142" s="44"/>
      <c r="E142" s="18">
        <f>_xlfn.XLOOKUP(B142,'Limite de crédito'!C:C,'Limite de crédito'!G:G,0)</f>
        <v>600000</v>
      </c>
      <c r="F142" s="18">
        <f t="shared" ref="F142" si="242">E142-G142</f>
        <v>600000</v>
      </c>
      <c r="G142" s="18">
        <f t="shared" ref="G142" si="243">P142+O142</f>
        <v>0</v>
      </c>
      <c r="H142" s="19">
        <f>SUMIFS('Data Additive'!$D:$D,'Data Additive'!$P:$P,'Painel Additive'!$B142,'Data Additive'!$Q:$Q,"&gt;0",'Data Additive'!$Q:$Q,"&lt;=30")</f>
        <v>0</v>
      </c>
      <c r="I142" s="19">
        <f>SUMIFS('Data Additive'!$D:$D,'Data Additive'!$P:$P,'Painel Additive'!$B142,'Data Additive'!$Q:$Q,"&gt;30",'Data Additive'!$Q:$Q,"&lt;=60")</f>
        <v>0</v>
      </c>
      <c r="J142" s="19">
        <f>SUMIFS('Data Additive'!$D:$D,'Data Additive'!$P:$P,'Painel Additive'!$B142,'Data Additive'!$Q:$Q,"&gt;60",'Data Additive'!$Q:$Q,"&lt;=90")</f>
        <v>0</v>
      </c>
      <c r="K142" s="19">
        <f>SUMIFS('Data Additive'!$D:$D,'Data Additive'!$P:$P,'Painel Additive'!$B142,'Data Additive'!$Q:$Q,"&gt;90",'Data Additive'!$Q:$Q,"&lt;=120")</f>
        <v>0</v>
      </c>
      <c r="L142" s="19">
        <f>SUMIFS('Data Additive'!$D:$D,'Data Additive'!$P:$P,'Painel Additive'!$B142,'Data Additive'!$Q:$Q,"&gt;120",'Data Additive'!$Q:$Q,"&lt;=180")</f>
        <v>0</v>
      </c>
      <c r="M142" s="19">
        <f>SUMIFS('Data Additive'!$D:$D,'Data Additive'!$P:$P,'Painel Additive'!$B142,'Data Additive'!$Q:$Q,"&gt;180",'Data Additive'!$Q:$Q,"&lt;=360")</f>
        <v>0</v>
      </c>
      <c r="N142" s="22">
        <f>SUMIFS('Data Additive'!$D:$D,'Data Additive'!$P:$P,'Painel Additive'!$B142,'Data Additive'!$Q:$Q,"&gt;360")</f>
        <v>0</v>
      </c>
      <c r="O142" s="65">
        <f>SUMIFS('Data Additive'!$D:$D,'Data Additive'!$P:$P,'Painel Additive'!$B142,'Data Additive'!$Q:$Q,"&gt;0")</f>
        <v>0</v>
      </c>
      <c r="P142" s="19">
        <f t="shared" ref="P142" si="244">SUM(Q142:W142)</f>
        <v>0</v>
      </c>
      <c r="Q142" s="19">
        <f>SUMIFS('Data Additive'!$D:$D,'Data Additive'!$P:$P,'Painel Additive'!$B142,'Data Additive'!$Q:$Q,"&lt;=0",'Data Additive'!$Q:$Q,"&gt;=-30")</f>
        <v>0</v>
      </c>
      <c r="R142" s="19">
        <f>SUMIFS('Data Additive'!$D:$D,'Data Additive'!$P:$P,'Painel Additive'!$B142,'Data Additive'!$Q:$Q,"&lt;=-31",'Data Additive'!$Q:$Q,"&gt;=-60")</f>
        <v>0</v>
      </c>
      <c r="S142" s="19">
        <f>SUMIFS('Data Additive'!$D:$D,'Data Additive'!$P:$P,'Painel Additive'!$B142,'Data Additive'!$Q:$Q,"&lt;=-61",'Data Additive'!$Q:$Q,"&gt;=-90")</f>
        <v>0</v>
      </c>
      <c r="T142" s="19">
        <f>SUMIFS('Data Additive'!$D:$D,'Data Additive'!$P:$P,'Painel Additive'!$B142,'Data Additive'!$Q:$Q,"&lt;=-91",'Data Additive'!$Q:$Q,"&gt;=-120")</f>
        <v>0</v>
      </c>
      <c r="U142" s="19">
        <f>SUMIFS('Data Additive'!$D:$D,'Data Additive'!$P:$P,'Painel Additive'!$B142,'Data Additive'!$Q:$Q,"&lt;=-121",'Data Additive'!$Q:$Q,"&gt;=-180")</f>
        <v>0</v>
      </c>
      <c r="V142" s="19">
        <f>SUMIFS('Data Additive'!$D:$D,'Data Additive'!$P:$P,'Painel Additive'!$B142,'Data Additive'!$Q:$Q,"&lt;=-181",'Data Additive'!$Q:$Q,"&gt;=-360")</f>
        <v>0</v>
      </c>
      <c r="W142" s="22">
        <f>SUMIFS('Data Additive'!$D:$D,'Data Additive'!$P:$P,'Painel Additive'!$B142,'Data Additive'!$Q:$Q,"&lt;-360")</f>
        <v>0</v>
      </c>
      <c r="X142" s="19">
        <f>SUMIFS('Bad Debt Provision'!AB:AB,'Bad Debt Provision'!B:B,'Painel Additive'!B142)</f>
        <v>0</v>
      </c>
      <c r="Y142" s="5"/>
      <c r="Z142" s="5"/>
      <c r="AA142" s="19">
        <f>IFERROR(_xlfn.XLOOKUP(B142,'Limite de crédito'!C:C,'Limite de crédito'!O:O,),0)</f>
        <v>600000</v>
      </c>
      <c r="AB142" s="19"/>
      <c r="AC142" s="20"/>
      <c r="AD142" s="21"/>
      <c r="AE142" s="21"/>
      <c r="AF142" s="5"/>
      <c r="AG142" s="53">
        <f t="shared" ref="AG142" si="245">AA142-G142</f>
        <v>600000</v>
      </c>
    </row>
    <row r="143" spans="2:33" x14ac:dyDescent="0.25">
      <c r="B143" s="37" t="s">
        <v>15465</v>
      </c>
      <c r="C143" s="152">
        <f>IFERROR(_xlfn.XLOOKUP(B143,'Limite de crédito'!C:C,'Limite de crédito'!L:L,),0)</f>
        <v>0</v>
      </c>
      <c r="D143" s="44"/>
      <c r="E143" s="18">
        <f>_xlfn.XLOOKUP(B143,'Limite de crédito'!C:C,'Limite de crédito'!G:G,0)</f>
        <v>700000</v>
      </c>
      <c r="F143" s="18">
        <f t="shared" ref="F143" si="246">E143-G143</f>
        <v>619400</v>
      </c>
      <c r="G143" s="18">
        <f t="shared" ref="G143" si="247">P143+O143</f>
        <v>80600</v>
      </c>
      <c r="H143" s="19">
        <f>SUMIFS('Data Additive'!$D:$D,'Data Additive'!$P:$P,'Painel Additive'!$B143,'Data Additive'!$Q:$Q,"&gt;0",'Data Additive'!$Q:$Q,"&lt;=30")</f>
        <v>0</v>
      </c>
      <c r="I143" s="19">
        <f>SUMIFS('Data Additive'!$D:$D,'Data Additive'!$P:$P,'Painel Additive'!$B143,'Data Additive'!$Q:$Q,"&gt;30",'Data Additive'!$Q:$Q,"&lt;=60")</f>
        <v>0</v>
      </c>
      <c r="J143" s="19">
        <f>SUMIFS('Data Additive'!$D:$D,'Data Additive'!$P:$P,'Painel Additive'!$B143,'Data Additive'!$Q:$Q,"&gt;60",'Data Additive'!$Q:$Q,"&lt;=90")</f>
        <v>0</v>
      </c>
      <c r="K143" s="19">
        <f>SUMIFS('Data Additive'!$D:$D,'Data Additive'!$P:$P,'Painel Additive'!$B143,'Data Additive'!$Q:$Q,"&gt;90",'Data Additive'!$Q:$Q,"&lt;=120")</f>
        <v>0</v>
      </c>
      <c r="L143" s="19">
        <f>SUMIFS('Data Additive'!$D:$D,'Data Additive'!$P:$P,'Painel Additive'!$B143,'Data Additive'!$Q:$Q,"&gt;120",'Data Additive'!$Q:$Q,"&lt;=180")</f>
        <v>0</v>
      </c>
      <c r="M143" s="19">
        <f>SUMIFS('Data Additive'!$D:$D,'Data Additive'!$P:$P,'Painel Additive'!$B143,'Data Additive'!$Q:$Q,"&gt;180",'Data Additive'!$Q:$Q,"&lt;=360")</f>
        <v>0</v>
      </c>
      <c r="N143" s="22">
        <f>SUMIFS('Data Additive'!$D:$D,'Data Additive'!$P:$P,'Painel Additive'!$B143,'Data Additive'!$Q:$Q,"&gt;360")</f>
        <v>0</v>
      </c>
      <c r="O143" s="65">
        <f>SUMIFS('Data Additive'!$D:$D,'Data Additive'!$P:$P,'Painel Additive'!$B143,'Data Additive'!$Q:$Q,"&gt;0")</f>
        <v>0</v>
      </c>
      <c r="P143" s="19">
        <f t="shared" ref="P143" si="248">SUM(Q143:W143)</f>
        <v>80600</v>
      </c>
      <c r="Q143" s="19">
        <f>SUMIFS('Data Additive'!$D:$D,'Data Additive'!$P:$P,'Painel Additive'!$B143,'Data Additive'!$Q:$Q,"&lt;=0",'Data Additive'!$Q:$Q,"&gt;=-30")</f>
        <v>80600</v>
      </c>
      <c r="R143" s="19">
        <f>SUMIFS('Data Additive'!$D:$D,'Data Additive'!$P:$P,'Painel Additive'!$B143,'Data Additive'!$Q:$Q,"&lt;=-31",'Data Additive'!$Q:$Q,"&gt;=-60")</f>
        <v>0</v>
      </c>
      <c r="S143" s="19">
        <f>SUMIFS('Data Additive'!$D:$D,'Data Additive'!$P:$P,'Painel Additive'!$B143,'Data Additive'!$Q:$Q,"&lt;=-61",'Data Additive'!$Q:$Q,"&gt;=-90")</f>
        <v>0</v>
      </c>
      <c r="T143" s="19">
        <f>SUMIFS('Data Additive'!$D:$D,'Data Additive'!$P:$P,'Painel Additive'!$B143,'Data Additive'!$Q:$Q,"&lt;=-91",'Data Additive'!$Q:$Q,"&gt;=-120")</f>
        <v>0</v>
      </c>
      <c r="U143" s="19">
        <f>SUMIFS('Data Additive'!$D:$D,'Data Additive'!$P:$P,'Painel Additive'!$B143,'Data Additive'!$Q:$Q,"&lt;=-121",'Data Additive'!$Q:$Q,"&gt;=-180")</f>
        <v>0</v>
      </c>
      <c r="V143" s="19">
        <f>SUMIFS('Data Additive'!$D:$D,'Data Additive'!$P:$P,'Painel Additive'!$B143,'Data Additive'!$Q:$Q,"&lt;=-181",'Data Additive'!$Q:$Q,"&gt;=-360")</f>
        <v>0</v>
      </c>
      <c r="W143" s="22">
        <f>SUMIFS('Data Additive'!$D:$D,'Data Additive'!$P:$P,'Painel Additive'!$B143,'Data Additive'!$Q:$Q,"&lt;-360")</f>
        <v>0</v>
      </c>
      <c r="X143" s="19">
        <f>SUMIFS('Bad Debt Provision'!AB:AB,'Bad Debt Provision'!B:B,'Painel Additive'!B143)</f>
        <v>0</v>
      </c>
      <c r="Y143" s="5"/>
      <c r="Z143" s="5"/>
      <c r="AA143" s="19">
        <f>IFERROR(_xlfn.XLOOKUP(B143,'Limite de crédito'!C:C,'Limite de crédito'!O:O,),0)</f>
        <v>0</v>
      </c>
      <c r="AB143" s="19"/>
      <c r="AC143" s="20"/>
      <c r="AD143" s="21"/>
      <c r="AE143" s="21"/>
      <c r="AF143" s="5"/>
      <c r="AG143" s="53">
        <f t="shared" ref="AG143" si="249">AA143-G143</f>
        <v>-80600</v>
      </c>
    </row>
    <row r="144" spans="2:33" x14ac:dyDescent="0.25">
      <c r="B144" s="37" t="s">
        <v>15612</v>
      </c>
      <c r="C144" s="152">
        <f>IFERROR(_xlfn.XLOOKUP(B144,'Limite de crédito'!C:C,'Limite de crédito'!L:L,),0)</f>
        <v>0</v>
      </c>
      <c r="D144" s="44"/>
      <c r="E144" s="18">
        <f>_xlfn.XLOOKUP(B144,'Limite de crédito'!C:C,'Limite de crédito'!G:G,0)</f>
        <v>0</v>
      </c>
      <c r="F144" s="18">
        <f t="shared" ref="F144" si="250">E144-G144</f>
        <v>0</v>
      </c>
      <c r="G144" s="18">
        <f t="shared" ref="G144" si="251">P144+O144</f>
        <v>0</v>
      </c>
      <c r="H144" s="19">
        <f>SUMIFS('Data Additive'!$D:$D,'Data Additive'!$P:$P,'Painel Additive'!$B144,'Data Additive'!$Q:$Q,"&gt;0",'Data Additive'!$Q:$Q,"&lt;=30")</f>
        <v>0</v>
      </c>
      <c r="I144" s="19">
        <f>SUMIFS('Data Additive'!$D:$D,'Data Additive'!$P:$P,'Painel Additive'!$B144,'Data Additive'!$Q:$Q,"&gt;30",'Data Additive'!$Q:$Q,"&lt;=60")</f>
        <v>0</v>
      </c>
      <c r="J144" s="19">
        <f>SUMIFS('Data Additive'!$D:$D,'Data Additive'!$P:$P,'Painel Additive'!$B144,'Data Additive'!$Q:$Q,"&gt;60",'Data Additive'!$Q:$Q,"&lt;=90")</f>
        <v>0</v>
      </c>
      <c r="K144" s="19">
        <f>SUMIFS('Data Additive'!$D:$D,'Data Additive'!$P:$P,'Painel Additive'!$B144,'Data Additive'!$Q:$Q,"&gt;90",'Data Additive'!$Q:$Q,"&lt;=120")</f>
        <v>0</v>
      </c>
      <c r="L144" s="19">
        <f>SUMIFS('Data Additive'!$D:$D,'Data Additive'!$P:$P,'Painel Additive'!$B144,'Data Additive'!$Q:$Q,"&gt;120",'Data Additive'!$Q:$Q,"&lt;=180")</f>
        <v>0</v>
      </c>
      <c r="M144" s="19">
        <f>SUMIFS('Data Additive'!$D:$D,'Data Additive'!$P:$P,'Painel Additive'!$B144,'Data Additive'!$Q:$Q,"&gt;180",'Data Additive'!$Q:$Q,"&lt;=360")</f>
        <v>0</v>
      </c>
      <c r="N144" s="22">
        <f>SUMIFS('Data Additive'!$D:$D,'Data Additive'!$P:$P,'Painel Additive'!$B144,'Data Additive'!$Q:$Q,"&gt;360")</f>
        <v>0</v>
      </c>
      <c r="O144" s="65">
        <f>SUMIFS('Data Additive'!$D:$D,'Data Additive'!$P:$P,'Painel Additive'!$B144,'Data Additive'!$Q:$Q,"&gt;0")</f>
        <v>0</v>
      </c>
      <c r="P144" s="19">
        <f t="shared" ref="P144" si="252">SUM(Q144:W144)</f>
        <v>0</v>
      </c>
      <c r="Q144" s="19">
        <f>SUMIFS('Data Additive'!$D:$D,'Data Additive'!$P:$P,'Painel Additive'!$B144,'Data Additive'!$Q:$Q,"&lt;=0",'Data Additive'!$Q:$Q,"&gt;=-30")</f>
        <v>0</v>
      </c>
      <c r="R144" s="19">
        <f>SUMIFS('Data Additive'!$D:$D,'Data Additive'!$P:$P,'Painel Additive'!$B144,'Data Additive'!$Q:$Q,"&lt;=-31",'Data Additive'!$Q:$Q,"&gt;=-60")</f>
        <v>0</v>
      </c>
      <c r="S144" s="19">
        <f>SUMIFS('Data Additive'!$D:$D,'Data Additive'!$P:$P,'Painel Additive'!$B144,'Data Additive'!$Q:$Q,"&lt;=-61",'Data Additive'!$Q:$Q,"&gt;=-90")</f>
        <v>0</v>
      </c>
      <c r="T144" s="19">
        <f>SUMIFS('Data Additive'!$D:$D,'Data Additive'!$P:$P,'Painel Additive'!$B144,'Data Additive'!$Q:$Q,"&lt;=-91",'Data Additive'!$Q:$Q,"&gt;=-120")</f>
        <v>0</v>
      </c>
      <c r="U144" s="19">
        <f>SUMIFS('Data Additive'!$D:$D,'Data Additive'!$P:$P,'Painel Additive'!$B144,'Data Additive'!$Q:$Q,"&lt;=-121",'Data Additive'!$Q:$Q,"&gt;=-180")</f>
        <v>0</v>
      </c>
      <c r="V144" s="19">
        <f>SUMIFS('Data Additive'!$D:$D,'Data Additive'!$P:$P,'Painel Additive'!$B144,'Data Additive'!$Q:$Q,"&lt;=-181",'Data Additive'!$Q:$Q,"&gt;=-360")</f>
        <v>0</v>
      </c>
      <c r="W144" s="22">
        <f>SUMIFS('Data Additive'!$D:$D,'Data Additive'!$P:$P,'Painel Additive'!$B144,'Data Additive'!$Q:$Q,"&lt;-360")</f>
        <v>0</v>
      </c>
      <c r="X144" s="19">
        <f>SUMIFS('Bad Debt Provision'!AB:AB,'Bad Debt Provision'!B:B,'Painel Additive'!B144)</f>
        <v>0</v>
      </c>
      <c r="Y144" s="5"/>
      <c r="Z144" s="5"/>
      <c r="AA144" s="19">
        <f>IFERROR(_xlfn.XLOOKUP(B144,'Limite de crédito'!C:C,'Limite de crédito'!O:O,),0)</f>
        <v>0</v>
      </c>
      <c r="AB144" s="19"/>
      <c r="AC144" s="20"/>
      <c r="AD144" s="21"/>
      <c r="AE144" s="21"/>
      <c r="AF144" s="5"/>
      <c r="AG144" s="53">
        <f t="shared" ref="AG144" si="253">AA144-G144</f>
        <v>0</v>
      </c>
    </row>
    <row r="145" spans="2:33" x14ac:dyDescent="0.25">
      <c r="B145" s="37" t="s">
        <v>42</v>
      </c>
      <c r="C145" s="152">
        <f>IFERROR(_xlfn.XLOOKUP(B145,'Limite de crédito'!C:C,'Limite de crédito'!L:L,),0)</f>
        <v>0</v>
      </c>
      <c r="D145" s="44"/>
      <c r="E145" s="18">
        <f>_xlfn.XLOOKUP(B145,'Limite de crédito'!C:C,'Limite de crédito'!G:G,0)</f>
        <v>200000</v>
      </c>
      <c r="F145" s="18">
        <f t="shared" ref="F145" si="254">E145-G145</f>
        <v>130404</v>
      </c>
      <c r="G145" s="18">
        <f t="shared" ref="G145" si="255">P145+O145</f>
        <v>69596</v>
      </c>
      <c r="H145" s="19">
        <f>SUMIFS('Data Additive'!$D:$D,'Data Additive'!$P:$P,'Painel Additive'!$B145,'Data Additive'!$Q:$Q,"&gt;0",'Data Additive'!$Q:$Q,"&lt;=30")</f>
        <v>0</v>
      </c>
      <c r="I145" s="19">
        <f>SUMIFS('Data Additive'!$D:$D,'Data Additive'!$P:$P,'Painel Additive'!$B145,'Data Additive'!$Q:$Q,"&gt;30",'Data Additive'!$Q:$Q,"&lt;=60")</f>
        <v>0</v>
      </c>
      <c r="J145" s="19">
        <f>SUMIFS('Data Additive'!$D:$D,'Data Additive'!$P:$P,'Painel Additive'!$B145,'Data Additive'!$Q:$Q,"&gt;60",'Data Additive'!$Q:$Q,"&lt;=90")</f>
        <v>0</v>
      </c>
      <c r="K145" s="19">
        <f>SUMIFS('Data Additive'!$D:$D,'Data Additive'!$P:$P,'Painel Additive'!$B145,'Data Additive'!$Q:$Q,"&gt;90",'Data Additive'!$Q:$Q,"&lt;=120")</f>
        <v>0</v>
      </c>
      <c r="L145" s="19">
        <f>SUMIFS('Data Additive'!$D:$D,'Data Additive'!$P:$P,'Painel Additive'!$B145,'Data Additive'!$Q:$Q,"&gt;120",'Data Additive'!$Q:$Q,"&lt;=180")</f>
        <v>0</v>
      </c>
      <c r="M145" s="19">
        <f>SUMIFS('Data Additive'!$D:$D,'Data Additive'!$P:$P,'Painel Additive'!$B145,'Data Additive'!$Q:$Q,"&gt;180",'Data Additive'!$Q:$Q,"&lt;=360")</f>
        <v>0</v>
      </c>
      <c r="N145" s="22">
        <f>SUMIFS('Data Additive'!$D:$D,'Data Additive'!$P:$P,'Painel Additive'!$B145,'Data Additive'!$Q:$Q,"&gt;360")</f>
        <v>0</v>
      </c>
      <c r="O145" s="65">
        <f>SUMIFS('Data Additive'!$D:$D,'Data Additive'!$P:$P,'Painel Additive'!$B145,'Data Additive'!$Q:$Q,"&gt;0")</f>
        <v>0</v>
      </c>
      <c r="P145" s="19">
        <f t="shared" ref="P145" si="256">SUM(Q145:W145)</f>
        <v>69596</v>
      </c>
      <c r="Q145" s="19">
        <f>SUMIFS('Data Additive'!$D:$D,'Data Additive'!$P:$P,'Painel Additive'!$B145,'Data Additive'!$Q:$Q,"&lt;=0",'Data Additive'!$Q:$Q,"&gt;=-30")</f>
        <v>69596</v>
      </c>
      <c r="R145" s="19">
        <f>SUMIFS('Data Additive'!$D:$D,'Data Additive'!$P:$P,'Painel Additive'!$B145,'Data Additive'!$Q:$Q,"&lt;=-31",'Data Additive'!$Q:$Q,"&gt;=-60")</f>
        <v>0</v>
      </c>
      <c r="S145" s="19">
        <f>SUMIFS('Data Additive'!$D:$D,'Data Additive'!$P:$P,'Painel Additive'!$B145,'Data Additive'!$Q:$Q,"&lt;=-61",'Data Additive'!$Q:$Q,"&gt;=-90")</f>
        <v>0</v>
      </c>
      <c r="T145" s="19">
        <f>SUMIFS('Data Additive'!$D:$D,'Data Additive'!$P:$P,'Painel Additive'!$B145,'Data Additive'!$Q:$Q,"&lt;=-91",'Data Additive'!$Q:$Q,"&gt;=-120")</f>
        <v>0</v>
      </c>
      <c r="U145" s="19">
        <f>SUMIFS('Data Additive'!$D:$D,'Data Additive'!$P:$P,'Painel Additive'!$B145,'Data Additive'!$Q:$Q,"&lt;=-121",'Data Additive'!$Q:$Q,"&gt;=-180")</f>
        <v>0</v>
      </c>
      <c r="V145" s="19">
        <f>SUMIFS('Data Additive'!$D:$D,'Data Additive'!$P:$P,'Painel Additive'!$B145,'Data Additive'!$Q:$Q,"&lt;=-181",'Data Additive'!$Q:$Q,"&gt;=-360")</f>
        <v>0</v>
      </c>
      <c r="W145" s="22">
        <f>SUMIFS('Data Additive'!$D:$D,'Data Additive'!$P:$P,'Painel Additive'!$B145,'Data Additive'!$Q:$Q,"&lt;-360")</f>
        <v>0</v>
      </c>
      <c r="X145" s="19">
        <f>SUMIFS('Bad Debt Provision'!AB:AB,'Bad Debt Provision'!B:B,'Painel Additive'!B145)</f>
        <v>0</v>
      </c>
      <c r="Y145" s="5"/>
      <c r="Z145" s="5"/>
      <c r="AA145" s="19">
        <f>IFERROR(_xlfn.XLOOKUP(B145,'Limite de crédito'!C:C,'Limite de crédito'!O:O,),0)</f>
        <v>200000</v>
      </c>
      <c r="AB145" s="19"/>
      <c r="AC145" s="20"/>
      <c r="AD145" s="21"/>
      <c r="AE145" s="21"/>
      <c r="AF145" s="5"/>
      <c r="AG145" s="53">
        <f t="shared" ref="AG145" si="257">AA145-G145</f>
        <v>130404</v>
      </c>
    </row>
  </sheetData>
  <autoFilter ref="A3:AK143" xr:uid="{8425CF93-5C5C-4FF0-82A9-E9478886963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4" activePane="bottomRight" state="frozen"/>
      <selection activeCell="B4" sqref="B4:AA145"/>
      <selection pane="topRight" activeCell="B4" sqref="B4:AA145"/>
      <selection pane="bottomLeft" activeCell="B4" sqref="B4:AA145"/>
      <selection pane="bottomRight" activeCell="B4" sqref="B4:AA145"/>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49"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97"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7" customWidth="1"/>
    <col min="34" max="34" width="1.6640625" customWidth="1"/>
    <col min="35" max="35" width="14.5546875" bestFit="1" customWidth="1"/>
    <col min="36" max="36" width="14.6640625" customWidth="1"/>
    <col min="37" max="37" width="12.6640625" customWidth="1"/>
  </cols>
  <sheetData>
    <row r="1" spans="1:37" s="9" customFormat="1" ht="12" x14ac:dyDescent="0.25">
      <c r="B1" s="46">
        <v>46154</v>
      </c>
      <c r="C1" s="48"/>
      <c r="D1" s="48"/>
      <c r="E1" s="50">
        <f>SUBTOTAL(9,E4:E40)</f>
        <v>15693000</v>
      </c>
      <c r="F1" s="11"/>
      <c r="G1" s="9">
        <f t="shared" ref="G1:P1" si="0">SUBTOTAL(9,G4:G158)</f>
        <v>24577392.659999993</v>
      </c>
      <c r="H1" s="9">
        <f t="shared" si="0"/>
        <v>0</v>
      </c>
      <c r="I1" s="9">
        <f t="shared" si="0"/>
        <v>329327.90999999997</v>
      </c>
      <c r="J1" s="9">
        <f t="shared" si="0"/>
        <v>0</v>
      </c>
      <c r="K1" s="9">
        <f t="shared" si="0"/>
        <v>0</v>
      </c>
      <c r="L1" s="9">
        <f t="shared" si="0"/>
        <v>0</v>
      </c>
      <c r="M1" s="9">
        <f t="shared" si="0"/>
        <v>462720</v>
      </c>
      <c r="N1" s="9">
        <f t="shared" si="0"/>
        <v>21392108.589999996</v>
      </c>
      <c r="O1" s="9">
        <f t="shared" si="0"/>
        <v>22184156.499999996</v>
      </c>
      <c r="P1" s="9">
        <f t="shared" si="0"/>
        <v>2393236.16</v>
      </c>
      <c r="Q1" s="9">
        <f t="shared" ref="Q1:W1" si="1">SUM(Q4:Q159)</f>
        <v>73449.39</v>
      </c>
      <c r="R1" s="9">
        <f t="shared" si="1"/>
        <v>223467.57</v>
      </c>
      <c r="S1" s="9">
        <f t="shared" si="1"/>
        <v>1796677.12</v>
      </c>
      <c r="T1" s="9">
        <f t="shared" si="1"/>
        <v>0</v>
      </c>
      <c r="U1" s="9">
        <f t="shared" si="1"/>
        <v>299642.08</v>
      </c>
      <c r="V1" s="9">
        <f t="shared" si="1"/>
        <v>0</v>
      </c>
      <c r="W1" s="9">
        <f t="shared" si="1"/>
        <v>0</v>
      </c>
      <c r="X1" s="9">
        <f>SUBTOTAL(9,X4:X158)</f>
        <v>10476408.59</v>
      </c>
      <c r="Y1" s="10"/>
      <c r="Z1" s="10"/>
      <c r="AA1" s="117">
        <f>SUBTOTAL(9,AA4:AA279)</f>
        <v>24143000</v>
      </c>
      <c r="AD1" s="10"/>
      <c r="AE1" s="14"/>
      <c r="AF1" s="10"/>
      <c r="AG1" s="25">
        <f>SUBTOTAL(9,AG12:AG319)</f>
        <v>20194620.57</v>
      </c>
      <c r="AH1" s="10"/>
      <c r="AJ1" s="160">
        <f>O1/G1</f>
        <v>0.90262448937901307</v>
      </c>
    </row>
    <row r="2" spans="1:37" ht="14.4" customHeight="1" thickBot="1" x14ac:dyDescent="0.3">
      <c r="B2" s="8"/>
      <c r="C2" s="8"/>
      <c r="D2" s="8"/>
      <c r="E2" s="51"/>
      <c r="F2" s="8"/>
      <c r="G2" s="8"/>
      <c r="H2" s="332" t="s">
        <v>21</v>
      </c>
      <c r="I2" s="332"/>
      <c r="J2" s="332"/>
      <c r="K2" s="332"/>
      <c r="L2" s="332"/>
      <c r="M2" s="332"/>
      <c r="N2" s="332"/>
      <c r="O2" s="31"/>
      <c r="P2" s="31"/>
      <c r="Q2" s="332" t="s">
        <v>15</v>
      </c>
      <c r="R2" s="332"/>
      <c r="S2" s="332"/>
      <c r="T2" s="332"/>
      <c r="U2" s="332"/>
      <c r="V2" s="332"/>
      <c r="W2" s="332"/>
      <c r="X2" s="8"/>
      <c r="Y2" s="6"/>
      <c r="Z2" s="6"/>
      <c r="AA2" s="170"/>
      <c r="AB2" s="41"/>
      <c r="AC2" s="41"/>
      <c r="AD2" s="41"/>
      <c r="AE2" s="41"/>
      <c r="AF2" s="6"/>
      <c r="AG2" s="35"/>
      <c r="AH2" s="6"/>
      <c r="AI2" s="333" t="s">
        <v>414</v>
      </c>
      <c r="AJ2" s="333"/>
      <c r="AK2" s="333"/>
    </row>
    <row r="3" spans="1:37" ht="28.8" thickTop="1" thickBot="1" x14ac:dyDescent="0.3">
      <c r="A3" t="s">
        <v>207</v>
      </c>
      <c r="B3" s="8" t="s">
        <v>19</v>
      </c>
      <c r="C3" s="45" t="s">
        <v>375</v>
      </c>
      <c r="D3" s="45" t="s">
        <v>426</v>
      </c>
      <c r="E3" s="52" t="s">
        <v>410</v>
      </c>
      <c r="F3" s="45" t="s">
        <v>411</v>
      </c>
      <c r="G3" s="12" t="s">
        <v>16</v>
      </c>
      <c r="H3" s="38" t="s">
        <v>8</v>
      </c>
      <c r="I3" s="38" t="s">
        <v>9</v>
      </c>
      <c r="J3" s="38" t="s">
        <v>10</v>
      </c>
      <c r="K3" s="38" t="s">
        <v>11</v>
      </c>
      <c r="L3" s="38" t="s">
        <v>12</v>
      </c>
      <c r="M3" s="38" t="s">
        <v>13</v>
      </c>
      <c r="N3" s="39" t="s">
        <v>14</v>
      </c>
      <c r="O3" s="12" t="s">
        <v>22</v>
      </c>
      <c r="P3" s="12" t="s">
        <v>7</v>
      </c>
      <c r="Q3" s="38" t="s">
        <v>8</v>
      </c>
      <c r="R3" s="38" t="s">
        <v>9</v>
      </c>
      <c r="S3" s="38" t="s">
        <v>10</v>
      </c>
      <c r="T3" s="38" t="s">
        <v>11</v>
      </c>
      <c r="U3" s="38" t="s">
        <v>12</v>
      </c>
      <c r="V3" s="38" t="s">
        <v>13</v>
      </c>
      <c r="W3" s="39" t="s">
        <v>14</v>
      </c>
      <c r="X3" s="57" t="s">
        <v>267</v>
      </c>
      <c r="Y3" s="6" t="s">
        <v>207</v>
      </c>
      <c r="Z3" s="6" t="s">
        <v>207</v>
      </c>
      <c r="AA3" s="12" t="s">
        <v>412</v>
      </c>
      <c r="AB3" s="12" t="s">
        <v>418</v>
      </c>
      <c r="AC3" s="13" t="s">
        <v>18</v>
      </c>
      <c r="AD3" s="13" t="s">
        <v>17</v>
      </c>
      <c r="AE3" s="15" t="s">
        <v>20</v>
      </c>
      <c r="AF3" s="6" t="s">
        <v>207</v>
      </c>
      <c r="AG3" s="35" t="s">
        <v>413</v>
      </c>
      <c r="AH3" s="6" t="s">
        <v>207</v>
      </c>
      <c r="AI3" s="55" t="s">
        <v>415</v>
      </c>
      <c r="AJ3" s="56" t="s">
        <v>416</v>
      </c>
      <c r="AK3" s="56" t="s">
        <v>417</v>
      </c>
    </row>
    <row r="4" spans="1:37" s="161" customFormat="1" ht="15.75" customHeight="1" thickTop="1" x14ac:dyDescent="0.25">
      <c r="B4" s="162" t="s">
        <v>160</v>
      </c>
      <c r="C4" s="171">
        <f>IFERROR(_xlfn.XLOOKUP(B4,'Limite de crédito'!C:C,'Limite de crédito'!L:L),0)</f>
        <v>0</v>
      </c>
      <c r="D4" s="172"/>
      <c r="E4" s="173">
        <f>_xlfn.XLOOKUP(B4,'Limite de crédito'!C:C,'Limite de crédito'!G:G,0)</f>
        <v>0</v>
      </c>
      <c r="F4" s="164">
        <f>E4-G4</f>
        <v>-7560727.799999997</v>
      </c>
      <c r="G4" s="163">
        <f>P4+O4</f>
        <v>7560727.799999997</v>
      </c>
      <c r="H4" s="164">
        <f>SUMIFS('Data Fertilizers'!$D:$D,'Data Fertilizers'!$P:$P,$B4,'Data Fertilizers'!$Q:$Q,"&gt;0",'Data Fertilizers'!$Q:$Q,"&lt;=30")</f>
        <v>0</v>
      </c>
      <c r="I4" s="164">
        <f>SUMIFS('Data Fertilizers'!$D:$D,'Data Fertilizers'!$P:$P,$B4,'Data Fertilizers'!$Q:$Q,"&gt;30",'Data Fertilizers'!$Q:$Q,"&lt;=60")</f>
        <v>0</v>
      </c>
      <c r="J4" s="164">
        <f>SUMIFS('Data Fertilizers'!$D:$D,'Data Fertilizers'!$P:$P,$B4,'Data Fertilizers'!$Q:$Q,"&gt;60",'Data Fertilizers'!$Q:$Q,"&lt;=90")</f>
        <v>0</v>
      </c>
      <c r="K4" s="164">
        <f>SUMIFS('Data Fertilizers'!$D:$D,'Data Fertilizers'!$P:$P,$B4,'Data Fertilizers'!$Q:$Q,"&gt;90",'Data Fertilizers'!$Q:$Q,"&lt;=120")</f>
        <v>0</v>
      </c>
      <c r="L4" s="164">
        <f>SUMIFS('Data Fertilizers'!$D:$D,'Data Fertilizers'!$P:$P,$B4,'Data Fertilizers'!$Q:$Q,"&gt;120",'Data Fertilizers'!$Q:$Q,"&lt;=180")</f>
        <v>0</v>
      </c>
      <c r="M4" s="164">
        <f>SUMIFS('Data Fertilizers'!$D:$D,'Data Fertilizers'!$P:$P,$B4,'Data Fertilizers'!$Q:$Q,"&gt;180",'Data Fertilizers'!$Q:$Q,"&lt;=360")</f>
        <v>0</v>
      </c>
      <c r="N4" s="168">
        <f>SUMIFS('Data Fertilizers'!$D:$D,'Data Fertilizers'!$P:$P,$B4,'Data Fertilizers'!$Q:$Q,"&gt;360")</f>
        <v>7560727.799999997</v>
      </c>
      <c r="O4" s="164">
        <f>SUMIFS('Data Fertilizers'!$D:$D,'Data Fertilizers'!$P:$P,$B4,'Data Fertilizers'!$Q:$Q,"&gt;0")</f>
        <v>7560727.799999997</v>
      </c>
      <c r="P4" s="164">
        <f>SUM(Q4:W4)</f>
        <v>0</v>
      </c>
      <c r="Q4" s="164">
        <f>SUMIFS('Data Fertilizers'!$D:$D,'Data Fertilizers'!$P:$P,$B4,'Data Fertilizers'!$Q:$Q,"&lt;=0",'Data Fertilizers'!$Q:$Q,"&gt;=-30")</f>
        <v>0</v>
      </c>
      <c r="R4" s="164">
        <f>SUMIFS('Data Fertilizers'!$D:$D,'Data Fertilizers'!$P:$P,$B4,'Data Fertilizers'!$Q:$Q,"&lt;=-31",'Data Fertilizers'!$Q:$Q,"&gt;=-60")</f>
        <v>0</v>
      </c>
      <c r="S4" s="164">
        <f>SUMIFS('Data Fertilizers'!$D:$D,'Data Fertilizers'!$P:$P,$B4,'Data Fertilizers'!$Q:$Q,"&lt;=-61",'Data Fertilizers'!$Q:$Q,"&gt;=-90")</f>
        <v>0</v>
      </c>
      <c r="T4" s="164">
        <f>SUMIFS('Data Fertilizers'!$D:$D,'Data Fertilizers'!$P:$P,$B4,'Data Fertilizers'!$Q:$Q,"&lt;=-91",'Data Fertilizers'!$Q:$Q,"&gt;=-120")</f>
        <v>0</v>
      </c>
      <c r="U4" s="164">
        <f>SUMIFS('Data Fertilizers'!$D:$D,'Data Fertilizers'!$P:$P,$B4,'Data Fertilizers'!$Q:$Q,"&lt;=-121",'Data Fertilizers'!$Q:$Q,"&gt;=-180")</f>
        <v>0</v>
      </c>
      <c r="V4" s="164">
        <f>SUMIFS('Data Fertilizers'!$D:$D,'Data Fertilizers'!$P:$P,$B4,'Data Fertilizers'!$Q:$Q,"&lt;=-181",'Data Fertilizers'!$Q:$Q,"&gt;=-360")</f>
        <v>0</v>
      </c>
      <c r="W4" s="168">
        <f>SUMIFS('Data Fertilizers'!$D:$D,'Data Fertilizers'!$P:$P,$B4,'Data Fertilizers'!$Q:$Q,"&lt;-360")</f>
        <v>0</v>
      </c>
      <c r="X4" s="164">
        <f>SUMIFS('Bad Debt Provision'!AB:AB,'Bad Debt Provision'!B:B,'Painel Fertilizers'!B4)</f>
        <v>0</v>
      </c>
      <c r="Y4" s="165"/>
      <c r="Z4" s="165"/>
      <c r="AA4" s="110">
        <f>_xlfn.XLOOKUP(B4,'Limite de crédito'!C:C,'Limite de crédito'!O:O,0)</f>
        <v>0</v>
      </c>
      <c r="AB4" s="164"/>
      <c r="AC4" s="166"/>
      <c r="AD4" s="167"/>
      <c r="AE4" s="167"/>
      <c r="AF4" s="165"/>
      <c r="AG4" s="164">
        <f t="shared" ref="AG4:AG32" si="2">AA4-G4</f>
        <v>-7560727.799999997</v>
      </c>
      <c r="AH4" s="165"/>
      <c r="AI4" s="174">
        <v>7560727.799999997</v>
      </c>
    </row>
    <row r="5" spans="1:37" s="161" customFormat="1" ht="15.75" customHeight="1" x14ac:dyDescent="0.25">
      <c r="B5" s="162" t="s">
        <v>368</v>
      </c>
      <c r="C5" s="171">
        <f>IFERROR(_xlfn.XLOOKUP(B5,'Limite de crédito'!C:C,'Limite de crédito'!L:L),0)</f>
        <v>0</v>
      </c>
      <c r="D5" s="172"/>
      <c r="E5" s="173">
        <f>_xlfn.XLOOKUP(B5,'Limite de crédito'!C:C,'Limite de crédito'!G:G,0)</f>
        <v>0</v>
      </c>
      <c r="F5" s="163">
        <f t="shared" ref="F5:F32" si="3">E5-G5</f>
        <v>-3088531.0700000008</v>
      </c>
      <c r="G5" s="163">
        <f t="shared" ref="G5:G32" si="4">P5+O5</f>
        <v>3088531.0700000008</v>
      </c>
      <c r="H5" s="164">
        <f>SUMIFS('Data Fertilizers'!$D:$D,'Data Fertilizers'!$P:$P,$B5,'Data Fertilizers'!$Q:$Q,"&gt;0",'Data Fertilizers'!$Q:$Q,"&lt;=30")</f>
        <v>0</v>
      </c>
      <c r="I5" s="164">
        <f>SUMIFS('Data Fertilizers'!$D:$D,'Data Fertilizers'!$P:$P,$B5,'Data Fertilizers'!$Q:$Q,"&gt;30",'Data Fertilizers'!$Q:$Q,"&lt;=60")</f>
        <v>0</v>
      </c>
      <c r="J5" s="164">
        <f>SUMIFS('Data Fertilizers'!$D:$D,'Data Fertilizers'!$P:$P,$B5,'Data Fertilizers'!$Q:$Q,"&gt;60",'Data Fertilizers'!$Q:$Q,"&lt;=90")</f>
        <v>0</v>
      </c>
      <c r="K5" s="164">
        <f>SUMIFS('Data Fertilizers'!$D:$D,'Data Fertilizers'!$P:$P,$B5,'Data Fertilizers'!$Q:$Q,"&gt;90",'Data Fertilizers'!$Q:$Q,"&lt;=120")</f>
        <v>0</v>
      </c>
      <c r="L5" s="164">
        <f>SUMIFS('Data Fertilizers'!$D:$D,'Data Fertilizers'!$P:$P,$B5,'Data Fertilizers'!$Q:$Q,"&gt;120",'Data Fertilizers'!$Q:$Q,"&lt;=180")</f>
        <v>0</v>
      </c>
      <c r="M5" s="164">
        <f>SUMIFS('Data Fertilizers'!$D:$D,'Data Fertilizers'!$P:$P,$B5,'Data Fertilizers'!$Q:$Q,"&gt;180",'Data Fertilizers'!$Q:$Q,"&lt;=360")</f>
        <v>0</v>
      </c>
      <c r="N5" s="168">
        <f>SUMIFS('Data Fertilizers'!$D:$D,'Data Fertilizers'!$P:$P,$B5,'Data Fertilizers'!$Q:$Q,"&gt;360")</f>
        <v>3088531.0700000008</v>
      </c>
      <c r="O5" s="164">
        <f>SUMIFS('Data Fertilizers'!$D:$D,'Data Fertilizers'!$P:$P,$B5,'Data Fertilizers'!$Q:$Q,"&gt;0")</f>
        <v>3088531.0700000008</v>
      </c>
      <c r="P5" s="164">
        <f t="shared" ref="P5:P44" si="5">SUM(Q5:W5)</f>
        <v>0</v>
      </c>
      <c r="Q5" s="164">
        <f>SUMIFS('Data Fertilizers'!$D:$D,'Data Fertilizers'!$P:$P,$B5,'Data Fertilizers'!$Q:$Q,"&lt;=0",'Data Fertilizers'!$Q:$Q,"&gt;=-30")</f>
        <v>0</v>
      </c>
      <c r="R5" s="164">
        <f>SUMIFS('Data Fertilizers'!$D:$D,'Data Fertilizers'!$P:$P,$B5,'Data Fertilizers'!$Q:$Q,"&lt;=-31",'Data Fertilizers'!$Q:$Q,"&gt;=-60")</f>
        <v>0</v>
      </c>
      <c r="S5" s="164">
        <f>SUMIFS('Data Fertilizers'!$D:$D,'Data Fertilizers'!$P:$P,$B5,'Data Fertilizers'!$Q:$Q,"&lt;=-61",'Data Fertilizers'!$Q:$Q,"&gt;=-90")</f>
        <v>0</v>
      </c>
      <c r="T5" s="164">
        <f>SUMIFS('Data Fertilizers'!$D:$D,'Data Fertilizers'!$P:$P,$B5,'Data Fertilizers'!$Q:$Q,"&lt;=-91",'Data Fertilizers'!$Q:$Q,"&gt;=-120")</f>
        <v>0</v>
      </c>
      <c r="U5" s="164">
        <f>SUMIFS('Data Fertilizers'!$D:$D,'Data Fertilizers'!$P:$P,$B5,'Data Fertilizers'!$Q:$Q,"&lt;=-121",'Data Fertilizers'!$Q:$Q,"&gt;=-180")</f>
        <v>0</v>
      </c>
      <c r="V5" s="164">
        <f>SUMIFS('Data Fertilizers'!$D:$D,'Data Fertilizers'!$P:$P,$B5,'Data Fertilizers'!$Q:$Q,"&lt;=-181",'Data Fertilizers'!$Q:$Q,"&gt;=-360")</f>
        <v>0</v>
      </c>
      <c r="W5" s="168">
        <f>SUMIFS('Data Fertilizers'!$D:$D,'Data Fertilizers'!$P:$P,$B5,'Data Fertilizers'!$Q:$Q,"&lt;-360")</f>
        <v>0</v>
      </c>
      <c r="X5" s="164">
        <f>SUMIFS('Bad Debt Provision'!AB:AB,'Bad Debt Provision'!B:B,'Painel Fertilizers'!B5)</f>
        <v>3088531.0700000008</v>
      </c>
      <c r="Z5" s="165"/>
      <c r="AA5" s="110">
        <f>_xlfn.XLOOKUP(B5,'Limite de crédito'!C:C,'Limite de crédito'!O:O,0)</f>
        <v>0</v>
      </c>
      <c r="AB5" s="164"/>
      <c r="AC5" s="166"/>
      <c r="AD5" s="167"/>
      <c r="AE5" s="167"/>
      <c r="AF5" s="165"/>
      <c r="AG5" s="164">
        <f t="shared" si="2"/>
        <v>-3088531.0700000008</v>
      </c>
      <c r="AI5" s="174">
        <v>3088531.0700000008</v>
      </c>
    </row>
    <row r="6" spans="1:37" s="161" customFormat="1" ht="15.75" customHeight="1" x14ac:dyDescent="0.25">
      <c r="B6" s="162" t="s">
        <v>192</v>
      </c>
      <c r="C6" s="171">
        <f>IFERROR(_xlfn.XLOOKUP(B6,'Limite de crédito'!C:C,'Limite de crédito'!L:L),0)</f>
        <v>0</v>
      </c>
      <c r="D6" s="172"/>
      <c r="E6" s="173">
        <f>_xlfn.XLOOKUP(B6,'Limite de crédito'!C:C,'Limite de crédito'!G:G,0)</f>
        <v>0</v>
      </c>
      <c r="F6" s="163">
        <f t="shared" si="3"/>
        <v>-3044850.9199999995</v>
      </c>
      <c r="G6" s="163">
        <f t="shared" si="4"/>
        <v>3044850.9199999995</v>
      </c>
      <c r="H6" s="164">
        <f>SUMIFS('Data Fertilizers'!$D:$D,'Data Fertilizers'!$P:$P,$B6,'Data Fertilizers'!$Q:$Q,"&gt;0",'Data Fertilizers'!$Q:$Q,"&lt;=30")</f>
        <v>0</v>
      </c>
      <c r="I6" s="164">
        <f>SUMIFS('Data Fertilizers'!$D:$D,'Data Fertilizers'!$P:$P,$B6,'Data Fertilizers'!$Q:$Q,"&gt;30",'Data Fertilizers'!$Q:$Q,"&lt;=60")</f>
        <v>0</v>
      </c>
      <c r="J6" s="164">
        <f>SUMIFS('Data Fertilizers'!$D:$D,'Data Fertilizers'!$P:$P,$B6,'Data Fertilizers'!$Q:$Q,"&gt;60",'Data Fertilizers'!$Q:$Q,"&lt;=90")</f>
        <v>0</v>
      </c>
      <c r="K6" s="164">
        <f>SUMIFS('Data Fertilizers'!$D:$D,'Data Fertilizers'!$P:$P,$B6,'Data Fertilizers'!$Q:$Q,"&gt;90",'Data Fertilizers'!$Q:$Q,"&lt;=120")</f>
        <v>0</v>
      </c>
      <c r="L6" s="164">
        <f>SUMIFS('Data Fertilizers'!$D:$D,'Data Fertilizers'!$P:$P,$B6,'Data Fertilizers'!$Q:$Q,"&gt;120",'Data Fertilizers'!$Q:$Q,"&lt;=180")</f>
        <v>0</v>
      </c>
      <c r="M6" s="164">
        <f>SUMIFS('Data Fertilizers'!$D:$D,'Data Fertilizers'!$P:$P,$B6,'Data Fertilizers'!$Q:$Q,"&gt;180",'Data Fertilizers'!$Q:$Q,"&lt;=360")</f>
        <v>0</v>
      </c>
      <c r="N6" s="168">
        <f>SUMIFS('Data Fertilizers'!$D:$D,'Data Fertilizers'!$P:$P,$B6,'Data Fertilizers'!$Q:$Q,"&gt;360")</f>
        <v>3044850.9199999995</v>
      </c>
      <c r="O6" s="164">
        <f>SUMIFS('Data Fertilizers'!$D:$D,'Data Fertilizers'!$P:$P,$B6,'Data Fertilizers'!$Q:$Q,"&gt;0")</f>
        <v>3044850.9199999995</v>
      </c>
      <c r="P6" s="164">
        <f t="shared" si="5"/>
        <v>0</v>
      </c>
      <c r="Q6" s="164">
        <f>SUMIFS('Data Fertilizers'!$D:$D,'Data Fertilizers'!$P:$P,$B6,'Data Fertilizers'!$Q:$Q,"&lt;=0",'Data Fertilizers'!$Q:$Q,"&gt;=-30")</f>
        <v>0</v>
      </c>
      <c r="R6" s="164">
        <f>SUMIFS('Data Fertilizers'!$D:$D,'Data Fertilizers'!$P:$P,$B6,'Data Fertilizers'!$Q:$Q,"&lt;=-31",'Data Fertilizers'!$Q:$Q,"&gt;=-60")</f>
        <v>0</v>
      </c>
      <c r="S6" s="164">
        <f>SUMIFS('Data Fertilizers'!$D:$D,'Data Fertilizers'!$P:$P,$B6,'Data Fertilizers'!$Q:$Q,"&lt;=-61",'Data Fertilizers'!$Q:$Q,"&gt;=-90")</f>
        <v>0</v>
      </c>
      <c r="T6" s="164">
        <f>SUMIFS('Data Fertilizers'!$D:$D,'Data Fertilizers'!$P:$P,$B6,'Data Fertilizers'!$Q:$Q,"&lt;=-91",'Data Fertilizers'!$Q:$Q,"&gt;=-120")</f>
        <v>0</v>
      </c>
      <c r="U6" s="164">
        <f>SUMIFS('Data Fertilizers'!$D:$D,'Data Fertilizers'!$P:$P,$B6,'Data Fertilizers'!$Q:$Q,"&lt;=-121",'Data Fertilizers'!$Q:$Q,"&gt;=-180")</f>
        <v>0</v>
      </c>
      <c r="V6" s="164">
        <f>SUMIFS('Data Fertilizers'!$D:$D,'Data Fertilizers'!$P:$P,$B6,'Data Fertilizers'!$Q:$Q,"&lt;=-181",'Data Fertilizers'!$Q:$Q,"&gt;=-360")</f>
        <v>0</v>
      </c>
      <c r="W6" s="168">
        <f>SUMIFS('Data Fertilizers'!$D:$D,'Data Fertilizers'!$P:$P,$B6,'Data Fertilizers'!$Q:$Q,"&lt;-360")</f>
        <v>0</v>
      </c>
      <c r="X6" s="164">
        <f>SUMIFS('Bad Debt Provision'!AB:AB,'Bad Debt Provision'!B:B,'Painel Fertilizers'!B6)</f>
        <v>3044850.9199999995</v>
      </c>
      <c r="Y6" s="165"/>
      <c r="Z6" s="165"/>
      <c r="AA6" s="110">
        <f>_xlfn.XLOOKUP(B6,'Limite de crédito'!C:C,'Limite de crédito'!O:O,0)</f>
        <v>0</v>
      </c>
      <c r="AB6" s="164"/>
      <c r="AC6" s="166"/>
      <c r="AD6" s="167"/>
      <c r="AE6" s="167"/>
      <c r="AF6" s="165"/>
      <c r="AG6" s="164">
        <f t="shared" si="2"/>
        <v>-3044850.9199999995</v>
      </c>
      <c r="AH6" s="165"/>
      <c r="AI6" s="174">
        <v>3044850.9199999995</v>
      </c>
    </row>
    <row r="7" spans="1:37" s="161" customFormat="1" ht="15.75" customHeight="1" x14ac:dyDescent="0.25">
      <c r="B7" s="162" t="s">
        <v>170</v>
      </c>
      <c r="C7" s="171">
        <f>IFERROR(_xlfn.XLOOKUP(B7,'Limite de crédito'!C:C,'Limite de crédito'!L:L),0)</f>
        <v>0</v>
      </c>
      <c r="D7" s="172"/>
      <c r="E7" s="173">
        <f>_xlfn.XLOOKUP(B7,'Limite de crédito'!C:C,'Limite de crédito'!G:G,0)</f>
        <v>0</v>
      </c>
      <c r="F7" s="163">
        <f t="shared" si="3"/>
        <v>-2492842.0500000007</v>
      </c>
      <c r="G7" s="163">
        <f t="shared" si="4"/>
        <v>2492842.0500000007</v>
      </c>
      <c r="H7" s="164">
        <f>SUMIFS('Data Fertilizers'!$D:$D,'Data Fertilizers'!$P:$P,$B7,'Data Fertilizers'!$Q:$Q,"&gt;0",'Data Fertilizers'!$Q:$Q,"&lt;=30")</f>
        <v>0</v>
      </c>
      <c r="I7" s="164">
        <f>SUMIFS('Data Fertilizers'!$D:$D,'Data Fertilizers'!$P:$P,$B7,'Data Fertilizers'!$Q:$Q,"&gt;30",'Data Fertilizers'!$Q:$Q,"&lt;=60")</f>
        <v>0</v>
      </c>
      <c r="J7" s="164">
        <f>SUMIFS('Data Fertilizers'!$D:$D,'Data Fertilizers'!$P:$P,$B7,'Data Fertilizers'!$Q:$Q,"&gt;60",'Data Fertilizers'!$Q:$Q,"&lt;=90")</f>
        <v>0</v>
      </c>
      <c r="K7" s="164">
        <f>SUMIFS('Data Fertilizers'!$D:$D,'Data Fertilizers'!$P:$P,$B7,'Data Fertilizers'!$Q:$Q,"&gt;90",'Data Fertilizers'!$Q:$Q,"&lt;=120")</f>
        <v>0</v>
      </c>
      <c r="L7" s="164">
        <f>SUMIFS('Data Fertilizers'!$D:$D,'Data Fertilizers'!$P:$P,$B7,'Data Fertilizers'!$Q:$Q,"&gt;120",'Data Fertilizers'!$Q:$Q,"&lt;=180")</f>
        <v>0</v>
      </c>
      <c r="M7" s="164">
        <f>SUMIFS('Data Fertilizers'!$D:$D,'Data Fertilizers'!$P:$P,$B7,'Data Fertilizers'!$Q:$Q,"&gt;180",'Data Fertilizers'!$Q:$Q,"&lt;=360")</f>
        <v>0</v>
      </c>
      <c r="N7" s="168">
        <f>SUMIFS('Data Fertilizers'!$D:$D,'Data Fertilizers'!$P:$P,$B7,'Data Fertilizers'!$Q:$Q,"&gt;360")</f>
        <v>2492842.0500000007</v>
      </c>
      <c r="O7" s="164">
        <f>SUMIFS('Data Fertilizers'!$D:$D,'Data Fertilizers'!$P:$P,$B7,'Data Fertilizers'!$Q:$Q,"&gt;0")</f>
        <v>2492842.0500000007</v>
      </c>
      <c r="P7" s="164">
        <f t="shared" si="5"/>
        <v>0</v>
      </c>
      <c r="Q7" s="164">
        <f>SUMIFS('Data Fertilizers'!$D:$D,'Data Fertilizers'!$P:$P,$B7,'Data Fertilizers'!$Q:$Q,"&lt;=0",'Data Fertilizers'!$Q:$Q,"&gt;=-30")</f>
        <v>0</v>
      </c>
      <c r="R7" s="164">
        <f>SUMIFS('Data Fertilizers'!$D:$D,'Data Fertilizers'!$P:$P,$B7,'Data Fertilizers'!$Q:$Q,"&lt;=-31",'Data Fertilizers'!$Q:$Q,"&gt;=-60")</f>
        <v>0</v>
      </c>
      <c r="S7" s="164">
        <f>SUMIFS('Data Fertilizers'!$D:$D,'Data Fertilizers'!$P:$P,$B7,'Data Fertilizers'!$Q:$Q,"&lt;=-61",'Data Fertilizers'!$Q:$Q,"&gt;=-90")</f>
        <v>0</v>
      </c>
      <c r="T7" s="164">
        <f>SUMIFS('Data Fertilizers'!$D:$D,'Data Fertilizers'!$P:$P,$B7,'Data Fertilizers'!$Q:$Q,"&lt;=-91",'Data Fertilizers'!$Q:$Q,"&gt;=-120")</f>
        <v>0</v>
      </c>
      <c r="U7" s="164">
        <f>SUMIFS('Data Fertilizers'!$D:$D,'Data Fertilizers'!$P:$P,$B7,'Data Fertilizers'!$Q:$Q,"&lt;=-121",'Data Fertilizers'!$Q:$Q,"&gt;=-180")</f>
        <v>0</v>
      </c>
      <c r="V7" s="164">
        <f>SUMIFS('Data Fertilizers'!$D:$D,'Data Fertilizers'!$P:$P,$B7,'Data Fertilizers'!$Q:$Q,"&lt;=-181",'Data Fertilizers'!$Q:$Q,"&gt;=-360")</f>
        <v>0</v>
      </c>
      <c r="W7" s="168">
        <f>SUMIFS('Data Fertilizers'!$D:$D,'Data Fertilizers'!$P:$P,$B7,'Data Fertilizers'!$Q:$Q,"&lt;-360")</f>
        <v>0</v>
      </c>
      <c r="X7" s="164">
        <f>SUMIFS('Bad Debt Provision'!AB:AB,'Bad Debt Provision'!B:B,'Painel Fertilizers'!B7)</f>
        <v>0</v>
      </c>
      <c r="Y7" s="165"/>
      <c r="Z7" s="165"/>
      <c r="AA7" s="110">
        <f>_xlfn.XLOOKUP(B7,'Limite de crédito'!C:C,'Limite de crédito'!O:O,0)</f>
        <v>0</v>
      </c>
      <c r="AB7" s="164"/>
      <c r="AC7" s="166"/>
      <c r="AD7" s="167"/>
      <c r="AE7" s="167"/>
      <c r="AF7" s="165"/>
      <c r="AG7" s="164">
        <f t="shared" si="2"/>
        <v>-2492842.0500000007</v>
      </c>
      <c r="AH7" s="165"/>
      <c r="AI7" s="174">
        <v>2971789.89</v>
      </c>
    </row>
    <row r="8" spans="1:37" s="161" customFormat="1" ht="15.75" customHeight="1" x14ac:dyDescent="0.25">
      <c r="B8" s="162" t="s">
        <v>177</v>
      </c>
      <c r="C8" s="171">
        <f>IFERROR(_xlfn.XLOOKUP(B8,'Limite de crédito'!C:C,'Limite de crédito'!L:L),0)</f>
        <v>0</v>
      </c>
      <c r="D8" s="172"/>
      <c r="E8" s="173">
        <f>_xlfn.XLOOKUP(B8,'Limite de crédito'!C:C,'Limite de crédito'!G:G,0)</f>
        <v>0</v>
      </c>
      <c r="F8" s="175">
        <f t="shared" si="3"/>
        <v>-1863200.9</v>
      </c>
      <c r="G8" s="163">
        <f t="shared" si="4"/>
        <v>1863200.9</v>
      </c>
      <c r="H8" s="164">
        <f>SUMIFS('Data Fertilizers'!$D:$D,'Data Fertilizers'!$P:$P,$B8,'Data Fertilizers'!$Q:$Q,"&gt;0",'Data Fertilizers'!$Q:$Q,"&lt;=30")</f>
        <v>0</v>
      </c>
      <c r="I8" s="164">
        <f>SUMIFS('Data Fertilizers'!$D:$D,'Data Fertilizers'!$P:$P,$B8,'Data Fertilizers'!$Q:$Q,"&gt;30",'Data Fertilizers'!$Q:$Q,"&lt;=60")</f>
        <v>0</v>
      </c>
      <c r="J8" s="164">
        <f>SUMIFS('Data Fertilizers'!$D:$D,'Data Fertilizers'!$P:$P,$B8,'Data Fertilizers'!$Q:$Q,"&gt;60",'Data Fertilizers'!$Q:$Q,"&lt;=90")</f>
        <v>0</v>
      </c>
      <c r="K8" s="164">
        <f>SUMIFS('Data Fertilizers'!$D:$D,'Data Fertilizers'!$P:$P,$B8,'Data Fertilizers'!$Q:$Q,"&gt;90",'Data Fertilizers'!$Q:$Q,"&lt;=120")</f>
        <v>0</v>
      </c>
      <c r="L8" s="164">
        <f>SUMIFS('Data Fertilizers'!$D:$D,'Data Fertilizers'!$P:$P,$B8,'Data Fertilizers'!$Q:$Q,"&gt;120",'Data Fertilizers'!$Q:$Q,"&lt;=180")</f>
        <v>0</v>
      </c>
      <c r="M8" s="164">
        <f>SUMIFS('Data Fertilizers'!$D:$D,'Data Fertilizers'!$P:$P,$B8,'Data Fertilizers'!$Q:$Q,"&gt;180",'Data Fertilizers'!$Q:$Q,"&lt;=360")</f>
        <v>0</v>
      </c>
      <c r="N8" s="168">
        <f>SUMIFS('Data Fertilizers'!$D:$D,'Data Fertilizers'!$P:$P,$B8,'Data Fertilizers'!$Q:$Q,"&gt;360")</f>
        <v>1863200.9</v>
      </c>
      <c r="O8" s="164">
        <f>SUMIFS('Data Fertilizers'!$D:$D,'Data Fertilizers'!$P:$P,$B8,'Data Fertilizers'!$Q:$Q,"&gt;0")</f>
        <v>1863200.9</v>
      </c>
      <c r="P8" s="164">
        <f t="shared" si="5"/>
        <v>0</v>
      </c>
      <c r="Q8" s="164">
        <f>SUMIFS('Data Fertilizers'!$D:$D,'Data Fertilizers'!$P:$P,$B8,'Data Fertilizers'!$Q:$Q,"&lt;=0",'Data Fertilizers'!$Q:$Q,"&gt;=-30")</f>
        <v>0</v>
      </c>
      <c r="R8" s="164">
        <f>SUMIFS('Data Fertilizers'!$D:$D,'Data Fertilizers'!$P:$P,$B8,'Data Fertilizers'!$Q:$Q,"&lt;=-31",'Data Fertilizers'!$Q:$Q,"&gt;=-60")</f>
        <v>0</v>
      </c>
      <c r="S8" s="164">
        <f>SUMIFS('Data Fertilizers'!$D:$D,'Data Fertilizers'!$P:$P,$B8,'Data Fertilizers'!$Q:$Q,"&lt;=-61",'Data Fertilizers'!$Q:$Q,"&gt;=-90")</f>
        <v>0</v>
      </c>
      <c r="T8" s="164">
        <f>SUMIFS('Data Fertilizers'!$D:$D,'Data Fertilizers'!$P:$P,$B8,'Data Fertilizers'!$Q:$Q,"&lt;=-91",'Data Fertilizers'!$Q:$Q,"&gt;=-120")</f>
        <v>0</v>
      </c>
      <c r="U8" s="164">
        <f>SUMIFS('Data Fertilizers'!$D:$D,'Data Fertilizers'!$P:$P,$B8,'Data Fertilizers'!$Q:$Q,"&lt;=-121",'Data Fertilizers'!$Q:$Q,"&gt;=-180")</f>
        <v>0</v>
      </c>
      <c r="V8" s="164">
        <f>SUMIFS('Data Fertilizers'!$D:$D,'Data Fertilizers'!$P:$P,$B8,'Data Fertilizers'!$Q:$Q,"&lt;=-181",'Data Fertilizers'!$Q:$Q,"&gt;=-360")</f>
        <v>0</v>
      </c>
      <c r="W8" s="168">
        <f>SUMIFS('Data Fertilizers'!$D:$D,'Data Fertilizers'!$P:$P,$B8,'Data Fertilizers'!$Q:$Q,"&lt;-360")</f>
        <v>0</v>
      </c>
      <c r="X8" s="164">
        <f>SUMIFS('Bad Debt Provision'!AB:AB,'Bad Debt Provision'!B:B,'Painel Fertilizers'!B8)</f>
        <v>1863200.9</v>
      </c>
      <c r="Y8" s="165"/>
      <c r="Z8" s="165"/>
      <c r="AA8" s="110">
        <f>_xlfn.XLOOKUP(B8,'Limite de crédito'!C:C,'Limite de crédito'!O:O,0)</f>
        <v>0</v>
      </c>
      <c r="AB8" s="164"/>
      <c r="AC8" s="166"/>
      <c r="AD8" s="167"/>
      <c r="AE8" s="167"/>
      <c r="AF8" s="165"/>
      <c r="AG8" s="164">
        <f t="shared" si="2"/>
        <v>-1863200.9</v>
      </c>
      <c r="AH8" s="165"/>
    </row>
    <row r="9" spans="1:37" s="161" customFormat="1" ht="15.75" customHeight="1" x14ac:dyDescent="0.25">
      <c r="B9" s="162" t="s">
        <v>181</v>
      </c>
      <c r="C9" s="171">
        <f>IFERROR(_xlfn.XLOOKUP(B9,'Limite de crédito'!C:C,'Limite de crédito'!L:L),0)</f>
        <v>0</v>
      </c>
      <c r="D9" s="172"/>
      <c r="E9" s="173">
        <f>_xlfn.XLOOKUP(B9,'Limite de crédito'!C:C,'Limite de crédito'!G:G,0)</f>
        <v>0</v>
      </c>
      <c r="F9" s="163">
        <f t="shared" si="3"/>
        <v>-1702848.7400000002</v>
      </c>
      <c r="G9" s="163">
        <f t="shared" si="4"/>
        <v>1702848.7400000002</v>
      </c>
      <c r="H9" s="164">
        <f>SUMIFS('Data Fertilizers'!$D:$D,'Data Fertilizers'!$P:$P,$B9,'Data Fertilizers'!$Q:$Q,"&gt;0",'Data Fertilizers'!$Q:$Q,"&lt;=30")</f>
        <v>0</v>
      </c>
      <c r="I9" s="164">
        <f>SUMIFS('Data Fertilizers'!$D:$D,'Data Fertilizers'!$P:$P,$B9,'Data Fertilizers'!$Q:$Q,"&gt;30",'Data Fertilizers'!$Q:$Q,"&lt;=60")</f>
        <v>0</v>
      </c>
      <c r="J9" s="164">
        <f>SUMIFS('Data Fertilizers'!$D:$D,'Data Fertilizers'!$P:$P,$B9,'Data Fertilizers'!$Q:$Q,"&gt;60",'Data Fertilizers'!$Q:$Q,"&lt;=90")</f>
        <v>0</v>
      </c>
      <c r="K9" s="164">
        <f>SUMIFS('Data Fertilizers'!$D:$D,'Data Fertilizers'!$P:$P,$B9,'Data Fertilizers'!$Q:$Q,"&gt;90",'Data Fertilizers'!$Q:$Q,"&lt;=120")</f>
        <v>0</v>
      </c>
      <c r="L9" s="164">
        <f>SUMIFS('Data Fertilizers'!$D:$D,'Data Fertilizers'!$P:$P,$B9,'Data Fertilizers'!$Q:$Q,"&gt;120",'Data Fertilizers'!$Q:$Q,"&lt;=180")</f>
        <v>0</v>
      </c>
      <c r="M9" s="164">
        <f>SUMIFS('Data Fertilizers'!$D:$D,'Data Fertilizers'!$P:$P,$B9,'Data Fertilizers'!$Q:$Q,"&gt;180",'Data Fertilizers'!$Q:$Q,"&lt;=360")</f>
        <v>0</v>
      </c>
      <c r="N9" s="168">
        <f>SUMIFS('Data Fertilizers'!$D:$D,'Data Fertilizers'!$P:$P,$B9,'Data Fertilizers'!$Q:$Q,"&gt;360")</f>
        <v>1702848.7400000002</v>
      </c>
      <c r="O9" s="164">
        <f>SUMIFS('Data Fertilizers'!$D:$D,'Data Fertilizers'!$P:$P,$B9,'Data Fertilizers'!$Q:$Q,"&gt;0")</f>
        <v>1702848.7400000002</v>
      </c>
      <c r="P9" s="164">
        <f t="shared" si="5"/>
        <v>0</v>
      </c>
      <c r="Q9" s="164">
        <f>SUMIFS('Data Fertilizers'!$D:$D,'Data Fertilizers'!$P:$P,$B9,'Data Fertilizers'!$Q:$Q,"&lt;=0",'Data Fertilizers'!$Q:$Q,"&gt;=-30")</f>
        <v>0</v>
      </c>
      <c r="R9" s="164">
        <f>SUMIFS('Data Fertilizers'!$D:$D,'Data Fertilizers'!$P:$P,$B9,'Data Fertilizers'!$Q:$Q,"&lt;=-31",'Data Fertilizers'!$Q:$Q,"&gt;=-60")</f>
        <v>0</v>
      </c>
      <c r="S9" s="164">
        <f>SUMIFS('Data Fertilizers'!$D:$D,'Data Fertilizers'!$P:$P,$B9,'Data Fertilizers'!$Q:$Q,"&lt;=-61",'Data Fertilizers'!$Q:$Q,"&gt;=-90")</f>
        <v>0</v>
      </c>
      <c r="T9" s="164">
        <f>SUMIFS('Data Fertilizers'!$D:$D,'Data Fertilizers'!$P:$P,$B9,'Data Fertilizers'!$Q:$Q,"&lt;=-91",'Data Fertilizers'!$Q:$Q,"&gt;=-120")</f>
        <v>0</v>
      </c>
      <c r="U9" s="164">
        <f>SUMIFS('Data Fertilizers'!$D:$D,'Data Fertilizers'!$P:$P,$B9,'Data Fertilizers'!$Q:$Q,"&lt;=-121",'Data Fertilizers'!$Q:$Q,"&gt;=-180")</f>
        <v>0</v>
      </c>
      <c r="V9" s="164">
        <f>SUMIFS('Data Fertilizers'!$D:$D,'Data Fertilizers'!$P:$P,$B9,'Data Fertilizers'!$Q:$Q,"&lt;=-181",'Data Fertilizers'!$Q:$Q,"&gt;=-360")</f>
        <v>0</v>
      </c>
      <c r="W9" s="168">
        <f>SUMIFS('Data Fertilizers'!$D:$D,'Data Fertilizers'!$P:$P,$B9,'Data Fertilizers'!$Q:$Q,"&lt;-360")</f>
        <v>0</v>
      </c>
      <c r="X9" s="164">
        <f>SUMIFS('Bad Debt Provision'!AB:AB,'Bad Debt Provision'!B:B,'Painel Fertilizers'!B9)</f>
        <v>1702848.7400000002</v>
      </c>
      <c r="Y9" s="165"/>
      <c r="Z9" s="165"/>
      <c r="AA9" s="110">
        <f>_xlfn.XLOOKUP(B9,'Limite de crédito'!C:C,'Limite de crédito'!O:O,0)</f>
        <v>0</v>
      </c>
      <c r="AB9" s="164"/>
      <c r="AC9" s="166"/>
      <c r="AD9" s="167"/>
      <c r="AE9" s="167"/>
      <c r="AF9" s="165"/>
      <c r="AG9" s="164">
        <f t="shared" si="2"/>
        <v>-1702848.7400000002</v>
      </c>
      <c r="AH9" s="165"/>
      <c r="AI9" s="174">
        <v>1716645.3400000003</v>
      </c>
    </row>
    <row r="10" spans="1:37" s="161" customFormat="1" ht="15.75" customHeight="1" x14ac:dyDescent="0.25">
      <c r="B10" s="162" t="s">
        <v>189</v>
      </c>
      <c r="C10" s="171">
        <f>IFERROR(_xlfn.XLOOKUP(B10,'Limite de crédito'!C:C,'Limite de crédito'!L:L),0)</f>
        <v>0</v>
      </c>
      <c r="D10" s="172"/>
      <c r="E10" s="173">
        <f>_xlfn.XLOOKUP(B10,'Limite de crédito'!C:C,'Limite de crédito'!G:G,0)</f>
        <v>0</v>
      </c>
      <c r="F10" s="163">
        <f t="shared" si="3"/>
        <v>-876011.75</v>
      </c>
      <c r="G10" s="163">
        <f t="shared" si="4"/>
        <v>876011.75</v>
      </c>
      <c r="H10" s="164">
        <f>SUMIFS('Data Fertilizers'!$D:$D,'Data Fertilizers'!$P:$P,$B10,'Data Fertilizers'!$Q:$Q,"&gt;0",'Data Fertilizers'!$Q:$Q,"&lt;=30")</f>
        <v>0</v>
      </c>
      <c r="I10" s="164">
        <f>SUMIFS('Data Fertilizers'!$D:$D,'Data Fertilizers'!$P:$P,$B10,'Data Fertilizers'!$Q:$Q,"&gt;30",'Data Fertilizers'!$Q:$Q,"&lt;=60")</f>
        <v>0</v>
      </c>
      <c r="J10" s="164">
        <f>SUMIFS('Data Fertilizers'!$D:$D,'Data Fertilizers'!$P:$P,$B10,'Data Fertilizers'!$Q:$Q,"&gt;60",'Data Fertilizers'!$Q:$Q,"&lt;=90")</f>
        <v>0</v>
      </c>
      <c r="K10" s="164">
        <f>SUMIFS('Data Fertilizers'!$D:$D,'Data Fertilizers'!$P:$P,$B10,'Data Fertilizers'!$Q:$Q,"&gt;90",'Data Fertilizers'!$Q:$Q,"&lt;=120")</f>
        <v>0</v>
      </c>
      <c r="L10" s="164">
        <f>SUMIFS('Data Fertilizers'!$D:$D,'Data Fertilizers'!$P:$P,$B10,'Data Fertilizers'!$Q:$Q,"&gt;120",'Data Fertilizers'!$Q:$Q,"&lt;=180")</f>
        <v>0</v>
      </c>
      <c r="M10" s="164">
        <f>SUMIFS('Data Fertilizers'!$D:$D,'Data Fertilizers'!$P:$P,$B10,'Data Fertilizers'!$Q:$Q,"&gt;180",'Data Fertilizers'!$Q:$Q,"&lt;=360")</f>
        <v>0</v>
      </c>
      <c r="N10" s="168">
        <f>SUMIFS('Data Fertilizers'!$D:$D,'Data Fertilizers'!$P:$P,$B10,'Data Fertilizers'!$Q:$Q,"&gt;360")</f>
        <v>876011.75</v>
      </c>
      <c r="O10" s="164">
        <f>SUMIFS('Data Fertilizers'!$D:$D,'Data Fertilizers'!$P:$P,$B10,'Data Fertilizers'!$Q:$Q,"&gt;0")</f>
        <v>876011.75</v>
      </c>
      <c r="P10" s="164">
        <f t="shared" si="5"/>
        <v>0</v>
      </c>
      <c r="Q10" s="164">
        <f>SUMIFS('Data Fertilizers'!$D:$D,'Data Fertilizers'!$P:$P,$B10,'Data Fertilizers'!$Q:$Q,"&lt;=0",'Data Fertilizers'!$Q:$Q,"&gt;=-30")</f>
        <v>0</v>
      </c>
      <c r="R10" s="164">
        <f>SUMIFS('Data Fertilizers'!$D:$D,'Data Fertilizers'!$P:$P,$B10,'Data Fertilizers'!$Q:$Q,"&lt;=-31",'Data Fertilizers'!$Q:$Q,"&gt;=-60")</f>
        <v>0</v>
      </c>
      <c r="S10" s="164">
        <f>SUMIFS('Data Fertilizers'!$D:$D,'Data Fertilizers'!$P:$P,$B10,'Data Fertilizers'!$Q:$Q,"&lt;=-61",'Data Fertilizers'!$Q:$Q,"&gt;=-90")</f>
        <v>0</v>
      </c>
      <c r="T10" s="164">
        <f>SUMIFS('Data Fertilizers'!$D:$D,'Data Fertilizers'!$P:$P,$B10,'Data Fertilizers'!$Q:$Q,"&lt;=-91",'Data Fertilizers'!$Q:$Q,"&gt;=-120")</f>
        <v>0</v>
      </c>
      <c r="U10" s="164">
        <f>SUMIFS('Data Fertilizers'!$D:$D,'Data Fertilizers'!$P:$P,$B10,'Data Fertilizers'!$Q:$Q,"&lt;=-121",'Data Fertilizers'!$Q:$Q,"&gt;=-180")</f>
        <v>0</v>
      </c>
      <c r="V10" s="164">
        <f>SUMIFS('Data Fertilizers'!$D:$D,'Data Fertilizers'!$P:$P,$B10,'Data Fertilizers'!$Q:$Q,"&lt;=-181",'Data Fertilizers'!$Q:$Q,"&gt;=-360")</f>
        <v>0</v>
      </c>
      <c r="W10" s="168">
        <f>SUMIFS('Data Fertilizers'!$D:$D,'Data Fertilizers'!$P:$P,$B10,'Data Fertilizers'!$Q:$Q,"&lt;-360")</f>
        <v>0</v>
      </c>
      <c r="X10" s="164">
        <f>SUMIFS('Bad Debt Provision'!AB:AB,'Bad Debt Provision'!B:B,'Painel Fertilizers'!B10)</f>
        <v>0</v>
      </c>
      <c r="Y10" s="165"/>
      <c r="Z10" s="165"/>
      <c r="AA10" s="110">
        <f>_xlfn.XLOOKUP(B10,'Limite de crédito'!C:C,'Limite de crédito'!O:O,0)</f>
        <v>0</v>
      </c>
      <c r="AB10" s="164"/>
      <c r="AC10" s="166"/>
      <c r="AD10" s="167"/>
      <c r="AE10" s="167"/>
      <c r="AF10" s="165"/>
      <c r="AG10" s="164">
        <f t="shared" si="2"/>
        <v>-876011.75</v>
      </c>
      <c r="AH10" s="165"/>
      <c r="AI10" s="174">
        <v>1076345</v>
      </c>
    </row>
    <row r="11" spans="1:37" s="161" customFormat="1" ht="15.75" customHeight="1" x14ac:dyDescent="0.25">
      <c r="B11" s="162" t="s">
        <v>143</v>
      </c>
      <c r="C11" s="171">
        <f>IFERROR(_xlfn.XLOOKUP(B11,'Limite de crédito'!C:C,'Limite de crédito'!L:L),0)</f>
        <v>0</v>
      </c>
      <c r="D11" s="172"/>
      <c r="E11" s="173">
        <f>_xlfn.XLOOKUP(B11,'Limite de crédito'!C:C,'Limite de crédito'!G:G,0)</f>
        <v>0</v>
      </c>
      <c r="F11" s="163">
        <f t="shared" si="3"/>
        <v>0</v>
      </c>
      <c r="G11" s="163">
        <f t="shared" si="4"/>
        <v>0</v>
      </c>
      <c r="H11" s="164">
        <f>SUMIFS('Data Fertilizers'!$D:$D,'Data Fertilizers'!$P:$P,$B11,'Data Fertilizers'!$Q:$Q,"&gt;0",'Data Fertilizers'!$Q:$Q,"&lt;=30")</f>
        <v>0</v>
      </c>
      <c r="I11" s="164">
        <f>SUMIFS('Data Fertilizers'!$D:$D,'Data Fertilizers'!$P:$P,$B11,'Data Fertilizers'!$Q:$Q,"&gt;30",'Data Fertilizers'!$Q:$Q,"&lt;=60")</f>
        <v>0</v>
      </c>
      <c r="J11" s="164">
        <f>SUMIFS('Data Fertilizers'!$D:$D,'Data Fertilizers'!$P:$P,$B11,'Data Fertilizers'!$Q:$Q,"&gt;60",'Data Fertilizers'!$Q:$Q,"&lt;=90")</f>
        <v>0</v>
      </c>
      <c r="K11" s="164">
        <f>SUMIFS('Data Fertilizers'!$D:$D,'Data Fertilizers'!$P:$P,$B11,'Data Fertilizers'!$Q:$Q,"&gt;90",'Data Fertilizers'!$Q:$Q,"&lt;=120")</f>
        <v>0</v>
      </c>
      <c r="L11" s="164">
        <f>SUMIFS('Data Fertilizers'!$D:$D,'Data Fertilizers'!$P:$P,$B11,'Data Fertilizers'!$Q:$Q,"&gt;120",'Data Fertilizers'!$Q:$Q,"&lt;=180")</f>
        <v>0</v>
      </c>
      <c r="M11" s="164">
        <f>SUMIFS('Data Fertilizers'!$D:$D,'Data Fertilizers'!$P:$P,$B11,'Data Fertilizers'!$Q:$Q,"&gt;180",'Data Fertilizers'!$Q:$Q,"&lt;=360")</f>
        <v>0</v>
      </c>
      <c r="N11" s="168">
        <f>SUMIFS('Data Fertilizers'!$D:$D,'Data Fertilizers'!$P:$P,$B11,'Data Fertilizers'!$Q:$Q,"&gt;360")</f>
        <v>0</v>
      </c>
      <c r="O11" s="164">
        <f>SUMIFS('Data Fertilizers'!$D:$D,'Data Fertilizers'!$P:$P,$B11,'Data Fertilizers'!$Q:$Q,"&gt;0")</f>
        <v>0</v>
      </c>
      <c r="P11" s="164">
        <f t="shared" si="5"/>
        <v>0</v>
      </c>
      <c r="Q11" s="164">
        <f>SUMIFS('Data Fertilizers'!$D:$D,'Data Fertilizers'!$P:$P,$B11,'Data Fertilizers'!$Q:$Q,"&lt;=0",'Data Fertilizers'!$Q:$Q,"&gt;=-30")</f>
        <v>0</v>
      </c>
      <c r="R11" s="164">
        <f>SUMIFS('Data Fertilizers'!$D:$D,'Data Fertilizers'!$P:$P,$B11,'Data Fertilizers'!$Q:$Q,"&lt;=-31",'Data Fertilizers'!$Q:$Q,"&gt;=-60")</f>
        <v>0</v>
      </c>
      <c r="S11" s="164">
        <f>SUMIFS('Data Fertilizers'!$D:$D,'Data Fertilizers'!$P:$P,$B11,'Data Fertilizers'!$Q:$Q,"&lt;=-61",'Data Fertilizers'!$Q:$Q,"&gt;=-90")</f>
        <v>0</v>
      </c>
      <c r="T11" s="164">
        <f>SUMIFS('Data Fertilizers'!$D:$D,'Data Fertilizers'!$P:$P,$B11,'Data Fertilizers'!$Q:$Q,"&lt;=-91",'Data Fertilizers'!$Q:$Q,"&gt;=-120")</f>
        <v>0</v>
      </c>
      <c r="U11" s="164">
        <f>SUMIFS('Data Fertilizers'!$D:$D,'Data Fertilizers'!$P:$P,$B11,'Data Fertilizers'!$Q:$Q,"&lt;=-121",'Data Fertilizers'!$Q:$Q,"&gt;=-180")</f>
        <v>0</v>
      </c>
      <c r="V11" s="164">
        <f>SUMIFS('Data Fertilizers'!$D:$D,'Data Fertilizers'!$P:$P,$B11,'Data Fertilizers'!$Q:$Q,"&lt;=-181",'Data Fertilizers'!$Q:$Q,"&gt;=-360")</f>
        <v>0</v>
      </c>
      <c r="W11" s="168">
        <f>SUMIFS('Data Fertilizers'!$D:$D,'Data Fertilizers'!$P:$P,$B11,'Data Fertilizers'!$Q:$Q,"&lt;-360")</f>
        <v>0</v>
      </c>
      <c r="X11" s="164">
        <f>SUMIFS('Bad Debt Provision'!AB:AB,'Bad Debt Provision'!B:B,'Painel Fertilizers'!B11)</f>
        <v>0</v>
      </c>
      <c r="Y11" s="165"/>
      <c r="Z11" s="165"/>
      <c r="AA11" s="110">
        <f>_xlfn.XLOOKUP(B11,'Limite de crédito'!C:C,'Limite de crédito'!O:O,0)</f>
        <v>0</v>
      </c>
      <c r="AB11" s="164"/>
      <c r="AC11" s="166"/>
      <c r="AD11" s="167"/>
      <c r="AE11" s="167"/>
      <c r="AF11" s="165"/>
      <c r="AG11" s="164">
        <f t="shared" si="2"/>
        <v>0</v>
      </c>
      <c r="AH11" s="165"/>
    </row>
    <row r="12" spans="1:37" s="97" customFormat="1" ht="15.75" customHeight="1" x14ac:dyDescent="0.25">
      <c r="B12" s="96" t="s">
        <v>371</v>
      </c>
      <c r="C12" s="169">
        <f>IFERROR(_xlfn.XLOOKUP(B12,'Limite de crédito'!C:C,'Limite de crédito'!L:L),0)</f>
        <v>0</v>
      </c>
      <c r="D12" s="114">
        <v>270</v>
      </c>
      <c r="E12" s="159">
        <f>_xlfn.XLOOKUP(B12,'Limite de crédito'!C:C,'Limite de crédito'!G:G,0)</f>
        <v>0</v>
      </c>
      <c r="F12" s="109">
        <f t="shared" si="3"/>
        <v>0</v>
      </c>
      <c r="G12" s="109">
        <f t="shared" si="4"/>
        <v>0</v>
      </c>
      <c r="H12" s="110">
        <f>SUMIFS('Data Fertilizers'!$D:$D,'Data Fertilizers'!$P:$P,$B12,'Data Fertilizers'!$Q:$Q,"&gt;0",'Data Fertilizers'!$Q:$Q,"&lt;=30")</f>
        <v>0</v>
      </c>
      <c r="I12" s="110">
        <f>SUMIFS('Data Fertilizers'!$D:$D,'Data Fertilizers'!$P:$P,$B12,'Data Fertilizers'!$Q:$Q,"&gt;30",'Data Fertilizers'!$Q:$Q,"&lt;=60")</f>
        <v>0</v>
      </c>
      <c r="J12" s="110">
        <f>SUMIFS('Data Fertilizers'!$D:$D,'Data Fertilizers'!$P:$P,$B12,'Data Fertilizers'!$Q:$Q,"&gt;60",'Data Fertilizers'!$Q:$Q,"&lt;=90")</f>
        <v>0</v>
      </c>
      <c r="K12" s="110">
        <f>SUMIFS('Data Fertilizers'!$D:$D,'Data Fertilizers'!$P:$P,$B12,'Data Fertilizers'!$Q:$Q,"&gt;90",'Data Fertilizers'!$Q:$Q,"&lt;=120")</f>
        <v>0</v>
      </c>
      <c r="L12" s="110">
        <f>SUMIFS('Data Fertilizers'!$D:$D,'Data Fertilizers'!$P:$P,$B12,'Data Fertilizers'!$Q:$Q,"&gt;120",'Data Fertilizers'!$Q:$Q,"&lt;=180")</f>
        <v>0</v>
      </c>
      <c r="M12" s="110">
        <f>SUMIFS('Data Fertilizers'!$D:$D,'Data Fertilizers'!$P:$P,$B12,'Data Fertilizers'!$Q:$Q,"&gt;180",'Data Fertilizers'!$Q:$Q,"&lt;=360")</f>
        <v>0</v>
      </c>
      <c r="N12" s="115">
        <f>SUMIFS('Data Fertilizers'!$D:$D,'Data Fertilizers'!$P:$P,$B12,'Data Fertilizers'!$Q:$Q,"&gt;360")</f>
        <v>0</v>
      </c>
      <c r="O12" s="110">
        <f>SUMIFS('Data Fertilizers'!$D:$D,'Data Fertilizers'!$P:$P,$B12,'Data Fertilizers'!$Q:$Q,"&gt;0")</f>
        <v>0</v>
      </c>
      <c r="P12" s="110">
        <f t="shared" si="5"/>
        <v>0</v>
      </c>
      <c r="Q12" s="110">
        <f>SUMIFS('Data Fertilizers'!$D:$D,'Data Fertilizers'!$P:$P,$B12,'Data Fertilizers'!$Q:$Q,"&lt;=0",'Data Fertilizers'!$Q:$Q,"&gt;=-30")</f>
        <v>0</v>
      </c>
      <c r="R12" s="110">
        <f>SUMIFS('Data Fertilizers'!$D:$D,'Data Fertilizers'!$P:$P,$B12,'Data Fertilizers'!$Q:$Q,"&lt;=-31",'Data Fertilizers'!$Q:$Q,"&gt;=-60")</f>
        <v>0</v>
      </c>
      <c r="S12" s="110">
        <f>SUMIFS('Data Fertilizers'!$D:$D,'Data Fertilizers'!$P:$P,$B12,'Data Fertilizers'!$Q:$Q,"&lt;=-61",'Data Fertilizers'!$Q:$Q,"&gt;=-90")</f>
        <v>0</v>
      </c>
      <c r="T12" s="110">
        <f>SUMIFS('Data Fertilizers'!$D:$D,'Data Fertilizers'!$P:$P,$B12,'Data Fertilizers'!$Q:$Q,"&lt;=-91",'Data Fertilizers'!$Q:$Q,"&gt;=-120")</f>
        <v>0</v>
      </c>
      <c r="U12" s="110">
        <f>SUMIFS('Data Fertilizers'!$D:$D,'Data Fertilizers'!$P:$P,$B12,'Data Fertilizers'!$Q:$Q,"&lt;=-121",'Data Fertilizers'!$Q:$Q,"&gt;=-180")</f>
        <v>0</v>
      </c>
      <c r="V12" s="110">
        <f>SUMIFS('Data Fertilizers'!$D:$D,'Data Fertilizers'!$P:$P,$B12,'Data Fertilizers'!$Q:$Q,"&lt;=-181",'Data Fertilizers'!$Q:$Q,"&gt;=-360")</f>
        <v>0</v>
      </c>
      <c r="W12" s="115">
        <f>SUMIFS('Data Fertilizers'!$D:$D,'Data Fertilizers'!$P:$P,$B12,'Data Fertilizers'!$Q:$Q,"&lt;-360")</f>
        <v>0</v>
      </c>
      <c r="X12" s="164">
        <f>SUMIFS('Bad Debt Provision'!AB:AB,'Bad Debt Provision'!B:B,'Painel Fertilizers'!B12)</f>
        <v>0</v>
      </c>
      <c r="Z12" s="111"/>
      <c r="AA12" s="110">
        <f>_xlfn.XLOOKUP(B12,'Limite de crédito'!C:C,'Limite de crédito'!O:O,0)</f>
        <v>0</v>
      </c>
      <c r="AB12" s="110"/>
      <c r="AC12" s="112"/>
      <c r="AD12" s="113"/>
      <c r="AE12" s="113"/>
      <c r="AF12" s="111"/>
      <c r="AG12" s="110">
        <f t="shared" si="2"/>
        <v>0</v>
      </c>
    </row>
    <row r="13" spans="1:37" s="97" customFormat="1" ht="15.75" customHeight="1" x14ac:dyDescent="0.25">
      <c r="B13" s="96" t="s">
        <v>179</v>
      </c>
      <c r="C13" s="169">
        <f>IFERROR(_xlfn.XLOOKUP(B13,'Limite de crédito'!C:C,'Limite de crédito'!L:L),0)</f>
        <v>0</v>
      </c>
      <c r="D13" s="114">
        <v>360</v>
      </c>
      <c r="E13" s="159">
        <f>_xlfn.XLOOKUP(B13,'Limite de crédito'!C:C,'Limite de crédito'!G:G,0)</f>
        <v>660000</v>
      </c>
      <c r="F13" s="109">
        <f t="shared" si="3"/>
        <v>528320</v>
      </c>
      <c r="G13" s="109">
        <f t="shared" si="4"/>
        <v>131680</v>
      </c>
      <c r="H13" s="110">
        <f>SUMIFS('Data Fertilizers'!$D:$D,'Data Fertilizers'!$P:$P,$B13,'Data Fertilizers'!$Q:$Q,"&gt;0",'Data Fertilizers'!$Q:$Q,"&lt;=30")</f>
        <v>0</v>
      </c>
      <c r="I13" s="110">
        <f>SUMIFS('Data Fertilizers'!$D:$D,'Data Fertilizers'!$P:$P,$B13,'Data Fertilizers'!$Q:$Q,"&gt;30",'Data Fertilizers'!$Q:$Q,"&lt;=60")</f>
        <v>0</v>
      </c>
      <c r="J13" s="110">
        <f>SUMIFS('Data Fertilizers'!$D:$D,'Data Fertilizers'!$P:$P,$B13,'Data Fertilizers'!$Q:$Q,"&gt;60",'Data Fertilizers'!$Q:$Q,"&lt;=90")</f>
        <v>0</v>
      </c>
      <c r="K13" s="110">
        <f>SUMIFS('Data Fertilizers'!$D:$D,'Data Fertilizers'!$P:$P,$B13,'Data Fertilizers'!$Q:$Q,"&gt;90",'Data Fertilizers'!$Q:$Q,"&lt;=120")</f>
        <v>0</v>
      </c>
      <c r="L13" s="110">
        <f>SUMIFS('Data Fertilizers'!$D:$D,'Data Fertilizers'!$P:$P,$B13,'Data Fertilizers'!$Q:$Q,"&gt;120",'Data Fertilizers'!$Q:$Q,"&lt;=180")</f>
        <v>0</v>
      </c>
      <c r="M13" s="110">
        <f>SUMIFS('Data Fertilizers'!$D:$D,'Data Fertilizers'!$P:$P,$B13,'Data Fertilizers'!$Q:$Q,"&gt;180",'Data Fertilizers'!$Q:$Q,"&lt;=360")</f>
        <v>0</v>
      </c>
      <c r="N13" s="115">
        <f>SUMIFS('Data Fertilizers'!$D:$D,'Data Fertilizers'!$P:$P,$B13,'Data Fertilizers'!$Q:$Q,"&gt;360")</f>
        <v>0</v>
      </c>
      <c r="O13" s="110">
        <f>SUMIFS('Data Fertilizers'!$D:$D,'Data Fertilizers'!$P:$P,$B13,'Data Fertilizers'!$Q:$Q,"&gt;0")</f>
        <v>0</v>
      </c>
      <c r="P13" s="110">
        <f t="shared" si="5"/>
        <v>131680</v>
      </c>
      <c r="Q13" s="110">
        <f>SUMIFS('Data Fertilizers'!$D:$D,'Data Fertilizers'!$P:$P,$B13,'Data Fertilizers'!$Q:$Q,"&lt;=0",'Data Fertilizers'!$Q:$Q,"&gt;=-30")</f>
        <v>0</v>
      </c>
      <c r="R13" s="110">
        <f>SUMIFS('Data Fertilizers'!$D:$D,'Data Fertilizers'!$P:$P,$B13,'Data Fertilizers'!$Q:$Q,"&lt;=-31",'Data Fertilizers'!$Q:$Q,"&gt;=-60")</f>
        <v>0</v>
      </c>
      <c r="S13" s="110">
        <f>SUMIFS('Data Fertilizers'!$D:$D,'Data Fertilizers'!$P:$P,$B13,'Data Fertilizers'!$Q:$Q,"&lt;=-61",'Data Fertilizers'!$Q:$Q,"&gt;=-90")</f>
        <v>131680</v>
      </c>
      <c r="T13" s="110">
        <f>SUMIFS('Data Fertilizers'!$D:$D,'Data Fertilizers'!$P:$P,$B13,'Data Fertilizers'!$Q:$Q,"&lt;=-91",'Data Fertilizers'!$Q:$Q,"&gt;=-120")</f>
        <v>0</v>
      </c>
      <c r="U13" s="110">
        <f>SUMIFS('Data Fertilizers'!$D:$D,'Data Fertilizers'!$P:$P,$B13,'Data Fertilizers'!$Q:$Q,"&lt;=-121",'Data Fertilizers'!$Q:$Q,"&gt;=-180")</f>
        <v>0</v>
      </c>
      <c r="V13" s="110">
        <f>SUMIFS('Data Fertilizers'!$D:$D,'Data Fertilizers'!$P:$P,$B13,'Data Fertilizers'!$Q:$Q,"&lt;=-181",'Data Fertilizers'!$Q:$Q,"&gt;=-360")</f>
        <v>0</v>
      </c>
      <c r="W13" s="115">
        <f>SUMIFS('Data Fertilizers'!$D:$D,'Data Fertilizers'!$P:$P,$B13,'Data Fertilizers'!$Q:$Q,"&lt;-360")</f>
        <v>0</v>
      </c>
      <c r="X13" s="164">
        <f>SUMIFS('Bad Debt Provision'!AB:AB,'Bad Debt Provision'!B:B,'Painel Fertilizers'!B13)</f>
        <v>0</v>
      </c>
      <c r="Y13" s="111"/>
      <c r="Z13" s="111"/>
      <c r="AA13" s="110">
        <f>_xlfn.XLOOKUP(B13,'Limite de crédito'!C:C,'Limite de crédito'!O:O,0)</f>
        <v>660000</v>
      </c>
      <c r="AB13" s="110"/>
      <c r="AC13" s="112"/>
      <c r="AD13" s="113"/>
      <c r="AE13" s="113"/>
      <c r="AF13" s="111"/>
      <c r="AG13" s="110">
        <f t="shared" si="2"/>
        <v>528320</v>
      </c>
      <c r="AH13" s="111"/>
    </row>
    <row r="14" spans="1:37" s="97" customFormat="1" ht="15.75" customHeight="1" x14ac:dyDescent="0.25">
      <c r="B14" s="96" t="s">
        <v>188</v>
      </c>
      <c r="C14" s="169">
        <f>IFERROR(_xlfn.XLOOKUP(B14,'Limite de crédito'!C:C,'Limite de crédito'!L:L),0)</f>
        <v>0</v>
      </c>
      <c r="D14" s="114">
        <v>270</v>
      </c>
      <c r="E14" s="159">
        <f>_xlfn.XLOOKUP(B14,'Limite de crédito'!C:C,'Limite de crédito'!G:G,0)</f>
        <v>0</v>
      </c>
      <c r="F14" s="109">
        <f t="shared" si="3"/>
        <v>0</v>
      </c>
      <c r="G14" s="109">
        <f t="shared" si="4"/>
        <v>0</v>
      </c>
      <c r="H14" s="110">
        <f>SUMIFS('Data Fertilizers'!$D:$D,'Data Fertilizers'!$P:$P,$B14,'Data Fertilizers'!$Q:$Q,"&gt;0",'Data Fertilizers'!$Q:$Q,"&lt;=30")</f>
        <v>0</v>
      </c>
      <c r="I14" s="110">
        <f>SUMIFS('Data Fertilizers'!$D:$D,'Data Fertilizers'!$P:$P,$B14,'Data Fertilizers'!$Q:$Q,"&gt;30",'Data Fertilizers'!$Q:$Q,"&lt;=60")</f>
        <v>0</v>
      </c>
      <c r="J14" s="110">
        <f>SUMIFS('Data Fertilizers'!$D:$D,'Data Fertilizers'!$P:$P,$B14,'Data Fertilizers'!$Q:$Q,"&gt;60",'Data Fertilizers'!$Q:$Q,"&lt;=90")</f>
        <v>0</v>
      </c>
      <c r="K14" s="110">
        <f>SUMIFS('Data Fertilizers'!$D:$D,'Data Fertilizers'!$P:$P,$B14,'Data Fertilizers'!$Q:$Q,"&gt;90",'Data Fertilizers'!$Q:$Q,"&lt;=120")</f>
        <v>0</v>
      </c>
      <c r="L14" s="110">
        <f>SUMIFS('Data Fertilizers'!$D:$D,'Data Fertilizers'!$P:$P,$B14,'Data Fertilizers'!$Q:$Q,"&gt;120",'Data Fertilizers'!$Q:$Q,"&lt;=180")</f>
        <v>0</v>
      </c>
      <c r="M14" s="110">
        <f>SUMIFS('Data Fertilizers'!$D:$D,'Data Fertilizers'!$P:$P,$B14,'Data Fertilizers'!$Q:$Q,"&gt;180",'Data Fertilizers'!$Q:$Q,"&lt;=360")</f>
        <v>0</v>
      </c>
      <c r="N14" s="115">
        <f>SUMIFS('Data Fertilizers'!$D:$D,'Data Fertilizers'!$P:$P,$B14,'Data Fertilizers'!$Q:$Q,"&gt;360")</f>
        <v>0</v>
      </c>
      <c r="O14" s="110">
        <f>SUMIFS('Data Fertilizers'!$D:$D,'Data Fertilizers'!$P:$P,$B14,'Data Fertilizers'!$Q:$Q,"&gt;0")</f>
        <v>0</v>
      </c>
      <c r="P14" s="110">
        <f t="shared" si="5"/>
        <v>0</v>
      </c>
      <c r="Q14" s="110">
        <f>SUMIFS('Data Fertilizers'!$D:$D,'Data Fertilizers'!$P:$P,$B14,'Data Fertilizers'!$Q:$Q,"&lt;=0",'Data Fertilizers'!$Q:$Q,"&gt;=-30")</f>
        <v>0</v>
      </c>
      <c r="R14" s="110">
        <f>SUMIFS('Data Fertilizers'!$D:$D,'Data Fertilizers'!$P:$P,$B14,'Data Fertilizers'!$Q:$Q,"&lt;=-31",'Data Fertilizers'!$Q:$Q,"&gt;=-60")</f>
        <v>0</v>
      </c>
      <c r="S14" s="110">
        <f>SUMIFS('Data Fertilizers'!$D:$D,'Data Fertilizers'!$P:$P,$B14,'Data Fertilizers'!$Q:$Q,"&lt;=-61",'Data Fertilizers'!$Q:$Q,"&gt;=-90")</f>
        <v>0</v>
      </c>
      <c r="T14" s="110">
        <f>SUMIFS('Data Fertilizers'!$D:$D,'Data Fertilizers'!$P:$P,$B14,'Data Fertilizers'!$Q:$Q,"&lt;=-91",'Data Fertilizers'!$Q:$Q,"&gt;=-120")</f>
        <v>0</v>
      </c>
      <c r="U14" s="110">
        <f>SUMIFS('Data Fertilizers'!$D:$D,'Data Fertilizers'!$P:$P,$B14,'Data Fertilizers'!$Q:$Q,"&lt;=-121",'Data Fertilizers'!$Q:$Q,"&gt;=-180")</f>
        <v>0</v>
      </c>
      <c r="V14" s="110">
        <f>SUMIFS('Data Fertilizers'!$D:$D,'Data Fertilizers'!$P:$P,$B14,'Data Fertilizers'!$Q:$Q,"&lt;=-181",'Data Fertilizers'!$Q:$Q,"&gt;=-360")</f>
        <v>0</v>
      </c>
      <c r="W14" s="115">
        <f>SUMIFS('Data Fertilizers'!$D:$D,'Data Fertilizers'!$P:$P,$B14,'Data Fertilizers'!$Q:$Q,"&lt;-360")</f>
        <v>0</v>
      </c>
      <c r="X14" s="164">
        <f>SUMIFS('Bad Debt Provision'!AB:AB,'Bad Debt Provision'!B:B,'Painel Fertilizers'!B14)</f>
        <v>0</v>
      </c>
      <c r="Y14" s="111"/>
      <c r="Z14" s="111"/>
      <c r="AA14" s="110">
        <f>_xlfn.XLOOKUP(B14,'Limite de crédito'!C:C,'Limite de crédito'!O:O,0)</f>
        <v>0</v>
      </c>
      <c r="AB14" s="110"/>
      <c r="AC14" s="112"/>
      <c r="AD14" s="113"/>
      <c r="AE14" s="113"/>
      <c r="AF14" s="111"/>
      <c r="AG14" s="110">
        <f t="shared" si="2"/>
        <v>0</v>
      </c>
      <c r="AH14" s="111"/>
    </row>
    <row r="15" spans="1:37" s="97" customFormat="1" ht="15.75" customHeight="1" x14ac:dyDescent="0.25">
      <c r="B15" s="96" t="s">
        <v>301</v>
      </c>
      <c r="C15" s="169" t="str">
        <f>IFERROR(_xlfn.XLOOKUP(B15,'Limite de crédito'!C:C,'Limite de crédito'!L:L),0)</f>
        <v>C</v>
      </c>
      <c r="D15" s="114"/>
      <c r="E15" s="159">
        <f>_xlfn.XLOOKUP(B15,'Limite de crédito'!C:C,'Limite de crédito'!G:G,0)</f>
        <v>500000</v>
      </c>
      <c r="F15" s="109">
        <f t="shared" si="3"/>
        <v>500000</v>
      </c>
      <c r="G15" s="109">
        <f t="shared" si="4"/>
        <v>0</v>
      </c>
      <c r="H15" s="110">
        <f>SUMIFS('Data Fertilizers'!$D:$D,'Data Fertilizers'!$P:$P,$B15,'Data Fertilizers'!$Q:$Q,"&gt;0",'Data Fertilizers'!$Q:$Q,"&lt;=30")</f>
        <v>0</v>
      </c>
      <c r="I15" s="110">
        <f>SUMIFS('Data Fertilizers'!$D:$D,'Data Fertilizers'!$P:$P,$B15,'Data Fertilizers'!$Q:$Q,"&gt;30",'Data Fertilizers'!$Q:$Q,"&lt;=60")</f>
        <v>0</v>
      </c>
      <c r="J15" s="110">
        <f>SUMIFS('Data Fertilizers'!$D:$D,'Data Fertilizers'!$P:$P,$B15,'Data Fertilizers'!$Q:$Q,"&gt;60",'Data Fertilizers'!$Q:$Q,"&lt;=90")</f>
        <v>0</v>
      </c>
      <c r="K15" s="110">
        <f>SUMIFS('Data Fertilizers'!$D:$D,'Data Fertilizers'!$P:$P,$B15,'Data Fertilizers'!$Q:$Q,"&gt;90",'Data Fertilizers'!$Q:$Q,"&lt;=120")</f>
        <v>0</v>
      </c>
      <c r="L15" s="110">
        <f>SUMIFS('Data Fertilizers'!$D:$D,'Data Fertilizers'!$P:$P,$B15,'Data Fertilizers'!$Q:$Q,"&gt;120",'Data Fertilizers'!$Q:$Q,"&lt;=180")</f>
        <v>0</v>
      </c>
      <c r="M15" s="110">
        <f>SUMIFS('Data Fertilizers'!$D:$D,'Data Fertilizers'!$P:$P,$B15,'Data Fertilizers'!$Q:$Q,"&gt;180",'Data Fertilizers'!$Q:$Q,"&lt;=360")</f>
        <v>0</v>
      </c>
      <c r="N15" s="115">
        <f>SUMIFS('Data Fertilizers'!$D:$D,'Data Fertilizers'!$P:$P,$B15,'Data Fertilizers'!$Q:$Q,"&gt;360")</f>
        <v>0</v>
      </c>
      <c r="O15" s="110">
        <f>SUMIFS('Data Fertilizers'!$D:$D,'Data Fertilizers'!$P:$P,$B15,'Data Fertilizers'!$Q:$Q,"&gt;0")</f>
        <v>0</v>
      </c>
      <c r="P15" s="110">
        <f t="shared" si="5"/>
        <v>0</v>
      </c>
      <c r="Q15" s="110">
        <f>SUMIFS('Data Fertilizers'!$D:$D,'Data Fertilizers'!$P:$P,$B15,'Data Fertilizers'!$Q:$Q,"&lt;=0",'Data Fertilizers'!$Q:$Q,"&gt;=-30")</f>
        <v>0</v>
      </c>
      <c r="R15" s="110">
        <f>SUMIFS('Data Fertilizers'!$D:$D,'Data Fertilizers'!$P:$P,$B15,'Data Fertilizers'!$Q:$Q,"&lt;=-31",'Data Fertilizers'!$Q:$Q,"&gt;=-60")</f>
        <v>0</v>
      </c>
      <c r="S15" s="110">
        <f>SUMIFS('Data Fertilizers'!$D:$D,'Data Fertilizers'!$P:$P,$B15,'Data Fertilizers'!$Q:$Q,"&lt;=-61",'Data Fertilizers'!$Q:$Q,"&gt;=-90")</f>
        <v>0</v>
      </c>
      <c r="T15" s="110">
        <f>SUMIFS('Data Fertilizers'!$D:$D,'Data Fertilizers'!$P:$P,$B15,'Data Fertilizers'!$Q:$Q,"&lt;=-91",'Data Fertilizers'!$Q:$Q,"&gt;=-120")</f>
        <v>0</v>
      </c>
      <c r="U15" s="110">
        <f>SUMIFS('Data Fertilizers'!$D:$D,'Data Fertilizers'!$P:$P,$B15,'Data Fertilizers'!$Q:$Q,"&lt;=-121",'Data Fertilizers'!$Q:$Q,"&gt;=-180")</f>
        <v>0</v>
      </c>
      <c r="V15" s="110">
        <f>SUMIFS('Data Fertilizers'!$D:$D,'Data Fertilizers'!$P:$P,$B15,'Data Fertilizers'!$Q:$Q,"&lt;=-181",'Data Fertilizers'!$Q:$Q,"&gt;=-360")</f>
        <v>0</v>
      </c>
      <c r="W15" s="115">
        <f>SUMIFS('Data Fertilizers'!$D:$D,'Data Fertilizers'!$P:$P,$B15,'Data Fertilizers'!$Q:$Q,"&lt;-360")</f>
        <v>0</v>
      </c>
      <c r="X15" s="164">
        <f>SUMIFS('Bad Debt Provision'!AB:AB,'Bad Debt Provision'!B:B,'Painel Fertilizers'!B15)</f>
        <v>0</v>
      </c>
      <c r="Y15" s="111"/>
      <c r="Z15" s="111"/>
      <c r="AA15" s="110">
        <f>_xlfn.XLOOKUP(B15,'Limite de crédito'!C:C,'Limite de crédito'!O:O,0)</f>
        <v>500000</v>
      </c>
      <c r="AB15" s="110"/>
      <c r="AC15" s="112"/>
      <c r="AD15" s="113"/>
      <c r="AE15" s="113"/>
      <c r="AF15" s="111"/>
      <c r="AG15" s="110">
        <f t="shared" si="2"/>
        <v>500000</v>
      </c>
    </row>
    <row r="16" spans="1:37" s="97" customFormat="1" ht="15.75" customHeight="1" x14ac:dyDescent="0.25">
      <c r="B16" s="96" t="s">
        <v>165</v>
      </c>
      <c r="C16" s="169" t="str">
        <f>IFERROR(_xlfn.XLOOKUP(B16,'Limite de crédito'!C:C,'Limite de crédito'!L:L),0)</f>
        <v>B</v>
      </c>
      <c r="D16" s="114"/>
      <c r="E16" s="159">
        <f>_xlfn.XLOOKUP(B16,'Limite de crédito'!C:C,'Limite de crédito'!G:G,0)</f>
        <v>500000</v>
      </c>
      <c r="F16" s="109">
        <f t="shared" si="3"/>
        <v>-425457.05999999994</v>
      </c>
      <c r="G16" s="109">
        <f t="shared" si="4"/>
        <v>925457.05999999994</v>
      </c>
      <c r="H16" s="110">
        <f>SUMIFS('Data Fertilizers'!$D:$D,'Data Fertilizers'!$P:$P,$B16,'Data Fertilizers'!$Q:$Q,"&gt;0",'Data Fertilizers'!$Q:$Q,"&lt;=30")</f>
        <v>0</v>
      </c>
      <c r="I16" s="110">
        <f>SUMIFS('Data Fertilizers'!$D:$D,'Data Fertilizers'!$P:$P,$B16,'Data Fertilizers'!$Q:$Q,"&gt;30",'Data Fertilizers'!$Q:$Q,"&lt;=60")</f>
        <v>0</v>
      </c>
      <c r="J16" s="110">
        <f>SUMIFS('Data Fertilizers'!$D:$D,'Data Fertilizers'!$P:$P,$B16,'Data Fertilizers'!$Q:$Q,"&gt;60",'Data Fertilizers'!$Q:$Q,"&lt;=90")</f>
        <v>0</v>
      </c>
      <c r="K16" s="110">
        <f>SUMIFS('Data Fertilizers'!$D:$D,'Data Fertilizers'!$P:$P,$B16,'Data Fertilizers'!$Q:$Q,"&gt;90",'Data Fertilizers'!$Q:$Q,"&lt;=120")</f>
        <v>0</v>
      </c>
      <c r="L16" s="110">
        <f>SUMIFS('Data Fertilizers'!$D:$D,'Data Fertilizers'!$P:$P,$B16,'Data Fertilizers'!$Q:$Q,"&gt;120",'Data Fertilizers'!$Q:$Q,"&lt;=180")</f>
        <v>0</v>
      </c>
      <c r="M16" s="110">
        <f>SUMIFS('Data Fertilizers'!$D:$D,'Data Fertilizers'!$P:$P,$B16,'Data Fertilizers'!$Q:$Q,"&gt;180",'Data Fertilizers'!$Q:$Q,"&lt;=360")</f>
        <v>0</v>
      </c>
      <c r="N16" s="115">
        <f>SUMIFS('Data Fertilizers'!$D:$D,'Data Fertilizers'!$P:$P,$B16,'Data Fertilizers'!$Q:$Q,"&gt;360")</f>
        <v>0</v>
      </c>
      <c r="O16" s="110">
        <f>SUMIFS('Data Fertilizers'!$D:$D,'Data Fertilizers'!$P:$P,$B16,'Data Fertilizers'!$Q:$Q,"&gt;0")</f>
        <v>0</v>
      </c>
      <c r="P16" s="110">
        <f t="shared" si="5"/>
        <v>925457.05999999994</v>
      </c>
      <c r="Q16" s="110">
        <f>SUMIFS('Data Fertilizers'!$D:$D,'Data Fertilizers'!$P:$P,$B16,'Data Fertilizers'!$Q:$Q,"&lt;=0",'Data Fertilizers'!$Q:$Q,"&gt;=-30")</f>
        <v>0</v>
      </c>
      <c r="R16" s="110">
        <f>SUMIFS('Data Fertilizers'!$D:$D,'Data Fertilizers'!$P:$P,$B16,'Data Fertilizers'!$Q:$Q,"&lt;=-31",'Data Fertilizers'!$Q:$Q,"&gt;=-60")</f>
        <v>0</v>
      </c>
      <c r="S16" s="110">
        <f>SUMIFS('Data Fertilizers'!$D:$D,'Data Fertilizers'!$P:$P,$B16,'Data Fertilizers'!$Q:$Q,"&lt;=-61",'Data Fertilizers'!$Q:$Q,"&gt;=-90")</f>
        <v>925457.05999999994</v>
      </c>
      <c r="T16" s="110">
        <f>SUMIFS('Data Fertilizers'!$D:$D,'Data Fertilizers'!$P:$P,$B16,'Data Fertilizers'!$Q:$Q,"&lt;=-91",'Data Fertilizers'!$Q:$Q,"&gt;=-120")</f>
        <v>0</v>
      </c>
      <c r="U16" s="110">
        <f>SUMIFS('Data Fertilizers'!$D:$D,'Data Fertilizers'!$P:$P,$B16,'Data Fertilizers'!$Q:$Q,"&lt;=-121",'Data Fertilizers'!$Q:$Q,"&gt;=-180")</f>
        <v>0</v>
      </c>
      <c r="V16" s="110">
        <f>SUMIFS('Data Fertilizers'!$D:$D,'Data Fertilizers'!$P:$P,$B16,'Data Fertilizers'!$Q:$Q,"&lt;=-181",'Data Fertilizers'!$Q:$Q,"&gt;=-360")</f>
        <v>0</v>
      </c>
      <c r="W16" s="115">
        <f>SUMIFS('Data Fertilizers'!$D:$D,'Data Fertilizers'!$P:$P,$B16,'Data Fertilizers'!$Q:$Q,"&lt;-360")</f>
        <v>0</v>
      </c>
      <c r="X16" s="164">
        <f>SUMIFS('Bad Debt Provision'!AB:AB,'Bad Debt Provision'!B:B,'Painel Fertilizers'!B16)</f>
        <v>0</v>
      </c>
      <c r="Y16" s="111"/>
      <c r="Z16" s="111"/>
      <c r="AA16" s="110">
        <f>_xlfn.XLOOKUP(B16,'Limite de crédito'!C:C,'Limite de crédito'!O:O,0)</f>
        <v>500000</v>
      </c>
      <c r="AB16" s="110"/>
      <c r="AC16" s="112"/>
      <c r="AD16" s="113"/>
      <c r="AE16" s="113"/>
      <c r="AF16" s="111"/>
      <c r="AG16" s="110">
        <f t="shared" si="2"/>
        <v>-425457.05999999994</v>
      </c>
      <c r="AH16" s="111"/>
    </row>
    <row r="17" spans="2:37" s="97" customFormat="1" ht="15.75" customHeight="1" x14ac:dyDescent="0.25">
      <c r="B17" s="96" t="s">
        <v>195</v>
      </c>
      <c r="C17" s="169">
        <f>IFERROR(_xlfn.XLOOKUP(B17,'Limite de crédito'!C:C,'Limite de crédito'!L:L),0)</f>
        <v>0</v>
      </c>
      <c r="D17" s="114"/>
      <c r="E17" s="159">
        <f>_xlfn.XLOOKUP(B17,'Limite de crédito'!C:C,'Limite de crédito'!G:G,0)</f>
        <v>0</v>
      </c>
      <c r="F17" s="109">
        <f t="shared" si="3"/>
        <v>0</v>
      </c>
      <c r="G17" s="109">
        <f t="shared" si="4"/>
        <v>0</v>
      </c>
      <c r="H17" s="110">
        <f>SUMIFS('Data Fertilizers'!$D:$D,'Data Fertilizers'!$P:$P,$B17,'Data Fertilizers'!$Q:$Q,"&gt;0",'Data Fertilizers'!$Q:$Q,"&lt;=30")</f>
        <v>0</v>
      </c>
      <c r="I17" s="110">
        <f>SUMIFS('Data Fertilizers'!$D:$D,'Data Fertilizers'!$P:$P,$B17,'Data Fertilizers'!$Q:$Q,"&gt;30",'Data Fertilizers'!$Q:$Q,"&lt;=60")</f>
        <v>0</v>
      </c>
      <c r="J17" s="110">
        <f>SUMIFS('Data Fertilizers'!$D:$D,'Data Fertilizers'!$P:$P,$B17,'Data Fertilizers'!$Q:$Q,"&gt;60",'Data Fertilizers'!$Q:$Q,"&lt;=90")</f>
        <v>0</v>
      </c>
      <c r="K17" s="110">
        <f>SUMIFS('Data Fertilizers'!$D:$D,'Data Fertilizers'!$P:$P,$B17,'Data Fertilizers'!$Q:$Q,"&gt;90",'Data Fertilizers'!$Q:$Q,"&lt;=120")</f>
        <v>0</v>
      </c>
      <c r="L17" s="110">
        <f>SUMIFS('Data Fertilizers'!$D:$D,'Data Fertilizers'!$P:$P,$B17,'Data Fertilizers'!$Q:$Q,"&gt;120",'Data Fertilizers'!$Q:$Q,"&lt;=180")</f>
        <v>0</v>
      </c>
      <c r="M17" s="110">
        <f>SUMIFS('Data Fertilizers'!$D:$D,'Data Fertilizers'!$P:$P,$B17,'Data Fertilizers'!$Q:$Q,"&gt;180",'Data Fertilizers'!$Q:$Q,"&lt;=360")</f>
        <v>0</v>
      </c>
      <c r="N17" s="115">
        <f>SUMIFS('Data Fertilizers'!$D:$D,'Data Fertilizers'!$P:$P,$B17,'Data Fertilizers'!$Q:$Q,"&gt;360")</f>
        <v>0</v>
      </c>
      <c r="O17" s="110">
        <f>SUMIFS('Data Fertilizers'!$D:$D,'Data Fertilizers'!$P:$P,$B17,'Data Fertilizers'!$Q:$Q,"&gt;0")</f>
        <v>0</v>
      </c>
      <c r="P17" s="110">
        <f t="shared" si="5"/>
        <v>0</v>
      </c>
      <c r="Q17" s="110">
        <f>SUMIFS('Data Fertilizers'!$D:$D,'Data Fertilizers'!$P:$P,$B17,'Data Fertilizers'!$Q:$Q,"&lt;=0",'Data Fertilizers'!$Q:$Q,"&gt;=-30")</f>
        <v>0</v>
      </c>
      <c r="R17" s="110">
        <f>SUMIFS('Data Fertilizers'!$D:$D,'Data Fertilizers'!$P:$P,$B17,'Data Fertilizers'!$Q:$Q,"&lt;=-31",'Data Fertilizers'!$Q:$Q,"&gt;=-60")</f>
        <v>0</v>
      </c>
      <c r="S17" s="110">
        <f>SUMIFS('Data Fertilizers'!$D:$D,'Data Fertilizers'!$P:$P,$B17,'Data Fertilizers'!$Q:$Q,"&lt;=-61",'Data Fertilizers'!$Q:$Q,"&gt;=-90")</f>
        <v>0</v>
      </c>
      <c r="T17" s="110">
        <f>SUMIFS('Data Fertilizers'!$D:$D,'Data Fertilizers'!$P:$P,$B17,'Data Fertilizers'!$Q:$Q,"&lt;=-91",'Data Fertilizers'!$Q:$Q,"&gt;=-120")</f>
        <v>0</v>
      </c>
      <c r="U17" s="110">
        <f>SUMIFS('Data Fertilizers'!$D:$D,'Data Fertilizers'!$P:$P,$B17,'Data Fertilizers'!$Q:$Q,"&lt;=-121",'Data Fertilizers'!$Q:$Q,"&gt;=-180")</f>
        <v>0</v>
      </c>
      <c r="V17" s="110">
        <f>SUMIFS('Data Fertilizers'!$D:$D,'Data Fertilizers'!$P:$P,$B17,'Data Fertilizers'!$Q:$Q,"&lt;=-181",'Data Fertilizers'!$Q:$Q,"&gt;=-360")</f>
        <v>0</v>
      </c>
      <c r="W17" s="115">
        <f>SUMIFS('Data Fertilizers'!$D:$D,'Data Fertilizers'!$P:$P,$B17,'Data Fertilizers'!$Q:$Q,"&lt;-360")</f>
        <v>0</v>
      </c>
      <c r="X17" s="164">
        <f>SUMIFS('Bad Debt Provision'!AB:AB,'Bad Debt Provision'!B:B,'Painel Fertilizers'!B17)</f>
        <v>0</v>
      </c>
      <c r="Y17" s="111"/>
      <c r="Z17" s="111"/>
      <c r="AA17" s="110">
        <f>_xlfn.XLOOKUP(B17,'Limite de crédito'!C:C,'Limite de crédito'!O:O,0)</f>
        <v>0</v>
      </c>
      <c r="AB17" s="110"/>
      <c r="AC17" s="112"/>
      <c r="AD17" s="113"/>
      <c r="AE17" s="113"/>
      <c r="AF17" s="111"/>
      <c r="AG17" s="110">
        <f t="shared" si="2"/>
        <v>0</v>
      </c>
      <c r="AH17" s="111"/>
    </row>
    <row r="18" spans="2:37" s="161" customFormat="1" ht="15.75" customHeight="1" x14ac:dyDescent="0.25">
      <c r="B18" s="162" t="s">
        <v>363</v>
      </c>
      <c r="C18" s="171">
        <f>IFERROR(_xlfn.XLOOKUP(B18,'Limite de crédito'!C:C,'Limite de crédito'!L:L),0)</f>
        <v>0</v>
      </c>
      <c r="D18" s="172">
        <v>360</v>
      </c>
      <c r="E18" s="173">
        <f>_xlfn.XLOOKUP(B18,'Limite de crédito'!C:C,'Limite de crédito'!G:G,0)</f>
        <v>0</v>
      </c>
      <c r="F18" s="163">
        <f t="shared" si="3"/>
        <v>0</v>
      </c>
      <c r="G18" s="163">
        <f t="shared" si="4"/>
        <v>0</v>
      </c>
      <c r="H18" s="164">
        <f>SUMIFS('Data Fertilizers'!$D:$D,'Data Fertilizers'!$P:$P,$B18,'Data Fertilizers'!$Q:$Q,"&gt;0",'Data Fertilizers'!$Q:$Q,"&lt;=30")</f>
        <v>0</v>
      </c>
      <c r="I18" s="164">
        <f>SUMIFS('Data Fertilizers'!$D:$D,'Data Fertilizers'!$P:$P,$B18,'Data Fertilizers'!$Q:$Q,"&gt;30",'Data Fertilizers'!$Q:$Q,"&lt;=60")</f>
        <v>0</v>
      </c>
      <c r="J18" s="164">
        <f>SUMIFS('Data Fertilizers'!$D:$D,'Data Fertilizers'!$P:$P,$B18,'Data Fertilizers'!$Q:$Q,"&gt;60",'Data Fertilizers'!$Q:$Q,"&lt;=90")</f>
        <v>0</v>
      </c>
      <c r="K18" s="164">
        <f>SUMIFS('Data Fertilizers'!$D:$D,'Data Fertilizers'!$P:$P,$B18,'Data Fertilizers'!$Q:$Q,"&gt;90",'Data Fertilizers'!$Q:$Q,"&lt;=120")</f>
        <v>0</v>
      </c>
      <c r="L18" s="164">
        <f>SUMIFS('Data Fertilizers'!$D:$D,'Data Fertilizers'!$P:$P,$B18,'Data Fertilizers'!$Q:$Q,"&gt;120",'Data Fertilizers'!$Q:$Q,"&lt;=180")</f>
        <v>0</v>
      </c>
      <c r="M18" s="164">
        <f>SUMIFS('Data Fertilizers'!$D:$D,'Data Fertilizers'!$P:$P,$B18,'Data Fertilizers'!$Q:$Q,"&gt;180",'Data Fertilizers'!$Q:$Q,"&lt;=360")</f>
        <v>0</v>
      </c>
      <c r="N18" s="168">
        <f>SUMIFS('Data Fertilizers'!$D:$D,'Data Fertilizers'!$P:$P,$B18,'Data Fertilizers'!$Q:$Q,"&gt;360")</f>
        <v>0</v>
      </c>
      <c r="O18" s="164">
        <f>SUMIFS('Data Fertilizers'!$D:$D,'Data Fertilizers'!$P:$P,$B18,'Data Fertilizers'!$Q:$Q,"&gt;0")</f>
        <v>0</v>
      </c>
      <c r="P18" s="164">
        <f t="shared" si="5"/>
        <v>0</v>
      </c>
      <c r="Q18" s="164">
        <f>SUMIFS('Data Fertilizers'!$D:$D,'Data Fertilizers'!$P:$P,$B18,'Data Fertilizers'!$Q:$Q,"&lt;=0",'Data Fertilizers'!$Q:$Q,"&gt;=-30")</f>
        <v>0</v>
      </c>
      <c r="R18" s="164">
        <f>SUMIFS('Data Fertilizers'!$D:$D,'Data Fertilizers'!$P:$P,$B18,'Data Fertilizers'!$Q:$Q,"&lt;=-31",'Data Fertilizers'!$Q:$Q,"&gt;=-60")</f>
        <v>0</v>
      </c>
      <c r="S18" s="164">
        <f>SUMIFS('Data Fertilizers'!$D:$D,'Data Fertilizers'!$P:$P,$B18,'Data Fertilizers'!$Q:$Q,"&lt;=-61",'Data Fertilizers'!$Q:$Q,"&gt;=-90")</f>
        <v>0</v>
      </c>
      <c r="T18" s="164">
        <f>SUMIFS('Data Fertilizers'!$D:$D,'Data Fertilizers'!$P:$P,$B18,'Data Fertilizers'!$Q:$Q,"&lt;=-91",'Data Fertilizers'!$Q:$Q,"&gt;=-120")</f>
        <v>0</v>
      </c>
      <c r="U18" s="164">
        <f>SUMIFS('Data Fertilizers'!$D:$D,'Data Fertilizers'!$P:$P,$B18,'Data Fertilizers'!$Q:$Q,"&lt;=-121",'Data Fertilizers'!$Q:$Q,"&gt;=-180")</f>
        <v>0</v>
      </c>
      <c r="V18" s="164">
        <f>SUMIFS('Data Fertilizers'!$D:$D,'Data Fertilizers'!$P:$P,$B18,'Data Fertilizers'!$Q:$Q,"&lt;=-181",'Data Fertilizers'!$Q:$Q,"&gt;=-360")</f>
        <v>0</v>
      </c>
      <c r="W18" s="168">
        <f>SUMIFS('Data Fertilizers'!$D:$D,'Data Fertilizers'!$P:$P,$B18,'Data Fertilizers'!$Q:$Q,"&lt;-360")</f>
        <v>0</v>
      </c>
      <c r="X18" s="164">
        <f>SUMIFS('Bad Debt Provision'!AB:AB,'Bad Debt Provision'!B:B,'Painel Fertilizers'!B18)</f>
        <v>0</v>
      </c>
      <c r="Z18" s="165"/>
      <c r="AA18" s="110">
        <f>_xlfn.XLOOKUP(B18,'Limite de crédito'!C:C,'Limite de crédito'!O:O,0)</f>
        <v>0</v>
      </c>
      <c r="AB18" s="164"/>
      <c r="AC18" s="166"/>
      <c r="AD18" s="167"/>
      <c r="AE18" s="167"/>
      <c r="AF18" s="165"/>
      <c r="AG18" s="164">
        <f t="shared" si="2"/>
        <v>0</v>
      </c>
    </row>
    <row r="19" spans="2:37" s="97" customFormat="1" ht="15.75" customHeight="1" x14ac:dyDescent="0.25">
      <c r="B19" s="96" t="s">
        <v>393</v>
      </c>
      <c r="C19" s="169" t="str">
        <f>IFERROR(_xlfn.XLOOKUP(B19,'Limite de crédito'!C:C,'Limite de crédito'!L:L),0)</f>
        <v>B</v>
      </c>
      <c r="D19" s="114"/>
      <c r="E19" s="159">
        <f>_xlfn.XLOOKUP(B19,'Limite de crédito'!C:C,'Limite de crédito'!G:G,0)</f>
        <v>1400000</v>
      </c>
      <c r="F19" s="109">
        <f t="shared" si="3"/>
        <v>1400000</v>
      </c>
      <c r="G19" s="109">
        <f t="shared" si="4"/>
        <v>0</v>
      </c>
      <c r="H19" s="110">
        <f>SUMIFS('Data Fertilizers'!$D:$D,'Data Fertilizers'!$P:$P,$B19,'Data Fertilizers'!$Q:$Q,"&gt;0",'Data Fertilizers'!$Q:$Q,"&lt;=30")</f>
        <v>0</v>
      </c>
      <c r="I19" s="110">
        <f>SUMIFS('Data Fertilizers'!$D:$D,'Data Fertilizers'!$P:$P,$B19,'Data Fertilizers'!$Q:$Q,"&gt;30",'Data Fertilizers'!$Q:$Q,"&lt;=60")</f>
        <v>0</v>
      </c>
      <c r="J19" s="110">
        <f>SUMIFS('Data Fertilizers'!$D:$D,'Data Fertilizers'!$P:$P,$B19,'Data Fertilizers'!$Q:$Q,"&gt;60",'Data Fertilizers'!$Q:$Q,"&lt;=90")</f>
        <v>0</v>
      </c>
      <c r="K19" s="110">
        <f>SUMIFS('Data Fertilizers'!$D:$D,'Data Fertilizers'!$P:$P,$B19,'Data Fertilizers'!$Q:$Q,"&gt;90",'Data Fertilizers'!$Q:$Q,"&lt;=120")</f>
        <v>0</v>
      </c>
      <c r="L19" s="110">
        <f>SUMIFS('Data Fertilizers'!$D:$D,'Data Fertilizers'!$P:$P,$B19,'Data Fertilizers'!$Q:$Q,"&gt;120",'Data Fertilizers'!$Q:$Q,"&lt;=180")</f>
        <v>0</v>
      </c>
      <c r="M19" s="110">
        <f>SUMIFS('Data Fertilizers'!$D:$D,'Data Fertilizers'!$P:$P,$B19,'Data Fertilizers'!$Q:$Q,"&gt;180",'Data Fertilizers'!$Q:$Q,"&lt;=360")</f>
        <v>0</v>
      </c>
      <c r="N19" s="115">
        <f>SUMIFS('Data Fertilizers'!$D:$D,'Data Fertilizers'!$P:$P,$B19,'Data Fertilizers'!$Q:$Q,"&gt;360")</f>
        <v>0</v>
      </c>
      <c r="O19" s="110">
        <f>SUMIFS('Data Fertilizers'!$D:$D,'Data Fertilizers'!$P:$P,$B19,'Data Fertilizers'!$Q:$Q,"&gt;0")</f>
        <v>0</v>
      </c>
      <c r="P19" s="110">
        <f t="shared" si="5"/>
        <v>0</v>
      </c>
      <c r="Q19" s="110">
        <f>SUMIFS('Data Fertilizers'!$D:$D,'Data Fertilizers'!$P:$P,$B19,'Data Fertilizers'!$Q:$Q,"&lt;=0",'Data Fertilizers'!$Q:$Q,"&gt;=-30")</f>
        <v>0</v>
      </c>
      <c r="R19" s="110">
        <f>SUMIFS('Data Fertilizers'!$D:$D,'Data Fertilizers'!$P:$P,$B19,'Data Fertilizers'!$Q:$Q,"&lt;=-31",'Data Fertilizers'!$Q:$Q,"&gt;=-60")</f>
        <v>0</v>
      </c>
      <c r="S19" s="110">
        <f>SUMIFS('Data Fertilizers'!$D:$D,'Data Fertilizers'!$P:$P,$B19,'Data Fertilizers'!$Q:$Q,"&lt;=-61",'Data Fertilizers'!$Q:$Q,"&gt;=-90")</f>
        <v>0</v>
      </c>
      <c r="T19" s="110">
        <f>SUMIFS('Data Fertilizers'!$D:$D,'Data Fertilizers'!$P:$P,$B19,'Data Fertilizers'!$Q:$Q,"&lt;=-91",'Data Fertilizers'!$Q:$Q,"&gt;=-120")</f>
        <v>0</v>
      </c>
      <c r="U19" s="110">
        <f>SUMIFS('Data Fertilizers'!$D:$D,'Data Fertilizers'!$P:$P,$B19,'Data Fertilizers'!$Q:$Q,"&lt;=-121",'Data Fertilizers'!$Q:$Q,"&gt;=-180")</f>
        <v>0</v>
      </c>
      <c r="V19" s="110">
        <f>SUMIFS('Data Fertilizers'!$D:$D,'Data Fertilizers'!$P:$P,$B19,'Data Fertilizers'!$Q:$Q,"&lt;=-181",'Data Fertilizers'!$Q:$Q,"&gt;=-360")</f>
        <v>0</v>
      </c>
      <c r="W19" s="115">
        <f>SUMIFS('Data Fertilizers'!$D:$D,'Data Fertilizers'!$P:$P,$B19,'Data Fertilizers'!$Q:$Q,"&lt;-360")</f>
        <v>0</v>
      </c>
      <c r="X19" s="164">
        <f>SUMIFS('Bad Debt Provision'!AB:AB,'Bad Debt Provision'!B:B,'Painel Fertilizers'!B19)</f>
        <v>0</v>
      </c>
      <c r="Z19" s="111"/>
      <c r="AA19" s="110">
        <f>_xlfn.XLOOKUP(B19,'Limite de crédito'!C:C,'Limite de crédito'!O:O,0)</f>
        <v>1400000</v>
      </c>
      <c r="AB19" s="110"/>
      <c r="AC19" s="112"/>
      <c r="AD19" s="113"/>
      <c r="AE19" s="113"/>
      <c r="AF19" s="111"/>
      <c r="AG19" s="110">
        <f t="shared" si="2"/>
        <v>1400000</v>
      </c>
    </row>
    <row r="20" spans="2:37" s="97" customFormat="1" ht="13.95" customHeight="1" x14ac:dyDescent="0.25">
      <c r="B20" s="96" t="s">
        <v>372</v>
      </c>
      <c r="C20" s="169">
        <f>IFERROR(_xlfn.XLOOKUP(B20,'Limite de crédito'!C:C,'Limite de crédito'!L:L),0)</f>
        <v>0</v>
      </c>
      <c r="E20" s="159">
        <f>_xlfn.XLOOKUP(B20,'Limite de crédito'!C:C,'Limite de crédito'!G:G,0)</f>
        <v>1000000</v>
      </c>
      <c r="F20" s="109">
        <f t="shared" si="3"/>
        <v>1000000</v>
      </c>
      <c r="G20" s="109">
        <f t="shared" si="4"/>
        <v>0</v>
      </c>
      <c r="H20" s="110">
        <f>SUMIFS('Data Fertilizers'!$D:$D,'Data Fertilizers'!$P:$P,$B20,'Data Fertilizers'!$Q:$Q,"&gt;0",'Data Fertilizers'!$Q:$Q,"&lt;=30")</f>
        <v>0</v>
      </c>
      <c r="I20" s="110">
        <f>SUMIFS('Data Fertilizers'!$D:$D,'Data Fertilizers'!$P:$P,$B20,'Data Fertilizers'!$Q:$Q,"&gt;30",'Data Fertilizers'!$Q:$Q,"&lt;=60")</f>
        <v>0</v>
      </c>
      <c r="J20" s="110">
        <f>SUMIFS('Data Fertilizers'!$D:$D,'Data Fertilizers'!$P:$P,$B20,'Data Fertilizers'!$Q:$Q,"&gt;60",'Data Fertilizers'!$Q:$Q,"&lt;=90")</f>
        <v>0</v>
      </c>
      <c r="K20" s="110">
        <f>SUMIFS('Data Fertilizers'!$D:$D,'Data Fertilizers'!$P:$P,$B20,'Data Fertilizers'!$Q:$Q,"&gt;90",'Data Fertilizers'!$Q:$Q,"&lt;=120")</f>
        <v>0</v>
      </c>
      <c r="L20" s="110">
        <f>SUMIFS('Data Fertilizers'!$D:$D,'Data Fertilizers'!$P:$P,$B20,'Data Fertilizers'!$Q:$Q,"&gt;120",'Data Fertilizers'!$Q:$Q,"&lt;=180")</f>
        <v>0</v>
      </c>
      <c r="M20" s="110">
        <f>SUMIFS('Data Fertilizers'!$D:$D,'Data Fertilizers'!$P:$P,$B20,'Data Fertilizers'!$Q:$Q,"&gt;180",'Data Fertilizers'!$Q:$Q,"&lt;=360")</f>
        <v>0</v>
      </c>
      <c r="N20" s="115">
        <f>SUMIFS('Data Fertilizers'!$D:$D,'Data Fertilizers'!$P:$P,$B20,'Data Fertilizers'!$Q:$Q,"&gt;360")</f>
        <v>0</v>
      </c>
      <c r="O20" s="110">
        <f>SUMIFS('Data Fertilizers'!$D:$D,'Data Fertilizers'!$P:$P,$B20,'Data Fertilizers'!$Q:$Q,"&gt;0")</f>
        <v>0</v>
      </c>
      <c r="P20" s="110">
        <f t="shared" si="5"/>
        <v>0</v>
      </c>
      <c r="Q20" s="110">
        <f>SUMIFS('Data Fertilizers'!$D:$D,'Data Fertilizers'!$P:$P,$B20,'Data Fertilizers'!$Q:$Q,"&lt;=0",'Data Fertilizers'!$Q:$Q,"&gt;=-30")</f>
        <v>0</v>
      </c>
      <c r="R20" s="110">
        <f>SUMIFS('Data Fertilizers'!$D:$D,'Data Fertilizers'!$P:$P,$B20,'Data Fertilizers'!$Q:$Q,"&lt;=-31",'Data Fertilizers'!$Q:$Q,"&gt;=-60")</f>
        <v>0</v>
      </c>
      <c r="S20" s="110">
        <f>SUMIFS('Data Fertilizers'!$D:$D,'Data Fertilizers'!$P:$P,$B20,'Data Fertilizers'!$Q:$Q,"&lt;=-61",'Data Fertilizers'!$Q:$Q,"&gt;=-90")</f>
        <v>0</v>
      </c>
      <c r="T20" s="110">
        <f>SUMIFS('Data Fertilizers'!$D:$D,'Data Fertilizers'!$P:$P,$B20,'Data Fertilizers'!$Q:$Q,"&lt;=-91",'Data Fertilizers'!$Q:$Q,"&gt;=-120")</f>
        <v>0</v>
      </c>
      <c r="U20" s="110">
        <f>SUMIFS('Data Fertilizers'!$D:$D,'Data Fertilizers'!$P:$P,$B20,'Data Fertilizers'!$Q:$Q,"&lt;=-121",'Data Fertilizers'!$Q:$Q,"&gt;=-180")</f>
        <v>0</v>
      </c>
      <c r="V20" s="110">
        <f>SUMIFS('Data Fertilizers'!$D:$D,'Data Fertilizers'!$P:$P,$B20,'Data Fertilizers'!$Q:$Q,"&lt;=-181",'Data Fertilizers'!$Q:$Q,"&gt;=-360")</f>
        <v>0</v>
      </c>
      <c r="W20" s="115">
        <f>SUMIFS('Data Fertilizers'!$D:$D,'Data Fertilizers'!$P:$P,$B20,'Data Fertilizers'!$Q:$Q,"&lt;-360")</f>
        <v>0</v>
      </c>
      <c r="X20" s="164">
        <f>SUMIFS('Bad Debt Provision'!AB:AB,'Bad Debt Provision'!B:B,'Painel Fertilizers'!B20)</f>
        <v>0</v>
      </c>
      <c r="Z20" s="111"/>
      <c r="AA20" s="110">
        <f>_xlfn.XLOOKUP(B20,'Limite de crédito'!C:C,'Limite de crédito'!O:O,0)</f>
        <v>1000000</v>
      </c>
      <c r="AB20" s="110"/>
      <c r="AC20" s="112"/>
      <c r="AD20" s="113"/>
      <c r="AE20" s="113"/>
      <c r="AF20" s="111"/>
      <c r="AG20" s="110">
        <f t="shared" si="2"/>
        <v>1000000</v>
      </c>
    </row>
    <row r="21" spans="2:37" s="161" customFormat="1" ht="15.75" customHeight="1" x14ac:dyDescent="0.25">
      <c r="B21" s="162" t="s">
        <v>242</v>
      </c>
      <c r="C21" s="171">
        <f>IFERROR(_xlfn.XLOOKUP(B21,'Limite de crédito'!C:C,'Limite de crédito'!L:L),0)</f>
        <v>0</v>
      </c>
      <c r="D21" s="172"/>
      <c r="E21" s="173">
        <f>_xlfn.XLOOKUP(B21,'Limite de crédito'!C:C,'Limite de crédito'!G:G,0)</f>
        <v>0</v>
      </c>
      <c r="F21" s="163">
        <f t="shared" si="3"/>
        <v>-988506.24</v>
      </c>
      <c r="G21" s="163">
        <f t="shared" si="4"/>
        <v>988506.24</v>
      </c>
      <c r="H21" s="164">
        <f>SUMIFS('Data Fertilizers'!$D:$D,'Data Fertilizers'!$P:$P,$B21,'Data Fertilizers'!$Q:$Q,"&gt;0",'Data Fertilizers'!$Q:$Q,"&lt;=30")</f>
        <v>0</v>
      </c>
      <c r="I21" s="164">
        <f>SUMIFS('Data Fertilizers'!$D:$D,'Data Fertilizers'!$P:$P,$B21,'Data Fertilizers'!$Q:$Q,"&gt;30",'Data Fertilizers'!$Q:$Q,"&lt;=60")</f>
        <v>0</v>
      </c>
      <c r="J21" s="164">
        <f>SUMIFS('Data Fertilizers'!$D:$D,'Data Fertilizers'!$P:$P,$B21,'Data Fertilizers'!$Q:$Q,"&gt;60",'Data Fertilizers'!$Q:$Q,"&lt;=90")</f>
        <v>0</v>
      </c>
      <c r="K21" s="164">
        <f>SUMIFS('Data Fertilizers'!$D:$D,'Data Fertilizers'!$P:$P,$B21,'Data Fertilizers'!$Q:$Q,"&gt;90",'Data Fertilizers'!$Q:$Q,"&lt;=120")</f>
        <v>0</v>
      </c>
      <c r="L21" s="164">
        <f>SUMIFS('Data Fertilizers'!$D:$D,'Data Fertilizers'!$P:$P,$B21,'Data Fertilizers'!$Q:$Q,"&gt;120",'Data Fertilizers'!$Q:$Q,"&lt;=180")</f>
        <v>0</v>
      </c>
      <c r="M21" s="164">
        <f>SUMIFS('Data Fertilizers'!$D:$D,'Data Fertilizers'!$P:$P,$B21,'Data Fertilizers'!$Q:$Q,"&gt;180",'Data Fertilizers'!$Q:$Q,"&lt;=360")</f>
        <v>462720</v>
      </c>
      <c r="N21" s="168">
        <f>SUMIFS('Data Fertilizers'!$D:$D,'Data Fertilizers'!$P:$P,$B21,'Data Fertilizers'!$Q:$Q,"&gt;360")</f>
        <v>525786.24</v>
      </c>
      <c r="O21" s="164">
        <f>SUMIFS('Data Fertilizers'!$D:$D,'Data Fertilizers'!$P:$P,$B21,'Data Fertilizers'!$Q:$Q,"&gt;0")</f>
        <v>988506.24</v>
      </c>
      <c r="P21" s="164">
        <f t="shared" si="5"/>
        <v>0</v>
      </c>
      <c r="Q21" s="164">
        <f>SUMIFS('Data Fertilizers'!$D:$D,'Data Fertilizers'!$P:$P,$B21,'Data Fertilizers'!$Q:$Q,"&lt;=0",'Data Fertilizers'!$Q:$Q,"&gt;=-30")</f>
        <v>0</v>
      </c>
      <c r="R21" s="164">
        <f>SUMIFS('Data Fertilizers'!$D:$D,'Data Fertilizers'!$P:$P,$B21,'Data Fertilizers'!$Q:$Q,"&lt;=-31",'Data Fertilizers'!$Q:$Q,"&gt;=-60")</f>
        <v>0</v>
      </c>
      <c r="S21" s="164">
        <f>SUMIFS('Data Fertilizers'!$D:$D,'Data Fertilizers'!$P:$P,$B21,'Data Fertilizers'!$Q:$Q,"&lt;=-61",'Data Fertilizers'!$Q:$Q,"&gt;=-90")</f>
        <v>0</v>
      </c>
      <c r="T21" s="164">
        <f>SUMIFS('Data Fertilizers'!$D:$D,'Data Fertilizers'!$P:$P,$B21,'Data Fertilizers'!$Q:$Q,"&lt;=-91",'Data Fertilizers'!$Q:$Q,"&gt;=-120")</f>
        <v>0</v>
      </c>
      <c r="U21" s="164">
        <f>SUMIFS('Data Fertilizers'!$D:$D,'Data Fertilizers'!$P:$P,$B21,'Data Fertilizers'!$Q:$Q,"&lt;=-121",'Data Fertilizers'!$Q:$Q,"&gt;=-180")</f>
        <v>0</v>
      </c>
      <c r="V21" s="164">
        <f>SUMIFS('Data Fertilizers'!$D:$D,'Data Fertilizers'!$P:$P,$B21,'Data Fertilizers'!$Q:$Q,"&lt;=-181",'Data Fertilizers'!$Q:$Q,"&gt;=-360")</f>
        <v>0</v>
      </c>
      <c r="W21" s="168">
        <f>SUMIFS('Data Fertilizers'!$D:$D,'Data Fertilizers'!$P:$P,$B21,'Data Fertilizers'!$Q:$Q,"&lt;-360")</f>
        <v>0</v>
      </c>
      <c r="X21" s="164">
        <f>SUMIFS('Bad Debt Provision'!AB:AB,'Bad Debt Provision'!B:B,'Painel Fertilizers'!B21)</f>
        <v>539667.84000000008</v>
      </c>
      <c r="Y21" s="165"/>
      <c r="Z21" s="165"/>
      <c r="AA21" s="110">
        <f>_xlfn.XLOOKUP(B21,'Limite de crédito'!C:C,'Limite de crédito'!O:O,0)</f>
        <v>0</v>
      </c>
      <c r="AB21" s="164"/>
      <c r="AC21" s="166"/>
      <c r="AD21" s="167"/>
      <c r="AE21" s="167"/>
      <c r="AF21" s="165"/>
      <c r="AG21" s="164">
        <f t="shared" si="2"/>
        <v>-988506.24</v>
      </c>
    </row>
    <row r="22" spans="2:37" s="97" customFormat="1" x14ac:dyDescent="0.25">
      <c r="B22" s="96" t="s">
        <v>194</v>
      </c>
      <c r="C22" s="169">
        <f>IFERROR(_xlfn.XLOOKUP(B22,'Limite de crédito'!C:C,'Limite de crédito'!L:L),0)</f>
        <v>0</v>
      </c>
      <c r="D22" s="114"/>
      <c r="E22" s="159">
        <f>_xlfn.XLOOKUP(B22,'Limite de crédito'!C:C,'Limite de crédito'!G:G,0)</f>
        <v>0</v>
      </c>
      <c r="F22" s="109">
        <f t="shared" si="3"/>
        <v>0</v>
      </c>
      <c r="G22" s="109">
        <f t="shared" si="4"/>
        <v>0</v>
      </c>
      <c r="H22" s="110">
        <f>SUMIFS('Data Fertilizers'!$D:$D,'Data Fertilizers'!$P:$P,$B22,'Data Fertilizers'!$Q:$Q,"&gt;0",'Data Fertilizers'!$Q:$Q,"&lt;=30")</f>
        <v>0</v>
      </c>
      <c r="I22" s="110">
        <f>SUMIFS('Data Fertilizers'!$D:$D,'Data Fertilizers'!$P:$P,$B22,'Data Fertilizers'!$Q:$Q,"&gt;30",'Data Fertilizers'!$Q:$Q,"&lt;=60")</f>
        <v>0</v>
      </c>
      <c r="J22" s="110">
        <f>SUMIFS('Data Fertilizers'!$D:$D,'Data Fertilizers'!$P:$P,$B22,'Data Fertilizers'!$Q:$Q,"&gt;60",'Data Fertilizers'!$Q:$Q,"&lt;=90")</f>
        <v>0</v>
      </c>
      <c r="K22" s="110">
        <f>SUMIFS('Data Fertilizers'!$D:$D,'Data Fertilizers'!$P:$P,$B22,'Data Fertilizers'!$Q:$Q,"&gt;90",'Data Fertilizers'!$Q:$Q,"&lt;=120")</f>
        <v>0</v>
      </c>
      <c r="L22" s="110">
        <f>SUMIFS('Data Fertilizers'!$D:$D,'Data Fertilizers'!$P:$P,$B22,'Data Fertilizers'!$Q:$Q,"&gt;120",'Data Fertilizers'!$Q:$Q,"&lt;=180")</f>
        <v>0</v>
      </c>
      <c r="M22" s="110">
        <f>SUMIFS('Data Fertilizers'!$D:$D,'Data Fertilizers'!$P:$P,$B22,'Data Fertilizers'!$Q:$Q,"&gt;180",'Data Fertilizers'!$Q:$Q,"&lt;=360")</f>
        <v>0</v>
      </c>
      <c r="N22" s="115">
        <f>SUMIFS('Data Fertilizers'!$D:$D,'Data Fertilizers'!$P:$P,$B22,'Data Fertilizers'!$Q:$Q,"&gt;360")</f>
        <v>0</v>
      </c>
      <c r="O22" s="110">
        <f>SUMIFS('Data Fertilizers'!$D:$D,'Data Fertilizers'!$P:$P,$B22,'Data Fertilizers'!$Q:$Q,"&gt;0")</f>
        <v>0</v>
      </c>
      <c r="P22" s="110">
        <f t="shared" si="5"/>
        <v>0</v>
      </c>
      <c r="Q22" s="110">
        <f>SUMIFS('Data Fertilizers'!$D:$D,'Data Fertilizers'!$P:$P,$B22,'Data Fertilizers'!$Q:$Q,"&lt;=0",'Data Fertilizers'!$Q:$Q,"&gt;=-30")</f>
        <v>0</v>
      </c>
      <c r="R22" s="110">
        <f>SUMIFS('Data Fertilizers'!$D:$D,'Data Fertilizers'!$P:$P,$B22,'Data Fertilizers'!$Q:$Q,"&lt;=-31",'Data Fertilizers'!$Q:$Q,"&gt;=-60")</f>
        <v>0</v>
      </c>
      <c r="S22" s="110">
        <f>SUMIFS('Data Fertilizers'!$D:$D,'Data Fertilizers'!$P:$P,$B22,'Data Fertilizers'!$Q:$Q,"&lt;=-61",'Data Fertilizers'!$Q:$Q,"&gt;=-90")</f>
        <v>0</v>
      </c>
      <c r="T22" s="110">
        <f>SUMIFS('Data Fertilizers'!$D:$D,'Data Fertilizers'!$P:$P,$B22,'Data Fertilizers'!$Q:$Q,"&lt;=-91",'Data Fertilizers'!$Q:$Q,"&gt;=-120")</f>
        <v>0</v>
      </c>
      <c r="U22" s="110">
        <f>SUMIFS('Data Fertilizers'!$D:$D,'Data Fertilizers'!$P:$P,$B22,'Data Fertilizers'!$Q:$Q,"&lt;=-121",'Data Fertilizers'!$Q:$Q,"&gt;=-180")</f>
        <v>0</v>
      </c>
      <c r="V22" s="110">
        <f>SUMIFS('Data Fertilizers'!$D:$D,'Data Fertilizers'!$P:$P,$B22,'Data Fertilizers'!$Q:$Q,"&lt;=-181",'Data Fertilizers'!$Q:$Q,"&gt;=-360")</f>
        <v>0</v>
      </c>
      <c r="W22" s="115">
        <f>SUMIFS('Data Fertilizers'!$D:$D,'Data Fertilizers'!$P:$P,$B22,'Data Fertilizers'!$Q:$Q,"&lt;-360")</f>
        <v>0</v>
      </c>
      <c r="X22" s="164">
        <f>SUMIFS('Bad Debt Provision'!AB:AB,'Bad Debt Provision'!B:B,'Painel Fertilizers'!B22)</f>
        <v>0</v>
      </c>
      <c r="Y22" s="111"/>
      <c r="Z22" s="111"/>
      <c r="AA22" s="110">
        <f>_xlfn.XLOOKUP(B22,'Limite de crédito'!C:C,'Limite de crédito'!O:O,0)</f>
        <v>0</v>
      </c>
      <c r="AB22" s="110"/>
      <c r="AC22" s="112"/>
      <c r="AD22" s="113"/>
      <c r="AE22" s="113"/>
      <c r="AF22" s="111"/>
      <c r="AG22" s="110">
        <f t="shared" si="2"/>
        <v>0</v>
      </c>
      <c r="AH22" s="111"/>
    </row>
    <row r="23" spans="2:37" s="97" customFormat="1" x14ac:dyDescent="0.25">
      <c r="B23" s="96" t="s">
        <v>283</v>
      </c>
      <c r="C23" s="169">
        <f>IFERROR(_xlfn.XLOOKUP(B23,'Limite de crédito'!C:C,'Limite de crédito'!L:L),0)</f>
        <v>0</v>
      </c>
      <c r="D23" s="114">
        <v>230</v>
      </c>
      <c r="E23" s="159">
        <f>_xlfn.XLOOKUP(B23,'Limite de crédito'!C:C,'Limite de crédito'!G:G,0)</f>
        <v>0</v>
      </c>
      <c r="F23" s="109">
        <f t="shared" si="3"/>
        <v>0</v>
      </c>
      <c r="G23" s="109">
        <f t="shared" si="4"/>
        <v>0</v>
      </c>
      <c r="H23" s="110">
        <f>SUMIFS('Data Fertilizers'!$D:$D,'Data Fertilizers'!$P:$P,$B23,'Data Fertilizers'!$Q:$Q,"&gt;0",'Data Fertilizers'!$Q:$Q,"&lt;=30")</f>
        <v>0</v>
      </c>
      <c r="I23" s="110">
        <f>SUMIFS('Data Fertilizers'!$D:$D,'Data Fertilizers'!$P:$P,$B23,'Data Fertilizers'!$Q:$Q,"&gt;30",'Data Fertilizers'!$Q:$Q,"&lt;=60")</f>
        <v>0</v>
      </c>
      <c r="J23" s="110">
        <f>SUMIFS('Data Fertilizers'!$D:$D,'Data Fertilizers'!$P:$P,$B23,'Data Fertilizers'!$Q:$Q,"&gt;60",'Data Fertilizers'!$Q:$Q,"&lt;=90")</f>
        <v>0</v>
      </c>
      <c r="K23" s="110">
        <f>SUMIFS('Data Fertilizers'!$D:$D,'Data Fertilizers'!$P:$P,$B23,'Data Fertilizers'!$Q:$Q,"&gt;90",'Data Fertilizers'!$Q:$Q,"&lt;=120")</f>
        <v>0</v>
      </c>
      <c r="L23" s="110">
        <f>SUMIFS('Data Fertilizers'!$D:$D,'Data Fertilizers'!$P:$P,$B23,'Data Fertilizers'!$Q:$Q,"&gt;120",'Data Fertilizers'!$Q:$Q,"&lt;=180")</f>
        <v>0</v>
      </c>
      <c r="M23" s="110">
        <f>SUMIFS('Data Fertilizers'!$D:$D,'Data Fertilizers'!$P:$P,$B23,'Data Fertilizers'!$Q:$Q,"&gt;180",'Data Fertilizers'!$Q:$Q,"&lt;=360")</f>
        <v>0</v>
      </c>
      <c r="N23" s="115">
        <f>SUMIFS('Data Fertilizers'!$D:$D,'Data Fertilizers'!$P:$P,$B23,'Data Fertilizers'!$Q:$Q,"&gt;360")</f>
        <v>0</v>
      </c>
      <c r="O23" s="110">
        <f>SUMIFS('Data Fertilizers'!$D:$D,'Data Fertilizers'!$P:$P,$B23,'Data Fertilizers'!$Q:$Q,"&gt;0")</f>
        <v>0</v>
      </c>
      <c r="P23" s="110">
        <f t="shared" si="5"/>
        <v>0</v>
      </c>
      <c r="Q23" s="110">
        <f>SUMIFS('Data Fertilizers'!$D:$D,'Data Fertilizers'!$P:$P,$B23,'Data Fertilizers'!$Q:$Q,"&lt;=0",'Data Fertilizers'!$Q:$Q,"&gt;=-30")</f>
        <v>0</v>
      </c>
      <c r="R23" s="110">
        <f>SUMIFS('Data Fertilizers'!$D:$D,'Data Fertilizers'!$P:$P,$B23,'Data Fertilizers'!$Q:$Q,"&lt;=-31",'Data Fertilizers'!$Q:$Q,"&gt;=-60")</f>
        <v>0</v>
      </c>
      <c r="S23" s="110">
        <f>SUMIFS('Data Fertilizers'!$D:$D,'Data Fertilizers'!$P:$P,$B23,'Data Fertilizers'!$Q:$Q,"&lt;=-61",'Data Fertilizers'!$Q:$Q,"&gt;=-90")</f>
        <v>0</v>
      </c>
      <c r="T23" s="110">
        <f>SUMIFS('Data Fertilizers'!$D:$D,'Data Fertilizers'!$P:$P,$B23,'Data Fertilizers'!$Q:$Q,"&lt;=-91",'Data Fertilizers'!$Q:$Q,"&gt;=-120")</f>
        <v>0</v>
      </c>
      <c r="U23" s="110">
        <f>SUMIFS('Data Fertilizers'!$D:$D,'Data Fertilizers'!$P:$P,$B23,'Data Fertilizers'!$Q:$Q,"&lt;=-121",'Data Fertilizers'!$Q:$Q,"&gt;=-180")</f>
        <v>0</v>
      </c>
      <c r="V23" s="110">
        <f>SUMIFS('Data Fertilizers'!$D:$D,'Data Fertilizers'!$P:$P,$B23,'Data Fertilizers'!$Q:$Q,"&lt;=-181",'Data Fertilizers'!$Q:$Q,"&gt;=-360")</f>
        <v>0</v>
      </c>
      <c r="W23" s="115">
        <f>SUMIFS('Data Fertilizers'!$D:$D,'Data Fertilizers'!$P:$P,$B23,'Data Fertilizers'!$Q:$Q,"&lt;-360")</f>
        <v>0</v>
      </c>
      <c r="X23" s="164">
        <f>SUMIFS('Bad Debt Provision'!AB:AB,'Bad Debt Provision'!B:B,'Painel Fertilizers'!B23)</f>
        <v>0</v>
      </c>
      <c r="Y23" s="111"/>
      <c r="Z23" s="111"/>
      <c r="AA23" s="110">
        <f>_xlfn.XLOOKUP(B23,'Limite de crédito'!C:C,'Limite de crédito'!O:O,0)</f>
        <v>0</v>
      </c>
      <c r="AB23" s="110"/>
      <c r="AC23" s="112"/>
      <c r="AD23" s="113"/>
      <c r="AE23" s="113"/>
      <c r="AF23" s="111"/>
      <c r="AG23" s="110">
        <f t="shared" si="2"/>
        <v>0</v>
      </c>
    </row>
    <row r="24" spans="2:37" s="161" customFormat="1" x14ac:dyDescent="0.25">
      <c r="B24" s="162" t="s">
        <v>366</v>
      </c>
      <c r="C24" s="171">
        <f>IFERROR(_xlfn.XLOOKUP(B24,'Limite de crédito'!C:C,'Limite de crédito'!L:L),0)</f>
        <v>0</v>
      </c>
      <c r="D24" s="172"/>
      <c r="E24" s="173">
        <f>_xlfn.XLOOKUP(B24,'Limite de crédito'!C:C,'Limite de crédito'!G:G,0)</f>
        <v>0</v>
      </c>
      <c r="F24" s="163">
        <f>E24-G24</f>
        <v>-237309.12</v>
      </c>
      <c r="G24" s="163">
        <f>P24+O24</f>
        <v>237309.12</v>
      </c>
      <c r="H24" s="164">
        <f>SUMIFS('Data Fertilizers'!$D:$D,'Data Fertilizers'!$P:$P,$B24,'Data Fertilizers'!$Q:$Q,"&gt;0",'Data Fertilizers'!$Q:$Q,"&lt;=30")</f>
        <v>0</v>
      </c>
      <c r="I24" s="164">
        <f>SUMIFS('Data Fertilizers'!$D:$D,'Data Fertilizers'!$P:$P,$B24,'Data Fertilizers'!$Q:$Q,"&gt;30",'Data Fertilizers'!$Q:$Q,"&lt;=60")</f>
        <v>0</v>
      </c>
      <c r="J24" s="164">
        <f>SUMIFS('Data Fertilizers'!$D:$D,'Data Fertilizers'!$P:$P,$B24,'Data Fertilizers'!$Q:$Q,"&gt;60",'Data Fertilizers'!$Q:$Q,"&lt;=90")</f>
        <v>0</v>
      </c>
      <c r="K24" s="164">
        <f>SUMIFS('Data Fertilizers'!$D:$D,'Data Fertilizers'!$P:$P,$B24,'Data Fertilizers'!$Q:$Q,"&gt;90",'Data Fertilizers'!$Q:$Q,"&lt;=120")</f>
        <v>0</v>
      </c>
      <c r="L24" s="164">
        <f>SUMIFS('Data Fertilizers'!$D:$D,'Data Fertilizers'!$P:$P,$B24,'Data Fertilizers'!$Q:$Q,"&gt;120",'Data Fertilizers'!$Q:$Q,"&lt;=180")</f>
        <v>0</v>
      </c>
      <c r="M24" s="164">
        <f>SUMIFS('Data Fertilizers'!$D:$D,'Data Fertilizers'!$P:$P,$B24,'Data Fertilizers'!$Q:$Q,"&gt;180",'Data Fertilizers'!$Q:$Q,"&lt;=360")</f>
        <v>0</v>
      </c>
      <c r="N24" s="168">
        <f>SUMIFS('Data Fertilizers'!$D:$D,'Data Fertilizers'!$P:$P,$B24,'Data Fertilizers'!$Q:$Q,"&gt;360")</f>
        <v>237309.12</v>
      </c>
      <c r="O24" s="164">
        <f>SUMIFS('Data Fertilizers'!$D:$D,'Data Fertilizers'!$P:$P,$B24,'Data Fertilizers'!$Q:$Q,"&gt;0")</f>
        <v>237309.12</v>
      </c>
      <c r="P24" s="164">
        <f t="shared" si="5"/>
        <v>0</v>
      </c>
      <c r="Q24" s="164">
        <f>SUMIFS('Data Fertilizers'!$D:$D,'Data Fertilizers'!$P:$P,$B24,'Data Fertilizers'!$Q:$Q,"&lt;=0",'Data Fertilizers'!$Q:$Q,"&gt;=-30")</f>
        <v>0</v>
      </c>
      <c r="R24" s="164">
        <f>SUMIFS('Data Fertilizers'!$D:$D,'Data Fertilizers'!$P:$P,$B24,'Data Fertilizers'!$Q:$Q,"&lt;=-31",'Data Fertilizers'!$Q:$Q,"&gt;=-60")</f>
        <v>0</v>
      </c>
      <c r="S24" s="164">
        <f>SUMIFS('Data Fertilizers'!$D:$D,'Data Fertilizers'!$P:$P,$B24,'Data Fertilizers'!$Q:$Q,"&lt;=-61",'Data Fertilizers'!$Q:$Q,"&gt;=-90")</f>
        <v>0</v>
      </c>
      <c r="T24" s="164">
        <f>SUMIFS('Data Fertilizers'!$D:$D,'Data Fertilizers'!$P:$P,$B24,'Data Fertilizers'!$Q:$Q,"&lt;=-91",'Data Fertilizers'!$Q:$Q,"&gt;=-120")</f>
        <v>0</v>
      </c>
      <c r="U24" s="164">
        <f>SUMIFS('Data Fertilizers'!$D:$D,'Data Fertilizers'!$P:$P,$B24,'Data Fertilizers'!$Q:$Q,"&lt;=-121",'Data Fertilizers'!$Q:$Q,"&gt;=-180")</f>
        <v>0</v>
      </c>
      <c r="V24" s="164">
        <f>SUMIFS('Data Fertilizers'!$D:$D,'Data Fertilizers'!$P:$P,$B24,'Data Fertilizers'!$Q:$Q,"&lt;=-181",'Data Fertilizers'!$Q:$Q,"&gt;=-360")</f>
        <v>0</v>
      </c>
      <c r="W24" s="168">
        <f>SUMIFS('Data Fertilizers'!$D:$D,'Data Fertilizers'!$P:$P,$B24,'Data Fertilizers'!$Q:$Q,"&lt;-360")</f>
        <v>0</v>
      </c>
      <c r="X24" s="164">
        <f>SUMIFS('Bad Debt Provision'!AB:AB,'Bad Debt Provision'!B:B,'Painel Fertilizers'!B24)</f>
        <v>237309.12</v>
      </c>
      <c r="Z24" s="165"/>
      <c r="AA24" s="110">
        <f>_xlfn.XLOOKUP(B24,'Limite de crédito'!C:C,'Limite de crédito'!O:O,0)</f>
        <v>0</v>
      </c>
      <c r="AB24" s="164"/>
      <c r="AC24" s="166"/>
      <c r="AD24" s="167"/>
      <c r="AE24" s="167"/>
      <c r="AF24" s="165"/>
      <c r="AG24" s="164">
        <f t="shared" si="2"/>
        <v>-237309.12</v>
      </c>
    </row>
    <row r="25" spans="2:37" s="99" customFormat="1" x14ac:dyDescent="0.25">
      <c r="B25" s="100" t="s">
        <v>315</v>
      </c>
      <c r="C25" s="169">
        <f>IFERROR(_xlfn.XLOOKUP(B25,'Limite de crédito'!C:C,'Limite de crédito'!L:L),0)</f>
        <v>0</v>
      </c>
      <c r="D25" s="101"/>
      <c r="E25" s="159">
        <f>_xlfn.XLOOKUP(B25,'Limite de crédito'!C:C,'Limite de crédito'!G:G,0)</f>
        <v>0</v>
      </c>
      <c r="F25" s="102">
        <f t="shared" si="3"/>
        <v>0</v>
      </c>
      <c r="G25" s="102">
        <f t="shared" si="4"/>
        <v>0</v>
      </c>
      <c r="H25" s="103">
        <f>SUMIFS('Data Fertilizers'!$D:$D,'Data Fertilizers'!$P:$P,$B25,'Data Fertilizers'!$Q:$Q,"&gt;0",'Data Fertilizers'!$Q:$Q,"&lt;=30")</f>
        <v>0</v>
      </c>
      <c r="I25" s="103">
        <f>SUMIFS('Data Fertilizers'!$D:$D,'Data Fertilizers'!$P:$P,$B25,'Data Fertilizers'!$Q:$Q,"&gt;30",'Data Fertilizers'!$Q:$Q,"&lt;=60")</f>
        <v>0</v>
      </c>
      <c r="J25" s="103">
        <f>SUMIFS('Data Fertilizers'!$D:$D,'Data Fertilizers'!$P:$P,$B25,'Data Fertilizers'!$Q:$Q,"&gt;60",'Data Fertilizers'!$Q:$Q,"&lt;=90")</f>
        <v>0</v>
      </c>
      <c r="K25" s="103">
        <f>SUMIFS('Data Fertilizers'!$D:$D,'Data Fertilizers'!$P:$P,$B25,'Data Fertilizers'!$Q:$Q,"&gt;90",'Data Fertilizers'!$Q:$Q,"&lt;=120")</f>
        <v>0</v>
      </c>
      <c r="L25" s="103">
        <f>SUMIFS('Data Fertilizers'!$D:$D,'Data Fertilizers'!$P:$P,$B25,'Data Fertilizers'!$Q:$Q,"&gt;120",'Data Fertilizers'!$Q:$Q,"&lt;=180")</f>
        <v>0</v>
      </c>
      <c r="M25" s="103">
        <f>SUMIFS('Data Fertilizers'!$D:$D,'Data Fertilizers'!$P:$P,$B25,'Data Fertilizers'!$Q:$Q,"&gt;180",'Data Fertilizers'!$Q:$Q,"&lt;=360")</f>
        <v>0</v>
      </c>
      <c r="N25" s="104">
        <f>SUMIFS('Data Fertilizers'!$D:$D,'Data Fertilizers'!$P:$P,$B25,'Data Fertilizers'!$Q:$Q,"&gt;360")</f>
        <v>0</v>
      </c>
      <c r="O25" s="103">
        <f>SUMIFS('Data Fertilizers'!$D:$D,'Data Fertilizers'!$P:$P,$B25,'Data Fertilizers'!$Q:$Q,"&gt;0")</f>
        <v>0</v>
      </c>
      <c r="P25" s="103">
        <f t="shared" si="5"/>
        <v>0</v>
      </c>
      <c r="Q25" s="103">
        <f>SUMIFS('Data Fertilizers'!$D:$D,'Data Fertilizers'!$P:$P,$B25,'Data Fertilizers'!$Q:$Q,"&lt;=0",'Data Fertilizers'!$Q:$Q,"&gt;=-30")</f>
        <v>0</v>
      </c>
      <c r="R25" s="103">
        <f>SUMIFS('Data Fertilizers'!$D:$D,'Data Fertilizers'!$P:$P,$B25,'Data Fertilizers'!$Q:$Q,"&lt;=-31",'Data Fertilizers'!$Q:$Q,"&gt;=-60")</f>
        <v>0</v>
      </c>
      <c r="S25" s="103">
        <f>SUMIFS('Data Fertilizers'!$D:$D,'Data Fertilizers'!$P:$P,$B25,'Data Fertilizers'!$Q:$Q,"&lt;=-61",'Data Fertilizers'!$Q:$Q,"&gt;=-90")</f>
        <v>0</v>
      </c>
      <c r="T25" s="103">
        <f>SUMIFS('Data Fertilizers'!$D:$D,'Data Fertilizers'!$P:$P,$B25,'Data Fertilizers'!$Q:$Q,"&lt;=-91",'Data Fertilizers'!$Q:$Q,"&gt;=-120")</f>
        <v>0</v>
      </c>
      <c r="U25" s="103">
        <f>SUMIFS('Data Fertilizers'!$D:$D,'Data Fertilizers'!$P:$P,$B25,'Data Fertilizers'!$Q:$Q,"&lt;=-121",'Data Fertilizers'!$Q:$Q,"&gt;=-180")</f>
        <v>0</v>
      </c>
      <c r="V25" s="103">
        <f>SUMIFS('Data Fertilizers'!$D:$D,'Data Fertilizers'!$P:$P,$B25,'Data Fertilizers'!$Q:$Q,"&lt;=-181",'Data Fertilizers'!$Q:$Q,"&gt;=-360")</f>
        <v>0</v>
      </c>
      <c r="W25" s="104">
        <f>SUMIFS('Data Fertilizers'!$D:$D,'Data Fertilizers'!$P:$P,$B25,'Data Fertilizers'!$Q:$Q,"&lt;-360")</f>
        <v>0</v>
      </c>
      <c r="X25" s="164">
        <f>SUMIFS('Bad Debt Provision'!AB:AB,'Bad Debt Provision'!B:B,'Painel Fertilizers'!B25)</f>
        <v>0</v>
      </c>
      <c r="Y25" s="105"/>
      <c r="Z25" s="105"/>
      <c r="AA25" s="110">
        <f>_xlfn.XLOOKUP(B25,'Limite de crédito'!C:C,'Limite de crédito'!O:O,0)</f>
        <v>0</v>
      </c>
      <c r="AB25" s="103"/>
      <c r="AC25" s="106"/>
      <c r="AD25" s="107"/>
      <c r="AE25" s="107"/>
      <c r="AF25" s="105"/>
      <c r="AG25" s="103">
        <f t="shared" si="2"/>
        <v>0</v>
      </c>
    </row>
    <row r="26" spans="2:37" s="99" customFormat="1" x14ac:dyDescent="0.25">
      <c r="B26" s="100" t="s">
        <v>329</v>
      </c>
      <c r="C26" s="169">
        <f>IFERROR(_xlfn.XLOOKUP(B26,'Limite de crédito'!C:C,'Limite de crédito'!L:L),0)</f>
        <v>0</v>
      </c>
      <c r="D26" s="101"/>
      <c r="E26" s="159">
        <f>_xlfn.XLOOKUP(B26,'Limite de crédito'!C:C,'Limite de crédito'!G:G,0)</f>
        <v>0</v>
      </c>
      <c r="F26" s="102">
        <f t="shared" si="3"/>
        <v>0</v>
      </c>
      <c r="G26" s="102">
        <f t="shared" si="4"/>
        <v>0</v>
      </c>
      <c r="H26" s="103">
        <f>SUMIFS('Data Fertilizers'!$D:$D,'Data Fertilizers'!$P:$P,$B26,'Data Fertilizers'!$Q:$Q,"&gt;0",'Data Fertilizers'!$Q:$Q,"&lt;=30")</f>
        <v>0</v>
      </c>
      <c r="I26" s="103">
        <f>SUMIFS('Data Fertilizers'!$D:$D,'Data Fertilizers'!$P:$P,$B26,'Data Fertilizers'!$Q:$Q,"&gt;30",'Data Fertilizers'!$Q:$Q,"&lt;=60")</f>
        <v>0</v>
      </c>
      <c r="J26" s="103">
        <f>SUMIFS('Data Fertilizers'!$D:$D,'Data Fertilizers'!$P:$P,$B26,'Data Fertilizers'!$Q:$Q,"&gt;60",'Data Fertilizers'!$Q:$Q,"&lt;=90")</f>
        <v>0</v>
      </c>
      <c r="K26" s="103">
        <f>SUMIFS('Data Fertilizers'!$D:$D,'Data Fertilizers'!$P:$P,$B26,'Data Fertilizers'!$Q:$Q,"&gt;90",'Data Fertilizers'!$Q:$Q,"&lt;=120")</f>
        <v>0</v>
      </c>
      <c r="L26" s="103">
        <f>SUMIFS('Data Fertilizers'!$D:$D,'Data Fertilizers'!$P:$P,$B26,'Data Fertilizers'!$Q:$Q,"&gt;120",'Data Fertilizers'!$Q:$Q,"&lt;=180")</f>
        <v>0</v>
      </c>
      <c r="M26" s="103">
        <f>SUMIFS('Data Fertilizers'!$D:$D,'Data Fertilizers'!$P:$P,$B26,'Data Fertilizers'!$Q:$Q,"&gt;180",'Data Fertilizers'!$Q:$Q,"&lt;=360")</f>
        <v>0</v>
      </c>
      <c r="N26" s="104">
        <f>SUMIFS('Data Fertilizers'!$D:$D,'Data Fertilizers'!$P:$P,$B26,'Data Fertilizers'!$Q:$Q,"&gt;360")</f>
        <v>0</v>
      </c>
      <c r="O26" s="103">
        <f>SUMIFS('Data Fertilizers'!$D:$D,'Data Fertilizers'!$P:$P,$B26,'Data Fertilizers'!$Q:$Q,"&gt;0")</f>
        <v>0</v>
      </c>
      <c r="P26" s="103">
        <f t="shared" si="5"/>
        <v>0</v>
      </c>
      <c r="Q26" s="103">
        <f>SUMIFS('Data Fertilizers'!$D:$D,'Data Fertilizers'!$P:$P,$B26,'Data Fertilizers'!$Q:$Q,"&lt;=0",'Data Fertilizers'!$Q:$Q,"&gt;=-30")</f>
        <v>0</v>
      </c>
      <c r="R26" s="103">
        <f>SUMIFS('Data Fertilizers'!$D:$D,'Data Fertilizers'!$P:$P,$B26,'Data Fertilizers'!$Q:$Q,"&lt;=-31",'Data Fertilizers'!$Q:$Q,"&gt;=-60")</f>
        <v>0</v>
      </c>
      <c r="S26" s="103">
        <f>SUMIFS('Data Fertilizers'!$D:$D,'Data Fertilizers'!$P:$P,$B26,'Data Fertilizers'!$Q:$Q,"&lt;=-61",'Data Fertilizers'!$Q:$Q,"&gt;=-90")</f>
        <v>0</v>
      </c>
      <c r="T26" s="103">
        <f>SUMIFS('Data Fertilizers'!$D:$D,'Data Fertilizers'!$P:$P,$B26,'Data Fertilizers'!$Q:$Q,"&lt;=-91",'Data Fertilizers'!$Q:$Q,"&gt;=-120")</f>
        <v>0</v>
      </c>
      <c r="U26" s="103">
        <f>SUMIFS('Data Fertilizers'!$D:$D,'Data Fertilizers'!$P:$P,$B26,'Data Fertilizers'!$Q:$Q,"&lt;=-121",'Data Fertilizers'!$Q:$Q,"&gt;=-180")</f>
        <v>0</v>
      </c>
      <c r="V26" s="103">
        <f>SUMIFS('Data Fertilizers'!$D:$D,'Data Fertilizers'!$P:$P,$B26,'Data Fertilizers'!$Q:$Q,"&lt;=-181",'Data Fertilizers'!$Q:$Q,"&gt;=-360")</f>
        <v>0</v>
      </c>
      <c r="W26" s="104">
        <f>SUMIFS('Data Fertilizers'!$D:$D,'Data Fertilizers'!$P:$P,$B26,'Data Fertilizers'!$Q:$Q,"&lt;-360")</f>
        <v>0</v>
      </c>
      <c r="X26" s="164">
        <f>SUMIFS('Bad Debt Provision'!AB:AB,'Bad Debt Provision'!B:B,'Painel Fertilizers'!B26)</f>
        <v>0</v>
      </c>
      <c r="Y26" s="105"/>
      <c r="Z26" s="105"/>
      <c r="AA26" s="110">
        <f>_xlfn.XLOOKUP(B26,'Limite de crédito'!C:C,'Limite de crédito'!O:O,0)</f>
        <v>0</v>
      </c>
      <c r="AB26" s="103"/>
      <c r="AC26" s="106"/>
      <c r="AD26" s="107"/>
      <c r="AE26" s="107"/>
      <c r="AF26" s="105"/>
      <c r="AG26" s="103">
        <f t="shared" si="2"/>
        <v>0</v>
      </c>
    </row>
    <row r="27" spans="2:37" s="97" customFormat="1" ht="15.6" customHeight="1" x14ac:dyDescent="0.25">
      <c r="B27" s="96" t="s">
        <v>232</v>
      </c>
      <c r="C27" s="169" t="str">
        <f>IFERROR(_xlfn.XLOOKUP(B27,'Limite de crédito'!C:C,'Limite de crédito'!L:L),0)</f>
        <v>B</v>
      </c>
      <c r="D27" s="114">
        <v>180</v>
      </c>
      <c r="E27" s="159">
        <f>_xlfn.XLOOKUP(B27,'Limite de crédito'!C:C,'Limite de crédito'!G:G,0)</f>
        <v>7000000</v>
      </c>
      <c r="F27" s="109">
        <f t="shared" si="3"/>
        <v>7000000</v>
      </c>
      <c r="G27" s="109">
        <f t="shared" si="4"/>
        <v>0</v>
      </c>
      <c r="H27" s="110">
        <f>SUMIFS('Data Fertilizers'!$D:$D,'Data Fertilizers'!$P:$P,$B27,'Data Fertilizers'!$Q:$Q,"&gt;0",'Data Fertilizers'!$Q:$Q,"&lt;=30")</f>
        <v>0</v>
      </c>
      <c r="I27" s="110">
        <f>SUMIFS('Data Fertilizers'!$D:$D,'Data Fertilizers'!$P:$P,$B27,'Data Fertilizers'!$Q:$Q,"&gt;30",'Data Fertilizers'!$Q:$Q,"&lt;=60")</f>
        <v>0</v>
      </c>
      <c r="J27" s="110">
        <f>SUMIFS('Data Fertilizers'!$D:$D,'Data Fertilizers'!$P:$P,$B27,'Data Fertilizers'!$Q:$Q,"&gt;60",'Data Fertilizers'!$Q:$Q,"&lt;=90")</f>
        <v>0</v>
      </c>
      <c r="K27" s="110">
        <f>SUMIFS('Data Fertilizers'!$D:$D,'Data Fertilizers'!$P:$P,$B27,'Data Fertilizers'!$Q:$Q,"&gt;90",'Data Fertilizers'!$Q:$Q,"&lt;=120")</f>
        <v>0</v>
      </c>
      <c r="L27" s="110">
        <f>SUMIFS('Data Fertilizers'!$D:$D,'Data Fertilizers'!$P:$P,$B27,'Data Fertilizers'!$Q:$Q,"&gt;120",'Data Fertilizers'!$Q:$Q,"&lt;=180")</f>
        <v>0</v>
      </c>
      <c r="M27" s="110">
        <f>SUMIFS('Data Fertilizers'!$D:$D,'Data Fertilizers'!$P:$P,$B27,'Data Fertilizers'!$Q:$Q,"&gt;180",'Data Fertilizers'!$Q:$Q,"&lt;=360")</f>
        <v>0</v>
      </c>
      <c r="N27" s="115">
        <f>SUMIFS('Data Fertilizers'!$D:$D,'Data Fertilizers'!$P:$P,$B27,'Data Fertilizers'!$Q:$Q,"&gt;360")</f>
        <v>0</v>
      </c>
      <c r="O27" s="110">
        <f>SUMIFS('Data Fertilizers'!$D:$D,'Data Fertilizers'!$P:$P,$B27,'Data Fertilizers'!$Q:$Q,"&gt;0")</f>
        <v>0</v>
      </c>
      <c r="P27" s="110">
        <f t="shared" si="5"/>
        <v>0</v>
      </c>
      <c r="Q27" s="110">
        <f>SUMIFS('Data Fertilizers'!$D:$D,'Data Fertilizers'!$P:$P,$B27,'Data Fertilizers'!$Q:$Q,"&lt;=0",'Data Fertilizers'!$Q:$Q,"&gt;=-30")</f>
        <v>0</v>
      </c>
      <c r="R27" s="110">
        <f>SUMIFS('Data Fertilizers'!$D:$D,'Data Fertilizers'!$P:$P,$B27,'Data Fertilizers'!$Q:$Q,"&lt;=-31",'Data Fertilizers'!$Q:$Q,"&gt;=-60")</f>
        <v>0</v>
      </c>
      <c r="S27" s="110">
        <f>SUMIFS('Data Fertilizers'!$D:$D,'Data Fertilizers'!$P:$P,$B27,'Data Fertilizers'!$Q:$Q,"&lt;=-61",'Data Fertilizers'!$Q:$Q,"&gt;=-90")</f>
        <v>0</v>
      </c>
      <c r="T27" s="110">
        <f>SUMIFS('Data Fertilizers'!$D:$D,'Data Fertilizers'!$P:$P,$B27,'Data Fertilizers'!$Q:$Q,"&lt;=-91",'Data Fertilizers'!$Q:$Q,"&gt;=-120")</f>
        <v>0</v>
      </c>
      <c r="U27" s="110">
        <f>SUMIFS('Data Fertilizers'!$D:$D,'Data Fertilizers'!$P:$P,$B27,'Data Fertilizers'!$Q:$Q,"&lt;=-121",'Data Fertilizers'!$Q:$Q,"&gt;=-180")</f>
        <v>0</v>
      </c>
      <c r="V27" s="110">
        <f>SUMIFS('Data Fertilizers'!$D:$D,'Data Fertilizers'!$P:$P,$B27,'Data Fertilizers'!$Q:$Q,"&lt;=-181",'Data Fertilizers'!$Q:$Q,"&gt;=-360")</f>
        <v>0</v>
      </c>
      <c r="W27" s="115">
        <f>SUMIFS('Data Fertilizers'!$D:$D,'Data Fertilizers'!$P:$P,$B27,'Data Fertilizers'!$Q:$Q,"&lt;-360")</f>
        <v>0</v>
      </c>
      <c r="X27" s="164">
        <f>SUMIFS('Bad Debt Provision'!AB:AB,'Bad Debt Provision'!B:B,'Painel Fertilizers'!B27)</f>
        <v>0</v>
      </c>
      <c r="Y27" s="111"/>
      <c r="Z27" s="111"/>
      <c r="AA27" s="110">
        <f>_xlfn.XLOOKUP(B27,'Limite de crédito'!C:C,'Limite de crédito'!O:O,0)</f>
        <v>7000000</v>
      </c>
      <c r="AB27" s="110"/>
      <c r="AC27" s="112"/>
      <c r="AD27" s="113"/>
      <c r="AE27" s="113"/>
      <c r="AF27" s="111"/>
      <c r="AG27" s="110">
        <f t="shared" si="2"/>
        <v>7000000</v>
      </c>
    </row>
    <row r="28" spans="2:37" s="97" customFormat="1" x14ac:dyDescent="0.25">
      <c r="B28" s="96" t="s">
        <v>365</v>
      </c>
      <c r="C28" s="169" t="str">
        <f>IFERROR(_xlfn.XLOOKUP(B28,'Limite de crédito'!C:C,'Limite de crédito'!L:L),0)</f>
        <v>B</v>
      </c>
      <c r="D28" s="114">
        <v>360</v>
      </c>
      <c r="E28" s="159">
        <f>_xlfn.XLOOKUP(B28,'Limite de crédito'!C:C,'Limite de crédito'!G:G,0)</f>
        <v>700000</v>
      </c>
      <c r="F28" s="109">
        <f t="shared" si="3"/>
        <v>694969.5</v>
      </c>
      <c r="G28" s="109">
        <f t="shared" si="4"/>
        <v>5030.5</v>
      </c>
      <c r="H28" s="110">
        <f>SUMIFS('Data Fertilizers'!$D:$D,'Data Fertilizers'!$P:$P,$B28,'Data Fertilizers'!$Q:$Q,"&gt;0",'Data Fertilizers'!$Q:$Q,"&lt;=30")</f>
        <v>0</v>
      </c>
      <c r="I28" s="110">
        <f>SUMIFS('Data Fertilizers'!$D:$D,'Data Fertilizers'!$P:$P,$B28,'Data Fertilizers'!$Q:$Q,"&gt;30",'Data Fertilizers'!$Q:$Q,"&lt;=60")</f>
        <v>0</v>
      </c>
      <c r="J28" s="110">
        <f>SUMIFS('Data Fertilizers'!$D:$D,'Data Fertilizers'!$P:$P,$B28,'Data Fertilizers'!$Q:$Q,"&gt;60",'Data Fertilizers'!$Q:$Q,"&lt;=90")</f>
        <v>0</v>
      </c>
      <c r="K28" s="110">
        <f>SUMIFS('Data Fertilizers'!$D:$D,'Data Fertilizers'!$P:$P,$B28,'Data Fertilizers'!$Q:$Q,"&gt;90",'Data Fertilizers'!$Q:$Q,"&lt;=120")</f>
        <v>0</v>
      </c>
      <c r="L28" s="110">
        <f>SUMIFS('Data Fertilizers'!$D:$D,'Data Fertilizers'!$P:$P,$B28,'Data Fertilizers'!$Q:$Q,"&gt;120",'Data Fertilizers'!$Q:$Q,"&lt;=180")</f>
        <v>0</v>
      </c>
      <c r="M28" s="110">
        <f>SUMIFS('Data Fertilizers'!$D:$D,'Data Fertilizers'!$P:$P,$B28,'Data Fertilizers'!$Q:$Q,"&gt;180",'Data Fertilizers'!$Q:$Q,"&lt;=360")</f>
        <v>0</v>
      </c>
      <c r="N28" s="115">
        <f>SUMIFS('Data Fertilizers'!$D:$D,'Data Fertilizers'!$P:$P,$B28,'Data Fertilizers'!$Q:$Q,"&gt;360")</f>
        <v>0</v>
      </c>
      <c r="O28" s="110">
        <f>SUMIFS('Data Fertilizers'!$D:$D,'Data Fertilizers'!$P:$P,$B28,'Data Fertilizers'!$Q:$Q,"&gt;0")</f>
        <v>0</v>
      </c>
      <c r="P28" s="110">
        <f t="shared" si="5"/>
        <v>5030.5</v>
      </c>
      <c r="Q28" s="110">
        <f>SUMIFS('Data Fertilizers'!$D:$D,'Data Fertilizers'!$P:$P,$B28,'Data Fertilizers'!$Q:$Q,"&lt;=0",'Data Fertilizers'!$Q:$Q,"&gt;=-30")</f>
        <v>0</v>
      </c>
      <c r="R28" s="110">
        <f>SUMIFS('Data Fertilizers'!$D:$D,'Data Fertilizers'!$P:$P,$B28,'Data Fertilizers'!$Q:$Q,"&lt;=-31",'Data Fertilizers'!$Q:$Q,"&gt;=-60")</f>
        <v>5030.5</v>
      </c>
      <c r="S28" s="110">
        <f>SUMIFS('Data Fertilizers'!$D:$D,'Data Fertilizers'!$P:$P,$B28,'Data Fertilizers'!$Q:$Q,"&lt;=-61",'Data Fertilizers'!$Q:$Q,"&gt;=-90")</f>
        <v>0</v>
      </c>
      <c r="T28" s="110">
        <f>SUMIFS('Data Fertilizers'!$D:$D,'Data Fertilizers'!$P:$P,$B28,'Data Fertilizers'!$Q:$Q,"&lt;=-91",'Data Fertilizers'!$Q:$Q,"&gt;=-120")</f>
        <v>0</v>
      </c>
      <c r="U28" s="110">
        <f>SUMIFS('Data Fertilizers'!$D:$D,'Data Fertilizers'!$P:$P,$B28,'Data Fertilizers'!$Q:$Q,"&lt;=-121",'Data Fertilizers'!$Q:$Q,"&gt;=-180")</f>
        <v>0</v>
      </c>
      <c r="V28" s="110">
        <f>SUMIFS('Data Fertilizers'!$D:$D,'Data Fertilizers'!$P:$P,$B28,'Data Fertilizers'!$Q:$Q,"&lt;=-181",'Data Fertilizers'!$Q:$Q,"&gt;=-360")</f>
        <v>0</v>
      </c>
      <c r="W28" s="115">
        <f>SUMIFS('Data Fertilizers'!$D:$D,'Data Fertilizers'!$P:$P,$B28,'Data Fertilizers'!$Q:$Q,"&lt;-360")</f>
        <v>0</v>
      </c>
      <c r="X28" s="164">
        <f>SUMIFS('Bad Debt Provision'!AB:AB,'Bad Debt Provision'!B:B,'Painel Fertilizers'!B28)</f>
        <v>0</v>
      </c>
      <c r="Z28" s="111"/>
      <c r="AA28" s="110">
        <f>_xlfn.XLOOKUP(B28,'Limite de crédito'!C:C,'Limite de crédito'!O:O,0)</f>
        <v>700000</v>
      </c>
      <c r="AB28" s="110"/>
      <c r="AC28" s="112"/>
      <c r="AD28" s="113"/>
      <c r="AE28" s="113"/>
      <c r="AF28" s="111"/>
      <c r="AG28" s="110">
        <f t="shared" si="2"/>
        <v>694969.5</v>
      </c>
    </row>
    <row r="29" spans="2:37" s="97" customFormat="1" x14ac:dyDescent="0.25">
      <c r="B29" s="96" t="s">
        <v>111</v>
      </c>
      <c r="C29" s="169">
        <f>IFERROR(_xlfn.XLOOKUP(B29,'Limite de crédito'!C:C,'Limite de crédito'!L:L),0)</f>
        <v>0</v>
      </c>
      <c r="D29" s="114"/>
      <c r="E29" s="159">
        <f>_xlfn.XLOOKUP(B29,'Limite de crédito'!C:C,'Limite de crédito'!G:G,0)</f>
        <v>0</v>
      </c>
      <c r="F29" s="109">
        <f t="shared" si="3"/>
        <v>0</v>
      </c>
      <c r="G29" s="109">
        <f t="shared" si="4"/>
        <v>0</v>
      </c>
      <c r="H29" s="110">
        <f>SUMIFS('Data Fertilizers'!$D:$D,'Data Fertilizers'!$P:$P,$B29,'Data Fertilizers'!$Q:$Q,"&gt;0",'Data Fertilizers'!$Q:$Q,"&lt;=30")</f>
        <v>0</v>
      </c>
      <c r="I29" s="110">
        <f>SUMIFS('Data Fertilizers'!$D:$D,'Data Fertilizers'!$P:$P,$B29,'Data Fertilizers'!$Q:$Q,"&gt;30",'Data Fertilizers'!$Q:$Q,"&lt;=60")</f>
        <v>0</v>
      </c>
      <c r="J29" s="110">
        <f>SUMIFS('Data Fertilizers'!$D:$D,'Data Fertilizers'!$P:$P,$B29,'Data Fertilizers'!$Q:$Q,"&gt;60",'Data Fertilizers'!$Q:$Q,"&lt;=90")</f>
        <v>0</v>
      </c>
      <c r="K29" s="110">
        <f>SUMIFS('Data Fertilizers'!$D:$D,'Data Fertilizers'!$P:$P,$B29,'Data Fertilizers'!$Q:$Q,"&gt;90",'Data Fertilizers'!$Q:$Q,"&lt;=120")</f>
        <v>0</v>
      </c>
      <c r="L29" s="110">
        <f>SUMIFS('Data Fertilizers'!$D:$D,'Data Fertilizers'!$P:$P,$B29,'Data Fertilizers'!$Q:$Q,"&gt;120",'Data Fertilizers'!$Q:$Q,"&lt;=180")</f>
        <v>0</v>
      </c>
      <c r="M29" s="110">
        <f>SUMIFS('Data Fertilizers'!$D:$D,'Data Fertilizers'!$P:$P,$B29,'Data Fertilizers'!$Q:$Q,"&gt;180",'Data Fertilizers'!$Q:$Q,"&lt;=360")</f>
        <v>0</v>
      </c>
      <c r="N29" s="115">
        <f>SUMIFS('Data Fertilizers'!$D:$D,'Data Fertilizers'!$P:$P,$B29,'Data Fertilizers'!$Q:$Q,"&gt;360")</f>
        <v>0</v>
      </c>
      <c r="O29" s="110">
        <f>SUMIFS('Data Fertilizers'!$D:$D,'Data Fertilizers'!$P:$P,$B29,'Data Fertilizers'!$Q:$Q,"&gt;0")</f>
        <v>0</v>
      </c>
      <c r="P29" s="110">
        <f t="shared" si="5"/>
        <v>0</v>
      </c>
      <c r="Q29" s="110">
        <f>SUMIFS('Data Fertilizers'!$D:$D,'Data Fertilizers'!$P:$P,$B29,'Data Fertilizers'!$Q:$Q,"&lt;=0",'Data Fertilizers'!$Q:$Q,"&gt;=-30")</f>
        <v>0</v>
      </c>
      <c r="R29" s="110">
        <f>SUMIFS('Data Fertilizers'!$D:$D,'Data Fertilizers'!$P:$P,$B29,'Data Fertilizers'!$Q:$Q,"&lt;=-31",'Data Fertilizers'!$Q:$Q,"&gt;=-60")</f>
        <v>0</v>
      </c>
      <c r="S29" s="110">
        <f>SUMIFS('Data Fertilizers'!$D:$D,'Data Fertilizers'!$P:$P,$B29,'Data Fertilizers'!$Q:$Q,"&lt;=-61",'Data Fertilizers'!$Q:$Q,"&gt;=-90")</f>
        <v>0</v>
      </c>
      <c r="T29" s="110">
        <f>SUMIFS('Data Fertilizers'!$D:$D,'Data Fertilizers'!$P:$P,$B29,'Data Fertilizers'!$Q:$Q,"&lt;=-91",'Data Fertilizers'!$Q:$Q,"&gt;=-120")</f>
        <v>0</v>
      </c>
      <c r="U29" s="110">
        <f>SUMIFS('Data Fertilizers'!$D:$D,'Data Fertilizers'!$P:$P,$B29,'Data Fertilizers'!$Q:$Q,"&lt;=-121",'Data Fertilizers'!$Q:$Q,"&gt;=-180")</f>
        <v>0</v>
      </c>
      <c r="V29" s="110">
        <f>SUMIFS('Data Fertilizers'!$D:$D,'Data Fertilizers'!$P:$P,$B29,'Data Fertilizers'!$Q:$Q,"&lt;=-181",'Data Fertilizers'!$Q:$Q,"&gt;=-360")</f>
        <v>0</v>
      </c>
      <c r="W29" s="115">
        <f>SUMIFS('Data Fertilizers'!$D:$D,'Data Fertilizers'!$P:$P,$B29,'Data Fertilizers'!$Q:$Q,"&lt;-360")</f>
        <v>0</v>
      </c>
      <c r="X29" s="164">
        <f>SUMIFS('Bad Debt Provision'!AB:AB,'Bad Debt Provision'!B:B,'Painel Fertilizers'!B29)</f>
        <v>0</v>
      </c>
      <c r="Y29" s="111"/>
      <c r="Z29" s="111"/>
      <c r="AA29" s="110">
        <f>_xlfn.XLOOKUP(B29,'Limite de crédito'!C:C,'Limite de crédito'!O:O,0)</f>
        <v>0</v>
      </c>
      <c r="AB29" s="110"/>
      <c r="AC29" s="112"/>
      <c r="AD29" s="113"/>
      <c r="AE29" s="113"/>
      <c r="AF29" s="111"/>
      <c r="AG29" s="110">
        <f t="shared" si="2"/>
        <v>0</v>
      </c>
      <c r="AH29" s="111"/>
    </row>
    <row r="30" spans="2:37" s="97" customFormat="1" x14ac:dyDescent="0.25">
      <c r="B30" s="96" t="s">
        <v>330</v>
      </c>
      <c r="C30" s="169">
        <f>IFERROR(_xlfn.XLOOKUP(B30,'Limite de crédito'!C:C,'Limite de crédito'!L:L),0)</f>
        <v>0</v>
      </c>
      <c r="D30" s="114"/>
      <c r="E30" s="159">
        <f>_xlfn.XLOOKUP(B30,'Limite de crédito'!C:C,'Limite de crédito'!G:G,0)</f>
        <v>0</v>
      </c>
      <c r="F30" s="109">
        <f t="shared" si="3"/>
        <v>-329327.90999999997</v>
      </c>
      <c r="G30" s="109">
        <f t="shared" si="4"/>
        <v>329327.90999999997</v>
      </c>
      <c r="H30" s="110">
        <f>SUMIFS('Data Fertilizers'!$D:$D,'Data Fertilizers'!$P:$P,$B30,'Data Fertilizers'!$Q:$Q,"&gt;0",'Data Fertilizers'!$Q:$Q,"&lt;=30")</f>
        <v>0</v>
      </c>
      <c r="I30" s="110">
        <f>SUMIFS('Data Fertilizers'!$D:$D,'Data Fertilizers'!$P:$P,$B30,'Data Fertilizers'!$Q:$Q,"&gt;30",'Data Fertilizers'!$Q:$Q,"&lt;=60")</f>
        <v>329327.90999999997</v>
      </c>
      <c r="J30" s="110">
        <f>SUMIFS('Data Fertilizers'!$D:$D,'Data Fertilizers'!$P:$P,$B30,'Data Fertilizers'!$Q:$Q,"&gt;60",'Data Fertilizers'!$Q:$Q,"&lt;=90")</f>
        <v>0</v>
      </c>
      <c r="K30" s="110">
        <f>SUMIFS('Data Fertilizers'!$D:$D,'Data Fertilizers'!$P:$P,$B30,'Data Fertilizers'!$Q:$Q,"&gt;90",'Data Fertilizers'!$Q:$Q,"&lt;=120")</f>
        <v>0</v>
      </c>
      <c r="L30" s="110">
        <f>SUMIFS('Data Fertilizers'!$D:$D,'Data Fertilizers'!$P:$P,$B30,'Data Fertilizers'!$Q:$Q,"&gt;120",'Data Fertilizers'!$Q:$Q,"&lt;=180")</f>
        <v>0</v>
      </c>
      <c r="M30" s="110">
        <f>SUMIFS('Data Fertilizers'!$D:$D,'Data Fertilizers'!$P:$P,$B30,'Data Fertilizers'!$Q:$Q,"&gt;180",'Data Fertilizers'!$Q:$Q,"&lt;=360")</f>
        <v>0</v>
      </c>
      <c r="N30" s="115">
        <f>SUMIFS('Data Fertilizers'!$D:$D,'Data Fertilizers'!$P:$P,$B30,'Data Fertilizers'!$Q:$Q,"&gt;360")</f>
        <v>0</v>
      </c>
      <c r="O30" s="110">
        <f>SUMIFS('Data Fertilizers'!$D:$D,'Data Fertilizers'!$P:$P,$B30,'Data Fertilizers'!$Q:$Q,"&gt;0")</f>
        <v>329327.90999999997</v>
      </c>
      <c r="P30" s="110">
        <f t="shared" si="5"/>
        <v>0</v>
      </c>
      <c r="Q30" s="110">
        <f>SUMIFS('Data Fertilizers'!$D:$D,'Data Fertilizers'!$P:$P,$B30,'Data Fertilizers'!$Q:$Q,"&lt;=0",'Data Fertilizers'!$Q:$Q,"&gt;=-30")</f>
        <v>0</v>
      </c>
      <c r="R30" s="110">
        <f>SUMIFS('Data Fertilizers'!$D:$D,'Data Fertilizers'!$P:$P,$B30,'Data Fertilizers'!$Q:$Q,"&lt;=-31",'Data Fertilizers'!$Q:$Q,"&gt;=-60")</f>
        <v>0</v>
      </c>
      <c r="S30" s="110">
        <f>SUMIFS('Data Fertilizers'!$D:$D,'Data Fertilizers'!$P:$P,$B30,'Data Fertilizers'!$Q:$Q,"&lt;=-61",'Data Fertilizers'!$Q:$Q,"&gt;=-90")</f>
        <v>0</v>
      </c>
      <c r="T30" s="110">
        <f>SUMIFS('Data Fertilizers'!$D:$D,'Data Fertilizers'!$P:$P,$B30,'Data Fertilizers'!$Q:$Q,"&lt;=-91",'Data Fertilizers'!$Q:$Q,"&gt;=-120")</f>
        <v>0</v>
      </c>
      <c r="U30" s="110">
        <f>SUMIFS('Data Fertilizers'!$D:$D,'Data Fertilizers'!$P:$P,$B30,'Data Fertilizers'!$Q:$Q,"&lt;=-121",'Data Fertilizers'!$Q:$Q,"&gt;=-180")</f>
        <v>0</v>
      </c>
      <c r="V30" s="110">
        <f>SUMIFS('Data Fertilizers'!$D:$D,'Data Fertilizers'!$P:$P,$B30,'Data Fertilizers'!$Q:$Q,"&lt;=-181",'Data Fertilizers'!$Q:$Q,"&gt;=-360")</f>
        <v>0</v>
      </c>
      <c r="W30" s="115">
        <f>SUMIFS('Data Fertilizers'!$D:$D,'Data Fertilizers'!$P:$P,$B30,'Data Fertilizers'!$Q:$Q,"&lt;-360")</f>
        <v>0</v>
      </c>
      <c r="X30" s="164">
        <f>SUMIFS('Bad Debt Provision'!AB:AB,'Bad Debt Provision'!B:B,'Painel Fertilizers'!B30)</f>
        <v>0</v>
      </c>
      <c r="Y30" s="111"/>
      <c r="Z30" s="111"/>
      <c r="AA30" s="110">
        <f>_xlfn.XLOOKUP(B30,'Limite de crédito'!C:C,'Limite de crédito'!O:O,0)</f>
        <v>0</v>
      </c>
      <c r="AB30" s="110"/>
      <c r="AC30" s="112"/>
      <c r="AD30" s="113"/>
      <c r="AE30" s="113"/>
      <c r="AF30" s="111"/>
      <c r="AG30" s="110">
        <f t="shared" si="2"/>
        <v>-329327.90999999997</v>
      </c>
    </row>
    <row r="31" spans="2:37" s="97" customFormat="1" x14ac:dyDescent="0.25">
      <c r="B31" s="96" t="s">
        <v>137</v>
      </c>
      <c r="C31" s="169" t="str">
        <f>IFERROR(_xlfn.XLOOKUP(B31,'Limite de crédito'!C:C,'Limite de crédito'!L:L),0)</f>
        <v>B</v>
      </c>
      <c r="D31" s="114">
        <v>360</v>
      </c>
      <c r="E31" s="159">
        <f>_xlfn.XLOOKUP(B31,'Limite de crédito'!C:C,'Limite de crédito'!G:G,0)</f>
        <v>1000000</v>
      </c>
      <c r="F31" s="109">
        <f t="shared" si="3"/>
        <v>1000000</v>
      </c>
      <c r="G31" s="109">
        <f t="shared" si="4"/>
        <v>0</v>
      </c>
      <c r="H31" s="110">
        <f>SUMIFS('Data Fertilizers'!$D:$D,'Data Fertilizers'!$P:$P,$B31,'Data Fertilizers'!$Q:$Q,"&gt;0",'Data Fertilizers'!$Q:$Q,"&lt;=30")</f>
        <v>0</v>
      </c>
      <c r="I31" s="110">
        <f>SUMIFS('Data Fertilizers'!$D:$D,'Data Fertilizers'!$P:$P,$B31,'Data Fertilizers'!$Q:$Q,"&gt;30",'Data Fertilizers'!$Q:$Q,"&lt;=60")</f>
        <v>0</v>
      </c>
      <c r="J31" s="110">
        <f>SUMIFS('Data Fertilizers'!$D:$D,'Data Fertilizers'!$P:$P,$B31,'Data Fertilizers'!$Q:$Q,"&gt;60",'Data Fertilizers'!$Q:$Q,"&lt;=90")</f>
        <v>0</v>
      </c>
      <c r="K31" s="110">
        <f>SUMIFS('Data Fertilizers'!$D:$D,'Data Fertilizers'!$P:$P,$B31,'Data Fertilizers'!$Q:$Q,"&gt;90",'Data Fertilizers'!$Q:$Q,"&lt;=120")</f>
        <v>0</v>
      </c>
      <c r="L31" s="110">
        <f>SUMIFS('Data Fertilizers'!$D:$D,'Data Fertilizers'!$P:$P,$B31,'Data Fertilizers'!$Q:$Q,"&gt;120",'Data Fertilizers'!$Q:$Q,"&lt;=180")</f>
        <v>0</v>
      </c>
      <c r="M31" s="110">
        <f>SUMIFS('Data Fertilizers'!$D:$D,'Data Fertilizers'!$P:$P,$B31,'Data Fertilizers'!$Q:$Q,"&gt;180",'Data Fertilizers'!$Q:$Q,"&lt;=360")</f>
        <v>0</v>
      </c>
      <c r="N31" s="115">
        <f>SUMIFS('Data Fertilizers'!$D:$D,'Data Fertilizers'!$P:$P,$B31,'Data Fertilizers'!$Q:$Q,"&gt;360")</f>
        <v>0</v>
      </c>
      <c r="O31" s="110">
        <f>SUMIFS('Data Fertilizers'!$D:$D,'Data Fertilizers'!$P:$P,$B31,'Data Fertilizers'!$Q:$Q,"&gt;0")</f>
        <v>0</v>
      </c>
      <c r="P31" s="110">
        <f t="shared" si="5"/>
        <v>0</v>
      </c>
      <c r="Q31" s="110">
        <f>SUMIFS('Data Fertilizers'!$D:$D,'Data Fertilizers'!$P:$P,$B31,'Data Fertilizers'!$Q:$Q,"&lt;=0",'Data Fertilizers'!$Q:$Q,"&gt;=-30")</f>
        <v>0</v>
      </c>
      <c r="R31" s="110">
        <f>SUMIFS('Data Fertilizers'!$D:$D,'Data Fertilizers'!$P:$P,$B31,'Data Fertilizers'!$Q:$Q,"&lt;=-31",'Data Fertilizers'!$Q:$Q,"&gt;=-60")</f>
        <v>0</v>
      </c>
      <c r="S31" s="110">
        <f>SUMIFS('Data Fertilizers'!$D:$D,'Data Fertilizers'!$P:$P,$B31,'Data Fertilizers'!$Q:$Q,"&lt;=-61",'Data Fertilizers'!$Q:$Q,"&gt;=-90")</f>
        <v>0</v>
      </c>
      <c r="T31" s="110">
        <f>SUMIFS('Data Fertilizers'!$D:$D,'Data Fertilizers'!$P:$P,$B31,'Data Fertilizers'!$Q:$Q,"&lt;=-91",'Data Fertilizers'!$Q:$Q,"&gt;=-120")</f>
        <v>0</v>
      </c>
      <c r="U31" s="110">
        <f>SUMIFS('Data Fertilizers'!$D:$D,'Data Fertilizers'!$P:$P,$B31,'Data Fertilizers'!$Q:$Q,"&lt;=-121",'Data Fertilizers'!$Q:$Q,"&gt;=-180")</f>
        <v>0</v>
      </c>
      <c r="V31" s="110">
        <f>SUMIFS('Data Fertilizers'!$D:$D,'Data Fertilizers'!$P:$P,$B31,'Data Fertilizers'!$Q:$Q,"&lt;=-181",'Data Fertilizers'!$Q:$Q,"&gt;=-360")</f>
        <v>0</v>
      </c>
      <c r="W31" s="115">
        <f>SUMIFS('Data Fertilizers'!$D:$D,'Data Fertilizers'!$P:$P,$B31,'Data Fertilizers'!$Q:$Q,"&lt;-360")</f>
        <v>0</v>
      </c>
      <c r="X31" s="164">
        <f>SUMIFS('Bad Debt Provision'!AB:AB,'Bad Debt Provision'!B:B,'Painel Fertilizers'!B31)</f>
        <v>0</v>
      </c>
      <c r="Y31" s="111"/>
      <c r="Z31" s="111"/>
      <c r="AA31" s="110">
        <f>_xlfn.XLOOKUP(B31,'Limite de crédito'!C:C,'Limite de crédito'!O:O,0)</f>
        <v>1000000</v>
      </c>
      <c r="AB31" s="110"/>
      <c r="AC31" s="112"/>
      <c r="AD31" s="113"/>
      <c r="AE31" s="113"/>
      <c r="AF31" s="111"/>
      <c r="AG31" s="110">
        <f t="shared" si="2"/>
        <v>1000000</v>
      </c>
      <c r="AH31" s="111"/>
      <c r="AK31" s="116"/>
    </row>
    <row r="32" spans="2:37" s="97" customFormat="1" x14ac:dyDescent="0.25">
      <c r="B32" s="96" t="s">
        <v>328</v>
      </c>
      <c r="C32" s="169" t="str">
        <f>IFERROR(_xlfn.XLOOKUP(B32,'Limite de crédito'!C:C,'Limite de crédito'!L:L),0)</f>
        <v>B</v>
      </c>
      <c r="D32" s="114">
        <v>180</v>
      </c>
      <c r="E32" s="159">
        <f>_xlfn.XLOOKUP(B32,'Limite de crédito'!C:C,'Limite de crédito'!G:G,0)</f>
        <v>1023000</v>
      </c>
      <c r="F32" s="109">
        <f t="shared" si="3"/>
        <v>1023000</v>
      </c>
      <c r="G32" s="109">
        <f t="shared" si="4"/>
        <v>0</v>
      </c>
      <c r="H32" s="110">
        <f>SUMIFS('Data Fertilizers'!$D:$D,'Data Fertilizers'!$P:$P,$B32,'Data Fertilizers'!$Q:$Q,"&gt;0",'Data Fertilizers'!$Q:$Q,"&lt;=30")</f>
        <v>0</v>
      </c>
      <c r="I32" s="110">
        <f>SUMIFS('Data Fertilizers'!$D:$D,'Data Fertilizers'!$P:$P,$B32,'Data Fertilizers'!$Q:$Q,"&gt;30",'Data Fertilizers'!$Q:$Q,"&lt;=60")</f>
        <v>0</v>
      </c>
      <c r="J32" s="110">
        <f>SUMIFS('Data Fertilizers'!$D:$D,'Data Fertilizers'!$P:$P,$B32,'Data Fertilizers'!$Q:$Q,"&gt;60",'Data Fertilizers'!$Q:$Q,"&lt;=90")</f>
        <v>0</v>
      </c>
      <c r="K32" s="110">
        <f>SUMIFS('Data Fertilizers'!$D:$D,'Data Fertilizers'!$P:$P,$B32,'Data Fertilizers'!$Q:$Q,"&gt;90",'Data Fertilizers'!$Q:$Q,"&lt;=120")</f>
        <v>0</v>
      </c>
      <c r="L32" s="110">
        <f>SUMIFS('Data Fertilizers'!$D:$D,'Data Fertilizers'!$P:$P,$B32,'Data Fertilizers'!$Q:$Q,"&gt;120",'Data Fertilizers'!$Q:$Q,"&lt;=180")</f>
        <v>0</v>
      </c>
      <c r="M32" s="110">
        <f>SUMIFS('Data Fertilizers'!$D:$D,'Data Fertilizers'!$P:$P,$B32,'Data Fertilizers'!$Q:$Q,"&gt;180",'Data Fertilizers'!$Q:$Q,"&lt;=360")</f>
        <v>0</v>
      </c>
      <c r="N32" s="115">
        <f>SUMIFS('Data Fertilizers'!$D:$D,'Data Fertilizers'!$P:$P,$B32,'Data Fertilizers'!$Q:$Q,"&gt;360")</f>
        <v>0</v>
      </c>
      <c r="O32" s="110">
        <f>SUMIFS('Data Fertilizers'!$D:$D,'Data Fertilizers'!$P:$P,$B32,'Data Fertilizers'!$Q:$Q,"&gt;0")</f>
        <v>0</v>
      </c>
      <c r="P32" s="110">
        <f t="shared" si="5"/>
        <v>0</v>
      </c>
      <c r="Q32" s="110">
        <f>SUMIFS('Data Fertilizers'!$D:$D,'Data Fertilizers'!$P:$P,$B32,'Data Fertilizers'!$Q:$Q,"&lt;=0",'Data Fertilizers'!$Q:$Q,"&gt;=-30")</f>
        <v>0</v>
      </c>
      <c r="R32" s="110">
        <f>SUMIFS('Data Fertilizers'!$D:$D,'Data Fertilizers'!$P:$P,$B32,'Data Fertilizers'!$Q:$Q,"&lt;=-31",'Data Fertilizers'!$Q:$Q,"&gt;=-60")</f>
        <v>0</v>
      </c>
      <c r="S32" s="110">
        <f>SUMIFS('Data Fertilizers'!$D:$D,'Data Fertilizers'!$P:$P,$B32,'Data Fertilizers'!$Q:$Q,"&lt;=-61",'Data Fertilizers'!$Q:$Q,"&gt;=-90")</f>
        <v>0</v>
      </c>
      <c r="T32" s="110">
        <f>SUMIFS('Data Fertilizers'!$D:$D,'Data Fertilizers'!$P:$P,$B32,'Data Fertilizers'!$Q:$Q,"&lt;=-91",'Data Fertilizers'!$Q:$Q,"&gt;=-120")</f>
        <v>0</v>
      </c>
      <c r="U32" s="110">
        <f>SUMIFS('Data Fertilizers'!$D:$D,'Data Fertilizers'!$P:$P,$B32,'Data Fertilizers'!$Q:$Q,"&lt;=-121",'Data Fertilizers'!$Q:$Q,"&gt;=-180")</f>
        <v>0</v>
      </c>
      <c r="V32" s="110">
        <f>SUMIFS('Data Fertilizers'!$D:$D,'Data Fertilizers'!$P:$P,$B32,'Data Fertilizers'!$Q:$Q,"&lt;=-181",'Data Fertilizers'!$Q:$Q,"&gt;=-360")</f>
        <v>0</v>
      </c>
      <c r="W32" s="115">
        <f>SUMIFS('Data Fertilizers'!$D:$D,'Data Fertilizers'!$P:$P,$B32,'Data Fertilizers'!$Q:$Q,"&lt;-360")</f>
        <v>0</v>
      </c>
      <c r="X32" s="164">
        <f>SUMIFS('Bad Debt Provision'!AB:AB,'Bad Debt Provision'!B:B,'Painel Fertilizers'!B32)</f>
        <v>0</v>
      </c>
      <c r="Y32" s="111"/>
      <c r="Z32" s="111"/>
      <c r="AA32" s="110">
        <f>_xlfn.XLOOKUP(B32,'Limite de crédito'!C:C,'Limite de crédito'!O:O,0)</f>
        <v>1023000</v>
      </c>
      <c r="AB32" s="110"/>
      <c r="AC32" s="112"/>
      <c r="AD32" s="113"/>
      <c r="AE32" s="113"/>
      <c r="AF32" s="111"/>
      <c r="AG32" s="110">
        <f t="shared" si="2"/>
        <v>1023000</v>
      </c>
    </row>
    <row r="33" spans="2:34" s="97" customFormat="1" x14ac:dyDescent="0.25">
      <c r="B33" s="96" t="s">
        <v>185</v>
      </c>
      <c r="C33" s="169" t="str">
        <f>IFERROR(_xlfn.XLOOKUP(B33,'Limite de crédito'!C:C,'Limite de crédito'!L:L),0)</f>
        <v>B</v>
      </c>
      <c r="D33" s="114">
        <v>290</v>
      </c>
      <c r="E33" s="159">
        <f>_xlfn.XLOOKUP(B33,'Limite de crédito'!C:C,'Limite de crédito'!G:G,0)</f>
        <v>310000</v>
      </c>
      <c r="F33" s="109">
        <f t="shared" ref="F33:F42" si="6">E33-G33</f>
        <v>310000</v>
      </c>
      <c r="G33" s="109">
        <f t="shared" ref="G33:G42" si="7">P33+O33</f>
        <v>0</v>
      </c>
      <c r="H33" s="110">
        <f>SUMIFS('Data Fertilizers'!$D:$D,'Data Fertilizers'!$P:$P,$B33,'Data Fertilizers'!$Q:$Q,"&gt;0",'Data Fertilizers'!$Q:$Q,"&lt;=30")</f>
        <v>0</v>
      </c>
      <c r="I33" s="110">
        <f>SUMIFS('Data Fertilizers'!$D:$D,'Data Fertilizers'!$P:$P,$B33,'Data Fertilizers'!$Q:$Q,"&gt;30",'Data Fertilizers'!$Q:$Q,"&lt;=60")</f>
        <v>0</v>
      </c>
      <c r="J33" s="110">
        <f>SUMIFS('Data Fertilizers'!$D:$D,'Data Fertilizers'!$P:$P,$B33,'Data Fertilizers'!$Q:$Q,"&gt;60",'Data Fertilizers'!$Q:$Q,"&lt;=90")</f>
        <v>0</v>
      </c>
      <c r="K33" s="110">
        <f>SUMIFS('Data Fertilizers'!$D:$D,'Data Fertilizers'!$P:$P,$B33,'Data Fertilizers'!$Q:$Q,"&gt;90",'Data Fertilizers'!$Q:$Q,"&lt;=120")</f>
        <v>0</v>
      </c>
      <c r="L33" s="110">
        <f>SUMIFS('Data Fertilizers'!$D:$D,'Data Fertilizers'!$P:$P,$B33,'Data Fertilizers'!$Q:$Q,"&gt;120",'Data Fertilizers'!$Q:$Q,"&lt;=180")</f>
        <v>0</v>
      </c>
      <c r="M33" s="110">
        <f>SUMIFS('Data Fertilizers'!$D:$D,'Data Fertilizers'!$P:$P,$B33,'Data Fertilizers'!$Q:$Q,"&gt;180",'Data Fertilizers'!$Q:$Q,"&lt;=360")</f>
        <v>0</v>
      </c>
      <c r="N33" s="115">
        <f>SUMIFS('Data Fertilizers'!$D:$D,'Data Fertilizers'!$P:$P,$B33,'Data Fertilizers'!$Q:$Q,"&gt;360")</f>
        <v>0</v>
      </c>
      <c r="O33" s="110">
        <f>SUMIFS('Data Fertilizers'!$D:$D,'Data Fertilizers'!$P:$P,$B33,'Data Fertilizers'!$Q:$Q,"&gt;0")</f>
        <v>0</v>
      </c>
      <c r="P33" s="110">
        <f t="shared" si="5"/>
        <v>0</v>
      </c>
      <c r="Q33" s="110">
        <f>SUMIFS('Data Fertilizers'!$D:$D,'Data Fertilizers'!$P:$P,$B33,'Data Fertilizers'!$Q:$Q,"&lt;=0",'Data Fertilizers'!$Q:$Q,"&gt;=-30")</f>
        <v>0</v>
      </c>
      <c r="R33" s="110">
        <f>SUMIFS('Data Fertilizers'!$D:$D,'Data Fertilizers'!$P:$P,$B33,'Data Fertilizers'!$Q:$Q,"&lt;=-31",'Data Fertilizers'!$Q:$Q,"&gt;=-60")</f>
        <v>0</v>
      </c>
      <c r="S33" s="110">
        <f>SUMIFS('Data Fertilizers'!$D:$D,'Data Fertilizers'!$P:$P,$B33,'Data Fertilizers'!$Q:$Q,"&lt;=-61",'Data Fertilizers'!$Q:$Q,"&gt;=-90")</f>
        <v>0</v>
      </c>
      <c r="T33" s="110">
        <f>SUMIFS('Data Fertilizers'!$D:$D,'Data Fertilizers'!$P:$P,$B33,'Data Fertilizers'!$Q:$Q,"&lt;=-91",'Data Fertilizers'!$Q:$Q,"&gt;=-120")</f>
        <v>0</v>
      </c>
      <c r="U33" s="110">
        <f>SUMIFS('Data Fertilizers'!$D:$D,'Data Fertilizers'!$P:$P,$B33,'Data Fertilizers'!$Q:$Q,"&lt;=-121",'Data Fertilizers'!$Q:$Q,"&gt;=-180")</f>
        <v>0</v>
      </c>
      <c r="V33" s="110">
        <f>SUMIFS('Data Fertilizers'!$D:$D,'Data Fertilizers'!$P:$P,$B33,'Data Fertilizers'!$Q:$Q,"&lt;=-181",'Data Fertilizers'!$Q:$Q,"&gt;=-360")</f>
        <v>0</v>
      </c>
      <c r="W33" s="115">
        <f>SUMIFS('Data Fertilizers'!$D:$D,'Data Fertilizers'!$P:$P,$B33,'Data Fertilizers'!$Q:$Q,"&lt;-360")</f>
        <v>0</v>
      </c>
      <c r="X33" s="164">
        <f>SUMIFS('Bad Debt Provision'!AB:AB,'Bad Debt Provision'!B:B,'Painel Fertilizers'!B33)</f>
        <v>0</v>
      </c>
      <c r="Y33" s="111"/>
      <c r="Z33" s="111"/>
      <c r="AA33" s="110">
        <f>_xlfn.XLOOKUP(B33,'Limite de crédito'!C:C,'Limite de crédito'!O:O,0)</f>
        <v>310000</v>
      </c>
      <c r="AB33" s="110"/>
      <c r="AC33" s="112"/>
      <c r="AD33" s="113"/>
      <c r="AE33" s="113"/>
      <c r="AF33" s="111"/>
      <c r="AG33" s="110">
        <f t="shared" ref="AG33:AG41" si="8">AA33-G33</f>
        <v>310000</v>
      </c>
      <c r="AH33" s="111"/>
    </row>
    <row r="34" spans="2:34" s="97" customFormat="1" x14ac:dyDescent="0.25">
      <c r="B34" s="96" t="s">
        <v>175</v>
      </c>
      <c r="C34" s="169" t="str">
        <f>IFERROR(_xlfn.XLOOKUP(B34,'Limite de crédito'!C:C,'Limite de crédito'!L:L),0)</f>
        <v>B</v>
      </c>
      <c r="D34" s="114">
        <v>360</v>
      </c>
      <c r="E34" s="159">
        <f>_xlfn.XLOOKUP(B34,'Limite de crédito'!C:C,'Limite de crédito'!G:G,0)</f>
        <v>800000</v>
      </c>
      <c r="F34" s="109">
        <f t="shared" si="6"/>
        <v>800000</v>
      </c>
      <c r="G34" s="109">
        <f t="shared" si="7"/>
        <v>0</v>
      </c>
      <c r="H34" s="110">
        <f>SUMIFS('Data Fertilizers'!$D:$D,'Data Fertilizers'!$P:$P,$B34,'Data Fertilizers'!$Q:$Q,"&gt;0",'Data Fertilizers'!$Q:$Q,"&lt;=30")</f>
        <v>0</v>
      </c>
      <c r="I34" s="110">
        <f>SUMIFS('Data Fertilizers'!$D:$D,'Data Fertilizers'!$P:$P,$B34,'Data Fertilizers'!$Q:$Q,"&gt;30",'Data Fertilizers'!$Q:$Q,"&lt;=60")</f>
        <v>0</v>
      </c>
      <c r="J34" s="110">
        <f>SUMIFS('Data Fertilizers'!$D:$D,'Data Fertilizers'!$P:$P,$B34,'Data Fertilizers'!$Q:$Q,"&gt;60",'Data Fertilizers'!$Q:$Q,"&lt;=90")</f>
        <v>0</v>
      </c>
      <c r="K34" s="110">
        <f>SUMIFS('Data Fertilizers'!$D:$D,'Data Fertilizers'!$P:$P,$B34,'Data Fertilizers'!$Q:$Q,"&gt;90",'Data Fertilizers'!$Q:$Q,"&lt;=120")</f>
        <v>0</v>
      </c>
      <c r="L34" s="110">
        <f>SUMIFS('Data Fertilizers'!$D:$D,'Data Fertilizers'!$P:$P,$B34,'Data Fertilizers'!$Q:$Q,"&gt;120",'Data Fertilizers'!$Q:$Q,"&lt;=180")</f>
        <v>0</v>
      </c>
      <c r="M34" s="110">
        <f>SUMIFS('Data Fertilizers'!$D:$D,'Data Fertilizers'!$P:$P,$B34,'Data Fertilizers'!$Q:$Q,"&gt;180",'Data Fertilizers'!$Q:$Q,"&lt;=360")</f>
        <v>0</v>
      </c>
      <c r="N34" s="115">
        <f>SUMIFS('Data Fertilizers'!$D:$D,'Data Fertilizers'!$P:$P,$B34,'Data Fertilizers'!$Q:$Q,"&gt;360")</f>
        <v>0</v>
      </c>
      <c r="O34" s="110">
        <f>SUMIFS('Data Fertilizers'!$D:$D,'Data Fertilizers'!$P:$P,$B34,'Data Fertilizers'!$Q:$Q,"&gt;0")</f>
        <v>0</v>
      </c>
      <c r="P34" s="110">
        <f t="shared" si="5"/>
        <v>0</v>
      </c>
      <c r="Q34" s="110">
        <f>SUMIFS('Data Fertilizers'!$D:$D,'Data Fertilizers'!$P:$P,$B34,'Data Fertilizers'!$Q:$Q,"&lt;=0",'Data Fertilizers'!$Q:$Q,"&gt;=-30")</f>
        <v>0</v>
      </c>
      <c r="R34" s="110">
        <f>SUMIFS('Data Fertilizers'!$D:$D,'Data Fertilizers'!$P:$P,$B34,'Data Fertilizers'!$Q:$Q,"&lt;=-31",'Data Fertilizers'!$Q:$Q,"&gt;=-60")</f>
        <v>0</v>
      </c>
      <c r="S34" s="110">
        <f>SUMIFS('Data Fertilizers'!$D:$D,'Data Fertilizers'!$P:$P,$B34,'Data Fertilizers'!$Q:$Q,"&lt;=-61",'Data Fertilizers'!$Q:$Q,"&gt;=-90")</f>
        <v>0</v>
      </c>
      <c r="T34" s="110">
        <f>SUMIFS('Data Fertilizers'!$D:$D,'Data Fertilizers'!$P:$P,$B34,'Data Fertilizers'!$Q:$Q,"&lt;=-91",'Data Fertilizers'!$Q:$Q,"&gt;=-120")</f>
        <v>0</v>
      </c>
      <c r="U34" s="110">
        <f>SUMIFS('Data Fertilizers'!$D:$D,'Data Fertilizers'!$P:$P,$B34,'Data Fertilizers'!$Q:$Q,"&lt;=-121",'Data Fertilizers'!$Q:$Q,"&gt;=-180")</f>
        <v>0</v>
      </c>
      <c r="V34" s="110">
        <f>SUMIFS('Data Fertilizers'!$D:$D,'Data Fertilizers'!$P:$P,$B34,'Data Fertilizers'!$Q:$Q,"&lt;=-181",'Data Fertilizers'!$Q:$Q,"&gt;=-360")</f>
        <v>0</v>
      </c>
      <c r="W34" s="115">
        <f>SUMIFS('Data Fertilizers'!$D:$D,'Data Fertilizers'!$P:$P,$B34,'Data Fertilizers'!$Q:$Q,"&lt;-360")</f>
        <v>0</v>
      </c>
      <c r="X34" s="164">
        <f>SUMIFS('Bad Debt Provision'!AB:AB,'Bad Debt Provision'!B:B,'Painel Fertilizers'!B34)</f>
        <v>0</v>
      </c>
      <c r="Y34" s="111"/>
      <c r="Z34" s="111"/>
      <c r="AA34" s="110">
        <f>_xlfn.XLOOKUP(B34,'Limite de crédito'!C:C,'Limite de crédito'!O:O,0)</f>
        <v>800000</v>
      </c>
      <c r="AB34" s="110"/>
      <c r="AC34" s="112"/>
      <c r="AD34" s="113"/>
      <c r="AE34" s="113"/>
      <c r="AF34" s="111"/>
      <c r="AG34" s="110">
        <f t="shared" si="8"/>
        <v>800000</v>
      </c>
      <c r="AH34" s="111"/>
    </row>
    <row r="35" spans="2:34" s="97" customFormat="1" ht="15" customHeight="1" x14ac:dyDescent="0.25">
      <c r="B35" s="96" t="s">
        <v>266</v>
      </c>
      <c r="C35" s="169">
        <f>IFERROR(_xlfn.XLOOKUP(B35,'Limite de crédito'!C:C,'Limite de crédito'!L:L),0)</f>
        <v>0</v>
      </c>
      <c r="D35" s="114"/>
      <c r="E35" s="159">
        <f>_xlfn.XLOOKUP(B35,'Limite de crédito'!C:C,'Limite de crédito'!G:G,0)</f>
        <v>0</v>
      </c>
      <c r="F35" s="109">
        <f t="shared" si="6"/>
        <v>0</v>
      </c>
      <c r="G35" s="109">
        <f t="shared" si="7"/>
        <v>0</v>
      </c>
      <c r="H35" s="110">
        <f>SUMIFS('Data Fertilizers'!$D:$D,'Data Fertilizers'!$P:$P,$B35,'Data Fertilizers'!$Q:$Q,"&gt;0",'Data Fertilizers'!$Q:$Q,"&lt;=30")</f>
        <v>0</v>
      </c>
      <c r="I35" s="110">
        <f>SUMIFS('Data Fertilizers'!$D:$D,'Data Fertilizers'!$P:$P,$B35,'Data Fertilizers'!$Q:$Q,"&gt;30",'Data Fertilizers'!$Q:$Q,"&lt;=60")</f>
        <v>0</v>
      </c>
      <c r="J35" s="110">
        <f>SUMIFS('Data Fertilizers'!$D:$D,'Data Fertilizers'!$P:$P,$B35,'Data Fertilizers'!$Q:$Q,"&gt;60",'Data Fertilizers'!$Q:$Q,"&lt;=90")</f>
        <v>0</v>
      </c>
      <c r="K35" s="110">
        <f>SUMIFS('Data Fertilizers'!$D:$D,'Data Fertilizers'!$P:$P,$B35,'Data Fertilizers'!$Q:$Q,"&gt;90",'Data Fertilizers'!$Q:$Q,"&lt;=120")</f>
        <v>0</v>
      </c>
      <c r="L35" s="110">
        <f>SUMIFS('Data Fertilizers'!$D:$D,'Data Fertilizers'!$P:$P,$B35,'Data Fertilizers'!$Q:$Q,"&gt;120",'Data Fertilizers'!$Q:$Q,"&lt;=180")</f>
        <v>0</v>
      </c>
      <c r="M35" s="110">
        <f>SUMIFS('Data Fertilizers'!$D:$D,'Data Fertilizers'!$P:$P,$B35,'Data Fertilizers'!$Q:$Q,"&gt;180",'Data Fertilizers'!$Q:$Q,"&lt;=360")</f>
        <v>0</v>
      </c>
      <c r="N35" s="115">
        <f>SUMIFS('Data Fertilizers'!$D:$D,'Data Fertilizers'!$P:$P,$B35,'Data Fertilizers'!$Q:$Q,"&gt;360")</f>
        <v>0</v>
      </c>
      <c r="O35" s="110">
        <f>SUMIFS('Data Fertilizers'!$D:$D,'Data Fertilizers'!$P:$P,$B35,'Data Fertilizers'!$Q:$Q,"&gt;0")</f>
        <v>0</v>
      </c>
      <c r="P35" s="110">
        <f t="shared" si="5"/>
        <v>0</v>
      </c>
      <c r="Q35" s="110">
        <f>SUMIFS('Data Fertilizers'!$D:$D,'Data Fertilizers'!$P:$P,$B35,'Data Fertilizers'!$Q:$Q,"&lt;=0",'Data Fertilizers'!$Q:$Q,"&gt;=-30")</f>
        <v>0</v>
      </c>
      <c r="R35" s="110">
        <f>SUMIFS('Data Fertilizers'!$D:$D,'Data Fertilizers'!$P:$P,$B35,'Data Fertilizers'!$Q:$Q,"&lt;=-31",'Data Fertilizers'!$Q:$Q,"&gt;=-60")</f>
        <v>0</v>
      </c>
      <c r="S35" s="110">
        <f>SUMIFS('Data Fertilizers'!$D:$D,'Data Fertilizers'!$P:$P,$B35,'Data Fertilizers'!$Q:$Q,"&lt;=-61",'Data Fertilizers'!$Q:$Q,"&gt;=-90")</f>
        <v>0</v>
      </c>
      <c r="T35" s="110">
        <f>SUMIFS('Data Fertilizers'!$D:$D,'Data Fertilizers'!$P:$P,$B35,'Data Fertilizers'!$Q:$Q,"&lt;=-91",'Data Fertilizers'!$Q:$Q,"&gt;=-120")</f>
        <v>0</v>
      </c>
      <c r="U35" s="110">
        <f>SUMIFS('Data Fertilizers'!$D:$D,'Data Fertilizers'!$P:$P,$B35,'Data Fertilizers'!$Q:$Q,"&lt;=-121",'Data Fertilizers'!$Q:$Q,"&gt;=-180")</f>
        <v>0</v>
      </c>
      <c r="V35" s="110">
        <f>SUMIFS('Data Fertilizers'!$D:$D,'Data Fertilizers'!$P:$P,$B35,'Data Fertilizers'!$Q:$Q,"&lt;=-181",'Data Fertilizers'!$Q:$Q,"&gt;=-360")</f>
        <v>0</v>
      </c>
      <c r="W35" s="115">
        <f>SUMIFS('Data Fertilizers'!$D:$D,'Data Fertilizers'!$P:$P,$B35,'Data Fertilizers'!$Q:$Q,"&lt;-360")</f>
        <v>0</v>
      </c>
      <c r="X35" s="164">
        <f>SUMIFS('Bad Debt Provision'!AB:AB,'Bad Debt Provision'!B:B,'Painel Fertilizers'!B35)</f>
        <v>0</v>
      </c>
      <c r="Y35" s="111"/>
      <c r="Z35" s="111"/>
      <c r="AA35" s="110">
        <f>_xlfn.XLOOKUP(B35,'Limite de crédito'!C:C,'Limite de crédito'!O:O,0)</f>
        <v>0</v>
      </c>
      <c r="AB35" s="110"/>
      <c r="AC35" s="112"/>
      <c r="AD35" s="113"/>
      <c r="AE35" s="113"/>
      <c r="AF35" s="111"/>
      <c r="AG35" s="110">
        <f t="shared" si="8"/>
        <v>0</v>
      </c>
    </row>
    <row r="36" spans="2:34" s="97" customFormat="1" x14ac:dyDescent="0.25">
      <c r="B36" s="108" t="s">
        <v>427</v>
      </c>
      <c r="C36" s="169" t="str">
        <f>IFERROR(_xlfn.XLOOKUP(B36,'Limite de crédito'!C:C,'Limite de crédito'!L:L),0)</f>
        <v>B</v>
      </c>
      <c r="D36" s="114">
        <v>320</v>
      </c>
      <c r="E36" s="159">
        <f>_xlfn.XLOOKUP(B36,'Limite de crédito'!C:C,'Limite de crédito'!G:G,0)</f>
        <v>800000</v>
      </c>
      <c r="F36" s="109">
        <f t="shared" si="6"/>
        <v>800000</v>
      </c>
      <c r="G36" s="109">
        <f t="shared" si="7"/>
        <v>0</v>
      </c>
      <c r="H36" s="110">
        <f>SUMIFS('Data Fertilizers'!$D:$D,'Data Fertilizers'!$P:$P,$B36,'Data Fertilizers'!$Q:$Q,"&gt;0",'Data Fertilizers'!$Q:$Q,"&lt;=30")</f>
        <v>0</v>
      </c>
      <c r="I36" s="110">
        <f>SUMIFS('Data Fertilizers'!$D:$D,'Data Fertilizers'!$P:$P,$B36,'Data Fertilizers'!$Q:$Q,"&gt;30",'Data Fertilizers'!$Q:$Q,"&lt;=60")</f>
        <v>0</v>
      </c>
      <c r="J36" s="110">
        <f>SUMIFS('Data Fertilizers'!$D:$D,'Data Fertilizers'!$P:$P,$B36,'Data Fertilizers'!$Q:$Q,"&gt;60",'Data Fertilizers'!$Q:$Q,"&lt;=90")</f>
        <v>0</v>
      </c>
      <c r="K36" s="110">
        <f>SUMIFS('Data Fertilizers'!$D:$D,'Data Fertilizers'!$P:$P,$B36,'Data Fertilizers'!$Q:$Q,"&gt;90",'Data Fertilizers'!$Q:$Q,"&lt;=120")</f>
        <v>0</v>
      </c>
      <c r="L36" s="110">
        <f>SUMIFS('Data Fertilizers'!$D:$D,'Data Fertilizers'!$P:$P,$B36,'Data Fertilizers'!$Q:$Q,"&gt;120",'Data Fertilizers'!$Q:$Q,"&lt;=180")</f>
        <v>0</v>
      </c>
      <c r="M36" s="110">
        <f>SUMIFS('Data Fertilizers'!$D:$D,'Data Fertilizers'!$P:$P,$B36,'Data Fertilizers'!$Q:$Q,"&gt;180",'Data Fertilizers'!$Q:$Q,"&lt;=360")</f>
        <v>0</v>
      </c>
      <c r="N36" s="115">
        <f>SUMIFS('Data Fertilizers'!$D:$D,'Data Fertilizers'!$P:$P,$B36,'Data Fertilizers'!$Q:$Q,"&gt;360")</f>
        <v>0</v>
      </c>
      <c r="O36" s="110">
        <f>SUMIFS('Data Fertilizers'!$D:$D,'Data Fertilizers'!$P:$P,$B36,'Data Fertilizers'!$Q:$Q,"&gt;0")</f>
        <v>0</v>
      </c>
      <c r="P36" s="110">
        <f t="shared" si="5"/>
        <v>0</v>
      </c>
      <c r="Q36" s="110">
        <f>SUMIFS('Data Fertilizers'!$D:$D,'Data Fertilizers'!$P:$P,$B36,'Data Fertilizers'!$Q:$Q,"&lt;=0",'Data Fertilizers'!$Q:$Q,"&gt;=-30")</f>
        <v>0</v>
      </c>
      <c r="R36" s="110">
        <f>SUMIFS('Data Fertilizers'!$D:$D,'Data Fertilizers'!$P:$P,$B36,'Data Fertilizers'!$Q:$Q,"&lt;=-31",'Data Fertilizers'!$Q:$Q,"&gt;=-60")</f>
        <v>0</v>
      </c>
      <c r="S36" s="110">
        <f>SUMIFS('Data Fertilizers'!$D:$D,'Data Fertilizers'!$P:$P,$B36,'Data Fertilizers'!$Q:$Q,"&lt;=-61",'Data Fertilizers'!$Q:$Q,"&gt;=-90")</f>
        <v>0</v>
      </c>
      <c r="T36" s="110">
        <f>SUMIFS('Data Fertilizers'!$D:$D,'Data Fertilizers'!$P:$P,$B36,'Data Fertilizers'!$Q:$Q,"&lt;=-91",'Data Fertilizers'!$Q:$Q,"&gt;=-120")</f>
        <v>0</v>
      </c>
      <c r="U36" s="110">
        <f>SUMIFS('Data Fertilizers'!$D:$D,'Data Fertilizers'!$P:$P,$B36,'Data Fertilizers'!$Q:$Q,"&lt;=-121",'Data Fertilizers'!$Q:$Q,"&gt;=-180")</f>
        <v>0</v>
      </c>
      <c r="V36" s="110">
        <f>SUMIFS('Data Fertilizers'!$D:$D,'Data Fertilizers'!$P:$P,$B36,'Data Fertilizers'!$Q:$Q,"&lt;=-181",'Data Fertilizers'!$Q:$Q,"&gt;=-360")</f>
        <v>0</v>
      </c>
      <c r="W36" s="115">
        <f>SUMIFS('Data Fertilizers'!$D:$D,'Data Fertilizers'!$P:$P,$B36,'Data Fertilizers'!$Q:$Q,"&lt;-360")</f>
        <v>0</v>
      </c>
      <c r="X36" s="164">
        <f>SUMIFS('Bad Debt Provision'!AB:AB,'Bad Debt Provision'!B:B,'Painel Fertilizers'!B36)</f>
        <v>0</v>
      </c>
      <c r="Y36" s="111"/>
      <c r="Z36" s="111"/>
      <c r="AA36" s="110">
        <f>_xlfn.XLOOKUP(B36,'Limite de crédito'!C:C,'Limite de crédito'!O:O,0)</f>
        <v>800000</v>
      </c>
      <c r="AB36" s="110"/>
      <c r="AC36" s="112"/>
      <c r="AD36" s="113"/>
      <c r="AE36" s="113"/>
      <c r="AF36" s="111"/>
      <c r="AG36" s="110">
        <f t="shared" si="8"/>
        <v>800000</v>
      </c>
    </row>
    <row r="37" spans="2:34" s="97" customFormat="1" ht="15" customHeight="1" x14ac:dyDescent="0.25">
      <c r="B37" s="108" t="s">
        <v>168</v>
      </c>
      <c r="C37" s="169">
        <f>IFERROR(_xlfn.XLOOKUP(B37,'Limite de crédito'!C:C,'Limite de crédito'!L:L),0)</f>
        <v>0</v>
      </c>
      <c r="D37" s="114"/>
      <c r="E37" s="159">
        <f>_xlfn.XLOOKUP(B37,'Limite de crédito'!C:C,'Limite de crédito'!G:G,0)</f>
        <v>0</v>
      </c>
      <c r="F37" s="109">
        <f t="shared" si="6"/>
        <v>0</v>
      </c>
      <c r="G37" s="109">
        <f t="shared" si="7"/>
        <v>0</v>
      </c>
      <c r="H37" s="110">
        <f>SUMIFS('Data Fertilizers'!$D:$D,'Data Fertilizers'!$P:$P,$B37,'Data Fertilizers'!$Q:$Q,"&gt;0",'Data Fertilizers'!$Q:$Q,"&lt;=30")</f>
        <v>0</v>
      </c>
      <c r="I37" s="110">
        <f>SUMIFS('Data Fertilizers'!$D:$D,'Data Fertilizers'!$P:$P,$B37,'Data Fertilizers'!$Q:$Q,"&gt;30",'Data Fertilizers'!$Q:$Q,"&lt;=60")</f>
        <v>0</v>
      </c>
      <c r="J37" s="110">
        <f>SUMIFS('Data Fertilizers'!$D:$D,'Data Fertilizers'!$P:$P,$B37,'Data Fertilizers'!$Q:$Q,"&gt;60",'Data Fertilizers'!$Q:$Q,"&lt;=90")</f>
        <v>0</v>
      </c>
      <c r="K37" s="110">
        <f>SUMIFS('Data Fertilizers'!$D:$D,'Data Fertilizers'!$P:$P,$B37,'Data Fertilizers'!$Q:$Q,"&gt;90",'Data Fertilizers'!$Q:$Q,"&lt;=120")</f>
        <v>0</v>
      </c>
      <c r="L37" s="110">
        <f>SUMIFS('Data Fertilizers'!$D:$D,'Data Fertilizers'!$P:$P,$B37,'Data Fertilizers'!$Q:$Q,"&gt;120",'Data Fertilizers'!$Q:$Q,"&lt;=180")</f>
        <v>0</v>
      </c>
      <c r="M37" s="110">
        <f>SUMIFS('Data Fertilizers'!$D:$D,'Data Fertilizers'!$P:$P,$B37,'Data Fertilizers'!$Q:$Q,"&gt;180",'Data Fertilizers'!$Q:$Q,"&lt;=360")</f>
        <v>0</v>
      </c>
      <c r="N37" s="115">
        <f>SUMIFS('Data Fertilizers'!$D:$D,'Data Fertilizers'!$P:$P,$B37,'Data Fertilizers'!$Q:$Q,"&gt;360")</f>
        <v>0</v>
      </c>
      <c r="O37" s="110">
        <f>SUMIFS('Data Fertilizers'!$D:$D,'Data Fertilizers'!$P:$P,$B37,'Data Fertilizers'!$Q:$Q,"&gt;0")</f>
        <v>0</v>
      </c>
      <c r="P37" s="110">
        <f t="shared" si="5"/>
        <v>0</v>
      </c>
      <c r="Q37" s="110">
        <f>SUMIFS('Data Fertilizers'!$D:$D,'Data Fertilizers'!$P:$P,$B37,'Data Fertilizers'!$Q:$Q,"&lt;=0",'Data Fertilizers'!$Q:$Q,"&gt;=-30")</f>
        <v>0</v>
      </c>
      <c r="R37" s="110">
        <f>SUMIFS('Data Fertilizers'!$D:$D,'Data Fertilizers'!$P:$P,$B37,'Data Fertilizers'!$Q:$Q,"&lt;=-31",'Data Fertilizers'!$Q:$Q,"&gt;=-60")</f>
        <v>0</v>
      </c>
      <c r="S37" s="110">
        <f>SUMIFS('Data Fertilizers'!$D:$D,'Data Fertilizers'!$P:$P,$B37,'Data Fertilizers'!$Q:$Q,"&lt;=-61",'Data Fertilizers'!$Q:$Q,"&gt;=-90")</f>
        <v>0</v>
      </c>
      <c r="T37" s="110">
        <f>SUMIFS('Data Fertilizers'!$D:$D,'Data Fertilizers'!$P:$P,$B37,'Data Fertilizers'!$Q:$Q,"&lt;=-91",'Data Fertilizers'!$Q:$Q,"&gt;=-120")</f>
        <v>0</v>
      </c>
      <c r="U37" s="110">
        <f>SUMIFS('Data Fertilizers'!$D:$D,'Data Fertilizers'!$P:$P,$B37,'Data Fertilizers'!$Q:$Q,"&lt;=-121",'Data Fertilizers'!$Q:$Q,"&gt;=-180")</f>
        <v>0</v>
      </c>
      <c r="V37" s="110">
        <f>SUMIFS('Data Fertilizers'!$D:$D,'Data Fertilizers'!$P:$P,$B37,'Data Fertilizers'!$Q:$Q,"&lt;=-181",'Data Fertilizers'!$Q:$Q,"&gt;=-360")</f>
        <v>0</v>
      </c>
      <c r="W37" s="115">
        <f>SUMIFS('Data Fertilizers'!$D:$D,'Data Fertilizers'!$P:$P,$B37,'Data Fertilizers'!$Q:$Q,"&lt;-360")</f>
        <v>0</v>
      </c>
      <c r="X37" s="164">
        <f>SUMIFS('Bad Debt Provision'!AB:AB,'Bad Debt Provision'!B:B,'Painel Fertilizers'!B37)</f>
        <v>0</v>
      </c>
      <c r="Y37" s="111"/>
      <c r="Z37" s="111"/>
      <c r="AA37" s="110">
        <f>_xlfn.XLOOKUP(B37,'Limite de crédito'!C:C,'Limite de crédito'!O:O,0)</f>
        <v>0</v>
      </c>
      <c r="AB37" s="110"/>
      <c r="AC37" s="112"/>
      <c r="AD37" s="113"/>
      <c r="AE37" s="113"/>
      <c r="AF37" s="111"/>
      <c r="AG37" s="110">
        <f t="shared" si="8"/>
        <v>0</v>
      </c>
      <c r="AH37" s="111"/>
    </row>
    <row r="38" spans="2:34" s="97" customFormat="1" ht="12.6" customHeight="1" x14ac:dyDescent="0.25">
      <c r="B38" s="108" t="s">
        <v>241</v>
      </c>
      <c r="C38" s="169">
        <f>IFERROR(_xlfn.XLOOKUP(B38,'Limite de crédito'!C:C,'Limite de crédito'!L:L),0)</f>
        <v>0</v>
      </c>
      <c r="D38" s="114"/>
      <c r="E38" s="159">
        <f>_xlfn.XLOOKUP(B38,'Limite de crédito'!C:C,'Limite de crédito'!G:G,0)</f>
        <v>0</v>
      </c>
      <c r="F38" s="109">
        <f t="shared" si="6"/>
        <v>0</v>
      </c>
      <c r="G38" s="109">
        <f t="shared" si="7"/>
        <v>0</v>
      </c>
      <c r="H38" s="110">
        <f>SUMIFS('Data Fertilizers'!$D:$D,'Data Fertilizers'!$P:$P,$B38,'Data Fertilizers'!$Q:$Q,"&gt;0",'Data Fertilizers'!$Q:$Q,"&lt;=30")</f>
        <v>0</v>
      </c>
      <c r="I38" s="110">
        <f>SUMIFS('Data Fertilizers'!$D:$D,'Data Fertilizers'!$P:$P,$B38,'Data Fertilizers'!$Q:$Q,"&gt;30",'Data Fertilizers'!$Q:$Q,"&lt;=60")</f>
        <v>0</v>
      </c>
      <c r="J38" s="110">
        <f>SUMIFS('Data Fertilizers'!$D:$D,'Data Fertilizers'!$P:$P,$B38,'Data Fertilizers'!$Q:$Q,"&gt;60",'Data Fertilizers'!$Q:$Q,"&lt;=90")</f>
        <v>0</v>
      </c>
      <c r="K38" s="110">
        <f>SUMIFS('Data Fertilizers'!$D:$D,'Data Fertilizers'!$P:$P,$B38,'Data Fertilizers'!$Q:$Q,"&gt;90",'Data Fertilizers'!$Q:$Q,"&lt;=120")</f>
        <v>0</v>
      </c>
      <c r="L38" s="110">
        <f>SUMIFS('Data Fertilizers'!$D:$D,'Data Fertilizers'!$P:$P,$B38,'Data Fertilizers'!$Q:$Q,"&gt;120",'Data Fertilizers'!$Q:$Q,"&lt;=180")</f>
        <v>0</v>
      </c>
      <c r="M38" s="110">
        <f>SUMIFS('Data Fertilizers'!$D:$D,'Data Fertilizers'!$P:$P,$B38,'Data Fertilizers'!$Q:$Q,"&gt;180",'Data Fertilizers'!$Q:$Q,"&lt;=360")</f>
        <v>0</v>
      </c>
      <c r="N38" s="115">
        <f>SUMIFS('Data Fertilizers'!$D:$D,'Data Fertilizers'!$P:$P,$B38,'Data Fertilizers'!$Q:$Q,"&gt;360")</f>
        <v>0</v>
      </c>
      <c r="O38" s="110">
        <f>SUMIFS('Data Fertilizers'!$D:$D,'Data Fertilizers'!$P:$P,$B38,'Data Fertilizers'!$Q:$Q,"&gt;0")</f>
        <v>0</v>
      </c>
      <c r="P38" s="110">
        <f t="shared" si="5"/>
        <v>0</v>
      </c>
      <c r="Q38" s="110">
        <f>SUMIFS('Data Fertilizers'!$D:$D,'Data Fertilizers'!$P:$P,$B38,'Data Fertilizers'!$Q:$Q,"&lt;=0",'Data Fertilizers'!$Q:$Q,"&gt;=-30")</f>
        <v>0</v>
      </c>
      <c r="R38" s="110">
        <f>SUMIFS('Data Fertilizers'!$D:$D,'Data Fertilizers'!$P:$P,$B38,'Data Fertilizers'!$Q:$Q,"&lt;=-31",'Data Fertilizers'!$Q:$Q,"&gt;=-60")</f>
        <v>0</v>
      </c>
      <c r="S38" s="110">
        <f>SUMIFS('Data Fertilizers'!$D:$D,'Data Fertilizers'!$P:$P,$B38,'Data Fertilizers'!$Q:$Q,"&lt;=-61",'Data Fertilizers'!$Q:$Q,"&gt;=-90")</f>
        <v>0</v>
      </c>
      <c r="T38" s="110">
        <f>SUMIFS('Data Fertilizers'!$D:$D,'Data Fertilizers'!$P:$P,$B38,'Data Fertilizers'!$Q:$Q,"&lt;=-91",'Data Fertilizers'!$Q:$Q,"&gt;=-120")</f>
        <v>0</v>
      </c>
      <c r="U38" s="110">
        <f>SUMIFS('Data Fertilizers'!$D:$D,'Data Fertilizers'!$P:$P,$B38,'Data Fertilizers'!$Q:$Q,"&lt;=-121",'Data Fertilizers'!$Q:$Q,"&gt;=-180")</f>
        <v>0</v>
      </c>
      <c r="V38" s="110">
        <f>SUMIFS('Data Fertilizers'!$D:$D,'Data Fertilizers'!$P:$P,$B38,'Data Fertilizers'!$Q:$Q,"&lt;=-181",'Data Fertilizers'!$Q:$Q,"&gt;=-360")</f>
        <v>0</v>
      </c>
      <c r="W38" s="115">
        <f>SUMIFS('Data Fertilizers'!$D:$D,'Data Fertilizers'!$P:$P,$B38,'Data Fertilizers'!$Q:$Q,"&lt;-360")</f>
        <v>0</v>
      </c>
      <c r="X38" s="164">
        <f>SUMIFS('Bad Debt Provision'!AB:AB,'Bad Debt Provision'!B:B,'Painel Fertilizers'!B38)</f>
        <v>0</v>
      </c>
      <c r="Y38" s="111"/>
      <c r="Z38" s="111"/>
      <c r="AA38" s="110">
        <f>_xlfn.XLOOKUP(B38,'Limite de crédito'!C:C,'Limite de crédito'!O:O,0)</f>
        <v>0</v>
      </c>
      <c r="AB38" s="110"/>
      <c r="AC38" s="112"/>
      <c r="AD38" s="113"/>
      <c r="AE38" s="113"/>
      <c r="AF38" s="111"/>
      <c r="AG38" s="110">
        <f t="shared" si="8"/>
        <v>0</v>
      </c>
    </row>
    <row r="39" spans="2:34" s="97" customFormat="1" x14ac:dyDescent="0.25">
      <c r="B39" s="108" t="s">
        <v>294</v>
      </c>
      <c r="C39" s="169">
        <f>IFERROR(_xlfn.XLOOKUP(B39,'Limite de crédito'!C:C,'Limite de crédito'!L:L),0)</f>
        <v>0</v>
      </c>
      <c r="D39" s="114"/>
      <c r="E39" s="159">
        <f>_xlfn.XLOOKUP(B39,'Limite de crédito'!C:C,'Limite de crédito'!G:G,0)</f>
        <v>0</v>
      </c>
      <c r="F39" s="109">
        <f t="shared" si="6"/>
        <v>0</v>
      </c>
      <c r="G39" s="109">
        <f t="shared" si="7"/>
        <v>0</v>
      </c>
      <c r="H39" s="110">
        <f>SUMIFS('Data Fertilizers'!$D:$D,'Data Fertilizers'!$P:$P,$B39,'Data Fertilizers'!$Q:$Q,"&gt;0",'Data Fertilizers'!$Q:$Q,"&lt;=30")</f>
        <v>0</v>
      </c>
      <c r="I39" s="110">
        <f>SUMIFS('Data Fertilizers'!$D:$D,'Data Fertilizers'!$P:$P,$B39,'Data Fertilizers'!$Q:$Q,"&gt;30",'Data Fertilizers'!$Q:$Q,"&lt;=60")</f>
        <v>0</v>
      </c>
      <c r="J39" s="110">
        <f>SUMIFS('Data Fertilizers'!$D:$D,'Data Fertilizers'!$P:$P,$B39,'Data Fertilizers'!$Q:$Q,"&gt;60",'Data Fertilizers'!$Q:$Q,"&lt;=90")</f>
        <v>0</v>
      </c>
      <c r="K39" s="110">
        <f>SUMIFS('Data Fertilizers'!$D:$D,'Data Fertilizers'!$P:$P,$B39,'Data Fertilizers'!$Q:$Q,"&gt;90",'Data Fertilizers'!$Q:$Q,"&lt;=120")</f>
        <v>0</v>
      </c>
      <c r="L39" s="110">
        <f>SUMIFS('Data Fertilizers'!$D:$D,'Data Fertilizers'!$P:$P,$B39,'Data Fertilizers'!$Q:$Q,"&gt;120",'Data Fertilizers'!$Q:$Q,"&lt;=180")</f>
        <v>0</v>
      </c>
      <c r="M39" s="110">
        <f>SUMIFS('Data Fertilizers'!$D:$D,'Data Fertilizers'!$P:$P,$B39,'Data Fertilizers'!$Q:$Q,"&gt;180",'Data Fertilizers'!$Q:$Q,"&lt;=360")</f>
        <v>0</v>
      </c>
      <c r="N39" s="115">
        <f>SUMIFS('Data Fertilizers'!$D:$D,'Data Fertilizers'!$P:$P,$B39,'Data Fertilizers'!$Q:$Q,"&gt;360")</f>
        <v>0</v>
      </c>
      <c r="O39" s="110">
        <f>SUMIFS('Data Fertilizers'!$D:$D,'Data Fertilizers'!$P:$P,$B39,'Data Fertilizers'!$Q:$Q,"&gt;0")</f>
        <v>0</v>
      </c>
      <c r="P39" s="110">
        <f t="shared" si="5"/>
        <v>0</v>
      </c>
      <c r="Q39" s="110">
        <f>SUMIFS('Data Fertilizers'!$D:$D,'Data Fertilizers'!$P:$P,$B39,'Data Fertilizers'!$Q:$Q,"&lt;=0",'Data Fertilizers'!$Q:$Q,"&gt;=-30")</f>
        <v>0</v>
      </c>
      <c r="R39" s="110">
        <f>SUMIFS('Data Fertilizers'!$D:$D,'Data Fertilizers'!$P:$P,$B39,'Data Fertilizers'!$Q:$Q,"&lt;=-31",'Data Fertilizers'!$Q:$Q,"&gt;=-60")</f>
        <v>0</v>
      </c>
      <c r="S39" s="110">
        <f>SUMIFS('Data Fertilizers'!$D:$D,'Data Fertilizers'!$P:$P,$B39,'Data Fertilizers'!$Q:$Q,"&lt;=-61",'Data Fertilizers'!$Q:$Q,"&gt;=-90")</f>
        <v>0</v>
      </c>
      <c r="T39" s="110">
        <f>SUMIFS('Data Fertilizers'!$D:$D,'Data Fertilizers'!$P:$P,$B39,'Data Fertilizers'!$Q:$Q,"&lt;=-91",'Data Fertilizers'!$Q:$Q,"&gt;=-120")</f>
        <v>0</v>
      </c>
      <c r="U39" s="110">
        <f>SUMIFS('Data Fertilizers'!$D:$D,'Data Fertilizers'!$P:$P,$B39,'Data Fertilizers'!$Q:$Q,"&lt;=-121",'Data Fertilizers'!$Q:$Q,"&gt;=-180")</f>
        <v>0</v>
      </c>
      <c r="V39" s="110">
        <f>SUMIFS('Data Fertilizers'!$D:$D,'Data Fertilizers'!$P:$P,$B39,'Data Fertilizers'!$Q:$Q,"&lt;=-181",'Data Fertilizers'!$Q:$Q,"&gt;=-360")</f>
        <v>0</v>
      </c>
      <c r="W39" s="115">
        <f>SUMIFS('Data Fertilizers'!$D:$D,'Data Fertilizers'!$P:$P,$B39,'Data Fertilizers'!$Q:$Q,"&lt;-360")</f>
        <v>0</v>
      </c>
      <c r="X39" s="164">
        <f>SUMIFS('Bad Debt Provision'!AB:AB,'Bad Debt Provision'!B:B,'Painel Fertilizers'!B39)</f>
        <v>0</v>
      </c>
      <c r="Y39" s="111"/>
      <c r="Z39" s="111"/>
      <c r="AA39" s="110">
        <f>_xlfn.XLOOKUP(B39,'Limite de crédito'!C:C,'Limite de crédito'!O:O,0)</f>
        <v>0</v>
      </c>
      <c r="AB39" s="110"/>
      <c r="AC39" s="112"/>
      <c r="AD39" s="113"/>
      <c r="AE39" s="113"/>
      <c r="AF39" s="111"/>
      <c r="AG39" s="110">
        <f t="shared" si="8"/>
        <v>0</v>
      </c>
    </row>
    <row r="40" spans="2:34" s="97" customFormat="1" x14ac:dyDescent="0.25">
      <c r="B40" s="108" t="s">
        <v>344</v>
      </c>
      <c r="C40" s="169">
        <f>IFERROR(_xlfn.XLOOKUP(B40,'Limite de crédito'!C:C,'Limite de crédito'!L:L),0)</f>
        <v>0</v>
      </c>
      <c r="D40" s="114"/>
      <c r="E40" s="159">
        <f>_xlfn.XLOOKUP(B40,'Limite de crédito'!C:C,'Limite de crédito'!G:G,0)</f>
        <v>0</v>
      </c>
      <c r="F40" s="109">
        <f t="shared" si="6"/>
        <v>0</v>
      </c>
      <c r="G40" s="109">
        <f t="shared" si="7"/>
        <v>0</v>
      </c>
      <c r="H40" s="110">
        <f>SUMIFS('Data Fertilizers'!$D:$D,'Data Fertilizers'!$P:$P,$B40,'Data Fertilizers'!$Q:$Q,"&gt;0",'Data Fertilizers'!$Q:$Q,"&lt;=30")</f>
        <v>0</v>
      </c>
      <c r="I40" s="110">
        <f>SUMIFS('Data Fertilizers'!$D:$D,'Data Fertilizers'!$P:$P,$B40,'Data Fertilizers'!$Q:$Q,"&gt;30",'Data Fertilizers'!$Q:$Q,"&lt;=60")</f>
        <v>0</v>
      </c>
      <c r="J40" s="110">
        <f>SUMIFS('Data Fertilizers'!$D:$D,'Data Fertilizers'!$P:$P,$B40,'Data Fertilizers'!$Q:$Q,"&gt;60",'Data Fertilizers'!$Q:$Q,"&lt;=90")</f>
        <v>0</v>
      </c>
      <c r="K40" s="110">
        <f>SUMIFS('Data Fertilizers'!$D:$D,'Data Fertilizers'!$P:$P,$B40,'Data Fertilizers'!$Q:$Q,"&gt;90",'Data Fertilizers'!$Q:$Q,"&lt;=120")</f>
        <v>0</v>
      </c>
      <c r="L40" s="110">
        <f>SUMIFS('Data Fertilizers'!$D:$D,'Data Fertilizers'!$P:$P,$B40,'Data Fertilizers'!$Q:$Q,"&gt;120",'Data Fertilizers'!$Q:$Q,"&lt;=180")</f>
        <v>0</v>
      </c>
      <c r="M40" s="110">
        <f>SUMIFS('Data Fertilizers'!$D:$D,'Data Fertilizers'!$P:$P,$B40,'Data Fertilizers'!$Q:$Q,"&gt;180",'Data Fertilizers'!$Q:$Q,"&lt;=360")</f>
        <v>0</v>
      </c>
      <c r="N40" s="115">
        <f>SUMIFS('Data Fertilizers'!$D:$D,'Data Fertilizers'!$P:$P,$B40,'Data Fertilizers'!$Q:$Q,"&gt;360")</f>
        <v>0</v>
      </c>
      <c r="O40" s="110">
        <f>SUMIFS('Data Fertilizers'!$D:$D,'Data Fertilizers'!$P:$P,$B40,'Data Fertilizers'!$Q:$Q,"&gt;0")</f>
        <v>0</v>
      </c>
      <c r="P40" s="110">
        <f t="shared" si="5"/>
        <v>0</v>
      </c>
      <c r="Q40" s="110">
        <f>SUMIFS('Data Fertilizers'!$D:$D,'Data Fertilizers'!$P:$P,$B40,'Data Fertilizers'!$Q:$Q,"&lt;=0",'Data Fertilizers'!$Q:$Q,"&gt;=-30")</f>
        <v>0</v>
      </c>
      <c r="R40" s="110">
        <f>SUMIFS('Data Fertilizers'!$D:$D,'Data Fertilizers'!$P:$P,$B40,'Data Fertilizers'!$Q:$Q,"&lt;=-31",'Data Fertilizers'!$Q:$Q,"&gt;=-60")</f>
        <v>0</v>
      </c>
      <c r="S40" s="110">
        <f>SUMIFS('Data Fertilizers'!$D:$D,'Data Fertilizers'!$P:$P,$B40,'Data Fertilizers'!$Q:$Q,"&lt;=-61",'Data Fertilizers'!$Q:$Q,"&gt;=-90")</f>
        <v>0</v>
      </c>
      <c r="T40" s="110">
        <f>SUMIFS('Data Fertilizers'!$D:$D,'Data Fertilizers'!$P:$P,$B40,'Data Fertilizers'!$Q:$Q,"&lt;=-91",'Data Fertilizers'!$Q:$Q,"&gt;=-120")</f>
        <v>0</v>
      </c>
      <c r="U40" s="110">
        <f>SUMIFS('Data Fertilizers'!$D:$D,'Data Fertilizers'!$P:$P,$B40,'Data Fertilizers'!$Q:$Q,"&lt;=-121",'Data Fertilizers'!$Q:$Q,"&gt;=-180")</f>
        <v>0</v>
      </c>
      <c r="V40" s="110">
        <f>SUMIFS('Data Fertilizers'!$D:$D,'Data Fertilizers'!$P:$P,$B40,'Data Fertilizers'!$Q:$Q,"&lt;=-181",'Data Fertilizers'!$Q:$Q,"&gt;=-360")</f>
        <v>0</v>
      </c>
      <c r="W40" s="115">
        <f>SUMIFS('Data Fertilizers'!$D:$D,'Data Fertilizers'!$P:$P,$B40,'Data Fertilizers'!$Q:$Q,"&lt;-360")</f>
        <v>0</v>
      </c>
      <c r="X40" s="164">
        <f>SUMIFS('Bad Debt Provision'!AB:AB,'Bad Debt Provision'!B:B,'Painel Fertilizers'!B40)</f>
        <v>0</v>
      </c>
      <c r="Y40" s="111"/>
      <c r="Z40" s="111"/>
      <c r="AA40" s="110">
        <f>_xlfn.XLOOKUP(B40,'Limite de crédito'!C:C,'Limite de crédito'!O:O,0)</f>
        <v>0</v>
      </c>
      <c r="AB40" s="110"/>
      <c r="AC40" s="112"/>
      <c r="AD40" s="113"/>
      <c r="AE40" s="113"/>
      <c r="AF40" s="111"/>
      <c r="AG40" s="110">
        <f t="shared" si="8"/>
        <v>0</v>
      </c>
    </row>
    <row r="41" spans="2:34" s="97" customFormat="1" ht="12.6" customHeight="1" x14ac:dyDescent="0.25">
      <c r="B41" s="108" t="s">
        <v>290</v>
      </c>
      <c r="C41" s="169">
        <f>IFERROR(_xlfn.XLOOKUP(B41,'Limite de crédito'!C:C,'Limite de crédito'!L:L),0)</f>
        <v>0</v>
      </c>
      <c r="D41" s="114"/>
      <c r="E41" s="159">
        <f>_xlfn.XLOOKUP(B41,'Limite de crédito'!C:C,'Limite de crédito'!G:G,0)</f>
        <v>1500000</v>
      </c>
      <c r="F41" s="109">
        <f t="shared" si="6"/>
        <v>1500000</v>
      </c>
      <c r="G41" s="109">
        <f t="shared" si="7"/>
        <v>0</v>
      </c>
      <c r="H41" s="110">
        <f>SUMIFS('Data Fertilizers'!$D:$D,'Data Fertilizers'!$P:$P,$B41,'Data Fertilizers'!$Q:$Q,"&gt;0",'Data Fertilizers'!$Q:$Q,"&lt;=30")</f>
        <v>0</v>
      </c>
      <c r="I41" s="110">
        <f>SUMIFS('Data Fertilizers'!$D:$D,'Data Fertilizers'!$P:$P,$B41,'Data Fertilizers'!$Q:$Q,"&gt;30",'Data Fertilizers'!$Q:$Q,"&lt;=60")</f>
        <v>0</v>
      </c>
      <c r="J41" s="110">
        <f>SUMIFS('Data Fertilizers'!$D:$D,'Data Fertilizers'!$P:$P,$B41,'Data Fertilizers'!$Q:$Q,"&gt;60",'Data Fertilizers'!$Q:$Q,"&lt;=90")</f>
        <v>0</v>
      </c>
      <c r="K41" s="110">
        <f>SUMIFS('Data Fertilizers'!$D:$D,'Data Fertilizers'!$P:$P,$B41,'Data Fertilizers'!$Q:$Q,"&gt;90",'Data Fertilizers'!$Q:$Q,"&lt;=120")</f>
        <v>0</v>
      </c>
      <c r="L41" s="110">
        <f>SUMIFS('Data Fertilizers'!$D:$D,'Data Fertilizers'!$P:$P,$B41,'Data Fertilizers'!$Q:$Q,"&gt;120",'Data Fertilizers'!$Q:$Q,"&lt;=180")</f>
        <v>0</v>
      </c>
      <c r="M41" s="110">
        <f>SUMIFS('Data Fertilizers'!$D:$D,'Data Fertilizers'!$P:$P,$B41,'Data Fertilizers'!$Q:$Q,"&gt;180",'Data Fertilizers'!$Q:$Q,"&lt;=360")</f>
        <v>0</v>
      </c>
      <c r="N41" s="115">
        <f>SUMIFS('Data Fertilizers'!$D:$D,'Data Fertilizers'!$P:$P,$B41,'Data Fertilizers'!$Q:$Q,"&gt;360")</f>
        <v>0</v>
      </c>
      <c r="O41" s="110">
        <f>SUMIFS('Data Fertilizers'!$D:$D,'Data Fertilizers'!$P:$P,$B41,'Data Fertilizers'!$Q:$Q,"&gt;0")</f>
        <v>0</v>
      </c>
      <c r="P41" s="110">
        <f t="shared" si="5"/>
        <v>0</v>
      </c>
      <c r="Q41" s="110">
        <f>SUMIFS('Data Fertilizers'!$D:$D,'Data Fertilizers'!$P:$P,$B41,'Data Fertilizers'!$Q:$Q,"&lt;=0",'Data Fertilizers'!$Q:$Q,"&gt;=-30")</f>
        <v>0</v>
      </c>
      <c r="R41" s="110">
        <f>SUMIFS('Data Fertilizers'!$D:$D,'Data Fertilizers'!$P:$P,$B41,'Data Fertilizers'!$Q:$Q,"&lt;=-31",'Data Fertilizers'!$Q:$Q,"&gt;=-60")</f>
        <v>0</v>
      </c>
      <c r="S41" s="110">
        <f>SUMIFS('Data Fertilizers'!$D:$D,'Data Fertilizers'!$P:$P,$B41,'Data Fertilizers'!$Q:$Q,"&lt;=-61",'Data Fertilizers'!$Q:$Q,"&gt;=-90")</f>
        <v>0</v>
      </c>
      <c r="T41" s="110">
        <f>SUMIFS('Data Fertilizers'!$D:$D,'Data Fertilizers'!$P:$P,$B41,'Data Fertilizers'!$Q:$Q,"&lt;=-91",'Data Fertilizers'!$Q:$Q,"&gt;=-120")</f>
        <v>0</v>
      </c>
      <c r="U41" s="110">
        <f>SUMIFS('Data Fertilizers'!$D:$D,'Data Fertilizers'!$P:$P,$B41,'Data Fertilizers'!$Q:$Q,"&lt;=-121",'Data Fertilizers'!$Q:$Q,"&gt;=-180")</f>
        <v>0</v>
      </c>
      <c r="V41" s="110">
        <f>SUMIFS('Data Fertilizers'!$D:$D,'Data Fertilizers'!$P:$P,$B41,'Data Fertilizers'!$Q:$Q,"&lt;=-181",'Data Fertilizers'!$Q:$Q,"&gt;=-360")</f>
        <v>0</v>
      </c>
      <c r="W41" s="115">
        <f>SUMIFS('Data Fertilizers'!$D:$D,'Data Fertilizers'!$P:$P,$B41,'Data Fertilizers'!$Q:$Q,"&lt;-360")</f>
        <v>0</v>
      </c>
      <c r="X41" s="164">
        <f>SUMIFS('Bad Debt Provision'!AB:AB,'Bad Debt Provision'!B:B,'Painel Fertilizers'!B41)</f>
        <v>0</v>
      </c>
      <c r="Y41" s="111"/>
      <c r="Z41" s="111"/>
      <c r="AA41" s="110">
        <f>_xlfn.XLOOKUP(B41,'Limite de crédito'!C:C,'Limite de crédito'!O:O,0)</f>
        <v>1500000</v>
      </c>
      <c r="AB41" s="110"/>
      <c r="AC41" s="112"/>
      <c r="AD41" s="113"/>
      <c r="AE41" s="113"/>
      <c r="AF41" s="111"/>
      <c r="AG41" s="110">
        <f t="shared" si="8"/>
        <v>1500000</v>
      </c>
    </row>
    <row r="42" spans="2:34" s="97" customFormat="1" x14ac:dyDescent="0.25">
      <c r="B42" s="108" t="s">
        <v>390</v>
      </c>
      <c r="C42" s="169">
        <f>IFERROR(_xlfn.XLOOKUP(B42,'Limite de crédito'!C:C,'Limite de crédito'!L:L),0)</f>
        <v>0</v>
      </c>
      <c r="D42" s="114">
        <v>180</v>
      </c>
      <c r="E42" s="159">
        <f>_xlfn.XLOOKUP(B42,'Limite de crédito'!C:C,'Limite de crédito'!G:G,0)</f>
        <v>350000</v>
      </c>
      <c r="F42" s="109">
        <f t="shared" si="6"/>
        <v>350000</v>
      </c>
      <c r="G42" s="109">
        <f t="shared" si="7"/>
        <v>0</v>
      </c>
      <c r="H42" s="110">
        <f>SUMIFS('Data Fertilizers'!$D:$D,'Data Fertilizers'!$P:$P,$B42,'Data Fertilizers'!$Q:$Q,"&gt;0",'Data Fertilizers'!$Q:$Q,"&lt;=30")</f>
        <v>0</v>
      </c>
      <c r="I42" s="110">
        <f>SUMIFS('Data Fertilizers'!$D:$D,'Data Fertilizers'!$P:$P,$B42,'Data Fertilizers'!$Q:$Q,"&gt;30",'Data Fertilizers'!$Q:$Q,"&lt;=60")</f>
        <v>0</v>
      </c>
      <c r="J42" s="110">
        <f>SUMIFS('Data Fertilizers'!$D:$D,'Data Fertilizers'!$P:$P,$B42,'Data Fertilizers'!$Q:$Q,"&gt;60",'Data Fertilizers'!$Q:$Q,"&lt;=90")</f>
        <v>0</v>
      </c>
      <c r="K42" s="110">
        <f>SUMIFS('Data Fertilizers'!$D:$D,'Data Fertilizers'!$P:$P,$B42,'Data Fertilizers'!$Q:$Q,"&gt;90",'Data Fertilizers'!$Q:$Q,"&lt;=120")</f>
        <v>0</v>
      </c>
      <c r="L42" s="110">
        <f>SUMIFS('Data Fertilizers'!$D:$D,'Data Fertilizers'!$P:$P,$B42,'Data Fertilizers'!$Q:$Q,"&gt;120",'Data Fertilizers'!$Q:$Q,"&lt;=180")</f>
        <v>0</v>
      </c>
      <c r="M42" s="110">
        <f>SUMIFS('Data Fertilizers'!$D:$D,'Data Fertilizers'!$P:$P,$B42,'Data Fertilizers'!$Q:$Q,"&gt;180",'Data Fertilizers'!$Q:$Q,"&lt;=360")</f>
        <v>0</v>
      </c>
      <c r="N42" s="115">
        <f>SUMIFS('Data Fertilizers'!$D:$D,'Data Fertilizers'!$P:$P,$B42,'Data Fertilizers'!$Q:$Q,"&gt;360")</f>
        <v>0</v>
      </c>
      <c r="O42" s="110">
        <f>SUMIFS('Data Fertilizers'!$D:$D,'Data Fertilizers'!$P:$P,$B42,'Data Fertilizers'!$Q:$Q,"&gt;0")</f>
        <v>0</v>
      </c>
      <c r="P42" s="110">
        <f t="shared" si="5"/>
        <v>0</v>
      </c>
      <c r="Q42" s="110">
        <f>SUMIFS('Data Fertilizers'!$D:$D,'Data Fertilizers'!$P:$P,$B42,'Data Fertilizers'!$Q:$Q,"&lt;=0",'Data Fertilizers'!$Q:$Q,"&gt;=-30")</f>
        <v>0</v>
      </c>
      <c r="R42" s="110">
        <f>SUMIFS('Data Fertilizers'!$D:$D,'Data Fertilizers'!$P:$P,$B42,'Data Fertilizers'!$Q:$Q,"&lt;=-31",'Data Fertilizers'!$Q:$Q,"&gt;=-60")</f>
        <v>0</v>
      </c>
      <c r="S42" s="110">
        <f>SUMIFS('Data Fertilizers'!$D:$D,'Data Fertilizers'!$P:$P,$B42,'Data Fertilizers'!$Q:$Q,"&lt;=-61",'Data Fertilizers'!$Q:$Q,"&gt;=-90")</f>
        <v>0</v>
      </c>
      <c r="T42" s="110">
        <f>SUMIFS('Data Fertilizers'!$D:$D,'Data Fertilizers'!$P:$P,$B42,'Data Fertilizers'!$Q:$Q,"&lt;=-91",'Data Fertilizers'!$Q:$Q,"&gt;=-120")</f>
        <v>0</v>
      </c>
      <c r="U42" s="110">
        <f>SUMIFS('Data Fertilizers'!$D:$D,'Data Fertilizers'!$P:$P,$B42,'Data Fertilizers'!$Q:$Q,"&lt;=-121",'Data Fertilizers'!$Q:$Q,"&gt;=-180")</f>
        <v>0</v>
      </c>
      <c r="V42" s="110">
        <f>SUMIFS('Data Fertilizers'!$D:$D,'Data Fertilizers'!$P:$P,$B42,'Data Fertilizers'!$Q:$Q,"&lt;=-181",'Data Fertilizers'!$Q:$Q,"&gt;=-360")</f>
        <v>0</v>
      </c>
      <c r="W42" s="115">
        <f>SUMIFS('Data Fertilizers'!$D:$D,'Data Fertilizers'!$P:$P,$B42,'Data Fertilizers'!$Q:$Q,"&lt;-360")</f>
        <v>0</v>
      </c>
      <c r="X42" s="164">
        <f>SUMIFS('Bad Debt Provision'!AB:AB,'Bad Debt Provision'!B:B,'Painel Fertilizers'!B42)</f>
        <v>0</v>
      </c>
      <c r="Y42" s="111"/>
      <c r="Z42" s="111"/>
      <c r="AA42" s="110">
        <f>_xlfn.XLOOKUP(B42,'Limite de crédito'!C:C,'Limite de crédito'!O:O,0)</f>
        <v>350000</v>
      </c>
      <c r="AB42" s="110"/>
      <c r="AC42" s="112"/>
      <c r="AD42" s="113"/>
      <c r="AE42" s="113"/>
      <c r="AF42" s="111"/>
      <c r="AG42" s="110">
        <f t="shared" ref="AG42" si="9">AA42-G42</f>
        <v>350000</v>
      </c>
    </row>
    <row r="43" spans="2:34" s="97" customFormat="1" ht="12.6" customHeight="1" x14ac:dyDescent="0.25">
      <c r="B43" s="108" t="s">
        <v>432</v>
      </c>
      <c r="C43" s="169">
        <f>IFERROR(_xlfn.XLOOKUP(B43,'Limite de crédito'!C:C,'Limite de crédito'!L:L),0)</f>
        <v>0</v>
      </c>
      <c r="D43" s="114">
        <v>180</v>
      </c>
      <c r="E43" s="159">
        <f>_xlfn.XLOOKUP(B43,'Limite de crédito'!C:C,'Limite de crédito'!G:G,0)</f>
        <v>0</v>
      </c>
      <c r="F43" s="109">
        <f t="shared" ref="F43" si="10">E43-G43</f>
        <v>0</v>
      </c>
      <c r="G43" s="109">
        <f t="shared" ref="G43" si="11">P43+O43</f>
        <v>0</v>
      </c>
      <c r="H43" s="110">
        <f>SUMIFS('Data Fertilizers'!$D:$D,'Data Fertilizers'!$P:$P,$B43,'Data Fertilizers'!$Q:$Q,"&gt;0",'Data Fertilizers'!$Q:$Q,"&lt;=30")</f>
        <v>0</v>
      </c>
      <c r="I43" s="110">
        <f>SUMIFS('Data Fertilizers'!$D:$D,'Data Fertilizers'!$P:$P,$B43,'Data Fertilizers'!$Q:$Q,"&gt;30",'Data Fertilizers'!$Q:$Q,"&lt;=60")</f>
        <v>0</v>
      </c>
      <c r="J43" s="110">
        <f>SUMIFS('Data Fertilizers'!$D:$D,'Data Fertilizers'!$P:$P,$B43,'Data Fertilizers'!$Q:$Q,"&gt;60",'Data Fertilizers'!$Q:$Q,"&lt;=90")</f>
        <v>0</v>
      </c>
      <c r="K43" s="110">
        <f>SUMIFS('Data Fertilizers'!$D:$D,'Data Fertilizers'!$P:$P,$B43,'Data Fertilizers'!$Q:$Q,"&gt;90",'Data Fertilizers'!$Q:$Q,"&lt;=120")</f>
        <v>0</v>
      </c>
      <c r="L43" s="110">
        <f>SUMIFS('Data Fertilizers'!$D:$D,'Data Fertilizers'!$P:$P,$B43,'Data Fertilizers'!$Q:$Q,"&gt;120",'Data Fertilizers'!$Q:$Q,"&lt;=180")</f>
        <v>0</v>
      </c>
      <c r="M43" s="110">
        <f>SUMIFS('Data Fertilizers'!$D:$D,'Data Fertilizers'!$P:$P,$B43,'Data Fertilizers'!$Q:$Q,"&gt;180",'Data Fertilizers'!$Q:$Q,"&lt;=360")</f>
        <v>0</v>
      </c>
      <c r="N43" s="115">
        <f>SUMIFS('Data Fertilizers'!$D:$D,'Data Fertilizers'!$P:$P,$B43,'Data Fertilizers'!$Q:$Q,"&gt;360")</f>
        <v>0</v>
      </c>
      <c r="O43" s="110">
        <f>SUMIFS('Data Fertilizers'!$D:$D,'Data Fertilizers'!$P:$P,$B43,'Data Fertilizers'!$Q:$Q,"&gt;0")</f>
        <v>0</v>
      </c>
      <c r="P43" s="110">
        <f t="shared" si="5"/>
        <v>0</v>
      </c>
      <c r="Q43" s="110">
        <f>SUMIFS('Data Fertilizers'!$D:$D,'Data Fertilizers'!$P:$P,$B43,'Data Fertilizers'!$Q:$Q,"&lt;=0",'Data Fertilizers'!$Q:$Q,"&gt;=-30")</f>
        <v>0</v>
      </c>
      <c r="R43" s="110">
        <f>SUMIFS('Data Fertilizers'!$D:$D,'Data Fertilizers'!$P:$P,$B43,'Data Fertilizers'!$Q:$Q,"&lt;=-31",'Data Fertilizers'!$Q:$Q,"&gt;=-60")</f>
        <v>0</v>
      </c>
      <c r="S43" s="110">
        <f>SUMIFS('Data Fertilizers'!$D:$D,'Data Fertilizers'!$P:$P,$B43,'Data Fertilizers'!$Q:$Q,"&lt;=-61",'Data Fertilizers'!$Q:$Q,"&gt;=-90")</f>
        <v>0</v>
      </c>
      <c r="T43" s="110">
        <f>SUMIFS('Data Fertilizers'!$D:$D,'Data Fertilizers'!$P:$P,$B43,'Data Fertilizers'!$Q:$Q,"&lt;=-91",'Data Fertilizers'!$Q:$Q,"&gt;=-120")</f>
        <v>0</v>
      </c>
      <c r="U43" s="110">
        <f>SUMIFS('Data Fertilizers'!$D:$D,'Data Fertilizers'!$P:$P,$B43,'Data Fertilizers'!$Q:$Q,"&lt;=-121",'Data Fertilizers'!$Q:$Q,"&gt;=-180")</f>
        <v>0</v>
      </c>
      <c r="V43" s="110">
        <f>SUMIFS('Data Fertilizers'!$D:$D,'Data Fertilizers'!$P:$P,$B43,'Data Fertilizers'!$Q:$Q,"&lt;=-181",'Data Fertilizers'!$Q:$Q,"&gt;=-360")</f>
        <v>0</v>
      </c>
      <c r="W43" s="115">
        <f>SUMIFS('Data Fertilizers'!$D:$D,'Data Fertilizers'!$P:$P,$B43,'Data Fertilizers'!$Q:$Q,"&lt;-360")</f>
        <v>0</v>
      </c>
      <c r="X43" s="164">
        <f>SUMIFS('Bad Debt Provision'!AB:AB,'Bad Debt Provision'!B:B,'Painel Fertilizers'!B43)</f>
        <v>0</v>
      </c>
      <c r="Y43" s="111"/>
      <c r="Z43" s="111"/>
      <c r="AA43" s="110">
        <f>_xlfn.XLOOKUP(B43,'Limite de crédito'!C:C,'Limite de crédito'!O:O,0)</f>
        <v>0</v>
      </c>
      <c r="AB43" s="110"/>
      <c r="AC43" s="112"/>
      <c r="AD43" s="113"/>
      <c r="AE43" s="113"/>
      <c r="AF43" s="111"/>
      <c r="AG43" s="110">
        <f t="shared" ref="AG43" si="12">AA43-G43</f>
        <v>0</v>
      </c>
    </row>
    <row r="44" spans="2:34" s="97" customFormat="1" ht="12.6" customHeight="1" x14ac:dyDescent="0.25">
      <c r="B44" s="108" t="s">
        <v>388</v>
      </c>
      <c r="C44" s="169">
        <f>IFERROR(_xlfn.XLOOKUP(B44,'Limite de crédito'!C:C,'Limite de crédito'!L:L),0)</f>
        <v>0</v>
      </c>
      <c r="D44" s="114">
        <v>180</v>
      </c>
      <c r="E44" s="159">
        <f>_xlfn.XLOOKUP(B44,'Limite de crédito'!C:C,'Limite de crédito'!G:G,0)</f>
        <v>0</v>
      </c>
      <c r="F44" s="109">
        <f t="shared" ref="F44" si="13">E44-G44</f>
        <v>0</v>
      </c>
      <c r="G44" s="109">
        <f t="shared" ref="G44" si="14">P44+O44</f>
        <v>0</v>
      </c>
      <c r="H44" s="110">
        <f>SUMIFS('Data Fertilizers'!$D:$D,'Data Fertilizers'!$P:$P,$B44,'Data Fertilizers'!$Q:$Q,"&gt;0",'Data Fertilizers'!$Q:$Q,"&lt;=30")</f>
        <v>0</v>
      </c>
      <c r="I44" s="110">
        <f>SUMIFS('Data Fertilizers'!$D:$D,'Data Fertilizers'!$P:$P,$B44,'Data Fertilizers'!$Q:$Q,"&gt;30",'Data Fertilizers'!$Q:$Q,"&lt;=60")</f>
        <v>0</v>
      </c>
      <c r="J44" s="110">
        <f>SUMIFS('Data Fertilizers'!$D:$D,'Data Fertilizers'!$P:$P,$B44,'Data Fertilizers'!$Q:$Q,"&gt;60",'Data Fertilizers'!$Q:$Q,"&lt;=90")</f>
        <v>0</v>
      </c>
      <c r="K44" s="110">
        <f>SUMIFS('Data Fertilizers'!$D:$D,'Data Fertilizers'!$P:$P,$B44,'Data Fertilizers'!$Q:$Q,"&gt;90",'Data Fertilizers'!$Q:$Q,"&lt;=120")</f>
        <v>0</v>
      </c>
      <c r="L44" s="110">
        <f>SUMIFS('Data Fertilizers'!$D:$D,'Data Fertilizers'!$P:$P,$B44,'Data Fertilizers'!$Q:$Q,"&gt;120",'Data Fertilizers'!$Q:$Q,"&lt;=180")</f>
        <v>0</v>
      </c>
      <c r="M44" s="110">
        <f>SUMIFS('Data Fertilizers'!$D:$D,'Data Fertilizers'!$P:$P,$B44,'Data Fertilizers'!$Q:$Q,"&gt;180",'Data Fertilizers'!$Q:$Q,"&lt;=360")</f>
        <v>0</v>
      </c>
      <c r="N44" s="115">
        <f>SUMIFS('Data Fertilizers'!$D:$D,'Data Fertilizers'!$P:$P,$B44,'Data Fertilizers'!$Q:$Q,"&gt;360")</f>
        <v>0</v>
      </c>
      <c r="O44" s="110">
        <f>SUMIFS('Data Fertilizers'!$D:$D,'Data Fertilizers'!$P:$P,$B44,'Data Fertilizers'!$Q:$Q,"&gt;0")</f>
        <v>0</v>
      </c>
      <c r="P44" s="110">
        <f t="shared" si="5"/>
        <v>0</v>
      </c>
      <c r="Q44" s="110">
        <f>SUMIFS('Data Fertilizers'!$D:$D,'Data Fertilizers'!$P:$P,$B44,'Data Fertilizers'!$Q:$Q,"&lt;=0",'Data Fertilizers'!$Q:$Q,"&gt;=-30")</f>
        <v>0</v>
      </c>
      <c r="R44" s="110">
        <f>SUMIFS('Data Fertilizers'!$D:$D,'Data Fertilizers'!$P:$P,$B44,'Data Fertilizers'!$Q:$Q,"&lt;=-31",'Data Fertilizers'!$Q:$Q,"&gt;=-60")</f>
        <v>0</v>
      </c>
      <c r="S44" s="110">
        <f>SUMIFS('Data Fertilizers'!$D:$D,'Data Fertilizers'!$P:$P,$B44,'Data Fertilizers'!$Q:$Q,"&lt;=-61",'Data Fertilizers'!$Q:$Q,"&gt;=-90")</f>
        <v>0</v>
      </c>
      <c r="T44" s="110">
        <f>SUMIFS('Data Fertilizers'!$D:$D,'Data Fertilizers'!$P:$P,$B44,'Data Fertilizers'!$Q:$Q,"&lt;=-91",'Data Fertilizers'!$Q:$Q,"&gt;=-120")</f>
        <v>0</v>
      </c>
      <c r="U44" s="110">
        <f>SUMIFS('Data Fertilizers'!$D:$D,'Data Fertilizers'!$P:$P,$B44,'Data Fertilizers'!$Q:$Q,"&lt;=-121",'Data Fertilizers'!$Q:$Q,"&gt;=-180")</f>
        <v>0</v>
      </c>
      <c r="V44" s="110">
        <f>SUMIFS('Data Fertilizers'!$D:$D,'Data Fertilizers'!$P:$P,$B44,'Data Fertilizers'!$Q:$Q,"&lt;=-181",'Data Fertilizers'!$Q:$Q,"&gt;=-360")</f>
        <v>0</v>
      </c>
      <c r="W44" s="115">
        <f>SUMIFS('Data Fertilizers'!$D:$D,'Data Fertilizers'!$P:$P,$B44,'Data Fertilizers'!$Q:$Q,"&lt;-360")</f>
        <v>0</v>
      </c>
      <c r="X44" s="164">
        <f>SUMIFS('Bad Debt Provision'!AB:AB,'Bad Debt Provision'!B:B,'Painel Fertilizers'!B44)</f>
        <v>0</v>
      </c>
      <c r="Y44" s="111"/>
      <c r="Z44" s="111"/>
      <c r="AA44" s="110">
        <f>_xlfn.XLOOKUP(B44,'Limite de crédito'!C:C,'Limite de crédito'!O:O,0)</f>
        <v>0</v>
      </c>
      <c r="AB44" s="110"/>
      <c r="AC44" s="112"/>
      <c r="AD44" s="113"/>
      <c r="AE44" s="113"/>
      <c r="AF44" s="111"/>
      <c r="AG44" s="110">
        <f t="shared" ref="AG44" si="15">AA44-G44</f>
        <v>0</v>
      </c>
    </row>
    <row r="45" spans="2:34" s="97" customFormat="1" ht="12.6" customHeight="1" x14ac:dyDescent="0.25">
      <c r="B45" s="108" t="s">
        <v>466</v>
      </c>
      <c r="C45" s="169" t="str">
        <f>IFERROR(_xlfn.XLOOKUP(B45,'Limite de crédito'!C:C,'Limite de crédito'!L:L),0)</f>
        <v>B</v>
      </c>
      <c r="D45" s="114">
        <v>180</v>
      </c>
      <c r="E45" s="159">
        <f>_xlfn.XLOOKUP(B45,'Limite de crédito'!C:C,'Limite de crédito'!G:G,0)</f>
        <v>1000000</v>
      </c>
      <c r="F45" s="109">
        <f t="shared" ref="F45" si="16">E45-G45</f>
        <v>700357.91999999993</v>
      </c>
      <c r="G45" s="109">
        <f t="shared" ref="G45" si="17">P45+O45</f>
        <v>299642.08</v>
      </c>
      <c r="H45" s="110">
        <f>SUMIFS('Data Fertilizers'!$D:$D,'Data Fertilizers'!$P:$P,$B45,'Data Fertilizers'!$Q:$Q,"&gt;0",'Data Fertilizers'!$Q:$Q,"&lt;=30")</f>
        <v>0</v>
      </c>
      <c r="I45" s="110">
        <f>SUMIFS('Data Fertilizers'!$D:$D,'Data Fertilizers'!$P:$P,$B45,'Data Fertilizers'!$Q:$Q,"&gt;30",'Data Fertilizers'!$Q:$Q,"&lt;=60")</f>
        <v>0</v>
      </c>
      <c r="J45" s="110">
        <f>SUMIFS('Data Fertilizers'!$D:$D,'Data Fertilizers'!$P:$P,$B45,'Data Fertilizers'!$Q:$Q,"&gt;60",'Data Fertilizers'!$Q:$Q,"&lt;=90")</f>
        <v>0</v>
      </c>
      <c r="K45" s="110">
        <f>SUMIFS('Data Fertilizers'!$D:$D,'Data Fertilizers'!$P:$P,$B45,'Data Fertilizers'!$Q:$Q,"&gt;90",'Data Fertilizers'!$Q:$Q,"&lt;=120")</f>
        <v>0</v>
      </c>
      <c r="L45" s="110">
        <f>SUMIFS('Data Fertilizers'!$D:$D,'Data Fertilizers'!$P:$P,$B45,'Data Fertilizers'!$Q:$Q,"&gt;120",'Data Fertilizers'!$Q:$Q,"&lt;=180")</f>
        <v>0</v>
      </c>
      <c r="M45" s="110">
        <f>SUMIFS('Data Fertilizers'!$D:$D,'Data Fertilizers'!$P:$P,$B45,'Data Fertilizers'!$Q:$Q,"&gt;180",'Data Fertilizers'!$Q:$Q,"&lt;=360")</f>
        <v>0</v>
      </c>
      <c r="N45" s="115">
        <f>SUMIFS('Data Fertilizers'!$D:$D,'Data Fertilizers'!$P:$P,$B45,'Data Fertilizers'!$Q:$Q,"&gt;360")</f>
        <v>0</v>
      </c>
      <c r="O45" s="110">
        <f>SUMIFS('Data Fertilizers'!$D:$D,'Data Fertilizers'!$P:$P,$B45,'Data Fertilizers'!$Q:$Q,"&gt;0")</f>
        <v>0</v>
      </c>
      <c r="P45" s="110">
        <f t="shared" ref="P45" si="18">SUM(Q45:W45)</f>
        <v>299642.08</v>
      </c>
      <c r="Q45" s="110">
        <f>SUMIFS('Data Fertilizers'!$D:$D,'Data Fertilizers'!$P:$P,$B45,'Data Fertilizers'!$Q:$Q,"&lt;=0",'Data Fertilizers'!$Q:$Q,"&gt;=-30")</f>
        <v>0</v>
      </c>
      <c r="R45" s="110">
        <f>SUMIFS('Data Fertilizers'!$D:$D,'Data Fertilizers'!$P:$P,$B45,'Data Fertilizers'!$Q:$Q,"&lt;=-31",'Data Fertilizers'!$Q:$Q,"&gt;=-60")</f>
        <v>0</v>
      </c>
      <c r="S45" s="110">
        <f>SUMIFS('Data Fertilizers'!$D:$D,'Data Fertilizers'!$P:$P,$B45,'Data Fertilizers'!$Q:$Q,"&lt;=-61",'Data Fertilizers'!$Q:$Q,"&gt;=-90")</f>
        <v>0</v>
      </c>
      <c r="T45" s="110">
        <f>SUMIFS('Data Fertilizers'!$D:$D,'Data Fertilizers'!$P:$P,$B45,'Data Fertilizers'!$Q:$Q,"&lt;=-91",'Data Fertilizers'!$Q:$Q,"&gt;=-120")</f>
        <v>0</v>
      </c>
      <c r="U45" s="110">
        <f>SUMIFS('Data Fertilizers'!$D:$D,'Data Fertilizers'!$P:$P,$B45,'Data Fertilizers'!$Q:$Q,"&lt;=-121",'Data Fertilizers'!$Q:$Q,"&gt;=-180")</f>
        <v>299642.08</v>
      </c>
      <c r="V45" s="110">
        <f>SUMIFS('Data Fertilizers'!$D:$D,'Data Fertilizers'!$P:$P,$B45,'Data Fertilizers'!$Q:$Q,"&lt;=-181",'Data Fertilizers'!$Q:$Q,"&gt;=-360")</f>
        <v>0</v>
      </c>
      <c r="W45" s="115">
        <f>SUMIFS('Data Fertilizers'!$D:$D,'Data Fertilizers'!$P:$P,$B45,'Data Fertilizers'!$Q:$Q,"&lt;-360")</f>
        <v>0</v>
      </c>
      <c r="X45" s="164">
        <f>SUMIFS('Bad Debt Provision'!AB:AB,'Bad Debt Provision'!B:B,'Painel Fertilizers'!B45)</f>
        <v>0</v>
      </c>
      <c r="Y45" s="111"/>
      <c r="Z45" s="111"/>
      <c r="AA45" s="110">
        <f>_xlfn.XLOOKUP(B45,'Limite de crédito'!C:C,'Limite de crédito'!O:O,0)</f>
        <v>1000000</v>
      </c>
      <c r="AB45" s="110"/>
      <c r="AC45" s="112"/>
      <c r="AD45" s="113"/>
      <c r="AE45" s="113"/>
      <c r="AF45" s="111"/>
      <c r="AG45" s="110">
        <f>AA45-G45</f>
        <v>700357.91999999993</v>
      </c>
    </row>
    <row r="46" spans="2:34" s="97" customFormat="1" ht="12.6" customHeight="1" x14ac:dyDescent="0.25">
      <c r="B46" s="108" t="s">
        <v>331</v>
      </c>
      <c r="C46" s="169">
        <f>IFERROR(_xlfn.XLOOKUP(B46,'Limite de crédito'!C:C,'Limite de crédito'!L:L),0)</f>
        <v>0</v>
      </c>
      <c r="D46" s="114">
        <v>180</v>
      </c>
      <c r="E46" s="159">
        <f>_xlfn.XLOOKUP(B46,'Limite de crédito'!C:C,'Limite de crédito'!G:G,0)</f>
        <v>0</v>
      </c>
      <c r="F46" s="109">
        <f t="shared" ref="F46" si="19">E46-G46</f>
        <v>0</v>
      </c>
      <c r="G46" s="109">
        <f t="shared" ref="G46" si="20">P46+O46</f>
        <v>0</v>
      </c>
      <c r="H46" s="110">
        <f>SUMIFS('Data Fertilizers'!$D:$D,'Data Fertilizers'!$P:$P,$B46,'Data Fertilizers'!$Q:$Q,"&gt;0",'Data Fertilizers'!$Q:$Q,"&lt;=30")</f>
        <v>0</v>
      </c>
      <c r="I46" s="110">
        <f>SUMIFS('Data Fertilizers'!$D:$D,'Data Fertilizers'!$P:$P,$B46,'Data Fertilizers'!$Q:$Q,"&gt;30",'Data Fertilizers'!$Q:$Q,"&lt;=60")</f>
        <v>0</v>
      </c>
      <c r="J46" s="110">
        <f>SUMIFS('Data Fertilizers'!$D:$D,'Data Fertilizers'!$P:$P,$B46,'Data Fertilizers'!$Q:$Q,"&gt;60",'Data Fertilizers'!$Q:$Q,"&lt;=90")</f>
        <v>0</v>
      </c>
      <c r="K46" s="110">
        <f>SUMIFS('Data Fertilizers'!$D:$D,'Data Fertilizers'!$P:$P,$B46,'Data Fertilizers'!$Q:$Q,"&gt;90",'Data Fertilizers'!$Q:$Q,"&lt;=120")</f>
        <v>0</v>
      </c>
      <c r="L46" s="110">
        <f>SUMIFS('Data Fertilizers'!$D:$D,'Data Fertilizers'!$P:$P,$B46,'Data Fertilizers'!$Q:$Q,"&gt;120",'Data Fertilizers'!$Q:$Q,"&lt;=180")</f>
        <v>0</v>
      </c>
      <c r="M46" s="110">
        <f>SUMIFS('Data Fertilizers'!$D:$D,'Data Fertilizers'!$P:$P,$B46,'Data Fertilizers'!$Q:$Q,"&gt;180",'Data Fertilizers'!$Q:$Q,"&lt;=360")</f>
        <v>0</v>
      </c>
      <c r="N46" s="115">
        <f>SUMIFS('Data Fertilizers'!$D:$D,'Data Fertilizers'!$P:$P,$B46,'Data Fertilizers'!$Q:$Q,"&gt;360")</f>
        <v>0</v>
      </c>
      <c r="O46" s="110">
        <f>SUMIFS('Data Fertilizers'!$D:$D,'Data Fertilizers'!$P:$P,$B46,'Data Fertilizers'!$Q:$Q,"&gt;0")</f>
        <v>0</v>
      </c>
      <c r="P46" s="110">
        <f t="shared" ref="P46" si="21">SUM(Q46:W46)</f>
        <v>0</v>
      </c>
      <c r="Q46" s="110">
        <f>SUMIFS('Data Fertilizers'!$D:$D,'Data Fertilizers'!$P:$P,$B46,'Data Fertilizers'!$Q:$Q,"&lt;=0",'Data Fertilizers'!$Q:$Q,"&gt;=-30")</f>
        <v>0</v>
      </c>
      <c r="R46" s="110">
        <f>SUMIFS('Data Fertilizers'!$D:$D,'Data Fertilizers'!$P:$P,$B46,'Data Fertilizers'!$Q:$Q,"&lt;=-31",'Data Fertilizers'!$Q:$Q,"&gt;=-60")</f>
        <v>0</v>
      </c>
      <c r="S46" s="110">
        <f>SUMIFS('Data Fertilizers'!$D:$D,'Data Fertilizers'!$P:$P,$B46,'Data Fertilizers'!$Q:$Q,"&lt;=-61",'Data Fertilizers'!$Q:$Q,"&gt;=-90")</f>
        <v>0</v>
      </c>
      <c r="T46" s="110">
        <f>SUMIFS('Data Fertilizers'!$D:$D,'Data Fertilizers'!$P:$P,$B46,'Data Fertilizers'!$Q:$Q,"&lt;=-91",'Data Fertilizers'!$Q:$Q,"&gt;=-120")</f>
        <v>0</v>
      </c>
      <c r="U46" s="110">
        <f>SUMIFS('Data Fertilizers'!$D:$D,'Data Fertilizers'!$P:$P,$B46,'Data Fertilizers'!$Q:$Q,"&lt;=-121",'Data Fertilizers'!$Q:$Q,"&gt;=-180")</f>
        <v>0</v>
      </c>
      <c r="V46" s="110">
        <f>SUMIFS('Data Fertilizers'!$D:$D,'Data Fertilizers'!$P:$P,$B46,'Data Fertilizers'!$Q:$Q,"&lt;=-181",'Data Fertilizers'!$Q:$Q,"&gt;=-360")</f>
        <v>0</v>
      </c>
      <c r="W46" s="115">
        <f>SUMIFS('Data Fertilizers'!$D:$D,'Data Fertilizers'!$P:$P,$B46,'Data Fertilizers'!$Q:$Q,"&lt;-360")</f>
        <v>0</v>
      </c>
      <c r="X46" s="164">
        <f>SUMIFS('Bad Debt Provision'!AB:AB,'Bad Debt Provision'!B:B,'Painel Fertilizers'!B46)</f>
        <v>0</v>
      </c>
      <c r="Y46" s="111"/>
      <c r="Z46" s="111"/>
      <c r="AA46" s="110">
        <f>_xlfn.XLOOKUP(B46,'Limite de crédito'!C:C,'Limite de crédito'!O:O,0)</f>
        <v>0</v>
      </c>
      <c r="AB46" s="110"/>
      <c r="AC46" s="112"/>
      <c r="AD46" s="113"/>
      <c r="AE46" s="113"/>
      <c r="AF46" s="111"/>
      <c r="AG46" s="110">
        <f>AA46-G46</f>
        <v>0</v>
      </c>
    </row>
    <row r="47" spans="2:34" s="97" customFormat="1" ht="13.2" customHeight="1" x14ac:dyDescent="0.25">
      <c r="B47" s="108" t="s">
        <v>332</v>
      </c>
      <c r="C47" s="169">
        <f>IFERROR(_xlfn.XLOOKUP(B47,'Limite de crédito'!C:C,'Limite de crédito'!L:L),0)</f>
        <v>0</v>
      </c>
      <c r="D47" s="114">
        <v>180</v>
      </c>
      <c r="E47" s="159">
        <f>_xlfn.XLOOKUP(B47,'Limite de crédito'!C:C,'Limite de crédito'!G:G,0)</f>
        <v>0</v>
      </c>
      <c r="F47" s="109">
        <f t="shared" ref="F47" si="22">E47-G47</f>
        <v>0</v>
      </c>
      <c r="G47" s="109">
        <f t="shared" ref="G47" si="23">P47+O47</f>
        <v>0</v>
      </c>
      <c r="H47" s="110">
        <f>SUMIFS('Data Fertilizers'!$D:$D,'Data Fertilizers'!$P:$P,$B47,'Data Fertilizers'!$Q:$Q,"&gt;0",'Data Fertilizers'!$Q:$Q,"&lt;=30")</f>
        <v>0</v>
      </c>
      <c r="I47" s="110">
        <f>SUMIFS('Data Fertilizers'!$D:$D,'Data Fertilizers'!$P:$P,$B47,'Data Fertilizers'!$Q:$Q,"&gt;30",'Data Fertilizers'!$Q:$Q,"&lt;=60")</f>
        <v>0</v>
      </c>
      <c r="J47" s="110">
        <f>SUMIFS('Data Fertilizers'!$D:$D,'Data Fertilizers'!$P:$P,$B47,'Data Fertilizers'!$Q:$Q,"&gt;60",'Data Fertilizers'!$Q:$Q,"&lt;=90")</f>
        <v>0</v>
      </c>
      <c r="K47" s="110">
        <f>SUMIFS('Data Fertilizers'!$D:$D,'Data Fertilizers'!$P:$P,$B47,'Data Fertilizers'!$Q:$Q,"&gt;90",'Data Fertilizers'!$Q:$Q,"&lt;=120")</f>
        <v>0</v>
      </c>
      <c r="L47" s="110">
        <f>SUMIFS('Data Fertilizers'!$D:$D,'Data Fertilizers'!$P:$P,$B47,'Data Fertilizers'!$Q:$Q,"&gt;120",'Data Fertilizers'!$Q:$Q,"&lt;=180")</f>
        <v>0</v>
      </c>
      <c r="M47" s="110">
        <f>SUMIFS('Data Fertilizers'!$D:$D,'Data Fertilizers'!$P:$P,$B47,'Data Fertilizers'!$Q:$Q,"&gt;180",'Data Fertilizers'!$Q:$Q,"&lt;=360")</f>
        <v>0</v>
      </c>
      <c r="N47" s="115">
        <f>SUMIFS('Data Fertilizers'!$D:$D,'Data Fertilizers'!$P:$P,$B47,'Data Fertilizers'!$Q:$Q,"&gt;360")</f>
        <v>0</v>
      </c>
      <c r="O47" s="110">
        <f>SUMIFS('Data Fertilizers'!$D:$D,'Data Fertilizers'!$P:$P,$B47,'Data Fertilizers'!$Q:$Q,"&gt;0")</f>
        <v>0</v>
      </c>
      <c r="P47" s="110">
        <f t="shared" ref="P47" si="24">SUM(Q47:W47)</f>
        <v>0</v>
      </c>
      <c r="Q47" s="110">
        <f>SUMIFS('Data Fertilizers'!$D:$D,'Data Fertilizers'!$P:$P,$B47,'Data Fertilizers'!$Q:$Q,"&lt;=0",'Data Fertilizers'!$Q:$Q,"&gt;=-30")</f>
        <v>0</v>
      </c>
      <c r="R47" s="110">
        <f>SUMIFS('Data Fertilizers'!$D:$D,'Data Fertilizers'!$P:$P,$B47,'Data Fertilizers'!$Q:$Q,"&lt;=-31",'Data Fertilizers'!$Q:$Q,"&gt;=-60")</f>
        <v>0</v>
      </c>
      <c r="S47" s="110">
        <f>SUMIFS('Data Fertilizers'!$D:$D,'Data Fertilizers'!$P:$P,$B47,'Data Fertilizers'!$Q:$Q,"&lt;=-61",'Data Fertilizers'!$Q:$Q,"&gt;=-90")</f>
        <v>0</v>
      </c>
      <c r="T47" s="110">
        <f>SUMIFS('Data Fertilizers'!$D:$D,'Data Fertilizers'!$P:$P,$B47,'Data Fertilizers'!$Q:$Q,"&lt;=-91",'Data Fertilizers'!$Q:$Q,"&gt;=-120")</f>
        <v>0</v>
      </c>
      <c r="U47" s="110">
        <f>SUMIFS('Data Fertilizers'!$D:$D,'Data Fertilizers'!$P:$P,$B47,'Data Fertilizers'!$Q:$Q,"&lt;=-121",'Data Fertilizers'!$Q:$Q,"&gt;=-180")</f>
        <v>0</v>
      </c>
      <c r="V47" s="110">
        <f>SUMIFS('Data Fertilizers'!$D:$D,'Data Fertilizers'!$P:$P,$B47,'Data Fertilizers'!$Q:$Q,"&lt;=-181",'Data Fertilizers'!$Q:$Q,"&gt;=-360")</f>
        <v>0</v>
      </c>
      <c r="W47" s="115">
        <f>SUMIFS('Data Fertilizers'!$D:$D,'Data Fertilizers'!$P:$P,$B47,'Data Fertilizers'!$Q:$Q,"&lt;-360")</f>
        <v>0</v>
      </c>
      <c r="X47" s="164">
        <f>SUMIFS('Bad Debt Provision'!AB:AB,'Bad Debt Provision'!B:B,'Painel Fertilizers'!B47)</f>
        <v>0</v>
      </c>
      <c r="Y47" s="111"/>
      <c r="Z47" s="111"/>
      <c r="AA47" s="110">
        <f>_xlfn.XLOOKUP(B47,'Limite de crédito'!C:C,'Limite de crédito'!O:O,0)</f>
        <v>0</v>
      </c>
      <c r="AB47" s="110"/>
      <c r="AC47" s="112"/>
      <c r="AD47" s="113"/>
      <c r="AE47" s="113"/>
      <c r="AF47" s="111"/>
      <c r="AG47" s="110">
        <f>AA47-G47</f>
        <v>0</v>
      </c>
    </row>
    <row r="48" spans="2:34" s="97" customFormat="1" ht="12.6" customHeight="1" x14ac:dyDescent="0.25">
      <c r="B48" s="108" t="s">
        <v>494</v>
      </c>
      <c r="C48" s="169" t="str">
        <f>IFERROR(_xlfn.XLOOKUP(B48,'Limite de crédito'!C:C,'Limite de crédito'!L:L),0)</f>
        <v>E</v>
      </c>
      <c r="D48" s="114">
        <v>180</v>
      </c>
      <c r="E48" s="159">
        <f>_xlfn.XLOOKUP(B48,'Limite de crédito'!C:C,'Limite de crédito'!G:G,0)</f>
        <v>500000</v>
      </c>
      <c r="F48" s="109">
        <f t="shared" ref="F48" si="25">E48-G48</f>
        <v>-239540.06000000006</v>
      </c>
      <c r="G48" s="109">
        <f t="shared" ref="G48" si="26">P48+O48</f>
        <v>739540.06</v>
      </c>
      <c r="H48" s="110">
        <f>SUMIFS('Data Fertilizers'!$D:$D,'Data Fertilizers'!$P:$P,$B48,'Data Fertilizers'!$Q:$Q,"&gt;0",'Data Fertilizers'!$Q:$Q,"&lt;=30")</f>
        <v>0</v>
      </c>
      <c r="I48" s="110">
        <f>SUMIFS('Data Fertilizers'!$D:$D,'Data Fertilizers'!$P:$P,$B48,'Data Fertilizers'!$Q:$Q,"&gt;30",'Data Fertilizers'!$Q:$Q,"&lt;=60")</f>
        <v>0</v>
      </c>
      <c r="J48" s="110">
        <f>SUMIFS('Data Fertilizers'!$D:$D,'Data Fertilizers'!$P:$P,$B48,'Data Fertilizers'!$Q:$Q,"&gt;60",'Data Fertilizers'!$Q:$Q,"&lt;=90")</f>
        <v>0</v>
      </c>
      <c r="K48" s="110">
        <f>SUMIFS('Data Fertilizers'!$D:$D,'Data Fertilizers'!$P:$P,$B48,'Data Fertilizers'!$Q:$Q,"&gt;90",'Data Fertilizers'!$Q:$Q,"&lt;=120")</f>
        <v>0</v>
      </c>
      <c r="L48" s="110">
        <f>SUMIFS('Data Fertilizers'!$D:$D,'Data Fertilizers'!$P:$P,$B48,'Data Fertilizers'!$Q:$Q,"&gt;120",'Data Fertilizers'!$Q:$Q,"&lt;=180")</f>
        <v>0</v>
      </c>
      <c r="M48" s="110">
        <f>SUMIFS('Data Fertilizers'!$D:$D,'Data Fertilizers'!$P:$P,$B48,'Data Fertilizers'!$Q:$Q,"&gt;180",'Data Fertilizers'!$Q:$Q,"&lt;=360")</f>
        <v>0</v>
      </c>
      <c r="N48" s="115">
        <f>SUMIFS('Data Fertilizers'!$D:$D,'Data Fertilizers'!$P:$P,$B48,'Data Fertilizers'!$Q:$Q,"&gt;360")</f>
        <v>0</v>
      </c>
      <c r="O48" s="110">
        <f>SUMIFS('Data Fertilizers'!$D:$D,'Data Fertilizers'!$P:$P,$B48,'Data Fertilizers'!$Q:$Q,"&gt;0")</f>
        <v>0</v>
      </c>
      <c r="P48" s="110">
        <f t="shared" ref="P48" si="27">SUM(Q48:W48)</f>
        <v>739540.06</v>
      </c>
      <c r="Q48" s="110">
        <f>SUMIFS('Data Fertilizers'!$D:$D,'Data Fertilizers'!$P:$P,$B48,'Data Fertilizers'!$Q:$Q,"&lt;=0",'Data Fertilizers'!$Q:$Q,"&gt;=-30")</f>
        <v>0</v>
      </c>
      <c r="R48" s="110">
        <f>SUMIFS('Data Fertilizers'!$D:$D,'Data Fertilizers'!$P:$P,$B48,'Data Fertilizers'!$Q:$Q,"&lt;=-31",'Data Fertilizers'!$Q:$Q,"&gt;=-60")</f>
        <v>0</v>
      </c>
      <c r="S48" s="110">
        <f>SUMIFS('Data Fertilizers'!$D:$D,'Data Fertilizers'!$P:$P,$B48,'Data Fertilizers'!$Q:$Q,"&lt;=-61",'Data Fertilizers'!$Q:$Q,"&gt;=-90")</f>
        <v>739540.06</v>
      </c>
      <c r="T48" s="110">
        <f>SUMIFS('Data Fertilizers'!$D:$D,'Data Fertilizers'!$P:$P,$B48,'Data Fertilizers'!$Q:$Q,"&lt;=-91",'Data Fertilizers'!$Q:$Q,"&gt;=-120")</f>
        <v>0</v>
      </c>
      <c r="U48" s="110">
        <f>SUMIFS('Data Fertilizers'!$D:$D,'Data Fertilizers'!$P:$P,$B48,'Data Fertilizers'!$Q:$Q,"&lt;=-121",'Data Fertilizers'!$Q:$Q,"&gt;=-180")</f>
        <v>0</v>
      </c>
      <c r="V48" s="110">
        <f>SUMIFS('Data Fertilizers'!$D:$D,'Data Fertilizers'!$P:$P,$B48,'Data Fertilizers'!$Q:$Q,"&lt;=-181",'Data Fertilizers'!$Q:$Q,"&gt;=-360")</f>
        <v>0</v>
      </c>
      <c r="W48" s="115">
        <f>SUMIFS('Data Fertilizers'!$D:$D,'Data Fertilizers'!$P:$P,$B48,'Data Fertilizers'!$Q:$Q,"&lt;-360")</f>
        <v>0</v>
      </c>
      <c r="X48" s="164">
        <f>SUMIFS('Bad Debt Provision'!AB:AB,'Bad Debt Provision'!B:B,'Painel Fertilizers'!B48)</f>
        <v>0</v>
      </c>
      <c r="Y48" s="111"/>
      <c r="Z48" s="111"/>
      <c r="AA48" s="110">
        <f>_xlfn.XLOOKUP(B48,'Limite de crédito'!C:C,'Limite de crédito'!O:O,0)</f>
        <v>500000</v>
      </c>
      <c r="AB48" s="110"/>
      <c r="AC48" s="112"/>
      <c r="AD48" s="113"/>
      <c r="AE48" s="113"/>
      <c r="AF48" s="111"/>
      <c r="AG48" s="110">
        <f t="shared" ref="AG48" si="28">AA48-G48</f>
        <v>-239540.06000000006</v>
      </c>
    </row>
    <row r="49" spans="2:33" s="97" customFormat="1" ht="12.6" customHeight="1" x14ac:dyDescent="0.25">
      <c r="B49" s="108" t="s">
        <v>549</v>
      </c>
      <c r="C49" s="169">
        <f>IFERROR(_xlfn.XLOOKUP(B49,'Limite de crédito'!C:C,'Limite de crédito'!L:L),0)</f>
        <v>0</v>
      </c>
      <c r="D49" s="114">
        <v>180</v>
      </c>
      <c r="E49" s="159">
        <f>_xlfn.XLOOKUP(B49,'Limite de crédito'!C:C,'Limite de crédito'!G:G,0)</f>
        <v>0</v>
      </c>
      <c r="F49" s="109">
        <f t="shared" ref="F49" si="29">E49-G49</f>
        <v>0</v>
      </c>
      <c r="G49" s="109">
        <f t="shared" ref="G49" si="30">P49+O49</f>
        <v>0</v>
      </c>
      <c r="H49" s="110">
        <f>SUMIFS('Data Fertilizers'!$D:$D,'Data Fertilizers'!$P:$P,$B49,'Data Fertilizers'!$Q:$Q,"&gt;0",'Data Fertilizers'!$Q:$Q,"&lt;=30")</f>
        <v>0</v>
      </c>
      <c r="I49" s="110">
        <f>SUMIFS('Data Fertilizers'!$D:$D,'Data Fertilizers'!$P:$P,$B49,'Data Fertilizers'!$Q:$Q,"&gt;30",'Data Fertilizers'!$Q:$Q,"&lt;=60")</f>
        <v>0</v>
      </c>
      <c r="J49" s="110">
        <f>SUMIFS('Data Fertilizers'!$D:$D,'Data Fertilizers'!$P:$P,$B49,'Data Fertilizers'!$Q:$Q,"&gt;60",'Data Fertilizers'!$Q:$Q,"&lt;=90")</f>
        <v>0</v>
      </c>
      <c r="K49" s="110">
        <f>SUMIFS('Data Fertilizers'!$D:$D,'Data Fertilizers'!$P:$P,$B49,'Data Fertilizers'!$Q:$Q,"&gt;90",'Data Fertilizers'!$Q:$Q,"&lt;=120")</f>
        <v>0</v>
      </c>
      <c r="L49" s="110">
        <f>SUMIFS('Data Fertilizers'!$D:$D,'Data Fertilizers'!$P:$P,$B49,'Data Fertilizers'!$Q:$Q,"&gt;120",'Data Fertilizers'!$Q:$Q,"&lt;=180")</f>
        <v>0</v>
      </c>
      <c r="M49" s="110">
        <f>SUMIFS('Data Fertilizers'!$D:$D,'Data Fertilizers'!$P:$P,$B49,'Data Fertilizers'!$Q:$Q,"&gt;180",'Data Fertilizers'!$Q:$Q,"&lt;=360")</f>
        <v>0</v>
      </c>
      <c r="N49" s="115">
        <f>SUMIFS('Data Fertilizers'!$D:$D,'Data Fertilizers'!$P:$P,$B49,'Data Fertilizers'!$Q:$Q,"&gt;360")</f>
        <v>0</v>
      </c>
      <c r="O49" s="110">
        <f>SUMIFS('Data Fertilizers'!$D:$D,'Data Fertilizers'!$P:$P,$B49,'Data Fertilizers'!$Q:$Q,"&gt;0")</f>
        <v>0</v>
      </c>
      <c r="P49" s="110">
        <f t="shared" ref="P49" si="31">SUM(Q49:W49)</f>
        <v>0</v>
      </c>
      <c r="Q49" s="110">
        <f>SUMIFS('Data Fertilizers'!$D:$D,'Data Fertilizers'!$P:$P,$B49,'Data Fertilizers'!$Q:$Q,"&lt;=0",'Data Fertilizers'!$Q:$Q,"&gt;=-30")</f>
        <v>0</v>
      </c>
      <c r="R49" s="110">
        <f>SUMIFS('Data Fertilizers'!$D:$D,'Data Fertilizers'!$P:$P,$B49,'Data Fertilizers'!$Q:$Q,"&lt;=-31",'Data Fertilizers'!$Q:$Q,"&gt;=-60")</f>
        <v>0</v>
      </c>
      <c r="S49" s="110">
        <f>SUMIFS('Data Fertilizers'!$D:$D,'Data Fertilizers'!$P:$P,$B49,'Data Fertilizers'!$Q:$Q,"&lt;=-61",'Data Fertilizers'!$Q:$Q,"&gt;=-90")</f>
        <v>0</v>
      </c>
      <c r="T49" s="110">
        <f>SUMIFS('Data Fertilizers'!$D:$D,'Data Fertilizers'!$P:$P,$B49,'Data Fertilizers'!$Q:$Q,"&lt;=-91",'Data Fertilizers'!$Q:$Q,"&gt;=-120")</f>
        <v>0</v>
      </c>
      <c r="U49" s="110">
        <f>SUMIFS('Data Fertilizers'!$D:$D,'Data Fertilizers'!$P:$P,$B49,'Data Fertilizers'!$Q:$Q,"&lt;=-121",'Data Fertilizers'!$Q:$Q,"&gt;=-180")</f>
        <v>0</v>
      </c>
      <c r="V49" s="110">
        <f>SUMIFS('Data Fertilizers'!$D:$D,'Data Fertilizers'!$P:$P,$B49,'Data Fertilizers'!$Q:$Q,"&lt;=-181",'Data Fertilizers'!$Q:$Q,"&gt;=-360")</f>
        <v>0</v>
      </c>
      <c r="W49" s="115">
        <f>SUMIFS('Data Fertilizers'!$D:$D,'Data Fertilizers'!$P:$P,$B49,'Data Fertilizers'!$Q:$Q,"&lt;-360")</f>
        <v>0</v>
      </c>
      <c r="X49" s="164">
        <f>SUMIFS('Bad Debt Provision'!AB:AB,'Bad Debt Provision'!B:B,'Painel Fertilizers'!B49)</f>
        <v>0</v>
      </c>
      <c r="Y49" s="111"/>
      <c r="Z49" s="111"/>
      <c r="AA49" s="110">
        <f>_xlfn.XLOOKUP(B49,'Limite de crédito'!C:C,'Limite de crédito'!O:O,0)</f>
        <v>0</v>
      </c>
      <c r="AB49" s="110"/>
      <c r="AC49" s="112"/>
      <c r="AD49" s="113"/>
      <c r="AE49" s="113"/>
      <c r="AF49" s="111"/>
      <c r="AG49" s="110">
        <f t="shared" ref="AG49" si="32">AA49-G49</f>
        <v>0</v>
      </c>
    </row>
    <row r="50" spans="2:33" s="97" customFormat="1" ht="12.6" customHeight="1" x14ac:dyDescent="0.25">
      <c r="B50" s="108" t="s">
        <v>534</v>
      </c>
      <c r="C50" s="169" t="str">
        <f>IFERROR(_xlfn.XLOOKUP(B50,'Limite de crédito'!C:C,'Limite de crédito'!L:L),0)</f>
        <v>B</v>
      </c>
      <c r="D50" s="114">
        <v>180</v>
      </c>
      <c r="E50" s="159">
        <f>_xlfn.XLOOKUP(B50,'Limite de crédito'!C:C,'Limite de crédito'!G:G,0)</f>
        <v>750000</v>
      </c>
      <c r="F50" s="109">
        <f t="shared" ref="F50:F55" si="33">E50-G50</f>
        <v>750000</v>
      </c>
      <c r="G50" s="109">
        <f t="shared" ref="G50:G55" si="34">P50+O50</f>
        <v>0</v>
      </c>
      <c r="H50" s="110">
        <f>SUMIFS('Data Fertilizers'!$D:$D,'Data Fertilizers'!$P:$P,$B50,'Data Fertilizers'!$Q:$Q,"&gt;0",'Data Fertilizers'!$Q:$Q,"&lt;=30")</f>
        <v>0</v>
      </c>
      <c r="I50" s="110">
        <f>SUMIFS('Data Fertilizers'!$D:$D,'Data Fertilizers'!$P:$P,$B50,'Data Fertilizers'!$Q:$Q,"&gt;30",'Data Fertilizers'!$Q:$Q,"&lt;=60")</f>
        <v>0</v>
      </c>
      <c r="J50" s="110">
        <f>SUMIFS('Data Fertilizers'!$D:$D,'Data Fertilizers'!$P:$P,$B50,'Data Fertilizers'!$Q:$Q,"&gt;60",'Data Fertilizers'!$Q:$Q,"&lt;=90")</f>
        <v>0</v>
      </c>
      <c r="K50" s="110">
        <f>SUMIFS('Data Fertilizers'!$D:$D,'Data Fertilizers'!$P:$P,$B50,'Data Fertilizers'!$Q:$Q,"&gt;90",'Data Fertilizers'!$Q:$Q,"&lt;=120")</f>
        <v>0</v>
      </c>
      <c r="L50" s="110">
        <f>SUMIFS('Data Fertilizers'!$D:$D,'Data Fertilizers'!$P:$P,$B50,'Data Fertilizers'!$Q:$Q,"&gt;120",'Data Fertilizers'!$Q:$Q,"&lt;=180")</f>
        <v>0</v>
      </c>
      <c r="M50" s="110">
        <f>SUMIFS('Data Fertilizers'!$D:$D,'Data Fertilizers'!$P:$P,$B50,'Data Fertilizers'!$Q:$Q,"&gt;180",'Data Fertilizers'!$Q:$Q,"&lt;=360")</f>
        <v>0</v>
      </c>
      <c r="N50" s="115">
        <f>SUMIFS('Data Fertilizers'!$D:$D,'Data Fertilizers'!$P:$P,$B50,'Data Fertilizers'!$Q:$Q,"&gt;360")</f>
        <v>0</v>
      </c>
      <c r="O50" s="110">
        <f>SUMIFS('Data Fertilizers'!$D:$D,'Data Fertilizers'!$P:$P,$B50,'Data Fertilizers'!$Q:$Q,"&gt;0")</f>
        <v>0</v>
      </c>
      <c r="P50" s="110">
        <f t="shared" ref="P50:P55" si="35">SUM(Q50:W50)</f>
        <v>0</v>
      </c>
      <c r="Q50" s="110">
        <f>SUMIFS('Data Fertilizers'!$D:$D,'Data Fertilizers'!$P:$P,$B50,'Data Fertilizers'!$Q:$Q,"&lt;=0",'Data Fertilizers'!$Q:$Q,"&gt;=-30")</f>
        <v>0</v>
      </c>
      <c r="R50" s="110">
        <f>SUMIFS('Data Fertilizers'!$D:$D,'Data Fertilizers'!$P:$P,$B50,'Data Fertilizers'!$Q:$Q,"&lt;=-31",'Data Fertilizers'!$Q:$Q,"&gt;=-60")</f>
        <v>0</v>
      </c>
      <c r="S50" s="110">
        <f>SUMIFS('Data Fertilizers'!$D:$D,'Data Fertilizers'!$P:$P,$B50,'Data Fertilizers'!$Q:$Q,"&lt;=-61",'Data Fertilizers'!$Q:$Q,"&gt;=-90")</f>
        <v>0</v>
      </c>
      <c r="T50" s="110">
        <f>SUMIFS('Data Fertilizers'!$D:$D,'Data Fertilizers'!$P:$P,$B50,'Data Fertilizers'!$Q:$Q,"&lt;=-91",'Data Fertilizers'!$Q:$Q,"&gt;=-120")</f>
        <v>0</v>
      </c>
      <c r="U50" s="110">
        <f>SUMIFS('Data Fertilizers'!$D:$D,'Data Fertilizers'!$P:$P,$B50,'Data Fertilizers'!$Q:$Q,"&lt;=-121",'Data Fertilizers'!$Q:$Q,"&gt;=-180")</f>
        <v>0</v>
      </c>
      <c r="V50" s="110">
        <f>SUMIFS('Data Fertilizers'!$D:$D,'Data Fertilizers'!$P:$P,$B50,'Data Fertilizers'!$Q:$Q,"&lt;=-181",'Data Fertilizers'!$Q:$Q,"&gt;=-360")</f>
        <v>0</v>
      </c>
      <c r="W50" s="115">
        <f>SUMIFS('Data Fertilizers'!$D:$D,'Data Fertilizers'!$P:$P,$B50,'Data Fertilizers'!$Q:$Q,"&lt;-360")</f>
        <v>0</v>
      </c>
      <c r="X50" s="164">
        <f>SUMIFS('Bad Debt Provision'!AB:AB,'Bad Debt Provision'!B:B,'Painel Fertilizers'!B50)</f>
        <v>0</v>
      </c>
      <c r="Y50" s="111"/>
      <c r="Z50" s="111"/>
      <c r="AA50" s="110">
        <f>_xlfn.XLOOKUP(B50,'Limite de crédito'!C:C,'Limite de crédito'!O:O,0)</f>
        <v>750000</v>
      </c>
      <c r="AB50" s="110"/>
      <c r="AC50" s="112"/>
      <c r="AD50" s="113"/>
      <c r="AE50" s="113"/>
      <c r="AF50" s="111"/>
      <c r="AG50" s="110">
        <f t="shared" ref="AG50:AG55" si="36">AA50-G50</f>
        <v>750000</v>
      </c>
    </row>
    <row r="51" spans="2:33" s="97" customFormat="1" ht="12.6" customHeight="1" x14ac:dyDescent="0.25">
      <c r="B51" s="108" t="s">
        <v>555</v>
      </c>
      <c r="C51" s="169">
        <f>IFERROR(_xlfn.XLOOKUP(B51,'Limite de crédito'!C:C,'Limite de crédito'!L:L),0)</f>
        <v>0</v>
      </c>
      <c r="D51" s="114">
        <v>180</v>
      </c>
      <c r="E51" s="159">
        <f>_xlfn.XLOOKUP(B51,'Limite de crédito'!C:C,'Limite de crédito'!G:G,0)</f>
        <v>0</v>
      </c>
      <c r="F51" s="109">
        <f t="shared" si="33"/>
        <v>0</v>
      </c>
      <c r="G51" s="109">
        <f t="shared" si="34"/>
        <v>0</v>
      </c>
      <c r="H51" s="110">
        <f>SUMIFS('Data Fertilizers'!$D:$D,'Data Fertilizers'!$P:$P,$B51,'Data Fertilizers'!$Q:$Q,"&gt;0",'Data Fertilizers'!$Q:$Q,"&lt;=30")</f>
        <v>0</v>
      </c>
      <c r="I51" s="110">
        <f>SUMIFS('Data Fertilizers'!$D:$D,'Data Fertilizers'!$P:$P,$B51,'Data Fertilizers'!$Q:$Q,"&gt;30",'Data Fertilizers'!$Q:$Q,"&lt;=60")</f>
        <v>0</v>
      </c>
      <c r="J51" s="110">
        <f>SUMIFS('Data Fertilizers'!$D:$D,'Data Fertilizers'!$P:$P,$B51,'Data Fertilizers'!$Q:$Q,"&gt;60",'Data Fertilizers'!$Q:$Q,"&lt;=90")</f>
        <v>0</v>
      </c>
      <c r="K51" s="110">
        <f>SUMIFS('Data Fertilizers'!$D:$D,'Data Fertilizers'!$P:$P,$B51,'Data Fertilizers'!$Q:$Q,"&gt;90",'Data Fertilizers'!$Q:$Q,"&lt;=120")</f>
        <v>0</v>
      </c>
      <c r="L51" s="110">
        <f>SUMIFS('Data Fertilizers'!$D:$D,'Data Fertilizers'!$P:$P,$B51,'Data Fertilizers'!$Q:$Q,"&gt;120",'Data Fertilizers'!$Q:$Q,"&lt;=180")</f>
        <v>0</v>
      </c>
      <c r="M51" s="110">
        <f>SUMIFS('Data Fertilizers'!$D:$D,'Data Fertilizers'!$P:$P,$B51,'Data Fertilizers'!$Q:$Q,"&gt;180",'Data Fertilizers'!$Q:$Q,"&lt;=360")</f>
        <v>0</v>
      </c>
      <c r="N51" s="115">
        <f>SUMIFS('Data Fertilizers'!$D:$D,'Data Fertilizers'!$P:$P,$B51,'Data Fertilizers'!$Q:$Q,"&gt;360")</f>
        <v>0</v>
      </c>
      <c r="O51" s="110">
        <f>SUMIFS('Data Fertilizers'!$D:$D,'Data Fertilizers'!$P:$P,$B51,'Data Fertilizers'!$Q:$Q,"&gt;0")</f>
        <v>0</v>
      </c>
      <c r="P51" s="110">
        <f t="shared" si="35"/>
        <v>0</v>
      </c>
      <c r="Q51" s="110">
        <f>SUMIFS('Data Fertilizers'!$D:$D,'Data Fertilizers'!$P:$P,$B51,'Data Fertilizers'!$Q:$Q,"&lt;=0",'Data Fertilizers'!$Q:$Q,"&gt;=-30")</f>
        <v>0</v>
      </c>
      <c r="R51" s="110">
        <f>SUMIFS('Data Fertilizers'!$D:$D,'Data Fertilizers'!$P:$P,$B51,'Data Fertilizers'!$Q:$Q,"&lt;=-31",'Data Fertilizers'!$Q:$Q,"&gt;=-60")</f>
        <v>0</v>
      </c>
      <c r="S51" s="110">
        <f>SUMIFS('Data Fertilizers'!$D:$D,'Data Fertilizers'!$P:$P,$B51,'Data Fertilizers'!$Q:$Q,"&lt;=-61",'Data Fertilizers'!$Q:$Q,"&gt;=-90")</f>
        <v>0</v>
      </c>
      <c r="T51" s="110">
        <f>SUMIFS('Data Fertilizers'!$D:$D,'Data Fertilizers'!$P:$P,$B51,'Data Fertilizers'!$Q:$Q,"&lt;=-91",'Data Fertilizers'!$Q:$Q,"&gt;=-120")</f>
        <v>0</v>
      </c>
      <c r="U51" s="110">
        <f>SUMIFS('Data Fertilizers'!$D:$D,'Data Fertilizers'!$P:$P,$B51,'Data Fertilizers'!$Q:$Q,"&lt;=-121",'Data Fertilizers'!$Q:$Q,"&gt;=-180")</f>
        <v>0</v>
      </c>
      <c r="V51" s="110">
        <f>SUMIFS('Data Fertilizers'!$D:$D,'Data Fertilizers'!$P:$P,$B51,'Data Fertilizers'!$Q:$Q,"&lt;=-181",'Data Fertilizers'!$Q:$Q,"&gt;=-360")</f>
        <v>0</v>
      </c>
      <c r="W51" s="115">
        <f>SUMIFS('Data Fertilizers'!$D:$D,'Data Fertilizers'!$P:$P,$B51,'Data Fertilizers'!$Q:$Q,"&lt;-360")</f>
        <v>0</v>
      </c>
      <c r="X51" s="164">
        <f>SUMIFS('Bad Debt Provision'!AB:AB,'Bad Debt Provision'!B:B,'Painel Fertilizers'!B51)</f>
        <v>0</v>
      </c>
      <c r="Y51" s="111"/>
      <c r="Z51" s="111"/>
      <c r="AA51" s="110">
        <f>_xlfn.XLOOKUP(B51,'Limite de crédito'!C:C,'Limite de crédito'!O:O,0)</f>
        <v>0</v>
      </c>
      <c r="AB51" s="110"/>
      <c r="AC51" s="112"/>
      <c r="AD51" s="113"/>
      <c r="AE51" s="113"/>
      <c r="AF51" s="111"/>
      <c r="AG51" s="110">
        <f t="shared" si="36"/>
        <v>0</v>
      </c>
    </row>
    <row r="52" spans="2:33" s="97" customFormat="1" ht="12.6" customHeight="1" x14ac:dyDescent="0.25">
      <c r="B52" s="108" t="s">
        <v>562</v>
      </c>
      <c r="C52" s="169" t="str">
        <f>IFERROR(_xlfn.XLOOKUP(B52,'Limite de crédito'!C:C,'Limite de crédito'!L:L),0)</f>
        <v>B</v>
      </c>
      <c r="D52" s="114">
        <v>180</v>
      </c>
      <c r="E52" s="159">
        <f>_xlfn.XLOOKUP(B52,'Limite de crédito'!C:C,'Limite de crédito'!G:G,0)</f>
        <v>50000</v>
      </c>
      <c r="F52" s="109">
        <f t="shared" si="33"/>
        <v>49138.400000000001</v>
      </c>
      <c r="G52" s="109">
        <f t="shared" si="34"/>
        <v>861.6</v>
      </c>
      <c r="H52" s="110">
        <f>SUMIFS('Data Fertilizers'!$D:$D,'Data Fertilizers'!$P:$P,$B52,'Data Fertilizers'!$Q:$Q,"&gt;0",'Data Fertilizers'!$Q:$Q,"&lt;=30")</f>
        <v>0</v>
      </c>
      <c r="I52" s="110">
        <f>SUMIFS('Data Fertilizers'!$D:$D,'Data Fertilizers'!$P:$P,$B52,'Data Fertilizers'!$Q:$Q,"&gt;30",'Data Fertilizers'!$Q:$Q,"&lt;=60")</f>
        <v>0</v>
      </c>
      <c r="J52" s="110">
        <f>SUMIFS('Data Fertilizers'!$D:$D,'Data Fertilizers'!$P:$P,$B52,'Data Fertilizers'!$Q:$Q,"&gt;60",'Data Fertilizers'!$Q:$Q,"&lt;=90")</f>
        <v>0</v>
      </c>
      <c r="K52" s="110">
        <f>SUMIFS('Data Fertilizers'!$D:$D,'Data Fertilizers'!$P:$P,$B52,'Data Fertilizers'!$Q:$Q,"&gt;90",'Data Fertilizers'!$Q:$Q,"&lt;=120")</f>
        <v>0</v>
      </c>
      <c r="L52" s="110">
        <f>SUMIFS('Data Fertilizers'!$D:$D,'Data Fertilizers'!$P:$P,$B52,'Data Fertilizers'!$Q:$Q,"&gt;120",'Data Fertilizers'!$Q:$Q,"&lt;=180")</f>
        <v>0</v>
      </c>
      <c r="M52" s="110">
        <f>SUMIFS('Data Fertilizers'!$D:$D,'Data Fertilizers'!$P:$P,$B52,'Data Fertilizers'!$Q:$Q,"&gt;180",'Data Fertilizers'!$Q:$Q,"&lt;=360")</f>
        <v>0</v>
      </c>
      <c r="N52" s="115">
        <f>SUMIFS('Data Fertilizers'!$D:$D,'Data Fertilizers'!$P:$P,$B52,'Data Fertilizers'!$Q:$Q,"&gt;360")</f>
        <v>0</v>
      </c>
      <c r="O52" s="110">
        <f>SUMIFS('Data Fertilizers'!$D:$D,'Data Fertilizers'!$P:$P,$B52,'Data Fertilizers'!$Q:$Q,"&gt;0")</f>
        <v>0</v>
      </c>
      <c r="P52" s="110">
        <f t="shared" si="35"/>
        <v>861.6</v>
      </c>
      <c r="Q52" s="110">
        <f>SUMIFS('Data Fertilizers'!$D:$D,'Data Fertilizers'!$P:$P,$B52,'Data Fertilizers'!$Q:$Q,"&lt;=0",'Data Fertilizers'!$Q:$Q,"&gt;=-30")</f>
        <v>861.6</v>
      </c>
      <c r="R52" s="110">
        <f>SUMIFS('Data Fertilizers'!$D:$D,'Data Fertilizers'!$P:$P,$B52,'Data Fertilizers'!$Q:$Q,"&lt;=-31",'Data Fertilizers'!$Q:$Q,"&gt;=-60")</f>
        <v>0</v>
      </c>
      <c r="S52" s="110">
        <f>SUMIFS('Data Fertilizers'!$D:$D,'Data Fertilizers'!$P:$P,$B52,'Data Fertilizers'!$Q:$Q,"&lt;=-61",'Data Fertilizers'!$Q:$Q,"&gt;=-90")</f>
        <v>0</v>
      </c>
      <c r="T52" s="110">
        <f>SUMIFS('Data Fertilizers'!$D:$D,'Data Fertilizers'!$P:$P,$B52,'Data Fertilizers'!$Q:$Q,"&lt;=-91",'Data Fertilizers'!$Q:$Q,"&gt;=-120")</f>
        <v>0</v>
      </c>
      <c r="U52" s="110">
        <f>SUMIFS('Data Fertilizers'!$D:$D,'Data Fertilizers'!$P:$P,$B52,'Data Fertilizers'!$Q:$Q,"&lt;=-121",'Data Fertilizers'!$Q:$Q,"&gt;=-180")</f>
        <v>0</v>
      </c>
      <c r="V52" s="110">
        <f>SUMIFS('Data Fertilizers'!$D:$D,'Data Fertilizers'!$P:$P,$B52,'Data Fertilizers'!$Q:$Q,"&lt;=-181",'Data Fertilizers'!$Q:$Q,"&gt;=-360")</f>
        <v>0</v>
      </c>
      <c r="W52" s="115">
        <f>SUMIFS('Data Fertilizers'!$D:$D,'Data Fertilizers'!$P:$P,$B52,'Data Fertilizers'!$Q:$Q,"&lt;-360")</f>
        <v>0</v>
      </c>
      <c r="X52" s="164">
        <f>SUMIFS('Bad Debt Provision'!AB:AB,'Bad Debt Provision'!B:B,'Painel Fertilizers'!B52)</f>
        <v>0</v>
      </c>
      <c r="Y52" s="111"/>
      <c r="Z52" s="111"/>
      <c r="AA52" s="110">
        <f>_xlfn.XLOOKUP(B52,'Limite de crédito'!C:C,'Limite de crédito'!O:O,0)</f>
        <v>50000</v>
      </c>
      <c r="AB52" s="110"/>
      <c r="AC52" s="112"/>
      <c r="AD52" s="113"/>
      <c r="AE52" s="113"/>
      <c r="AF52" s="111"/>
      <c r="AG52" s="110">
        <f t="shared" si="36"/>
        <v>49138.400000000001</v>
      </c>
    </row>
    <row r="53" spans="2:33" s="97" customFormat="1" ht="12.6" customHeight="1" x14ac:dyDescent="0.25">
      <c r="B53" s="108" t="s">
        <v>576</v>
      </c>
      <c r="C53" s="169">
        <f>IFERROR(_xlfn.XLOOKUP(B53,'Limite de crédito'!C:C,'Limite de crédito'!L:L),0)</f>
        <v>0</v>
      </c>
      <c r="D53" s="114">
        <v>180</v>
      </c>
      <c r="E53" s="159">
        <f>_xlfn.XLOOKUP(B53,'Limite de crédito'!C:C,'Limite de crédito'!G:G,0)</f>
        <v>0</v>
      </c>
      <c r="F53" s="109">
        <f t="shared" si="33"/>
        <v>0</v>
      </c>
      <c r="G53" s="109">
        <f t="shared" si="34"/>
        <v>0</v>
      </c>
      <c r="H53" s="110">
        <f>SUMIFS('Data Fertilizers'!$D:$D,'Data Fertilizers'!$P:$P,$B53,'Data Fertilizers'!$Q:$Q,"&gt;0",'Data Fertilizers'!$Q:$Q,"&lt;=30")</f>
        <v>0</v>
      </c>
      <c r="I53" s="110">
        <f>SUMIFS('Data Fertilizers'!$D:$D,'Data Fertilizers'!$P:$P,$B53,'Data Fertilizers'!$Q:$Q,"&gt;30",'Data Fertilizers'!$Q:$Q,"&lt;=60")</f>
        <v>0</v>
      </c>
      <c r="J53" s="110">
        <f>SUMIFS('Data Fertilizers'!$D:$D,'Data Fertilizers'!$P:$P,$B53,'Data Fertilizers'!$Q:$Q,"&gt;60",'Data Fertilizers'!$Q:$Q,"&lt;=90")</f>
        <v>0</v>
      </c>
      <c r="K53" s="110">
        <f>SUMIFS('Data Fertilizers'!$D:$D,'Data Fertilizers'!$P:$P,$B53,'Data Fertilizers'!$Q:$Q,"&gt;90",'Data Fertilizers'!$Q:$Q,"&lt;=120")</f>
        <v>0</v>
      </c>
      <c r="L53" s="110">
        <f>SUMIFS('Data Fertilizers'!$D:$D,'Data Fertilizers'!$P:$P,$B53,'Data Fertilizers'!$Q:$Q,"&gt;120",'Data Fertilizers'!$Q:$Q,"&lt;=180")</f>
        <v>0</v>
      </c>
      <c r="M53" s="110">
        <f>SUMIFS('Data Fertilizers'!$D:$D,'Data Fertilizers'!$P:$P,$B53,'Data Fertilizers'!$Q:$Q,"&gt;180",'Data Fertilizers'!$Q:$Q,"&lt;=360")</f>
        <v>0</v>
      </c>
      <c r="N53" s="115">
        <f>SUMIFS('Data Fertilizers'!$D:$D,'Data Fertilizers'!$P:$P,$B53,'Data Fertilizers'!$Q:$Q,"&gt;360")</f>
        <v>0</v>
      </c>
      <c r="O53" s="110">
        <f>SUMIFS('Data Fertilizers'!$D:$D,'Data Fertilizers'!$P:$P,$B53,'Data Fertilizers'!$Q:$Q,"&gt;0")</f>
        <v>0</v>
      </c>
      <c r="P53" s="110">
        <f t="shared" si="35"/>
        <v>0</v>
      </c>
      <c r="Q53" s="110">
        <f>SUMIFS('Data Fertilizers'!$D:$D,'Data Fertilizers'!$P:$P,$B53,'Data Fertilizers'!$Q:$Q,"&lt;=0",'Data Fertilizers'!$Q:$Q,"&gt;=-30")</f>
        <v>0</v>
      </c>
      <c r="R53" s="110">
        <f>SUMIFS('Data Fertilizers'!$D:$D,'Data Fertilizers'!$P:$P,$B53,'Data Fertilizers'!$Q:$Q,"&lt;=-31",'Data Fertilizers'!$Q:$Q,"&gt;=-60")</f>
        <v>0</v>
      </c>
      <c r="S53" s="110">
        <f>SUMIFS('Data Fertilizers'!$D:$D,'Data Fertilizers'!$P:$P,$B53,'Data Fertilizers'!$Q:$Q,"&lt;=-61",'Data Fertilizers'!$Q:$Q,"&gt;=-90")</f>
        <v>0</v>
      </c>
      <c r="T53" s="110">
        <f>SUMIFS('Data Fertilizers'!$D:$D,'Data Fertilizers'!$P:$P,$B53,'Data Fertilizers'!$Q:$Q,"&lt;=-91",'Data Fertilizers'!$Q:$Q,"&gt;=-120")</f>
        <v>0</v>
      </c>
      <c r="U53" s="110">
        <f>SUMIFS('Data Fertilizers'!$D:$D,'Data Fertilizers'!$P:$P,$B53,'Data Fertilizers'!$Q:$Q,"&lt;=-121",'Data Fertilizers'!$Q:$Q,"&gt;=-180")</f>
        <v>0</v>
      </c>
      <c r="V53" s="110">
        <f>SUMIFS('Data Fertilizers'!$D:$D,'Data Fertilizers'!$P:$P,$B53,'Data Fertilizers'!$Q:$Q,"&lt;=-181",'Data Fertilizers'!$Q:$Q,"&gt;=-360")</f>
        <v>0</v>
      </c>
      <c r="W53" s="115">
        <f>SUMIFS('Data Fertilizers'!$D:$D,'Data Fertilizers'!$P:$P,$B53,'Data Fertilizers'!$Q:$Q,"&lt;-360")</f>
        <v>0</v>
      </c>
      <c r="X53" s="164">
        <f>SUMIFS('Bad Debt Provision'!AB:AB,'Bad Debt Provision'!B:B,'Painel Fertilizers'!B53)</f>
        <v>0</v>
      </c>
      <c r="Y53" s="111"/>
      <c r="Z53" s="111"/>
      <c r="AA53" s="110">
        <f>_xlfn.XLOOKUP(B53,'Limite de crédito'!C:C,'Limite de crédito'!O:O,0)</f>
        <v>0</v>
      </c>
      <c r="AB53" s="110"/>
      <c r="AC53" s="112"/>
      <c r="AD53" s="113"/>
      <c r="AE53" s="113"/>
      <c r="AF53" s="111"/>
      <c r="AG53" s="110">
        <f t="shared" si="36"/>
        <v>0</v>
      </c>
    </row>
    <row r="54" spans="2:33" s="97" customFormat="1" ht="12.6" customHeight="1" x14ac:dyDescent="0.25">
      <c r="B54" s="108" t="s">
        <v>571</v>
      </c>
      <c r="C54" s="169" t="str">
        <f>IFERROR(_xlfn.XLOOKUP(B54,'Limite de crédito'!C:C,'Limite de crédito'!L:L),0)</f>
        <v>B</v>
      </c>
      <c r="D54" s="114">
        <v>180</v>
      </c>
      <c r="E54" s="159">
        <f>_xlfn.XLOOKUP(B54,'Limite de crédito'!C:C,'Limite de crédito'!G:G,0)</f>
        <v>500000</v>
      </c>
      <c r="F54" s="109">
        <f t="shared" si="33"/>
        <v>500000</v>
      </c>
      <c r="G54" s="109">
        <f t="shared" si="34"/>
        <v>0</v>
      </c>
      <c r="H54" s="110">
        <f>SUMIFS('Data Fertilizers'!$D:$D,'Data Fertilizers'!$P:$P,$B54,'Data Fertilizers'!$Q:$Q,"&gt;0",'Data Fertilizers'!$Q:$Q,"&lt;=30")</f>
        <v>0</v>
      </c>
      <c r="I54" s="110">
        <f>SUMIFS('Data Fertilizers'!$D:$D,'Data Fertilizers'!$P:$P,$B54,'Data Fertilizers'!$Q:$Q,"&gt;30",'Data Fertilizers'!$Q:$Q,"&lt;=60")</f>
        <v>0</v>
      </c>
      <c r="J54" s="110">
        <f>SUMIFS('Data Fertilizers'!$D:$D,'Data Fertilizers'!$P:$P,$B54,'Data Fertilizers'!$Q:$Q,"&gt;60",'Data Fertilizers'!$Q:$Q,"&lt;=90")</f>
        <v>0</v>
      </c>
      <c r="K54" s="110">
        <f>SUMIFS('Data Fertilizers'!$D:$D,'Data Fertilizers'!$P:$P,$B54,'Data Fertilizers'!$Q:$Q,"&gt;90",'Data Fertilizers'!$Q:$Q,"&lt;=120")</f>
        <v>0</v>
      </c>
      <c r="L54" s="110">
        <f>SUMIFS('Data Fertilizers'!$D:$D,'Data Fertilizers'!$P:$P,$B54,'Data Fertilizers'!$Q:$Q,"&gt;120",'Data Fertilizers'!$Q:$Q,"&lt;=180")</f>
        <v>0</v>
      </c>
      <c r="M54" s="110">
        <f>SUMIFS('Data Fertilizers'!$D:$D,'Data Fertilizers'!$P:$P,$B54,'Data Fertilizers'!$Q:$Q,"&gt;180",'Data Fertilizers'!$Q:$Q,"&lt;=360")</f>
        <v>0</v>
      </c>
      <c r="N54" s="115">
        <f>SUMIFS('Data Fertilizers'!$D:$D,'Data Fertilizers'!$P:$P,$B54,'Data Fertilizers'!$Q:$Q,"&gt;360")</f>
        <v>0</v>
      </c>
      <c r="O54" s="110">
        <f>SUMIFS('Data Fertilizers'!$D:$D,'Data Fertilizers'!$P:$P,$B54,'Data Fertilizers'!$Q:$Q,"&gt;0")</f>
        <v>0</v>
      </c>
      <c r="P54" s="110">
        <f t="shared" si="35"/>
        <v>0</v>
      </c>
      <c r="Q54" s="110">
        <f>SUMIFS('Data Fertilizers'!$D:$D,'Data Fertilizers'!$P:$P,$B54,'Data Fertilizers'!$Q:$Q,"&lt;=0",'Data Fertilizers'!$Q:$Q,"&gt;=-30")</f>
        <v>0</v>
      </c>
      <c r="R54" s="110">
        <f>SUMIFS('Data Fertilizers'!$D:$D,'Data Fertilizers'!$P:$P,$B54,'Data Fertilizers'!$Q:$Q,"&lt;=-31",'Data Fertilizers'!$Q:$Q,"&gt;=-60")</f>
        <v>0</v>
      </c>
      <c r="S54" s="110">
        <f>SUMIFS('Data Fertilizers'!$D:$D,'Data Fertilizers'!$P:$P,$B54,'Data Fertilizers'!$Q:$Q,"&lt;=-61",'Data Fertilizers'!$Q:$Q,"&gt;=-90")</f>
        <v>0</v>
      </c>
      <c r="T54" s="110">
        <f>SUMIFS('Data Fertilizers'!$D:$D,'Data Fertilizers'!$P:$P,$B54,'Data Fertilizers'!$Q:$Q,"&lt;=-91",'Data Fertilizers'!$Q:$Q,"&gt;=-120")</f>
        <v>0</v>
      </c>
      <c r="U54" s="110">
        <f>SUMIFS('Data Fertilizers'!$D:$D,'Data Fertilizers'!$P:$P,$B54,'Data Fertilizers'!$Q:$Q,"&lt;=-121",'Data Fertilizers'!$Q:$Q,"&gt;=-180")</f>
        <v>0</v>
      </c>
      <c r="V54" s="110">
        <f>SUMIFS('Data Fertilizers'!$D:$D,'Data Fertilizers'!$P:$P,$B54,'Data Fertilizers'!$Q:$Q,"&lt;=-181",'Data Fertilizers'!$Q:$Q,"&gt;=-360")</f>
        <v>0</v>
      </c>
      <c r="W54" s="115">
        <f>SUMIFS('Data Fertilizers'!$D:$D,'Data Fertilizers'!$P:$P,$B54,'Data Fertilizers'!$Q:$Q,"&lt;-360")</f>
        <v>0</v>
      </c>
      <c r="X54" s="164">
        <f>SUMIFS('Bad Debt Provision'!AB:AB,'Bad Debt Provision'!B:B,'Painel Fertilizers'!B54)</f>
        <v>0</v>
      </c>
      <c r="Y54" s="111"/>
      <c r="Z54" s="111"/>
      <c r="AA54" s="110">
        <f>_xlfn.XLOOKUP(B54,'Limite de crédito'!C:C,'Limite de crédito'!O:O,0)</f>
        <v>500000</v>
      </c>
      <c r="AB54" s="110"/>
      <c r="AC54" s="112"/>
      <c r="AD54" s="113"/>
      <c r="AE54" s="113"/>
      <c r="AF54" s="111"/>
      <c r="AG54" s="110">
        <f t="shared" si="36"/>
        <v>500000</v>
      </c>
    </row>
    <row r="55" spans="2:33" s="97" customFormat="1" ht="12.6" customHeight="1" x14ac:dyDescent="0.25">
      <c r="B55" s="108" t="s">
        <v>784</v>
      </c>
      <c r="C55" s="169" t="str">
        <f>IFERROR(_xlfn.XLOOKUP(B55,'Limite de crédito'!C:C,'Limite de crédito'!L:L),0)</f>
        <v>B</v>
      </c>
      <c r="D55" s="114">
        <v>180</v>
      </c>
      <c r="E55" s="159">
        <f>_xlfn.XLOOKUP(B55,'Limite de crédito'!C:C,'Limite de crédito'!G:G,0)</f>
        <v>3000000</v>
      </c>
      <c r="F55" s="109">
        <f t="shared" si="33"/>
        <v>2708975.14</v>
      </c>
      <c r="G55" s="109">
        <f t="shared" si="34"/>
        <v>291024.86</v>
      </c>
      <c r="H55" s="110">
        <f>SUMIFS('Data Fertilizers'!$D:$D,'Data Fertilizers'!$P:$P,$B55,'Data Fertilizers'!$Q:$Q,"&gt;0",'Data Fertilizers'!$Q:$Q,"&lt;=30")</f>
        <v>0</v>
      </c>
      <c r="I55" s="110">
        <f>SUMIFS('Data Fertilizers'!$D:$D,'Data Fertilizers'!$P:$P,$B55,'Data Fertilizers'!$Q:$Q,"&gt;30",'Data Fertilizers'!$Q:$Q,"&lt;=60")</f>
        <v>0</v>
      </c>
      <c r="J55" s="110">
        <f>SUMIFS('Data Fertilizers'!$D:$D,'Data Fertilizers'!$P:$P,$B55,'Data Fertilizers'!$Q:$Q,"&gt;60",'Data Fertilizers'!$Q:$Q,"&lt;=90")</f>
        <v>0</v>
      </c>
      <c r="K55" s="110">
        <f>SUMIFS('Data Fertilizers'!$D:$D,'Data Fertilizers'!$P:$P,$B55,'Data Fertilizers'!$Q:$Q,"&gt;90",'Data Fertilizers'!$Q:$Q,"&lt;=120")</f>
        <v>0</v>
      </c>
      <c r="L55" s="110">
        <f>SUMIFS('Data Fertilizers'!$D:$D,'Data Fertilizers'!$P:$P,$B55,'Data Fertilizers'!$Q:$Q,"&gt;120",'Data Fertilizers'!$Q:$Q,"&lt;=180")</f>
        <v>0</v>
      </c>
      <c r="M55" s="110">
        <f>SUMIFS('Data Fertilizers'!$D:$D,'Data Fertilizers'!$P:$P,$B55,'Data Fertilizers'!$Q:$Q,"&gt;180",'Data Fertilizers'!$Q:$Q,"&lt;=360")</f>
        <v>0</v>
      </c>
      <c r="N55" s="115">
        <f>SUMIFS('Data Fertilizers'!$D:$D,'Data Fertilizers'!$P:$P,$B55,'Data Fertilizers'!$Q:$Q,"&gt;360")</f>
        <v>0</v>
      </c>
      <c r="O55" s="110">
        <f>SUMIFS('Data Fertilizers'!$D:$D,'Data Fertilizers'!$P:$P,$B55,'Data Fertilizers'!$Q:$Q,"&gt;0")</f>
        <v>0</v>
      </c>
      <c r="P55" s="110">
        <f t="shared" si="35"/>
        <v>291024.86</v>
      </c>
      <c r="Q55" s="110">
        <f>SUMIFS('Data Fertilizers'!$D:$D,'Data Fertilizers'!$P:$P,$B55,'Data Fertilizers'!$Q:$Q,"&lt;=0",'Data Fertilizers'!$Q:$Q,"&gt;=-30")</f>
        <v>72587.789999999994</v>
      </c>
      <c r="R55" s="110">
        <f>SUMIFS('Data Fertilizers'!$D:$D,'Data Fertilizers'!$P:$P,$B55,'Data Fertilizers'!$Q:$Q,"&lt;=-31",'Data Fertilizers'!$Q:$Q,"&gt;=-60")</f>
        <v>218437.07</v>
      </c>
      <c r="S55" s="110">
        <f>SUMIFS('Data Fertilizers'!$D:$D,'Data Fertilizers'!$P:$P,$B55,'Data Fertilizers'!$Q:$Q,"&lt;=-61",'Data Fertilizers'!$Q:$Q,"&gt;=-90")</f>
        <v>0</v>
      </c>
      <c r="T55" s="110">
        <f>SUMIFS('Data Fertilizers'!$D:$D,'Data Fertilizers'!$P:$P,$B55,'Data Fertilizers'!$Q:$Q,"&lt;=-91",'Data Fertilizers'!$Q:$Q,"&gt;=-120")</f>
        <v>0</v>
      </c>
      <c r="U55" s="110">
        <f>SUMIFS('Data Fertilizers'!$D:$D,'Data Fertilizers'!$P:$P,$B55,'Data Fertilizers'!$Q:$Q,"&lt;=-121",'Data Fertilizers'!$Q:$Q,"&gt;=-180")</f>
        <v>0</v>
      </c>
      <c r="V55" s="110">
        <f>SUMIFS('Data Fertilizers'!$D:$D,'Data Fertilizers'!$P:$P,$B55,'Data Fertilizers'!$Q:$Q,"&lt;=-181",'Data Fertilizers'!$Q:$Q,"&gt;=-360")</f>
        <v>0</v>
      </c>
      <c r="W55" s="115">
        <f>SUMIFS('Data Fertilizers'!$D:$D,'Data Fertilizers'!$P:$P,$B55,'Data Fertilizers'!$Q:$Q,"&lt;-360")</f>
        <v>0</v>
      </c>
      <c r="X55" s="164">
        <f>SUMIFS('Bad Debt Provision'!AB:AB,'Bad Debt Provision'!B:B,'Painel Fertilizers'!B55)</f>
        <v>0</v>
      </c>
      <c r="Y55" s="111"/>
      <c r="Z55" s="111"/>
      <c r="AA55" s="110">
        <f>_xlfn.XLOOKUP(B55,'Limite de crédito'!C:C,'Limite de crédito'!O:O,0)</f>
        <v>3000000</v>
      </c>
      <c r="AB55" s="110"/>
      <c r="AC55" s="112"/>
      <c r="AD55" s="113"/>
      <c r="AE55" s="113"/>
      <c r="AF55" s="111"/>
      <c r="AG55" s="110">
        <f t="shared" si="36"/>
        <v>2708975.14</v>
      </c>
    </row>
    <row r="56" spans="2:33" s="97" customFormat="1" ht="12.6" customHeight="1" x14ac:dyDescent="0.25">
      <c r="B56" s="108" t="s">
        <v>610</v>
      </c>
      <c r="C56" s="169">
        <f>IFERROR(_xlfn.XLOOKUP(B56,'Limite de crédito'!C:C,'Limite de crédito'!L:L),0)</f>
        <v>0</v>
      </c>
      <c r="D56" s="114">
        <v>180</v>
      </c>
      <c r="E56" s="159">
        <f>_xlfn.XLOOKUP(B56,'Limite de crédito'!C:C,'Limite de crédito'!G:G,0)</f>
        <v>0</v>
      </c>
      <c r="F56" s="109">
        <f t="shared" ref="F56" si="37">E56-G56</f>
        <v>0</v>
      </c>
      <c r="G56" s="109">
        <f t="shared" ref="G56" si="38">P56+O56</f>
        <v>0</v>
      </c>
      <c r="H56" s="110">
        <f>SUMIFS('Data Fertilizers'!$D:$D,'Data Fertilizers'!$P:$P,$B56,'Data Fertilizers'!$Q:$Q,"&gt;0",'Data Fertilizers'!$Q:$Q,"&lt;=30")</f>
        <v>0</v>
      </c>
      <c r="I56" s="110">
        <f>SUMIFS('Data Fertilizers'!$D:$D,'Data Fertilizers'!$P:$P,$B56,'Data Fertilizers'!$Q:$Q,"&gt;30",'Data Fertilizers'!$Q:$Q,"&lt;=60")</f>
        <v>0</v>
      </c>
      <c r="J56" s="110">
        <f>SUMIFS('Data Fertilizers'!$D:$D,'Data Fertilizers'!$P:$P,$B56,'Data Fertilizers'!$Q:$Q,"&gt;60",'Data Fertilizers'!$Q:$Q,"&lt;=90")</f>
        <v>0</v>
      </c>
      <c r="K56" s="110">
        <f>SUMIFS('Data Fertilizers'!$D:$D,'Data Fertilizers'!$P:$P,$B56,'Data Fertilizers'!$Q:$Q,"&gt;90",'Data Fertilizers'!$Q:$Q,"&lt;=120")</f>
        <v>0</v>
      </c>
      <c r="L56" s="110">
        <f>SUMIFS('Data Fertilizers'!$D:$D,'Data Fertilizers'!$P:$P,$B56,'Data Fertilizers'!$Q:$Q,"&gt;120",'Data Fertilizers'!$Q:$Q,"&lt;=180")</f>
        <v>0</v>
      </c>
      <c r="M56" s="110">
        <f>SUMIFS('Data Fertilizers'!$D:$D,'Data Fertilizers'!$P:$P,$B56,'Data Fertilizers'!$Q:$Q,"&gt;180",'Data Fertilizers'!$Q:$Q,"&lt;=360")</f>
        <v>0</v>
      </c>
      <c r="N56" s="115">
        <f>SUMIFS('Data Fertilizers'!$D:$D,'Data Fertilizers'!$P:$P,$B56,'Data Fertilizers'!$Q:$Q,"&gt;360")</f>
        <v>0</v>
      </c>
      <c r="O56" s="110">
        <f>SUMIFS('Data Fertilizers'!$D:$D,'Data Fertilizers'!$P:$P,$B56,'Data Fertilizers'!$Q:$Q,"&gt;0")</f>
        <v>0</v>
      </c>
      <c r="P56" s="110">
        <f t="shared" ref="P56" si="39">SUM(Q56:W56)</f>
        <v>0</v>
      </c>
      <c r="Q56" s="110">
        <f>SUMIFS('Data Fertilizers'!$D:$D,'Data Fertilizers'!$P:$P,$B56,'Data Fertilizers'!$Q:$Q,"&lt;=0",'Data Fertilizers'!$Q:$Q,"&gt;=-30")</f>
        <v>0</v>
      </c>
      <c r="R56" s="110">
        <f>SUMIFS('Data Fertilizers'!$D:$D,'Data Fertilizers'!$P:$P,$B56,'Data Fertilizers'!$Q:$Q,"&lt;=-31",'Data Fertilizers'!$Q:$Q,"&gt;=-60")</f>
        <v>0</v>
      </c>
      <c r="S56" s="110">
        <f>SUMIFS('Data Fertilizers'!$D:$D,'Data Fertilizers'!$P:$P,$B56,'Data Fertilizers'!$Q:$Q,"&lt;=-61",'Data Fertilizers'!$Q:$Q,"&gt;=-90")</f>
        <v>0</v>
      </c>
      <c r="T56" s="110">
        <f>SUMIFS('Data Fertilizers'!$D:$D,'Data Fertilizers'!$P:$P,$B56,'Data Fertilizers'!$Q:$Q,"&lt;=-91",'Data Fertilizers'!$Q:$Q,"&gt;=-120")</f>
        <v>0</v>
      </c>
      <c r="U56" s="110">
        <f>SUMIFS('Data Fertilizers'!$D:$D,'Data Fertilizers'!$P:$P,$B56,'Data Fertilizers'!$Q:$Q,"&lt;=-121",'Data Fertilizers'!$Q:$Q,"&gt;=-180")</f>
        <v>0</v>
      </c>
      <c r="V56" s="110">
        <f>SUMIFS('Data Fertilizers'!$D:$D,'Data Fertilizers'!$P:$P,$B56,'Data Fertilizers'!$Q:$Q,"&lt;=-181",'Data Fertilizers'!$Q:$Q,"&gt;=-360")</f>
        <v>0</v>
      </c>
      <c r="W56" s="115">
        <f>SUMIFS('Data Fertilizers'!$D:$D,'Data Fertilizers'!$P:$P,$B56,'Data Fertilizers'!$Q:$Q,"&lt;-360")</f>
        <v>0</v>
      </c>
      <c r="X56" s="164">
        <f>SUMIFS('Bad Debt Provision'!AB:AB,'Bad Debt Provision'!B:B,'Painel Fertilizers'!B56)</f>
        <v>0</v>
      </c>
      <c r="Y56" s="111"/>
      <c r="Z56" s="111"/>
      <c r="AA56" s="110">
        <f>_xlfn.XLOOKUP(B56,'Limite de crédito'!C:C,'Limite de crédito'!O:O,0)</f>
        <v>0</v>
      </c>
      <c r="AB56" s="110"/>
      <c r="AC56" s="112"/>
      <c r="AD56" s="113"/>
      <c r="AE56" s="113"/>
      <c r="AF56" s="111"/>
      <c r="AG56" s="110">
        <f t="shared" ref="AG56" si="40">AA56-G56</f>
        <v>0</v>
      </c>
    </row>
    <row r="57" spans="2:33" s="97" customFormat="1" ht="12.6" customHeight="1" x14ac:dyDescent="0.25">
      <c r="B57" s="108" t="s">
        <v>622</v>
      </c>
      <c r="C57" s="169">
        <f>IFERROR(_xlfn.XLOOKUP(B57,'Limite de crédito'!C:C,'Limite de crédito'!L:L),0)</f>
        <v>0</v>
      </c>
      <c r="D57" s="114">
        <v>180</v>
      </c>
      <c r="E57" s="159">
        <f>_xlfn.XLOOKUP(B57,'Limite de crédito'!C:C,'Limite de crédito'!G:G,0)</f>
        <v>0</v>
      </c>
      <c r="F57" s="109">
        <f t="shared" ref="F57" si="41">E57-G57</f>
        <v>0</v>
      </c>
      <c r="G57" s="109">
        <f t="shared" ref="G57" si="42">P57+O57</f>
        <v>0</v>
      </c>
      <c r="H57" s="110">
        <f>SUMIFS('Data Fertilizers'!$D:$D,'Data Fertilizers'!$P:$P,$B57,'Data Fertilizers'!$Q:$Q,"&gt;0",'Data Fertilizers'!$Q:$Q,"&lt;=30")</f>
        <v>0</v>
      </c>
      <c r="I57" s="110">
        <f>SUMIFS('Data Fertilizers'!$D:$D,'Data Fertilizers'!$P:$P,$B57,'Data Fertilizers'!$Q:$Q,"&gt;30",'Data Fertilizers'!$Q:$Q,"&lt;=60")</f>
        <v>0</v>
      </c>
      <c r="J57" s="110">
        <f>SUMIFS('Data Fertilizers'!$D:$D,'Data Fertilizers'!$P:$P,$B57,'Data Fertilizers'!$Q:$Q,"&gt;60",'Data Fertilizers'!$Q:$Q,"&lt;=90")</f>
        <v>0</v>
      </c>
      <c r="K57" s="110">
        <f>SUMIFS('Data Fertilizers'!$D:$D,'Data Fertilizers'!$P:$P,$B57,'Data Fertilizers'!$Q:$Q,"&gt;90",'Data Fertilizers'!$Q:$Q,"&lt;=120")</f>
        <v>0</v>
      </c>
      <c r="L57" s="110">
        <f>SUMIFS('Data Fertilizers'!$D:$D,'Data Fertilizers'!$P:$P,$B57,'Data Fertilizers'!$Q:$Q,"&gt;120",'Data Fertilizers'!$Q:$Q,"&lt;=180")</f>
        <v>0</v>
      </c>
      <c r="M57" s="110">
        <f>SUMIFS('Data Fertilizers'!$D:$D,'Data Fertilizers'!$P:$P,$B57,'Data Fertilizers'!$Q:$Q,"&gt;180",'Data Fertilizers'!$Q:$Q,"&lt;=360")</f>
        <v>0</v>
      </c>
      <c r="N57" s="115">
        <f>SUMIFS('Data Fertilizers'!$D:$D,'Data Fertilizers'!$P:$P,$B57,'Data Fertilizers'!$Q:$Q,"&gt;360")</f>
        <v>0</v>
      </c>
      <c r="O57" s="110">
        <f>SUMIFS('Data Fertilizers'!$D:$D,'Data Fertilizers'!$P:$P,$B57,'Data Fertilizers'!$Q:$Q,"&gt;0")</f>
        <v>0</v>
      </c>
      <c r="P57" s="110">
        <f t="shared" ref="P57" si="43">SUM(Q57:W57)</f>
        <v>0</v>
      </c>
      <c r="Q57" s="110">
        <f>SUMIFS('Data Fertilizers'!$D:$D,'Data Fertilizers'!$P:$P,$B57,'Data Fertilizers'!$Q:$Q,"&lt;=0",'Data Fertilizers'!$Q:$Q,"&gt;=-30")</f>
        <v>0</v>
      </c>
      <c r="R57" s="110">
        <f>SUMIFS('Data Fertilizers'!$D:$D,'Data Fertilizers'!$P:$P,$B57,'Data Fertilizers'!$Q:$Q,"&lt;=-31",'Data Fertilizers'!$Q:$Q,"&gt;=-60")</f>
        <v>0</v>
      </c>
      <c r="S57" s="110">
        <f>SUMIFS('Data Fertilizers'!$D:$D,'Data Fertilizers'!$P:$P,$B57,'Data Fertilizers'!$Q:$Q,"&lt;=-61",'Data Fertilizers'!$Q:$Q,"&gt;=-90")</f>
        <v>0</v>
      </c>
      <c r="T57" s="110">
        <f>SUMIFS('Data Fertilizers'!$D:$D,'Data Fertilizers'!$P:$P,$B57,'Data Fertilizers'!$Q:$Q,"&lt;=-91",'Data Fertilizers'!$Q:$Q,"&gt;=-120")</f>
        <v>0</v>
      </c>
      <c r="U57" s="110">
        <f>SUMIFS('Data Fertilizers'!$D:$D,'Data Fertilizers'!$P:$P,$B57,'Data Fertilizers'!$Q:$Q,"&lt;=-121",'Data Fertilizers'!$Q:$Q,"&gt;=-180")</f>
        <v>0</v>
      </c>
      <c r="V57" s="110">
        <f>SUMIFS('Data Fertilizers'!$D:$D,'Data Fertilizers'!$P:$P,$B57,'Data Fertilizers'!$Q:$Q,"&lt;=-181",'Data Fertilizers'!$Q:$Q,"&gt;=-360")</f>
        <v>0</v>
      </c>
      <c r="W57" s="115">
        <f>SUMIFS('Data Fertilizers'!$D:$D,'Data Fertilizers'!$P:$P,$B57,'Data Fertilizers'!$Q:$Q,"&lt;-360")</f>
        <v>0</v>
      </c>
      <c r="X57" s="164">
        <f>SUMIFS('Bad Debt Provision'!AB:AB,'Bad Debt Provision'!B:B,'Painel Fertilizers'!B57)</f>
        <v>0</v>
      </c>
      <c r="Y57" s="111"/>
      <c r="Z57" s="111"/>
      <c r="AA57" s="110">
        <f>_xlfn.XLOOKUP(B57,'Limite de crédito'!C:C,'Limite de crédito'!O:O,0)</f>
        <v>0</v>
      </c>
      <c r="AB57" s="110"/>
      <c r="AC57" s="112"/>
      <c r="AD57" s="113"/>
      <c r="AE57" s="113"/>
      <c r="AF57" s="111"/>
      <c r="AG57" s="110">
        <f t="shared" ref="AG57" si="44">AA57-G57</f>
        <v>0</v>
      </c>
    </row>
    <row r="58" spans="2:33" s="97" customFormat="1" ht="12.6" customHeight="1" x14ac:dyDescent="0.25">
      <c r="B58" s="108" t="s">
        <v>428</v>
      </c>
      <c r="C58" s="169" t="str">
        <f>IFERROR(_xlfn.XLOOKUP(B58,'Limite de crédito'!C:C,'Limite de crédito'!L:L),0)</f>
        <v>B</v>
      </c>
      <c r="D58" s="114">
        <v>180</v>
      </c>
      <c r="E58" s="159">
        <f>_xlfn.XLOOKUP(B58,'Limite de crédito'!C:C,'Limite de crédito'!G:G,0)</f>
        <v>200000</v>
      </c>
      <c r="F58" s="109">
        <f t="shared" ref="F58" si="45">E58-G58</f>
        <v>200000</v>
      </c>
      <c r="G58" s="109">
        <f t="shared" ref="G58" si="46">P58+O58</f>
        <v>0</v>
      </c>
      <c r="H58" s="110">
        <f>SUMIFS('Data Fertilizers'!$D:$D,'Data Fertilizers'!$P:$P,$B58,'Data Fertilizers'!$Q:$Q,"&gt;0",'Data Fertilizers'!$Q:$Q,"&lt;=30")</f>
        <v>0</v>
      </c>
      <c r="I58" s="110">
        <f>SUMIFS('Data Fertilizers'!$D:$D,'Data Fertilizers'!$P:$P,$B58,'Data Fertilizers'!$Q:$Q,"&gt;30",'Data Fertilizers'!$Q:$Q,"&lt;=60")</f>
        <v>0</v>
      </c>
      <c r="J58" s="110">
        <f>SUMIFS('Data Fertilizers'!$D:$D,'Data Fertilizers'!$P:$P,$B58,'Data Fertilizers'!$Q:$Q,"&gt;60",'Data Fertilizers'!$Q:$Q,"&lt;=90")</f>
        <v>0</v>
      </c>
      <c r="K58" s="110">
        <f>SUMIFS('Data Fertilizers'!$D:$D,'Data Fertilizers'!$P:$P,$B58,'Data Fertilizers'!$Q:$Q,"&gt;90",'Data Fertilizers'!$Q:$Q,"&lt;=120")</f>
        <v>0</v>
      </c>
      <c r="L58" s="110">
        <f>SUMIFS('Data Fertilizers'!$D:$D,'Data Fertilizers'!$P:$P,$B58,'Data Fertilizers'!$Q:$Q,"&gt;120",'Data Fertilizers'!$Q:$Q,"&lt;=180")</f>
        <v>0</v>
      </c>
      <c r="M58" s="110">
        <f>SUMIFS('Data Fertilizers'!$D:$D,'Data Fertilizers'!$P:$P,$B58,'Data Fertilizers'!$Q:$Q,"&gt;180",'Data Fertilizers'!$Q:$Q,"&lt;=360")</f>
        <v>0</v>
      </c>
      <c r="N58" s="115">
        <f>SUMIFS('Data Fertilizers'!$D:$D,'Data Fertilizers'!$P:$P,$B58,'Data Fertilizers'!$Q:$Q,"&gt;360")</f>
        <v>0</v>
      </c>
      <c r="O58" s="110">
        <f>SUMIFS('Data Fertilizers'!$D:$D,'Data Fertilizers'!$P:$P,$B58,'Data Fertilizers'!$Q:$Q,"&gt;0")</f>
        <v>0</v>
      </c>
      <c r="P58" s="110">
        <f t="shared" ref="P58" si="47">SUM(Q58:W58)</f>
        <v>0</v>
      </c>
      <c r="Q58" s="110">
        <f>SUMIFS('Data Fertilizers'!$D:$D,'Data Fertilizers'!$P:$P,$B58,'Data Fertilizers'!$Q:$Q,"&lt;=0",'Data Fertilizers'!$Q:$Q,"&gt;=-30")</f>
        <v>0</v>
      </c>
      <c r="R58" s="110">
        <f>SUMIFS('Data Fertilizers'!$D:$D,'Data Fertilizers'!$P:$P,$B58,'Data Fertilizers'!$Q:$Q,"&lt;=-31",'Data Fertilizers'!$Q:$Q,"&gt;=-60")</f>
        <v>0</v>
      </c>
      <c r="S58" s="110">
        <f>SUMIFS('Data Fertilizers'!$D:$D,'Data Fertilizers'!$P:$P,$B58,'Data Fertilizers'!$Q:$Q,"&lt;=-61",'Data Fertilizers'!$Q:$Q,"&gt;=-90")</f>
        <v>0</v>
      </c>
      <c r="T58" s="110">
        <f>SUMIFS('Data Fertilizers'!$D:$D,'Data Fertilizers'!$P:$P,$B58,'Data Fertilizers'!$Q:$Q,"&lt;=-91",'Data Fertilizers'!$Q:$Q,"&gt;=-120")</f>
        <v>0</v>
      </c>
      <c r="U58" s="110">
        <f>SUMIFS('Data Fertilizers'!$D:$D,'Data Fertilizers'!$P:$P,$B58,'Data Fertilizers'!$Q:$Q,"&lt;=-121",'Data Fertilizers'!$Q:$Q,"&gt;=-180")</f>
        <v>0</v>
      </c>
      <c r="V58" s="110">
        <f>SUMIFS('Data Fertilizers'!$D:$D,'Data Fertilizers'!$P:$P,$B58,'Data Fertilizers'!$Q:$Q,"&lt;=-181",'Data Fertilizers'!$Q:$Q,"&gt;=-360")</f>
        <v>0</v>
      </c>
      <c r="W58" s="115">
        <f>SUMIFS('Data Fertilizers'!$D:$D,'Data Fertilizers'!$P:$P,$B58,'Data Fertilizers'!$Q:$Q,"&lt;-360")</f>
        <v>0</v>
      </c>
      <c r="X58" s="164">
        <f>SUMIFS('Bad Debt Provision'!AB:AB,'Bad Debt Provision'!B:B,'Painel Fertilizers'!B58)</f>
        <v>0</v>
      </c>
      <c r="Y58" s="111"/>
      <c r="Z58" s="111"/>
      <c r="AA58" s="110">
        <f>_xlfn.XLOOKUP(B58,'Limite de crédito'!C:C,'Limite de crédito'!O:O,0)</f>
        <v>200000</v>
      </c>
      <c r="AB58" s="110"/>
      <c r="AC58" s="112"/>
      <c r="AD58" s="113"/>
      <c r="AE58" s="113"/>
      <c r="AF58" s="111"/>
      <c r="AG58" s="110">
        <f t="shared" ref="AG58" si="48">AA58-G58</f>
        <v>200000</v>
      </c>
    </row>
    <row r="59" spans="2:33" s="97" customFormat="1" ht="12.6" customHeight="1" x14ac:dyDescent="0.25">
      <c r="B59" s="108" t="s">
        <v>623</v>
      </c>
      <c r="C59" s="169">
        <f>IFERROR(_xlfn.XLOOKUP(B59,'Limite de crédito'!C:C,'Limite de crédito'!L:L),0)</f>
        <v>0</v>
      </c>
      <c r="D59" s="114">
        <v>180</v>
      </c>
      <c r="E59" s="159">
        <f>_xlfn.XLOOKUP(B59,'Limite de crédito'!C:C,'Limite de crédito'!G:G,0)</f>
        <v>0</v>
      </c>
      <c r="F59" s="109">
        <f t="shared" ref="F59" si="49">E59-G59</f>
        <v>0</v>
      </c>
      <c r="G59" s="109">
        <f t="shared" ref="G59" si="50">P59+O59</f>
        <v>0</v>
      </c>
      <c r="H59" s="110">
        <f>SUMIFS('Data Fertilizers'!$D:$D,'Data Fertilizers'!$P:$P,$B59,'Data Fertilizers'!$Q:$Q,"&gt;0",'Data Fertilizers'!$Q:$Q,"&lt;=30")</f>
        <v>0</v>
      </c>
      <c r="I59" s="110">
        <f>SUMIFS('Data Fertilizers'!$D:$D,'Data Fertilizers'!$P:$P,$B59,'Data Fertilizers'!$Q:$Q,"&gt;30",'Data Fertilizers'!$Q:$Q,"&lt;=60")</f>
        <v>0</v>
      </c>
      <c r="J59" s="110">
        <f>SUMIFS('Data Fertilizers'!$D:$D,'Data Fertilizers'!$P:$P,$B59,'Data Fertilizers'!$Q:$Q,"&gt;60",'Data Fertilizers'!$Q:$Q,"&lt;=90")</f>
        <v>0</v>
      </c>
      <c r="K59" s="110">
        <f>SUMIFS('Data Fertilizers'!$D:$D,'Data Fertilizers'!$P:$P,$B59,'Data Fertilizers'!$Q:$Q,"&gt;90",'Data Fertilizers'!$Q:$Q,"&lt;=120")</f>
        <v>0</v>
      </c>
      <c r="L59" s="110">
        <f>SUMIFS('Data Fertilizers'!$D:$D,'Data Fertilizers'!$P:$P,$B59,'Data Fertilizers'!$Q:$Q,"&gt;120",'Data Fertilizers'!$Q:$Q,"&lt;=180")</f>
        <v>0</v>
      </c>
      <c r="M59" s="110">
        <f>SUMIFS('Data Fertilizers'!$D:$D,'Data Fertilizers'!$P:$P,$B59,'Data Fertilizers'!$Q:$Q,"&gt;180",'Data Fertilizers'!$Q:$Q,"&lt;=360")</f>
        <v>0</v>
      </c>
      <c r="N59" s="115">
        <f>SUMIFS('Data Fertilizers'!$D:$D,'Data Fertilizers'!$P:$P,$B59,'Data Fertilizers'!$Q:$Q,"&gt;360")</f>
        <v>0</v>
      </c>
      <c r="O59" s="110">
        <f>SUMIFS('Data Fertilizers'!$D:$D,'Data Fertilizers'!$P:$P,$B59,'Data Fertilizers'!$Q:$Q,"&gt;0")</f>
        <v>0</v>
      </c>
      <c r="P59" s="110">
        <f t="shared" ref="P59" si="51">SUM(Q59:W59)</f>
        <v>0</v>
      </c>
      <c r="Q59" s="110">
        <f>SUMIFS('Data Fertilizers'!$D:$D,'Data Fertilizers'!$P:$P,$B59,'Data Fertilizers'!$Q:$Q,"&lt;=0",'Data Fertilizers'!$Q:$Q,"&gt;=-30")</f>
        <v>0</v>
      </c>
      <c r="R59" s="110">
        <f>SUMIFS('Data Fertilizers'!$D:$D,'Data Fertilizers'!$P:$P,$B59,'Data Fertilizers'!$Q:$Q,"&lt;=-31",'Data Fertilizers'!$Q:$Q,"&gt;=-60")</f>
        <v>0</v>
      </c>
      <c r="S59" s="110">
        <f>SUMIFS('Data Fertilizers'!$D:$D,'Data Fertilizers'!$P:$P,$B59,'Data Fertilizers'!$Q:$Q,"&lt;=-61",'Data Fertilizers'!$Q:$Q,"&gt;=-90")</f>
        <v>0</v>
      </c>
      <c r="T59" s="110">
        <f>SUMIFS('Data Fertilizers'!$D:$D,'Data Fertilizers'!$P:$P,$B59,'Data Fertilizers'!$Q:$Q,"&lt;=-91",'Data Fertilizers'!$Q:$Q,"&gt;=-120")</f>
        <v>0</v>
      </c>
      <c r="U59" s="110">
        <f>SUMIFS('Data Fertilizers'!$D:$D,'Data Fertilizers'!$P:$P,$B59,'Data Fertilizers'!$Q:$Q,"&lt;=-121",'Data Fertilizers'!$Q:$Q,"&gt;=-180")</f>
        <v>0</v>
      </c>
      <c r="V59" s="110">
        <f>SUMIFS('Data Fertilizers'!$D:$D,'Data Fertilizers'!$P:$P,$B59,'Data Fertilizers'!$Q:$Q,"&lt;=-181",'Data Fertilizers'!$Q:$Q,"&gt;=-360")</f>
        <v>0</v>
      </c>
      <c r="W59" s="115">
        <f>SUMIFS('Data Fertilizers'!$D:$D,'Data Fertilizers'!$P:$P,$B59,'Data Fertilizers'!$Q:$Q,"&lt;-360")</f>
        <v>0</v>
      </c>
      <c r="X59" s="164">
        <f>SUMIFS('Bad Debt Provision'!AB:AB,'Bad Debt Provision'!B:B,'Painel Fertilizers'!B59)</f>
        <v>0</v>
      </c>
      <c r="Y59" s="111"/>
      <c r="Z59" s="111"/>
      <c r="AA59" s="110">
        <f>_xlfn.XLOOKUP(B59,'Limite de crédito'!C:C,'Limite de crédito'!O:O,0)</f>
        <v>0</v>
      </c>
      <c r="AB59" s="110"/>
      <c r="AC59" s="112"/>
      <c r="AD59" s="113"/>
      <c r="AE59" s="113"/>
      <c r="AF59" s="111"/>
      <c r="AG59" s="110">
        <f t="shared" ref="AG59" si="52">AA59-G59</f>
        <v>0</v>
      </c>
    </row>
    <row r="60" spans="2:33" s="97" customFormat="1" ht="12.6" customHeight="1" x14ac:dyDescent="0.25">
      <c r="B60" s="108" t="s">
        <v>268</v>
      </c>
      <c r="C60" s="169" t="str">
        <f>IFERROR(_xlfn.XLOOKUP(B60,'Limite de crédito'!C:C,'Limite de crédito'!L:L),0)</f>
        <v>B</v>
      </c>
      <c r="D60" s="114">
        <v>180</v>
      </c>
      <c r="E60" s="159">
        <f>_xlfn.XLOOKUP(B60,'Limite de crédito'!C:C,'Limite de crédito'!G:G,0)</f>
        <v>100000</v>
      </c>
      <c r="F60" s="109">
        <f t="shared" ref="F60" si="53">E60-G60</f>
        <v>100000</v>
      </c>
      <c r="G60" s="109">
        <f t="shared" ref="G60" si="54">P60+O60</f>
        <v>0</v>
      </c>
      <c r="H60" s="110">
        <f>SUMIFS('Data Fertilizers'!$D:$D,'Data Fertilizers'!$P:$P,$B60,'Data Fertilizers'!$Q:$Q,"&gt;0",'Data Fertilizers'!$Q:$Q,"&lt;=30")</f>
        <v>0</v>
      </c>
      <c r="I60" s="110">
        <f>SUMIFS('Data Fertilizers'!$D:$D,'Data Fertilizers'!$P:$P,$B60,'Data Fertilizers'!$Q:$Q,"&gt;30",'Data Fertilizers'!$Q:$Q,"&lt;=60")</f>
        <v>0</v>
      </c>
      <c r="J60" s="110">
        <f>SUMIFS('Data Fertilizers'!$D:$D,'Data Fertilizers'!$P:$P,$B60,'Data Fertilizers'!$Q:$Q,"&gt;60",'Data Fertilizers'!$Q:$Q,"&lt;=90")</f>
        <v>0</v>
      </c>
      <c r="K60" s="110">
        <f>SUMIFS('Data Fertilizers'!$D:$D,'Data Fertilizers'!$P:$P,$B60,'Data Fertilizers'!$Q:$Q,"&gt;90",'Data Fertilizers'!$Q:$Q,"&lt;=120")</f>
        <v>0</v>
      </c>
      <c r="L60" s="110">
        <f>SUMIFS('Data Fertilizers'!$D:$D,'Data Fertilizers'!$P:$P,$B60,'Data Fertilizers'!$Q:$Q,"&gt;120",'Data Fertilizers'!$Q:$Q,"&lt;=180")</f>
        <v>0</v>
      </c>
      <c r="M60" s="110">
        <f>SUMIFS('Data Fertilizers'!$D:$D,'Data Fertilizers'!$P:$P,$B60,'Data Fertilizers'!$Q:$Q,"&gt;180",'Data Fertilizers'!$Q:$Q,"&lt;=360")</f>
        <v>0</v>
      </c>
      <c r="N60" s="115">
        <f>SUMIFS('Data Fertilizers'!$D:$D,'Data Fertilizers'!$P:$P,$B60,'Data Fertilizers'!$Q:$Q,"&gt;360")</f>
        <v>0</v>
      </c>
      <c r="O60" s="110">
        <f>SUMIFS('Data Fertilizers'!$D:$D,'Data Fertilizers'!$P:$P,$B60,'Data Fertilizers'!$Q:$Q,"&gt;0")</f>
        <v>0</v>
      </c>
      <c r="P60" s="110">
        <f t="shared" ref="P60" si="55">SUM(Q60:W60)</f>
        <v>0</v>
      </c>
      <c r="Q60" s="110">
        <f>SUMIFS('Data Fertilizers'!$D:$D,'Data Fertilizers'!$P:$P,$B60,'Data Fertilizers'!$Q:$Q,"&lt;=0",'Data Fertilizers'!$Q:$Q,"&gt;=-30")</f>
        <v>0</v>
      </c>
      <c r="R60" s="110">
        <f>SUMIFS('Data Fertilizers'!$D:$D,'Data Fertilizers'!$P:$P,$B60,'Data Fertilizers'!$Q:$Q,"&lt;=-31",'Data Fertilizers'!$Q:$Q,"&gt;=-60")</f>
        <v>0</v>
      </c>
      <c r="S60" s="110">
        <f>SUMIFS('Data Fertilizers'!$D:$D,'Data Fertilizers'!$P:$P,$B60,'Data Fertilizers'!$Q:$Q,"&lt;=-61",'Data Fertilizers'!$Q:$Q,"&gt;=-90")</f>
        <v>0</v>
      </c>
      <c r="T60" s="110">
        <f>SUMIFS('Data Fertilizers'!$D:$D,'Data Fertilizers'!$P:$P,$B60,'Data Fertilizers'!$Q:$Q,"&lt;=-91",'Data Fertilizers'!$Q:$Q,"&gt;=-120")</f>
        <v>0</v>
      </c>
      <c r="U60" s="110">
        <f>SUMIFS('Data Fertilizers'!$D:$D,'Data Fertilizers'!$P:$P,$B60,'Data Fertilizers'!$Q:$Q,"&lt;=-121",'Data Fertilizers'!$Q:$Q,"&gt;=-180")</f>
        <v>0</v>
      </c>
      <c r="V60" s="110">
        <f>SUMIFS('Data Fertilizers'!$D:$D,'Data Fertilizers'!$P:$P,$B60,'Data Fertilizers'!$Q:$Q,"&lt;=-181",'Data Fertilizers'!$Q:$Q,"&gt;=-360")</f>
        <v>0</v>
      </c>
      <c r="W60" s="115">
        <f>SUMIFS('Data Fertilizers'!$D:$D,'Data Fertilizers'!$P:$P,$B60,'Data Fertilizers'!$Q:$Q,"&lt;-360")</f>
        <v>0</v>
      </c>
      <c r="X60" s="164">
        <f>SUMIFS('Bad Debt Provision'!AB:AB,'Bad Debt Provision'!B:B,'Painel Fertilizers'!B60)</f>
        <v>0</v>
      </c>
      <c r="Y60" s="111"/>
      <c r="Z60" s="111"/>
      <c r="AA60" s="110">
        <f>_xlfn.XLOOKUP(B60,'Limite de crédito'!C:C,'Limite de crédito'!O:O,0)</f>
        <v>100000</v>
      </c>
      <c r="AB60" s="110"/>
      <c r="AC60" s="112"/>
      <c r="AD60" s="113"/>
      <c r="AE60" s="113"/>
      <c r="AF60" s="111"/>
      <c r="AG60" s="110">
        <f t="shared" ref="AG60" si="56">AA60-G60</f>
        <v>100000</v>
      </c>
    </row>
    <row r="61" spans="2:33" s="97" customFormat="1" ht="12.6" customHeight="1" x14ac:dyDescent="0.25">
      <c r="B61" s="108" t="s">
        <v>654</v>
      </c>
      <c r="C61" s="169" t="str">
        <f>IFERROR(_xlfn.XLOOKUP(B61,'Limite de crédito'!C:C,'Limite de crédito'!L:L),0)</f>
        <v>B</v>
      </c>
      <c r="D61" s="114">
        <v>180</v>
      </c>
      <c r="E61" s="159">
        <f>_xlfn.XLOOKUP(B61,'Limite de crédito'!C:C,'Limite de crédito'!G:G,0)</f>
        <v>200000</v>
      </c>
      <c r="F61" s="109">
        <f t="shared" ref="F61:F62" si="57">E61-G61</f>
        <v>200000</v>
      </c>
      <c r="G61" s="109">
        <f t="shared" ref="G61:G62" si="58">P61+O61</f>
        <v>0</v>
      </c>
      <c r="H61" s="110">
        <f>SUMIFS('Data Fertilizers'!$D:$D,'Data Fertilizers'!$P:$P,$B61,'Data Fertilizers'!$Q:$Q,"&gt;0",'Data Fertilizers'!$Q:$Q,"&lt;=30")</f>
        <v>0</v>
      </c>
      <c r="I61" s="110">
        <f>SUMIFS('Data Fertilizers'!$D:$D,'Data Fertilizers'!$P:$P,$B61,'Data Fertilizers'!$Q:$Q,"&gt;30",'Data Fertilizers'!$Q:$Q,"&lt;=60")</f>
        <v>0</v>
      </c>
      <c r="J61" s="110">
        <f>SUMIFS('Data Fertilizers'!$D:$D,'Data Fertilizers'!$P:$P,$B61,'Data Fertilizers'!$Q:$Q,"&gt;60",'Data Fertilizers'!$Q:$Q,"&lt;=90")</f>
        <v>0</v>
      </c>
      <c r="K61" s="110">
        <f>SUMIFS('Data Fertilizers'!$D:$D,'Data Fertilizers'!$P:$P,$B61,'Data Fertilizers'!$Q:$Q,"&gt;90",'Data Fertilizers'!$Q:$Q,"&lt;=120")</f>
        <v>0</v>
      </c>
      <c r="L61" s="110">
        <f>SUMIFS('Data Fertilizers'!$D:$D,'Data Fertilizers'!$P:$P,$B61,'Data Fertilizers'!$Q:$Q,"&gt;120",'Data Fertilizers'!$Q:$Q,"&lt;=180")</f>
        <v>0</v>
      </c>
      <c r="M61" s="110">
        <f>SUMIFS('Data Fertilizers'!$D:$D,'Data Fertilizers'!$P:$P,$B61,'Data Fertilizers'!$Q:$Q,"&gt;180",'Data Fertilizers'!$Q:$Q,"&lt;=360")</f>
        <v>0</v>
      </c>
      <c r="N61" s="115">
        <f>SUMIFS('Data Fertilizers'!$D:$D,'Data Fertilizers'!$P:$P,$B61,'Data Fertilizers'!$Q:$Q,"&gt;360")</f>
        <v>0</v>
      </c>
      <c r="O61" s="110">
        <f>SUMIFS('Data Fertilizers'!$D:$D,'Data Fertilizers'!$P:$P,$B61,'Data Fertilizers'!$Q:$Q,"&gt;0")</f>
        <v>0</v>
      </c>
      <c r="P61" s="110">
        <f t="shared" ref="P61:P62" si="59">SUM(Q61:W61)</f>
        <v>0</v>
      </c>
      <c r="Q61" s="110">
        <f>SUMIFS('Data Fertilizers'!$D:$D,'Data Fertilizers'!$P:$P,$B61,'Data Fertilizers'!$Q:$Q,"&lt;=0",'Data Fertilizers'!$Q:$Q,"&gt;=-30")</f>
        <v>0</v>
      </c>
      <c r="R61" s="110">
        <f>SUMIFS('Data Fertilizers'!$D:$D,'Data Fertilizers'!$P:$P,$B61,'Data Fertilizers'!$Q:$Q,"&lt;=-31",'Data Fertilizers'!$Q:$Q,"&gt;=-60")</f>
        <v>0</v>
      </c>
      <c r="S61" s="110">
        <f>SUMIFS('Data Fertilizers'!$D:$D,'Data Fertilizers'!$P:$P,$B61,'Data Fertilizers'!$Q:$Q,"&lt;=-61",'Data Fertilizers'!$Q:$Q,"&gt;=-90")</f>
        <v>0</v>
      </c>
      <c r="T61" s="110">
        <f>SUMIFS('Data Fertilizers'!$D:$D,'Data Fertilizers'!$P:$P,$B61,'Data Fertilizers'!$Q:$Q,"&lt;=-91",'Data Fertilizers'!$Q:$Q,"&gt;=-120")</f>
        <v>0</v>
      </c>
      <c r="U61" s="110">
        <f>SUMIFS('Data Fertilizers'!$D:$D,'Data Fertilizers'!$P:$P,$B61,'Data Fertilizers'!$Q:$Q,"&lt;=-121",'Data Fertilizers'!$Q:$Q,"&gt;=-180")</f>
        <v>0</v>
      </c>
      <c r="V61" s="110">
        <f>SUMIFS('Data Fertilizers'!$D:$D,'Data Fertilizers'!$P:$P,$B61,'Data Fertilizers'!$Q:$Q,"&lt;=-181",'Data Fertilizers'!$Q:$Q,"&gt;=-360")</f>
        <v>0</v>
      </c>
      <c r="W61" s="115">
        <f>SUMIFS('Data Fertilizers'!$D:$D,'Data Fertilizers'!$P:$P,$B61,'Data Fertilizers'!$Q:$Q,"&lt;-360")</f>
        <v>0</v>
      </c>
      <c r="X61" s="164">
        <f>SUMIFS('Bad Debt Provision'!AB:AB,'Bad Debt Provision'!B:B,'Painel Fertilizers'!B61)</f>
        <v>0</v>
      </c>
      <c r="Y61" s="111"/>
      <c r="Z61" s="111"/>
      <c r="AA61" s="110">
        <f>_xlfn.XLOOKUP(B61,'Limite de crédito'!C:C,'Limite de crédito'!O:O,0)</f>
        <v>200000</v>
      </c>
      <c r="AB61" s="110"/>
      <c r="AC61" s="112"/>
      <c r="AD61" s="113"/>
      <c r="AE61" s="113"/>
      <c r="AF61" s="111"/>
      <c r="AG61" s="110">
        <f t="shared" ref="AG61:AG62" si="60">AA61-G61</f>
        <v>200000</v>
      </c>
    </row>
    <row r="62" spans="2:33" s="97" customFormat="1" ht="12.6" customHeight="1" x14ac:dyDescent="0.25">
      <c r="B62" s="108" t="s">
        <v>723</v>
      </c>
      <c r="C62" s="169" t="str">
        <f>IFERROR(_xlfn.XLOOKUP(B62,'Limite de crédito'!C:C,'Limite de crédito'!L:L),0)</f>
        <v>B</v>
      </c>
      <c r="D62" s="114">
        <v>180</v>
      </c>
      <c r="E62" s="159">
        <f>_xlfn.XLOOKUP(B62,'Limite de crédito'!C:C,'Limite de crédito'!G:G,0)</f>
        <v>300000</v>
      </c>
      <c r="F62" s="109">
        <f t="shared" si="57"/>
        <v>300000</v>
      </c>
      <c r="G62" s="109">
        <f t="shared" si="58"/>
        <v>0</v>
      </c>
      <c r="H62" s="110">
        <f>SUMIFS('Data Fertilizers'!$D:$D,'Data Fertilizers'!$P:$P,$B62,'Data Fertilizers'!$Q:$Q,"&gt;0",'Data Fertilizers'!$Q:$Q,"&lt;=30")</f>
        <v>0</v>
      </c>
      <c r="I62" s="110">
        <f>SUMIFS('Data Fertilizers'!$D:$D,'Data Fertilizers'!$P:$P,$B62,'Data Fertilizers'!$Q:$Q,"&gt;30",'Data Fertilizers'!$Q:$Q,"&lt;=60")</f>
        <v>0</v>
      </c>
      <c r="J62" s="110">
        <f>SUMIFS('Data Fertilizers'!$D:$D,'Data Fertilizers'!$P:$P,$B62,'Data Fertilizers'!$Q:$Q,"&gt;60",'Data Fertilizers'!$Q:$Q,"&lt;=90")</f>
        <v>0</v>
      </c>
      <c r="K62" s="110">
        <f>SUMIFS('Data Fertilizers'!$D:$D,'Data Fertilizers'!$P:$P,$B62,'Data Fertilizers'!$Q:$Q,"&gt;90",'Data Fertilizers'!$Q:$Q,"&lt;=120")</f>
        <v>0</v>
      </c>
      <c r="L62" s="110">
        <f>SUMIFS('Data Fertilizers'!$D:$D,'Data Fertilizers'!$P:$P,$B62,'Data Fertilizers'!$Q:$Q,"&gt;120",'Data Fertilizers'!$Q:$Q,"&lt;=180")</f>
        <v>0</v>
      </c>
      <c r="M62" s="110">
        <f>SUMIFS('Data Fertilizers'!$D:$D,'Data Fertilizers'!$P:$P,$B62,'Data Fertilizers'!$Q:$Q,"&gt;180",'Data Fertilizers'!$Q:$Q,"&lt;=360")</f>
        <v>0</v>
      </c>
      <c r="N62" s="115">
        <f>SUMIFS('Data Fertilizers'!$D:$D,'Data Fertilizers'!$P:$P,$B62,'Data Fertilizers'!$Q:$Q,"&gt;360")</f>
        <v>0</v>
      </c>
      <c r="O62" s="110">
        <f>SUMIFS('Data Fertilizers'!$D:$D,'Data Fertilizers'!$P:$P,$B62,'Data Fertilizers'!$Q:$Q,"&gt;0")</f>
        <v>0</v>
      </c>
      <c r="P62" s="110">
        <f t="shared" si="59"/>
        <v>0</v>
      </c>
      <c r="Q62" s="110">
        <f>SUMIFS('Data Fertilizers'!$D:$D,'Data Fertilizers'!$P:$P,$B62,'Data Fertilizers'!$Q:$Q,"&lt;=0",'Data Fertilizers'!$Q:$Q,"&gt;=-30")</f>
        <v>0</v>
      </c>
      <c r="R62" s="110">
        <f>SUMIFS('Data Fertilizers'!$D:$D,'Data Fertilizers'!$P:$P,$B62,'Data Fertilizers'!$Q:$Q,"&lt;=-31",'Data Fertilizers'!$Q:$Q,"&gt;=-60")</f>
        <v>0</v>
      </c>
      <c r="S62" s="110">
        <f>SUMIFS('Data Fertilizers'!$D:$D,'Data Fertilizers'!$P:$P,$B62,'Data Fertilizers'!$Q:$Q,"&lt;=-61",'Data Fertilizers'!$Q:$Q,"&gt;=-90")</f>
        <v>0</v>
      </c>
      <c r="T62" s="110">
        <f>SUMIFS('Data Fertilizers'!$D:$D,'Data Fertilizers'!$P:$P,$B62,'Data Fertilizers'!$Q:$Q,"&lt;=-91",'Data Fertilizers'!$Q:$Q,"&gt;=-120")</f>
        <v>0</v>
      </c>
      <c r="U62" s="110">
        <f>SUMIFS('Data Fertilizers'!$D:$D,'Data Fertilizers'!$P:$P,$B62,'Data Fertilizers'!$Q:$Q,"&lt;=-121",'Data Fertilizers'!$Q:$Q,"&gt;=-180")</f>
        <v>0</v>
      </c>
      <c r="V62" s="110">
        <f>SUMIFS('Data Fertilizers'!$D:$D,'Data Fertilizers'!$P:$P,$B62,'Data Fertilizers'!$Q:$Q,"&lt;=-181",'Data Fertilizers'!$Q:$Q,"&gt;=-360")</f>
        <v>0</v>
      </c>
      <c r="W62" s="115">
        <f>SUMIFS('Data Fertilizers'!$D:$D,'Data Fertilizers'!$P:$P,$B62,'Data Fertilizers'!$Q:$Q,"&lt;-360")</f>
        <v>0</v>
      </c>
      <c r="X62" s="164">
        <f>SUMIFS('Bad Debt Provision'!AB:AB,'Bad Debt Provision'!B:B,'Painel Fertilizers'!B62)</f>
        <v>0</v>
      </c>
      <c r="Y62" s="111"/>
      <c r="Z62" s="111"/>
      <c r="AA62" s="110">
        <f>_xlfn.XLOOKUP(B62,'Limite de crédito'!C:C,'Limite de crédito'!O:O,0)</f>
        <v>300000</v>
      </c>
      <c r="AB62" s="110"/>
      <c r="AC62" s="112"/>
      <c r="AD62" s="113"/>
      <c r="AE62" s="113"/>
      <c r="AF62" s="111"/>
      <c r="AG62" s="110">
        <f t="shared" si="60"/>
        <v>300000</v>
      </c>
    </row>
  </sheetData>
  <autoFilter ref="A3:AK62" xr:uid="{117863FC-9796-447F-B76F-A494F594C433}"/>
  <mergeCells count="3">
    <mergeCell ref="H2:N2"/>
    <mergeCell ref="Q2:W2"/>
    <mergeCell ref="AI2:AK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51"/>
  <sheetViews>
    <sheetView zoomScale="90" zoomScaleNormal="90" workbookViewId="0">
      <selection activeCell="N1" sqref="N1"/>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3" bestFit="1" customWidth="1"/>
    <col min="5" max="5" width="11.6640625" bestFit="1" customWidth="1"/>
    <col min="6" max="6" width="16" bestFit="1" customWidth="1"/>
    <col min="7" max="7" width="16" style="30"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0"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0" bestFit="1" customWidth="1"/>
    <col min="28" max="28" width="16.33203125" style="30" bestFit="1" customWidth="1"/>
    <col min="29" max="29" width="23.6640625" bestFit="1" customWidth="1"/>
    <col min="30" max="30" width="18.6640625" bestFit="1" customWidth="1"/>
    <col min="31" max="31" width="26.5546875" bestFit="1" customWidth="1"/>
  </cols>
  <sheetData>
    <row r="1" spans="1:31" s="198" customFormat="1" ht="15" thickBot="1" x14ac:dyDescent="0.35">
      <c r="A1" s="197"/>
      <c r="B1" s="197"/>
      <c r="C1" s="198">
        <f>A1+B1</f>
        <v>0</v>
      </c>
      <c r="D1" s="190">
        <f>SUBTOTAL(9,D4:D999868)</f>
        <v>64140011.460000008</v>
      </c>
      <c r="E1" s="191"/>
      <c r="F1" s="191"/>
      <c r="H1" s="198">
        <f>G1-B1</f>
        <v>0</v>
      </c>
      <c r="I1" s="199">
        <v>46173</v>
      </c>
      <c r="M1" s="190">
        <f>SUM(Q1:U1)</f>
        <v>64140011.459999993</v>
      </c>
      <c r="O1" s="198">
        <f t="shared" ref="O1" si="0">SUBTOTAL(9,O4:O999868)</f>
        <v>0</v>
      </c>
      <c r="P1" s="198">
        <f>SUBTOTAL(9,P4:P999868)</f>
        <v>11107380.544899995</v>
      </c>
      <c r="Q1" s="198">
        <f t="shared" ref="Q1:R1" si="1">SUBTOTAL(9,Q4:Q999868)</f>
        <v>40554151.219999991</v>
      </c>
      <c r="R1" s="198">
        <f t="shared" si="1"/>
        <v>1079554.0599999998</v>
      </c>
      <c r="S1" s="198">
        <f>SUBTOTAL(9,S4:S999868)</f>
        <v>14548.35</v>
      </c>
      <c r="T1" s="198">
        <f>SUBTOTAL(9,T4:T999868)</f>
        <v>469311.48</v>
      </c>
      <c r="U1" s="198">
        <f>SUBTOTAL(9,U4:U999868)</f>
        <v>22022446.350000005</v>
      </c>
      <c r="V1" s="190"/>
      <c r="W1" s="190">
        <f t="shared" ref="W1:AB1" si="2">SUBTOTAL(9,W4:W999868)</f>
        <v>533694.92250000022</v>
      </c>
      <c r="X1" s="190">
        <f t="shared" si="2"/>
        <v>16786791.792400002</v>
      </c>
      <c r="Y1" s="190">
        <f t="shared" si="2"/>
        <v>16786791.792400002</v>
      </c>
      <c r="Z1" s="190">
        <f t="shared" si="2"/>
        <v>17186404.18999999</v>
      </c>
      <c r="AA1" s="190">
        <f t="shared" si="2"/>
        <v>-6213106.169999999</v>
      </c>
      <c r="AB1" s="190">
        <f t="shared" si="2"/>
        <v>11107380.544899995</v>
      </c>
      <c r="AC1" s="190"/>
      <c r="AE1" s="190">
        <f>SUBTOTAL(9,AE4:AE869)</f>
        <v>8704435.3543999977</v>
      </c>
    </row>
    <row r="2" spans="1:31" s="192" customFormat="1" x14ac:dyDescent="0.25">
      <c r="I2" s="200"/>
      <c r="V2" s="97"/>
      <c r="W2" s="132"/>
      <c r="X2" s="133"/>
      <c r="Y2" s="97"/>
    </row>
    <row r="3" spans="1:31" ht="13.8" x14ac:dyDescent="0.25">
      <c r="A3" s="134" t="s">
        <v>4</v>
      </c>
      <c r="B3" s="134" t="s">
        <v>3</v>
      </c>
      <c r="C3" s="134" t="s">
        <v>0</v>
      </c>
      <c r="D3" s="135" t="s">
        <v>246</v>
      </c>
      <c r="E3" s="134" t="s">
        <v>199</v>
      </c>
      <c r="F3" s="134" t="s">
        <v>2</v>
      </c>
      <c r="G3" s="193" t="s">
        <v>198</v>
      </c>
      <c r="H3" s="134" t="s">
        <v>200</v>
      </c>
      <c r="I3" s="134" t="s">
        <v>201</v>
      </c>
      <c r="J3" s="134" t="s">
        <v>1</v>
      </c>
      <c r="K3" s="134" t="s">
        <v>202</v>
      </c>
      <c r="L3" s="134" t="s">
        <v>203</v>
      </c>
      <c r="M3" s="134" t="s">
        <v>204</v>
      </c>
      <c r="N3" s="136" t="s">
        <v>247</v>
      </c>
      <c r="O3" s="194" t="s">
        <v>628</v>
      </c>
      <c r="P3" s="136" t="s">
        <v>286</v>
      </c>
      <c r="Q3" s="136" t="s">
        <v>248</v>
      </c>
      <c r="R3" s="136" t="s">
        <v>249</v>
      </c>
      <c r="S3" s="136" t="s">
        <v>250</v>
      </c>
      <c r="T3" s="136" t="s">
        <v>251</v>
      </c>
      <c r="U3" s="136" t="s">
        <v>252</v>
      </c>
      <c r="V3" s="137" t="s">
        <v>253</v>
      </c>
      <c r="W3" s="137" t="s">
        <v>254</v>
      </c>
      <c r="X3" s="138" t="s">
        <v>255</v>
      </c>
      <c r="Y3" s="137" t="s">
        <v>256</v>
      </c>
      <c r="Z3" s="139" t="s">
        <v>257</v>
      </c>
      <c r="AA3" s="195" t="s">
        <v>258</v>
      </c>
      <c r="AB3" s="195" t="s">
        <v>259</v>
      </c>
      <c r="AC3" s="139" t="s">
        <v>455</v>
      </c>
      <c r="AD3" s="139" t="s">
        <v>456</v>
      </c>
      <c r="AE3" s="195" t="s">
        <v>600</v>
      </c>
    </row>
    <row r="4" spans="1:31" x14ac:dyDescent="0.25">
      <c r="A4">
        <v>205</v>
      </c>
      <c r="B4" t="s">
        <v>489</v>
      </c>
      <c r="C4" t="s">
        <v>461</v>
      </c>
      <c r="D4" s="33">
        <v>40894</v>
      </c>
      <c r="E4">
        <v>1246274446</v>
      </c>
      <c r="F4" s="222">
        <v>46181</v>
      </c>
      <c r="G4" s="222"/>
      <c r="H4" t="s">
        <v>23</v>
      </c>
      <c r="I4" t="s">
        <v>24</v>
      </c>
      <c r="J4">
        <v>11352</v>
      </c>
      <c r="K4" s="222">
        <v>46153</v>
      </c>
      <c r="L4">
        <v>1010100</v>
      </c>
      <c r="M4" t="s">
        <v>29</v>
      </c>
      <c r="N4">
        <v>-8</v>
      </c>
      <c r="O4" s="30">
        <v>0</v>
      </c>
      <c r="P4" s="30">
        <v>0</v>
      </c>
      <c r="Q4" s="30">
        <v>40894</v>
      </c>
      <c r="R4" s="30">
        <v>0</v>
      </c>
      <c r="S4" s="30">
        <v>0</v>
      </c>
      <c r="T4" s="30">
        <v>0</v>
      </c>
      <c r="U4" s="30">
        <v>0</v>
      </c>
      <c r="V4" s="30">
        <v>0</v>
      </c>
      <c r="W4" s="30">
        <v>0</v>
      </c>
      <c r="X4" s="30">
        <v>0</v>
      </c>
      <c r="Y4" s="30">
        <v>0</v>
      </c>
      <c r="Z4" s="30">
        <v>0</v>
      </c>
      <c r="AA4" s="30">
        <v>0</v>
      </c>
      <c r="AB4" s="30">
        <v>0</v>
      </c>
      <c r="AC4" s="30" t="s">
        <v>407</v>
      </c>
      <c r="AD4" s="30"/>
      <c r="AE4" s="30">
        <v>0</v>
      </c>
    </row>
    <row r="5" spans="1:31" x14ac:dyDescent="0.25">
      <c r="A5">
        <v>205</v>
      </c>
      <c r="B5" t="s">
        <v>489</v>
      </c>
      <c r="C5" t="s">
        <v>461</v>
      </c>
      <c r="D5" s="33">
        <v>39740.400000000001</v>
      </c>
      <c r="E5">
        <v>1246274448</v>
      </c>
      <c r="F5" s="222">
        <v>46181</v>
      </c>
      <c r="G5" s="222"/>
      <c r="H5" t="s">
        <v>23</v>
      </c>
      <c r="I5" t="s">
        <v>24</v>
      </c>
      <c r="J5">
        <v>11353</v>
      </c>
      <c r="K5" s="222">
        <v>46153</v>
      </c>
      <c r="L5">
        <v>1010100</v>
      </c>
      <c r="M5" t="s">
        <v>29</v>
      </c>
      <c r="N5">
        <v>-8</v>
      </c>
      <c r="O5" s="30">
        <v>0</v>
      </c>
      <c r="P5" s="30">
        <v>0</v>
      </c>
      <c r="Q5" s="30">
        <v>39740.400000000001</v>
      </c>
      <c r="R5" s="30">
        <v>0</v>
      </c>
      <c r="S5" s="30">
        <v>0</v>
      </c>
      <c r="T5" s="30">
        <v>0</v>
      </c>
      <c r="U5" s="30">
        <v>0</v>
      </c>
      <c r="V5" s="30">
        <v>0</v>
      </c>
      <c r="W5" s="30">
        <v>0</v>
      </c>
      <c r="X5" s="30">
        <v>0</v>
      </c>
      <c r="Y5" s="30">
        <v>0</v>
      </c>
      <c r="Z5" s="30">
        <v>0</v>
      </c>
      <c r="AA5" s="30">
        <v>0</v>
      </c>
      <c r="AB5" s="30">
        <v>0</v>
      </c>
      <c r="AC5" s="30" t="s">
        <v>407</v>
      </c>
      <c r="AD5" s="30"/>
      <c r="AE5" s="30">
        <v>0</v>
      </c>
    </row>
    <row r="6" spans="1:31" x14ac:dyDescent="0.25">
      <c r="A6">
        <v>205</v>
      </c>
      <c r="B6" t="s">
        <v>489</v>
      </c>
      <c r="C6" t="s">
        <v>461</v>
      </c>
      <c r="D6" s="33">
        <v>40563.800000000003</v>
      </c>
      <c r="E6">
        <v>1246276656</v>
      </c>
      <c r="F6" s="222">
        <v>46195</v>
      </c>
      <c r="G6" s="222"/>
      <c r="H6" t="s">
        <v>23</v>
      </c>
      <c r="I6" t="s">
        <v>24</v>
      </c>
      <c r="J6">
        <v>11494</v>
      </c>
      <c r="K6" s="222">
        <v>46167</v>
      </c>
      <c r="L6">
        <v>1010100</v>
      </c>
      <c r="M6" t="s">
        <v>29</v>
      </c>
      <c r="N6">
        <v>-22</v>
      </c>
      <c r="O6" s="30">
        <v>0</v>
      </c>
      <c r="P6" s="30">
        <v>0</v>
      </c>
      <c r="Q6" s="30">
        <v>40563.800000000003</v>
      </c>
      <c r="R6" s="30">
        <v>0</v>
      </c>
      <c r="S6" s="30">
        <v>0</v>
      </c>
      <c r="T6" s="30">
        <v>0</v>
      </c>
      <c r="U6" s="30">
        <v>0</v>
      </c>
      <c r="V6" s="30">
        <v>0</v>
      </c>
      <c r="W6" s="30">
        <v>0</v>
      </c>
      <c r="X6" s="30">
        <v>0</v>
      </c>
      <c r="Y6" s="30">
        <v>0</v>
      </c>
      <c r="Z6" s="30">
        <v>0</v>
      </c>
      <c r="AA6" s="30">
        <v>0</v>
      </c>
      <c r="AB6" s="30">
        <v>0</v>
      </c>
      <c r="AC6" s="30" t="s">
        <v>407</v>
      </c>
      <c r="AD6" s="30"/>
      <c r="AE6" s="30">
        <v>0</v>
      </c>
    </row>
    <row r="7" spans="1:31" x14ac:dyDescent="0.25">
      <c r="A7">
        <v>205</v>
      </c>
      <c r="B7" t="s">
        <v>489</v>
      </c>
      <c r="C7" t="s">
        <v>461</v>
      </c>
      <c r="D7" s="33">
        <v>80924.399999999994</v>
      </c>
      <c r="E7">
        <v>1246275963</v>
      </c>
      <c r="F7" s="222">
        <v>46190</v>
      </c>
      <c r="G7" s="222"/>
      <c r="H7" t="s">
        <v>23</v>
      </c>
      <c r="I7" t="s">
        <v>24</v>
      </c>
      <c r="J7">
        <v>11454</v>
      </c>
      <c r="K7" s="222">
        <v>46162</v>
      </c>
      <c r="L7">
        <v>1010100</v>
      </c>
      <c r="M7" t="s">
        <v>29</v>
      </c>
      <c r="N7">
        <v>-17</v>
      </c>
      <c r="O7" s="30">
        <v>0</v>
      </c>
      <c r="P7" s="30">
        <v>0</v>
      </c>
      <c r="Q7" s="30">
        <v>80924.399999999994</v>
      </c>
      <c r="R7" s="30">
        <v>0</v>
      </c>
      <c r="S7" s="30">
        <v>0</v>
      </c>
      <c r="T7" s="30">
        <v>0</v>
      </c>
      <c r="U7" s="30">
        <v>0</v>
      </c>
      <c r="V7" s="30">
        <v>0</v>
      </c>
      <c r="W7" s="30">
        <v>0</v>
      </c>
      <c r="X7" s="30">
        <v>0</v>
      </c>
      <c r="Y7" s="30">
        <v>0</v>
      </c>
      <c r="Z7" s="30">
        <v>0</v>
      </c>
      <c r="AA7" s="30">
        <v>0</v>
      </c>
      <c r="AB7" s="30">
        <v>0</v>
      </c>
      <c r="AC7" s="30" t="s">
        <v>407</v>
      </c>
      <c r="AD7" s="30"/>
      <c r="AE7" s="30">
        <v>0</v>
      </c>
    </row>
    <row r="8" spans="1:31" x14ac:dyDescent="0.25">
      <c r="A8">
        <v>205</v>
      </c>
      <c r="B8" t="s">
        <v>489</v>
      </c>
      <c r="C8" t="s">
        <v>461</v>
      </c>
      <c r="D8" s="33">
        <v>81483.199999999997</v>
      </c>
      <c r="E8">
        <v>1246275071</v>
      </c>
      <c r="F8" s="222">
        <v>46184</v>
      </c>
      <c r="G8" s="222"/>
      <c r="H8" t="s">
        <v>23</v>
      </c>
      <c r="I8" t="s">
        <v>24</v>
      </c>
      <c r="J8">
        <v>11393</v>
      </c>
      <c r="K8" s="222">
        <v>46156</v>
      </c>
      <c r="L8">
        <v>1010100</v>
      </c>
      <c r="M8" t="s">
        <v>29</v>
      </c>
      <c r="N8">
        <v>-11</v>
      </c>
      <c r="O8" s="30">
        <v>0</v>
      </c>
      <c r="P8" s="30">
        <v>0</v>
      </c>
      <c r="Q8" s="30">
        <v>81483.199999999997</v>
      </c>
      <c r="R8" s="30">
        <v>0</v>
      </c>
      <c r="S8" s="30">
        <v>0</v>
      </c>
      <c r="T8" s="30">
        <v>0</v>
      </c>
      <c r="U8" s="30">
        <v>0</v>
      </c>
      <c r="V8" s="30">
        <v>0</v>
      </c>
      <c r="W8" s="30">
        <v>0</v>
      </c>
      <c r="X8" s="30">
        <v>0</v>
      </c>
      <c r="Y8" s="30">
        <v>0</v>
      </c>
      <c r="Z8" s="30">
        <v>0</v>
      </c>
      <c r="AA8" s="30">
        <v>0</v>
      </c>
      <c r="AB8" s="30">
        <v>0</v>
      </c>
      <c r="AC8" s="30" t="s">
        <v>407</v>
      </c>
      <c r="AD8" s="30"/>
      <c r="AE8" s="30">
        <v>0</v>
      </c>
    </row>
    <row r="9" spans="1:31" x14ac:dyDescent="0.25">
      <c r="A9">
        <v>205</v>
      </c>
      <c r="B9" t="s">
        <v>489</v>
      </c>
      <c r="C9" t="s">
        <v>461</v>
      </c>
      <c r="D9" s="33">
        <v>40965.800000000003</v>
      </c>
      <c r="E9">
        <v>1246276718</v>
      </c>
      <c r="F9" s="222">
        <v>46195</v>
      </c>
      <c r="G9" s="222"/>
      <c r="H9" t="s">
        <v>23</v>
      </c>
      <c r="I9" t="s">
        <v>24</v>
      </c>
      <c r="J9">
        <v>11496</v>
      </c>
      <c r="K9" s="222">
        <v>46167</v>
      </c>
      <c r="L9">
        <v>1010100</v>
      </c>
      <c r="M9" t="s">
        <v>29</v>
      </c>
      <c r="N9">
        <v>-22</v>
      </c>
      <c r="O9" s="30">
        <v>0</v>
      </c>
      <c r="P9" s="30">
        <v>0</v>
      </c>
      <c r="Q9" s="30">
        <v>40965.800000000003</v>
      </c>
      <c r="R9" s="30">
        <v>0</v>
      </c>
      <c r="S9" s="30">
        <v>0</v>
      </c>
      <c r="T9" s="30">
        <v>0</v>
      </c>
      <c r="U9" s="30">
        <v>0</v>
      </c>
      <c r="V9" s="30">
        <v>0</v>
      </c>
      <c r="W9" s="30">
        <v>0</v>
      </c>
      <c r="X9" s="30">
        <v>0</v>
      </c>
      <c r="Y9" s="30">
        <v>0</v>
      </c>
      <c r="Z9" s="30">
        <v>0</v>
      </c>
      <c r="AA9" s="30">
        <v>0</v>
      </c>
      <c r="AB9" s="30">
        <v>0</v>
      </c>
      <c r="AC9" s="30" t="s">
        <v>407</v>
      </c>
      <c r="AD9" s="30"/>
      <c r="AE9" s="30">
        <v>0</v>
      </c>
    </row>
    <row r="10" spans="1:31" x14ac:dyDescent="0.25">
      <c r="A10">
        <v>205</v>
      </c>
      <c r="B10" t="s">
        <v>489</v>
      </c>
      <c r="C10" t="s">
        <v>461</v>
      </c>
      <c r="D10" s="33">
        <v>81534</v>
      </c>
      <c r="E10">
        <v>1246275703</v>
      </c>
      <c r="F10" s="222">
        <v>46188</v>
      </c>
      <c r="G10" s="222"/>
      <c r="H10" t="s">
        <v>23</v>
      </c>
      <c r="I10" t="s">
        <v>24</v>
      </c>
      <c r="J10">
        <v>11436</v>
      </c>
      <c r="K10" s="222">
        <v>46160</v>
      </c>
      <c r="L10">
        <v>1010100</v>
      </c>
      <c r="M10" t="s">
        <v>29</v>
      </c>
      <c r="N10">
        <v>-15</v>
      </c>
      <c r="O10" s="30">
        <v>0</v>
      </c>
      <c r="P10" s="30">
        <v>0</v>
      </c>
      <c r="Q10" s="30">
        <v>81534</v>
      </c>
      <c r="R10" s="30">
        <v>0</v>
      </c>
      <c r="S10" s="30">
        <v>0</v>
      </c>
      <c r="T10" s="30">
        <v>0</v>
      </c>
      <c r="U10" s="30">
        <v>0</v>
      </c>
      <c r="V10" s="30">
        <v>0</v>
      </c>
      <c r="W10" s="30">
        <v>0</v>
      </c>
      <c r="X10" s="30">
        <v>0</v>
      </c>
      <c r="Y10" s="30">
        <v>0</v>
      </c>
      <c r="Z10" s="30">
        <v>0</v>
      </c>
      <c r="AA10" s="30">
        <v>0</v>
      </c>
      <c r="AB10" s="30">
        <v>0</v>
      </c>
      <c r="AC10" s="30" t="s">
        <v>407</v>
      </c>
      <c r="AD10" s="30"/>
      <c r="AE10" s="30">
        <v>0</v>
      </c>
    </row>
    <row r="11" spans="1:31" x14ac:dyDescent="0.25">
      <c r="A11">
        <v>205</v>
      </c>
      <c r="B11" t="s">
        <v>489</v>
      </c>
      <c r="C11" t="s">
        <v>461</v>
      </c>
      <c r="D11" s="33">
        <v>80981</v>
      </c>
      <c r="E11">
        <v>1246273653</v>
      </c>
      <c r="F11" s="222">
        <v>46175</v>
      </c>
      <c r="G11" s="222"/>
      <c r="H11" t="s">
        <v>23</v>
      </c>
      <c r="I11" t="s">
        <v>24</v>
      </c>
      <c r="J11">
        <v>11305</v>
      </c>
      <c r="K11" s="222">
        <v>46147</v>
      </c>
      <c r="L11">
        <v>1010100</v>
      </c>
      <c r="M11" t="s">
        <v>29</v>
      </c>
      <c r="N11">
        <v>-2</v>
      </c>
      <c r="O11" s="30">
        <v>0</v>
      </c>
      <c r="P11" s="30">
        <v>0</v>
      </c>
      <c r="Q11" s="30">
        <v>80981</v>
      </c>
      <c r="R11" s="30">
        <v>0</v>
      </c>
      <c r="S11" s="30">
        <v>0</v>
      </c>
      <c r="T11" s="30">
        <v>0</v>
      </c>
      <c r="U11" s="30">
        <v>0</v>
      </c>
      <c r="V11" s="30">
        <v>0</v>
      </c>
      <c r="W11" s="30">
        <v>0</v>
      </c>
      <c r="X11" s="30">
        <v>0</v>
      </c>
      <c r="Y11" s="30">
        <v>0</v>
      </c>
      <c r="Z11" s="30">
        <v>0</v>
      </c>
      <c r="AA11" s="30">
        <v>0</v>
      </c>
      <c r="AB11" s="30">
        <v>0</v>
      </c>
      <c r="AC11" s="30" t="s">
        <v>407</v>
      </c>
      <c r="AD11" s="30"/>
      <c r="AE11" s="30">
        <v>0</v>
      </c>
    </row>
    <row r="12" spans="1:31" x14ac:dyDescent="0.25">
      <c r="A12">
        <v>1257</v>
      </c>
      <c r="B12" t="s">
        <v>431</v>
      </c>
      <c r="C12" t="s">
        <v>53</v>
      </c>
      <c r="D12" s="33">
        <v>1980.8</v>
      </c>
      <c r="E12">
        <v>1246032946</v>
      </c>
      <c r="F12" s="222">
        <v>44774</v>
      </c>
      <c r="G12" s="222"/>
      <c r="H12" t="s">
        <v>23</v>
      </c>
      <c r="I12" t="s">
        <v>24</v>
      </c>
      <c r="J12">
        <v>17935</v>
      </c>
      <c r="K12" s="222">
        <v>44714</v>
      </c>
      <c r="L12">
        <v>1010100</v>
      </c>
      <c r="M12" t="s">
        <v>29</v>
      </c>
      <c r="N12">
        <v>1399</v>
      </c>
      <c r="O12" s="30">
        <v>0</v>
      </c>
      <c r="P12" s="30">
        <v>1980.8</v>
      </c>
      <c r="Q12" s="30">
        <v>0</v>
      </c>
      <c r="R12" s="30">
        <v>0</v>
      </c>
      <c r="S12" s="30">
        <v>0</v>
      </c>
      <c r="T12" s="30">
        <v>0</v>
      </c>
      <c r="U12" s="30">
        <v>1980.8</v>
      </c>
      <c r="V12" s="30">
        <v>0</v>
      </c>
      <c r="W12" s="30">
        <v>59.423999999999999</v>
      </c>
      <c r="X12" s="30">
        <v>1921.376</v>
      </c>
      <c r="Y12" s="30">
        <v>1921.376</v>
      </c>
      <c r="Z12" s="30">
        <v>1980.8</v>
      </c>
      <c r="AA12" s="30">
        <v>0</v>
      </c>
      <c r="AB12" s="30">
        <v>1980.8</v>
      </c>
      <c r="AC12" s="30" t="s">
        <v>457</v>
      </c>
      <c r="AD12" s="30"/>
      <c r="AE12" s="30">
        <v>1980.8</v>
      </c>
    </row>
    <row r="13" spans="1:31" x14ac:dyDescent="0.25">
      <c r="A13">
        <v>1953</v>
      </c>
      <c r="B13" t="s">
        <v>353</v>
      </c>
      <c r="C13" t="s">
        <v>736</v>
      </c>
      <c r="D13" s="33">
        <v>93906.5</v>
      </c>
      <c r="E13">
        <v>1246274539</v>
      </c>
      <c r="F13" s="222">
        <v>46214</v>
      </c>
      <c r="G13" s="222"/>
      <c r="H13" t="s">
        <v>23</v>
      </c>
      <c r="I13" t="s">
        <v>24</v>
      </c>
      <c r="J13">
        <v>11359</v>
      </c>
      <c r="K13" s="222">
        <v>46154</v>
      </c>
      <c r="L13">
        <v>1010100</v>
      </c>
      <c r="M13" t="s">
        <v>29</v>
      </c>
      <c r="N13">
        <v>-41</v>
      </c>
      <c r="O13" s="30">
        <v>0</v>
      </c>
      <c r="P13" s="30">
        <v>0</v>
      </c>
      <c r="Q13" s="30">
        <v>93906.5</v>
      </c>
      <c r="R13" s="30">
        <v>0</v>
      </c>
      <c r="S13" s="30">
        <v>0</v>
      </c>
      <c r="T13" s="30">
        <v>0</v>
      </c>
      <c r="U13" s="30">
        <v>0</v>
      </c>
      <c r="V13" s="30">
        <v>0</v>
      </c>
      <c r="W13" s="30">
        <v>0</v>
      </c>
      <c r="X13" s="30">
        <v>0</v>
      </c>
      <c r="Y13" s="30">
        <v>0</v>
      </c>
      <c r="Z13" s="30">
        <v>0</v>
      </c>
      <c r="AA13" s="30">
        <v>0</v>
      </c>
      <c r="AB13" s="30">
        <v>0</v>
      </c>
      <c r="AC13" s="30" t="s">
        <v>407</v>
      </c>
      <c r="AD13" s="30"/>
      <c r="AE13" s="30">
        <v>0</v>
      </c>
    </row>
    <row r="14" spans="1:31" x14ac:dyDescent="0.25">
      <c r="A14">
        <v>1787</v>
      </c>
      <c r="B14" t="s">
        <v>449</v>
      </c>
      <c r="C14" t="s">
        <v>58</v>
      </c>
      <c r="D14" s="33">
        <v>3600</v>
      </c>
      <c r="E14">
        <v>1246031589</v>
      </c>
      <c r="F14" s="222">
        <v>44784</v>
      </c>
      <c r="G14" s="222"/>
      <c r="H14" t="s">
        <v>23</v>
      </c>
      <c r="I14" t="s">
        <v>24</v>
      </c>
      <c r="J14">
        <v>1246031589</v>
      </c>
      <c r="K14" s="222">
        <v>44769</v>
      </c>
      <c r="L14">
        <v>3041000</v>
      </c>
      <c r="M14" t="s">
        <v>124</v>
      </c>
      <c r="N14">
        <v>1389</v>
      </c>
      <c r="O14" s="30">
        <v>0</v>
      </c>
      <c r="P14" s="30">
        <v>3600</v>
      </c>
      <c r="Q14" s="30">
        <v>0</v>
      </c>
      <c r="R14" s="30">
        <v>0</v>
      </c>
      <c r="S14" s="30">
        <v>0</v>
      </c>
      <c r="T14" s="30">
        <v>0</v>
      </c>
      <c r="U14" s="30">
        <v>3600</v>
      </c>
      <c r="V14" s="30">
        <v>0</v>
      </c>
      <c r="W14" s="30">
        <v>108</v>
      </c>
      <c r="X14" s="30">
        <v>3492</v>
      </c>
      <c r="Y14" s="30">
        <v>3492</v>
      </c>
      <c r="Z14" s="30">
        <v>3600</v>
      </c>
      <c r="AA14" s="30">
        <v>0</v>
      </c>
      <c r="AB14" s="30">
        <v>3600</v>
      </c>
      <c r="AC14" s="30" t="s">
        <v>457</v>
      </c>
      <c r="AD14" s="30"/>
      <c r="AE14" s="30">
        <v>3600</v>
      </c>
    </row>
    <row r="15" spans="1:31" x14ac:dyDescent="0.25">
      <c r="A15">
        <v>1787</v>
      </c>
      <c r="B15" t="s">
        <v>449</v>
      </c>
      <c r="C15" t="s">
        <v>58</v>
      </c>
      <c r="D15" s="33">
        <v>2700</v>
      </c>
      <c r="E15">
        <v>1246055596</v>
      </c>
      <c r="F15" s="222">
        <v>44889</v>
      </c>
      <c r="G15" s="222"/>
      <c r="H15" t="s">
        <v>23</v>
      </c>
      <c r="I15" t="s">
        <v>24</v>
      </c>
      <c r="J15">
        <v>1246055596</v>
      </c>
      <c r="K15" s="222">
        <v>44889</v>
      </c>
      <c r="L15">
        <v>3041000</v>
      </c>
      <c r="M15" t="s">
        <v>124</v>
      </c>
      <c r="N15">
        <v>1284</v>
      </c>
      <c r="O15" s="30">
        <v>0</v>
      </c>
      <c r="P15" s="30">
        <v>2700</v>
      </c>
      <c r="Q15" s="30">
        <v>0</v>
      </c>
      <c r="R15" s="30">
        <v>0</v>
      </c>
      <c r="S15" s="30">
        <v>0</v>
      </c>
      <c r="T15" s="30">
        <v>0</v>
      </c>
      <c r="U15" s="30">
        <v>2700</v>
      </c>
      <c r="V15" s="30">
        <v>0</v>
      </c>
      <c r="W15" s="30">
        <v>81</v>
      </c>
      <c r="X15" s="30">
        <v>2619</v>
      </c>
      <c r="Y15" s="30">
        <v>2619</v>
      </c>
      <c r="Z15" s="30">
        <v>2700</v>
      </c>
      <c r="AA15" s="30">
        <v>0</v>
      </c>
      <c r="AB15" s="30">
        <v>2700</v>
      </c>
      <c r="AC15" s="30" t="s">
        <v>457</v>
      </c>
      <c r="AD15" s="30"/>
      <c r="AE15" s="30">
        <v>2700</v>
      </c>
    </row>
    <row r="16" spans="1:31" x14ac:dyDescent="0.25">
      <c r="A16">
        <v>1787</v>
      </c>
      <c r="B16" t="s">
        <v>449</v>
      </c>
      <c r="C16" t="s">
        <v>58</v>
      </c>
      <c r="D16" s="33">
        <v>109862.39999999999</v>
      </c>
      <c r="E16">
        <v>1246271310</v>
      </c>
      <c r="F16" s="222">
        <v>46216</v>
      </c>
      <c r="G16" s="222"/>
      <c r="H16" t="s">
        <v>23</v>
      </c>
      <c r="I16" t="s">
        <v>24</v>
      </c>
      <c r="J16">
        <v>11116</v>
      </c>
      <c r="K16" s="222">
        <v>46126</v>
      </c>
      <c r="L16">
        <v>1010100</v>
      </c>
      <c r="M16" t="s">
        <v>29</v>
      </c>
      <c r="N16">
        <v>-43</v>
      </c>
      <c r="O16" s="30">
        <v>0</v>
      </c>
      <c r="P16" s="30">
        <v>0</v>
      </c>
      <c r="Q16" s="30">
        <v>109862.39999999999</v>
      </c>
      <c r="R16" s="30">
        <v>0</v>
      </c>
      <c r="S16" s="30">
        <v>0</v>
      </c>
      <c r="T16" s="30">
        <v>0</v>
      </c>
      <c r="U16" s="30">
        <v>0</v>
      </c>
      <c r="V16" s="30">
        <v>0</v>
      </c>
      <c r="W16" s="30">
        <v>0</v>
      </c>
      <c r="X16" s="30">
        <v>0</v>
      </c>
      <c r="Y16" s="30">
        <v>0</v>
      </c>
      <c r="Z16" s="30">
        <v>0</v>
      </c>
      <c r="AA16" s="30">
        <v>0</v>
      </c>
      <c r="AB16" s="30">
        <v>0</v>
      </c>
      <c r="AC16" s="30" t="s">
        <v>457</v>
      </c>
      <c r="AD16" s="30"/>
      <c r="AE16" s="30">
        <v>0</v>
      </c>
    </row>
    <row r="17" spans="1:31" x14ac:dyDescent="0.25">
      <c r="A17">
        <v>1787</v>
      </c>
      <c r="B17" t="s">
        <v>449</v>
      </c>
      <c r="C17" t="s">
        <v>58</v>
      </c>
      <c r="D17" s="33">
        <v>116928</v>
      </c>
      <c r="E17">
        <v>1246267948</v>
      </c>
      <c r="F17" s="222">
        <v>46187</v>
      </c>
      <c r="G17" s="222"/>
      <c r="H17" t="s">
        <v>23</v>
      </c>
      <c r="I17" t="s">
        <v>24</v>
      </c>
      <c r="J17">
        <v>10899</v>
      </c>
      <c r="K17" s="222">
        <v>46097</v>
      </c>
      <c r="L17">
        <v>1010100</v>
      </c>
      <c r="M17" t="s">
        <v>29</v>
      </c>
      <c r="N17">
        <v>-14</v>
      </c>
      <c r="O17" s="30">
        <v>0</v>
      </c>
      <c r="P17" s="30">
        <v>0</v>
      </c>
      <c r="Q17" s="30">
        <v>116928</v>
      </c>
      <c r="R17" s="30">
        <v>0</v>
      </c>
      <c r="S17" s="30">
        <v>0</v>
      </c>
      <c r="T17" s="30">
        <v>0</v>
      </c>
      <c r="U17" s="30">
        <v>0</v>
      </c>
      <c r="V17" s="30">
        <v>0</v>
      </c>
      <c r="W17" s="30">
        <v>0</v>
      </c>
      <c r="X17" s="30">
        <v>0</v>
      </c>
      <c r="Y17" s="30">
        <v>0</v>
      </c>
      <c r="Z17" s="30">
        <v>0</v>
      </c>
      <c r="AA17" s="30">
        <v>0</v>
      </c>
      <c r="AB17" s="30">
        <v>0</v>
      </c>
      <c r="AC17" s="30" t="s">
        <v>457</v>
      </c>
      <c r="AD17" s="30"/>
      <c r="AE17" s="30">
        <v>0</v>
      </c>
    </row>
    <row r="18" spans="1:31" x14ac:dyDescent="0.25">
      <c r="A18">
        <v>1787</v>
      </c>
      <c r="B18" t="s">
        <v>449</v>
      </c>
      <c r="C18" t="s">
        <v>58</v>
      </c>
      <c r="D18" s="33">
        <v>103795.2</v>
      </c>
      <c r="E18">
        <v>1246268633</v>
      </c>
      <c r="F18" s="222">
        <v>46194</v>
      </c>
      <c r="G18" s="222"/>
      <c r="H18" t="s">
        <v>23</v>
      </c>
      <c r="I18" t="s">
        <v>24</v>
      </c>
      <c r="J18">
        <v>10957</v>
      </c>
      <c r="K18" s="222">
        <v>46104</v>
      </c>
      <c r="L18">
        <v>1010100</v>
      </c>
      <c r="M18" t="s">
        <v>29</v>
      </c>
      <c r="N18">
        <v>-21</v>
      </c>
      <c r="O18" s="30">
        <v>0</v>
      </c>
      <c r="P18" s="30">
        <v>0</v>
      </c>
      <c r="Q18" s="30">
        <v>103795.2</v>
      </c>
      <c r="R18" s="30">
        <v>0</v>
      </c>
      <c r="S18" s="30">
        <v>0</v>
      </c>
      <c r="T18" s="30">
        <v>0</v>
      </c>
      <c r="U18" s="30">
        <v>0</v>
      </c>
      <c r="V18" s="30">
        <v>0</v>
      </c>
      <c r="W18" s="30">
        <v>0</v>
      </c>
      <c r="X18" s="30">
        <v>0</v>
      </c>
      <c r="Y18" s="30">
        <v>0</v>
      </c>
      <c r="Z18" s="30">
        <v>0</v>
      </c>
      <c r="AA18" s="30">
        <v>0</v>
      </c>
      <c r="AB18" s="30">
        <v>0</v>
      </c>
      <c r="AC18" s="30" t="s">
        <v>457</v>
      </c>
      <c r="AD18" s="30"/>
      <c r="AE18" s="30">
        <v>0</v>
      </c>
    </row>
    <row r="19" spans="1:31" x14ac:dyDescent="0.25">
      <c r="A19">
        <v>1787</v>
      </c>
      <c r="B19" t="s">
        <v>449</v>
      </c>
      <c r="C19" t="s">
        <v>58</v>
      </c>
      <c r="D19" s="33">
        <v>111360</v>
      </c>
      <c r="E19">
        <v>1246268748</v>
      </c>
      <c r="F19" s="222">
        <v>46195</v>
      </c>
      <c r="G19" s="222"/>
      <c r="H19" t="s">
        <v>23</v>
      </c>
      <c r="I19" t="s">
        <v>24</v>
      </c>
      <c r="J19">
        <v>10965</v>
      </c>
      <c r="K19" s="222">
        <v>46105</v>
      </c>
      <c r="L19">
        <v>1010100</v>
      </c>
      <c r="M19" t="s">
        <v>29</v>
      </c>
      <c r="N19">
        <v>-22</v>
      </c>
      <c r="O19" s="30">
        <v>0</v>
      </c>
      <c r="P19" s="30">
        <v>0</v>
      </c>
      <c r="Q19" s="30">
        <v>111360</v>
      </c>
      <c r="R19" s="30">
        <v>0</v>
      </c>
      <c r="S19" s="30">
        <v>0</v>
      </c>
      <c r="T19" s="30">
        <v>0</v>
      </c>
      <c r="U19" s="30">
        <v>0</v>
      </c>
      <c r="V19" s="30">
        <v>0</v>
      </c>
      <c r="W19" s="30">
        <v>0</v>
      </c>
      <c r="X19" s="30">
        <v>0</v>
      </c>
      <c r="Y19" s="30">
        <v>0</v>
      </c>
      <c r="Z19" s="30">
        <v>0</v>
      </c>
      <c r="AA19" s="30">
        <v>0</v>
      </c>
      <c r="AB19" s="30">
        <v>0</v>
      </c>
      <c r="AC19" s="30" t="s">
        <v>457</v>
      </c>
      <c r="AD19" s="30"/>
      <c r="AE19" s="30">
        <v>0</v>
      </c>
    </row>
    <row r="20" spans="1:31" x14ac:dyDescent="0.25">
      <c r="A20">
        <v>1787</v>
      </c>
      <c r="B20" t="s">
        <v>449</v>
      </c>
      <c r="C20" t="s">
        <v>58</v>
      </c>
      <c r="D20" s="33">
        <v>107623.19</v>
      </c>
      <c r="E20">
        <v>1246274937</v>
      </c>
      <c r="F20" s="222">
        <v>46245</v>
      </c>
      <c r="G20" s="222"/>
      <c r="H20" t="s">
        <v>23</v>
      </c>
      <c r="I20" t="s">
        <v>24</v>
      </c>
      <c r="J20">
        <v>11387</v>
      </c>
      <c r="K20" s="222">
        <v>46155</v>
      </c>
      <c r="L20">
        <v>1010100</v>
      </c>
      <c r="M20" t="s">
        <v>29</v>
      </c>
      <c r="N20">
        <v>-72</v>
      </c>
      <c r="O20" s="30">
        <v>0</v>
      </c>
      <c r="P20" s="30">
        <v>0</v>
      </c>
      <c r="Q20" s="30">
        <v>107623.19</v>
      </c>
      <c r="R20" s="30">
        <v>0</v>
      </c>
      <c r="S20" s="30">
        <v>0</v>
      </c>
      <c r="T20" s="30">
        <v>0</v>
      </c>
      <c r="U20" s="30">
        <v>0</v>
      </c>
      <c r="V20" s="30">
        <v>0</v>
      </c>
      <c r="W20" s="30">
        <v>0</v>
      </c>
      <c r="X20" s="30">
        <v>0</v>
      </c>
      <c r="Y20" s="30">
        <v>0</v>
      </c>
      <c r="Z20" s="30">
        <v>0</v>
      </c>
      <c r="AA20" s="30">
        <v>0</v>
      </c>
      <c r="AB20" s="30">
        <v>0</v>
      </c>
      <c r="AC20" s="30" t="s">
        <v>457</v>
      </c>
      <c r="AD20" s="30"/>
      <c r="AE20" s="30">
        <v>0</v>
      </c>
    </row>
    <row r="21" spans="1:31" x14ac:dyDescent="0.25">
      <c r="A21">
        <v>1787</v>
      </c>
      <c r="B21" t="s">
        <v>449</v>
      </c>
      <c r="C21" t="s">
        <v>58</v>
      </c>
      <c r="D21" s="33">
        <v>109094.39999999999</v>
      </c>
      <c r="E21">
        <v>1246273355</v>
      </c>
      <c r="F21" s="222">
        <v>46236</v>
      </c>
      <c r="G21" s="222"/>
      <c r="H21" t="s">
        <v>23</v>
      </c>
      <c r="I21" t="s">
        <v>24</v>
      </c>
      <c r="J21">
        <v>11279</v>
      </c>
      <c r="K21" s="222">
        <v>46146</v>
      </c>
      <c r="L21">
        <v>1010100</v>
      </c>
      <c r="M21" t="s">
        <v>29</v>
      </c>
      <c r="N21">
        <v>-63</v>
      </c>
      <c r="O21" s="30">
        <v>0</v>
      </c>
      <c r="P21" s="30">
        <v>0</v>
      </c>
      <c r="Q21" s="30">
        <v>109094.39999999999</v>
      </c>
      <c r="R21" s="30">
        <v>0</v>
      </c>
      <c r="S21" s="30">
        <v>0</v>
      </c>
      <c r="T21" s="30">
        <v>0</v>
      </c>
      <c r="U21" s="30">
        <v>0</v>
      </c>
      <c r="V21" s="30">
        <v>0</v>
      </c>
      <c r="W21" s="30">
        <v>0</v>
      </c>
      <c r="X21" s="30">
        <v>0</v>
      </c>
      <c r="Y21" s="30">
        <v>0</v>
      </c>
      <c r="Z21" s="30">
        <v>0</v>
      </c>
      <c r="AA21" s="30">
        <v>0</v>
      </c>
      <c r="AB21" s="30">
        <v>0</v>
      </c>
      <c r="AC21" s="30" t="s">
        <v>457</v>
      </c>
      <c r="AD21" s="30"/>
      <c r="AE21" s="30">
        <v>0</v>
      </c>
    </row>
    <row r="22" spans="1:31" x14ac:dyDescent="0.25">
      <c r="A22">
        <v>1787</v>
      </c>
      <c r="B22" t="s">
        <v>449</v>
      </c>
      <c r="C22" t="s">
        <v>58</v>
      </c>
      <c r="D22" s="33">
        <v>114662.39999999999</v>
      </c>
      <c r="E22">
        <v>1246268585</v>
      </c>
      <c r="F22" s="222">
        <v>46191</v>
      </c>
      <c r="G22" s="222"/>
      <c r="H22" t="s">
        <v>23</v>
      </c>
      <c r="I22" t="s">
        <v>24</v>
      </c>
      <c r="J22">
        <v>10953</v>
      </c>
      <c r="K22" s="222">
        <v>46101</v>
      </c>
      <c r="L22">
        <v>1010100</v>
      </c>
      <c r="M22" t="s">
        <v>29</v>
      </c>
      <c r="N22">
        <v>-18</v>
      </c>
      <c r="O22" s="30">
        <v>0</v>
      </c>
      <c r="P22" s="30">
        <v>0</v>
      </c>
      <c r="Q22" s="30">
        <v>114662.39999999999</v>
      </c>
      <c r="R22" s="30">
        <v>0</v>
      </c>
      <c r="S22" s="30">
        <v>0</v>
      </c>
      <c r="T22" s="30">
        <v>0</v>
      </c>
      <c r="U22" s="30">
        <v>0</v>
      </c>
      <c r="V22" s="30">
        <v>0</v>
      </c>
      <c r="W22" s="30">
        <v>0</v>
      </c>
      <c r="X22" s="30">
        <v>0</v>
      </c>
      <c r="Y22" s="30">
        <v>0</v>
      </c>
      <c r="Z22" s="30">
        <v>0</v>
      </c>
      <c r="AA22" s="30">
        <v>0</v>
      </c>
      <c r="AB22" s="30">
        <v>0</v>
      </c>
      <c r="AC22" s="30" t="s">
        <v>457</v>
      </c>
      <c r="AD22" s="30"/>
      <c r="AE22" s="30">
        <v>0</v>
      </c>
    </row>
    <row r="23" spans="1:31" x14ac:dyDescent="0.25">
      <c r="A23">
        <v>1787</v>
      </c>
      <c r="B23" t="s">
        <v>449</v>
      </c>
      <c r="C23" t="s">
        <v>58</v>
      </c>
      <c r="D23" s="33">
        <v>115852.8</v>
      </c>
      <c r="E23">
        <v>1246270635</v>
      </c>
      <c r="F23" s="222">
        <v>46210</v>
      </c>
      <c r="G23" s="222"/>
      <c r="H23" t="s">
        <v>23</v>
      </c>
      <c r="I23" t="s">
        <v>24</v>
      </c>
      <c r="J23">
        <v>11072</v>
      </c>
      <c r="K23" s="222">
        <v>46120</v>
      </c>
      <c r="L23">
        <v>1010100</v>
      </c>
      <c r="M23" t="s">
        <v>29</v>
      </c>
      <c r="N23">
        <v>-37</v>
      </c>
      <c r="O23" s="30">
        <v>0</v>
      </c>
      <c r="P23" s="30">
        <v>0</v>
      </c>
      <c r="Q23" s="30">
        <v>115852.8</v>
      </c>
      <c r="R23" s="30">
        <v>0</v>
      </c>
      <c r="S23" s="30">
        <v>0</v>
      </c>
      <c r="T23" s="30">
        <v>0</v>
      </c>
      <c r="U23" s="30">
        <v>0</v>
      </c>
      <c r="V23" s="30">
        <v>0</v>
      </c>
      <c r="W23" s="30">
        <v>0</v>
      </c>
      <c r="X23" s="30">
        <v>0</v>
      </c>
      <c r="Y23" s="30">
        <v>0</v>
      </c>
      <c r="Z23" s="30">
        <v>0</v>
      </c>
      <c r="AA23" s="30">
        <v>0</v>
      </c>
      <c r="AB23" s="30">
        <v>0</v>
      </c>
      <c r="AC23" s="30" t="s">
        <v>457</v>
      </c>
      <c r="AD23" s="30"/>
      <c r="AE23" s="30">
        <v>0</v>
      </c>
    </row>
    <row r="24" spans="1:31" x14ac:dyDescent="0.25">
      <c r="A24">
        <v>1787</v>
      </c>
      <c r="B24" t="s">
        <v>449</v>
      </c>
      <c r="C24" t="s">
        <v>58</v>
      </c>
      <c r="D24" s="33">
        <v>114739.2</v>
      </c>
      <c r="E24">
        <v>1246271165</v>
      </c>
      <c r="F24" s="222">
        <v>46215</v>
      </c>
      <c r="G24" s="222"/>
      <c r="H24" t="s">
        <v>23</v>
      </c>
      <c r="I24" t="s">
        <v>24</v>
      </c>
      <c r="J24">
        <v>11105</v>
      </c>
      <c r="K24" s="222">
        <v>46125</v>
      </c>
      <c r="L24">
        <v>1010100</v>
      </c>
      <c r="M24" t="s">
        <v>29</v>
      </c>
      <c r="N24">
        <v>-42</v>
      </c>
      <c r="O24" s="30">
        <v>0</v>
      </c>
      <c r="P24" s="30">
        <v>0</v>
      </c>
      <c r="Q24" s="30">
        <v>114739.2</v>
      </c>
      <c r="R24" s="30">
        <v>0</v>
      </c>
      <c r="S24" s="30">
        <v>0</v>
      </c>
      <c r="T24" s="30">
        <v>0</v>
      </c>
      <c r="U24" s="30">
        <v>0</v>
      </c>
      <c r="V24" s="30">
        <v>0</v>
      </c>
      <c r="W24" s="30">
        <v>0</v>
      </c>
      <c r="X24" s="30">
        <v>0</v>
      </c>
      <c r="Y24" s="30">
        <v>0</v>
      </c>
      <c r="Z24" s="30">
        <v>0</v>
      </c>
      <c r="AA24" s="30">
        <v>0</v>
      </c>
      <c r="AB24" s="30">
        <v>0</v>
      </c>
      <c r="AC24" s="30" t="s">
        <v>457</v>
      </c>
      <c r="AD24" s="30"/>
      <c r="AE24" s="30">
        <v>0</v>
      </c>
    </row>
    <row r="25" spans="1:31" x14ac:dyDescent="0.25">
      <c r="A25">
        <v>1787</v>
      </c>
      <c r="B25" t="s">
        <v>449</v>
      </c>
      <c r="C25" t="s">
        <v>58</v>
      </c>
      <c r="D25" s="33">
        <v>118009.58</v>
      </c>
      <c r="E25">
        <v>1246276399</v>
      </c>
      <c r="F25" s="222">
        <v>46254</v>
      </c>
      <c r="G25" s="222"/>
      <c r="H25" t="s">
        <v>23</v>
      </c>
      <c r="I25" t="s">
        <v>24</v>
      </c>
      <c r="J25">
        <v>11478</v>
      </c>
      <c r="K25" s="222">
        <v>46164</v>
      </c>
      <c r="L25">
        <v>1010100</v>
      </c>
      <c r="M25" t="s">
        <v>29</v>
      </c>
      <c r="N25">
        <v>-81</v>
      </c>
      <c r="O25" s="30">
        <v>0</v>
      </c>
      <c r="P25" s="30">
        <v>0</v>
      </c>
      <c r="Q25" s="30">
        <v>118009.58</v>
      </c>
      <c r="R25" s="30">
        <v>0</v>
      </c>
      <c r="S25" s="30">
        <v>0</v>
      </c>
      <c r="T25" s="30">
        <v>0</v>
      </c>
      <c r="U25" s="30">
        <v>0</v>
      </c>
      <c r="V25" s="30">
        <v>0</v>
      </c>
      <c r="W25" s="30">
        <v>0</v>
      </c>
      <c r="X25" s="30">
        <v>0</v>
      </c>
      <c r="Y25" s="30">
        <v>0</v>
      </c>
      <c r="Z25" s="30">
        <v>0</v>
      </c>
      <c r="AA25" s="30">
        <v>0</v>
      </c>
      <c r="AB25" s="30">
        <v>0</v>
      </c>
      <c r="AC25" s="30" t="s">
        <v>457</v>
      </c>
      <c r="AD25" s="30"/>
      <c r="AE25" s="30">
        <v>0</v>
      </c>
    </row>
    <row r="26" spans="1:31" x14ac:dyDescent="0.25">
      <c r="A26">
        <v>1787</v>
      </c>
      <c r="B26" t="s">
        <v>449</v>
      </c>
      <c r="C26" t="s">
        <v>58</v>
      </c>
      <c r="D26" s="33">
        <v>113356.8</v>
      </c>
      <c r="E26">
        <v>1246269731</v>
      </c>
      <c r="F26" s="222">
        <v>46202</v>
      </c>
      <c r="G26" s="222"/>
      <c r="H26" t="s">
        <v>23</v>
      </c>
      <c r="I26" t="s">
        <v>24</v>
      </c>
      <c r="J26">
        <v>11014</v>
      </c>
      <c r="K26" s="222">
        <v>46112</v>
      </c>
      <c r="L26">
        <v>1010100</v>
      </c>
      <c r="M26" t="s">
        <v>29</v>
      </c>
      <c r="N26">
        <v>-29</v>
      </c>
      <c r="O26" s="30">
        <v>0</v>
      </c>
      <c r="P26" s="30">
        <v>0</v>
      </c>
      <c r="Q26" s="30">
        <v>113356.8</v>
      </c>
      <c r="R26" s="30">
        <v>0</v>
      </c>
      <c r="S26" s="30">
        <v>0</v>
      </c>
      <c r="T26" s="30">
        <v>0</v>
      </c>
      <c r="U26" s="30">
        <v>0</v>
      </c>
      <c r="V26" s="30">
        <v>0</v>
      </c>
      <c r="W26" s="30">
        <v>0</v>
      </c>
      <c r="X26" s="30">
        <v>0</v>
      </c>
      <c r="Y26" s="30">
        <v>0</v>
      </c>
      <c r="Z26" s="30">
        <v>0</v>
      </c>
      <c r="AA26" s="30">
        <v>0</v>
      </c>
      <c r="AB26" s="30">
        <v>0</v>
      </c>
      <c r="AC26" s="30" t="s">
        <v>457</v>
      </c>
      <c r="AD26" s="30"/>
      <c r="AE26" s="30">
        <v>0</v>
      </c>
    </row>
    <row r="27" spans="1:31" x14ac:dyDescent="0.25">
      <c r="A27">
        <v>1787</v>
      </c>
      <c r="B27" t="s">
        <v>449</v>
      </c>
      <c r="C27" t="s">
        <v>58</v>
      </c>
      <c r="D27" s="33">
        <v>110246.39999999999</v>
      </c>
      <c r="E27">
        <v>1246272757</v>
      </c>
      <c r="F27" s="222">
        <v>46229</v>
      </c>
      <c r="G27" s="222"/>
      <c r="H27" t="s">
        <v>23</v>
      </c>
      <c r="I27" t="s">
        <v>24</v>
      </c>
      <c r="J27">
        <v>11229</v>
      </c>
      <c r="K27" s="222">
        <v>46139</v>
      </c>
      <c r="L27">
        <v>1010100</v>
      </c>
      <c r="M27" t="s">
        <v>29</v>
      </c>
      <c r="N27">
        <v>-56</v>
      </c>
      <c r="O27" s="30">
        <v>0</v>
      </c>
      <c r="P27" s="30">
        <v>0</v>
      </c>
      <c r="Q27" s="30">
        <v>110246.39999999999</v>
      </c>
      <c r="R27" s="30">
        <v>0</v>
      </c>
      <c r="S27" s="30">
        <v>0</v>
      </c>
      <c r="T27" s="30">
        <v>0</v>
      </c>
      <c r="U27" s="30">
        <v>0</v>
      </c>
      <c r="V27" s="30">
        <v>0</v>
      </c>
      <c r="W27" s="30">
        <v>0</v>
      </c>
      <c r="X27" s="30">
        <v>0</v>
      </c>
      <c r="Y27" s="30">
        <v>0</v>
      </c>
      <c r="Z27" s="30">
        <v>0</v>
      </c>
      <c r="AA27" s="30">
        <v>0</v>
      </c>
      <c r="AB27" s="30">
        <v>0</v>
      </c>
      <c r="AC27" s="30" t="s">
        <v>457</v>
      </c>
      <c r="AD27" s="30"/>
      <c r="AE27" s="30">
        <v>0</v>
      </c>
    </row>
    <row r="28" spans="1:31" x14ac:dyDescent="0.25">
      <c r="A28">
        <v>1787</v>
      </c>
      <c r="B28" t="s">
        <v>449</v>
      </c>
      <c r="C28" t="s">
        <v>58</v>
      </c>
      <c r="D28" s="33">
        <v>118009.58</v>
      </c>
      <c r="E28">
        <v>1246277175</v>
      </c>
      <c r="F28" s="222">
        <v>46259</v>
      </c>
      <c r="G28" s="222"/>
      <c r="H28" t="s">
        <v>23</v>
      </c>
      <c r="I28" t="s">
        <v>24</v>
      </c>
      <c r="J28">
        <v>11526</v>
      </c>
      <c r="K28" s="222">
        <v>46169</v>
      </c>
      <c r="L28">
        <v>1010100</v>
      </c>
      <c r="M28" t="s">
        <v>29</v>
      </c>
      <c r="N28">
        <v>-86</v>
      </c>
      <c r="O28" s="30">
        <v>0</v>
      </c>
      <c r="P28" s="30">
        <v>0</v>
      </c>
      <c r="Q28" s="30">
        <v>118009.58</v>
      </c>
      <c r="R28" s="30">
        <v>0</v>
      </c>
      <c r="S28" s="30">
        <v>0</v>
      </c>
      <c r="T28" s="30">
        <v>0</v>
      </c>
      <c r="U28" s="30">
        <v>0</v>
      </c>
      <c r="V28" s="30">
        <v>0</v>
      </c>
      <c r="W28" s="30">
        <v>0</v>
      </c>
      <c r="X28" s="30">
        <v>0</v>
      </c>
      <c r="Y28" s="30">
        <v>0</v>
      </c>
      <c r="Z28" s="30">
        <v>0</v>
      </c>
      <c r="AA28" s="30">
        <v>0</v>
      </c>
      <c r="AB28" s="30">
        <v>0</v>
      </c>
      <c r="AC28" s="30" t="s">
        <v>457</v>
      </c>
      <c r="AD28" s="30"/>
      <c r="AE28" s="30">
        <v>0</v>
      </c>
    </row>
    <row r="29" spans="1:31" x14ac:dyDescent="0.25">
      <c r="A29">
        <v>1787</v>
      </c>
      <c r="B29" t="s">
        <v>449</v>
      </c>
      <c r="C29" t="s">
        <v>58</v>
      </c>
      <c r="D29" s="33">
        <v>115046.39999999999</v>
      </c>
      <c r="E29">
        <v>1246267207</v>
      </c>
      <c r="F29" s="222">
        <v>46181</v>
      </c>
      <c r="G29" s="222"/>
      <c r="H29" t="s">
        <v>23</v>
      </c>
      <c r="I29" t="s">
        <v>24</v>
      </c>
      <c r="J29">
        <v>10856</v>
      </c>
      <c r="K29" s="222">
        <v>46091</v>
      </c>
      <c r="L29">
        <v>1010100</v>
      </c>
      <c r="M29" t="s">
        <v>29</v>
      </c>
      <c r="N29">
        <v>-8</v>
      </c>
      <c r="O29" s="30">
        <v>0</v>
      </c>
      <c r="P29" s="30">
        <v>0</v>
      </c>
      <c r="Q29" s="30">
        <v>115046.39999999999</v>
      </c>
      <c r="R29" s="30">
        <v>0</v>
      </c>
      <c r="S29" s="30">
        <v>0</v>
      </c>
      <c r="T29" s="30">
        <v>0</v>
      </c>
      <c r="U29" s="30">
        <v>0</v>
      </c>
      <c r="V29" s="30">
        <v>0</v>
      </c>
      <c r="W29" s="30">
        <v>0</v>
      </c>
      <c r="X29" s="30">
        <v>0</v>
      </c>
      <c r="Y29" s="30">
        <v>0</v>
      </c>
      <c r="Z29" s="30">
        <v>0</v>
      </c>
      <c r="AA29" s="30">
        <v>0</v>
      </c>
      <c r="AB29" s="30">
        <v>0</v>
      </c>
      <c r="AC29" s="30" t="s">
        <v>457</v>
      </c>
      <c r="AD29" s="30"/>
      <c r="AE29" s="30">
        <v>0</v>
      </c>
    </row>
    <row r="30" spans="1:31" x14ac:dyDescent="0.25">
      <c r="A30">
        <v>1787</v>
      </c>
      <c r="B30" t="s">
        <v>449</v>
      </c>
      <c r="C30" t="s">
        <v>58</v>
      </c>
      <c r="D30" s="33">
        <v>115968</v>
      </c>
      <c r="E30">
        <v>1246270152</v>
      </c>
      <c r="F30" s="222">
        <v>46204</v>
      </c>
      <c r="G30" s="222"/>
      <c r="H30" t="s">
        <v>23</v>
      </c>
      <c r="I30" t="s">
        <v>24</v>
      </c>
      <c r="J30">
        <v>11043</v>
      </c>
      <c r="K30" s="222">
        <v>46114</v>
      </c>
      <c r="L30">
        <v>1010100</v>
      </c>
      <c r="M30" t="s">
        <v>29</v>
      </c>
      <c r="N30">
        <v>-31</v>
      </c>
      <c r="O30" s="30">
        <v>0</v>
      </c>
      <c r="P30" s="30">
        <v>0</v>
      </c>
      <c r="Q30" s="30">
        <v>115968</v>
      </c>
      <c r="R30" s="30">
        <v>0</v>
      </c>
      <c r="S30" s="30">
        <v>0</v>
      </c>
      <c r="T30" s="30">
        <v>0</v>
      </c>
      <c r="U30" s="30">
        <v>0</v>
      </c>
      <c r="V30" s="30">
        <v>0</v>
      </c>
      <c r="W30" s="30">
        <v>0</v>
      </c>
      <c r="X30" s="30">
        <v>0</v>
      </c>
      <c r="Y30" s="30">
        <v>0</v>
      </c>
      <c r="Z30" s="30">
        <v>0</v>
      </c>
      <c r="AA30" s="30">
        <v>0</v>
      </c>
      <c r="AB30" s="30">
        <v>0</v>
      </c>
      <c r="AC30" s="30" t="s">
        <v>457</v>
      </c>
      <c r="AD30" s="30"/>
      <c r="AE30" s="30">
        <v>0</v>
      </c>
    </row>
    <row r="31" spans="1:31" x14ac:dyDescent="0.25">
      <c r="A31">
        <v>1787</v>
      </c>
      <c r="B31" t="s">
        <v>449</v>
      </c>
      <c r="C31" t="s">
        <v>58</v>
      </c>
      <c r="D31" s="33">
        <v>116889.60000000001</v>
      </c>
      <c r="E31">
        <v>1246271830</v>
      </c>
      <c r="F31" s="222">
        <v>46222</v>
      </c>
      <c r="G31" s="222"/>
      <c r="H31" t="s">
        <v>23</v>
      </c>
      <c r="I31" t="s">
        <v>24</v>
      </c>
      <c r="J31">
        <v>11172</v>
      </c>
      <c r="K31" s="222">
        <v>46132</v>
      </c>
      <c r="L31">
        <v>1010100</v>
      </c>
      <c r="M31" t="s">
        <v>29</v>
      </c>
      <c r="N31">
        <v>-49</v>
      </c>
      <c r="O31" s="30">
        <v>0</v>
      </c>
      <c r="P31" s="30">
        <v>0</v>
      </c>
      <c r="Q31" s="30">
        <v>116889.60000000001</v>
      </c>
      <c r="R31" s="30">
        <v>0</v>
      </c>
      <c r="S31" s="30">
        <v>0</v>
      </c>
      <c r="T31" s="30">
        <v>0</v>
      </c>
      <c r="U31" s="30">
        <v>0</v>
      </c>
      <c r="V31" s="30">
        <v>0</v>
      </c>
      <c r="W31" s="30">
        <v>0</v>
      </c>
      <c r="X31" s="30">
        <v>0</v>
      </c>
      <c r="Y31" s="30">
        <v>0</v>
      </c>
      <c r="Z31" s="30">
        <v>0</v>
      </c>
      <c r="AA31" s="30">
        <v>0</v>
      </c>
      <c r="AB31" s="30">
        <v>0</v>
      </c>
      <c r="AC31" s="30" t="s">
        <v>457</v>
      </c>
      <c r="AD31" s="30"/>
      <c r="AE31" s="30">
        <v>0</v>
      </c>
    </row>
    <row r="32" spans="1:31" x14ac:dyDescent="0.25">
      <c r="A32">
        <v>1787</v>
      </c>
      <c r="B32" t="s">
        <v>449</v>
      </c>
      <c r="C32" t="s">
        <v>58</v>
      </c>
      <c r="D32" s="33">
        <v>114676.64</v>
      </c>
      <c r="E32">
        <v>1246277004</v>
      </c>
      <c r="F32" s="222">
        <v>46258</v>
      </c>
      <c r="G32" s="222"/>
      <c r="H32" t="s">
        <v>23</v>
      </c>
      <c r="I32" t="s">
        <v>24</v>
      </c>
      <c r="J32">
        <v>11512</v>
      </c>
      <c r="K32" s="222">
        <v>46168</v>
      </c>
      <c r="L32">
        <v>1010100</v>
      </c>
      <c r="M32" t="s">
        <v>29</v>
      </c>
      <c r="N32">
        <v>-85</v>
      </c>
      <c r="O32" s="30">
        <v>0</v>
      </c>
      <c r="P32" s="30">
        <v>0</v>
      </c>
      <c r="Q32" s="30">
        <v>114676.64</v>
      </c>
      <c r="R32" s="30">
        <v>0</v>
      </c>
      <c r="S32" s="30">
        <v>0</v>
      </c>
      <c r="T32" s="30">
        <v>0</v>
      </c>
      <c r="U32" s="30">
        <v>0</v>
      </c>
      <c r="V32" s="30">
        <v>0</v>
      </c>
      <c r="W32" s="30">
        <v>0</v>
      </c>
      <c r="X32" s="30">
        <v>0</v>
      </c>
      <c r="Y32" s="30">
        <v>0</v>
      </c>
      <c r="Z32" s="30">
        <v>0</v>
      </c>
      <c r="AA32" s="30">
        <v>0</v>
      </c>
      <c r="AB32" s="30">
        <v>0</v>
      </c>
      <c r="AC32" s="30" t="s">
        <v>457</v>
      </c>
      <c r="AD32" s="30"/>
      <c r="AE32" s="30">
        <v>0</v>
      </c>
    </row>
    <row r="33" spans="1:31" x14ac:dyDescent="0.25">
      <c r="A33">
        <v>1787</v>
      </c>
      <c r="B33" t="s">
        <v>449</v>
      </c>
      <c r="C33" t="s">
        <v>58</v>
      </c>
      <c r="D33" s="33">
        <v>109444.68</v>
      </c>
      <c r="E33">
        <v>1246275965</v>
      </c>
      <c r="F33" s="222">
        <v>46252</v>
      </c>
      <c r="G33" s="222"/>
      <c r="H33" t="s">
        <v>23</v>
      </c>
      <c r="I33" t="s">
        <v>24</v>
      </c>
      <c r="J33">
        <v>11453</v>
      </c>
      <c r="K33" s="222">
        <v>46162</v>
      </c>
      <c r="L33">
        <v>1010100</v>
      </c>
      <c r="M33" t="s">
        <v>29</v>
      </c>
      <c r="N33">
        <v>-79</v>
      </c>
      <c r="O33" s="30">
        <v>0</v>
      </c>
      <c r="P33" s="30">
        <v>0</v>
      </c>
      <c r="Q33" s="30">
        <v>109444.68</v>
      </c>
      <c r="R33" s="30">
        <v>0</v>
      </c>
      <c r="S33" s="30">
        <v>0</v>
      </c>
      <c r="T33" s="30">
        <v>0</v>
      </c>
      <c r="U33" s="30">
        <v>0</v>
      </c>
      <c r="V33" s="30">
        <v>0</v>
      </c>
      <c r="W33" s="30">
        <v>0</v>
      </c>
      <c r="X33" s="30">
        <v>0</v>
      </c>
      <c r="Y33" s="30">
        <v>0</v>
      </c>
      <c r="Z33" s="30">
        <v>0</v>
      </c>
      <c r="AA33" s="30">
        <v>0</v>
      </c>
      <c r="AB33" s="30">
        <v>0</v>
      </c>
      <c r="AC33" s="30" t="s">
        <v>457</v>
      </c>
      <c r="AD33" s="30"/>
      <c r="AE33" s="30">
        <v>0</v>
      </c>
    </row>
    <row r="34" spans="1:31" x14ac:dyDescent="0.25">
      <c r="A34">
        <v>1787</v>
      </c>
      <c r="B34" t="s">
        <v>449</v>
      </c>
      <c r="C34" t="s">
        <v>58</v>
      </c>
      <c r="D34" s="33">
        <v>86385.46</v>
      </c>
      <c r="E34">
        <v>1246275507</v>
      </c>
      <c r="F34" s="222">
        <v>46247</v>
      </c>
      <c r="G34" s="222"/>
      <c r="H34" t="s">
        <v>23</v>
      </c>
      <c r="I34" t="s">
        <v>24</v>
      </c>
      <c r="J34">
        <v>11416</v>
      </c>
      <c r="K34" s="222">
        <v>46157</v>
      </c>
      <c r="L34">
        <v>1010100</v>
      </c>
      <c r="M34" t="s">
        <v>29</v>
      </c>
      <c r="N34">
        <v>-74</v>
      </c>
      <c r="O34" s="30">
        <v>0</v>
      </c>
      <c r="P34" s="30">
        <v>0</v>
      </c>
      <c r="Q34" s="30">
        <v>86385.46</v>
      </c>
      <c r="R34" s="30">
        <v>0</v>
      </c>
      <c r="S34" s="30">
        <v>0</v>
      </c>
      <c r="T34" s="30">
        <v>0</v>
      </c>
      <c r="U34" s="30">
        <v>0</v>
      </c>
      <c r="V34" s="30">
        <v>0</v>
      </c>
      <c r="W34" s="30">
        <v>0</v>
      </c>
      <c r="X34" s="30">
        <v>0</v>
      </c>
      <c r="Y34" s="30">
        <v>0</v>
      </c>
      <c r="Z34" s="30">
        <v>0</v>
      </c>
      <c r="AA34" s="30">
        <v>0</v>
      </c>
      <c r="AB34" s="30">
        <v>0</v>
      </c>
      <c r="AC34" s="30" t="s">
        <v>457</v>
      </c>
      <c r="AD34" s="30"/>
      <c r="AE34" s="30">
        <v>0</v>
      </c>
    </row>
    <row r="35" spans="1:31" x14ac:dyDescent="0.25">
      <c r="A35">
        <v>1787</v>
      </c>
      <c r="B35" t="s">
        <v>449</v>
      </c>
      <c r="C35" t="s">
        <v>58</v>
      </c>
      <c r="D35" s="33">
        <v>110937.60000000001</v>
      </c>
      <c r="E35">
        <v>1246268467</v>
      </c>
      <c r="F35" s="222">
        <v>46190</v>
      </c>
      <c r="G35" s="222"/>
      <c r="H35" t="s">
        <v>23</v>
      </c>
      <c r="I35" t="s">
        <v>24</v>
      </c>
      <c r="J35">
        <v>10936</v>
      </c>
      <c r="K35" s="222">
        <v>46100</v>
      </c>
      <c r="L35">
        <v>1010100</v>
      </c>
      <c r="M35" t="s">
        <v>29</v>
      </c>
      <c r="N35">
        <v>-17</v>
      </c>
      <c r="O35" s="30">
        <v>0</v>
      </c>
      <c r="P35" s="30">
        <v>0</v>
      </c>
      <c r="Q35" s="30">
        <v>110937.60000000001</v>
      </c>
      <c r="R35" s="30">
        <v>0</v>
      </c>
      <c r="S35" s="30">
        <v>0</v>
      </c>
      <c r="T35" s="30">
        <v>0</v>
      </c>
      <c r="U35" s="30">
        <v>0</v>
      </c>
      <c r="V35" s="30">
        <v>0</v>
      </c>
      <c r="W35" s="30">
        <v>0</v>
      </c>
      <c r="X35" s="30">
        <v>0</v>
      </c>
      <c r="Y35" s="30">
        <v>0</v>
      </c>
      <c r="Z35" s="30">
        <v>0</v>
      </c>
      <c r="AA35" s="30">
        <v>0</v>
      </c>
      <c r="AB35" s="30">
        <v>0</v>
      </c>
      <c r="AC35" s="30" t="s">
        <v>457</v>
      </c>
      <c r="AD35" s="30"/>
      <c r="AE35" s="30">
        <v>0</v>
      </c>
    </row>
    <row r="36" spans="1:31" x14ac:dyDescent="0.25">
      <c r="A36">
        <v>1787</v>
      </c>
      <c r="B36" t="s">
        <v>449</v>
      </c>
      <c r="C36" t="s">
        <v>58</v>
      </c>
      <c r="D36" s="33">
        <v>116889.60000000001</v>
      </c>
      <c r="E36">
        <v>1246271678</v>
      </c>
      <c r="F36" s="222">
        <v>46219</v>
      </c>
      <c r="G36" s="222"/>
      <c r="H36" t="s">
        <v>23</v>
      </c>
      <c r="I36" t="s">
        <v>24</v>
      </c>
      <c r="J36">
        <v>11157</v>
      </c>
      <c r="K36" s="222">
        <v>46129</v>
      </c>
      <c r="L36">
        <v>1010100</v>
      </c>
      <c r="M36" t="s">
        <v>29</v>
      </c>
      <c r="N36">
        <v>-46</v>
      </c>
      <c r="O36" s="30">
        <v>0</v>
      </c>
      <c r="P36" s="30">
        <v>0</v>
      </c>
      <c r="Q36" s="30">
        <v>116889.60000000001</v>
      </c>
      <c r="R36" s="30">
        <v>0</v>
      </c>
      <c r="S36" s="30">
        <v>0</v>
      </c>
      <c r="T36" s="30">
        <v>0</v>
      </c>
      <c r="U36" s="30">
        <v>0</v>
      </c>
      <c r="V36" s="30">
        <v>0</v>
      </c>
      <c r="W36" s="30">
        <v>0</v>
      </c>
      <c r="X36" s="30">
        <v>0</v>
      </c>
      <c r="Y36" s="30">
        <v>0</v>
      </c>
      <c r="Z36" s="30">
        <v>0</v>
      </c>
      <c r="AA36" s="30">
        <v>0</v>
      </c>
      <c r="AB36" s="30">
        <v>0</v>
      </c>
      <c r="AC36" s="30" t="s">
        <v>457</v>
      </c>
      <c r="AD36" s="30"/>
      <c r="AE36" s="30">
        <v>0</v>
      </c>
    </row>
    <row r="37" spans="1:31" x14ac:dyDescent="0.25">
      <c r="A37">
        <v>1787</v>
      </c>
      <c r="B37" t="s">
        <v>449</v>
      </c>
      <c r="C37" t="s">
        <v>58</v>
      </c>
      <c r="D37" s="33">
        <v>118707.18</v>
      </c>
      <c r="E37">
        <v>1246276536</v>
      </c>
      <c r="F37" s="222">
        <v>46257</v>
      </c>
      <c r="G37" s="222"/>
      <c r="H37" t="s">
        <v>23</v>
      </c>
      <c r="I37" t="s">
        <v>24</v>
      </c>
      <c r="J37">
        <v>11489</v>
      </c>
      <c r="K37" s="222">
        <v>46167</v>
      </c>
      <c r="L37">
        <v>1010100</v>
      </c>
      <c r="M37" t="s">
        <v>29</v>
      </c>
      <c r="N37">
        <v>-84</v>
      </c>
      <c r="O37" s="30">
        <v>0</v>
      </c>
      <c r="P37" s="30">
        <v>0</v>
      </c>
      <c r="Q37" s="30">
        <v>118707.18</v>
      </c>
      <c r="R37" s="30">
        <v>0</v>
      </c>
      <c r="S37" s="30">
        <v>0</v>
      </c>
      <c r="T37" s="30">
        <v>0</v>
      </c>
      <c r="U37" s="30">
        <v>0</v>
      </c>
      <c r="V37" s="30">
        <v>0</v>
      </c>
      <c r="W37" s="30">
        <v>0</v>
      </c>
      <c r="X37" s="30">
        <v>0</v>
      </c>
      <c r="Y37" s="30">
        <v>0</v>
      </c>
      <c r="Z37" s="30">
        <v>0</v>
      </c>
      <c r="AA37" s="30">
        <v>0</v>
      </c>
      <c r="AB37" s="30">
        <v>0</v>
      </c>
      <c r="AC37" s="30" t="s">
        <v>457</v>
      </c>
      <c r="AD37" s="30"/>
      <c r="AE37" s="30">
        <v>0</v>
      </c>
    </row>
    <row r="38" spans="1:31" x14ac:dyDescent="0.25">
      <c r="A38">
        <v>1787</v>
      </c>
      <c r="B38" t="s">
        <v>449</v>
      </c>
      <c r="C38" t="s">
        <v>58</v>
      </c>
      <c r="D38" s="33">
        <v>110131.2</v>
      </c>
      <c r="E38">
        <v>1246272134</v>
      </c>
      <c r="F38" s="222">
        <v>46224</v>
      </c>
      <c r="G38" s="222"/>
      <c r="H38" t="s">
        <v>23</v>
      </c>
      <c r="I38" t="s">
        <v>24</v>
      </c>
      <c r="J38">
        <v>11192</v>
      </c>
      <c r="K38" s="222">
        <v>46134</v>
      </c>
      <c r="L38">
        <v>1010100</v>
      </c>
      <c r="M38" t="s">
        <v>29</v>
      </c>
      <c r="N38">
        <v>-51</v>
      </c>
      <c r="O38" s="30">
        <v>0</v>
      </c>
      <c r="P38" s="30">
        <v>0</v>
      </c>
      <c r="Q38" s="30">
        <v>110131.2</v>
      </c>
      <c r="R38" s="30">
        <v>0</v>
      </c>
      <c r="S38" s="30">
        <v>0</v>
      </c>
      <c r="T38" s="30">
        <v>0</v>
      </c>
      <c r="U38" s="30">
        <v>0</v>
      </c>
      <c r="V38" s="30">
        <v>0</v>
      </c>
      <c r="W38" s="30">
        <v>0</v>
      </c>
      <c r="X38" s="30">
        <v>0</v>
      </c>
      <c r="Y38" s="30">
        <v>0</v>
      </c>
      <c r="Z38" s="30">
        <v>0</v>
      </c>
      <c r="AA38" s="30">
        <v>0</v>
      </c>
      <c r="AB38" s="30">
        <v>0</v>
      </c>
      <c r="AC38" s="30" t="s">
        <v>457</v>
      </c>
      <c r="AD38" s="30"/>
      <c r="AE38" s="30">
        <v>0</v>
      </c>
    </row>
    <row r="39" spans="1:31" x14ac:dyDescent="0.25">
      <c r="A39">
        <v>1787</v>
      </c>
      <c r="B39" t="s">
        <v>449</v>
      </c>
      <c r="C39" t="s">
        <v>58</v>
      </c>
      <c r="D39" s="33">
        <v>112358.39999999999</v>
      </c>
      <c r="E39">
        <v>1246272202</v>
      </c>
      <c r="F39" s="222">
        <v>46225</v>
      </c>
      <c r="G39" s="222"/>
      <c r="H39" t="s">
        <v>23</v>
      </c>
      <c r="I39" t="s">
        <v>24</v>
      </c>
      <c r="J39">
        <v>11197</v>
      </c>
      <c r="K39" s="222">
        <v>46135</v>
      </c>
      <c r="L39">
        <v>1010100</v>
      </c>
      <c r="M39" t="s">
        <v>29</v>
      </c>
      <c r="N39">
        <v>-52</v>
      </c>
      <c r="O39" s="30">
        <v>0</v>
      </c>
      <c r="P39" s="30">
        <v>0</v>
      </c>
      <c r="Q39" s="30">
        <v>112358.39999999999</v>
      </c>
      <c r="R39" s="30">
        <v>0</v>
      </c>
      <c r="S39" s="30">
        <v>0</v>
      </c>
      <c r="T39" s="30">
        <v>0</v>
      </c>
      <c r="U39" s="30">
        <v>0</v>
      </c>
      <c r="V39" s="30">
        <v>0</v>
      </c>
      <c r="W39" s="30">
        <v>0</v>
      </c>
      <c r="X39" s="30">
        <v>0</v>
      </c>
      <c r="Y39" s="30">
        <v>0</v>
      </c>
      <c r="Z39" s="30">
        <v>0</v>
      </c>
      <c r="AA39" s="30">
        <v>0</v>
      </c>
      <c r="AB39" s="30">
        <v>0</v>
      </c>
      <c r="AC39" s="30" t="s">
        <v>457</v>
      </c>
      <c r="AD39" s="30"/>
      <c r="AE39" s="30">
        <v>0</v>
      </c>
    </row>
    <row r="40" spans="1:31" x14ac:dyDescent="0.25">
      <c r="A40">
        <v>1787</v>
      </c>
      <c r="B40" t="s">
        <v>449</v>
      </c>
      <c r="C40" t="s">
        <v>58</v>
      </c>
      <c r="D40" s="33">
        <v>110592</v>
      </c>
      <c r="E40">
        <v>1246269420</v>
      </c>
      <c r="F40" s="222">
        <v>46198</v>
      </c>
      <c r="G40" s="222"/>
      <c r="H40" t="s">
        <v>23</v>
      </c>
      <c r="I40" t="s">
        <v>24</v>
      </c>
      <c r="J40">
        <v>10989</v>
      </c>
      <c r="K40" s="222">
        <v>46108</v>
      </c>
      <c r="L40">
        <v>1010100</v>
      </c>
      <c r="M40" t="s">
        <v>29</v>
      </c>
      <c r="N40">
        <v>-25</v>
      </c>
      <c r="O40" s="30">
        <v>0</v>
      </c>
      <c r="P40" s="30">
        <v>0</v>
      </c>
      <c r="Q40" s="30">
        <v>110592</v>
      </c>
      <c r="R40" s="30">
        <v>0</v>
      </c>
      <c r="S40" s="30">
        <v>0</v>
      </c>
      <c r="T40" s="30">
        <v>0</v>
      </c>
      <c r="U40" s="30">
        <v>0</v>
      </c>
      <c r="V40" s="30">
        <v>0</v>
      </c>
      <c r="W40" s="30">
        <v>0</v>
      </c>
      <c r="X40" s="30">
        <v>0</v>
      </c>
      <c r="Y40" s="30">
        <v>0</v>
      </c>
      <c r="Z40" s="30">
        <v>0</v>
      </c>
      <c r="AA40" s="30">
        <v>0</v>
      </c>
      <c r="AB40" s="30">
        <v>0</v>
      </c>
      <c r="AC40" s="30" t="s">
        <v>457</v>
      </c>
      <c r="AD40" s="30"/>
      <c r="AE40" s="30">
        <v>0</v>
      </c>
    </row>
    <row r="41" spans="1:31" x14ac:dyDescent="0.25">
      <c r="A41">
        <v>1787</v>
      </c>
      <c r="B41" t="s">
        <v>449</v>
      </c>
      <c r="C41" t="s">
        <v>58</v>
      </c>
      <c r="D41" s="33">
        <v>116006.39999999999</v>
      </c>
      <c r="E41">
        <v>1246267015</v>
      </c>
      <c r="F41" s="222">
        <v>46180</v>
      </c>
      <c r="G41" s="222"/>
      <c r="H41" t="s">
        <v>23</v>
      </c>
      <c r="I41" t="s">
        <v>24</v>
      </c>
      <c r="J41">
        <v>10844</v>
      </c>
      <c r="K41" s="222">
        <v>46090</v>
      </c>
      <c r="L41">
        <v>1010100</v>
      </c>
      <c r="M41" t="s">
        <v>29</v>
      </c>
      <c r="N41">
        <v>-7</v>
      </c>
      <c r="O41" s="30">
        <v>0</v>
      </c>
      <c r="P41" s="30">
        <v>0</v>
      </c>
      <c r="Q41" s="30">
        <v>116006.39999999999</v>
      </c>
      <c r="R41" s="30">
        <v>0</v>
      </c>
      <c r="S41" s="30">
        <v>0</v>
      </c>
      <c r="T41" s="30">
        <v>0</v>
      </c>
      <c r="U41" s="30">
        <v>0</v>
      </c>
      <c r="V41" s="30">
        <v>0</v>
      </c>
      <c r="W41" s="30">
        <v>0</v>
      </c>
      <c r="X41" s="30">
        <v>0</v>
      </c>
      <c r="Y41" s="30">
        <v>0</v>
      </c>
      <c r="Z41" s="30">
        <v>0</v>
      </c>
      <c r="AA41" s="30">
        <v>0</v>
      </c>
      <c r="AB41" s="30">
        <v>0</v>
      </c>
      <c r="AC41" s="30" t="s">
        <v>457</v>
      </c>
      <c r="AD41" s="30"/>
      <c r="AE41" s="30">
        <v>0</v>
      </c>
    </row>
    <row r="42" spans="1:31" x14ac:dyDescent="0.25">
      <c r="A42">
        <v>1787</v>
      </c>
      <c r="B42" t="s">
        <v>449</v>
      </c>
      <c r="C42" t="s">
        <v>58</v>
      </c>
      <c r="D42" s="33">
        <v>111552</v>
      </c>
      <c r="E42">
        <v>1246269890</v>
      </c>
      <c r="F42" s="222">
        <v>46203</v>
      </c>
      <c r="G42" s="222"/>
      <c r="H42" t="s">
        <v>23</v>
      </c>
      <c r="I42" t="s">
        <v>24</v>
      </c>
      <c r="J42">
        <v>11025</v>
      </c>
      <c r="K42" s="222">
        <v>46113</v>
      </c>
      <c r="L42">
        <v>1010100</v>
      </c>
      <c r="M42" t="s">
        <v>29</v>
      </c>
      <c r="N42">
        <v>-30</v>
      </c>
      <c r="O42" s="30">
        <v>0</v>
      </c>
      <c r="P42" s="30">
        <v>0</v>
      </c>
      <c r="Q42" s="30">
        <v>111552</v>
      </c>
      <c r="R42" s="30">
        <v>0</v>
      </c>
      <c r="S42" s="30">
        <v>0</v>
      </c>
      <c r="T42" s="30">
        <v>0</v>
      </c>
      <c r="U42" s="30">
        <v>0</v>
      </c>
      <c r="V42" s="30">
        <v>0</v>
      </c>
      <c r="W42" s="30">
        <v>0</v>
      </c>
      <c r="X42" s="30">
        <v>0</v>
      </c>
      <c r="Y42" s="30">
        <v>0</v>
      </c>
      <c r="Z42" s="30">
        <v>0</v>
      </c>
      <c r="AA42" s="30">
        <v>0</v>
      </c>
      <c r="AB42" s="30">
        <v>0</v>
      </c>
      <c r="AC42" s="30" t="s">
        <v>457</v>
      </c>
      <c r="AD42" s="30"/>
      <c r="AE42" s="30">
        <v>0</v>
      </c>
    </row>
    <row r="43" spans="1:31" x14ac:dyDescent="0.25">
      <c r="A43">
        <v>1787</v>
      </c>
      <c r="B43" t="s">
        <v>449</v>
      </c>
      <c r="C43" t="s">
        <v>58</v>
      </c>
      <c r="D43" s="33">
        <v>112204.8</v>
      </c>
      <c r="E43">
        <v>1246269591</v>
      </c>
      <c r="F43" s="222">
        <v>46201</v>
      </c>
      <c r="G43" s="222"/>
      <c r="H43" t="s">
        <v>23</v>
      </c>
      <c r="I43" t="s">
        <v>24</v>
      </c>
      <c r="J43">
        <v>11002</v>
      </c>
      <c r="K43" s="222">
        <v>46111</v>
      </c>
      <c r="L43">
        <v>1010100</v>
      </c>
      <c r="M43" t="s">
        <v>29</v>
      </c>
      <c r="N43">
        <v>-28</v>
      </c>
      <c r="O43" s="30">
        <v>0</v>
      </c>
      <c r="P43" s="30">
        <v>0</v>
      </c>
      <c r="Q43" s="30">
        <v>112204.8</v>
      </c>
      <c r="R43" s="30">
        <v>0</v>
      </c>
      <c r="S43" s="30">
        <v>0</v>
      </c>
      <c r="T43" s="30">
        <v>0</v>
      </c>
      <c r="U43" s="30">
        <v>0</v>
      </c>
      <c r="V43" s="30">
        <v>0</v>
      </c>
      <c r="W43" s="30">
        <v>0</v>
      </c>
      <c r="X43" s="30">
        <v>0</v>
      </c>
      <c r="Y43" s="30">
        <v>0</v>
      </c>
      <c r="Z43" s="30">
        <v>0</v>
      </c>
      <c r="AA43" s="30">
        <v>0</v>
      </c>
      <c r="AB43" s="30">
        <v>0</v>
      </c>
      <c r="AC43" s="30" t="s">
        <v>457</v>
      </c>
      <c r="AD43" s="30"/>
      <c r="AE43" s="30">
        <v>0</v>
      </c>
    </row>
    <row r="44" spans="1:31" x14ac:dyDescent="0.25">
      <c r="A44">
        <v>1787</v>
      </c>
      <c r="B44" t="s">
        <v>449</v>
      </c>
      <c r="C44" t="s">
        <v>58</v>
      </c>
      <c r="D44" s="33">
        <v>116121.60000000001</v>
      </c>
      <c r="E44">
        <v>1246270879</v>
      </c>
      <c r="F44" s="222">
        <v>46211</v>
      </c>
      <c r="G44" s="222"/>
      <c r="H44" t="s">
        <v>23</v>
      </c>
      <c r="I44" t="s">
        <v>24</v>
      </c>
      <c r="J44">
        <v>11080</v>
      </c>
      <c r="K44" s="222">
        <v>46121</v>
      </c>
      <c r="L44">
        <v>1010100</v>
      </c>
      <c r="M44" t="s">
        <v>29</v>
      </c>
      <c r="N44">
        <v>-38</v>
      </c>
      <c r="O44" s="30">
        <v>0</v>
      </c>
      <c r="P44" s="30">
        <v>0</v>
      </c>
      <c r="Q44" s="30">
        <v>116121.60000000001</v>
      </c>
      <c r="R44" s="30">
        <v>0</v>
      </c>
      <c r="S44" s="30">
        <v>0</v>
      </c>
      <c r="T44" s="30">
        <v>0</v>
      </c>
      <c r="U44" s="30">
        <v>0</v>
      </c>
      <c r="V44" s="30">
        <v>0</v>
      </c>
      <c r="W44" s="30">
        <v>0</v>
      </c>
      <c r="X44" s="30">
        <v>0</v>
      </c>
      <c r="Y44" s="30">
        <v>0</v>
      </c>
      <c r="Z44" s="30">
        <v>0</v>
      </c>
      <c r="AA44" s="30">
        <v>0</v>
      </c>
      <c r="AB44" s="30">
        <v>0</v>
      </c>
      <c r="AC44" s="30" t="s">
        <v>457</v>
      </c>
      <c r="AD44" s="30"/>
      <c r="AE44" s="30">
        <v>0</v>
      </c>
    </row>
    <row r="45" spans="1:31" x14ac:dyDescent="0.25">
      <c r="A45">
        <v>1787</v>
      </c>
      <c r="B45" t="s">
        <v>449</v>
      </c>
      <c r="C45" t="s">
        <v>58</v>
      </c>
      <c r="D45" s="33">
        <v>115468.8</v>
      </c>
      <c r="E45">
        <v>1246266348</v>
      </c>
      <c r="F45" s="222">
        <v>46175</v>
      </c>
      <c r="G45" s="222"/>
      <c r="H45" t="s">
        <v>23</v>
      </c>
      <c r="I45" t="s">
        <v>24</v>
      </c>
      <c r="J45">
        <v>10811</v>
      </c>
      <c r="K45" s="222">
        <v>46085</v>
      </c>
      <c r="L45">
        <v>1010100</v>
      </c>
      <c r="M45" t="s">
        <v>29</v>
      </c>
      <c r="N45">
        <v>-2</v>
      </c>
      <c r="O45" s="30">
        <v>0</v>
      </c>
      <c r="P45" s="30">
        <v>0</v>
      </c>
      <c r="Q45" s="30">
        <v>115468.8</v>
      </c>
      <c r="R45" s="30">
        <v>0</v>
      </c>
      <c r="S45" s="30">
        <v>0</v>
      </c>
      <c r="T45" s="30">
        <v>0</v>
      </c>
      <c r="U45" s="30">
        <v>0</v>
      </c>
      <c r="V45" s="30">
        <v>0</v>
      </c>
      <c r="W45" s="30">
        <v>0</v>
      </c>
      <c r="X45" s="30">
        <v>0</v>
      </c>
      <c r="Y45" s="30">
        <v>0</v>
      </c>
      <c r="Z45" s="30">
        <v>0</v>
      </c>
      <c r="AA45" s="30">
        <v>0</v>
      </c>
      <c r="AB45" s="30">
        <v>0</v>
      </c>
      <c r="AC45" s="30" t="s">
        <v>457</v>
      </c>
      <c r="AD45" s="30"/>
      <c r="AE45" s="30">
        <v>0</v>
      </c>
    </row>
    <row r="46" spans="1:31" x14ac:dyDescent="0.25">
      <c r="A46">
        <v>1787</v>
      </c>
      <c r="B46" t="s">
        <v>449</v>
      </c>
      <c r="C46" t="s">
        <v>58</v>
      </c>
      <c r="D46" s="33">
        <v>109250.91</v>
      </c>
      <c r="E46">
        <v>1246277425</v>
      </c>
      <c r="F46" s="222">
        <v>46261</v>
      </c>
      <c r="G46" s="222"/>
      <c r="H46" t="s">
        <v>23</v>
      </c>
      <c r="I46" t="s">
        <v>24</v>
      </c>
      <c r="J46">
        <v>11555</v>
      </c>
      <c r="K46" s="222">
        <v>46171</v>
      </c>
      <c r="L46">
        <v>1010100</v>
      </c>
      <c r="M46" t="s">
        <v>29</v>
      </c>
      <c r="N46">
        <v>-88</v>
      </c>
      <c r="O46" s="30">
        <v>0</v>
      </c>
      <c r="P46" s="30">
        <v>0</v>
      </c>
      <c r="Q46" s="30">
        <v>109250.91</v>
      </c>
      <c r="R46" s="30">
        <v>0</v>
      </c>
      <c r="S46" s="30">
        <v>0</v>
      </c>
      <c r="T46" s="30">
        <v>0</v>
      </c>
      <c r="U46" s="30">
        <v>0</v>
      </c>
      <c r="V46" s="30">
        <v>0</v>
      </c>
      <c r="W46" s="30">
        <v>0</v>
      </c>
      <c r="X46" s="30">
        <v>0</v>
      </c>
      <c r="Y46" s="30">
        <v>0</v>
      </c>
      <c r="Z46" s="30">
        <v>0</v>
      </c>
      <c r="AA46" s="30">
        <v>0</v>
      </c>
      <c r="AB46" s="30">
        <v>0</v>
      </c>
      <c r="AC46" s="30" t="s">
        <v>457</v>
      </c>
      <c r="AD46" s="30"/>
      <c r="AE46" s="30">
        <v>0</v>
      </c>
    </row>
    <row r="47" spans="1:31" x14ac:dyDescent="0.25">
      <c r="A47">
        <v>1787</v>
      </c>
      <c r="B47" t="s">
        <v>449</v>
      </c>
      <c r="C47" t="s">
        <v>58</v>
      </c>
      <c r="D47" s="33">
        <v>114086.39999999999</v>
      </c>
      <c r="E47">
        <v>1246267743</v>
      </c>
      <c r="F47" s="222">
        <v>46184</v>
      </c>
      <c r="G47" s="222"/>
      <c r="H47" t="s">
        <v>23</v>
      </c>
      <c r="I47" t="s">
        <v>24</v>
      </c>
      <c r="J47">
        <v>10882</v>
      </c>
      <c r="K47" s="222">
        <v>46094</v>
      </c>
      <c r="L47">
        <v>1010100</v>
      </c>
      <c r="M47" t="s">
        <v>29</v>
      </c>
      <c r="N47">
        <v>-11</v>
      </c>
      <c r="O47" s="30">
        <v>0</v>
      </c>
      <c r="P47" s="30">
        <v>0</v>
      </c>
      <c r="Q47" s="30">
        <v>114086.39999999999</v>
      </c>
      <c r="R47" s="30">
        <v>0</v>
      </c>
      <c r="S47" s="30">
        <v>0</v>
      </c>
      <c r="T47" s="30">
        <v>0</v>
      </c>
      <c r="U47" s="30">
        <v>0</v>
      </c>
      <c r="V47" s="30">
        <v>0</v>
      </c>
      <c r="W47" s="30">
        <v>0</v>
      </c>
      <c r="X47" s="30">
        <v>0</v>
      </c>
      <c r="Y47" s="30">
        <v>0</v>
      </c>
      <c r="Z47" s="30">
        <v>0</v>
      </c>
      <c r="AA47" s="30">
        <v>0</v>
      </c>
      <c r="AB47" s="30">
        <v>0</v>
      </c>
      <c r="AC47" s="30" t="s">
        <v>457</v>
      </c>
      <c r="AD47" s="30"/>
      <c r="AE47" s="30">
        <v>0</v>
      </c>
    </row>
    <row r="48" spans="1:31" x14ac:dyDescent="0.25">
      <c r="A48">
        <v>1787</v>
      </c>
      <c r="B48" t="s">
        <v>449</v>
      </c>
      <c r="C48" t="s">
        <v>58</v>
      </c>
      <c r="D48" s="33">
        <v>115392</v>
      </c>
      <c r="E48">
        <v>1246265885</v>
      </c>
      <c r="F48" s="222">
        <v>46173</v>
      </c>
      <c r="G48" s="222">
        <v>46174</v>
      </c>
      <c r="H48" t="s">
        <v>23</v>
      </c>
      <c r="I48" t="s">
        <v>24</v>
      </c>
      <c r="J48">
        <v>10791</v>
      </c>
      <c r="K48" s="222">
        <v>46083</v>
      </c>
      <c r="L48">
        <v>1010100</v>
      </c>
      <c r="M48" t="s">
        <v>29</v>
      </c>
      <c r="N48">
        <v>0</v>
      </c>
      <c r="O48" s="30">
        <v>0</v>
      </c>
      <c r="P48" s="30">
        <v>0</v>
      </c>
      <c r="Q48" s="30">
        <v>115392</v>
      </c>
      <c r="R48" s="30">
        <v>0</v>
      </c>
      <c r="S48" s="30">
        <v>0</v>
      </c>
      <c r="T48" s="30">
        <v>0</v>
      </c>
      <c r="U48" s="30">
        <v>0</v>
      </c>
      <c r="V48" s="30">
        <v>0</v>
      </c>
      <c r="W48" s="30">
        <v>0</v>
      </c>
      <c r="X48" s="30">
        <v>0</v>
      </c>
      <c r="Y48" s="30">
        <v>0</v>
      </c>
      <c r="Z48" s="30">
        <v>0</v>
      </c>
      <c r="AA48" s="30">
        <v>0</v>
      </c>
      <c r="AB48" s="30">
        <v>0</v>
      </c>
      <c r="AC48" s="30" t="s">
        <v>457</v>
      </c>
      <c r="AD48" s="30"/>
      <c r="AE48" s="30">
        <v>0</v>
      </c>
    </row>
    <row r="49" spans="1:31" x14ac:dyDescent="0.25">
      <c r="A49">
        <v>1788</v>
      </c>
      <c r="B49" t="s">
        <v>449</v>
      </c>
      <c r="C49" t="s">
        <v>60</v>
      </c>
      <c r="D49" s="33">
        <v>5400</v>
      </c>
      <c r="E49">
        <v>1246055599</v>
      </c>
      <c r="F49" s="222">
        <v>44889</v>
      </c>
      <c r="G49" s="222"/>
      <c r="H49" t="s">
        <v>23</v>
      </c>
      <c r="I49" t="s">
        <v>24</v>
      </c>
      <c r="J49">
        <v>1246055599</v>
      </c>
      <c r="K49" s="222">
        <v>44889</v>
      </c>
      <c r="L49">
        <v>3041000</v>
      </c>
      <c r="M49" t="s">
        <v>124</v>
      </c>
      <c r="N49">
        <v>1284</v>
      </c>
      <c r="O49" s="30">
        <v>0</v>
      </c>
      <c r="P49" s="30">
        <v>5400</v>
      </c>
      <c r="Q49" s="30">
        <v>0</v>
      </c>
      <c r="R49" s="30">
        <v>0</v>
      </c>
      <c r="S49" s="30">
        <v>0</v>
      </c>
      <c r="T49" s="30">
        <v>0</v>
      </c>
      <c r="U49" s="30">
        <v>5400</v>
      </c>
      <c r="V49" s="30">
        <v>0</v>
      </c>
      <c r="W49" s="30">
        <v>162</v>
      </c>
      <c r="X49" s="30">
        <v>5238</v>
      </c>
      <c r="Y49" s="30">
        <v>5238</v>
      </c>
      <c r="Z49" s="30">
        <v>5400</v>
      </c>
      <c r="AA49" s="30">
        <v>0</v>
      </c>
      <c r="AB49" s="30">
        <v>5400</v>
      </c>
      <c r="AC49" s="30" t="s">
        <v>457</v>
      </c>
      <c r="AD49" s="30"/>
      <c r="AE49" s="30">
        <v>5400</v>
      </c>
    </row>
    <row r="50" spans="1:31" x14ac:dyDescent="0.25">
      <c r="A50">
        <v>1788</v>
      </c>
      <c r="B50" t="s">
        <v>449</v>
      </c>
      <c r="C50" t="s">
        <v>60</v>
      </c>
      <c r="D50" s="33">
        <v>1200</v>
      </c>
      <c r="E50">
        <v>1246190701</v>
      </c>
      <c r="F50" s="222">
        <v>45674</v>
      </c>
      <c r="G50" s="222"/>
      <c r="H50" t="s">
        <v>23</v>
      </c>
      <c r="I50" t="s">
        <v>24</v>
      </c>
      <c r="J50">
        <v>1246190701</v>
      </c>
      <c r="K50" s="222">
        <v>45659</v>
      </c>
      <c r="L50">
        <v>3041000</v>
      </c>
      <c r="M50" t="s">
        <v>124</v>
      </c>
      <c r="N50">
        <v>499</v>
      </c>
      <c r="O50" s="30">
        <v>0</v>
      </c>
      <c r="P50" s="30">
        <v>1200</v>
      </c>
      <c r="Q50" s="30">
        <v>0</v>
      </c>
      <c r="R50" s="30">
        <v>0</v>
      </c>
      <c r="S50" s="30">
        <v>0</v>
      </c>
      <c r="T50" s="30">
        <v>0</v>
      </c>
      <c r="U50" s="30">
        <v>1200</v>
      </c>
      <c r="V50" s="30">
        <v>0</v>
      </c>
      <c r="W50" s="30">
        <v>36</v>
      </c>
      <c r="X50" s="30">
        <v>1164</v>
      </c>
      <c r="Y50" s="30">
        <v>1164</v>
      </c>
      <c r="Z50" s="30">
        <v>1200</v>
      </c>
      <c r="AA50" s="30">
        <v>0</v>
      </c>
      <c r="AB50" s="30">
        <v>1200</v>
      </c>
      <c r="AC50" s="30" t="s">
        <v>457</v>
      </c>
      <c r="AD50" s="30"/>
      <c r="AE50" s="30">
        <v>1200</v>
      </c>
    </row>
    <row r="51" spans="1:31" x14ac:dyDescent="0.25">
      <c r="A51">
        <v>1788</v>
      </c>
      <c r="B51" t="s">
        <v>449</v>
      </c>
      <c r="C51" t="s">
        <v>60</v>
      </c>
      <c r="D51" s="33">
        <v>116928</v>
      </c>
      <c r="E51">
        <v>1246267567</v>
      </c>
      <c r="F51" s="222">
        <v>46183</v>
      </c>
      <c r="G51" s="222"/>
      <c r="H51" t="s">
        <v>23</v>
      </c>
      <c r="I51" t="s">
        <v>24</v>
      </c>
      <c r="J51">
        <v>10870</v>
      </c>
      <c r="K51" s="222">
        <v>46093</v>
      </c>
      <c r="L51">
        <v>1010100</v>
      </c>
      <c r="M51" t="s">
        <v>29</v>
      </c>
      <c r="N51">
        <v>-10</v>
      </c>
      <c r="O51" s="30">
        <v>0</v>
      </c>
      <c r="P51" s="30">
        <v>0</v>
      </c>
      <c r="Q51" s="30">
        <v>116928</v>
      </c>
      <c r="R51" s="30">
        <v>0</v>
      </c>
      <c r="S51" s="30">
        <v>0</v>
      </c>
      <c r="T51" s="30">
        <v>0</v>
      </c>
      <c r="U51" s="30">
        <v>0</v>
      </c>
      <c r="V51" s="30">
        <v>0</v>
      </c>
      <c r="W51" s="30">
        <v>0</v>
      </c>
      <c r="X51" s="30">
        <v>0</v>
      </c>
      <c r="Y51" s="30">
        <v>0</v>
      </c>
      <c r="Z51" s="30">
        <v>0</v>
      </c>
      <c r="AA51" s="30">
        <v>0</v>
      </c>
      <c r="AB51" s="30">
        <v>0</v>
      </c>
      <c r="AC51" s="30" t="s">
        <v>457</v>
      </c>
      <c r="AD51" s="30"/>
      <c r="AE51" s="30">
        <v>0</v>
      </c>
    </row>
    <row r="52" spans="1:31" x14ac:dyDescent="0.25">
      <c r="A52">
        <v>1788</v>
      </c>
      <c r="B52" t="s">
        <v>449</v>
      </c>
      <c r="C52" t="s">
        <v>60</v>
      </c>
      <c r="D52" s="33">
        <v>115839.29</v>
      </c>
      <c r="E52">
        <v>1246275638</v>
      </c>
      <c r="F52" s="222">
        <v>46250</v>
      </c>
      <c r="G52" s="222"/>
      <c r="H52" t="s">
        <v>23</v>
      </c>
      <c r="I52" t="s">
        <v>24</v>
      </c>
      <c r="J52">
        <v>11428</v>
      </c>
      <c r="K52" s="222">
        <v>46160</v>
      </c>
      <c r="L52">
        <v>1010100</v>
      </c>
      <c r="M52" t="s">
        <v>29</v>
      </c>
      <c r="N52">
        <v>-77</v>
      </c>
      <c r="O52" s="30">
        <v>0</v>
      </c>
      <c r="P52" s="30">
        <v>0</v>
      </c>
      <c r="Q52" s="30">
        <v>115839.29</v>
      </c>
      <c r="R52" s="30">
        <v>0</v>
      </c>
      <c r="S52" s="30">
        <v>0</v>
      </c>
      <c r="T52" s="30">
        <v>0</v>
      </c>
      <c r="U52" s="30">
        <v>0</v>
      </c>
      <c r="V52" s="30">
        <v>0</v>
      </c>
      <c r="W52" s="30">
        <v>0</v>
      </c>
      <c r="X52" s="30">
        <v>0</v>
      </c>
      <c r="Y52" s="30">
        <v>0</v>
      </c>
      <c r="Z52" s="30">
        <v>0</v>
      </c>
      <c r="AA52" s="30">
        <v>0</v>
      </c>
      <c r="AB52" s="30">
        <v>0</v>
      </c>
      <c r="AC52" s="30" t="s">
        <v>457</v>
      </c>
      <c r="AD52" s="30"/>
      <c r="AE52" s="30">
        <v>0</v>
      </c>
    </row>
    <row r="53" spans="1:31" x14ac:dyDescent="0.25">
      <c r="A53">
        <v>1788</v>
      </c>
      <c r="B53" t="s">
        <v>449</v>
      </c>
      <c r="C53" t="s">
        <v>60</v>
      </c>
      <c r="D53" s="33">
        <v>117120</v>
      </c>
      <c r="E53">
        <v>1246270425</v>
      </c>
      <c r="F53" s="222">
        <v>46208</v>
      </c>
      <c r="G53" s="222"/>
      <c r="H53" t="s">
        <v>23</v>
      </c>
      <c r="I53" t="s">
        <v>24</v>
      </c>
      <c r="J53">
        <v>11060</v>
      </c>
      <c r="K53" s="222">
        <v>46118</v>
      </c>
      <c r="L53">
        <v>1010100</v>
      </c>
      <c r="M53" t="s">
        <v>29</v>
      </c>
      <c r="N53">
        <v>-35</v>
      </c>
      <c r="O53" s="30">
        <v>0</v>
      </c>
      <c r="P53" s="30">
        <v>0</v>
      </c>
      <c r="Q53" s="30">
        <v>117120</v>
      </c>
      <c r="R53" s="30">
        <v>0</v>
      </c>
      <c r="S53" s="30">
        <v>0</v>
      </c>
      <c r="T53" s="30">
        <v>0</v>
      </c>
      <c r="U53" s="30">
        <v>0</v>
      </c>
      <c r="V53" s="30">
        <v>0</v>
      </c>
      <c r="W53" s="30">
        <v>0</v>
      </c>
      <c r="X53" s="30">
        <v>0</v>
      </c>
      <c r="Y53" s="30">
        <v>0</v>
      </c>
      <c r="Z53" s="30">
        <v>0</v>
      </c>
      <c r="AA53" s="30">
        <v>0</v>
      </c>
      <c r="AB53" s="30">
        <v>0</v>
      </c>
      <c r="AC53" s="30" t="s">
        <v>457</v>
      </c>
      <c r="AD53" s="30"/>
      <c r="AE53" s="30">
        <v>0</v>
      </c>
    </row>
    <row r="54" spans="1:31" x14ac:dyDescent="0.25">
      <c r="A54">
        <v>1789</v>
      </c>
      <c r="B54" t="s">
        <v>449</v>
      </c>
      <c r="C54" t="s">
        <v>62</v>
      </c>
      <c r="D54" s="33">
        <v>2700</v>
      </c>
      <c r="E54">
        <v>1246120461</v>
      </c>
      <c r="F54" s="222">
        <v>45294</v>
      </c>
      <c r="G54" s="222"/>
      <c r="H54" t="s">
        <v>23</v>
      </c>
      <c r="I54" t="s">
        <v>24</v>
      </c>
      <c r="J54">
        <v>191223</v>
      </c>
      <c r="K54" s="222">
        <v>45279</v>
      </c>
      <c r="L54">
        <v>3041000</v>
      </c>
      <c r="M54" t="s">
        <v>124</v>
      </c>
      <c r="N54">
        <v>879</v>
      </c>
      <c r="O54" s="30">
        <v>0</v>
      </c>
      <c r="P54" s="30">
        <v>2700</v>
      </c>
      <c r="Q54" s="30">
        <v>0</v>
      </c>
      <c r="R54" s="30">
        <v>0</v>
      </c>
      <c r="S54" s="30">
        <v>0</v>
      </c>
      <c r="T54" s="30">
        <v>0</v>
      </c>
      <c r="U54" s="30">
        <v>2700</v>
      </c>
      <c r="V54" s="30">
        <v>0</v>
      </c>
      <c r="W54" s="30">
        <v>81</v>
      </c>
      <c r="X54" s="30">
        <v>2619</v>
      </c>
      <c r="Y54" s="30">
        <v>2619</v>
      </c>
      <c r="Z54" s="30">
        <v>2700</v>
      </c>
      <c r="AA54" s="30">
        <v>0</v>
      </c>
      <c r="AB54" s="30">
        <v>2700</v>
      </c>
      <c r="AC54" s="30" t="s">
        <v>457</v>
      </c>
      <c r="AD54" s="30"/>
      <c r="AE54" s="30">
        <v>2700</v>
      </c>
    </row>
    <row r="55" spans="1:31" x14ac:dyDescent="0.25">
      <c r="A55">
        <v>1789</v>
      </c>
      <c r="B55" t="s">
        <v>449</v>
      </c>
      <c r="C55" t="s">
        <v>62</v>
      </c>
      <c r="D55" s="33">
        <v>900</v>
      </c>
      <c r="E55">
        <v>1246146095</v>
      </c>
      <c r="F55" s="222">
        <v>45428</v>
      </c>
      <c r="G55" s="222"/>
      <c r="H55" t="s">
        <v>23</v>
      </c>
      <c r="I55" t="s">
        <v>24</v>
      </c>
      <c r="J55">
        <v>1246120461</v>
      </c>
      <c r="K55" s="222">
        <v>45428</v>
      </c>
      <c r="L55">
        <v>3041000</v>
      </c>
      <c r="M55" t="s">
        <v>124</v>
      </c>
      <c r="N55">
        <v>745</v>
      </c>
      <c r="O55" s="30">
        <v>0</v>
      </c>
      <c r="P55" s="30">
        <v>900</v>
      </c>
      <c r="Q55" s="30">
        <v>0</v>
      </c>
      <c r="R55" s="30">
        <v>0</v>
      </c>
      <c r="S55" s="30">
        <v>0</v>
      </c>
      <c r="T55" s="30">
        <v>0</v>
      </c>
      <c r="U55" s="30">
        <v>900</v>
      </c>
      <c r="V55" s="30">
        <v>0</v>
      </c>
      <c r="W55" s="30">
        <v>27</v>
      </c>
      <c r="X55" s="30">
        <v>873</v>
      </c>
      <c r="Y55" s="30">
        <v>873</v>
      </c>
      <c r="Z55" s="30">
        <v>900</v>
      </c>
      <c r="AA55" s="30">
        <v>0</v>
      </c>
      <c r="AB55" s="30">
        <v>900</v>
      </c>
      <c r="AC55" s="30" t="s">
        <v>457</v>
      </c>
      <c r="AD55" s="30"/>
      <c r="AE55" s="30">
        <v>900</v>
      </c>
    </row>
    <row r="56" spans="1:31" x14ac:dyDescent="0.25">
      <c r="A56">
        <v>1789</v>
      </c>
      <c r="B56" t="s">
        <v>449</v>
      </c>
      <c r="C56" t="s">
        <v>62</v>
      </c>
      <c r="D56" s="33">
        <v>116044.8</v>
      </c>
      <c r="E56">
        <v>1246267816</v>
      </c>
      <c r="F56" s="222">
        <v>46187</v>
      </c>
      <c r="G56" s="222"/>
      <c r="H56" t="s">
        <v>23</v>
      </c>
      <c r="I56" t="s">
        <v>24</v>
      </c>
      <c r="J56">
        <v>10889</v>
      </c>
      <c r="K56" s="222">
        <v>46097</v>
      </c>
      <c r="L56">
        <v>1010100</v>
      </c>
      <c r="M56" t="s">
        <v>29</v>
      </c>
      <c r="N56">
        <v>-14</v>
      </c>
      <c r="O56" s="30">
        <v>0</v>
      </c>
      <c r="P56" s="30">
        <v>0</v>
      </c>
      <c r="Q56" s="30">
        <v>116044.8</v>
      </c>
      <c r="R56" s="30">
        <v>0</v>
      </c>
      <c r="S56" s="30">
        <v>0</v>
      </c>
      <c r="T56" s="30">
        <v>0</v>
      </c>
      <c r="U56" s="30">
        <v>0</v>
      </c>
      <c r="V56" s="30">
        <v>0</v>
      </c>
      <c r="W56" s="30">
        <v>0</v>
      </c>
      <c r="X56" s="30">
        <v>0</v>
      </c>
      <c r="Y56" s="30">
        <v>0</v>
      </c>
      <c r="Z56" s="30">
        <v>0</v>
      </c>
      <c r="AA56" s="30">
        <v>0</v>
      </c>
      <c r="AB56" s="30">
        <v>0</v>
      </c>
      <c r="AC56" s="30" t="s">
        <v>457</v>
      </c>
      <c r="AD56" s="30"/>
      <c r="AE56" s="30">
        <v>0</v>
      </c>
    </row>
    <row r="57" spans="1:31" x14ac:dyDescent="0.25">
      <c r="A57">
        <v>1789</v>
      </c>
      <c r="B57" t="s">
        <v>449</v>
      </c>
      <c r="C57" t="s">
        <v>62</v>
      </c>
      <c r="D57" s="33">
        <v>115507.2</v>
      </c>
      <c r="E57">
        <v>1246269759</v>
      </c>
      <c r="F57" s="222">
        <v>46202</v>
      </c>
      <c r="G57" s="222"/>
      <c r="H57" t="s">
        <v>23</v>
      </c>
      <c r="I57" t="s">
        <v>24</v>
      </c>
      <c r="J57">
        <v>11017</v>
      </c>
      <c r="K57" s="222">
        <v>46112</v>
      </c>
      <c r="L57">
        <v>1010100</v>
      </c>
      <c r="M57" t="s">
        <v>29</v>
      </c>
      <c r="N57">
        <v>-29</v>
      </c>
      <c r="O57" s="30">
        <v>0</v>
      </c>
      <c r="P57" s="30">
        <v>0</v>
      </c>
      <c r="Q57" s="30">
        <v>115507.2</v>
      </c>
      <c r="R57" s="30">
        <v>0</v>
      </c>
      <c r="S57" s="30">
        <v>0</v>
      </c>
      <c r="T57" s="30">
        <v>0</v>
      </c>
      <c r="U57" s="30">
        <v>0</v>
      </c>
      <c r="V57" s="30">
        <v>0</v>
      </c>
      <c r="W57" s="30">
        <v>0</v>
      </c>
      <c r="X57" s="30">
        <v>0</v>
      </c>
      <c r="Y57" s="30">
        <v>0</v>
      </c>
      <c r="Z57" s="30">
        <v>0</v>
      </c>
      <c r="AA57" s="30">
        <v>0</v>
      </c>
      <c r="AB57" s="30">
        <v>0</v>
      </c>
      <c r="AC57" s="30" t="s">
        <v>457</v>
      </c>
      <c r="AD57" s="30"/>
      <c r="AE57" s="30">
        <v>0</v>
      </c>
    </row>
    <row r="58" spans="1:31" x14ac:dyDescent="0.25">
      <c r="A58">
        <v>1789</v>
      </c>
      <c r="B58" t="s">
        <v>449</v>
      </c>
      <c r="C58" t="s">
        <v>62</v>
      </c>
      <c r="D58" s="33">
        <v>114432</v>
      </c>
      <c r="E58">
        <v>1246270845</v>
      </c>
      <c r="F58" s="222">
        <v>46181</v>
      </c>
      <c r="G58" s="222"/>
      <c r="H58" t="s">
        <v>23</v>
      </c>
      <c r="I58" t="s">
        <v>24</v>
      </c>
      <c r="J58">
        <v>11079</v>
      </c>
      <c r="K58" s="222">
        <v>46121</v>
      </c>
      <c r="L58">
        <v>1010100</v>
      </c>
      <c r="M58" t="s">
        <v>29</v>
      </c>
      <c r="N58">
        <v>-8</v>
      </c>
      <c r="O58" s="30">
        <v>0</v>
      </c>
      <c r="P58" s="30">
        <v>0</v>
      </c>
      <c r="Q58" s="30">
        <v>114432</v>
      </c>
      <c r="R58" s="30">
        <v>0</v>
      </c>
      <c r="S58" s="30">
        <v>0</v>
      </c>
      <c r="T58" s="30">
        <v>0</v>
      </c>
      <c r="U58" s="30">
        <v>0</v>
      </c>
      <c r="V58" s="30">
        <v>0</v>
      </c>
      <c r="W58" s="30">
        <v>0</v>
      </c>
      <c r="X58" s="30">
        <v>0</v>
      </c>
      <c r="Y58" s="30">
        <v>0</v>
      </c>
      <c r="Z58" s="30">
        <v>0</v>
      </c>
      <c r="AA58" s="30">
        <v>0</v>
      </c>
      <c r="AB58" s="30">
        <v>0</v>
      </c>
      <c r="AC58" s="30" t="s">
        <v>457</v>
      </c>
      <c r="AD58" s="30"/>
      <c r="AE58" s="30">
        <v>0</v>
      </c>
    </row>
    <row r="59" spans="1:31" x14ac:dyDescent="0.25">
      <c r="A59">
        <v>1789</v>
      </c>
      <c r="B59" t="s">
        <v>449</v>
      </c>
      <c r="C59" t="s">
        <v>62</v>
      </c>
      <c r="D59" s="33">
        <v>117311.99</v>
      </c>
      <c r="E59">
        <v>1246276632</v>
      </c>
      <c r="F59" s="222">
        <v>46257</v>
      </c>
      <c r="G59" s="222"/>
      <c r="H59" t="s">
        <v>23</v>
      </c>
      <c r="I59" t="s">
        <v>24</v>
      </c>
      <c r="J59">
        <v>11493</v>
      </c>
      <c r="K59" s="222">
        <v>46167</v>
      </c>
      <c r="L59">
        <v>1010100</v>
      </c>
      <c r="M59" t="s">
        <v>29</v>
      </c>
      <c r="N59">
        <v>-84</v>
      </c>
      <c r="O59" s="30">
        <v>0</v>
      </c>
      <c r="P59" s="30">
        <v>0</v>
      </c>
      <c r="Q59" s="30">
        <v>117311.99</v>
      </c>
      <c r="R59" s="30">
        <v>0</v>
      </c>
      <c r="S59" s="30">
        <v>0</v>
      </c>
      <c r="T59" s="30">
        <v>0</v>
      </c>
      <c r="U59" s="30">
        <v>0</v>
      </c>
      <c r="V59" s="30">
        <v>0</v>
      </c>
      <c r="W59" s="30">
        <v>0</v>
      </c>
      <c r="X59" s="30">
        <v>0</v>
      </c>
      <c r="Y59" s="30">
        <v>0</v>
      </c>
      <c r="Z59" s="30">
        <v>0</v>
      </c>
      <c r="AA59" s="30">
        <v>0</v>
      </c>
      <c r="AB59" s="30">
        <v>0</v>
      </c>
      <c r="AC59" s="30" t="s">
        <v>457</v>
      </c>
      <c r="AD59" s="30"/>
      <c r="AE59" s="30">
        <v>0</v>
      </c>
    </row>
    <row r="60" spans="1:31" x14ac:dyDescent="0.25">
      <c r="A60">
        <v>1789</v>
      </c>
      <c r="B60" t="s">
        <v>449</v>
      </c>
      <c r="C60" t="s">
        <v>62</v>
      </c>
      <c r="D60" s="33">
        <v>114470.39999999999</v>
      </c>
      <c r="E60">
        <v>1246268819</v>
      </c>
      <c r="F60" s="222">
        <v>46195</v>
      </c>
      <c r="G60" s="222"/>
      <c r="H60" t="s">
        <v>23</v>
      </c>
      <c r="I60" t="s">
        <v>24</v>
      </c>
      <c r="J60">
        <v>10967</v>
      </c>
      <c r="K60" s="222">
        <v>46105</v>
      </c>
      <c r="L60">
        <v>1010100</v>
      </c>
      <c r="M60" t="s">
        <v>29</v>
      </c>
      <c r="N60">
        <v>-22</v>
      </c>
      <c r="O60" s="30">
        <v>0</v>
      </c>
      <c r="P60" s="30">
        <v>0</v>
      </c>
      <c r="Q60" s="30">
        <v>114470.39999999999</v>
      </c>
      <c r="R60" s="30">
        <v>0</v>
      </c>
      <c r="S60" s="30">
        <v>0</v>
      </c>
      <c r="T60" s="30">
        <v>0</v>
      </c>
      <c r="U60" s="30">
        <v>0</v>
      </c>
      <c r="V60" s="30">
        <v>0</v>
      </c>
      <c r="W60" s="30">
        <v>0</v>
      </c>
      <c r="X60" s="30">
        <v>0</v>
      </c>
      <c r="Y60" s="30">
        <v>0</v>
      </c>
      <c r="Z60" s="30">
        <v>0</v>
      </c>
      <c r="AA60" s="30">
        <v>0</v>
      </c>
      <c r="AB60" s="30">
        <v>0</v>
      </c>
      <c r="AC60" s="30" t="s">
        <v>457</v>
      </c>
      <c r="AD60" s="30"/>
      <c r="AE60" s="30">
        <v>0</v>
      </c>
    </row>
    <row r="61" spans="1:31" x14ac:dyDescent="0.25">
      <c r="A61">
        <v>1789</v>
      </c>
      <c r="B61" t="s">
        <v>449</v>
      </c>
      <c r="C61" t="s">
        <v>62</v>
      </c>
      <c r="D61" s="33">
        <v>114470.39999999999</v>
      </c>
      <c r="E61">
        <v>1246273904</v>
      </c>
      <c r="F61" s="222">
        <v>46239</v>
      </c>
      <c r="G61" s="222"/>
      <c r="H61" t="s">
        <v>23</v>
      </c>
      <c r="I61" t="s">
        <v>24</v>
      </c>
      <c r="J61">
        <v>11320</v>
      </c>
      <c r="K61" s="222">
        <v>46149</v>
      </c>
      <c r="L61">
        <v>1010100</v>
      </c>
      <c r="M61" t="s">
        <v>29</v>
      </c>
      <c r="N61">
        <v>-66</v>
      </c>
      <c r="O61" s="30">
        <v>0</v>
      </c>
      <c r="P61" s="30">
        <v>0</v>
      </c>
      <c r="Q61" s="30">
        <v>114470.39999999999</v>
      </c>
      <c r="R61" s="30">
        <v>0</v>
      </c>
      <c r="S61" s="30">
        <v>0</v>
      </c>
      <c r="T61" s="30">
        <v>0</v>
      </c>
      <c r="U61" s="30">
        <v>0</v>
      </c>
      <c r="V61" s="30">
        <v>0</v>
      </c>
      <c r="W61" s="30">
        <v>0</v>
      </c>
      <c r="X61" s="30">
        <v>0</v>
      </c>
      <c r="Y61" s="30">
        <v>0</v>
      </c>
      <c r="Z61" s="30">
        <v>0</v>
      </c>
      <c r="AA61" s="30">
        <v>0</v>
      </c>
      <c r="AB61" s="30">
        <v>0</v>
      </c>
      <c r="AC61" s="30" t="s">
        <v>457</v>
      </c>
      <c r="AD61" s="30"/>
      <c r="AE61" s="30">
        <v>0</v>
      </c>
    </row>
    <row r="62" spans="1:31" x14ac:dyDescent="0.25">
      <c r="A62">
        <v>1789</v>
      </c>
      <c r="B62" t="s">
        <v>449</v>
      </c>
      <c r="C62" t="s">
        <v>62</v>
      </c>
      <c r="D62" s="33">
        <v>114662.39999999999</v>
      </c>
      <c r="E62">
        <v>1246271452</v>
      </c>
      <c r="F62" s="222">
        <v>46187</v>
      </c>
      <c r="G62" s="222"/>
      <c r="H62" t="s">
        <v>23</v>
      </c>
      <c r="I62" t="s">
        <v>24</v>
      </c>
      <c r="J62">
        <v>11126</v>
      </c>
      <c r="K62" s="222">
        <v>46127</v>
      </c>
      <c r="L62">
        <v>1010100</v>
      </c>
      <c r="M62" t="s">
        <v>29</v>
      </c>
      <c r="N62">
        <v>-14</v>
      </c>
      <c r="O62" s="30">
        <v>0</v>
      </c>
      <c r="P62" s="30">
        <v>0</v>
      </c>
      <c r="Q62" s="30">
        <v>114662.39999999999</v>
      </c>
      <c r="R62" s="30">
        <v>0</v>
      </c>
      <c r="S62" s="30">
        <v>0</v>
      </c>
      <c r="T62" s="30">
        <v>0</v>
      </c>
      <c r="U62" s="30">
        <v>0</v>
      </c>
      <c r="V62" s="30">
        <v>0</v>
      </c>
      <c r="W62" s="30">
        <v>0</v>
      </c>
      <c r="X62" s="30">
        <v>0</v>
      </c>
      <c r="Y62" s="30">
        <v>0</v>
      </c>
      <c r="Z62" s="30">
        <v>0</v>
      </c>
      <c r="AA62" s="30">
        <v>0</v>
      </c>
      <c r="AB62" s="30">
        <v>0</v>
      </c>
      <c r="AC62" s="30" t="s">
        <v>457</v>
      </c>
      <c r="AD62" s="30"/>
      <c r="AE62" s="30">
        <v>0</v>
      </c>
    </row>
    <row r="63" spans="1:31" x14ac:dyDescent="0.25">
      <c r="A63">
        <v>1789</v>
      </c>
      <c r="B63" t="s">
        <v>449</v>
      </c>
      <c r="C63" t="s">
        <v>62</v>
      </c>
      <c r="D63" s="33">
        <v>115123.2</v>
      </c>
      <c r="E63">
        <v>1246269430</v>
      </c>
      <c r="F63" s="222">
        <v>46198</v>
      </c>
      <c r="G63" s="222"/>
      <c r="H63" t="s">
        <v>23</v>
      </c>
      <c r="I63" t="s">
        <v>24</v>
      </c>
      <c r="J63">
        <v>10992</v>
      </c>
      <c r="K63" s="222">
        <v>46108</v>
      </c>
      <c r="L63">
        <v>1010100</v>
      </c>
      <c r="M63" t="s">
        <v>29</v>
      </c>
      <c r="N63">
        <v>-25</v>
      </c>
      <c r="O63" s="30">
        <v>0</v>
      </c>
      <c r="P63" s="30">
        <v>0</v>
      </c>
      <c r="Q63" s="30">
        <v>115123.2</v>
      </c>
      <c r="R63" s="30">
        <v>0</v>
      </c>
      <c r="S63" s="30">
        <v>0</v>
      </c>
      <c r="T63" s="30">
        <v>0</v>
      </c>
      <c r="U63" s="30">
        <v>0</v>
      </c>
      <c r="V63" s="30">
        <v>0</v>
      </c>
      <c r="W63" s="30">
        <v>0</v>
      </c>
      <c r="X63" s="30">
        <v>0</v>
      </c>
      <c r="Y63" s="30">
        <v>0</v>
      </c>
      <c r="Z63" s="30">
        <v>0</v>
      </c>
      <c r="AA63" s="30">
        <v>0</v>
      </c>
      <c r="AB63" s="30">
        <v>0</v>
      </c>
      <c r="AC63" s="30" t="s">
        <v>457</v>
      </c>
      <c r="AD63" s="30"/>
      <c r="AE63" s="30">
        <v>0</v>
      </c>
    </row>
    <row r="64" spans="1:31" x14ac:dyDescent="0.25">
      <c r="A64">
        <v>1789</v>
      </c>
      <c r="B64" t="s">
        <v>449</v>
      </c>
      <c r="C64" t="s">
        <v>62</v>
      </c>
      <c r="D64" s="33">
        <v>115584</v>
      </c>
      <c r="E64">
        <v>1246272745</v>
      </c>
      <c r="F64" s="222">
        <v>46229</v>
      </c>
      <c r="G64" s="222"/>
      <c r="H64" t="s">
        <v>23</v>
      </c>
      <c r="I64" t="s">
        <v>24</v>
      </c>
      <c r="J64">
        <v>11224</v>
      </c>
      <c r="K64" s="222">
        <v>46139</v>
      </c>
      <c r="L64">
        <v>1010100</v>
      </c>
      <c r="M64" t="s">
        <v>29</v>
      </c>
      <c r="N64">
        <v>-56</v>
      </c>
      <c r="O64" s="30">
        <v>0</v>
      </c>
      <c r="P64" s="30">
        <v>0</v>
      </c>
      <c r="Q64" s="30">
        <v>115584</v>
      </c>
      <c r="R64" s="30">
        <v>0</v>
      </c>
      <c r="S64" s="30">
        <v>0</v>
      </c>
      <c r="T64" s="30">
        <v>0</v>
      </c>
      <c r="U64" s="30">
        <v>0</v>
      </c>
      <c r="V64" s="30">
        <v>0</v>
      </c>
      <c r="W64" s="30">
        <v>0</v>
      </c>
      <c r="X64" s="30">
        <v>0</v>
      </c>
      <c r="Y64" s="30">
        <v>0</v>
      </c>
      <c r="Z64" s="30">
        <v>0</v>
      </c>
      <c r="AA64" s="30">
        <v>0</v>
      </c>
      <c r="AB64" s="30">
        <v>0</v>
      </c>
      <c r="AC64" s="30" t="s">
        <v>457</v>
      </c>
      <c r="AD64" s="30"/>
      <c r="AE64" s="30">
        <v>0</v>
      </c>
    </row>
    <row r="65" spans="1:31" x14ac:dyDescent="0.25">
      <c r="A65">
        <v>1789</v>
      </c>
      <c r="B65" t="s">
        <v>449</v>
      </c>
      <c r="C65" t="s">
        <v>62</v>
      </c>
      <c r="D65" s="33">
        <v>116044.8</v>
      </c>
      <c r="E65">
        <v>1246268551</v>
      </c>
      <c r="F65" s="222">
        <v>46191</v>
      </c>
      <c r="G65" s="222"/>
      <c r="H65" t="s">
        <v>23</v>
      </c>
      <c r="I65" t="s">
        <v>24</v>
      </c>
      <c r="J65">
        <v>10945</v>
      </c>
      <c r="K65" s="222">
        <v>46101</v>
      </c>
      <c r="L65">
        <v>1010100</v>
      </c>
      <c r="M65" t="s">
        <v>29</v>
      </c>
      <c r="N65">
        <v>-18</v>
      </c>
      <c r="O65" s="30">
        <v>0</v>
      </c>
      <c r="P65" s="30">
        <v>0</v>
      </c>
      <c r="Q65" s="30">
        <v>116044.8</v>
      </c>
      <c r="R65" s="30">
        <v>0</v>
      </c>
      <c r="S65" s="30">
        <v>0</v>
      </c>
      <c r="T65" s="30">
        <v>0</v>
      </c>
      <c r="U65" s="30">
        <v>0</v>
      </c>
      <c r="V65" s="30">
        <v>0</v>
      </c>
      <c r="W65" s="30">
        <v>0</v>
      </c>
      <c r="X65" s="30">
        <v>0</v>
      </c>
      <c r="Y65" s="30">
        <v>0</v>
      </c>
      <c r="Z65" s="30">
        <v>0</v>
      </c>
      <c r="AA65" s="30">
        <v>0</v>
      </c>
      <c r="AB65" s="30">
        <v>0</v>
      </c>
      <c r="AC65" s="30" t="s">
        <v>457</v>
      </c>
      <c r="AD65" s="30"/>
      <c r="AE65" s="30">
        <v>0</v>
      </c>
    </row>
    <row r="66" spans="1:31" x14ac:dyDescent="0.25">
      <c r="A66">
        <v>1789</v>
      </c>
      <c r="B66" t="s">
        <v>449</v>
      </c>
      <c r="C66" t="s">
        <v>62</v>
      </c>
      <c r="D66" s="33">
        <v>117467.01</v>
      </c>
      <c r="E66">
        <v>1246275694</v>
      </c>
      <c r="F66" s="222">
        <v>46250</v>
      </c>
      <c r="G66" s="222"/>
      <c r="H66" t="s">
        <v>23</v>
      </c>
      <c r="I66" t="s">
        <v>24</v>
      </c>
      <c r="J66">
        <v>11433</v>
      </c>
      <c r="K66" s="222">
        <v>46160</v>
      </c>
      <c r="L66">
        <v>1010100</v>
      </c>
      <c r="M66" t="s">
        <v>29</v>
      </c>
      <c r="N66">
        <v>-77</v>
      </c>
      <c r="O66" s="30">
        <v>0</v>
      </c>
      <c r="P66" s="30">
        <v>0</v>
      </c>
      <c r="Q66" s="30">
        <v>117467.01</v>
      </c>
      <c r="R66" s="30">
        <v>0</v>
      </c>
      <c r="S66" s="30">
        <v>0</v>
      </c>
      <c r="T66" s="30">
        <v>0</v>
      </c>
      <c r="U66" s="30">
        <v>0</v>
      </c>
      <c r="V66" s="30">
        <v>0</v>
      </c>
      <c r="W66" s="30">
        <v>0</v>
      </c>
      <c r="X66" s="30">
        <v>0</v>
      </c>
      <c r="Y66" s="30">
        <v>0</v>
      </c>
      <c r="Z66" s="30">
        <v>0</v>
      </c>
      <c r="AA66" s="30">
        <v>0</v>
      </c>
      <c r="AB66" s="30">
        <v>0</v>
      </c>
      <c r="AC66" s="30" t="s">
        <v>457</v>
      </c>
      <c r="AD66" s="30"/>
      <c r="AE66" s="30">
        <v>0</v>
      </c>
    </row>
    <row r="67" spans="1:31" x14ac:dyDescent="0.25">
      <c r="A67">
        <v>1789</v>
      </c>
      <c r="B67" t="s">
        <v>449</v>
      </c>
      <c r="C67" t="s">
        <v>62</v>
      </c>
      <c r="D67" s="33">
        <v>115814.39999999999</v>
      </c>
      <c r="E67">
        <v>1246270360</v>
      </c>
      <c r="F67" s="222">
        <v>46178</v>
      </c>
      <c r="G67" s="222"/>
      <c r="H67" t="s">
        <v>23</v>
      </c>
      <c r="I67" t="s">
        <v>24</v>
      </c>
      <c r="J67">
        <v>11053</v>
      </c>
      <c r="K67" s="222">
        <v>46118</v>
      </c>
      <c r="L67">
        <v>1010100</v>
      </c>
      <c r="M67" t="s">
        <v>29</v>
      </c>
      <c r="N67">
        <v>-5</v>
      </c>
      <c r="O67" s="30">
        <v>0</v>
      </c>
      <c r="P67" s="30">
        <v>0</v>
      </c>
      <c r="Q67" s="30">
        <v>115814.39999999999</v>
      </c>
      <c r="R67" s="30">
        <v>0</v>
      </c>
      <c r="S67" s="30">
        <v>0</v>
      </c>
      <c r="T67" s="30">
        <v>0</v>
      </c>
      <c r="U67" s="30">
        <v>0</v>
      </c>
      <c r="V67" s="30">
        <v>0</v>
      </c>
      <c r="W67" s="30">
        <v>0</v>
      </c>
      <c r="X67" s="30">
        <v>0</v>
      </c>
      <c r="Y67" s="30">
        <v>0</v>
      </c>
      <c r="Z67" s="30">
        <v>0</v>
      </c>
      <c r="AA67" s="30">
        <v>0</v>
      </c>
      <c r="AB67" s="30">
        <v>0</v>
      </c>
      <c r="AC67" s="30" t="s">
        <v>457</v>
      </c>
      <c r="AD67" s="30"/>
      <c r="AE67" s="30">
        <v>0</v>
      </c>
    </row>
    <row r="68" spans="1:31" x14ac:dyDescent="0.25">
      <c r="A68">
        <v>1789</v>
      </c>
      <c r="B68" t="s">
        <v>449</v>
      </c>
      <c r="C68" t="s">
        <v>62</v>
      </c>
      <c r="D68" s="33">
        <v>115276.8</v>
      </c>
      <c r="E68">
        <v>1246273585</v>
      </c>
      <c r="F68" s="222">
        <v>46237</v>
      </c>
      <c r="G68" s="222"/>
      <c r="H68" t="s">
        <v>23</v>
      </c>
      <c r="I68" t="s">
        <v>24</v>
      </c>
      <c r="J68">
        <v>11296</v>
      </c>
      <c r="K68" s="222">
        <v>46147</v>
      </c>
      <c r="L68">
        <v>1010100</v>
      </c>
      <c r="M68" t="s">
        <v>29</v>
      </c>
      <c r="N68">
        <v>-64</v>
      </c>
      <c r="O68" s="30">
        <v>0</v>
      </c>
      <c r="P68" s="30">
        <v>0</v>
      </c>
      <c r="Q68" s="30">
        <v>115276.8</v>
      </c>
      <c r="R68" s="30">
        <v>0</v>
      </c>
      <c r="S68" s="30">
        <v>0</v>
      </c>
      <c r="T68" s="30">
        <v>0</v>
      </c>
      <c r="U68" s="30">
        <v>0</v>
      </c>
      <c r="V68" s="30">
        <v>0</v>
      </c>
      <c r="W68" s="30">
        <v>0</v>
      </c>
      <c r="X68" s="30">
        <v>0</v>
      </c>
      <c r="Y68" s="30">
        <v>0</v>
      </c>
      <c r="Z68" s="30">
        <v>0</v>
      </c>
      <c r="AA68" s="30">
        <v>0</v>
      </c>
      <c r="AB68" s="30">
        <v>0</v>
      </c>
      <c r="AC68" s="30" t="s">
        <v>457</v>
      </c>
      <c r="AD68" s="30"/>
      <c r="AE68" s="30">
        <v>0</v>
      </c>
    </row>
    <row r="69" spans="1:31" x14ac:dyDescent="0.25">
      <c r="A69">
        <v>1789</v>
      </c>
      <c r="B69" t="s">
        <v>449</v>
      </c>
      <c r="C69" t="s">
        <v>62</v>
      </c>
      <c r="D69" s="33">
        <v>114048</v>
      </c>
      <c r="E69">
        <v>1246268138</v>
      </c>
      <c r="F69" s="222">
        <v>46188</v>
      </c>
      <c r="G69" s="222"/>
      <c r="H69" t="s">
        <v>23</v>
      </c>
      <c r="I69" t="s">
        <v>24</v>
      </c>
      <c r="J69">
        <v>10914</v>
      </c>
      <c r="K69" s="222">
        <v>46098</v>
      </c>
      <c r="L69">
        <v>1010100</v>
      </c>
      <c r="M69" t="s">
        <v>29</v>
      </c>
      <c r="N69">
        <v>-15</v>
      </c>
      <c r="O69" s="30">
        <v>0</v>
      </c>
      <c r="P69" s="30">
        <v>0</v>
      </c>
      <c r="Q69" s="30">
        <v>114048</v>
      </c>
      <c r="R69" s="30">
        <v>0</v>
      </c>
      <c r="S69" s="30">
        <v>0</v>
      </c>
      <c r="T69" s="30">
        <v>0</v>
      </c>
      <c r="U69" s="30">
        <v>0</v>
      </c>
      <c r="V69" s="30">
        <v>0</v>
      </c>
      <c r="W69" s="30">
        <v>0</v>
      </c>
      <c r="X69" s="30">
        <v>0</v>
      </c>
      <c r="Y69" s="30">
        <v>0</v>
      </c>
      <c r="Z69" s="30">
        <v>0</v>
      </c>
      <c r="AA69" s="30">
        <v>0</v>
      </c>
      <c r="AB69" s="30">
        <v>0</v>
      </c>
      <c r="AC69" s="30" t="s">
        <v>457</v>
      </c>
      <c r="AD69" s="30"/>
      <c r="AE69" s="30">
        <v>0</v>
      </c>
    </row>
    <row r="70" spans="1:31" x14ac:dyDescent="0.25">
      <c r="A70">
        <v>1789</v>
      </c>
      <c r="B70" t="s">
        <v>449</v>
      </c>
      <c r="C70" t="s">
        <v>62</v>
      </c>
      <c r="D70" s="33">
        <v>115468.8</v>
      </c>
      <c r="E70">
        <v>1246267594</v>
      </c>
      <c r="F70" s="222">
        <v>46183</v>
      </c>
      <c r="G70" s="222"/>
      <c r="H70" t="s">
        <v>23</v>
      </c>
      <c r="I70" t="s">
        <v>24</v>
      </c>
      <c r="J70">
        <v>10873</v>
      </c>
      <c r="K70" s="222">
        <v>46093</v>
      </c>
      <c r="L70">
        <v>1010100</v>
      </c>
      <c r="M70" t="s">
        <v>29</v>
      </c>
      <c r="N70">
        <v>-10</v>
      </c>
      <c r="O70" s="30">
        <v>0</v>
      </c>
      <c r="P70" s="30">
        <v>0</v>
      </c>
      <c r="Q70" s="30">
        <v>115468.8</v>
      </c>
      <c r="R70" s="30">
        <v>0</v>
      </c>
      <c r="S70" s="30">
        <v>0</v>
      </c>
      <c r="T70" s="30">
        <v>0</v>
      </c>
      <c r="U70" s="30">
        <v>0</v>
      </c>
      <c r="V70" s="30">
        <v>0</v>
      </c>
      <c r="W70" s="30">
        <v>0</v>
      </c>
      <c r="X70" s="30">
        <v>0</v>
      </c>
      <c r="Y70" s="30">
        <v>0</v>
      </c>
      <c r="Z70" s="30">
        <v>0</v>
      </c>
      <c r="AA70" s="30">
        <v>0</v>
      </c>
      <c r="AB70" s="30">
        <v>0</v>
      </c>
      <c r="AC70" s="30" t="s">
        <v>457</v>
      </c>
      <c r="AD70" s="30"/>
      <c r="AE70" s="30">
        <v>0</v>
      </c>
    </row>
    <row r="71" spans="1:31" x14ac:dyDescent="0.25">
      <c r="A71">
        <v>1789</v>
      </c>
      <c r="B71" t="s">
        <v>449</v>
      </c>
      <c r="C71" t="s">
        <v>62</v>
      </c>
      <c r="D71" s="33">
        <v>115353.60000000001</v>
      </c>
      <c r="E71">
        <v>1246266246</v>
      </c>
      <c r="F71" s="222">
        <v>46174</v>
      </c>
      <c r="G71" s="222">
        <v>46174</v>
      </c>
      <c r="H71" t="s">
        <v>23</v>
      </c>
      <c r="I71" t="s">
        <v>24</v>
      </c>
      <c r="J71">
        <v>10804</v>
      </c>
      <c r="K71" s="222">
        <v>46084</v>
      </c>
      <c r="L71">
        <v>1010100</v>
      </c>
      <c r="M71" t="s">
        <v>29</v>
      </c>
      <c r="N71">
        <v>-1</v>
      </c>
      <c r="O71" s="30">
        <v>0</v>
      </c>
      <c r="P71" s="30">
        <v>0</v>
      </c>
      <c r="Q71" s="30">
        <v>115353.60000000001</v>
      </c>
      <c r="R71" s="30">
        <v>0</v>
      </c>
      <c r="S71" s="30">
        <v>0</v>
      </c>
      <c r="T71" s="30">
        <v>0</v>
      </c>
      <c r="U71" s="30">
        <v>0</v>
      </c>
      <c r="V71" s="30">
        <v>0</v>
      </c>
      <c r="W71" s="30">
        <v>0</v>
      </c>
      <c r="X71" s="30">
        <v>0</v>
      </c>
      <c r="Y71" s="30">
        <v>0</v>
      </c>
      <c r="Z71" s="30">
        <v>0</v>
      </c>
      <c r="AA71" s="30">
        <v>0</v>
      </c>
      <c r="AB71" s="30">
        <v>0</v>
      </c>
      <c r="AC71" s="30" t="s">
        <v>457</v>
      </c>
      <c r="AD71" s="30"/>
      <c r="AE71" s="30">
        <v>0</v>
      </c>
    </row>
    <row r="72" spans="1:31" x14ac:dyDescent="0.25">
      <c r="A72">
        <v>97</v>
      </c>
      <c r="B72" t="s">
        <v>490</v>
      </c>
      <c r="C72" t="s">
        <v>730</v>
      </c>
      <c r="D72" s="33">
        <v>95926.2</v>
      </c>
      <c r="E72">
        <v>1246274444</v>
      </c>
      <c r="F72" s="222">
        <v>46181</v>
      </c>
      <c r="G72" s="222"/>
      <c r="H72" t="s">
        <v>23</v>
      </c>
      <c r="I72" t="s">
        <v>24</v>
      </c>
      <c r="J72">
        <v>11351</v>
      </c>
      <c r="K72" s="222">
        <v>46153</v>
      </c>
      <c r="L72">
        <v>1010100</v>
      </c>
      <c r="M72" t="s">
        <v>29</v>
      </c>
      <c r="N72">
        <v>-8</v>
      </c>
      <c r="O72" s="30">
        <v>0</v>
      </c>
      <c r="P72" s="30">
        <v>0</v>
      </c>
      <c r="Q72" s="30">
        <v>95926.2</v>
      </c>
      <c r="R72" s="30">
        <v>0</v>
      </c>
      <c r="S72" s="30">
        <v>0</v>
      </c>
      <c r="T72" s="30">
        <v>0</v>
      </c>
      <c r="U72" s="30">
        <v>0</v>
      </c>
      <c r="V72" s="30">
        <v>0</v>
      </c>
      <c r="W72" s="30">
        <v>0</v>
      </c>
      <c r="X72" s="30">
        <v>0</v>
      </c>
      <c r="Y72" s="30">
        <v>0</v>
      </c>
      <c r="Z72" s="30">
        <v>0</v>
      </c>
      <c r="AA72" s="30">
        <v>0</v>
      </c>
      <c r="AB72" s="30">
        <v>0</v>
      </c>
      <c r="AC72" s="30" t="s">
        <v>407</v>
      </c>
      <c r="AD72" s="30"/>
      <c r="AE72" s="30">
        <v>0</v>
      </c>
    </row>
    <row r="73" spans="1:31" x14ac:dyDescent="0.25">
      <c r="A73">
        <v>97</v>
      </c>
      <c r="B73" t="s">
        <v>490</v>
      </c>
      <c r="C73" t="s">
        <v>730</v>
      </c>
      <c r="D73" s="33">
        <v>95807</v>
      </c>
      <c r="E73">
        <v>1246275509</v>
      </c>
      <c r="F73" s="222">
        <v>46185</v>
      </c>
      <c r="G73" s="222"/>
      <c r="H73" t="s">
        <v>23</v>
      </c>
      <c r="I73" t="s">
        <v>24</v>
      </c>
      <c r="J73">
        <v>11417</v>
      </c>
      <c r="K73" s="222">
        <v>46157</v>
      </c>
      <c r="L73">
        <v>1010100</v>
      </c>
      <c r="M73" t="s">
        <v>29</v>
      </c>
      <c r="N73">
        <v>-12</v>
      </c>
      <c r="O73" s="30">
        <v>0</v>
      </c>
      <c r="P73" s="30">
        <v>0</v>
      </c>
      <c r="Q73" s="30">
        <v>95807</v>
      </c>
      <c r="R73" s="30">
        <v>0</v>
      </c>
      <c r="S73" s="30">
        <v>0</v>
      </c>
      <c r="T73" s="30">
        <v>0</v>
      </c>
      <c r="U73" s="30">
        <v>0</v>
      </c>
      <c r="V73" s="30">
        <v>0</v>
      </c>
      <c r="W73" s="30">
        <v>0</v>
      </c>
      <c r="X73" s="30">
        <v>0</v>
      </c>
      <c r="Y73" s="30">
        <v>0</v>
      </c>
      <c r="Z73" s="30">
        <v>0</v>
      </c>
      <c r="AA73" s="30">
        <v>0</v>
      </c>
      <c r="AB73" s="30">
        <v>0</v>
      </c>
      <c r="AC73" s="30" t="s">
        <v>407</v>
      </c>
      <c r="AD73" s="30"/>
      <c r="AE73" s="30">
        <v>0</v>
      </c>
    </row>
    <row r="74" spans="1:31" x14ac:dyDescent="0.25">
      <c r="A74">
        <v>97</v>
      </c>
      <c r="B74" t="s">
        <v>490</v>
      </c>
      <c r="C74" t="s">
        <v>730</v>
      </c>
      <c r="D74" s="33">
        <v>112000</v>
      </c>
      <c r="E74">
        <v>1246277002</v>
      </c>
      <c r="F74" s="222">
        <v>46196</v>
      </c>
      <c r="G74" s="222"/>
      <c r="H74" t="s">
        <v>23</v>
      </c>
      <c r="I74" t="s">
        <v>24</v>
      </c>
      <c r="J74">
        <v>11511</v>
      </c>
      <c r="K74" s="222">
        <v>46168</v>
      </c>
      <c r="L74">
        <v>1010100</v>
      </c>
      <c r="M74" t="s">
        <v>29</v>
      </c>
      <c r="N74">
        <v>-23</v>
      </c>
      <c r="O74" s="30">
        <v>0</v>
      </c>
      <c r="P74" s="30">
        <v>0</v>
      </c>
      <c r="Q74" s="30">
        <v>112000</v>
      </c>
      <c r="R74" s="30">
        <v>0</v>
      </c>
      <c r="S74" s="30">
        <v>0</v>
      </c>
      <c r="T74" s="30">
        <v>0</v>
      </c>
      <c r="U74" s="30">
        <v>0</v>
      </c>
      <c r="V74" s="30">
        <v>0</v>
      </c>
      <c r="W74" s="30">
        <v>0</v>
      </c>
      <c r="X74" s="30">
        <v>0</v>
      </c>
      <c r="Y74" s="30">
        <v>0</v>
      </c>
      <c r="Z74" s="30">
        <v>0</v>
      </c>
      <c r="AA74" s="30">
        <v>0</v>
      </c>
      <c r="AB74" s="30">
        <v>0</v>
      </c>
      <c r="AC74" s="30" t="s">
        <v>407</v>
      </c>
      <c r="AD74" s="30"/>
      <c r="AE74" s="30">
        <v>0</v>
      </c>
    </row>
    <row r="75" spans="1:31" x14ac:dyDescent="0.25">
      <c r="A75">
        <v>97</v>
      </c>
      <c r="B75" t="s">
        <v>490</v>
      </c>
      <c r="C75" t="s">
        <v>730</v>
      </c>
      <c r="D75" s="33">
        <v>413344.9</v>
      </c>
      <c r="E75">
        <v>1246276790</v>
      </c>
      <c r="F75" s="222">
        <v>46196</v>
      </c>
      <c r="G75" s="222"/>
      <c r="H75" t="s">
        <v>23</v>
      </c>
      <c r="I75" t="s">
        <v>24</v>
      </c>
      <c r="J75">
        <v>2967</v>
      </c>
      <c r="K75" s="222">
        <v>46168</v>
      </c>
      <c r="L75">
        <v>1010100</v>
      </c>
      <c r="M75" t="s">
        <v>29</v>
      </c>
      <c r="N75">
        <v>-23</v>
      </c>
      <c r="O75" s="30">
        <v>0</v>
      </c>
      <c r="P75" s="30">
        <v>0</v>
      </c>
      <c r="Q75" s="30">
        <v>413344.9</v>
      </c>
      <c r="R75" s="30">
        <v>0</v>
      </c>
      <c r="S75" s="30">
        <v>0</v>
      </c>
      <c r="T75" s="30">
        <v>0</v>
      </c>
      <c r="U75" s="30">
        <v>0</v>
      </c>
      <c r="V75" s="30">
        <v>0</v>
      </c>
      <c r="W75" s="30">
        <v>0</v>
      </c>
      <c r="X75" s="30">
        <v>0</v>
      </c>
      <c r="Y75" s="30">
        <v>0</v>
      </c>
      <c r="Z75" s="30">
        <v>0</v>
      </c>
      <c r="AA75" s="30">
        <v>0</v>
      </c>
      <c r="AB75" s="30">
        <v>0</v>
      </c>
      <c r="AC75" s="30" t="s">
        <v>407</v>
      </c>
      <c r="AD75" s="30"/>
      <c r="AE75" s="30">
        <v>0</v>
      </c>
    </row>
    <row r="76" spans="1:31" x14ac:dyDescent="0.25">
      <c r="A76">
        <v>97</v>
      </c>
      <c r="B76" t="s">
        <v>490</v>
      </c>
      <c r="C76" t="s">
        <v>730</v>
      </c>
      <c r="D76" s="33">
        <v>405897.97999999992</v>
      </c>
      <c r="E76">
        <v>1246274114</v>
      </c>
      <c r="F76" s="222">
        <v>46178</v>
      </c>
      <c r="G76" s="222"/>
      <c r="H76" t="s">
        <v>23</v>
      </c>
      <c r="I76" t="s">
        <v>24</v>
      </c>
      <c r="J76">
        <v>2928</v>
      </c>
      <c r="K76" s="222">
        <v>46150</v>
      </c>
      <c r="L76">
        <v>1010100</v>
      </c>
      <c r="M76" t="s">
        <v>29</v>
      </c>
      <c r="N76">
        <v>-5</v>
      </c>
      <c r="O76" s="30">
        <v>0</v>
      </c>
      <c r="P76" s="30">
        <v>0</v>
      </c>
      <c r="Q76" s="30">
        <v>405897.97999999992</v>
      </c>
      <c r="R76" s="30">
        <v>0</v>
      </c>
      <c r="S76" s="30">
        <v>0</v>
      </c>
      <c r="T76" s="30">
        <v>0</v>
      </c>
      <c r="U76" s="30">
        <v>0</v>
      </c>
      <c r="V76" s="30">
        <v>0</v>
      </c>
      <c r="W76" s="30">
        <v>0</v>
      </c>
      <c r="X76" s="30">
        <v>0</v>
      </c>
      <c r="Y76" s="30">
        <v>0</v>
      </c>
      <c r="Z76" s="30">
        <v>0</v>
      </c>
      <c r="AA76" s="30">
        <v>0</v>
      </c>
      <c r="AB76" s="30">
        <v>0</v>
      </c>
      <c r="AC76" s="30" t="s">
        <v>407</v>
      </c>
      <c r="AD76" s="30"/>
      <c r="AE76" s="30">
        <v>0</v>
      </c>
    </row>
    <row r="77" spans="1:31" x14ac:dyDescent="0.25">
      <c r="A77">
        <v>97</v>
      </c>
      <c r="B77" t="s">
        <v>490</v>
      </c>
      <c r="C77" t="s">
        <v>730</v>
      </c>
      <c r="D77" s="33">
        <v>95360</v>
      </c>
      <c r="E77">
        <v>1246275790</v>
      </c>
      <c r="F77" s="222">
        <v>46189</v>
      </c>
      <c r="G77" s="222"/>
      <c r="H77" t="s">
        <v>23</v>
      </c>
      <c r="I77" t="s">
        <v>24</v>
      </c>
      <c r="J77">
        <v>11441</v>
      </c>
      <c r="K77" s="222">
        <v>46161</v>
      </c>
      <c r="L77">
        <v>1010100</v>
      </c>
      <c r="M77" t="s">
        <v>29</v>
      </c>
      <c r="N77">
        <v>-16</v>
      </c>
      <c r="O77" s="30">
        <v>0</v>
      </c>
      <c r="P77" s="30">
        <v>0</v>
      </c>
      <c r="Q77" s="30">
        <v>95360</v>
      </c>
      <c r="R77" s="30">
        <v>0</v>
      </c>
      <c r="S77" s="30">
        <v>0</v>
      </c>
      <c r="T77" s="30">
        <v>0</v>
      </c>
      <c r="U77" s="30">
        <v>0</v>
      </c>
      <c r="V77" s="30">
        <v>0</v>
      </c>
      <c r="W77" s="30">
        <v>0</v>
      </c>
      <c r="X77" s="30">
        <v>0</v>
      </c>
      <c r="Y77" s="30">
        <v>0</v>
      </c>
      <c r="Z77" s="30">
        <v>0</v>
      </c>
      <c r="AA77" s="30">
        <v>0</v>
      </c>
      <c r="AB77" s="30">
        <v>0</v>
      </c>
      <c r="AC77" s="30" t="s">
        <v>407</v>
      </c>
      <c r="AD77" s="30"/>
      <c r="AE77" s="30">
        <v>0</v>
      </c>
    </row>
    <row r="78" spans="1:31" x14ac:dyDescent="0.25">
      <c r="A78">
        <v>97</v>
      </c>
      <c r="B78" t="s">
        <v>490</v>
      </c>
      <c r="C78" t="s">
        <v>730</v>
      </c>
      <c r="D78" s="33">
        <v>95985.8</v>
      </c>
      <c r="E78">
        <v>1246276717</v>
      </c>
      <c r="F78" s="222">
        <v>46195</v>
      </c>
      <c r="G78" s="222"/>
      <c r="H78" t="s">
        <v>23</v>
      </c>
      <c r="I78" t="s">
        <v>24</v>
      </c>
      <c r="J78">
        <v>11495</v>
      </c>
      <c r="K78" s="222">
        <v>46167</v>
      </c>
      <c r="L78">
        <v>1010100</v>
      </c>
      <c r="M78" t="s">
        <v>29</v>
      </c>
      <c r="N78">
        <v>-22</v>
      </c>
      <c r="O78" s="30">
        <v>0</v>
      </c>
      <c r="P78" s="30">
        <v>0</v>
      </c>
      <c r="Q78" s="30">
        <v>95985.8</v>
      </c>
      <c r="R78" s="30">
        <v>0</v>
      </c>
      <c r="S78" s="30">
        <v>0</v>
      </c>
      <c r="T78" s="30">
        <v>0</v>
      </c>
      <c r="U78" s="30">
        <v>0</v>
      </c>
      <c r="V78" s="30">
        <v>0</v>
      </c>
      <c r="W78" s="30">
        <v>0</v>
      </c>
      <c r="X78" s="30">
        <v>0</v>
      </c>
      <c r="Y78" s="30">
        <v>0</v>
      </c>
      <c r="Z78" s="30">
        <v>0</v>
      </c>
      <c r="AA78" s="30">
        <v>0</v>
      </c>
      <c r="AB78" s="30">
        <v>0</v>
      </c>
      <c r="AC78" s="30" t="s">
        <v>407</v>
      </c>
      <c r="AD78" s="30"/>
      <c r="AE78" s="30">
        <v>0</v>
      </c>
    </row>
    <row r="79" spans="1:31" x14ac:dyDescent="0.25">
      <c r="A79">
        <v>43</v>
      </c>
      <c r="B79" t="s">
        <v>355</v>
      </c>
      <c r="C79" t="s">
        <v>30</v>
      </c>
      <c r="D79" s="33">
        <v>71915.100000000006</v>
      </c>
      <c r="E79">
        <v>1246274033</v>
      </c>
      <c r="F79" s="222">
        <v>46178</v>
      </c>
      <c r="G79" s="222"/>
      <c r="H79" t="s">
        <v>23</v>
      </c>
      <c r="I79" t="s">
        <v>24</v>
      </c>
      <c r="J79">
        <v>11327</v>
      </c>
      <c r="K79" s="222">
        <v>46150</v>
      </c>
      <c r="L79">
        <v>1010100</v>
      </c>
      <c r="M79" t="s">
        <v>29</v>
      </c>
      <c r="N79">
        <v>-5</v>
      </c>
      <c r="O79" s="30">
        <v>0</v>
      </c>
      <c r="P79" s="30">
        <v>0</v>
      </c>
      <c r="Q79" s="30">
        <v>71915.100000000006</v>
      </c>
      <c r="R79" s="30">
        <v>0</v>
      </c>
      <c r="S79" s="30">
        <v>0</v>
      </c>
      <c r="T79" s="30">
        <v>0</v>
      </c>
      <c r="U79" s="30">
        <v>0</v>
      </c>
      <c r="V79" s="30">
        <v>0</v>
      </c>
      <c r="W79" s="30">
        <v>0</v>
      </c>
      <c r="X79" s="30">
        <v>0</v>
      </c>
      <c r="Y79" s="30">
        <v>0</v>
      </c>
      <c r="Z79" s="30">
        <v>0</v>
      </c>
      <c r="AA79" s="30">
        <v>0</v>
      </c>
      <c r="AB79" s="30">
        <v>0</v>
      </c>
      <c r="AC79" s="30" t="s">
        <v>457</v>
      </c>
      <c r="AD79" s="30"/>
      <c r="AE79" s="30">
        <v>0</v>
      </c>
    </row>
    <row r="80" spans="1:31" x14ac:dyDescent="0.25">
      <c r="A80">
        <v>43</v>
      </c>
      <c r="B80" t="s">
        <v>355</v>
      </c>
      <c r="C80" t="s">
        <v>30</v>
      </c>
      <c r="D80" s="33">
        <v>71819.5</v>
      </c>
      <c r="E80">
        <v>1246276836</v>
      </c>
      <c r="F80" s="222">
        <v>46196</v>
      </c>
      <c r="G80" s="222"/>
      <c r="H80" t="s">
        <v>23</v>
      </c>
      <c r="I80" t="s">
        <v>24</v>
      </c>
      <c r="J80">
        <v>11498</v>
      </c>
      <c r="K80" s="222">
        <v>46168</v>
      </c>
      <c r="L80">
        <v>1010100</v>
      </c>
      <c r="M80" t="s">
        <v>29</v>
      </c>
      <c r="N80">
        <v>-23</v>
      </c>
      <c r="O80" s="30">
        <v>0</v>
      </c>
      <c r="P80" s="30">
        <v>0</v>
      </c>
      <c r="Q80" s="30">
        <v>71819.5</v>
      </c>
      <c r="R80" s="30">
        <v>0</v>
      </c>
      <c r="S80" s="30">
        <v>0</v>
      </c>
      <c r="T80" s="30">
        <v>0</v>
      </c>
      <c r="U80" s="30">
        <v>0</v>
      </c>
      <c r="V80" s="30">
        <v>0</v>
      </c>
      <c r="W80" s="30">
        <v>0</v>
      </c>
      <c r="X80" s="30">
        <v>0</v>
      </c>
      <c r="Y80" s="30">
        <v>0</v>
      </c>
      <c r="Z80" s="30">
        <v>0</v>
      </c>
      <c r="AA80" s="30">
        <v>0</v>
      </c>
      <c r="AB80" s="30">
        <v>0</v>
      </c>
      <c r="AC80" s="30" t="s">
        <v>457</v>
      </c>
      <c r="AD80" s="30"/>
      <c r="AE80" s="30">
        <v>0</v>
      </c>
    </row>
    <row r="81" spans="1:31" x14ac:dyDescent="0.25">
      <c r="A81">
        <v>43</v>
      </c>
      <c r="B81" t="s">
        <v>355</v>
      </c>
      <c r="C81" t="s">
        <v>30</v>
      </c>
      <c r="D81" s="33">
        <v>71795.600000000006</v>
      </c>
      <c r="E81">
        <v>1246274755</v>
      </c>
      <c r="F81" s="222">
        <v>46183</v>
      </c>
      <c r="G81" s="222"/>
      <c r="H81" t="s">
        <v>23</v>
      </c>
      <c r="I81" t="s">
        <v>24</v>
      </c>
      <c r="J81">
        <v>11375</v>
      </c>
      <c r="K81" s="222">
        <v>46155</v>
      </c>
      <c r="L81">
        <v>1010100</v>
      </c>
      <c r="M81" t="s">
        <v>29</v>
      </c>
      <c r="N81">
        <v>-10</v>
      </c>
      <c r="O81" s="30">
        <v>0</v>
      </c>
      <c r="P81" s="30">
        <v>0</v>
      </c>
      <c r="Q81" s="30">
        <v>71795.600000000006</v>
      </c>
      <c r="R81" s="30">
        <v>0</v>
      </c>
      <c r="S81" s="30">
        <v>0</v>
      </c>
      <c r="T81" s="30">
        <v>0</v>
      </c>
      <c r="U81" s="30">
        <v>0</v>
      </c>
      <c r="V81" s="30">
        <v>0</v>
      </c>
      <c r="W81" s="30">
        <v>0</v>
      </c>
      <c r="X81" s="30">
        <v>0</v>
      </c>
      <c r="Y81" s="30">
        <v>0</v>
      </c>
      <c r="Z81" s="30">
        <v>0</v>
      </c>
      <c r="AA81" s="30">
        <v>0</v>
      </c>
      <c r="AB81" s="30">
        <v>0</v>
      </c>
      <c r="AC81" s="30" t="s">
        <v>457</v>
      </c>
      <c r="AD81" s="30"/>
      <c r="AE81" s="30">
        <v>0</v>
      </c>
    </row>
    <row r="82" spans="1:31" x14ac:dyDescent="0.25">
      <c r="A82">
        <v>43</v>
      </c>
      <c r="B82" t="s">
        <v>355</v>
      </c>
      <c r="C82" t="s">
        <v>30</v>
      </c>
      <c r="D82" s="33">
        <v>72154.100000000006</v>
      </c>
      <c r="E82">
        <v>1246275602</v>
      </c>
      <c r="F82" s="222">
        <v>46188</v>
      </c>
      <c r="G82" s="222"/>
      <c r="H82" t="s">
        <v>23</v>
      </c>
      <c r="I82" t="s">
        <v>24</v>
      </c>
      <c r="J82">
        <v>11426</v>
      </c>
      <c r="K82" s="222">
        <v>46160</v>
      </c>
      <c r="L82">
        <v>1010100</v>
      </c>
      <c r="M82" t="s">
        <v>29</v>
      </c>
      <c r="N82">
        <v>-15</v>
      </c>
      <c r="O82" s="30">
        <v>0</v>
      </c>
      <c r="P82" s="30">
        <v>0</v>
      </c>
      <c r="Q82" s="30">
        <v>72154.100000000006</v>
      </c>
      <c r="R82" s="30">
        <v>0</v>
      </c>
      <c r="S82" s="30">
        <v>0</v>
      </c>
      <c r="T82" s="30">
        <v>0</v>
      </c>
      <c r="U82" s="30">
        <v>0</v>
      </c>
      <c r="V82" s="30">
        <v>0</v>
      </c>
      <c r="W82" s="30">
        <v>0</v>
      </c>
      <c r="X82" s="30">
        <v>0</v>
      </c>
      <c r="Y82" s="30">
        <v>0</v>
      </c>
      <c r="Z82" s="30">
        <v>0</v>
      </c>
      <c r="AA82" s="30">
        <v>0</v>
      </c>
      <c r="AB82" s="30">
        <v>0</v>
      </c>
      <c r="AC82" s="30" t="s">
        <v>457</v>
      </c>
      <c r="AD82" s="30"/>
      <c r="AE82" s="30">
        <v>0</v>
      </c>
    </row>
    <row r="83" spans="1:31" x14ac:dyDescent="0.25">
      <c r="A83">
        <v>43</v>
      </c>
      <c r="B83" t="s">
        <v>355</v>
      </c>
      <c r="C83" t="s">
        <v>30</v>
      </c>
      <c r="D83" s="33">
        <v>2400</v>
      </c>
      <c r="E83">
        <v>1246271921</v>
      </c>
      <c r="F83" s="222">
        <v>46147</v>
      </c>
      <c r="G83" s="222"/>
      <c r="H83" t="s">
        <v>23</v>
      </c>
      <c r="I83" t="s">
        <v>24</v>
      </c>
      <c r="J83">
        <v>1246271921</v>
      </c>
      <c r="K83" s="222">
        <v>46132</v>
      </c>
      <c r="L83">
        <v>3042200</v>
      </c>
      <c r="M83" t="s">
        <v>719</v>
      </c>
      <c r="N83">
        <v>26</v>
      </c>
      <c r="O83" s="30">
        <v>0</v>
      </c>
      <c r="P83" s="30">
        <v>0</v>
      </c>
      <c r="Q83" s="30">
        <v>0</v>
      </c>
      <c r="R83" s="30">
        <v>2400</v>
      </c>
      <c r="S83" s="30">
        <v>0</v>
      </c>
      <c r="T83" s="30">
        <v>0</v>
      </c>
      <c r="U83" s="30">
        <v>0</v>
      </c>
      <c r="V83" s="30">
        <v>0</v>
      </c>
      <c r="W83" s="30">
        <v>0</v>
      </c>
      <c r="X83" s="30">
        <v>0</v>
      </c>
      <c r="Y83" s="30">
        <v>0</v>
      </c>
      <c r="Z83" s="30">
        <v>0</v>
      </c>
      <c r="AA83" s="30">
        <v>0</v>
      </c>
      <c r="AB83" s="30">
        <v>0</v>
      </c>
      <c r="AC83" s="30" t="s">
        <v>457</v>
      </c>
      <c r="AD83" s="30"/>
      <c r="AE83" s="30">
        <v>0</v>
      </c>
    </row>
    <row r="84" spans="1:31" x14ac:dyDescent="0.25">
      <c r="A84">
        <v>43</v>
      </c>
      <c r="B84" t="s">
        <v>355</v>
      </c>
      <c r="C84" t="s">
        <v>30</v>
      </c>
      <c r="D84" s="33">
        <v>71700</v>
      </c>
      <c r="E84">
        <v>1246275188</v>
      </c>
      <c r="F84" s="222">
        <v>46184</v>
      </c>
      <c r="G84" s="222"/>
      <c r="H84" t="s">
        <v>23</v>
      </c>
      <c r="I84" t="s">
        <v>24</v>
      </c>
      <c r="J84">
        <v>11396</v>
      </c>
      <c r="K84" s="222">
        <v>46156</v>
      </c>
      <c r="L84">
        <v>1010100</v>
      </c>
      <c r="M84" t="s">
        <v>29</v>
      </c>
      <c r="N84">
        <v>-11</v>
      </c>
      <c r="O84" s="30">
        <v>0</v>
      </c>
      <c r="P84" s="30">
        <v>0</v>
      </c>
      <c r="Q84" s="30">
        <v>71700</v>
      </c>
      <c r="R84" s="30">
        <v>0</v>
      </c>
      <c r="S84" s="30">
        <v>0</v>
      </c>
      <c r="T84" s="30">
        <v>0</v>
      </c>
      <c r="U84" s="30">
        <v>0</v>
      </c>
      <c r="V84" s="30">
        <v>0</v>
      </c>
      <c r="W84" s="30">
        <v>0</v>
      </c>
      <c r="X84" s="30">
        <v>0</v>
      </c>
      <c r="Y84" s="30">
        <v>0</v>
      </c>
      <c r="Z84" s="30">
        <v>0</v>
      </c>
      <c r="AA84" s="30">
        <v>0</v>
      </c>
      <c r="AB84" s="30">
        <v>0</v>
      </c>
      <c r="AC84" s="30" t="s">
        <v>457</v>
      </c>
      <c r="AD84" s="30"/>
      <c r="AE84" s="30">
        <v>0</v>
      </c>
    </row>
    <row r="85" spans="1:31" x14ac:dyDescent="0.25">
      <c r="A85">
        <v>1936</v>
      </c>
      <c r="B85" t="s">
        <v>15465</v>
      </c>
      <c r="C85" t="s">
        <v>65</v>
      </c>
      <c r="D85" s="33">
        <v>60691.8</v>
      </c>
      <c r="E85">
        <v>1246276921</v>
      </c>
      <c r="F85" s="222">
        <v>46196</v>
      </c>
      <c r="G85" s="222"/>
      <c r="H85" t="s">
        <v>23</v>
      </c>
      <c r="I85" t="s">
        <v>24</v>
      </c>
      <c r="J85">
        <v>11502</v>
      </c>
      <c r="K85" s="222">
        <v>46168</v>
      </c>
      <c r="L85">
        <v>1010100</v>
      </c>
      <c r="M85" t="s">
        <v>29</v>
      </c>
      <c r="N85">
        <v>-23</v>
      </c>
      <c r="O85" s="30">
        <v>0</v>
      </c>
      <c r="P85" s="30">
        <v>0</v>
      </c>
      <c r="Q85" s="30">
        <v>60691.8</v>
      </c>
      <c r="R85" s="30">
        <v>0</v>
      </c>
      <c r="S85" s="30">
        <v>0</v>
      </c>
      <c r="T85" s="30">
        <v>0</v>
      </c>
      <c r="U85" s="30">
        <v>0</v>
      </c>
      <c r="V85" s="30">
        <v>0</v>
      </c>
      <c r="W85" s="30">
        <v>0</v>
      </c>
      <c r="X85" s="30">
        <v>0</v>
      </c>
      <c r="Y85" s="30">
        <v>0</v>
      </c>
      <c r="Z85" s="30">
        <v>0</v>
      </c>
      <c r="AA85" s="30">
        <v>0</v>
      </c>
      <c r="AB85" s="30">
        <v>0</v>
      </c>
      <c r="AC85" s="30" t="s">
        <v>407</v>
      </c>
      <c r="AD85" s="30"/>
      <c r="AE85" s="30">
        <v>0</v>
      </c>
    </row>
    <row r="86" spans="1:31" x14ac:dyDescent="0.25">
      <c r="A86">
        <v>1936</v>
      </c>
      <c r="B86" t="s">
        <v>15465</v>
      </c>
      <c r="C86" t="s">
        <v>65</v>
      </c>
      <c r="D86" s="33">
        <v>60450</v>
      </c>
      <c r="E86">
        <v>1246274592</v>
      </c>
      <c r="F86" s="222">
        <v>46182</v>
      </c>
      <c r="G86" s="222"/>
      <c r="H86" t="s">
        <v>23</v>
      </c>
      <c r="I86" t="s">
        <v>24</v>
      </c>
      <c r="J86">
        <v>11365</v>
      </c>
      <c r="K86" s="222">
        <v>46154</v>
      </c>
      <c r="L86">
        <v>1010100</v>
      </c>
      <c r="M86" t="s">
        <v>29</v>
      </c>
      <c r="N86">
        <v>-9</v>
      </c>
      <c r="O86" s="30">
        <v>0</v>
      </c>
      <c r="P86" s="30">
        <v>0</v>
      </c>
      <c r="Q86" s="30">
        <v>60450</v>
      </c>
      <c r="R86" s="30">
        <v>0</v>
      </c>
      <c r="S86" s="30">
        <v>0</v>
      </c>
      <c r="T86" s="30">
        <v>0</v>
      </c>
      <c r="U86" s="30">
        <v>0</v>
      </c>
      <c r="V86" s="30">
        <v>0</v>
      </c>
      <c r="W86" s="30">
        <v>0</v>
      </c>
      <c r="X86" s="30">
        <v>0</v>
      </c>
      <c r="Y86" s="30">
        <v>0</v>
      </c>
      <c r="Z86" s="30">
        <v>0</v>
      </c>
      <c r="AA86" s="30">
        <v>0</v>
      </c>
      <c r="AB86" s="30">
        <v>0</v>
      </c>
      <c r="AC86" s="30" t="s">
        <v>407</v>
      </c>
      <c r="AD86" s="30"/>
      <c r="AE86" s="30">
        <v>0</v>
      </c>
    </row>
    <row r="87" spans="1:31" x14ac:dyDescent="0.25">
      <c r="A87">
        <v>33</v>
      </c>
      <c r="B87" t="s">
        <v>448</v>
      </c>
      <c r="C87" t="s">
        <v>575</v>
      </c>
      <c r="D87" s="33">
        <v>105258</v>
      </c>
      <c r="E87">
        <v>1246274858</v>
      </c>
      <c r="F87" s="222">
        <v>46185</v>
      </c>
      <c r="G87" s="222"/>
      <c r="H87" t="s">
        <v>23</v>
      </c>
      <c r="I87" t="s">
        <v>24</v>
      </c>
      <c r="J87">
        <v>11382</v>
      </c>
      <c r="K87" s="222">
        <v>46155</v>
      </c>
      <c r="L87">
        <v>1010100</v>
      </c>
      <c r="M87" t="s">
        <v>29</v>
      </c>
      <c r="N87">
        <v>-12</v>
      </c>
      <c r="O87" s="30">
        <v>0</v>
      </c>
      <c r="P87" s="30">
        <v>0</v>
      </c>
      <c r="Q87" s="30">
        <v>105258</v>
      </c>
      <c r="R87" s="30">
        <v>0</v>
      </c>
      <c r="S87" s="30">
        <v>0</v>
      </c>
      <c r="T87" s="30">
        <v>0</v>
      </c>
      <c r="U87" s="30">
        <v>0</v>
      </c>
      <c r="V87" s="30">
        <v>0</v>
      </c>
      <c r="W87" s="30">
        <v>0</v>
      </c>
      <c r="X87" s="30">
        <v>0</v>
      </c>
      <c r="Y87" s="30">
        <v>0</v>
      </c>
      <c r="Z87" s="30">
        <v>0</v>
      </c>
      <c r="AA87" s="30">
        <v>0</v>
      </c>
      <c r="AB87" s="30">
        <v>0</v>
      </c>
      <c r="AC87" s="30" t="s">
        <v>407</v>
      </c>
      <c r="AD87" s="30"/>
      <c r="AE87" s="30">
        <v>0</v>
      </c>
    </row>
    <row r="88" spans="1:31" x14ac:dyDescent="0.25">
      <c r="A88">
        <v>214</v>
      </c>
      <c r="B88" t="s">
        <v>356</v>
      </c>
      <c r="C88" t="s">
        <v>708</v>
      </c>
      <c r="D88" s="33">
        <v>99189</v>
      </c>
      <c r="E88">
        <v>1246276542</v>
      </c>
      <c r="F88" s="222">
        <v>46195</v>
      </c>
      <c r="G88" s="222"/>
      <c r="H88" t="s">
        <v>23</v>
      </c>
      <c r="I88" t="s">
        <v>24</v>
      </c>
      <c r="J88">
        <v>11490</v>
      </c>
      <c r="K88" s="222">
        <v>46167</v>
      </c>
      <c r="L88">
        <v>1010100</v>
      </c>
      <c r="M88" t="s">
        <v>29</v>
      </c>
      <c r="N88">
        <v>-22</v>
      </c>
      <c r="O88" s="30">
        <v>0</v>
      </c>
      <c r="P88" s="30">
        <v>0</v>
      </c>
      <c r="Q88" s="30">
        <v>99189</v>
      </c>
      <c r="R88" s="30">
        <v>0</v>
      </c>
      <c r="S88" s="30">
        <v>0</v>
      </c>
      <c r="T88" s="30">
        <v>0</v>
      </c>
      <c r="U88" s="30">
        <v>0</v>
      </c>
      <c r="V88" s="30">
        <v>0</v>
      </c>
      <c r="W88" s="30">
        <v>0</v>
      </c>
      <c r="X88" s="30">
        <v>0</v>
      </c>
      <c r="Y88" s="30">
        <v>0</v>
      </c>
      <c r="Z88" s="30">
        <v>0</v>
      </c>
      <c r="AA88" s="30">
        <v>0</v>
      </c>
      <c r="AB88" s="30">
        <v>0</v>
      </c>
      <c r="AC88" s="30" t="s">
        <v>407</v>
      </c>
      <c r="AD88" s="30"/>
      <c r="AE88" s="30">
        <v>0</v>
      </c>
    </row>
    <row r="89" spans="1:31" x14ac:dyDescent="0.25">
      <c r="A89">
        <v>214</v>
      </c>
      <c r="B89" t="s">
        <v>356</v>
      </c>
      <c r="C89" t="s">
        <v>708</v>
      </c>
      <c r="D89" s="33">
        <v>83061.3</v>
      </c>
      <c r="E89">
        <v>1246274661</v>
      </c>
      <c r="F89" s="222">
        <v>46182</v>
      </c>
      <c r="G89" s="222"/>
      <c r="H89" t="s">
        <v>23</v>
      </c>
      <c r="I89" t="s">
        <v>24</v>
      </c>
      <c r="J89">
        <v>11373</v>
      </c>
      <c r="K89" s="222">
        <v>46154</v>
      </c>
      <c r="L89">
        <v>1010100</v>
      </c>
      <c r="M89" t="s">
        <v>29</v>
      </c>
      <c r="N89">
        <v>-9</v>
      </c>
      <c r="O89" s="30">
        <v>0</v>
      </c>
      <c r="P89" s="30">
        <v>0</v>
      </c>
      <c r="Q89" s="30">
        <v>83061.3</v>
      </c>
      <c r="R89" s="30">
        <v>0</v>
      </c>
      <c r="S89" s="30">
        <v>0</v>
      </c>
      <c r="T89" s="30">
        <v>0</v>
      </c>
      <c r="U89" s="30">
        <v>0</v>
      </c>
      <c r="V89" s="30">
        <v>0</v>
      </c>
      <c r="W89" s="30">
        <v>0</v>
      </c>
      <c r="X89" s="30">
        <v>0</v>
      </c>
      <c r="Y89" s="30">
        <v>0</v>
      </c>
      <c r="Z89" s="30">
        <v>0</v>
      </c>
      <c r="AA89" s="30">
        <v>0</v>
      </c>
      <c r="AB89" s="30">
        <v>0</v>
      </c>
      <c r="AC89" s="30" t="s">
        <v>407</v>
      </c>
      <c r="AD89" s="30"/>
      <c r="AE89" s="30">
        <v>0</v>
      </c>
    </row>
    <row r="90" spans="1:31" x14ac:dyDescent="0.25">
      <c r="A90">
        <v>2</v>
      </c>
      <c r="B90" t="s">
        <v>357</v>
      </c>
      <c r="C90" t="s">
        <v>705</v>
      </c>
      <c r="D90" s="33">
        <v>31273</v>
      </c>
      <c r="E90">
        <v>1246277511</v>
      </c>
      <c r="F90" s="222">
        <v>46200</v>
      </c>
      <c r="G90" s="222">
        <v>46174</v>
      </c>
      <c r="H90" t="s">
        <v>706</v>
      </c>
      <c r="I90" t="s">
        <v>707</v>
      </c>
      <c r="J90">
        <v>2984</v>
      </c>
      <c r="K90" s="222">
        <v>46172</v>
      </c>
      <c r="L90">
        <v>1010100</v>
      </c>
      <c r="M90" t="s">
        <v>29</v>
      </c>
      <c r="N90">
        <v>-27</v>
      </c>
      <c r="O90" s="30">
        <v>0</v>
      </c>
      <c r="P90" s="30">
        <v>0</v>
      </c>
      <c r="Q90" s="30">
        <v>31273</v>
      </c>
      <c r="R90" s="30">
        <v>0</v>
      </c>
      <c r="S90" s="30">
        <v>0</v>
      </c>
      <c r="T90" s="30">
        <v>0</v>
      </c>
      <c r="U90" s="30">
        <v>0</v>
      </c>
      <c r="V90" s="30">
        <v>0</v>
      </c>
      <c r="W90" s="30">
        <v>0</v>
      </c>
      <c r="X90" s="30">
        <v>0</v>
      </c>
      <c r="Y90" s="30">
        <v>0</v>
      </c>
      <c r="Z90" s="30">
        <v>0</v>
      </c>
      <c r="AA90" s="30">
        <v>0</v>
      </c>
      <c r="AB90" s="30">
        <v>0</v>
      </c>
      <c r="AC90" s="30" t="s">
        <v>407</v>
      </c>
      <c r="AD90" s="30"/>
      <c r="AE90" s="30">
        <v>0</v>
      </c>
    </row>
    <row r="91" spans="1:31" x14ac:dyDescent="0.25">
      <c r="A91">
        <v>2</v>
      </c>
      <c r="B91" t="s">
        <v>357</v>
      </c>
      <c r="C91" t="s">
        <v>705</v>
      </c>
      <c r="D91" s="33">
        <v>30976</v>
      </c>
      <c r="E91">
        <v>1246275448</v>
      </c>
      <c r="F91" s="222">
        <v>46185</v>
      </c>
      <c r="G91" s="222">
        <v>46174</v>
      </c>
      <c r="H91" t="s">
        <v>706</v>
      </c>
      <c r="I91" t="s">
        <v>707</v>
      </c>
      <c r="J91">
        <v>2943</v>
      </c>
      <c r="K91" s="222">
        <v>46157</v>
      </c>
      <c r="L91">
        <v>1010100</v>
      </c>
      <c r="M91" t="s">
        <v>29</v>
      </c>
      <c r="N91">
        <v>-12</v>
      </c>
      <c r="O91" s="30">
        <v>0</v>
      </c>
      <c r="P91" s="30">
        <v>0</v>
      </c>
      <c r="Q91" s="30">
        <v>30976</v>
      </c>
      <c r="R91" s="30">
        <v>0</v>
      </c>
      <c r="S91" s="30">
        <v>0</v>
      </c>
      <c r="T91" s="30">
        <v>0</v>
      </c>
      <c r="U91" s="30">
        <v>0</v>
      </c>
      <c r="V91" s="30">
        <v>0</v>
      </c>
      <c r="W91" s="30">
        <v>0</v>
      </c>
      <c r="X91" s="30">
        <v>0</v>
      </c>
      <c r="Y91" s="30">
        <v>0</v>
      </c>
      <c r="Z91" s="30">
        <v>0</v>
      </c>
      <c r="AA91" s="30">
        <v>0</v>
      </c>
      <c r="AB91" s="30">
        <v>0</v>
      </c>
      <c r="AC91" s="30" t="s">
        <v>407</v>
      </c>
      <c r="AD91" s="30"/>
      <c r="AE91" s="30">
        <v>0</v>
      </c>
    </row>
    <row r="92" spans="1:31" x14ac:dyDescent="0.25">
      <c r="A92">
        <v>183</v>
      </c>
      <c r="B92" t="s">
        <v>448</v>
      </c>
      <c r="C92" t="s">
        <v>34</v>
      </c>
      <c r="D92" s="33">
        <v>4231.96</v>
      </c>
      <c r="E92">
        <v>1246014155</v>
      </c>
      <c r="F92" s="222">
        <v>47847</v>
      </c>
      <c r="G92" s="222"/>
      <c r="H92" t="s">
        <v>23</v>
      </c>
      <c r="I92" t="s">
        <v>24</v>
      </c>
      <c r="J92">
        <v>8361</v>
      </c>
      <c r="K92" s="222">
        <v>43384</v>
      </c>
      <c r="L92">
        <v>1010100</v>
      </c>
      <c r="M92" t="s">
        <v>29</v>
      </c>
      <c r="N92">
        <v>-1674</v>
      </c>
      <c r="O92" s="30">
        <v>0</v>
      </c>
      <c r="P92" s="30">
        <v>0</v>
      </c>
      <c r="Q92" s="30">
        <v>4231.96</v>
      </c>
      <c r="R92" s="30">
        <v>0</v>
      </c>
      <c r="S92" s="30">
        <v>0</v>
      </c>
      <c r="T92" s="30">
        <v>0</v>
      </c>
      <c r="U92" s="30">
        <v>0</v>
      </c>
      <c r="V92" s="30">
        <v>0</v>
      </c>
      <c r="W92" s="30">
        <v>0</v>
      </c>
      <c r="X92" s="30">
        <v>0</v>
      </c>
      <c r="Y92" s="30">
        <v>0</v>
      </c>
      <c r="Z92" s="30">
        <v>0</v>
      </c>
      <c r="AA92" s="30">
        <v>0</v>
      </c>
      <c r="AB92" s="30">
        <v>0</v>
      </c>
      <c r="AC92" s="30" t="s">
        <v>407</v>
      </c>
      <c r="AD92" s="30"/>
      <c r="AE92" s="30">
        <v>0</v>
      </c>
    </row>
    <row r="93" spans="1:31" x14ac:dyDescent="0.25">
      <c r="A93">
        <v>183</v>
      </c>
      <c r="B93" t="s">
        <v>448</v>
      </c>
      <c r="C93" t="s">
        <v>34</v>
      </c>
      <c r="D93" s="33">
        <v>4045.01</v>
      </c>
      <c r="E93">
        <v>1246014156</v>
      </c>
      <c r="F93" s="222">
        <v>48212</v>
      </c>
      <c r="G93" s="222"/>
      <c r="H93" t="s">
        <v>23</v>
      </c>
      <c r="I93" t="s">
        <v>24</v>
      </c>
      <c r="J93">
        <v>8361</v>
      </c>
      <c r="K93" s="222">
        <v>43384</v>
      </c>
      <c r="L93">
        <v>1010100</v>
      </c>
      <c r="M93" t="s">
        <v>29</v>
      </c>
      <c r="N93">
        <v>-2039</v>
      </c>
      <c r="O93" s="30">
        <v>0</v>
      </c>
      <c r="P93" s="30">
        <v>0</v>
      </c>
      <c r="Q93" s="30">
        <v>4045.01</v>
      </c>
      <c r="R93" s="30">
        <v>0</v>
      </c>
      <c r="S93" s="30">
        <v>0</v>
      </c>
      <c r="T93" s="30">
        <v>0</v>
      </c>
      <c r="U93" s="30">
        <v>0</v>
      </c>
      <c r="V93" s="30">
        <v>0</v>
      </c>
      <c r="W93" s="30">
        <v>0</v>
      </c>
      <c r="X93" s="30">
        <v>0</v>
      </c>
      <c r="Y93" s="30">
        <v>0</v>
      </c>
      <c r="Z93" s="30">
        <v>0</v>
      </c>
      <c r="AA93" s="30">
        <v>0</v>
      </c>
      <c r="AB93" s="30">
        <v>0</v>
      </c>
      <c r="AC93" s="30" t="s">
        <v>407</v>
      </c>
      <c r="AD93" s="30"/>
      <c r="AE93" s="30">
        <v>0</v>
      </c>
    </row>
    <row r="94" spans="1:31" x14ac:dyDescent="0.25">
      <c r="A94">
        <v>183</v>
      </c>
      <c r="B94" t="s">
        <v>448</v>
      </c>
      <c r="C94" t="s">
        <v>34</v>
      </c>
      <c r="D94" s="33">
        <v>4339.6000000000004</v>
      </c>
      <c r="E94">
        <v>1246014157</v>
      </c>
      <c r="F94" s="222">
        <v>48578</v>
      </c>
      <c r="G94" s="222"/>
      <c r="H94" t="s">
        <v>23</v>
      </c>
      <c r="I94" t="s">
        <v>24</v>
      </c>
      <c r="J94">
        <v>8361</v>
      </c>
      <c r="K94" s="222">
        <v>43384</v>
      </c>
      <c r="L94">
        <v>1010100</v>
      </c>
      <c r="M94" t="s">
        <v>29</v>
      </c>
      <c r="N94">
        <v>-2405</v>
      </c>
      <c r="O94" s="30">
        <v>0</v>
      </c>
      <c r="P94" s="30">
        <v>0</v>
      </c>
      <c r="Q94" s="30">
        <v>4339.6000000000004</v>
      </c>
      <c r="R94" s="30">
        <v>0</v>
      </c>
      <c r="S94" s="30">
        <v>0</v>
      </c>
      <c r="T94" s="30">
        <v>0</v>
      </c>
      <c r="U94" s="30">
        <v>0</v>
      </c>
      <c r="V94" s="30">
        <v>0</v>
      </c>
      <c r="W94" s="30">
        <v>0</v>
      </c>
      <c r="X94" s="30">
        <v>0</v>
      </c>
      <c r="Y94" s="30">
        <v>0</v>
      </c>
      <c r="Z94" s="30">
        <v>0</v>
      </c>
      <c r="AA94" s="30">
        <v>0</v>
      </c>
      <c r="AB94" s="30">
        <v>0</v>
      </c>
      <c r="AC94" s="30" t="s">
        <v>407</v>
      </c>
      <c r="AD94" s="30"/>
      <c r="AE94" s="30">
        <v>0</v>
      </c>
    </row>
    <row r="95" spans="1:31" x14ac:dyDescent="0.25">
      <c r="A95">
        <v>183</v>
      </c>
      <c r="B95" t="s">
        <v>448</v>
      </c>
      <c r="C95" t="s">
        <v>34</v>
      </c>
      <c r="D95" s="33">
        <v>7512.16</v>
      </c>
      <c r="E95">
        <v>1246014158</v>
      </c>
      <c r="F95" s="222">
        <v>48943</v>
      </c>
      <c r="G95" s="222"/>
      <c r="H95" t="s">
        <v>23</v>
      </c>
      <c r="I95" t="s">
        <v>24</v>
      </c>
      <c r="J95">
        <v>8361</v>
      </c>
      <c r="K95" s="222">
        <v>43384</v>
      </c>
      <c r="L95">
        <v>1010100</v>
      </c>
      <c r="M95" t="s">
        <v>29</v>
      </c>
      <c r="N95">
        <v>-2770</v>
      </c>
      <c r="O95" s="30">
        <v>0</v>
      </c>
      <c r="P95" s="30">
        <v>0</v>
      </c>
      <c r="Q95" s="30">
        <v>7512.16</v>
      </c>
      <c r="R95" s="30">
        <v>0</v>
      </c>
      <c r="S95" s="30">
        <v>0</v>
      </c>
      <c r="T95" s="30">
        <v>0</v>
      </c>
      <c r="U95" s="30">
        <v>0</v>
      </c>
      <c r="V95" s="30">
        <v>0</v>
      </c>
      <c r="W95" s="30">
        <v>0</v>
      </c>
      <c r="X95" s="30">
        <v>0</v>
      </c>
      <c r="Y95" s="30">
        <v>0</v>
      </c>
      <c r="Z95" s="30">
        <v>0</v>
      </c>
      <c r="AA95" s="30">
        <v>0</v>
      </c>
      <c r="AB95" s="30">
        <v>0</v>
      </c>
      <c r="AC95" s="30" t="s">
        <v>407</v>
      </c>
      <c r="AD95" s="30"/>
      <c r="AE95" s="30">
        <v>0</v>
      </c>
    </row>
    <row r="96" spans="1:31" x14ac:dyDescent="0.25">
      <c r="A96">
        <v>183</v>
      </c>
      <c r="B96" t="s">
        <v>448</v>
      </c>
      <c r="C96" t="s">
        <v>34</v>
      </c>
      <c r="D96" s="33">
        <v>30552.86</v>
      </c>
      <c r="E96">
        <v>1246014159</v>
      </c>
      <c r="F96" s="222">
        <v>49308</v>
      </c>
      <c r="G96" s="222"/>
      <c r="H96" t="s">
        <v>23</v>
      </c>
      <c r="I96" t="s">
        <v>24</v>
      </c>
      <c r="J96">
        <v>8361</v>
      </c>
      <c r="K96" s="222">
        <v>43384</v>
      </c>
      <c r="L96">
        <v>1010100</v>
      </c>
      <c r="M96" t="s">
        <v>29</v>
      </c>
      <c r="N96">
        <v>-3135</v>
      </c>
      <c r="O96" s="30">
        <v>0</v>
      </c>
      <c r="P96" s="30">
        <v>0</v>
      </c>
      <c r="Q96" s="30">
        <v>30552.86</v>
      </c>
      <c r="R96" s="30">
        <v>0</v>
      </c>
      <c r="S96" s="30">
        <v>0</v>
      </c>
      <c r="T96" s="30">
        <v>0</v>
      </c>
      <c r="U96" s="30">
        <v>0</v>
      </c>
      <c r="V96" s="30">
        <v>0</v>
      </c>
      <c r="W96" s="30">
        <v>0</v>
      </c>
      <c r="X96" s="30">
        <v>0</v>
      </c>
      <c r="Y96" s="30">
        <v>0</v>
      </c>
      <c r="Z96" s="30">
        <v>0</v>
      </c>
      <c r="AA96" s="30">
        <v>0</v>
      </c>
      <c r="AB96" s="30">
        <v>0</v>
      </c>
      <c r="AC96" s="30" t="s">
        <v>407</v>
      </c>
      <c r="AD96" s="30"/>
      <c r="AE96" s="30">
        <v>0</v>
      </c>
    </row>
    <row r="97" spans="1:31" x14ac:dyDescent="0.25">
      <c r="A97">
        <v>183</v>
      </c>
      <c r="B97" t="s">
        <v>448</v>
      </c>
      <c r="C97" t="s">
        <v>34</v>
      </c>
      <c r="D97" s="33">
        <v>1512.63</v>
      </c>
      <c r="E97">
        <v>1246014161</v>
      </c>
      <c r="F97" s="222">
        <v>50039</v>
      </c>
      <c r="G97" s="222"/>
      <c r="H97" t="s">
        <v>23</v>
      </c>
      <c r="I97" t="s">
        <v>24</v>
      </c>
      <c r="J97">
        <v>8361</v>
      </c>
      <c r="K97" s="222">
        <v>43384</v>
      </c>
      <c r="L97">
        <v>1010100</v>
      </c>
      <c r="M97" t="s">
        <v>29</v>
      </c>
      <c r="N97">
        <v>-3866</v>
      </c>
      <c r="O97" s="30">
        <v>0</v>
      </c>
      <c r="P97" s="30">
        <v>0</v>
      </c>
      <c r="Q97" s="30">
        <v>1512.63</v>
      </c>
      <c r="R97" s="30">
        <v>0</v>
      </c>
      <c r="S97" s="30">
        <v>0</v>
      </c>
      <c r="T97" s="30">
        <v>0</v>
      </c>
      <c r="U97" s="30">
        <v>0</v>
      </c>
      <c r="V97" s="30">
        <v>0</v>
      </c>
      <c r="W97" s="30">
        <v>0</v>
      </c>
      <c r="X97" s="30">
        <v>0</v>
      </c>
      <c r="Y97" s="30">
        <v>0</v>
      </c>
      <c r="Z97" s="30">
        <v>0</v>
      </c>
      <c r="AA97" s="30">
        <v>0</v>
      </c>
      <c r="AB97" s="30">
        <v>0</v>
      </c>
      <c r="AC97" s="30" t="s">
        <v>407</v>
      </c>
      <c r="AD97" s="30"/>
      <c r="AE97" s="30">
        <v>0</v>
      </c>
    </row>
    <row r="98" spans="1:31" x14ac:dyDescent="0.25">
      <c r="A98">
        <v>183</v>
      </c>
      <c r="B98" t="s">
        <v>448</v>
      </c>
      <c r="C98" t="s">
        <v>34</v>
      </c>
      <c r="D98" s="33">
        <v>1982.85</v>
      </c>
      <c r="E98">
        <v>1246014162</v>
      </c>
      <c r="F98" s="222">
        <v>50404</v>
      </c>
      <c r="G98" s="222"/>
      <c r="H98" t="s">
        <v>23</v>
      </c>
      <c r="I98" t="s">
        <v>24</v>
      </c>
      <c r="J98">
        <v>8361</v>
      </c>
      <c r="K98" s="222">
        <v>43384</v>
      </c>
      <c r="L98">
        <v>1010100</v>
      </c>
      <c r="M98" t="s">
        <v>29</v>
      </c>
      <c r="N98">
        <v>-4231</v>
      </c>
      <c r="O98" s="30">
        <v>0</v>
      </c>
      <c r="P98" s="30">
        <v>0</v>
      </c>
      <c r="Q98" s="30">
        <v>1982.85</v>
      </c>
      <c r="R98" s="30">
        <v>0</v>
      </c>
      <c r="S98" s="30">
        <v>0</v>
      </c>
      <c r="T98" s="30">
        <v>0</v>
      </c>
      <c r="U98" s="30">
        <v>0</v>
      </c>
      <c r="V98" s="30">
        <v>0</v>
      </c>
      <c r="W98" s="30">
        <v>0</v>
      </c>
      <c r="X98" s="30">
        <v>0</v>
      </c>
      <c r="Y98" s="30">
        <v>0</v>
      </c>
      <c r="Z98" s="30">
        <v>0</v>
      </c>
      <c r="AA98" s="30">
        <v>0</v>
      </c>
      <c r="AB98" s="30">
        <v>0</v>
      </c>
      <c r="AC98" s="30" t="s">
        <v>407</v>
      </c>
      <c r="AD98" s="30"/>
      <c r="AE98" s="30">
        <v>0</v>
      </c>
    </row>
    <row r="99" spans="1:31" x14ac:dyDescent="0.25">
      <c r="A99">
        <v>183</v>
      </c>
      <c r="B99" t="s">
        <v>448</v>
      </c>
      <c r="C99" t="s">
        <v>34</v>
      </c>
      <c r="D99" s="33">
        <v>2549.38</v>
      </c>
      <c r="E99">
        <v>1246014163</v>
      </c>
      <c r="F99" s="222">
        <v>50769</v>
      </c>
      <c r="G99" s="222"/>
      <c r="H99" t="s">
        <v>23</v>
      </c>
      <c r="I99" t="s">
        <v>24</v>
      </c>
      <c r="J99">
        <v>8361</v>
      </c>
      <c r="K99" s="222">
        <v>43384</v>
      </c>
      <c r="L99">
        <v>1010100</v>
      </c>
      <c r="M99" t="s">
        <v>29</v>
      </c>
      <c r="N99">
        <v>-4596</v>
      </c>
      <c r="O99" s="30">
        <v>0</v>
      </c>
      <c r="P99" s="30">
        <v>0</v>
      </c>
      <c r="Q99" s="30">
        <v>2549.38</v>
      </c>
      <c r="R99" s="30">
        <v>0</v>
      </c>
      <c r="S99" s="30">
        <v>0</v>
      </c>
      <c r="T99" s="30">
        <v>0</v>
      </c>
      <c r="U99" s="30">
        <v>0</v>
      </c>
      <c r="V99" s="30">
        <v>0</v>
      </c>
      <c r="W99" s="30">
        <v>0</v>
      </c>
      <c r="X99" s="30">
        <v>0</v>
      </c>
      <c r="Y99" s="30">
        <v>0</v>
      </c>
      <c r="Z99" s="30">
        <v>0</v>
      </c>
      <c r="AA99" s="30">
        <v>0</v>
      </c>
      <c r="AB99" s="30">
        <v>0</v>
      </c>
      <c r="AC99" s="30" t="s">
        <v>407</v>
      </c>
      <c r="AD99" s="30"/>
      <c r="AE99" s="30">
        <v>0</v>
      </c>
    </row>
    <row r="100" spans="1:31" x14ac:dyDescent="0.25">
      <c r="A100">
        <v>183</v>
      </c>
      <c r="B100" t="s">
        <v>448</v>
      </c>
      <c r="C100" t="s">
        <v>34</v>
      </c>
      <c r="D100" s="33">
        <v>5546.31</v>
      </c>
      <c r="E100">
        <v>1246014165</v>
      </c>
      <c r="F100" s="222">
        <v>51500</v>
      </c>
      <c r="G100" s="222"/>
      <c r="H100" t="s">
        <v>23</v>
      </c>
      <c r="I100" t="s">
        <v>24</v>
      </c>
      <c r="J100">
        <v>8361</v>
      </c>
      <c r="K100" s="222">
        <v>43384</v>
      </c>
      <c r="L100">
        <v>1010100</v>
      </c>
      <c r="M100" t="s">
        <v>29</v>
      </c>
      <c r="N100">
        <v>-5327</v>
      </c>
      <c r="O100" s="30">
        <v>0</v>
      </c>
      <c r="P100" s="30">
        <v>0</v>
      </c>
      <c r="Q100" s="30">
        <v>5546.31</v>
      </c>
      <c r="R100" s="30">
        <v>0</v>
      </c>
      <c r="S100" s="30">
        <v>0</v>
      </c>
      <c r="T100" s="30">
        <v>0</v>
      </c>
      <c r="U100" s="30">
        <v>0</v>
      </c>
      <c r="V100" s="30">
        <v>0</v>
      </c>
      <c r="W100" s="30">
        <v>0</v>
      </c>
      <c r="X100" s="30">
        <v>0</v>
      </c>
      <c r="Y100" s="30">
        <v>0</v>
      </c>
      <c r="Z100" s="30">
        <v>0</v>
      </c>
      <c r="AA100" s="30">
        <v>0</v>
      </c>
      <c r="AB100" s="30">
        <v>0</v>
      </c>
      <c r="AC100" s="30" t="s">
        <v>407</v>
      </c>
      <c r="AD100" s="30"/>
      <c r="AE100" s="30">
        <v>0</v>
      </c>
    </row>
    <row r="101" spans="1:31" x14ac:dyDescent="0.25">
      <c r="A101">
        <v>183</v>
      </c>
      <c r="B101" t="s">
        <v>448</v>
      </c>
      <c r="C101" t="s">
        <v>34</v>
      </c>
      <c r="D101" s="33">
        <v>5546.31</v>
      </c>
      <c r="E101">
        <v>1246014166</v>
      </c>
      <c r="F101" s="222">
        <v>51865</v>
      </c>
      <c r="G101" s="222"/>
      <c r="H101" t="s">
        <v>23</v>
      </c>
      <c r="I101" t="s">
        <v>24</v>
      </c>
      <c r="J101">
        <v>8361</v>
      </c>
      <c r="K101" s="222">
        <v>43384</v>
      </c>
      <c r="L101">
        <v>1010100</v>
      </c>
      <c r="M101" t="s">
        <v>29</v>
      </c>
      <c r="N101">
        <v>-5692</v>
      </c>
      <c r="O101" s="30">
        <v>0</v>
      </c>
      <c r="P101" s="30">
        <v>0</v>
      </c>
      <c r="Q101" s="30">
        <v>5546.31</v>
      </c>
      <c r="R101" s="30">
        <v>0</v>
      </c>
      <c r="S101" s="30">
        <v>0</v>
      </c>
      <c r="T101" s="30">
        <v>0</v>
      </c>
      <c r="U101" s="30">
        <v>0</v>
      </c>
      <c r="V101" s="30">
        <v>0</v>
      </c>
      <c r="W101" s="30">
        <v>0</v>
      </c>
      <c r="X101" s="30">
        <v>0</v>
      </c>
      <c r="Y101" s="30">
        <v>0</v>
      </c>
      <c r="Z101" s="30">
        <v>0</v>
      </c>
      <c r="AA101" s="30">
        <v>0</v>
      </c>
      <c r="AB101" s="30">
        <v>0</v>
      </c>
      <c r="AC101" s="30" t="s">
        <v>407</v>
      </c>
      <c r="AD101" s="30"/>
      <c r="AE101" s="30">
        <v>0</v>
      </c>
    </row>
    <row r="102" spans="1:31" x14ac:dyDescent="0.25">
      <c r="A102">
        <v>183</v>
      </c>
      <c r="B102" t="s">
        <v>448</v>
      </c>
      <c r="C102" t="s">
        <v>34</v>
      </c>
      <c r="D102" s="33">
        <v>5546.31</v>
      </c>
      <c r="E102">
        <v>1246014167</v>
      </c>
      <c r="F102" s="222">
        <v>52230</v>
      </c>
      <c r="G102" s="222"/>
      <c r="H102" t="s">
        <v>23</v>
      </c>
      <c r="I102" t="s">
        <v>24</v>
      </c>
      <c r="J102">
        <v>8361</v>
      </c>
      <c r="K102" s="222">
        <v>43384</v>
      </c>
      <c r="L102">
        <v>1010100</v>
      </c>
      <c r="M102" t="s">
        <v>29</v>
      </c>
      <c r="N102">
        <v>-6057</v>
      </c>
      <c r="O102" s="30">
        <v>0</v>
      </c>
      <c r="P102" s="30">
        <v>0</v>
      </c>
      <c r="Q102" s="30">
        <v>5546.31</v>
      </c>
      <c r="R102" s="30">
        <v>0</v>
      </c>
      <c r="S102" s="30">
        <v>0</v>
      </c>
      <c r="T102" s="30">
        <v>0</v>
      </c>
      <c r="U102" s="30">
        <v>0</v>
      </c>
      <c r="V102" s="30">
        <v>0</v>
      </c>
      <c r="W102" s="30">
        <v>0</v>
      </c>
      <c r="X102" s="30">
        <v>0</v>
      </c>
      <c r="Y102" s="30">
        <v>0</v>
      </c>
      <c r="Z102" s="30">
        <v>0</v>
      </c>
      <c r="AA102" s="30">
        <v>0</v>
      </c>
      <c r="AB102" s="30">
        <v>0</v>
      </c>
      <c r="AC102" s="30" t="s">
        <v>407</v>
      </c>
      <c r="AD102" s="30"/>
      <c r="AE102" s="30">
        <v>0</v>
      </c>
    </row>
    <row r="103" spans="1:31" x14ac:dyDescent="0.25">
      <c r="A103">
        <v>183</v>
      </c>
      <c r="B103" t="s">
        <v>448</v>
      </c>
      <c r="C103" t="s">
        <v>34</v>
      </c>
      <c r="D103" s="33">
        <v>5546.31</v>
      </c>
      <c r="E103">
        <v>1246014168</v>
      </c>
      <c r="F103" s="222">
        <v>52595</v>
      </c>
      <c r="G103" s="222"/>
      <c r="H103" t="s">
        <v>23</v>
      </c>
      <c r="I103" t="s">
        <v>24</v>
      </c>
      <c r="J103">
        <v>8361</v>
      </c>
      <c r="K103" s="222">
        <v>43384</v>
      </c>
      <c r="L103">
        <v>1010100</v>
      </c>
      <c r="M103" t="s">
        <v>29</v>
      </c>
      <c r="N103">
        <v>-6422</v>
      </c>
      <c r="O103" s="30">
        <v>0</v>
      </c>
      <c r="P103" s="30">
        <v>0</v>
      </c>
      <c r="Q103" s="30">
        <v>5546.31</v>
      </c>
      <c r="R103" s="30">
        <v>0</v>
      </c>
      <c r="S103" s="30">
        <v>0</v>
      </c>
      <c r="T103" s="30">
        <v>0</v>
      </c>
      <c r="U103" s="30">
        <v>0</v>
      </c>
      <c r="V103" s="30">
        <v>0</v>
      </c>
      <c r="W103" s="30">
        <v>0</v>
      </c>
      <c r="X103" s="30">
        <v>0</v>
      </c>
      <c r="Y103" s="30">
        <v>0</v>
      </c>
      <c r="Z103" s="30">
        <v>0</v>
      </c>
      <c r="AA103" s="30">
        <v>0</v>
      </c>
      <c r="AB103" s="30">
        <v>0</v>
      </c>
      <c r="AC103" s="30" t="s">
        <v>407</v>
      </c>
      <c r="AD103" s="30"/>
      <c r="AE103" s="30">
        <v>0</v>
      </c>
    </row>
    <row r="104" spans="1:31" x14ac:dyDescent="0.25">
      <c r="A104">
        <v>183</v>
      </c>
      <c r="B104" t="s">
        <v>448</v>
      </c>
      <c r="C104" t="s">
        <v>34</v>
      </c>
      <c r="D104" s="33">
        <v>5546.31</v>
      </c>
      <c r="E104">
        <v>1246014169</v>
      </c>
      <c r="F104" s="222">
        <v>52961</v>
      </c>
      <c r="G104" s="222"/>
      <c r="H104" t="s">
        <v>23</v>
      </c>
      <c r="I104" t="s">
        <v>24</v>
      </c>
      <c r="J104">
        <v>8361</v>
      </c>
      <c r="K104" s="222">
        <v>43384</v>
      </c>
      <c r="L104">
        <v>1010100</v>
      </c>
      <c r="M104" t="s">
        <v>29</v>
      </c>
      <c r="N104">
        <v>-6788</v>
      </c>
      <c r="O104" s="30">
        <v>0</v>
      </c>
      <c r="P104" s="30">
        <v>0</v>
      </c>
      <c r="Q104" s="30">
        <v>5546.31</v>
      </c>
      <c r="R104" s="30">
        <v>0</v>
      </c>
      <c r="S104" s="30">
        <v>0</v>
      </c>
      <c r="T104" s="30">
        <v>0</v>
      </c>
      <c r="U104" s="30">
        <v>0</v>
      </c>
      <c r="V104" s="30">
        <v>0</v>
      </c>
      <c r="W104" s="30">
        <v>0</v>
      </c>
      <c r="X104" s="30">
        <v>0</v>
      </c>
      <c r="Y104" s="30">
        <v>0</v>
      </c>
      <c r="Z104" s="30">
        <v>0</v>
      </c>
      <c r="AA104" s="30">
        <v>0</v>
      </c>
      <c r="AB104" s="30">
        <v>0</v>
      </c>
      <c r="AC104" s="30" t="s">
        <v>407</v>
      </c>
      <c r="AD104" s="30"/>
      <c r="AE104" s="30">
        <v>0</v>
      </c>
    </row>
    <row r="105" spans="1:31" x14ac:dyDescent="0.25">
      <c r="A105">
        <v>183</v>
      </c>
      <c r="B105" t="s">
        <v>448</v>
      </c>
      <c r="C105" t="s">
        <v>34</v>
      </c>
      <c r="D105" s="33">
        <v>5568.96</v>
      </c>
      <c r="E105">
        <v>1246014170</v>
      </c>
      <c r="F105" s="222">
        <v>53326</v>
      </c>
      <c r="G105" s="222"/>
      <c r="H105" t="s">
        <v>23</v>
      </c>
      <c r="I105" t="s">
        <v>24</v>
      </c>
      <c r="J105">
        <v>8361</v>
      </c>
      <c r="K105" s="222">
        <v>43384</v>
      </c>
      <c r="L105">
        <v>1010100</v>
      </c>
      <c r="M105" t="s">
        <v>29</v>
      </c>
      <c r="N105">
        <v>-7153</v>
      </c>
      <c r="O105" s="30">
        <v>0</v>
      </c>
      <c r="P105" s="30">
        <v>0</v>
      </c>
      <c r="Q105" s="30">
        <v>5568.96</v>
      </c>
      <c r="R105" s="30">
        <v>0</v>
      </c>
      <c r="S105" s="30">
        <v>0</v>
      </c>
      <c r="T105" s="30">
        <v>0</v>
      </c>
      <c r="U105" s="30">
        <v>0</v>
      </c>
      <c r="V105" s="30">
        <v>0</v>
      </c>
      <c r="W105" s="30">
        <v>0</v>
      </c>
      <c r="X105" s="30">
        <v>0</v>
      </c>
      <c r="Y105" s="30">
        <v>0</v>
      </c>
      <c r="Z105" s="30">
        <v>0</v>
      </c>
      <c r="AA105" s="30">
        <v>0</v>
      </c>
      <c r="AB105" s="30">
        <v>0</v>
      </c>
      <c r="AC105" s="30" t="s">
        <v>407</v>
      </c>
      <c r="AD105" s="30"/>
      <c r="AE105" s="30">
        <v>0</v>
      </c>
    </row>
    <row r="106" spans="1:31" x14ac:dyDescent="0.25">
      <c r="A106">
        <v>183</v>
      </c>
      <c r="B106" t="s">
        <v>448</v>
      </c>
      <c r="C106" t="s">
        <v>34</v>
      </c>
      <c r="D106" s="33">
        <v>2487.06</v>
      </c>
      <c r="E106">
        <v>1246137877</v>
      </c>
      <c r="F106" s="222">
        <v>49673</v>
      </c>
      <c r="G106" s="222"/>
      <c r="H106" t="s">
        <v>23</v>
      </c>
      <c r="I106" t="s">
        <v>24</v>
      </c>
      <c r="J106">
        <v>8361</v>
      </c>
      <c r="K106" s="222">
        <v>43384</v>
      </c>
      <c r="L106">
        <v>1010100</v>
      </c>
      <c r="M106" t="s">
        <v>29</v>
      </c>
      <c r="N106">
        <v>-3500</v>
      </c>
      <c r="O106" s="30">
        <v>0</v>
      </c>
      <c r="P106" s="30">
        <v>0</v>
      </c>
      <c r="Q106" s="30">
        <v>2487.06</v>
      </c>
      <c r="R106" s="30">
        <v>0</v>
      </c>
      <c r="S106" s="30">
        <v>0</v>
      </c>
      <c r="T106" s="30">
        <v>0</v>
      </c>
      <c r="U106" s="30">
        <v>0</v>
      </c>
      <c r="V106" s="30">
        <v>0</v>
      </c>
      <c r="W106" s="30">
        <v>0</v>
      </c>
      <c r="X106" s="30">
        <v>0</v>
      </c>
      <c r="Y106" s="30">
        <v>0</v>
      </c>
      <c r="Z106" s="30">
        <v>0</v>
      </c>
      <c r="AA106" s="30">
        <v>0</v>
      </c>
      <c r="AB106" s="30">
        <v>0</v>
      </c>
      <c r="AC106" s="30" t="s">
        <v>407</v>
      </c>
      <c r="AD106" s="30"/>
      <c r="AE106" s="30">
        <v>0</v>
      </c>
    </row>
    <row r="107" spans="1:31" x14ac:dyDescent="0.25">
      <c r="A107">
        <v>183</v>
      </c>
      <c r="B107" t="s">
        <v>448</v>
      </c>
      <c r="C107" t="s">
        <v>34</v>
      </c>
      <c r="D107" s="33">
        <v>2151.75</v>
      </c>
      <c r="E107">
        <v>1246265345</v>
      </c>
      <c r="F107" s="222">
        <v>47482</v>
      </c>
      <c r="G107" s="222"/>
      <c r="H107" t="s">
        <v>23</v>
      </c>
      <c r="I107" t="s">
        <v>24</v>
      </c>
      <c r="J107">
        <v>8361</v>
      </c>
      <c r="K107" s="222">
        <v>43384</v>
      </c>
      <c r="L107">
        <v>1010100</v>
      </c>
      <c r="M107" t="s">
        <v>29</v>
      </c>
      <c r="N107">
        <v>-1309</v>
      </c>
      <c r="O107" s="30">
        <v>0</v>
      </c>
      <c r="P107" s="30">
        <v>0</v>
      </c>
      <c r="Q107" s="30">
        <v>2151.75</v>
      </c>
      <c r="R107" s="30">
        <v>0</v>
      </c>
      <c r="S107" s="30">
        <v>0</v>
      </c>
      <c r="T107" s="30">
        <v>0</v>
      </c>
      <c r="U107" s="30">
        <v>0</v>
      </c>
      <c r="V107" s="30">
        <v>0</v>
      </c>
      <c r="W107" s="30">
        <v>0</v>
      </c>
      <c r="X107" s="30">
        <v>0</v>
      </c>
      <c r="Y107" s="30">
        <v>0</v>
      </c>
      <c r="Z107" s="30">
        <v>0</v>
      </c>
      <c r="AA107" s="30">
        <v>0</v>
      </c>
      <c r="AB107" s="30">
        <v>0</v>
      </c>
      <c r="AC107" s="30" t="s">
        <v>407</v>
      </c>
      <c r="AD107" s="30"/>
      <c r="AE107" s="30">
        <v>0</v>
      </c>
    </row>
    <row r="108" spans="1:31" x14ac:dyDescent="0.25">
      <c r="A108">
        <v>183</v>
      </c>
      <c r="B108" t="s">
        <v>448</v>
      </c>
      <c r="C108" t="s">
        <v>34</v>
      </c>
      <c r="D108" s="33">
        <v>2104.2399999999998</v>
      </c>
      <c r="E108">
        <v>1246233818</v>
      </c>
      <c r="F108" s="222">
        <v>51134</v>
      </c>
      <c r="G108" s="222"/>
      <c r="H108" t="s">
        <v>23</v>
      </c>
      <c r="I108" t="s">
        <v>24</v>
      </c>
      <c r="J108">
        <v>8361</v>
      </c>
      <c r="K108" s="222">
        <v>43384</v>
      </c>
      <c r="L108">
        <v>1010100</v>
      </c>
      <c r="M108" t="s">
        <v>29</v>
      </c>
      <c r="N108">
        <v>-4961</v>
      </c>
      <c r="O108" s="30">
        <v>0</v>
      </c>
      <c r="P108" s="30">
        <v>0</v>
      </c>
      <c r="Q108" s="30">
        <v>2104.2399999999998</v>
      </c>
      <c r="R108" s="30">
        <v>0</v>
      </c>
      <c r="S108" s="30">
        <v>0</v>
      </c>
      <c r="T108" s="30">
        <v>0</v>
      </c>
      <c r="U108" s="30">
        <v>0</v>
      </c>
      <c r="V108" s="30">
        <v>0</v>
      </c>
      <c r="W108" s="30">
        <v>0</v>
      </c>
      <c r="X108" s="30">
        <v>0</v>
      </c>
      <c r="Y108" s="30">
        <v>0</v>
      </c>
      <c r="Z108" s="30">
        <v>0</v>
      </c>
      <c r="AA108" s="30">
        <v>0</v>
      </c>
      <c r="AB108" s="30">
        <v>0</v>
      </c>
      <c r="AC108" s="30" t="s">
        <v>407</v>
      </c>
      <c r="AD108" s="30"/>
      <c r="AE108" s="30">
        <v>0</v>
      </c>
    </row>
    <row r="109" spans="1:31" x14ac:dyDescent="0.25">
      <c r="A109">
        <v>1023</v>
      </c>
      <c r="B109" t="s">
        <v>358</v>
      </c>
      <c r="C109" t="s">
        <v>772</v>
      </c>
      <c r="D109" s="33">
        <v>29520</v>
      </c>
      <c r="E109">
        <v>1246273185</v>
      </c>
      <c r="F109" s="222">
        <v>46202</v>
      </c>
      <c r="G109" s="222"/>
      <c r="H109" t="s">
        <v>23</v>
      </c>
      <c r="I109" t="s">
        <v>24</v>
      </c>
      <c r="J109">
        <v>11269</v>
      </c>
      <c r="K109" s="222">
        <v>46142</v>
      </c>
      <c r="L109">
        <v>1010100</v>
      </c>
      <c r="M109" t="s">
        <v>29</v>
      </c>
      <c r="N109">
        <v>-29</v>
      </c>
      <c r="O109" s="30">
        <v>0</v>
      </c>
      <c r="P109" s="30">
        <v>0</v>
      </c>
      <c r="Q109" s="30">
        <v>29520</v>
      </c>
      <c r="R109" s="30">
        <v>0</v>
      </c>
      <c r="S109" s="30">
        <v>0</v>
      </c>
      <c r="T109" s="30">
        <v>0</v>
      </c>
      <c r="U109" s="30">
        <v>0</v>
      </c>
      <c r="V109" s="30">
        <v>0</v>
      </c>
      <c r="W109" s="30">
        <v>0</v>
      </c>
      <c r="X109" s="30">
        <v>0</v>
      </c>
      <c r="Y109" s="30">
        <v>0</v>
      </c>
      <c r="Z109" s="30">
        <v>0</v>
      </c>
      <c r="AA109" s="30">
        <v>0</v>
      </c>
      <c r="AB109" s="30">
        <v>0</v>
      </c>
      <c r="AC109" s="30" t="s">
        <v>407</v>
      </c>
      <c r="AD109" s="30"/>
      <c r="AE109" s="30">
        <v>0</v>
      </c>
    </row>
    <row r="110" spans="1:31" x14ac:dyDescent="0.25">
      <c r="A110">
        <v>1792</v>
      </c>
      <c r="B110" t="s">
        <v>449</v>
      </c>
      <c r="C110" t="s">
        <v>63</v>
      </c>
      <c r="D110" s="33">
        <v>116676.6</v>
      </c>
      <c r="E110">
        <v>1246272414</v>
      </c>
      <c r="F110" s="222">
        <v>46226</v>
      </c>
      <c r="G110" s="222"/>
      <c r="H110" t="s">
        <v>23</v>
      </c>
      <c r="I110" t="s">
        <v>24</v>
      </c>
      <c r="J110">
        <v>11211</v>
      </c>
      <c r="K110" s="222">
        <v>46136</v>
      </c>
      <c r="L110">
        <v>1010100</v>
      </c>
      <c r="M110" t="s">
        <v>29</v>
      </c>
      <c r="N110">
        <v>-53</v>
      </c>
      <c r="O110" s="30">
        <v>0</v>
      </c>
      <c r="P110" s="30">
        <v>0</v>
      </c>
      <c r="Q110" s="30">
        <v>116676.6</v>
      </c>
      <c r="R110" s="30">
        <v>0</v>
      </c>
      <c r="S110" s="30">
        <v>0</v>
      </c>
      <c r="T110" s="30">
        <v>0</v>
      </c>
      <c r="U110" s="30">
        <v>0</v>
      </c>
      <c r="V110" s="30">
        <v>0</v>
      </c>
      <c r="W110" s="30">
        <v>0</v>
      </c>
      <c r="X110" s="30">
        <v>0</v>
      </c>
      <c r="Y110" s="30">
        <v>0</v>
      </c>
      <c r="Z110" s="30">
        <v>0</v>
      </c>
      <c r="AA110" s="30">
        <v>0</v>
      </c>
      <c r="AB110" s="30">
        <v>0</v>
      </c>
      <c r="AC110" s="30" t="s">
        <v>457</v>
      </c>
      <c r="AD110" s="30"/>
      <c r="AE110" s="30">
        <v>0</v>
      </c>
    </row>
    <row r="111" spans="1:31" x14ac:dyDescent="0.25">
      <c r="A111">
        <v>1792</v>
      </c>
      <c r="B111" t="s">
        <v>449</v>
      </c>
      <c r="C111" t="s">
        <v>63</v>
      </c>
      <c r="D111" s="33">
        <v>116343</v>
      </c>
      <c r="E111">
        <v>1246267070</v>
      </c>
      <c r="F111" s="222">
        <v>46180</v>
      </c>
      <c r="G111" s="222"/>
      <c r="H111" t="s">
        <v>23</v>
      </c>
      <c r="I111" t="s">
        <v>24</v>
      </c>
      <c r="J111">
        <v>10846</v>
      </c>
      <c r="K111" s="222">
        <v>46090</v>
      </c>
      <c r="L111">
        <v>1010100</v>
      </c>
      <c r="M111" t="s">
        <v>29</v>
      </c>
      <c r="N111">
        <v>-7</v>
      </c>
      <c r="O111" s="30">
        <v>0</v>
      </c>
      <c r="P111" s="30">
        <v>0</v>
      </c>
      <c r="Q111" s="30">
        <v>116343</v>
      </c>
      <c r="R111" s="30">
        <v>0</v>
      </c>
      <c r="S111" s="30">
        <v>0</v>
      </c>
      <c r="T111" s="30">
        <v>0</v>
      </c>
      <c r="U111" s="30">
        <v>0</v>
      </c>
      <c r="V111" s="30">
        <v>0</v>
      </c>
      <c r="W111" s="30">
        <v>0</v>
      </c>
      <c r="X111" s="30">
        <v>0</v>
      </c>
      <c r="Y111" s="30">
        <v>0</v>
      </c>
      <c r="Z111" s="30">
        <v>0</v>
      </c>
      <c r="AA111" s="30">
        <v>0</v>
      </c>
      <c r="AB111" s="30">
        <v>0</v>
      </c>
      <c r="AC111" s="30" t="s">
        <v>457</v>
      </c>
      <c r="AD111" s="30"/>
      <c r="AE111" s="30">
        <v>0</v>
      </c>
    </row>
    <row r="112" spans="1:31" x14ac:dyDescent="0.25">
      <c r="A112">
        <v>1792</v>
      </c>
      <c r="B112" t="s">
        <v>449</v>
      </c>
      <c r="C112" t="s">
        <v>63</v>
      </c>
      <c r="D112" s="33">
        <v>118681.67</v>
      </c>
      <c r="E112">
        <v>1246275366</v>
      </c>
      <c r="F112" s="222">
        <v>46247</v>
      </c>
      <c r="G112" s="222"/>
      <c r="H112" t="s">
        <v>23</v>
      </c>
      <c r="I112" t="s">
        <v>24</v>
      </c>
      <c r="J112">
        <v>11404</v>
      </c>
      <c r="K112" s="222">
        <v>46157</v>
      </c>
      <c r="L112">
        <v>1010100</v>
      </c>
      <c r="M112" t="s">
        <v>29</v>
      </c>
      <c r="N112">
        <v>-74</v>
      </c>
      <c r="O112" s="30">
        <v>0</v>
      </c>
      <c r="P112" s="30">
        <v>0</v>
      </c>
      <c r="Q112" s="30">
        <v>118681.67</v>
      </c>
      <c r="R112" s="30">
        <v>0</v>
      </c>
      <c r="S112" s="30">
        <v>0</v>
      </c>
      <c r="T112" s="30">
        <v>0</v>
      </c>
      <c r="U112" s="30">
        <v>0</v>
      </c>
      <c r="V112" s="30">
        <v>0</v>
      </c>
      <c r="W112" s="30">
        <v>0</v>
      </c>
      <c r="X112" s="30">
        <v>0</v>
      </c>
      <c r="Y112" s="30">
        <v>0</v>
      </c>
      <c r="Z112" s="30">
        <v>0</v>
      </c>
      <c r="AA112" s="30">
        <v>0</v>
      </c>
      <c r="AB112" s="30">
        <v>0</v>
      </c>
      <c r="AC112" s="30" t="s">
        <v>457</v>
      </c>
      <c r="AD112" s="30"/>
      <c r="AE112" s="30">
        <v>0</v>
      </c>
    </row>
    <row r="113" spans="1:31" x14ac:dyDescent="0.25">
      <c r="A113">
        <v>1792</v>
      </c>
      <c r="B113" t="s">
        <v>449</v>
      </c>
      <c r="C113" t="s">
        <v>63</v>
      </c>
      <c r="D113" s="33">
        <v>118845</v>
      </c>
      <c r="E113">
        <v>1246269004</v>
      </c>
      <c r="F113" s="222">
        <v>46196</v>
      </c>
      <c r="G113" s="222"/>
      <c r="H113" t="s">
        <v>23</v>
      </c>
      <c r="I113" t="s">
        <v>24</v>
      </c>
      <c r="J113">
        <v>10975</v>
      </c>
      <c r="K113" s="222">
        <v>46106</v>
      </c>
      <c r="L113">
        <v>1010100</v>
      </c>
      <c r="M113" t="s">
        <v>29</v>
      </c>
      <c r="N113">
        <v>-23</v>
      </c>
      <c r="O113" s="30">
        <v>0</v>
      </c>
      <c r="P113" s="30">
        <v>0</v>
      </c>
      <c r="Q113" s="30">
        <v>118845</v>
      </c>
      <c r="R113" s="30">
        <v>0</v>
      </c>
      <c r="S113" s="30">
        <v>0</v>
      </c>
      <c r="T113" s="30">
        <v>0</v>
      </c>
      <c r="U113" s="30">
        <v>0</v>
      </c>
      <c r="V113" s="30">
        <v>0</v>
      </c>
      <c r="W113" s="30">
        <v>0</v>
      </c>
      <c r="X113" s="30">
        <v>0</v>
      </c>
      <c r="Y113" s="30">
        <v>0</v>
      </c>
      <c r="Z113" s="30">
        <v>0</v>
      </c>
      <c r="AA113" s="30">
        <v>0</v>
      </c>
      <c r="AB113" s="30">
        <v>0</v>
      </c>
      <c r="AC113" s="30" t="s">
        <v>457</v>
      </c>
      <c r="AD113" s="30"/>
      <c r="AE113" s="30">
        <v>0</v>
      </c>
    </row>
    <row r="114" spans="1:31" x14ac:dyDescent="0.25">
      <c r="A114">
        <v>1792</v>
      </c>
      <c r="B114" t="s">
        <v>449</v>
      </c>
      <c r="C114" t="s">
        <v>63</v>
      </c>
      <c r="D114" s="33">
        <v>118092.47</v>
      </c>
      <c r="E114">
        <v>1246277506</v>
      </c>
      <c r="F114" s="222">
        <v>46261</v>
      </c>
      <c r="G114" s="222"/>
      <c r="H114" t="s">
        <v>23</v>
      </c>
      <c r="I114" t="s">
        <v>24</v>
      </c>
      <c r="J114">
        <v>11561</v>
      </c>
      <c r="K114" s="222">
        <v>46171</v>
      </c>
      <c r="L114">
        <v>1010100</v>
      </c>
      <c r="M114" t="s">
        <v>29</v>
      </c>
      <c r="N114">
        <v>-88</v>
      </c>
      <c r="O114" s="30">
        <v>0</v>
      </c>
      <c r="P114" s="30">
        <v>0</v>
      </c>
      <c r="Q114" s="30">
        <v>118092.47</v>
      </c>
      <c r="R114" s="30">
        <v>0</v>
      </c>
      <c r="S114" s="30">
        <v>0</v>
      </c>
      <c r="T114" s="30">
        <v>0</v>
      </c>
      <c r="U114" s="30">
        <v>0</v>
      </c>
      <c r="V114" s="30">
        <v>0</v>
      </c>
      <c r="W114" s="30">
        <v>0</v>
      </c>
      <c r="X114" s="30">
        <v>0</v>
      </c>
      <c r="Y114" s="30">
        <v>0</v>
      </c>
      <c r="Z114" s="30">
        <v>0</v>
      </c>
      <c r="AA114" s="30">
        <v>0</v>
      </c>
      <c r="AB114" s="30">
        <v>0</v>
      </c>
      <c r="AC114" s="30" t="s">
        <v>457</v>
      </c>
      <c r="AD114" s="30"/>
      <c r="AE114" s="30">
        <v>0</v>
      </c>
    </row>
    <row r="115" spans="1:31" x14ac:dyDescent="0.25">
      <c r="A115">
        <v>1792</v>
      </c>
      <c r="B115" t="s">
        <v>449</v>
      </c>
      <c r="C115" t="s">
        <v>63</v>
      </c>
      <c r="D115" s="33">
        <v>117260.4</v>
      </c>
      <c r="E115">
        <v>1246270521</v>
      </c>
      <c r="F115" s="222">
        <v>46209</v>
      </c>
      <c r="G115" s="222"/>
      <c r="H115" t="s">
        <v>23</v>
      </c>
      <c r="I115" t="s">
        <v>24</v>
      </c>
      <c r="J115">
        <v>11066</v>
      </c>
      <c r="K115" s="222">
        <v>46119</v>
      </c>
      <c r="L115">
        <v>1010100</v>
      </c>
      <c r="M115" t="s">
        <v>29</v>
      </c>
      <c r="N115">
        <v>-36</v>
      </c>
      <c r="O115" s="30">
        <v>0</v>
      </c>
      <c r="P115" s="30">
        <v>0</v>
      </c>
      <c r="Q115" s="30">
        <v>117260.4</v>
      </c>
      <c r="R115" s="30">
        <v>0</v>
      </c>
      <c r="S115" s="30">
        <v>0</v>
      </c>
      <c r="T115" s="30">
        <v>0</v>
      </c>
      <c r="U115" s="30">
        <v>0</v>
      </c>
      <c r="V115" s="30">
        <v>0</v>
      </c>
      <c r="W115" s="30">
        <v>0</v>
      </c>
      <c r="X115" s="30">
        <v>0</v>
      </c>
      <c r="Y115" s="30">
        <v>0</v>
      </c>
      <c r="Z115" s="30">
        <v>0</v>
      </c>
      <c r="AA115" s="30">
        <v>0</v>
      </c>
      <c r="AB115" s="30">
        <v>0</v>
      </c>
      <c r="AC115" s="30" t="s">
        <v>457</v>
      </c>
      <c r="AD115" s="30"/>
      <c r="AE115" s="30">
        <v>0</v>
      </c>
    </row>
    <row r="116" spans="1:31" x14ac:dyDescent="0.25">
      <c r="A116">
        <v>1792</v>
      </c>
      <c r="B116" t="s">
        <v>449</v>
      </c>
      <c r="C116" t="s">
        <v>63</v>
      </c>
      <c r="D116" s="33">
        <v>118892.1</v>
      </c>
      <c r="E116">
        <v>1246276278</v>
      </c>
      <c r="F116" s="222">
        <v>46254</v>
      </c>
      <c r="G116" s="222"/>
      <c r="H116" t="s">
        <v>23</v>
      </c>
      <c r="I116" t="s">
        <v>24</v>
      </c>
      <c r="J116">
        <v>11472</v>
      </c>
      <c r="K116" s="222">
        <v>46164</v>
      </c>
      <c r="L116">
        <v>1010100</v>
      </c>
      <c r="M116" t="s">
        <v>29</v>
      </c>
      <c r="N116">
        <v>-81</v>
      </c>
      <c r="O116" s="30">
        <v>0</v>
      </c>
      <c r="P116" s="30">
        <v>0</v>
      </c>
      <c r="Q116" s="30">
        <v>118892.1</v>
      </c>
      <c r="R116" s="30">
        <v>0</v>
      </c>
      <c r="S116" s="30">
        <v>0</v>
      </c>
      <c r="T116" s="30">
        <v>0</v>
      </c>
      <c r="U116" s="30">
        <v>0</v>
      </c>
      <c r="V116" s="30">
        <v>0</v>
      </c>
      <c r="W116" s="30">
        <v>0</v>
      </c>
      <c r="X116" s="30">
        <v>0</v>
      </c>
      <c r="Y116" s="30">
        <v>0</v>
      </c>
      <c r="Z116" s="30">
        <v>0</v>
      </c>
      <c r="AA116" s="30">
        <v>0</v>
      </c>
      <c r="AB116" s="30">
        <v>0</v>
      </c>
      <c r="AC116" s="30" t="s">
        <v>457</v>
      </c>
      <c r="AD116" s="30"/>
      <c r="AE116" s="30">
        <v>0</v>
      </c>
    </row>
    <row r="117" spans="1:31" x14ac:dyDescent="0.25">
      <c r="A117">
        <v>1792</v>
      </c>
      <c r="B117" t="s">
        <v>449</v>
      </c>
      <c r="C117" t="s">
        <v>63</v>
      </c>
      <c r="D117" s="33">
        <v>115675.8</v>
      </c>
      <c r="E117">
        <v>1246273463</v>
      </c>
      <c r="F117" s="222">
        <v>46236</v>
      </c>
      <c r="G117" s="222"/>
      <c r="H117" t="s">
        <v>23</v>
      </c>
      <c r="I117" t="s">
        <v>24</v>
      </c>
      <c r="J117">
        <v>11288</v>
      </c>
      <c r="K117" s="222">
        <v>46146</v>
      </c>
      <c r="L117">
        <v>1010100</v>
      </c>
      <c r="M117" t="s">
        <v>29</v>
      </c>
      <c r="N117">
        <v>-63</v>
      </c>
      <c r="O117" s="30">
        <v>0</v>
      </c>
      <c r="P117" s="30">
        <v>0</v>
      </c>
      <c r="Q117" s="30">
        <v>115675.8</v>
      </c>
      <c r="R117" s="30">
        <v>0</v>
      </c>
      <c r="S117" s="30">
        <v>0</v>
      </c>
      <c r="T117" s="30">
        <v>0</v>
      </c>
      <c r="U117" s="30">
        <v>0</v>
      </c>
      <c r="V117" s="30">
        <v>0</v>
      </c>
      <c r="W117" s="30">
        <v>0</v>
      </c>
      <c r="X117" s="30">
        <v>0</v>
      </c>
      <c r="Y117" s="30">
        <v>0</v>
      </c>
      <c r="Z117" s="30">
        <v>0</v>
      </c>
      <c r="AA117" s="30">
        <v>0</v>
      </c>
      <c r="AB117" s="30">
        <v>0</v>
      </c>
      <c r="AC117" s="30" t="s">
        <v>457</v>
      </c>
      <c r="AD117" s="30"/>
      <c r="AE117" s="30">
        <v>0</v>
      </c>
    </row>
    <row r="118" spans="1:31" x14ac:dyDescent="0.25">
      <c r="A118">
        <v>1792</v>
      </c>
      <c r="B118" t="s">
        <v>449</v>
      </c>
      <c r="C118" t="s">
        <v>63</v>
      </c>
      <c r="D118" s="33">
        <v>116343</v>
      </c>
      <c r="E118">
        <v>1246268258</v>
      </c>
      <c r="F118" s="222">
        <v>46189</v>
      </c>
      <c r="G118" s="222"/>
      <c r="H118" t="s">
        <v>23</v>
      </c>
      <c r="I118" t="s">
        <v>24</v>
      </c>
      <c r="J118">
        <v>10918</v>
      </c>
      <c r="K118" s="222">
        <v>46099</v>
      </c>
      <c r="L118">
        <v>1010100</v>
      </c>
      <c r="M118" t="s">
        <v>29</v>
      </c>
      <c r="N118">
        <v>-16</v>
      </c>
      <c r="O118" s="30">
        <v>0</v>
      </c>
      <c r="P118" s="30">
        <v>0</v>
      </c>
      <c r="Q118" s="30">
        <v>116343</v>
      </c>
      <c r="R118" s="30">
        <v>0</v>
      </c>
      <c r="S118" s="30">
        <v>0</v>
      </c>
      <c r="T118" s="30">
        <v>0</v>
      </c>
      <c r="U118" s="30">
        <v>0</v>
      </c>
      <c r="V118" s="30">
        <v>0</v>
      </c>
      <c r="W118" s="30">
        <v>0</v>
      </c>
      <c r="X118" s="30">
        <v>0</v>
      </c>
      <c r="Y118" s="30">
        <v>0</v>
      </c>
      <c r="Z118" s="30">
        <v>0</v>
      </c>
      <c r="AA118" s="30">
        <v>0</v>
      </c>
      <c r="AB118" s="30">
        <v>0</v>
      </c>
      <c r="AC118" s="30" t="s">
        <v>457</v>
      </c>
      <c r="AD118" s="30"/>
      <c r="AE118" s="30">
        <v>0</v>
      </c>
    </row>
    <row r="119" spans="1:31" x14ac:dyDescent="0.25">
      <c r="A119">
        <v>1792</v>
      </c>
      <c r="B119" t="s">
        <v>449</v>
      </c>
      <c r="C119" t="s">
        <v>63</v>
      </c>
      <c r="D119" s="33">
        <v>115314.82</v>
      </c>
      <c r="E119">
        <v>1246274283</v>
      </c>
      <c r="F119" s="222">
        <v>46243</v>
      </c>
      <c r="G119" s="222"/>
      <c r="H119" t="s">
        <v>23</v>
      </c>
      <c r="I119" t="s">
        <v>24</v>
      </c>
      <c r="J119">
        <v>11341</v>
      </c>
      <c r="K119" s="222">
        <v>46153</v>
      </c>
      <c r="L119">
        <v>1010100</v>
      </c>
      <c r="M119" t="s">
        <v>29</v>
      </c>
      <c r="N119">
        <v>-70</v>
      </c>
      <c r="O119" s="30">
        <v>0</v>
      </c>
      <c r="P119" s="30">
        <v>0</v>
      </c>
      <c r="Q119" s="30">
        <v>115314.82</v>
      </c>
      <c r="R119" s="30">
        <v>0</v>
      </c>
      <c r="S119" s="30">
        <v>0</v>
      </c>
      <c r="T119" s="30">
        <v>0</v>
      </c>
      <c r="U119" s="30">
        <v>0</v>
      </c>
      <c r="V119" s="30">
        <v>0</v>
      </c>
      <c r="W119" s="30">
        <v>0</v>
      </c>
      <c r="X119" s="30">
        <v>0</v>
      </c>
      <c r="Y119" s="30">
        <v>0</v>
      </c>
      <c r="Z119" s="30">
        <v>0</v>
      </c>
      <c r="AA119" s="30">
        <v>0</v>
      </c>
      <c r="AB119" s="30">
        <v>0</v>
      </c>
      <c r="AC119" s="30" t="s">
        <v>457</v>
      </c>
      <c r="AD119" s="30"/>
      <c r="AE119" s="30">
        <v>0</v>
      </c>
    </row>
    <row r="120" spans="1:31" x14ac:dyDescent="0.25">
      <c r="A120">
        <v>1792</v>
      </c>
      <c r="B120" t="s">
        <v>449</v>
      </c>
      <c r="C120" t="s">
        <v>63</v>
      </c>
      <c r="D120" s="33">
        <v>116760</v>
      </c>
      <c r="E120">
        <v>1246270240</v>
      </c>
      <c r="F120" s="222">
        <v>46204</v>
      </c>
      <c r="G120" s="222"/>
      <c r="H120" t="s">
        <v>23</v>
      </c>
      <c r="I120" t="s">
        <v>24</v>
      </c>
      <c r="J120">
        <v>11049</v>
      </c>
      <c r="K120" s="222">
        <v>46114</v>
      </c>
      <c r="L120">
        <v>1010100</v>
      </c>
      <c r="M120" t="s">
        <v>29</v>
      </c>
      <c r="N120">
        <v>-31</v>
      </c>
      <c r="O120" s="30">
        <v>0</v>
      </c>
      <c r="P120" s="30">
        <v>0</v>
      </c>
      <c r="Q120" s="30">
        <v>116760</v>
      </c>
      <c r="R120" s="30">
        <v>0</v>
      </c>
      <c r="S120" s="30">
        <v>0</v>
      </c>
      <c r="T120" s="30">
        <v>0</v>
      </c>
      <c r="U120" s="30">
        <v>0</v>
      </c>
      <c r="V120" s="30">
        <v>0</v>
      </c>
      <c r="W120" s="30">
        <v>0</v>
      </c>
      <c r="X120" s="30">
        <v>0</v>
      </c>
      <c r="Y120" s="30">
        <v>0</v>
      </c>
      <c r="Z120" s="30">
        <v>0</v>
      </c>
      <c r="AA120" s="30">
        <v>0</v>
      </c>
      <c r="AB120" s="30">
        <v>0</v>
      </c>
      <c r="AC120" s="30" t="s">
        <v>457</v>
      </c>
      <c r="AD120" s="30"/>
      <c r="AE120" s="30">
        <v>0</v>
      </c>
    </row>
    <row r="121" spans="1:31" x14ac:dyDescent="0.25">
      <c r="A121">
        <v>1792</v>
      </c>
      <c r="B121" t="s">
        <v>449</v>
      </c>
      <c r="C121" t="s">
        <v>63</v>
      </c>
      <c r="D121" s="33">
        <v>117051.9</v>
      </c>
      <c r="E121">
        <v>1246269741</v>
      </c>
      <c r="F121" s="222">
        <v>46202</v>
      </c>
      <c r="G121" s="222"/>
      <c r="H121" t="s">
        <v>23</v>
      </c>
      <c r="I121" t="s">
        <v>24</v>
      </c>
      <c r="J121">
        <v>11015</v>
      </c>
      <c r="K121" s="222">
        <v>46112</v>
      </c>
      <c r="L121">
        <v>1010100</v>
      </c>
      <c r="M121" t="s">
        <v>29</v>
      </c>
      <c r="N121">
        <v>-29</v>
      </c>
      <c r="O121" s="30">
        <v>0</v>
      </c>
      <c r="P121" s="30">
        <v>0</v>
      </c>
      <c r="Q121" s="30">
        <v>117051.9</v>
      </c>
      <c r="R121" s="30">
        <v>0</v>
      </c>
      <c r="S121" s="30">
        <v>0</v>
      </c>
      <c r="T121" s="30">
        <v>0</v>
      </c>
      <c r="U121" s="30">
        <v>0</v>
      </c>
      <c r="V121" s="30">
        <v>0</v>
      </c>
      <c r="W121" s="30">
        <v>0</v>
      </c>
      <c r="X121" s="30">
        <v>0</v>
      </c>
      <c r="Y121" s="30">
        <v>0</v>
      </c>
      <c r="Z121" s="30">
        <v>0</v>
      </c>
      <c r="AA121" s="30">
        <v>0</v>
      </c>
      <c r="AB121" s="30">
        <v>0</v>
      </c>
      <c r="AC121" s="30" t="s">
        <v>457</v>
      </c>
      <c r="AD121" s="30"/>
      <c r="AE121" s="30">
        <v>0</v>
      </c>
    </row>
    <row r="122" spans="1:31" x14ac:dyDescent="0.25">
      <c r="A122">
        <v>1792</v>
      </c>
      <c r="B122" t="s">
        <v>449</v>
      </c>
      <c r="C122" t="s">
        <v>63</v>
      </c>
      <c r="D122" s="33">
        <v>115842.6</v>
      </c>
      <c r="E122">
        <v>1246271433</v>
      </c>
      <c r="F122" s="222">
        <v>46217</v>
      </c>
      <c r="G122" s="222"/>
      <c r="H122" t="s">
        <v>23</v>
      </c>
      <c r="I122" t="s">
        <v>24</v>
      </c>
      <c r="J122">
        <v>11125</v>
      </c>
      <c r="K122" s="222">
        <v>46127</v>
      </c>
      <c r="L122">
        <v>1010100</v>
      </c>
      <c r="M122" t="s">
        <v>29</v>
      </c>
      <c r="N122">
        <v>-44</v>
      </c>
      <c r="O122" s="30">
        <v>0</v>
      </c>
      <c r="P122" s="30">
        <v>0</v>
      </c>
      <c r="Q122" s="30">
        <v>115842.6</v>
      </c>
      <c r="R122" s="30">
        <v>0</v>
      </c>
      <c r="S122" s="30">
        <v>0</v>
      </c>
      <c r="T122" s="30">
        <v>0</v>
      </c>
      <c r="U122" s="30">
        <v>0</v>
      </c>
      <c r="V122" s="30">
        <v>0</v>
      </c>
      <c r="W122" s="30">
        <v>0</v>
      </c>
      <c r="X122" s="30">
        <v>0</v>
      </c>
      <c r="Y122" s="30">
        <v>0</v>
      </c>
      <c r="Z122" s="30">
        <v>0</v>
      </c>
      <c r="AA122" s="30">
        <v>0</v>
      </c>
      <c r="AB122" s="30">
        <v>0</v>
      </c>
      <c r="AC122" s="30" t="s">
        <v>457</v>
      </c>
      <c r="AD122" s="30"/>
      <c r="AE122" s="30">
        <v>0</v>
      </c>
    </row>
    <row r="123" spans="1:31" x14ac:dyDescent="0.25">
      <c r="A123">
        <v>1792</v>
      </c>
      <c r="B123" t="s">
        <v>449</v>
      </c>
      <c r="C123" t="s">
        <v>63</v>
      </c>
      <c r="D123" s="33">
        <v>116134.5</v>
      </c>
      <c r="E123">
        <v>1246271003</v>
      </c>
      <c r="F123" s="222">
        <v>46212</v>
      </c>
      <c r="G123" s="222"/>
      <c r="H123" t="s">
        <v>23</v>
      </c>
      <c r="I123" t="s">
        <v>24</v>
      </c>
      <c r="J123">
        <v>11092</v>
      </c>
      <c r="K123" s="222">
        <v>46122</v>
      </c>
      <c r="L123">
        <v>1010100</v>
      </c>
      <c r="M123" t="s">
        <v>29</v>
      </c>
      <c r="N123">
        <v>-39</v>
      </c>
      <c r="O123" s="30">
        <v>0</v>
      </c>
      <c r="P123" s="30">
        <v>0</v>
      </c>
      <c r="Q123" s="30">
        <v>116134.5</v>
      </c>
      <c r="R123" s="30">
        <v>0</v>
      </c>
      <c r="S123" s="30">
        <v>0</v>
      </c>
      <c r="T123" s="30">
        <v>0</v>
      </c>
      <c r="U123" s="30">
        <v>0</v>
      </c>
      <c r="V123" s="30">
        <v>0</v>
      </c>
      <c r="W123" s="30">
        <v>0</v>
      </c>
      <c r="X123" s="30">
        <v>0</v>
      </c>
      <c r="Y123" s="30">
        <v>0</v>
      </c>
      <c r="Z123" s="30">
        <v>0</v>
      </c>
      <c r="AA123" s="30">
        <v>0</v>
      </c>
      <c r="AB123" s="30">
        <v>0</v>
      </c>
      <c r="AC123" s="30" t="s">
        <v>457</v>
      </c>
      <c r="AD123" s="30"/>
      <c r="AE123" s="30">
        <v>0</v>
      </c>
    </row>
    <row r="124" spans="1:31" x14ac:dyDescent="0.25">
      <c r="A124">
        <v>1792</v>
      </c>
      <c r="B124" t="s">
        <v>449</v>
      </c>
      <c r="C124" t="s">
        <v>63</v>
      </c>
      <c r="D124" s="33">
        <v>120471.3</v>
      </c>
      <c r="E124">
        <v>1246272043</v>
      </c>
      <c r="F124" s="222">
        <v>46224</v>
      </c>
      <c r="G124" s="222"/>
      <c r="H124" t="s">
        <v>23</v>
      </c>
      <c r="I124" t="s">
        <v>24</v>
      </c>
      <c r="J124">
        <v>11190</v>
      </c>
      <c r="K124" s="222">
        <v>46134</v>
      </c>
      <c r="L124">
        <v>1010100</v>
      </c>
      <c r="M124" t="s">
        <v>29</v>
      </c>
      <c r="N124">
        <v>-51</v>
      </c>
      <c r="O124" s="30">
        <v>0</v>
      </c>
      <c r="P124" s="30">
        <v>0</v>
      </c>
      <c r="Q124" s="30">
        <v>120471.3</v>
      </c>
      <c r="R124" s="30">
        <v>0</v>
      </c>
      <c r="S124" s="30">
        <v>0</v>
      </c>
      <c r="T124" s="30">
        <v>0</v>
      </c>
      <c r="U124" s="30">
        <v>0</v>
      </c>
      <c r="V124" s="30">
        <v>0</v>
      </c>
      <c r="W124" s="30">
        <v>0</v>
      </c>
      <c r="X124" s="30">
        <v>0</v>
      </c>
      <c r="Y124" s="30">
        <v>0</v>
      </c>
      <c r="Z124" s="30">
        <v>0</v>
      </c>
      <c r="AA124" s="30">
        <v>0</v>
      </c>
      <c r="AB124" s="30">
        <v>0</v>
      </c>
      <c r="AC124" s="30" t="s">
        <v>457</v>
      </c>
      <c r="AD124" s="30"/>
      <c r="AE124" s="30">
        <v>0</v>
      </c>
    </row>
    <row r="125" spans="1:31" x14ac:dyDescent="0.25">
      <c r="A125">
        <v>1792</v>
      </c>
      <c r="B125" t="s">
        <v>449</v>
      </c>
      <c r="C125" t="s">
        <v>63</v>
      </c>
      <c r="D125" s="33">
        <v>116092.8</v>
      </c>
      <c r="E125">
        <v>1246267659</v>
      </c>
      <c r="F125" s="222">
        <v>46184</v>
      </c>
      <c r="G125" s="222"/>
      <c r="H125" t="s">
        <v>23</v>
      </c>
      <c r="I125" t="s">
        <v>24</v>
      </c>
      <c r="J125">
        <v>10876</v>
      </c>
      <c r="K125" s="222">
        <v>46094</v>
      </c>
      <c r="L125">
        <v>1010100</v>
      </c>
      <c r="M125" t="s">
        <v>29</v>
      </c>
      <c r="N125">
        <v>-11</v>
      </c>
      <c r="O125" s="30">
        <v>0</v>
      </c>
      <c r="P125" s="30">
        <v>0</v>
      </c>
      <c r="Q125" s="30">
        <v>116092.8</v>
      </c>
      <c r="R125" s="30">
        <v>0</v>
      </c>
      <c r="S125" s="30">
        <v>0</v>
      </c>
      <c r="T125" s="30">
        <v>0</v>
      </c>
      <c r="U125" s="30">
        <v>0</v>
      </c>
      <c r="V125" s="30">
        <v>0</v>
      </c>
      <c r="W125" s="30">
        <v>0</v>
      </c>
      <c r="X125" s="30">
        <v>0</v>
      </c>
      <c r="Y125" s="30">
        <v>0</v>
      </c>
      <c r="Z125" s="30">
        <v>0</v>
      </c>
      <c r="AA125" s="30">
        <v>0</v>
      </c>
      <c r="AB125" s="30">
        <v>0</v>
      </c>
      <c r="AC125" s="30" t="s">
        <v>457</v>
      </c>
      <c r="AD125" s="30"/>
      <c r="AE125" s="30">
        <v>0</v>
      </c>
    </row>
    <row r="126" spans="1:31" x14ac:dyDescent="0.25">
      <c r="A126">
        <v>1792</v>
      </c>
      <c r="B126" t="s">
        <v>449</v>
      </c>
      <c r="C126" t="s">
        <v>63</v>
      </c>
      <c r="D126" s="33">
        <v>118302.9</v>
      </c>
      <c r="E126">
        <v>1246266107</v>
      </c>
      <c r="F126" s="222">
        <v>46174</v>
      </c>
      <c r="G126" s="222">
        <v>46174</v>
      </c>
      <c r="H126" t="s">
        <v>23</v>
      </c>
      <c r="I126" t="s">
        <v>24</v>
      </c>
      <c r="J126">
        <v>10803</v>
      </c>
      <c r="K126" s="222">
        <v>46084</v>
      </c>
      <c r="L126">
        <v>1010100</v>
      </c>
      <c r="M126" t="s">
        <v>29</v>
      </c>
      <c r="N126">
        <v>-1</v>
      </c>
      <c r="O126" s="30">
        <v>0</v>
      </c>
      <c r="P126" s="30">
        <v>0</v>
      </c>
      <c r="Q126" s="30">
        <v>118302.9</v>
      </c>
      <c r="R126" s="30">
        <v>0</v>
      </c>
      <c r="S126" s="30">
        <v>0</v>
      </c>
      <c r="T126" s="30">
        <v>0</v>
      </c>
      <c r="U126" s="30">
        <v>0</v>
      </c>
      <c r="V126" s="30">
        <v>0</v>
      </c>
      <c r="W126" s="30">
        <v>0</v>
      </c>
      <c r="X126" s="30">
        <v>0</v>
      </c>
      <c r="Y126" s="30">
        <v>0</v>
      </c>
      <c r="Z126" s="30">
        <v>0</v>
      </c>
      <c r="AA126" s="30">
        <v>0</v>
      </c>
      <c r="AB126" s="30">
        <v>0</v>
      </c>
      <c r="AC126" s="30" t="s">
        <v>457</v>
      </c>
      <c r="AD126" s="30"/>
      <c r="AE126" s="30">
        <v>0</v>
      </c>
    </row>
    <row r="127" spans="1:31" x14ac:dyDescent="0.25">
      <c r="A127">
        <v>201</v>
      </c>
      <c r="B127" t="s">
        <v>369</v>
      </c>
      <c r="C127" t="s">
        <v>758</v>
      </c>
      <c r="D127" s="33">
        <v>185040</v>
      </c>
      <c r="E127">
        <v>1246269671</v>
      </c>
      <c r="F127" s="222">
        <v>46231</v>
      </c>
      <c r="G127" s="222"/>
      <c r="H127" t="s">
        <v>23</v>
      </c>
      <c r="I127" t="s">
        <v>24</v>
      </c>
      <c r="J127">
        <v>2855</v>
      </c>
      <c r="K127" s="222">
        <v>46111</v>
      </c>
      <c r="L127">
        <v>1010100</v>
      </c>
      <c r="M127" t="s">
        <v>29</v>
      </c>
      <c r="N127">
        <v>-58</v>
      </c>
      <c r="O127" s="30">
        <v>0</v>
      </c>
      <c r="P127" s="30">
        <v>0</v>
      </c>
      <c r="Q127" s="30">
        <v>185040</v>
      </c>
      <c r="R127" s="30">
        <v>0</v>
      </c>
      <c r="S127" s="30">
        <v>0</v>
      </c>
      <c r="T127" s="30">
        <v>0</v>
      </c>
      <c r="U127" s="30">
        <v>0</v>
      </c>
      <c r="V127" s="30">
        <v>0</v>
      </c>
      <c r="W127" s="30">
        <v>0</v>
      </c>
      <c r="X127" s="30">
        <v>0</v>
      </c>
      <c r="Y127" s="30">
        <v>0</v>
      </c>
      <c r="Z127" s="30">
        <v>0</v>
      </c>
      <c r="AA127" s="30">
        <v>0</v>
      </c>
      <c r="AB127" s="30">
        <v>0</v>
      </c>
      <c r="AC127" s="30" t="s">
        <v>407</v>
      </c>
      <c r="AD127" s="30"/>
      <c r="AE127" s="30">
        <v>0</v>
      </c>
    </row>
    <row r="128" spans="1:31" x14ac:dyDescent="0.25">
      <c r="A128">
        <v>903</v>
      </c>
      <c r="B128" t="s">
        <v>359</v>
      </c>
      <c r="C128" t="s">
        <v>48</v>
      </c>
      <c r="D128" s="33">
        <v>135135.03</v>
      </c>
      <c r="E128">
        <v>1246272230</v>
      </c>
      <c r="F128" s="222">
        <v>46175</v>
      </c>
      <c r="G128" s="222"/>
      <c r="H128" t="s">
        <v>23</v>
      </c>
      <c r="I128" t="s">
        <v>24</v>
      </c>
      <c r="J128">
        <v>11199</v>
      </c>
      <c r="K128" s="222">
        <v>46135</v>
      </c>
      <c r="L128">
        <v>1010100</v>
      </c>
      <c r="M128" t="s">
        <v>29</v>
      </c>
      <c r="N128">
        <v>-2</v>
      </c>
      <c r="O128" s="30">
        <v>0</v>
      </c>
      <c r="P128" s="30">
        <v>0</v>
      </c>
      <c r="Q128" s="30">
        <v>135135.03</v>
      </c>
      <c r="R128" s="30">
        <v>0</v>
      </c>
      <c r="S128" s="30">
        <v>0</v>
      </c>
      <c r="T128" s="30">
        <v>0</v>
      </c>
      <c r="U128" s="30">
        <v>0</v>
      </c>
      <c r="V128" s="30">
        <v>0</v>
      </c>
      <c r="W128" s="30">
        <v>0</v>
      </c>
      <c r="X128" s="30">
        <v>0</v>
      </c>
      <c r="Y128" s="30">
        <v>0</v>
      </c>
      <c r="Z128" s="30">
        <v>0</v>
      </c>
      <c r="AA128" s="30">
        <v>0</v>
      </c>
      <c r="AB128" s="30">
        <v>0</v>
      </c>
      <c r="AC128" s="30" t="s">
        <v>457</v>
      </c>
      <c r="AD128" s="30"/>
      <c r="AE128" s="30">
        <v>0</v>
      </c>
    </row>
    <row r="129" spans="1:31" x14ac:dyDescent="0.25">
      <c r="A129">
        <v>903</v>
      </c>
      <c r="B129" t="s">
        <v>359</v>
      </c>
      <c r="C129" t="s">
        <v>48</v>
      </c>
      <c r="D129" s="33">
        <v>134144.70000000001</v>
      </c>
      <c r="E129">
        <v>1246275599</v>
      </c>
      <c r="F129" s="222">
        <v>46200</v>
      </c>
      <c r="G129" s="222"/>
      <c r="H129" t="s">
        <v>23</v>
      </c>
      <c r="I129" t="s">
        <v>24</v>
      </c>
      <c r="J129">
        <v>11425</v>
      </c>
      <c r="K129" s="222">
        <v>46160</v>
      </c>
      <c r="L129">
        <v>1010100</v>
      </c>
      <c r="M129" t="s">
        <v>29</v>
      </c>
      <c r="N129">
        <v>-27</v>
      </c>
      <c r="O129" s="30">
        <v>0</v>
      </c>
      <c r="P129" s="30">
        <v>0</v>
      </c>
      <c r="Q129" s="30">
        <v>134144.70000000001</v>
      </c>
      <c r="R129" s="30">
        <v>0</v>
      </c>
      <c r="S129" s="30">
        <v>0</v>
      </c>
      <c r="T129" s="30">
        <v>0</v>
      </c>
      <c r="U129" s="30">
        <v>0</v>
      </c>
      <c r="V129" s="30">
        <v>0</v>
      </c>
      <c r="W129" s="30">
        <v>0</v>
      </c>
      <c r="X129" s="30">
        <v>0</v>
      </c>
      <c r="Y129" s="30">
        <v>0</v>
      </c>
      <c r="Z129" s="30">
        <v>0</v>
      </c>
      <c r="AA129" s="30">
        <v>0</v>
      </c>
      <c r="AB129" s="30">
        <v>0</v>
      </c>
      <c r="AC129" s="30" t="s">
        <v>457</v>
      </c>
      <c r="AD129" s="30"/>
      <c r="AE129" s="30">
        <v>0</v>
      </c>
    </row>
    <row r="130" spans="1:31" x14ac:dyDescent="0.25">
      <c r="A130">
        <v>903</v>
      </c>
      <c r="B130" t="s">
        <v>359</v>
      </c>
      <c r="C130" t="s">
        <v>48</v>
      </c>
      <c r="D130" s="33">
        <v>134864.94</v>
      </c>
      <c r="E130">
        <v>1246277080</v>
      </c>
      <c r="F130" s="222">
        <v>46209</v>
      </c>
      <c r="G130" s="222"/>
      <c r="H130" t="s">
        <v>23</v>
      </c>
      <c r="I130" t="s">
        <v>24</v>
      </c>
      <c r="J130">
        <v>11515</v>
      </c>
      <c r="K130" s="222">
        <v>46169</v>
      </c>
      <c r="L130">
        <v>1010100</v>
      </c>
      <c r="M130" t="s">
        <v>29</v>
      </c>
      <c r="N130">
        <v>-36</v>
      </c>
      <c r="O130" s="30">
        <v>0</v>
      </c>
      <c r="P130" s="30">
        <v>0</v>
      </c>
      <c r="Q130" s="30">
        <v>134864.94</v>
      </c>
      <c r="R130" s="30">
        <v>0</v>
      </c>
      <c r="S130" s="30">
        <v>0</v>
      </c>
      <c r="T130" s="30">
        <v>0</v>
      </c>
      <c r="U130" s="30">
        <v>0</v>
      </c>
      <c r="V130" s="30">
        <v>0</v>
      </c>
      <c r="W130" s="30">
        <v>0</v>
      </c>
      <c r="X130" s="30">
        <v>0</v>
      </c>
      <c r="Y130" s="30">
        <v>0</v>
      </c>
      <c r="Z130" s="30">
        <v>0</v>
      </c>
      <c r="AA130" s="30">
        <v>0</v>
      </c>
      <c r="AB130" s="30">
        <v>0</v>
      </c>
      <c r="AC130" s="30" t="s">
        <v>457</v>
      </c>
      <c r="AD130" s="30"/>
      <c r="AE130" s="30">
        <v>0</v>
      </c>
    </row>
    <row r="131" spans="1:31" x14ac:dyDescent="0.25">
      <c r="A131">
        <v>903</v>
      </c>
      <c r="B131" t="s">
        <v>359</v>
      </c>
      <c r="C131" t="s">
        <v>48</v>
      </c>
      <c r="D131" s="33">
        <v>135585.18</v>
      </c>
      <c r="E131">
        <v>1246273493</v>
      </c>
      <c r="F131" s="222">
        <v>46186</v>
      </c>
      <c r="G131" s="222"/>
      <c r="H131" t="s">
        <v>23</v>
      </c>
      <c r="I131" t="s">
        <v>24</v>
      </c>
      <c r="J131">
        <v>11292</v>
      </c>
      <c r="K131" s="222">
        <v>46146</v>
      </c>
      <c r="L131">
        <v>1010100</v>
      </c>
      <c r="M131" t="s">
        <v>29</v>
      </c>
      <c r="N131">
        <v>-13</v>
      </c>
      <c r="O131" s="30">
        <v>0</v>
      </c>
      <c r="P131" s="30">
        <v>0</v>
      </c>
      <c r="Q131" s="30">
        <v>135585.18</v>
      </c>
      <c r="R131" s="30">
        <v>0</v>
      </c>
      <c r="S131" s="30">
        <v>0</v>
      </c>
      <c r="T131" s="30">
        <v>0</v>
      </c>
      <c r="U131" s="30">
        <v>0</v>
      </c>
      <c r="V131" s="30">
        <v>0</v>
      </c>
      <c r="W131" s="30">
        <v>0</v>
      </c>
      <c r="X131" s="30">
        <v>0</v>
      </c>
      <c r="Y131" s="30">
        <v>0</v>
      </c>
      <c r="Z131" s="30">
        <v>0</v>
      </c>
      <c r="AA131" s="30">
        <v>0</v>
      </c>
      <c r="AB131" s="30">
        <v>0</v>
      </c>
      <c r="AC131" s="30" t="s">
        <v>457</v>
      </c>
      <c r="AD131" s="30"/>
      <c r="AE131" s="30">
        <v>0</v>
      </c>
    </row>
    <row r="132" spans="1:31" x14ac:dyDescent="0.25">
      <c r="A132">
        <v>903</v>
      </c>
      <c r="B132" t="s">
        <v>359</v>
      </c>
      <c r="C132" t="s">
        <v>48</v>
      </c>
      <c r="D132" s="33">
        <v>134954.97</v>
      </c>
      <c r="E132">
        <v>1246274309</v>
      </c>
      <c r="F132" s="222">
        <v>46193</v>
      </c>
      <c r="G132" s="222"/>
      <c r="H132" t="s">
        <v>23</v>
      </c>
      <c r="I132" t="s">
        <v>24</v>
      </c>
      <c r="J132">
        <v>11345</v>
      </c>
      <c r="K132" s="222">
        <v>46153</v>
      </c>
      <c r="L132">
        <v>1010100</v>
      </c>
      <c r="M132" t="s">
        <v>29</v>
      </c>
      <c r="N132">
        <v>-20</v>
      </c>
      <c r="O132" s="30">
        <v>0</v>
      </c>
      <c r="P132" s="30">
        <v>0</v>
      </c>
      <c r="Q132" s="30">
        <v>134954.97</v>
      </c>
      <c r="R132" s="30">
        <v>0</v>
      </c>
      <c r="S132" s="30">
        <v>0</v>
      </c>
      <c r="T132" s="30">
        <v>0</v>
      </c>
      <c r="U132" s="30">
        <v>0</v>
      </c>
      <c r="V132" s="30">
        <v>0</v>
      </c>
      <c r="W132" s="30">
        <v>0</v>
      </c>
      <c r="X132" s="30">
        <v>0</v>
      </c>
      <c r="Y132" s="30">
        <v>0</v>
      </c>
      <c r="Z132" s="30">
        <v>0</v>
      </c>
      <c r="AA132" s="30">
        <v>0</v>
      </c>
      <c r="AB132" s="30">
        <v>0</v>
      </c>
      <c r="AC132" s="30" t="s">
        <v>457</v>
      </c>
      <c r="AD132" s="30"/>
      <c r="AE132" s="30">
        <v>0</v>
      </c>
    </row>
    <row r="133" spans="1:31" x14ac:dyDescent="0.25">
      <c r="A133">
        <v>903</v>
      </c>
      <c r="B133" t="s">
        <v>359</v>
      </c>
      <c r="C133" t="s">
        <v>48</v>
      </c>
      <c r="D133" s="33">
        <v>135405.12</v>
      </c>
      <c r="E133">
        <v>1246276406</v>
      </c>
      <c r="F133" s="222">
        <v>46204</v>
      </c>
      <c r="G133" s="222"/>
      <c r="H133" t="s">
        <v>23</v>
      </c>
      <c r="I133" t="s">
        <v>24</v>
      </c>
      <c r="J133">
        <v>11479</v>
      </c>
      <c r="K133" s="222">
        <v>46164</v>
      </c>
      <c r="L133">
        <v>1010100</v>
      </c>
      <c r="M133" t="s">
        <v>29</v>
      </c>
      <c r="N133">
        <v>-31</v>
      </c>
      <c r="O133" s="30">
        <v>0</v>
      </c>
      <c r="P133" s="30">
        <v>0</v>
      </c>
      <c r="Q133" s="30">
        <v>135405.12</v>
      </c>
      <c r="R133" s="30">
        <v>0</v>
      </c>
      <c r="S133" s="30">
        <v>0</v>
      </c>
      <c r="T133" s="30">
        <v>0</v>
      </c>
      <c r="U133" s="30">
        <v>0</v>
      </c>
      <c r="V133" s="30">
        <v>0</v>
      </c>
      <c r="W133" s="30">
        <v>0</v>
      </c>
      <c r="X133" s="30">
        <v>0</v>
      </c>
      <c r="Y133" s="30">
        <v>0</v>
      </c>
      <c r="Z133" s="30">
        <v>0</v>
      </c>
      <c r="AA133" s="30">
        <v>0</v>
      </c>
      <c r="AB133" s="30">
        <v>0</v>
      </c>
      <c r="AC133" s="30" t="s">
        <v>457</v>
      </c>
      <c r="AD133" s="30"/>
      <c r="AE133" s="30">
        <v>0</v>
      </c>
    </row>
    <row r="134" spans="1:31" x14ac:dyDescent="0.25">
      <c r="A134">
        <v>903</v>
      </c>
      <c r="B134" t="s">
        <v>359</v>
      </c>
      <c r="C134" t="s">
        <v>48</v>
      </c>
      <c r="D134" s="33">
        <v>134774.91</v>
      </c>
      <c r="E134">
        <v>1246273177</v>
      </c>
      <c r="F134" s="222">
        <v>46182</v>
      </c>
      <c r="G134" s="222"/>
      <c r="H134" t="s">
        <v>23</v>
      </c>
      <c r="I134" t="s">
        <v>24</v>
      </c>
      <c r="J134">
        <v>11266</v>
      </c>
      <c r="K134" s="222">
        <v>46142</v>
      </c>
      <c r="L134">
        <v>1010100</v>
      </c>
      <c r="M134" t="s">
        <v>29</v>
      </c>
      <c r="N134">
        <v>-9</v>
      </c>
      <c r="O134" s="30">
        <v>0</v>
      </c>
      <c r="P134" s="30">
        <v>0</v>
      </c>
      <c r="Q134" s="30">
        <v>134774.91</v>
      </c>
      <c r="R134" s="30">
        <v>0</v>
      </c>
      <c r="S134" s="30">
        <v>0</v>
      </c>
      <c r="T134" s="30">
        <v>0</v>
      </c>
      <c r="U134" s="30">
        <v>0</v>
      </c>
      <c r="V134" s="30">
        <v>0</v>
      </c>
      <c r="W134" s="30">
        <v>0</v>
      </c>
      <c r="X134" s="30">
        <v>0</v>
      </c>
      <c r="Y134" s="30">
        <v>0</v>
      </c>
      <c r="Z134" s="30">
        <v>0</v>
      </c>
      <c r="AA134" s="30">
        <v>0</v>
      </c>
      <c r="AB134" s="30">
        <v>0</v>
      </c>
      <c r="AC134" s="30" t="s">
        <v>457</v>
      </c>
      <c r="AD134" s="30"/>
      <c r="AE134" s="30">
        <v>0</v>
      </c>
    </row>
    <row r="135" spans="1:31" x14ac:dyDescent="0.25">
      <c r="A135">
        <v>86</v>
      </c>
      <c r="B135" t="s">
        <v>358</v>
      </c>
      <c r="C135" t="s">
        <v>773</v>
      </c>
      <c r="D135" s="33">
        <v>35810</v>
      </c>
      <c r="E135">
        <v>1246273225</v>
      </c>
      <c r="F135" s="222">
        <v>46202</v>
      </c>
      <c r="G135" s="222"/>
      <c r="H135" t="s">
        <v>23</v>
      </c>
      <c r="I135" t="s">
        <v>24</v>
      </c>
      <c r="J135">
        <v>11271</v>
      </c>
      <c r="K135" s="222">
        <v>46142</v>
      </c>
      <c r="L135">
        <v>1010100</v>
      </c>
      <c r="M135" t="s">
        <v>29</v>
      </c>
      <c r="N135">
        <v>-29</v>
      </c>
      <c r="O135" s="30">
        <v>0</v>
      </c>
      <c r="P135" s="30">
        <v>0</v>
      </c>
      <c r="Q135" s="30">
        <v>35810</v>
      </c>
      <c r="R135" s="30">
        <v>0</v>
      </c>
      <c r="S135" s="30">
        <v>0</v>
      </c>
      <c r="T135" s="30">
        <v>0</v>
      </c>
      <c r="U135" s="30">
        <v>0</v>
      </c>
      <c r="V135" s="30">
        <v>0</v>
      </c>
      <c r="W135" s="30">
        <v>0</v>
      </c>
      <c r="X135" s="30">
        <v>0</v>
      </c>
      <c r="Y135" s="30">
        <v>0</v>
      </c>
      <c r="Z135" s="30">
        <v>0</v>
      </c>
      <c r="AA135" s="30">
        <v>0</v>
      </c>
      <c r="AB135" s="30">
        <v>0</v>
      </c>
      <c r="AC135" s="30" t="s">
        <v>407</v>
      </c>
      <c r="AD135" s="30"/>
      <c r="AE135" s="30">
        <v>0</v>
      </c>
    </row>
    <row r="136" spans="1:31" x14ac:dyDescent="0.25">
      <c r="A136">
        <v>729</v>
      </c>
      <c r="B136" t="s">
        <v>450</v>
      </c>
      <c r="C136" t="s">
        <v>731</v>
      </c>
      <c r="D136" s="33">
        <v>69762.399999999994</v>
      </c>
      <c r="E136">
        <v>1246273030</v>
      </c>
      <c r="F136" s="222">
        <v>46201</v>
      </c>
      <c r="G136" s="222"/>
      <c r="H136" t="s">
        <v>23</v>
      </c>
      <c r="I136" t="s">
        <v>24</v>
      </c>
      <c r="J136">
        <v>11251</v>
      </c>
      <c r="K136" s="222">
        <v>46141</v>
      </c>
      <c r="L136">
        <v>1010100</v>
      </c>
      <c r="M136" t="s">
        <v>29</v>
      </c>
      <c r="N136">
        <v>-28</v>
      </c>
      <c r="O136" s="30">
        <v>0</v>
      </c>
      <c r="P136" s="30">
        <v>0</v>
      </c>
      <c r="Q136" s="30">
        <v>69762.399999999994</v>
      </c>
      <c r="R136" s="30">
        <v>0</v>
      </c>
      <c r="S136" s="30">
        <v>0</v>
      </c>
      <c r="T136" s="30">
        <v>0</v>
      </c>
      <c r="U136" s="30">
        <v>0</v>
      </c>
      <c r="V136" s="30">
        <v>0</v>
      </c>
      <c r="W136" s="30">
        <v>0</v>
      </c>
      <c r="X136" s="30">
        <v>0</v>
      </c>
      <c r="Y136" s="30">
        <v>0</v>
      </c>
      <c r="Z136" s="30">
        <v>0</v>
      </c>
      <c r="AA136" s="30">
        <v>0</v>
      </c>
      <c r="AB136" s="30">
        <v>0</v>
      </c>
      <c r="AC136" s="30" t="s">
        <v>407</v>
      </c>
      <c r="AD136" s="30"/>
      <c r="AE136" s="30">
        <v>0</v>
      </c>
    </row>
    <row r="137" spans="1:31" x14ac:dyDescent="0.25">
      <c r="A137">
        <v>1159</v>
      </c>
      <c r="B137" t="s">
        <v>359</v>
      </c>
      <c r="C137" t="s">
        <v>51</v>
      </c>
      <c r="D137" s="33">
        <v>274909.24</v>
      </c>
      <c r="E137">
        <v>1246271894</v>
      </c>
      <c r="F137" s="222">
        <v>46172</v>
      </c>
      <c r="G137" s="222">
        <v>46174</v>
      </c>
      <c r="H137" t="s">
        <v>23</v>
      </c>
      <c r="I137" t="s">
        <v>24</v>
      </c>
      <c r="J137">
        <v>11179</v>
      </c>
      <c r="K137" s="222">
        <v>46132</v>
      </c>
      <c r="L137">
        <v>1010100</v>
      </c>
      <c r="M137" t="s">
        <v>29</v>
      </c>
      <c r="N137">
        <v>1</v>
      </c>
      <c r="O137" s="30">
        <v>0</v>
      </c>
      <c r="P137" s="30">
        <v>0</v>
      </c>
      <c r="Q137" s="30">
        <v>0</v>
      </c>
      <c r="R137" s="30">
        <v>274909.24</v>
      </c>
      <c r="S137" s="30">
        <v>0</v>
      </c>
      <c r="T137" s="30">
        <v>0</v>
      </c>
      <c r="U137" s="30">
        <v>0</v>
      </c>
      <c r="V137" s="30">
        <v>0</v>
      </c>
      <c r="W137" s="30">
        <v>0</v>
      </c>
      <c r="X137" s="30">
        <v>0</v>
      </c>
      <c r="Y137" s="30">
        <v>0</v>
      </c>
      <c r="Z137" s="30">
        <v>0</v>
      </c>
      <c r="AA137" s="30">
        <v>0</v>
      </c>
      <c r="AB137" s="30">
        <v>0</v>
      </c>
      <c r="AC137" s="30" t="s">
        <v>457</v>
      </c>
      <c r="AD137" s="30"/>
      <c r="AE137" s="30">
        <v>0</v>
      </c>
    </row>
    <row r="138" spans="1:31" x14ac:dyDescent="0.25">
      <c r="A138">
        <v>1159</v>
      </c>
      <c r="B138" t="s">
        <v>359</v>
      </c>
      <c r="C138" t="s">
        <v>51</v>
      </c>
      <c r="D138" s="33">
        <v>1800</v>
      </c>
      <c r="E138">
        <v>1246087936</v>
      </c>
      <c r="F138" s="222">
        <v>45112</v>
      </c>
      <c r="G138" s="222"/>
      <c r="H138" t="s">
        <v>23</v>
      </c>
      <c r="I138" t="s">
        <v>24</v>
      </c>
      <c r="J138">
        <v>1246087936</v>
      </c>
      <c r="K138" s="222">
        <v>45097</v>
      </c>
      <c r="L138">
        <v>3041000</v>
      </c>
      <c r="M138" t="s">
        <v>124</v>
      </c>
      <c r="N138">
        <v>1061</v>
      </c>
      <c r="O138" s="30">
        <v>0</v>
      </c>
      <c r="P138" s="30">
        <v>1800</v>
      </c>
      <c r="Q138" s="30">
        <v>0</v>
      </c>
      <c r="R138" s="30">
        <v>0</v>
      </c>
      <c r="S138" s="30">
        <v>0</v>
      </c>
      <c r="T138" s="30">
        <v>0</v>
      </c>
      <c r="U138" s="30">
        <v>1800</v>
      </c>
      <c r="V138" s="30">
        <v>0</v>
      </c>
      <c r="W138" s="30">
        <v>54</v>
      </c>
      <c r="X138" s="30">
        <v>1746</v>
      </c>
      <c r="Y138" s="30">
        <v>1746</v>
      </c>
      <c r="Z138" s="30">
        <v>1800</v>
      </c>
      <c r="AA138" s="30">
        <v>0</v>
      </c>
      <c r="AB138" s="30">
        <v>1800</v>
      </c>
      <c r="AC138" s="30" t="s">
        <v>457</v>
      </c>
      <c r="AD138" s="30"/>
      <c r="AE138" s="30">
        <v>1800</v>
      </c>
    </row>
    <row r="139" spans="1:31" x14ac:dyDescent="0.25">
      <c r="A139">
        <v>1159</v>
      </c>
      <c r="B139" t="s">
        <v>359</v>
      </c>
      <c r="C139" t="s">
        <v>51</v>
      </c>
      <c r="D139" s="33">
        <v>2700</v>
      </c>
      <c r="E139">
        <v>1246087941</v>
      </c>
      <c r="F139" s="222">
        <v>45112</v>
      </c>
      <c r="G139" s="222"/>
      <c r="H139" t="s">
        <v>23</v>
      </c>
      <c r="I139" t="s">
        <v>24</v>
      </c>
      <c r="J139">
        <v>1246087941</v>
      </c>
      <c r="K139" s="222">
        <v>45097</v>
      </c>
      <c r="L139">
        <v>3041000</v>
      </c>
      <c r="M139" t="s">
        <v>124</v>
      </c>
      <c r="N139">
        <v>1061</v>
      </c>
      <c r="O139" s="30">
        <v>0</v>
      </c>
      <c r="P139" s="30">
        <v>2700</v>
      </c>
      <c r="Q139" s="30">
        <v>0</v>
      </c>
      <c r="R139" s="30">
        <v>0</v>
      </c>
      <c r="S139" s="30">
        <v>0</v>
      </c>
      <c r="T139" s="30">
        <v>0</v>
      </c>
      <c r="U139" s="30">
        <v>2700</v>
      </c>
      <c r="V139" s="30">
        <v>0</v>
      </c>
      <c r="W139" s="30">
        <v>81</v>
      </c>
      <c r="X139" s="30">
        <v>2619</v>
      </c>
      <c r="Y139" s="30">
        <v>2619</v>
      </c>
      <c r="Z139" s="30">
        <v>2700</v>
      </c>
      <c r="AA139" s="30">
        <v>0</v>
      </c>
      <c r="AB139" s="30">
        <v>2700</v>
      </c>
      <c r="AC139" s="30" t="s">
        <v>457</v>
      </c>
      <c r="AD139" s="30"/>
      <c r="AE139" s="30">
        <v>2700</v>
      </c>
    </row>
    <row r="140" spans="1:31" x14ac:dyDescent="0.25">
      <c r="A140">
        <v>1159</v>
      </c>
      <c r="B140" t="s">
        <v>359</v>
      </c>
      <c r="C140" t="s">
        <v>51</v>
      </c>
      <c r="D140" s="33">
        <v>1800</v>
      </c>
      <c r="E140">
        <v>1246087939</v>
      </c>
      <c r="F140" s="222">
        <v>45112</v>
      </c>
      <c r="G140" s="222"/>
      <c r="H140" t="s">
        <v>23</v>
      </c>
      <c r="I140" t="s">
        <v>24</v>
      </c>
      <c r="J140">
        <v>1246087939</v>
      </c>
      <c r="K140" s="222">
        <v>45097</v>
      </c>
      <c r="L140">
        <v>3041000</v>
      </c>
      <c r="M140" t="s">
        <v>124</v>
      </c>
      <c r="N140">
        <v>1061</v>
      </c>
      <c r="O140" s="30">
        <v>0</v>
      </c>
      <c r="P140" s="30">
        <v>1800</v>
      </c>
      <c r="Q140" s="30">
        <v>0</v>
      </c>
      <c r="R140" s="30">
        <v>0</v>
      </c>
      <c r="S140" s="30">
        <v>0</v>
      </c>
      <c r="T140" s="30">
        <v>0</v>
      </c>
      <c r="U140" s="30">
        <v>1800</v>
      </c>
      <c r="V140" s="30">
        <v>0</v>
      </c>
      <c r="W140" s="30">
        <v>54</v>
      </c>
      <c r="X140" s="30">
        <v>1746</v>
      </c>
      <c r="Y140" s="30">
        <v>1746</v>
      </c>
      <c r="Z140" s="30">
        <v>1800</v>
      </c>
      <c r="AA140" s="30">
        <v>0</v>
      </c>
      <c r="AB140" s="30">
        <v>1800</v>
      </c>
      <c r="AC140" s="30" t="s">
        <v>457</v>
      </c>
      <c r="AD140" s="30"/>
      <c r="AE140" s="30">
        <v>1800</v>
      </c>
    </row>
    <row r="141" spans="1:31" x14ac:dyDescent="0.25">
      <c r="A141">
        <v>1159</v>
      </c>
      <c r="B141" t="s">
        <v>359</v>
      </c>
      <c r="C141" t="s">
        <v>51</v>
      </c>
      <c r="D141" s="33">
        <v>1800</v>
      </c>
      <c r="E141">
        <v>1246087937</v>
      </c>
      <c r="F141" s="222">
        <v>45112</v>
      </c>
      <c r="G141" s="222"/>
      <c r="H141" t="s">
        <v>23</v>
      </c>
      <c r="I141" t="s">
        <v>24</v>
      </c>
      <c r="J141">
        <v>1246087937</v>
      </c>
      <c r="K141" s="222">
        <v>45097</v>
      </c>
      <c r="L141">
        <v>3041000</v>
      </c>
      <c r="M141" t="s">
        <v>124</v>
      </c>
      <c r="N141">
        <v>1061</v>
      </c>
      <c r="O141" s="30">
        <v>0</v>
      </c>
      <c r="P141" s="30">
        <v>1800</v>
      </c>
      <c r="Q141" s="30">
        <v>0</v>
      </c>
      <c r="R141" s="30">
        <v>0</v>
      </c>
      <c r="S141" s="30">
        <v>0</v>
      </c>
      <c r="T141" s="30">
        <v>0</v>
      </c>
      <c r="U141" s="30">
        <v>1800</v>
      </c>
      <c r="V141" s="30">
        <v>0</v>
      </c>
      <c r="W141" s="30">
        <v>54</v>
      </c>
      <c r="X141" s="30">
        <v>1746</v>
      </c>
      <c r="Y141" s="30">
        <v>1746</v>
      </c>
      <c r="Z141" s="30">
        <v>1800</v>
      </c>
      <c r="AA141" s="30">
        <v>0</v>
      </c>
      <c r="AB141" s="30">
        <v>1800</v>
      </c>
      <c r="AC141" s="30" t="s">
        <v>457</v>
      </c>
      <c r="AD141" s="30"/>
      <c r="AE141" s="30">
        <v>1800</v>
      </c>
    </row>
    <row r="142" spans="1:31" x14ac:dyDescent="0.25">
      <c r="A142">
        <v>1159</v>
      </c>
      <c r="B142" t="s">
        <v>359</v>
      </c>
      <c r="C142" t="s">
        <v>51</v>
      </c>
      <c r="D142" s="33">
        <v>1800</v>
      </c>
      <c r="E142">
        <v>1246087943</v>
      </c>
      <c r="F142" s="222">
        <v>45112</v>
      </c>
      <c r="G142" s="222"/>
      <c r="H142" t="s">
        <v>23</v>
      </c>
      <c r="I142" t="s">
        <v>24</v>
      </c>
      <c r="J142">
        <v>1246087943</v>
      </c>
      <c r="K142" s="222">
        <v>45097</v>
      </c>
      <c r="L142">
        <v>3041000</v>
      </c>
      <c r="M142" t="s">
        <v>124</v>
      </c>
      <c r="N142">
        <v>1061</v>
      </c>
      <c r="O142" s="30">
        <v>0</v>
      </c>
      <c r="P142" s="30">
        <v>1800</v>
      </c>
      <c r="Q142" s="30">
        <v>0</v>
      </c>
      <c r="R142" s="30">
        <v>0</v>
      </c>
      <c r="S142" s="30">
        <v>0</v>
      </c>
      <c r="T142" s="30">
        <v>0</v>
      </c>
      <c r="U142" s="30">
        <v>1800</v>
      </c>
      <c r="V142" s="30">
        <v>0</v>
      </c>
      <c r="W142" s="30">
        <v>54</v>
      </c>
      <c r="X142" s="30">
        <v>1746</v>
      </c>
      <c r="Y142" s="30">
        <v>1746</v>
      </c>
      <c r="Z142" s="30">
        <v>1800</v>
      </c>
      <c r="AA142" s="30">
        <v>0</v>
      </c>
      <c r="AB142" s="30">
        <v>1800</v>
      </c>
      <c r="AC142" s="30" t="s">
        <v>457</v>
      </c>
      <c r="AD142" s="30"/>
      <c r="AE142" s="30">
        <v>1800</v>
      </c>
    </row>
    <row r="143" spans="1:31" x14ac:dyDescent="0.25">
      <c r="A143">
        <v>1159</v>
      </c>
      <c r="B143" t="s">
        <v>359</v>
      </c>
      <c r="C143" t="s">
        <v>51</v>
      </c>
      <c r="D143" s="33">
        <v>2700</v>
      </c>
      <c r="E143">
        <v>1246121301</v>
      </c>
      <c r="F143" s="222">
        <v>45297</v>
      </c>
      <c r="G143" s="222"/>
      <c r="H143" t="s">
        <v>23</v>
      </c>
      <c r="I143" t="s">
        <v>24</v>
      </c>
      <c r="J143">
        <v>1246121301</v>
      </c>
      <c r="K143" s="222">
        <v>45282</v>
      </c>
      <c r="L143">
        <v>3041000</v>
      </c>
      <c r="M143" t="s">
        <v>124</v>
      </c>
      <c r="N143">
        <v>876</v>
      </c>
      <c r="O143" s="30">
        <v>0</v>
      </c>
      <c r="P143" s="30">
        <v>2700</v>
      </c>
      <c r="Q143" s="30">
        <v>0</v>
      </c>
      <c r="R143" s="30">
        <v>0</v>
      </c>
      <c r="S143" s="30">
        <v>0</v>
      </c>
      <c r="T143" s="30">
        <v>0</v>
      </c>
      <c r="U143" s="30">
        <v>2700</v>
      </c>
      <c r="V143" s="30">
        <v>0</v>
      </c>
      <c r="W143" s="30">
        <v>81</v>
      </c>
      <c r="X143" s="30">
        <v>2619</v>
      </c>
      <c r="Y143" s="30">
        <v>2619</v>
      </c>
      <c r="Z143" s="30">
        <v>2700</v>
      </c>
      <c r="AA143" s="30">
        <v>0</v>
      </c>
      <c r="AB143" s="30">
        <v>2700</v>
      </c>
      <c r="AC143" s="30" t="s">
        <v>457</v>
      </c>
      <c r="AD143" s="30"/>
      <c r="AE143" s="30">
        <v>2700</v>
      </c>
    </row>
    <row r="144" spans="1:31" x14ac:dyDescent="0.25">
      <c r="A144">
        <v>1159</v>
      </c>
      <c r="B144" t="s">
        <v>359</v>
      </c>
      <c r="C144" t="s">
        <v>51</v>
      </c>
      <c r="D144" s="33">
        <v>4800</v>
      </c>
      <c r="E144">
        <v>1246121285</v>
      </c>
      <c r="F144" s="222">
        <v>45297</v>
      </c>
      <c r="G144" s="222"/>
      <c r="H144" t="s">
        <v>23</v>
      </c>
      <c r="I144" t="s">
        <v>24</v>
      </c>
      <c r="J144">
        <v>1246121285</v>
      </c>
      <c r="K144" s="222">
        <v>45282</v>
      </c>
      <c r="L144">
        <v>3041000</v>
      </c>
      <c r="M144" t="s">
        <v>124</v>
      </c>
      <c r="N144">
        <v>876</v>
      </c>
      <c r="O144" s="30">
        <v>0</v>
      </c>
      <c r="P144" s="30">
        <v>4800</v>
      </c>
      <c r="Q144" s="30">
        <v>0</v>
      </c>
      <c r="R144" s="30">
        <v>0</v>
      </c>
      <c r="S144" s="30">
        <v>0</v>
      </c>
      <c r="T144" s="30">
        <v>0</v>
      </c>
      <c r="U144" s="30">
        <v>4800</v>
      </c>
      <c r="V144" s="30">
        <v>0</v>
      </c>
      <c r="W144" s="30">
        <v>144</v>
      </c>
      <c r="X144" s="30">
        <v>4656</v>
      </c>
      <c r="Y144" s="30">
        <v>4656</v>
      </c>
      <c r="Z144" s="30">
        <v>4800</v>
      </c>
      <c r="AA144" s="30">
        <v>0</v>
      </c>
      <c r="AB144" s="30">
        <v>4800</v>
      </c>
      <c r="AC144" s="30" t="s">
        <v>457</v>
      </c>
      <c r="AD144" s="30"/>
      <c r="AE144" s="30">
        <v>4800</v>
      </c>
    </row>
    <row r="145" spans="1:31" x14ac:dyDescent="0.25">
      <c r="A145">
        <v>1159</v>
      </c>
      <c r="B145" t="s">
        <v>359</v>
      </c>
      <c r="C145" t="s">
        <v>51</v>
      </c>
      <c r="D145" s="33">
        <v>2700</v>
      </c>
      <c r="E145">
        <v>1246121300</v>
      </c>
      <c r="F145" s="222">
        <v>45297</v>
      </c>
      <c r="G145" s="222"/>
      <c r="H145" t="s">
        <v>23</v>
      </c>
      <c r="I145" t="s">
        <v>24</v>
      </c>
      <c r="J145">
        <v>1246121300</v>
      </c>
      <c r="K145" s="222">
        <v>45282</v>
      </c>
      <c r="L145">
        <v>3041000</v>
      </c>
      <c r="M145" t="s">
        <v>124</v>
      </c>
      <c r="N145">
        <v>876</v>
      </c>
      <c r="O145" s="30">
        <v>0</v>
      </c>
      <c r="P145" s="30">
        <v>2700</v>
      </c>
      <c r="Q145" s="30">
        <v>0</v>
      </c>
      <c r="R145" s="30">
        <v>0</v>
      </c>
      <c r="S145" s="30">
        <v>0</v>
      </c>
      <c r="T145" s="30">
        <v>0</v>
      </c>
      <c r="U145" s="30">
        <v>2700</v>
      </c>
      <c r="V145" s="30">
        <v>0</v>
      </c>
      <c r="W145" s="30">
        <v>81</v>
      </c>
      <c r="X145" s="30">
        <v>2619</v>
      </c>
      <c r="Y145" s="30">
        <v>2619</v>
      </c>
      <c r="Z145" s="30">
        <v>2700</v>
      </c>
      <c r="AA145" s="30">
        <v>0</v>
      </c>
      <c r="AB145" s="30">
        <v>2700</v>
      </c>
      <c r="AC145" s="30" t="s">
        <v>457</v>
      </c>
      <c r="AD145" s="30"/>
      <c r="AE145" s="30">
        <v>2700</v>
      </c>
    </row>
    <row r="146" spans="1:31" x14ac:dyDescent="0.25">
      <c r="A146">
        <v>1159</v>
      </c>
      <c r="B146" t="s">
        <v>359</v>
      </c>
      <c r="C146" t="s">
        <v>51</v>
      </c>
      <c r="D146" s="33">
        <v>1800</v>
      </c>
      <c r="E146">
        <v>1246121298</v>
      </c>
      <c r="F146" s="222">
        <v>45297</v>
      </c>
      <c r="G146" s="222"/>
      <c r="H146" t="s">
        <v>23</v>
      </c>
      <c r="I146" t="s">
        <v>24</v>
      </c>
      <c r="J146">
        <v>1246121298</v>
      </c>
      <c r="K146" s="222">
        <v>45282</v>
      </c>
      <c r="L146">
        <v>3041000</v>
      </c>
      <c r="M146" t="s">
        <v>124</v>
      </c>
      <c r="N146">
        <v>876</v>
      </c>
      <c r="O146" s="30">
        <v>0</v>
      </c>
      <c r="P146" s="30">
        <v>1800</v>
      </c>
      <c r="Q146" s="30">
        <v>0</v>
      </c>
      <c r="R146" s="30">
        <v>0</v>
      </c>
      <c r="S146" s="30">
        <v>0</v>
      </c>
      <c r="T146" s="30">
        <v>0</v>
      </c>
      <c r="U146" s="30">
        <v>1800</v>
      </c>
      <c r="V146" s="30">
        <v>0</v>
      </c>
      <c r="W146" s="30">
        <v>54</v>
      </c>
      <c r="X146" s="30">
        <v>1746</v>
      </c>
      <c r="Y146" s="30">
        <v>1746</v>
      </c>
      <c r="Z146" s="30">
        <v>1800</v>
      </c>
      <c r="AA146" s="30">
        <v>0</v>
      </c>
      <c r="AB146" s="30">
        <v>1800</v>
      </c>
      <c r="AC146" s="30" t="s">
        <v>457</v>
      </c>
      <c r="AD146" s="30"/>
      <c r="AE146" s="30">
        <v>1800</v>
      </c>
    </row>
    <row r="147" spans="1:31" x14ac:dyDescent="0.25">
      <c r="A147">
        <v>1159</v>
      </c>
      <c r="B147" t="s">
        <v>359</v>
      </c>
      <c r="C147" t="s">
        <v>51</v>
      </c>
      <c r="D147" s="33">
        <v>2700</v>
      </c>
      <c r="E147">
        <v>1246121302</v>
      </c>
      <c r="F147" s="222">
        <v>45297</v>
      </c>
      <c r="G147" s="222"/>
      <c r="H147" t="s">
        <v>23</v>
      </c>
      <c r="I147" t="s">
        <v>24</v>
      </c>
      <c r="J147">
        <v>1246121302</v>
      </c>
      <c r="K147" s="222">
        <v>45282</v>
      </c>
      <c r="L147">
        <v>3041000</v>
      </c>
      <c r="M147" t="s">
        <v>124</v>
      </c>
      <c r="N147">
        <v>876</v>
      </c>
      <c r="O147" s="30">
        <v>0</v>
      </c>
      <c r="P147" s="30">
        <v>2700</v>
      </c>
      <c r="Q147" s="30">
        <v>0</v>
      </c>
      <c r="R147" s="30">
        <v>0</v>
      </c>
      <c r="S147" s="30">
        <v>0</v>
      </c>
      <c r="T147" s="30">
        <v>0</v>
      </c>
      <c r="U147" s="30">
        <v>2700</v>
      </c>
      <c r="V147" s="30">
        <v>0</v>
      </c>
      <c r="W147" s="30">
        <v>81</v>
      </c>
      <c r="X147" s="30">
        <v>2619</v>
      </c>
      <c r="Y147" s="30">
        <v>2619</v>
      </c>
      <c r="Z147" s="30">
        <v>2700</v>
      </c>
      <c r="AA147" s="30">
        <v>0</v>
      </c>
      <c r="AB147" s="30">
        <v>2700</v>
      </c>
      <c r="AC147" s="30" t="s">
        <v>457</v>
      </c>
      <c r="AD147" s="30"/>
      <c r="AE147" s="30">
        <v>2700</v>
      </c>
    </row>
    <row r="148" spans="1:31" x14ac:dyDescent="0.25">
      <c r="A148">
        <v>1159</v>
      </c>
      <c r="B148" t="s">
        <v>359</v>
      </c>
      <c r="C148" t="s">
        <v>51</v>
      </c>
      <c r="D148" s="33">
        <v>1200</v>
      </c>
      <c r="E148">
        <v>1246121295</v>
      </c>
      <c r="F148" s="222">
        <v>45297</v>
      </c>
      <c r="G148" s="222"/>
      <c r="H148" t="s">
        <v>23</v>
      </c>
      <c r="I148" t="s">
        <v>24</v>
      </c>
      <c r="J148">
        <v>1246121295</v>
      </c>
      <c r="K148" s="222">
        <v>45282</v>
      </c>
      <c r="L148">
        <v>3041000</v>
      </c>
      <c r="M148" t="s">
        <v>124</v>
      </c>
      <c r="N148">
        <v>876</v>
      </c>
      <c r="O148" s="30">
        <v>0</v>
      </c>
      <c r="P148" s="30">
        <v>1200</v>
      </c>
      <c r="Q148" s="30">
        <v>0</v>
      </c>
      <c r="R148" s="30">
        <v>0</v>
      </c>
      <c r="S148" s="30">
        <v>0</v>
      </c>
      <c r="T148" s="30">
        <v>0</v>
      </c>
      <c r="U148" s="30">
        <v>1200</v>
      </c>
      <c r="V148" s="30">
        <v>0</v>
      </c>
      <c r="W148" s="30">
        <v>36</v>
      </c>
      <c r="X148" s="30">
        <v>1164</v>
      </c>
      <c r="Y148" s="30">
        <v>1164</v>
      </c>
      <c r="Z148" s="30">
        <v>1200</v>
      </c>
      <c r="AA148" s="30">
        <v>0</v>
      </c>
      <c r="AB148" s="30">
        <v>1200</v>
      </c>
      <c r="AC148" s="30" t="s">
        <v>457</v>
      </c>
      <c r="AD148" s="30"/>
      <c r="AE148" s="30">
        <v>1200</v>
      </c>
    </row>
    <row r="149" spans="1:31" x14ac:dyDescent="0.25">
      <c r="A149">
        <v>1159</v>
      </c>
      <c r="B149" t="s">
        <v>359</v>
      </c>
      <c r="C149" t="s">
        <v>51</v>
      </c>
      <c r="D149" s="33">
        <v>2700</v>
      </c>
      <c r="E149">
        <v>1246121297</v>
      </c>
      <c r="F149" s="222">
        <v>45297</v>
      </c>
      <c r="G149" s="222"/>
      <c r="H149" t="s">
        <v>23</v>
      </c>
      <c r="I149" t="s">
        <v>24</v>
      </c>
      <c r="J149">
        <v>1246121297</v>
      </c>
      <c r="K149" s="222">
        <v>45282</v>
      </c>
      <c r="L149">
        <v>3041000</v>
      </c>
      <c r="M149" t="s">
        <v>124</v>
      </c>
      <c r="N149">
        <v>876</v>
      </c>
      <c r="O149" s="30">
        <v>0</v>
      </c>
      <c r="P149" s="30">
        <v>2700</v>
      </c>
      <c r="Q149" s="30">
        <v>0</v>
      </c>
      <c r="R149" s="30">
        <v>0</v>
      </c>
      <c r="S149" s="30">
        <v>0</v>
      </c>
      <c r="T149" s="30">
        <v>0</v>
      </c>
      <c r="U149" s="30">
        <v>2700</v>
      </c>
      <c r="V149" s="30">
        <v>0</v>
      </c>
      <c r="W149" s="30">
        <v>81</v>
      </c>
      <c r="X149" s="30">
        <v>2619</v>
      </c>
      <c r="Y149" s="30">
        <v>2619</v>
      </c>
      <c r="Z149" s="30">
        <v>2700</v>
      </c>
      <c r="AA149" s="30">
        <v>0</v>
      </c>
      <c r="AB149" s="30">
        <v>2700</v>
      </c>
      <c r="AC149" s="30" t="s">
        <v>457</v>
      </c>
      <c r="AD149" s="30"/>
      <c r="AE149" s="30">
        <v>2700</v>
      </c>
    </row>
    <row r="150" spans="1:31" x14ac:dyDescent="0.25">
      <c r="A150">
        <v>1159</v>
      </c>
      <c r="B150" t="s">
        <v>359</v>
      </c>
      <c r="C150" t="s">
        <v>51</v>
      </c>
      <c r="D150" s="33">
        <v>6300</v>
      </c>
      <c r="E150">
        <v>1246121299</v>
      </c>
      <c r="F150" s="222">
        <v>45297</v>
      </c>
      <c r="G150" s="222"/>
      <c r="H150" t="s">
        <v>23</v>
      </c>
      <c r="I150" t="s">
        <v>24</v>
      </c>
      <c r="J150">
        <v>1246121299</v>
      </c>
      <c r="K150" s="222">
        <v>45282</v>
      </c>
      <c r="L150">
        <v>3041000</v>
      </c>
      <c r="M150" t="s">
        <v>124</v>
      </c>
      <c r="N150">
        <v>876</v>
      </c>
      <c r="O150" s="30">
        <v>0</v>
      </c>
      <c r="P150" s="30">
        <v>6300</v>
      </c>
      <c r="Q150" s="30">
        <v>0</v>
      </c>
      <c r="R150" s="30">
        <v>0</v>
      </c>
      <c r="S150" s="30">
        <v>0</v>
      </c>
      <c r="T150" s="30">
        <v>0</v>
      </c>
      <c r="U150" s="30">
        <v>6300</v>
      </c>
      <c r="V150" s="30">
        <v>0</v>
      </c>
      <c r="W150" s="30">
        <v>189</v>
      </c>
      <c r="X150" s="30">
        <v>6111</v>
      </c>
      <c r="Y150" s="30">
        <v>6111</v>
      </c>
      <c r="Z150" s="30">
        <v>6300</v>
      </c>
      <c r="AA150" s="30">
        <v>0</v>
      </c>
      <c r="AB150" s="30">
        <v>6300</v>
      </c>
      <c r="AC150" s="30" t="s">
        <v>457</v>
      </c>
      <c r="AD150" s="30"/>
      <c r="AE150" s="30">
        <v>6300</v>
      </c>
    </row>
    <row r="151" spans="1:31" x14ac:dyDescent="0.25">
      <c r="A151">
        <v>1159</v>
      </c>
      <c r="B151" t="s">
        <v>359</v>
      </c>
      <c r="C151" t="s">
        <v>51</v>
      </c>
      <c r="D151" s="33">
        <v>3600</v>
      </c>
      <c r="E151">
        <v>1246121296</v>
      </c>
      <c r="F151" s="222">
        <v>45297</v>
      </c>
      <c r="G151" s="222"/>
      <c r="H151" t="s">
        <v>23</v>
      </c>
      <c r="I151" t="s">
        <v>24</v>
      </c>
      <c r="J151">
        <v>1246121296</v>
      </c>
      <c r="K151" s="222">
        <v>45282</v>
      </c>
      <c r="L151">
        <v>3041000</v>
      </c>
      <c r="M151" t="s">
        <v>124</v>
      </c>
      <c r="N151">
        <v>876</v>
      </c>
      <c r="O151" s="30">
        <v>0</v>
      </c>
      <c r="P151" s="30">
        <v>3600</v>
      </c>
      <c r="Q151" s="30">
        <v>0</v>
      </c>
      <c r="R151" s="30">
        <v>0</v>
      </c>
      <c r="S151" s="30">
        <v>0</v>
      </c>
      <c r="T151" s="30">
        <v>0</v>
      </c>
      <c r="U151" s="30">
        <v>3600</v>
      </c>
      <c r="V151" s="30">
        <v>0</v>
      </c>
      <c r="W151" s="30">
        <v>108</v>
      </c>
      <c r="X151" s="30">
        <v>3492</v>
      </c>
      <c r="Y151" s="30">
        <v>3492</v>
      </c>
      <c r="Z151" s="30">
        <v>3600</v>
      </c>
      <c r="AA151" s="30">
        <v>0</v>
      </c>
      <c r="AB151" s="30">
        <v>3600</v>
      </c>
      <c r="AC151" s="30" t="s">
        <v>457</v>
      </c>
      <c r="AD151" s="30"/>
      <c r="AE151" s="30">
        <v>3600</v>
      </c>
    </row>
    <row r="152" spans="1:31" x14ac:dyDescent="0.25">
      <c r="A152">
        <v>1159</v>
      </c>
      <c r="B152" t="s">
        <v>359</v>
      </c>
      <c r="C152" t="s">
        <v>51</v>
      </c>
      <c r="D152" s="33">
        <v>2400</v>
      </c>
      <c r="E152">
        <v>1246135388</v>
      </c>
      <c r="F152" s="222">
        <v>45388</v>
      </c>
      <c r="G152" s="222"/>
      <c r="H152" t="s">
        <v>23</v>
      </c>
      <c r="I152" t="s">
        <v>24</v>
      </c>
      <c r="J152">
        <v>1246135388</v>
      </c>
      <c r="K152" s="222">
        <v>45373</v>
      </c>
      <c r="L152">
        <v>3041000</v>
      </c>
      <c r="M152" t="s">
        <v>124</v>
      </c>
      <c r="N152">
        <v>785</v>
      </c>
      <c r="O152" s="30">
        <v>0</v>
      </c>
      <c r="P152" s="30">
        <v>2400</v>
      </c>
      <c r="Q152" s="30">
        <v>0</v>
      </c>
      <c r="R152" s="30">
        <v>0</v>
      </c>
      <c r="S152" s="30">
        <v>0</v>
      </c>
      <c r="T152" s="30">
        <v>0</v>
      </c>
      <c r="U152" s="30">
        <v>2400</v>
      </c>
      <c r="V152" s="30">
        <v>0</v>
      </c>
      <c r="W152" s="30">
        <v>72</v>
      </c>
      <c r="X152" s="30">
        <v>2328</v>
      </c>
      <c r="Y152" s="30">
        <v>2328</v>
      </c>
      <c r="Z152" s="30">
        <v>2400</v>
      </c>
      <c r="AA152" s="30">
        <v>0</v>
      </c>
      <c r="AB152" s="30">
        <v>2400</v>
      </c>
      <c r="AC152" s="30" t="s">
        <v>457</v>
      </c>
      <c r="AD152" s="30"/>
      <c r="AE152" s="30">
        <v>2400</v>
      </c>
    </row>
    <row r="153" spans="1:31" x14ac:dyDescent="0.25">
      <c r="A153">
        <v>1159</v>
      </c>
      <c r="B153" t="s">
        <v>359</v>
      </c>
      <c r="C153" t="s">
        <v>51</v>
      </c>
      <c r="D153" s="33">
        <v>1200</v>
      </c>
      <c r="E153">
        <v>1246135385</v>
      </c>
      <c r="F153" s="222">
        <v>45388</v>
      </c>
      <c r="G153" s="222"/>
      <c r="H153" t="s">
        <v>23</v>
      </c>
      <c r="I153" t="s">
        <v>24</v>
      </c>
      <c r="J153">
        <v>1246135385</v>
      </c>
      <c r="K153" s="222">
        <v>45373</v>
      </c>
      <c r="L153">
        <v>3041000</v>
      </c>
      <c r="M153" t="s">
        <v>124</v>
      </c>
      <c r="N153">
        <v>785</v>
      </c>
      <c r="O153" s="30">
        <v>0</v>
      </c>
      <c r="P153" s="30">
        <v>1200</v>
      </c>
      <c r="Q153" s="30">
        <v>0</v>
      </c>
      <c r="R153" s="30">
        <v>0</v>
      </c>
      <c r="S153" s="30">
        <v>0</v>
      </c>
      <c r="T153" s="30">
        <v>0</v>
      </c>
      <c r="U153" s="30">
        <v>1200</v>
      </c>
      <c r="V153" s="30">
        <v>0</v>
      </c>
      <c r="W153" s="30">
        <v>36</v>
      </c>
      <c r="X153" s="30">
        <v>1164</v>
      </c>
      <c r="Y153" s="30">
        <v>1164</v>
      </c>
      <c r="Z153" s="30">
        <v>1200</v>
      </c>
      <c r="AA153" s="30">
        <v>0</v>
      </c>
      <c r="AB153" s="30">
        <v>1200</v>
      </c>
      <c r="AC153" s="30" t="s">
        <v>457</v>
      </c>
      <c r="AD153" s="30"/>
      <c r="AE153" s="30">
        <v>1200</v>
      </c>
    </row>
    <row r="154" spans="1:31" x14ac:dyDescent="0.25">
      <c r="A154">
        <v>1159</v>
      </c>
      <c r="B154" t="s">
        <v>359</v>
      </c>
      <c r="C154" t="s">
        <v>51</v>
      </c>
      <c r="D154" s="33">
        <v>3600</v>
      </c>
      <c r="E154">
        <v>1246135391</v>
      </c>
      <c r="F154" s="222">
        <v>45388</v>
      </c>
      <c r="G154" s="222"/>
      <c r="H154" t="s">
        <v>23</v>
      </c>
      <c r="I154" t="s">
        <v>24</v>
      </c>
      <c r="J154">
        <v>1246135391</v>
      </c>
      <c r="K154" s="222">
        <v>45373</v>
      </c>
      <c r="L154">
        <v>3041000</v>
      </c>
      <c r="M154" t="s">
        <v>124</v>
      </c>
      <c r="N154">
        <v>785</v>
      </c>
      <c r="O154" s="30">
        <v>0</v>
      </c>
      <c r="P154" s="30">
        <v>3600</v>
      </c>
      <c r="Q154" s="30">
        <v>0</v>
      </c>
      <c r="R154" s="30">
        <v>0</v>
      </c>
      <c r="S154" s="30">
        <v>0</v>
      </c>
      <c r="T154" s="30">
        <v>0</v>
      </c>
      <c r="U154" s="30">
        <v>3600</v>
      </c>
      <c r="V154" s="30">
        <v>0</v>
      </c>
      <c r="W154" s="30">
        <v>108</v>
      </c>
      <c r="X154" s="30">
        <v>3492</v>
      </c>
      <c r="Y154" s="30">
        <v>3492</v>
      </c>
      <c r="Z154" s="30">
        <v>3600</v>
      </c>
      <c r="AA154" s="30">
        <v>0</v>
      </c>
      <c r="AB154" s="30">
        <v>3600</v>
      </c>
      <c r="AC154" s="30" t="s">
        <v>457</v>
      </c>
      <c r="AD154" s="30"/>
      <c r="AE154" s="30">
        <v>3600</v>
      </c>
    </row>
    <row r="155" spans="1:31" x14ac:dyDescent="0.25">
      <c r="A155">
        <v>1159</v>
      </c>
      <c r="B155" t="s">
        <v>359</v>
      </c>
      <c r="C155" t="s">
        <v>51</v>
      </c>
      <c r="D155" s="33">
        <v>2400</v>
      </c>
      <c r="E155">
        <v>1246135382</v>
      </c>
      <c r="F155" s="222">
        <v>45388</v>
      </c>
      <c r="G155" s="222"/>
      <c r="H155" t="s">
        <v>23</v>
      </c>
      <c r="I155" t="s">
        <v>24</v>
      </c>
      <c r="J155">
        <v>1246135382</v>
      </c>
      <c r="K155" s="222">
        <v>45373</v>
      </c>
      <c r="L155">
        <v>3041000</v>
      </c>
      <c r="M155" t="s">
        <v>124</v>
      </c>
      <c r="N155">
        <v>785</v>
      </c>
      <c r="O155" s="30">
        <v>0</v>
      </c>
      <c r="P155" s="30">
        <v>2400</v>
      </c>
      <c r="Q155" s="30">
        <v>0</v>
      </c>
      <c r="R155" s="30">
        <v>0</v>
      </c>
      <c r="S155" s="30">
        <v>0</v>
      </c>
      <c r="T155" s="30">
        <v>0</v>
      </c>
      <c r="U155" s="30">
        <v>2400</v>
      </c>
      <c r="V155" s="30">
        <v>0</v>
      </c>
      <c r="W155" s="30">
        <v>72</v>
      </c>
      <c r="X155" s="30">
        <v>2328</v>
      </c>
      <c r="Y155" s="30">
        <v>2328</v>
      </c>
      <c r="Z155" s="30">
        <v>2400</v>
      </c>
      <c r="AA155" s="30">
        <v>0</v>
      </c>
      <c r="AB155" s="30">
        <v>2400</v>
      </c>
      <c r="AC155" s="30" t="s">
        <v>457</v>
      </c>
      <c r="AD155" s="30"/>
      <c r="AE155" s="30">
        <v>2400</v>
      </c>
    </row>
    <row r="156" spans="1:31" x14ac:dyDescent="0.25">
      <c r="A156">
        <v>1159</v>
      </c>
      <c r="B156" t="s">
        <v>359</v>
      </c>
      <c r="C156" t="s">
        <v>51</v>
      </c>
      <c r="D156" s="33">
        <v>3600</v>
      </c>
      <c r="E156">
        <v>1246173258</v>
      </c>
      <c r="F156" s="222">
        <v>45575</v>
      </c>
      <c r="G156" s="222"/>
      <c r="H156" t="s">
        <v>23</v>
      </c>
      <c r="I156" t="s">
        <v>24</v>
      </c>
      <c r="J156">
        <v>1246173258</v>
      </c>
      <c r="K156" s="222">
        <v>45560</v>
      </c>
      <c r="L156">
        <v>3041000</v>
      </c>
      <c r="M156" t="s">
        <v>124</v>
      </c>
      <c r="N156">
        <v>598</v>
      </c>
      <c r="O156" s="30">
        <v>0</v>
      </c>
      <c r="P156" s="30">
        <v>3600</v>
      </c>
      <c r="Q156" s="30">
        <v>0</v>
      </c>
      <c r="R156" s="30">
        <v>0</v>
      </c>
      <c r="S156" s="30">
        <v>0</v>
      </c>
      <c r="T156" s="30">
        <v>0</v>
      </c>
      <c r="U156" s="30">
        <v>3600</v>
      </c>
      <c r="V156" s="30">
        <v>0</v>
      </c>
      <c r="W156" s="30">
        <v>108</v>
      </c>
      <c r="X156" s="30">
        <v>3492</v>
      </c>
      <c r="Y156" s="30">
        <v>3492</v>
      </c>
      <c r="Z156" s="30">
        <v>3600</v>
      </c>
      <c r="AA156" s="30">
        <v>0</v>
      </c>
      <c r="AB156" s="30">
        <v>3600</v>
      </c>
      <c r="AC156" s="30" t="s">
        <v>457</v>
      </c>
      <c r="AD156" s="30"/>
      <c r="AE156" s="30">
        <v>3600</v>
      </c>
    </row>
    <row r="157" spans="1:31" x14ac:dyDescent="0.25">
      <c r="A157">
        <v>1159</v>
      </c>
      <c r="B157" t="s">
        <v>359</v>
      </c>
      <c r="C157" t="s">
        <v>51</v>
      </c>
      <c r="D157" s="33">
        <v>1200</v>
      </c>
      <c r="E157">
        <v>1246173256</v>
      </c>
      <c r="F157" s="222">
        <v>45575</v>
      </c>
      <c r="G157" s="222"/>
      <c r="H157" t="s">
        <v>23</v>
      </c>
      <c r="I157" t="s">
        <v>24</v>
      </c>
      <c r="J157">
        <v>1246173256</v>
      </c>
      <c r="K157" s="222">
        <v>45560</v>
      </c>
      <c r="L157">
        <v>3041000</v>
      </c>
      <c r="M157" t="s">
        <v>124</v>
      </c>
      <c r="N157">
        <v>598</v>
      </c>
      <c r="O157" s="30">
        <v>0</v>
      </c>
      <c r="P157" s="30">
        <v>1200</v>
      </c>
      <c r="Q157" s="30">
        <v>0</v>
      </c>
      <c r="R157" s="30">
        <v>0</v>
      </c>
      <c r="S157" s="30">
        <v>0</v>
      </c>
      <c r="T157" s="30">
        <v>0</v>
      </c>
      <c r="U157" s="30">
        <v>1200</v>
      </c>
      <c r="V157" s="30">
        <v>0</v>
      </c>
      <c r="W157" s="30">
        <v>36</v>
      </c>
      <c r="X157" s="30">
        <v>1164</v>
      </c>
      <c r="Y157" s="30">
        <v>1164</v>
      </c>
      <c r="Z157" s="30">
        <v>1200</v>
      </c>
      <c r="AA157" s="30">
        <v>0</v>
      </c>
      <c r="AB157" s="30">
        <v>1200</v>
      </c>
      <c r="AC157" s="30" t="s">
        <v>457</v>
      </c>
      <c r="AD157" s="30"/>
      <c r="AE157" s="30">
        <v>1200</v>
      </c>
    </row>
    <row r="158" spans="1:31" x14ac:dyDescent="0.25">
      <c r="A158">
        <v>1159</v>
      </c>
      <c r="B158" t="s">
        <v>359</v>
      </c>
      <c r="C158" t="s">
        <v>51</v>
      </c>
      <c r="D158" s="33">
        <v>2400</v>
      </c>
      <c r="E158">
        <v>1246173253</v>
      </c>
      <c r="F158" s="222">
        <v>45575</v>
      </c>
      <c r="G158" s="222"/>
      <c r="H158" t="s">
        <v>23</v>
      </c>
      <c r="I158" t="s">
        <v>24</v>
      </c>
      <c r="J158">
        <v>1246173253</v>
      </c>
      <c r="K158" s="222">
        <v>45560</v>
      </c>
      <c r="L158">
        <v>3041000</v>
      </c>
      <c r="M158" t="s">
        <v>124</v>
      </c>
      <c r="N158">
        <v>598</v>
      </c>
      <c r="O158" s="30">
        <v>0</v>
      </c>
      <c r="P158" s="30">
        <v>2400</v>
      </c>
      <c r="Q158" s="30">
        <v>0</v>
      </c>
      <c r="R158" s="30">
        <v>0</v>
      </c>
      <c r="S158" s="30">
        <v>0</v>
      </c>
      <c r="T158" s="30">
        <v>0</v>
      </c>
      <c r="U158" s="30">
        <v>2400</v>
      </c>
      <c r="V158" s="30">
        <v>0</v>
      </c>
      <c r="W158" s="30">
        <v>72</v>
      </c>
      <c r="X158" s="30">
        <v>2328</v>
      </c>
      <c r="Y158" s="30">
        <v>2328</v>
      </c>
      <c r="Z158" s="30">
        <v>2400</v>
      </c>
      <c r="AA158" s="30">
        <v>0</v>
      </c>
      <c r="AB158" s="30">
        <v>2400</v>
      </c>
      <c r="AC158" s="30" t="s">
        <v>457</v>
      </c>
      <c r="AD158" s="30"/>
      <c r="AE158" s="30">
        <v>2400</v>
      </c>
    </row>
    <row r="159" spans="1:31" x14ac:dyDescent="0.25">
      <c r="A159">
        <v>1159</v>
      </c>
      <c r="B159" t="s">
        <v>359</v>
      </c>
      <c r="C159" t="s">
        <v>51</v>
      </c>
      <c r="D159" s="33">
        <v>1200</v>
      </c>
      <c r="E159">
        <v>1246173257</v>
      </c>
      <c r="F159" s="222">
        <v>45575</v>
      </c>
      <c r="G159" s="222"/>
      <c r="H159" t="s">
        <v>23</v>
      </c>
      <c r="I159" t="s">
        <v>24</v>
      </c>
      <c r="J159">
        <v>1246173257</v>
      </c>
      <c r="K159" s="222">
        <v>45560</v>
      </c>
      <c r="L159">
        <v>3041000</v>
      </c>
      <c r="M159" t="s">
        <v>124</v>
      </c>
      <c r="N159">
        <v>598</v>
      </c>
      <c r="O159" s="30">
        <v>0</v>
      </c>
      <c r="P159" s="30">
        <v>1200</v>
      </c>
      <c r="Q159" s="30">
        <v>0</v>
      </c>
      <c r="R159" s="30">
        <v>0</v>
      </c>
      <c r="S159" s="30">
        <v>0</v>
      </c>
      <c r="T159" s="30">
        <v>0</v>
      </c>
      <c r="U159" s="30">
        <v>1200</v>
      </c>
      <c r="V159" s="30">
        <v>0</v>
      </c>
      <c r="W159" s="30">
        <v>36</v>
      </c>
      <c r="X159" s="30">
        <v>1164</v>
      </c>
      <c r="Y159" s="30">
        <v>1164</v>
      </c>
      <c r="Z159" s="30">
        <v>1200</v>
      </c>
      <c r="AA159" s="30">
        <v>0</v>
      </c>
      <c r="AB159" s="30">
        <v>1200</v>
      </c>
      <c r="AC159" s="30" t="s">
        <v>457</v>
      </c>
      <c r="AD159" s="30"/>
      <c r="AE159" s="30">
        <v>1200</v>
      </c>
    </row>
    <row r="160" spans="1:31" x14ac:dyDescent="0.25">
      <c r="A160">
        <v>1159</v>
      </c>
      <c r="B160" t="s">
        <v>359</v>
      </c>
      <c r="C160" t="s">
        <v>51</v>
      </c>
      <c r="D160" s="33">
        <v>271922.08</v>
      </c>
      <c r="E160">
        <v>1246274572</v>
      </c>
      <c r="F160" s="222">
        <v>46194</v>
      </c>
      <c r="G160" s="222"/>
      <c r="H160" t="s">
        <v>23</v>
      </c>
      <c r="I160" t="s">
        <v>24</v>
      </c>
      <c r="J160">
        <v>11363</v>
      </c>
      <c r="K160" s="222">
        <v>46154</v>
      </c>
      <c r="L160">
        <v>1010100</v>
      </c>
      <c r="M160" t="s">
        <v>29</v>
      </c>
      <c r="N160">
        <v>-21</v>
      </c>
      <c r="O160" s="30">
        <v>0</v>
      </c>
      <c r="P160" s="30">
        <v>0</v>
      </c>
      <c r="Q160" s="30">
        <v>271922.08</v>
      </c>
      <c r="R160" s="30">
        <v>0</v>
      </c>
      <c r="S160" s="30">
        <v>0</v>
      </c>
      <c r="T160" s="30">
        <v>0</v>
      </c>
      <c r="U160" s="30">
        <v>0</v>
      </c>
      <c r="V160" s="30">
        <v>0</v>
      </c>
      <c r="W160" s="30">
        <v>0</v>
      </c>
      <c r="X160" s="30">
        <v>0</v>
      </c>
      <c r="Y160" s="30">
        <v>0</v>
      </c>
      <c r="Z160" s="30">
        <v>0</v>
      </c>
      <c r="AA160" s="30">
        <v>0</v>
      </c>
      <c r="AB160" s="30">
        <v>0</v>
      </c>
      <c r="AC160" s="30" t="s">
        <v>457</v>
      </c>
      <c r="AD160" s="30"/>
      <c r="AE160" s="30">
        <v>0</v>
      </c>
    </row>
    <row r="161" spans="1:31" x14ac:dyDescent="0.25">
      <c r="A161">
        <v>1159</v>
      </c>
      <c r="B161" t="s">
        <v>359</v>
      </c>
      <c r="C161" t="s">
        <v>51</v>
      </c>
      <c r="D161" s="33">
        <v>272374.68</v>
      </c>
      <c r="E161">
        <v>1246275056</v>
      </c>
      <c r="F161" s="222">
        <v>46196</v>
      </c>
      <c r="G161" s="222"/>
      <c r="H161" t="s">
        <v>23</v>
      </c>
      <c r="I161" t="s">
        <v>24</v>
      </c>
      <c r="J161">
        <v>11392</v>
      </c>
      <c r="K161" s="222">
        <v>46156</v>
      </c>
      <c r="L161">
        <v>1010100</v>
      </c>
      <c r="M161" t="s">
        <v>29</v>
      </c>
      <c r="N161">
        <v>-23</v>
      </c>
      <c r="O161" s="30">
        <v>0</v>
      </c>
      <c r="P161" s="30">
        <v>0</v>
      </c>
      <c r="Q161" s="30">
        <v>272374.68</v>
      </c>
      <c r="R161" s="30">
        <v>0</v>
      </c>
      <c r="S161" s="30">
        <v>0</v>
      </c>
      <c r="T161" s="30">
        <v>0</v>
      </c>
      <c r="U161" s="30">
        <v>0</v>
      </c>
      <c r="V161" s="30">
        <v>0</v>
      </c>
      <c r="W161" s="30">
        <v>0</v>
      </c>
      <c r="X161" s="30">
        <v>0</v>
      </c>
      <c r="Y161" s="30">
        <v>0</v>
      </c>
      <c r="Z161" s="30">
        <v>0</v>
      </c>
      <c r="AA161" s="30">
        <v>0</v>
      </c>
      <c r="AB161" s="30">
        <v>0</v>
      </c>
      <c r="AC161" s="30" t="s">
        <v>457</v>
      </c>
      <c r="AD161" s="30"/>
      <c r="AE161" s="30">
        <v>0</v>
      </c>
    </row>
    <row r="162" spans="1:31" x14ac:dyDescent="0.25">
      <c r="A162">
        <v>1159</v>
      </c>
      <c r="B162" t="s">
        <v>359</v>
      </c>
      <c r="C162" t="s">
        <v>51</v>
      </c>
      <c r="D162" s="33">
        <v>273189.36</v>
      </c>
      <c r="E162">
        <v>1246277455</v>
      </c>
      <c r="F162" s="222">
        <v>46211</v>
      </c>
      <c r="G162" s="222"/>
      <c r="H162" t="s">
        <v>23</v>
      </c>
      <c r="I162" t="s">
        <v>24</v>
      </c>
      <c r="J162">
        <v>11557</v>
      </c>
      <c r="K162" s="222">
        <v>46171</v>
      </c>
      <c r="L162">
        <v>1010100</v>
      </c>
      <c r="M162" t="s">
        <v>29</v>
      </c>
      <c r="N162">
        <v>-38</v>
      </c>
      <c r="O162" s="30">
        <v>0</v>
      </c>
      <c r="P162" s="30">
        <v>0</v>
      </c>
      <c r="Q162" s="30">
        <v>273189.36</v>
      </c>
      <c r="R162" s="30">
        <v>0</v>
      </c>
      <c r="S162" s="30">
        <v>0</v>
      </c>
      <c r="T162" s="30">
        <v>0</v>
      </c>
      <c r="U162" s="30">
        <v>0</v>
      </c>
      <c r="V162" s="30">
        <v>0</v>
      </c>
      <c r="W162" s="30">
        <v>0</v>
      </c>
      <c r="X162" s="30">
        <v>0</v>
      </c>
      <c r="Y162" s="30">
        <v>0</v>
      </c>
      <c r="Z162" s="30">
        <v>0</v>
      </c>
      <c r="AA162" s="30">
        <v>0</v>
      </c>
      <c r="AB162" s="30">
        <v>0</v>
      </c>
      <c r="AC162" s="30" t="s">
        <v>457</v>
      </c>
      <c r="AD162" s="30"/>
      <c r="AE162" s="30">
        <v>0</v>
      </c>
    </row>
    <row r="163" spans="1:31" x14ac:dyDescent="0.25">
      <c r="A163">
        <v>1159</v>
      </c>
      <c r="B163" t="s">
        <v>359</v>
      </c>
      <c r="C163" t="s">
        <v>51</v>
      </c>
      <c r="D163" s="33">
        <v>271016.88</v>
      </c>
      <c r="E163">
        <v>1246276527</v>
      </c>
      <c r="F163" s="222">
        <v>46207</v>
      </c>
      <c r="G163" s="222"/>
      <c r="H163" t="s">
        <v>23</v>
      </c>
      <c r="I163" t="s">
        <v>24</v>
      </c>
      <c r="J163">
        <v>11488</v>
      </c>
      <c r="K163" s="222">
        <v>46167</v>
      </c>
      <c r="L163">
        <v>1010100</v>
      </c>
      <c r="M163" t="s">
        <v>29</v>
      </c>
      <c r="N163">
        <v>-34</v>
      </c>
      <c r="O163" s="30">
        <v>0</v>
      </c>
      <c r="P163" s="30">
        <v>0</v>
      </c>
      <c r="Q163" s="30">
        <v>271016.88</v>
      </c>
      <c r="R163" s="30">
        <v>0</v>
      </c>
      <c r="S163" s="30">
        <v>0</v>
      </c>
      <c r="T163" s="30">
        <v>0</v>
      </c>
      <c r="U163" s="30">
        <v>0</v>
      </c>
      <c r="V163" s="30">
        <v>0</v>
      </c>
      <c r="W163" s="30">
        <v>0</v>
      </c>
      <c r="X163" s="30">
        <v>0</v>
      </c>
      <c r="Y163" s="30">
        <v>0</v>
      </c>
      <c r="Z163" s="30">
        <v>0</v>
      </c>
      <c r="AA163" s="30">
        <v>0</v>
      </c>
      <c r="AB163" s="30">
        <v>0</v>
      </c>
      <c r="AC163" s="30" t="s">
        <v>457</v>
      </c>
      <c r="AD163" s="30"/>
      <c r="AE163" s="30">
        <v>0</v>
      </c>
    </row>
    <row r="164" spans="1:31" x14ac:dyDescent="0.25">
      <c r="A164">
        <v>1159</v>
      </c>
      <c r="B164" t="s">
        <v>359</v>
      </c>
      <c r="C164" t="s">
        <v>51</v>
      </c>
      <c r="D164" s="33">
        <v>273732.47999999998</v>
      </c>
      <c r="E164">
        <v>1246276263</v>
      </c>
      <c r="F164" s="222">
        <v>46204</v>
      </c>
      <c r="G164" s="222"/>
      <c r="H164" t="s">
        <v>23</v>
      </c>
      <c r="I164" t="s">
        <v>24</v>
      </c>
      <c r="J164">
        <v>11471</v>
      </c>
      <c r="K164" s="222">
        <v>46164</v>
      </c>
      <c r="L164">
        <v>1010100</v>
      </c>
      <c r="M164" t="s">
        <v>29</v>
      </c>
      <c r="N164">
        <v>-31</v>
      </c>
      <c r="O164" s="30">
        <v>0</v>
      </c>
      <c r="P164" s="30">
        <v>0</v>
      </c>
      <c r="Q164" s="30">
        <v>273732.47999999998</v>
      </c>
      <c r="R164" s="30">
        <v>0</v>
      </c>
      <c r="S164" s="30">
        <v>0</v>
      </c>
      <c r="T164" s="30">
        <v>0</v>
      </c>
      <c r="U164" s="30">
        <v>0</v>
      </c>
      <c r="V164" s="30">
        <v>0</v>
      </c>
      <c r="W164" s="30">
        <v>0</v>
      </c>
      <c r="X164" s="30">
        <v>0</v>
      </c>
      <c r="Y164" s="30">
        <v>0</v>
      </c>
      <c r="Z164" s="30">
        <v>0</v>
      </c>
      <c r="AA164" s="30">
        <v>0</v>
      </c>
      <c r="AB164" s="30">
        <v>0</v>
      </c>
      <c r="AC164" s="30" t="s">
        <v>457</v>
      </c>
      <c r="AD164" s="30"/>
      <c r="AE164" s="30">
        <v>0</v>
      </c>
    </row>
    <row r="165" spans="1:31" x14ac:dyDescent="0.25">
      <c r="A165">
        <v>1159</v>
      </c>
      <c r="B165" t="s">
        <v>359</v>
      </c>
      <c r="C165" t="s">
        <v>51</v>
      </c>
      <c r="D165" s="33">
        <v>294418.8</v>
      </c>
      <c r="E165">
        <v>1246277181</v>
      </c>
      <c r="F165" s="222">
        <v>46209</v>
      </c>
      <c r="G165" s="222"/>
      <c r="H165" t="s">
        <v>23</v>
      </c>
      <c r="I165" t="s">
        <v>24</v>
      </c>
      <c r="J165">
        <v>11527</v>
      </c>
      <c r="K165" s="222">
        <v>46169</v>
      </c>
      <c r="L165">
        <v>1010100</v>
      </c>
      <c r="M165" t="s">
        <v>29</v>
      </c>
      <c r="N165">
        <v>-36</v>
      </c>
      <c r="O165" s="30">
        <v>0</v>
      </c>
      <c r="P165" s="30">
        <v>0</v>
      </c>
      <c r="Q165" s="30">
        <v>294418.8</v>
      </c>
      <c r="R165" s="30">
        <v>0</v>
      </c>
      <c r="S165" s="30">
        <v>0</v>
      </c>
      <c r="T165" s="30">
        <v>0</v>
      </c>
      <c r="U165" s="30">
        <v>0</v>
      </c>
      <c r="V165" s="30">
        <v>0</v>
      </c>
      <c r="W165" s="30">
        <v>0</v>
      </c>
      <c r="X165" s="30">
        <v>0</v>
      </c>
      <c r="Y165" s="30">
        <v>0</v>
      </c>
      <c r="Z165" s="30">
        <v>0</v>
      </c>
      <c r="AA165" s="30">
        <v>0</v>
      </c>
      <c r="AB165" s="30">
        <v>0</v>
      </c>
      <c r="AC165" s="30" t="s">
        <v>457</v>
      </c>
      <c r="AD165" s="30"/>
      <c r="AE165" s="30">
        <v>0</v>
      </c>
    </row>
    <row r="166" spans="1:31" x14ac:dyDescent="0.25">
      <c r="A166">
        <v>1159</v>
      </c>
      <c r="B166" t="s">
        <v>359</v>
      </c>
      <c r="C166" t="s">
        <v>51</v>
      </c>
      <c r="D166" s="33">
        <v>271922.08</v>
      </c>
      <c r="E166">
        <v>1246273776</v>
      </c>
      <c r="F166" s="222">
        <v>46188</v>
      </c>
      <c r="G166" s="222"/>
      <c r="H166" t="s">
        <v>23</v>
      </c>
      <c r="I166" t="s">
        <v>24</v>
      </c>
      <c r="J166">
        <v>11312</v>
      </c>
      <c r="K166" s="222">
        <v>46148</v>
      </c>
      <c r="L166">
        <v>1010100</v>
      </c>
      <c r="M166" t="s">
        <v>29</v>
      </c>
      <c r="N166">
        <v>-15</v>
      </c>
      <c r="O166" s="30">
        <v>0</v>
      </c>
      <c r="P166" s="30">
        <v>0</v>
      </c>
      <c r="Q166" s="30">
        <v>271922.08</v>
      </c>
      <c r="R166" s="30">
        <v>0</v>
      </c>
      <c r="S166" s="30">
        <v>0</v>
      </c>
      <c r="T166" s="30">
        <v>0</v>
      </c>
      <c r="U166" s="30">
        <v>0</v>
      </c>
      <c r="V166" s="30">
        <v>0</v>
      </c>
      <c r="W166" s="30">
        <v>0</v>
      </c>
      <c r="X166" s="30">
        <v>0</v>
      </c>
      <c r="Y166" s="30">
        <v>0</v>
      </c>
      <c r="Z166" s="30">
        <v>0</v>
      </c>
      <c r="AA166" s="30">
        <v>0</v>
      </c>
      <c r="AB166" s="30">
        <v>0</v>
      </c>
      <c r="AC166" s="30" t="s">
        <v>457</v>
      </c>
      <c r="AD166" s="30"/>
      <c r="AE166" s="30">
        <v>0</v>
      </c>
    </row>
    <row r="167" spans="1:31" x14ac:dyDescent="0.25">
      <c r="A167">
        <v>1159</v>
      </c>
      <c r="B167" t="s">
        <v>359</v>
      </c>
      <c r="C167" t="s">
        <v>51</v>
      </c>
      <c r="D167" s="33">
        <v>271469.48</v>
      </c>
      <c r="E167">
        <v>1246273041</v>
      </c>
      <c r="F167" s="222">
        <v>46181</v>
      </c>
      <c r="G167" s="222"/>
      <c r="H167" t="s">
        <v>23</v>
      </c>
      <c r="I167" t="s">
        <v>24</v>
      </c>
      <c r="J167">
        <v>11254</v>
      </c>
      <c r="K167" s="222">
        <v>46141</v>
      </c>
      <c r="L167">
        <v>1010100</v>
      </c>
      <c r="M167" t="s">
        <v>29</v>
      </c>
      <c r="N167">
        <v>-8</v>
      </c>
      <c r="O167" s="30">
        <v>0</v>
      </c>
      <c r="P167" s="30">
        <v>0</v>
      </c>
      <c r="Q167" s="30">
        <v>271469.48</v>
      </c>
      <c r="R167" s="30">
        <v>0</v>
      </c>
      <c r="S167" s="30">
        <v>0</v>
      </c>
      <c r="T167" s="30">
        <v>0</v>
      </c>
      <c r="U167" s="30">
        <v>0</v>
      </c>
      <c r="V167" s="30">
        <v>0</v>
      </c>
      <c r="W167" s="30">
        <v>0</v>
      </c>
      <c r="X167" s="30">
        <v>0</v>
      </c>
      <c r="Y167" s="30">
        <v>0</v>
      </c>
      <c r="Z167" s="30">
        <v>0</v>
      </c>
      <c r="AA167" s="30">
        <v>0</v>
      </c>
      <c r="AB167" s="30">
        <v>0</v>
      </c>
      <c r="AC167" s="30" t="s">
        <v>457</v>
      </c>
      <c r="AD167" s="30"/>
      <c r="AE167" s="30">
        <v>0</v>
      </c>
    </row>
    <row r="168" spans="1:31" x14ac:dyDescent="0.25">
      <c r="A168">
        <v>1159</v>
      </c>
      <c r="B168" t="s">
        <v>359</v>
      </c>
      <c r="C168" t="s">
        <v>51</v>
      </c>
      <c r="D168" s="33">
        <v>272193.64</v>
      </c>
      <c r="E168">
        <v>1246273282</v>
      </c>
      <c r="F168" s="222">
        <v>46182</v>
      </c>
      <c r="G168" s="222"/>
      <c r="H168" t="s">
        <v>23</v>
      </c>
      <c r="I168" t="s">
        <v>24</v>
      </c>
      <c r="J168">
        <v>11274</v>
      </c>
      <c r="K168" s="222">
        <v>46142</v>
      </c>
      <c r="L168">
        <v>1010100</v>
      </c>
      <c r="M168" t="s">
        <v>29</v>
      </c>
      <c r="N168">
        <v>-9</v>
      </c>
      <c r="O168" s="30">
        <v>0</v>
      </c>
      <c r="P168" s="30">
        <v>0</v>
      </c>
      <c r="Q168" s="30">
        <v>272193.64</v>
      </c>
      <c r="R168" s="30">
        <v>0</v>
      </c>
      <c r="S168" s="30">
        <v>0</v>
      </c>
      <c r="T168" s="30">
        <v>0</v>
      </c>
      <c r="U168" s="30">
        <v>0</v>
      </c>
      <c r="V168" s="30">
        <v>0</v>
      </c>
      <c r="W168" s="30">
        <v>0</v>
      </c>
      <c r="X168" s="30">
        <v>0</v>
      </c>
      <c r="Y168" s="30">
        <v>0</v>
      </c>
      <c r="Z168" s="30">
        <v>0</v>
      </c>
      <c r="AA168" s="30">
        <v>0</v>
      </c>
      <c r="AB168" s="30">
        <v>0</v>
      </c>
      <c r="AC168" s="30" t="s">
        <v>457</v>
      </c>
      <c r="AD168" s="30"/>
      <c r="AE168" s="30">
        <v>0</v>
      </c>
    </row>
    <row r="169" spans="1:31" x14ac:dyDescent="0.25">
      <c r="A169">
        <v>1159</v>
      </c>
      <c r="B169" t="s">
        <v>359</v>
      </c>
      <c r="C169" t="s">
        <v>51</v>
      </c>
      <c r="D169" s="33">
        <v>272012.59999999998</v>
      </c>
      <c r="E169">
        <v>1246272754</v>
      </c>
      <c r="F169" s="222">
        <v>46179</v>
      </c>
      <c r="G169" s="222"/>
      <c r="H169" t="s">
        <v>23</v>
      </c>
      <c r="I169" t="s">
        <v>24</v>
      </c>
      <c r="J169">
        <v>11228</v>
      </c>
      <c r="K169" s="222">
        <v>46139</v>
      </c>
      <c r="L169">
        <v>1010100</v>
      </c>
      <c r="M169" t="s">
        <v>29</v>
      </c>
      <c r="N169">
        <v>-6</v>
      </c>
      <c r="O169" s="30">
        <v>0</v>
      </c>
      <c r="P169" s="30">
        <v>0</v>
      </c>
      <c r="Q169" s="30">
        <v>272012.59999999998</v>
      </c>
      <c r="R169" s="30">
        <v>0</v>
      </c>
      <c r="S169" s="30">
        <v>0</v>
      </c>
      <c r="T169" s="30">
        <v>0</v>
      </c>
      <c r="U169" s="30">
        <v>0</v>
      </c>
      <c r="V169" s="30">
        <v>0</v>
      </c>
      <c r="W169" s="30">
        <v>0</v>
      </c>
      <c r="X169" s="30">
        <v>0</v>
      </c>
      <c r="Y169" s="30">
        <v>0</v>
      </c>
      <c r="Z169" s="30">
        <v>0</v>
      </c>
      <c r="AA169" s="30">
        <v>0</v>
      </c>
      <c r="AB169" s="30">
        <v>0</v>
      </c>
      <c r="AC169" s="30" t="s">
        <v>457</v>
      </c>
      <c r="AD169" s="30"/>
      <c r="AE169" s="30">
        <v>0</v>
      </c>
    </row>
    <row r="170" spans="1:31" x14ac:dyDescent="0.25">
      <c r="A170">
        <v>1159</v>
      </c>
      <c r="B170" t="s">
        <v>359</v>
      </c>
      <c r="C170" t="s">
        <v>51</v>
      </c>
      <c r="D170" s="33">
        <v>271288.44</v>
      </c>
      <c r="E170">
        <v>1246277294</v>
      </c>
      <c r="F170" s="222">
        <v>46210</v>
      </c>
      <c r="G170" s="222"/>
      <c r="H170" t="s">
        <v>23</v>
      </c>
      <c r="I170" t="s">
        <v>24</v>
      </c>
      <c r="J170">
        <v>11539</v>
      </c>
      <c r="K170" s="222">
        <v>46170</v>
      </c>
      <c r="L170">
        <v>1010100</v>
      </c>
      <c r="M170" t="s">
        <v>29</v>
      </c>
      <c r="N170">
        <v>-37</v>
      </c>
      <c r="O170" s="30">
        <v>0</v>
      </c>
      <c r="P170" s="30">
        <v>0</v>
      </c>
      <c r="Q170" s="30">
        <v>271288.44</v>
      </c>
      <c r="R170" s="30">
        <v>0</v>
      </c>
      <c r="S170" s="30">
        <v>0</v>
      </c>
      <c r="T170" s="30">
        <v>0</v>
      </c>
      <c r="U170" s="30">
        <v>0</v>
      </c>
      <c r="V170" s="30">
        <v>0</v>
      </c>
      <c r="W170" s="30">
        <v>0</v>
      </c>
      <c r="X170" s="30">
        <v>0</v>
      </c>
      <c r="Y170" s="30">
        <v>0</v>
      </c>
      <c r="Z170" s="30">
        <v>0</v>
      </c>
      <c r="AA170" s="30">
        <v>0</v>
      </c>
      <c r="AB170" s="30">
        <v>0</v>
      </c>
      <c r="AC170" s="30" t="s">
        <v>457</v>
      </c>
      <c r="AD170" s="30"/>
      <c r="AE170" s="30">
        <v>0</v>
      </c>
    </row>
    <row r="171" spans="1:31" x14ac:dyDescent="0.25">
      <c r="A171">
        <v>1159</v>
      </c>
      <c r="B171" t="s">
        <v>359</v>
      </c>
      <c r="C171" t="s">
        <v>51</v>
      </c>
      <c r="D171" s="33">
        <v>2445.4499999999998</v>
      </c>
      <c r="E171">
        <v>1246272869</v>
      </c>
      <c r="F171" s="222">
        <v>46180</v>
      </c>
      <c r="G171" s="222"/>
      <c r="H171" t="s">
        <v>23</v>
      </c>
      <c r="I171" t="s">
        <v>24</v>
      </c>
      <c r="J171">
        <v>11240</v>
      </c>
      <c r="K171" s="222">
        <v>46140</v>
      </c>
      <c r="L171">
        <v>1010100</v>
      </c>
      <c r="M171" t="s">
        <v>29</v>
      </c>
      <c r="N171">
        <v>-7</v>
      </c>
      <c r="O171" s="30">
        <v>0</v>
      </c>
      <c r="P171" s="30">
        <v>0</v>
      </c>
      <c r="Q171" s="30">
        <v>2445.4499999999998</v>
      </c>
      <c r="R171" s="30">
        <v>0</v>
      </c>
      <c r="S171" s="30">
        <v>0</v>
      </c>
      <c r="T171" s="30">
        <v>0</v>
      </c>
      <c r="U171" s="30">
        <v>0</v>
      </c>
      <c r="V171" s="30">
        <v>0</v>
      </c>
      <c r="W171" s="30">
        <v>0</v>
      </c>
      <c r="X171" s="30">
        <v>0</v>
      </c>
      <c r="Y171" s="30">
        <v>0</v>
      </c>
      <c r="Z171" s="30">
        <v>0</v>
      </c>
      <c r="AA171" s="30">
        <v>0</v>
      </c>
      <c r="AB171" s="30">
        <v>0</v>
      </c>
      <c r="AC171" s="30" t="s">
        <v>457</v>
      </c>
      <c r="AD171" s="30"/>
      <c r="AE171" s="30">
        <v>0</v>
      </c>
    </row>
    <row r="172" spans="1:31" x14ac:dyDescent="0.25">
      <c r="A172">
        <v>1159</v>
      </c>
      <c r="B172" t="s">
        <v>359</v>
      </c>
      <c r="C172" t="s">
        <v>51</v>
      </c>
      <c r="D172" s="33">
        <v>271297.49</v>
      </c>
      <c r="E172">
        <v>1246274072</v>
      </c>
      <c r="F172" s="222">
        <v>46190</v>
      </c>
      <c r="G172" s="222"/>
      <c r="H172" t="s">
        <v>23</v>
      </c>
      <c r="I172" t="s">
        <v>24</v>
      </c>
      <c r="J172">
        <v>11329</v>
      </c>
      <c r="K172" s="222">
        <v>46150</v>
      </c>
      <c r="L172">
        <v>1010100</v>
      </c>
      <c r="M172" t="s">
        <v>29</v>
      </c>
      <c r="N172">
        <v>-17</v>
      </c>
      <c r="O172" s="30">
        <v>0</v>
      </c>
      <c r="P172" s="30">
        <v>0</v>
      </c>
      <c r="Q172" s="30">
        <v>271297.49</v>
      </c>
      <c r="R172" s="30">
        <v>0</v>
      </c>
      <c r="S172" s="30">
        <v>0</v>
      </c>
      <c r="T172" s="30">
        <v>0</v>
      </c>
      <c r="U172" s="30">
        <v>0</v>
      </c>
      <c r="V172" s="30">
        <v>0</v>
      </c>
      <c r="W172" s="30">
        <v>0</v>
      </c>
      <c r="X172" s="30">
        <v>0</v>
      </c>
      <c r="Y172" s="30">
        <v>0</v>
      </c>
      <c r="Z172" s="30">
        <v>0</v>
      </c>
      <c r="AA172" s="30">
        <v>0</v>
      </c>
      <c r="AB172" s="30">
        <v>0</v>
      </c>
      <c r="AC172" s="30" t="s">
        <v>457</v>
      </c>
      <c r="AD172" s="30"/>
      <c r="AE172" s="30">
        <v>0</v>
      </c>
    </row>
    <row r="173" spans="1:31" x14ac:dyDescent="0.25">
      <c r="A173">
        <v>1159</v>
      </c>
      <c r="B173" t="s">
        <v>359</v>
      </c>
      <c r="C173" t="s">
        <v>51</v>
      </c>
      <c r="D173" s="33">
        <v>272374.68</v>
      </c>
      <c r="E173">
        <v>1246272204</v>
      </c>
      <c r="F173" s="222">
        <v>46175</v>
      </c>
      <c r="G173" s="222"/>
      <c r="H173" t="s">
        <v>23</v>
      </c>
      <c r="I173" t="s">
        <v>24</v>
      </c>
      <c r="J173">
        <v>11198</v>
      </c>
      <c r="K173" s="222">
        <v>46135</v>
      </c>
      <c r="L173">
        <v>1010100</v>
      </c>
      <c r="M173" t="s">
        <v>29</v>
      </c>
      <c r="N173">
        <v>-2</v>
      </c>
      <c r="O173" s="30">
        <v>0</v>
      </c>
      <c r="P173" s="30">
        <v>0</v>
      </c>
      <c r="Q173" s="30">
        <v>272374.68</v>
      </c>
      <c r="R173" s="30">
        <v>0</v>
      </c>
      <c r="S173" s="30">
        <v>0</v>
      </c>
      <c r="T173" s="30">
        <v>0</v>
      </c>
      <c r="U173" s="30">
        <v>0</v>
      </c>
      <c r="V173" s="30">
        <v>0</v>
      </c>
      <c r="W173" s="30">
        <v>0</v>
      </c>
      <c r="X173" s="30">
        <v>0</v>
      </c>
      <c r="Y173" s="30">
        <v>0</v>
      </c>
      <c r="Z173" s="30">
        <v>0</v>
      </c>
      <c r="AA173" s="30">
        <v>0</v>
      </c>
      <c r="AB173" s="30">
        <v>0</v>
      </c>
      <c r="AC173" s="30" t="s">
        <v>457</v>
      </c>
      <c r="AD173" s="30"/>
      <c r="AE173" s="30">
        <v>0</v>
      </c>
    </row>
    <row r="174" spans="1:31" x14ac:dyDescent="0.25">
      <c r="A174">
        <v>1159</v>
      </c>
      <c r="B174" t="s">
        <v>359</v>
      </c>
      <c r="C174" t="s">
        <v>51</v>
      </c>
      <c r="D174" s="33">
        <v>273732.47999999998</v>
      </c>
      <c r="E174">
        <v>1246275398</v>
      </c>
      <c r="F174" s="222">
        <v>46197</v>
      </c>
      <c r="G174" s="222"/>
      <c r="H174" t="s">
        <v>23</v>
      </c>
      <c r="I174" t="s">
        <v>24</v>
      </c>
      <c r="J174">
        <v>11406</v>
      </c>
      <c r="K174" s="222">
        <v>46157</v>
      </c>
      <c r="L174">
        <v>1010100</v>
      </c>
      <c r="M174" t="s">
        <v>29</v>
      </c>
      <c r="N174">
        <v>-24</v>
      </c>
      <c r="O174" s="30">
        <v>0</v>
      </c>
      <c r="P174" s="30">
        <v>0</v>
      </c>
      <c r="Q174" s="30">
        <v>273732.47999999998</v>
      </c>
      <c r="R174" s="30">
        <v>0</v>
      </c>
      <c r="S174" s="30">
        <v>0</v>
      </c>
      <c r="T174" s="30">
        <v>0</v>
      </c>
      <c r="U174" s="30">
        <v>0</v>
      </c>
      <c r="V174" s="30">
        <v>0</v>
      </c>
      <c r="W174" s="30">
        <v>0</v>
      </c>
      <c r="X174" s="30">
        <v>0</v>
      </c>
      <c r="Y174" s="30">
        <v>0</v>
      </c>
      <c r="Z174" s="30">
        <v>0</v>
      </c>
      <c r="AA174" s="30">
        <v>0</v>
      </c>
      <c r="AB174" s="30">
        <v>0</v>
      </c>
      <c r="AC174" s="30" t="s">
        <v>457</v>
      </c>
      <c r="AD174" s="30"/>
      <c r="AE174" s="30">
        <v>0</v>
      </c>
    </row>
    <row r="175" spans="1:31" x14ac:dyDescent="0.25">
      <c r="A175">
        <v>1159</v>
      </c>
      <c r="B175" t="s">
        <v>359</v>
      </c>
      <c r="C175" t="s">
        <v>51</v>
      </c>
      <c r="D175" s="33">
        <v>1200</v>
      </c>
      <c r="E175">
        <v>1246135390</v>
      </c>
      <c r="F175" s="222">
        <v>45388</v>
      </c>
      <c r="G175" s="222"/>
      <c r="H175" t="s">
        <v>23</v>
      </c>
      <c r="I175" t="s">
        <v>24</v>
      </c>
      <c r="J175">
        <v>1246135390</v>
      </c>
      <c r="K175" s="222">
        <v>45373</v>
      </c>
      <c r="L175">
        <v>3041000</v>
      </c>
      <c r="M175" t="s">
        <v>124</v>
      </c>
      <c r="N175">
        <v>785</v>
      </c>
      <c r="O175" s="30">
        <v>0</v>
      </c>
      <c r="P175" s="30">
        <v>1200</v>
      </c>
      <c r="Q175" s="30">
        <v>0</v>
      </c>
      <c r="R175" s="30">
        <v>0</v>
      </c>
      <c r="S175" s="30">
        <v>0</v>
      </c>
      <c r="T175" s="30">
        <v>0</v>
      </c>
      <c r="U175" s="30">
        <v>1200</v>
      </c>
      <c r="V175" s="30">
        <v>0</v>
      </c>
      <c r="W175" s="30">
        <v>36</v>
      </c>
      <c r="X175" s="30">
        <v>1164</v>
      </c>
      <c r="Y175" s="30">
        <v>1164</v>
      </c>
      <c r="Z175" s="30">
        <v>1200</v>
      </c>
      <c r="AA175" s="30">
        <v>0</v>
      </c>
      <c r="AB175" s="30">
        <v>1200</v>
      </c>
      <c r="AC175" s="30" t="s">
        <v>457</v>
      </c>
      <c r="AD175" s="30"/>
      <c r="AE175" s="30">
        <v>1200</v>
      </c>
    </row>
    <row r="176" spans="1:31" x14ac:dyDescent="0.25">
      <c r="A176">
        <v>1159</v>
      </c>
      <c r="B176" t="s">
        <v>359</v>
      </c>
      <c r="C176" t="s">
        <v>51</v>
      </c>
      <c r="D176" s="33">
        <v>1458</v>
      </c>
      <c r="E176">
        <v>1246148463</v>
      </c>
      <c r="F176" s="222">
        <v>45443</v>
      </c>
      <c r="G176" s="222"/>
      <c r="H176" t="s">
        <v>23</v>
      </c>
      <c r="I176" t="s">
        <v>24</v>
      </c>
      <c r="J176">
        <v>3446</v>
      </c>
      <c r="K176" s="222">
        <v>45415</v>
      </c>
      <c r="L176">
        <v>1010100</v>
      </c>
      <c r="M176" t="s">
        <v>29</v>
      </c>
      <c r="N176">
        <v>730</v>
      </c>
      <c r="O176" s="30">
        <v>0</v>
      </c>
      <c r="P176" s="30">
        <v>1458</v>
      </c>
      <c r="Q176" s="30">
        <v>0</v>
      </c>
      <c r="R176" s="30">
        <v>0</v>
      </c>
      <c r="S176" s="30">
        <v>0</v>
      </c>
      <c r="T176" s="30">
        <v>0</v>
      </c>
      <c r="U176" s="30">
        <v>1458</v>
      </c>
      <c r="V176" s="30">
        <v>0</v>
      </c>
      <c r="W176" s="30">
        <v>43.739999999999995</v>
      </c>
      <c r="X176" s="30">
        <v>1414.26</v>
      </c>
      <c r="Y176" s="30">
        <v>1414.26</v>
      </c>
      <c r="Z176" s="30">
        <v>1458</v>
      </c>
      <c r="AA176" s="30">
        <v>0</v>
      </c>
      <c r="AB176" s="30">
        <v>1458</v>
      </c>
      <c r="AC176" s="30" t="s">
        <v>457</v>
      </c>
      <c r="AD176" s="30"/>
      <c r="AE176" s="30">
        <v>1458</v>
      </c>
    </row>
    <row r="177" spans="1:31" x14ac:dyDescent="0.25">
      <c r="A177">
        <v>452</v>
      </c>
      <c r="B177" t="s">
        <v>491</v>
      </c>
      <c r="C177" t="s">
        <v>39</v>
      </c>
      <c r="D177" s="33">
        <v>1800</v>
      </c>
      <c r="E177">
        <v>1246055195</v>
      </c>
      <c r="F177" s="222">
        <v>44902</v>
      </c>
      <c r="G177" s="222"/>
      <c r="H177" t="s">
        <v>23</v>
      </c>
      <c r="I177" t="s">
        <v>24</v>
      </c>
      <c r="J177">
        <v>1246055195</v>
      </c>
      <c r="K177" s="222">
        <v>44887</v>
      </c>
      <c r="L177">
        <v>3041000</v>
      </c>
      <c r="M177" t="s">
        <v>124</v>
      </c>
      <c r="N177">
        <v>1271</v>
      </c>
      <c r="O177" s="30">
        <v>0</v>
      </c>
      <c r="P177" s="30">
        <v>1800</v>
      </c>
      <c r="Q177" s="30">
        <v>0</v>
      </c>
      <c r="R177" s="30">
        <v>0</v>
      </c>
      <c r="S177" s="30">
        <v>0</v>
      </c>
      <c r="T177" s="30">
        <v>0</v>
      </c>
      <c r="U177" s="30">
        <v>1800</v>
      </c>
      <c r="V177" s="30">
        <v>0</v>
      </c>
      <c r="W177" s="30">
        <v>54</v>
      </c>
      <c r="X177" s="30">
        <v>1746</v>
      </c>
      <c r="Y177" s="30">
        <v>1746</v>
      </c>
      <c r="Z177" s="30">
        <v>1800</v>
      </c>
      <c r="AA177" s="30">
        <v>0</v>
      </c>
      <c r="AB177" s="30">
        <v>1800</v>
      </c>
      <c r="AC177" s="30" t="s">
        <v>457</v>
      </c>
      <c r="AD177" s="30"/>
      <c r="AE177" s="30">
        <v>1800</v>
      </c>
    </row>
    <row r="178" spans="1:31" x14ac:dyDescent="0.25">
      <c r="A178">
        <v>456</v>
      </c>
      <c r="B178" t="s">
        <v>560</v>
      </c>
      <c r="C178" t="s">
        <v>15409</v>
      </c>
      <c r="D178" s="33">
        <v>92887.01</v>
      </c>
      <c r="E178">
        <v>1246275497</v>
      </c>
      <c r="F178" s="222">
        <v>46185</v>
      </c>
      <c r="G178" s="222"/>
      <c r="H178" t="s">
        <v>23</v>
      </c>
      <c r="I178" t="s">
        <v>24</v>
      </c>
      <c r="J178">
        <v>11415</v>
      </c>
      <c r="K178" s="222">
        <v>46157</v>
      </c>
      <c r="L178">
        <v>1010100</v>
      </c>
      <c r="M178" t="s">
        <v>29</v>
      </c>
      <c r="N178">
        <v>-12</v>
      </c>
      <c r="O178" s="30">
        <v>0</v>
      </c>
      <c r="P178" s="30">
        <v>0</v>
      </c>
      <c r="Q178" s="30">
        <v>92887.01</v>
      </c>
      <c r="R178" s="30">
        <v>0</v>
      </c>
      <c r="S178" s="30">
        <v>0</v>
      </c>
      <c r="T178" s="30">
        <v>0</v>
      </c>
      <c r="U178" s="30">
        <v>0</v>
      </c>
      <c r="V178" s="30">
        <v>0</v>
      </c>
      <c r="W178" s="30">
        <v>0</v>
      </c>
      <c r="X178" s="30">
        <v>0</v>
      </c>
      <c r="Y178" s="30">
        <v>0</v>
      </c>
      <c r="Z178" s="30">
        <v>0</v>
      </c>
      <c r="AA178" s="30">
        <v>0</v>
      </c>
      <c r="AB178" s="30">
        <v>0</v>
      </c>
      <c r="AC178" s="30" t="s">
        <v>407</v>
      </c>
      <c r="AD178" s="30"/>
      <c r="AE178" s="30">
        <v>0</v>
      </c>
    </row>
    <row r="179" spans="1:31" x14ac:dyDescent="0.25">
      <c r="A179">
        <v>456</v>
      </c>
      <c r="B179" t="s">
        <v>560</v>
      </c>
      <c r="C179" t="s">
        <v>15409</v>
      </c>
      <c r="D179" s="33">
        <v>130041.81</v>
      </c>
      <c r="E179">
        <v>1246275916</v>
      </c>
      <c r="F179" s="222">
        <v>46190</v>
      </c>
      <c r="G179" s="222"/>
      <c r="H179" t="s">
        <v>23</v>
      </c>
      <c r="I179" t="s">
        <v>24</v>
      </c>
      <c r="J179">
        <v>11449</v>
      </c>
      <c r="K179" s="222">
        <v>46162</v>
      </c>
      <c r="L179">
        <v>1010100</v>
      </c>
      <c r="M179" t="s">
        <v>29</v>
      </c>
      <c r="N179">
        <v>-17</v>
      </c>
      <c r="O179" s="30">
        <v>0</v>
      </c>
      <c r="P179" s="30">
        <v>0</v>
      </c>
      <c r="Q179" s="30">
        <v>130041.81</v>
      </c>
      <c r="R179" s="30">
        <v>0</v>
      </c>
      <c r="S179" s="30">
        <v>0</v>
      </c>
      <c r="T179" s="30">
        <v>0</v>
      </c>
      <c r="U179" s="30">
        <v>0</v>
      </c>
      <c r="V179" s="30">
        <v>0</v>
      </c>
      <c r="W179" s="30">
        <v>0</v>
      </c>
      <c r="X179" s="30">
        <v>0</v>
      </c>
      <c r="Y179" s="30">
        <v>0</v>
      </c>
      <c r="Z179" s="30">
        <v>0</v>
      </c>
      <c r="AA179" s="30">
        <v>0</v>
      </c>
      <c r="AB179" s="30">
        <v>0</v>
      </c>
      <c r="AC179" s="30" t="s">
        <v>407</v>
      </c>
      <c r="AD179" s="30"/>
      <c r="AE179" s="30">
        <v>0</v>
      </c>
    </row>
    <row r="180" spans="1:31" x14ac:dyDescent="0.25">
      <c r="A180">
        <v>3232</v>
      </c>
      <c r="B180" t="s">
        <v>450</v>
      </c>
      <c r="C180" t="s">
        <v>409</v>
      </c>
      <c r="D180" s="33">
        <v>170582.1</v>
      </c>
      <c r="E180">
        <v>1246270155</v>
      </c>
      <c r="F180" s="222">
        <v>46174</v>
      </c>
      <c r="G180" s="222">
        <v>46174</v>
      </c>
      <c r="H180" t="s">
        <v>23</v>
      </c>
      <c r="I180" t="s">
        <v>24</v>
      </c>
      <c r="J180">
        <v>11044</v>
      </c>
      <c r="K180" s="222">
        <v>46114</v>
      </c>
      <c r="L180">
        <v>1010100</v>
      </c>
      <c r="M180" t="s">
        <v>29</v>
      </c>
      <c r="N180">
        <v>-1</v>
      </c>
      <c r="O180" s="30">
        <v>0</v>
      </c>
      <c r="P180" s="30">
        <v>0</v>
      </c>
      <c r="Q180" s="30">
        <v>170582.1</v>
      </c>
      <c r="R180" s="30">
        <v>0</v>
      </c>
      <c r="S180" s="30">
        <v>0</v>
      </c>
      <c r="T180" s="30">
        <v>0</v>
      </c>
      <c r="U180" s="30">
        <v>0</v>
      </c>
      <c r="V180" s="30">
        <v>0</v>
      </c>
      <c r="W180" s="30">
        <v>0</v>
      </c>
      <c r="X180" s="30">
        <v>0</v>
      </c>
      <c r="Y180" s="30">
        <v>0</v>
      </c>
      <c r="Z180" s="30">
        <v>0</v>
      </c>
      <c r="AA180" s="30">
        <v>0</v>
      </c>
      <c r="AB180" s="30">
        <v>0</v>
      </c>
      <c r="AC180" s="30" t="s">
        <v>407</v>
      </c>
      <c r="AD180" s="30"/>
      <c r="AE180" s="30">
        <v>0</v>
      </c>
    </row>
    <row r="181" spans="1:31" x14ac:dyDescent="0.25">
      <c r="A181">
        <v>3232</v>
      </c>
      <c r="B181" t="s">
        <v>450</v>
      </c>
      <c r="C181" t="s">
        <v>409</v>
      </c>
      <c r="D181" s="33">
        <v>172186.49999999997</v>
      </c>
      <c r="E181">
        <v>1246274879</v>
      </c>
      <c r="F181" s="222">
        <v>46215</v>
      </c>
      <c r="G181" s="222"/>
      <c r="H181" t="s">
        <v>23</v>
      </c>
      <c r="I181" t="s">
        <v>24</v>
      </c>
      <c r="J181">
        <v>11385</v>
      </c>
      <c r="K181" s="222">
        <v>46155</v>
      </c>
      <c r="L181">
        <v>1010100</v>
      </c>
      <c r="M181" t="s">
        <v>29</v>
      </c>
      <c r="N181">
        <v>-42</v>
      </c>
      <c r="O181" s="30">
        <v>0</v>
      </c>
      <c r="P181" s="30">
        <v>0</v>
      </c>
      <c r="Q181" s="30">
        <v>172186.49999999997</v>
      </c>
      <c r="R181" s="30">
        <v>0</v>
      </c>
      <c r="S181" s="30">
        <v>0</v>
      </c>
      <c r="T181" s="30">
        <v>0</v>
      </c>
      <c r="U181" s="30">
        <v>0</v>
      </c>
      <c r="V181" s="30">
        <v>0</v>
      </c>
      <c r="W181" s="30">
        <v>0</v>
      </c>
      <c r="X181" s="30">
        <v>0</v>
      </c>
      <c r="Y181" s="30">
        <v>0</v>
      </c>
      <c r="Z181" s="30">
        <v>0</v>
      </c>
      <c r="AA181" s="30">
        <v>0</v>
      </c>
      <c r="AB181" s="30">
        <v>0</v>
      </c>
      <c r="AC181" s="30" t="s">
        <v>407</v>
      </c>
      <c r="AD181" s="30"/>
      <c r="AE181" s="30">
        <v>0</v>
      </c>
    </row>
    <row r="182" spans="1:31" x14ac:dyDescent="0.25">
      <c r="A182">
        <v>3232</v>
      </c>
      <c r="B182" t="s">
        <v>450</v>
      </c>
      <c r="C182" t="s">
        <v>409</v>
      </c>
      <c r="D182" s="33">
        <v>169206.9</v>
      </c>
      <c r="E182">
        <v>1246270989</v>
      </c>
      <c r="F182" s="222">
        <v>46182</v>
      </c>
      <c r="G182" s="222"/>
      <c r="H182" t="s">
        <v>23</v>
      </c>
      <c r="I182" t="s">
        <v>24</v>
      </c>
      <c r="J182">
        <v>11091</v>
      </c>
      <c r="K182" s="222">
        <v>46122</v>
      </c>
      <c r="L182">
        <v>1010100</v>
      </c>
      <c r="M182" t="s">
        <v>29</v>
      </c>
      <c r="N182">
        <v>-9</v>
      </c>
      <c r="O182" s="30">
        <v>0</v>
      </c>
      <c r="P182" s="30">
        <v>0</v>
      </c>
      <c r="Q182" s="30">
        <v>169206.9</v>
      </c>
      <c r="R182" s="30">
        <v>0</v>
      </c>
      <c r="S182" s="30">
        <v>0</v>
      </c>
      <c r="T182" s="30">
        <v>0</v>
      </c>
      <c r="U182" s="30">
        <v>0</v>
      </c>
      <c r="V182" s="30">
        <v>0</v>
      </c>
      <c r="W182" s="30">
        <v>0</v>
      </c>
      <c r="X182" s="30">
        <v>0</v>
      </c>
      <c r="Y182" s="30">
        <v>0</v>
      </c>
      <c r="Z182" s="30">
        <v>0</v>
      </c>
      <c r="AA182" s="30">
        <v>0</v>
      </c>
      <c r="AB182" s="30">
        <v>0</v>
      </c>
      <c r="AC182" s="30" t="s">
        <v>407</v>
      </c>
      <c r="AD182" s="30"/>
      <c r="AE182" s="30">
        <v>0</v>
      </c>
    </row>
    <row r="183" spans="1:31" x14ac:dyDescent="0.25">
      <c r="A183">
        <v>3232</v>
      </c>
      <c r="B183" t="s">
        <v>450</v>
      </c>
      <c r="C183" t="s">
        <v>409</v>
      </c>
      <c r="D183" s="33">
        <v>158950.20000000001</v>
      </c>
      <c r="E183">
        <v>1246273469</v>
      </c>
      <c r="F183" s="222">
        <v>46206</v>
      </c>
      <c r="G183" s="222"/>
      <c r="H183" t="s">
        <v>23</v>
      </c>
      <c r="I183" t="s">
        <v>24</v>
      </c>
      <c r="J183">
        <v>11289</v>
      </c>
      <c r="K183" s="222">
        <v>46146</v>
      </c>
      <c r="L183">
        <v>1010100</v>
      </c>
      <c r="M183" t="s">
        <v>29</v>
      </c>
      <c r="N183">
        <v>-33</v>
      </c>
      <c r="O183" s="30">
        <v>0</v>
      </c>
      <c r="P183" s="30">
        <v>0</v>
      </c>
      <c r="Q183" s="30">
        <v>158950.20000000001</v>
      </c>
      <c r="R183" s="30">
        <v>0</v>
      </c>
      <c r="S183" s="30">
        <v>0</v>
      </c>
      <c r="T183" s="30">
        <v>0</v>
      </c>
      <c r="U183" s="30">
        <v>0</v>
      </c>
      <c r="V183" s="30">
        <v>0</v>
      </c>
      <c r="W183" s="30">
        <v>0</v>
      </c>
      <c r="X183" s="30">
        <v>0</v>
      </c>
      <c r="Y183" s="30">
        <v>0</v>
      </c>
      <c r="Z183" s="30">
        <v>0</v>
      </c>
      <c r="AA183" s="30">
        <v>0</v>
      </c>
      <c r="AB183" s="30">
        <v>0</v>
      </c>
      <c r="AC183" s="30" t="s">
        <v>407</v>
      </c>
      <c r="AD183" s="30"/>
      <c r="AE183" s="30">
        <v>0</v>
      </c>
    </row>
    <row r="184" spans="1:31" x14ac:dyDescent="0.25">
      <c r="A184">
        <v>3232</v>
      </c>
      <c r="B184" t="s">
        <v>450</v>
      </c>
      <c r="C184" t="s">
        <v>409</v>
      </c>
      <c r="D184" s="33">
        <v>180596</v>
      </c>
      <c r="E184">
        <v>1246277369</v>
      </c>
      <c r="F184" s="222">
        <v>46231</v>
      </c>
      <c r="G184" s="222"/>
      <c r="H184" t="s">
        <v>23</v>
      </c>
      <c r="I184" t="s">
        <v>24</v>
      </c>
      <c r="J184">
        <v>11548</v>
      </c>
      <c r="K184" s="222">
        <v>46171</v>
      </c>
      <c r="L184">
        <v>1010100</v>
      </c>
      <c r="M184" t="s">
        <v>29</v>
      </c>
      <c r="N184">
        <v>-58</v>
      </c>
      <c r="O184" s="30">
        <v>0</v>
      </c>
      <c r="P184" s="30">
        <v>0</v>
      </c>
      <c r="Q184" s="30">
        <v>180596</v>
      </c>
      <c r="R184" s="30">
        <v>0</v>
      </c>
      <c r="S184" s="30">
        <v>0</v>
      </c>
      <c r="T184" s="30">
        <v>0</v>
      </c>
      <c r="U184" s="30">
        <v>0</v>
      </c>
      <c r="V184" s="30">
        <v>0</v>
      </c>
      <c r="W184" s="30">
        <v>0</v>
      </c>
      <c r="X184" s="30">
        <v>0</v>
      </c>
      <c r="Y184" s="30">
        <v>0</v>
      </c>
      <c r="Z184" s="30">
        <v>0</v>
      </c>
      <c r="AA184" s="30">
        <v>0</v>
      </c>
      <c r="AB184" s="30">
        <v>0</v>
      </c>
      <c r="AC184" s="30" t="s">
        <v>407</v>
      </c>
      <c r="AD184" s="30"/>
      <c r="AE184" s="30">
        <v>0</v>
      </c>
    </row>
    <row r="185" spans="1:31" x14ac:dyDescent="0.25">
      <c r="A185">
        <v>2603</v>
      </c>
      <c r="B185" t="s">
        <v>431</v>
      </c>
      <c r="C185" t="s">
        <v>72</v>
      </c>
      <c r="D185" s="33">
        <v>4522.16</v>
      </c>
      <c r="E185">
        <v>1246097965</v>
      </c>
      <c r="F185" s="222">
        <v>45152</v>
      </c>
      <c r="G185" s="222"/>
      <c r="H185" t="s">
        <v>23</v>
      </c>
      <c r="I185" t="s">
        <v>24</v>
      </c>
      <c r="J185">
        <v>21713</v>
      </c>
      <c r="K185" s="222">
        <v>45092</v>
      </c>
      <c r="L185">
        <v>1010100</v>
      </c>
      <c r="M185" t="s">
        <v>29</v>
      </c>
      <c r="N185">
        <v>1021</v>
      </c>
      <c r="O185" s="30">
        <v>0</v>
      </c>
      <c r="P185" s="30">
        <v>4522.1599999999989</v>
      </c>
      <c r="Q185" s="30">
        <v>0</v>
      </c>
      <c r="R185" s="30">
        <v>0</v>
      </c>
      <c r="S185" s="30">
        <v>0</v>
      </c>
      <c r="T185" s="30">
        <v>0</v>
      </c>
      <c r="U185" s="30">
        <v>4522.16</v>
      </c>
      <c r="V185" s="30">
        <v>0</v>
      </c>
      <c r="W185" s="30">
        <v>135.66479999999999</v>
      </c>
      <c r="X185" s="30">
        <v>4386.4951999999994</v>
      </c>
      <c r="Y185" s="30">
        <v>4386.4951999999994</v>
      </c>
      <c r="Z185" s="30">
        <v>4522.16</v>
      </c>
      <c r="AA185" s="30">
        <v>0</v>
      </c>
      <c r="AB185" s="30">
        <v>4522.1599999999989</v>
      </c>
      <c r="AC185" s="30" t="s">
        <v>457</v>
      </c>
      <c r="AD185" s="30"/>
      <c r="AE185" s="30">
        <v>4522.1599999999989</v>
      </c>
    </row>
    <row r="186" spans="1:31" x14ac:dyDescent="0.25">
      <c r="A186">
        <v>2603</v>
      </c>
      <c r="B186" t="s">
        <v>431</v>
      </c>
      <c r="C186" t="s">
        <v>72</v>
      </c>
      <c r="D186" s="33">
        <v>241850</v>
      </c>
      <c r="E186">
        <v>1246273467</v>
      </c>
      <c r="F186" s="222">
        <v>46236</v>
      </c>
      <c r="G186" s="222"/>
      <c r="H186" t="s">
        <v>23</v>
      </c>
      <c r="I186" t="s">
        <v>24</v>
      </c>
      <c r="J186">
        <v>2903</v>
      </c>
      <c r="K186" s="222">
        <v>46146</v>
      </c>
      <c r="L186">
        <v>1010100</v>
      </c>
      <c r="M186" t="s">
        <v>29</v>
      </c>
      <c r="N186">
        <v>-63</v>
      </c>
      <c r="O186" s="30">
        <v>0</v>
      </c>
      <c r="P186" s="30">
        <v>0</v>
      </c>
      <c r="Q186" s="30">
        <v>241850</v>
      </c>
      <c r="R186" s="30">
        <v>0</v>
      </c>
      <c r="S186" s="30">
        <v>0</v>
      </c>
      <c r="T186" s="30">
        <v>0</v>
      </c>
      <c r="U186" s="30">
        <v>0</v>
      </c>
      <c r="V186" s="30">
        <v>0</v>
      </c>
      <c r="W186" s="30">
        <v>0</v>
      </c>
      <c r="X186" s="30">
        <v>0</v>
      </c>
      <c r="Y186" s="30">
        <v>0</v>
      </c>
      <c r="Z186" s="30">
        <v>0</v>
      </c>
      <c r="AA186" s="30">
        <v>0</v>
      </c>
      <c r="AB186" s="30">
        <v>0</v>
      </c>
      <c r="AC186" s="30" t="s">
        <v>457</v>
      </c>
      <c r="AD186" s="30"/>
      <c r="AE186" s="30">
        <v>0</v>
      </c>
    </row>
    <row r="187" spans="1:31" x14ac:dyDescent="0.25">
      <c r="A187">
        <v>2559</v>
      </c>
      <c r="B187" t="s">
        <v>431</v>
      </c>
      <c r="C187" t="s">
        <v>69</v>
      </c>
      <c r="D187" s="33">
        <v>1200</v>
      </c>
      <c r="E187">
        <v>1246203587</v>
      </c>
      <c r="F187" s="222">
        <v>45750</v>
      </c>
      <c r="G187" s="222"/>
      <c r="H187" t="s">
        <v>23</v>
      </c>
      <c r="I187" t="s">
        <v>24</v>
      </c>
      <c r="J187">
        <v>1246203587</v>
      </c>
      <c r="K187" s="222">
        <v>45735</v>
      </c>
      <c r="L187">
        <v>3041000</v>
      </c>
      <c r="M187" t="s">
        <v>124</v>
      </c>
      <c r="N187">
        <v>423</v>
      </c>
      <c r="O187" s="30">
        <v>0</v>
      </c>
      <c r="P187" s="30">
        <v>1200</v>
      </c>
      <c r="Q187" s="30">
        <v>0</v>
      </c>
      <c r="R187" s="30">
        <v>0</v>
      </c>
      <c r="S187" s="30">
        <v>0</v>
      </c>
      <c r="T187" s="30">
        <v>0</v>
      </c>
      <c r="U187" s="30">
        <v>1200</v>
      </c>
      <c r="V187" s="30">
        <v>0</v>
      </c>
      <c r="W187" s="30">
        <v>36</v>
      </c>
      <c r="X187" s="30">
        <v>1164</v>
      </c>
      <c r="Y187" s="30">
        <v>1164</v>
      </c>
      <c r="Z187" s="30">
        <v>1200</v>
      </c>
      <c r="AA187" s="30">
        <v>0</v>
      </c>
      <c r="AB187" s="30">
        <v>1200</v>
      </c>
      <c r="AC187" s="30" t="s">
        <v>457</v>
      </c>
      <c r="AD187" s="30"/>
      <c r="AE187" s="30">
        <v>1200</v>
      </c>
    </row>
    <row r="188" spans="1:31" x14ac:dyDescent="0.25">
      <c r="A188">
        <v>2559</v>
      </c>
      <c r="B188" t="s">
        <v>431</v>
      </c>
      <c r="C188" t="s">
        <v>69</v>
      </c>
      <c r="D188" s="33">
        <v>7200</v>
      </c>
      <c r="E188">
        <v>1246203586</v>
      </c>
      <c r="F188" s="222">
        <v>45750</v>
      </c>
      <c r="G188" s="222"/>
      <c r="H188" t="s">
        <v>23</v>
      </c>
      <c r="I188" t="s">
        <v>24</v>
      </c>
      <c r="J188">
        <v>1246203586</v>
      </c>
      <c r="K188" s="222">
        <v>45735</v>
      </c>
      <c r="L188">
        <v>3041000</v>
      </c>
      <c r="M188" t="s">
        <v>124</v>
      </c>
      <c r="N188">
        <v>423</v>
      </c>
      <c r="O188" s="30">
        <v>0</v>
      </c>
      <c r="P188" s="30">
        <v>7200</v>
      </c>
      <c r="Q188" s="30">
        <v>0</v>
      </c>
      <c r="R188" s="30">
        <v>0</v>
      </c>
      <c r="S188" s="30">
        <v>0</v>
      </c>
      <c r="T188" s="30">
        <v>0</v>
      </c>
      <c r="U188" s="30">
        <v>7200</v>
      </c>
      <c r="V188" s="30">
        <v>0</v>
      </c>
      <c r="W188" s="30">
        <v>216</v>
      </c>
      <c r="X188" s="30">
        <v>6984</v>
      </c>
      <c r="Y188" s="30">
        <v>6984</v>
      </c>
      <c r="Z188" s="30">
        <v>7200</v>
      </c>
      <c r="AA188" s="30">
        <v>0</v>
      </c>
      <c r="AB188" s="30">
        <v>7200</v>
      </c>
      <c r="AC188" s="30" t="s">
        <v>457</v>
      </c>
      <c r="AD188" s="30"/>
      <c r="AE188" s="30">
        <v>7200</v>
      </c>
    </row>
    <row r="189" spans="1:31" x14ac:dyDescent="0.25">
      <c r="A189">
        <v>2559</v>
      </c>
      <c r="B189" t="s">
        <v>431</v>
      </c>
      <c r="C189" t="s">
        <v>69</v>
      </c>
      <c r="D189" s="33">
        <v>1200</v>
      </c>
      <c r="E189">
        <v>1246203585</v>
      </c>
      <c r="F189" s="222">
        <v>45750</v>
      </c>
      <c r="G189" s="222"/>
      <c r="H189" t="s">
        <v>23</v>
      </c>
      <c r="I189" t="s">
        <v>24</v>
      </c>
      <c r="J189">
        <v>1246203585</v>
      </c>
      <c r="K189" s="222">
        <v>45735</v>
      </c>
      <c r="L189">
        <v>3041000</v>
      </c>
      <c r="M189" t="s">
        <v>124</v>
      </c>
      <c r="N189">
        <v>423</v>
      </c>
      <c r="O189" s="30">
        <v>0</v>
      </c>
      <c r="P189" s="30">
        <v>1200</v>
      </c>
      <c r="Q189" s="30">
        <v>0</v>
      </c>
      <c r="R189" s="30">
        <v>0</v>
      </c>
      <c r="S189" s="30">
        <v>0</v>
      </c>
      <c r="T189" s="30">
        <v>0</v>
      </c>
      <c r="U189" s="30">
        <v>1200</v>
      </c>
      <c r="V189" s="30">
        <v>0</v>
      </c>
      <c r="W189" s="30">
        <v>36</v>
      </c>
      <c r="X189" s="30">
        <v>1164</v>
      </c>
      <c r="Y189" s="30">
        <v>1164</v>
      </c>
      <c r="Z189" s="30">
        <v>1200</v>
      </c>
      <c r="AA189" s="30">
        <v>0</v>
      </c>
      <c r="AB189" s="30">
        <v>1200</v>
      </c>
      <c r="AC189" s="30" t="s">
        <v>457</v>
      </c>
      <c r="AD189" s="30"/>
      <c r="AE189" s="30">
        <v>1200</v>
      </c>
    </row>
    <row r="190" spans="1:31" x14ac:dyDescent="0.25">
      <c r="A190">
        <v>2559</v>
      </c>
      <c r="B190" t="s">
        <v>431</v>
      </c>
      <c r="C190" t="s">
        <v>69</v>
      </c>
      <c r="D190" s="33">
        <v>193644</v>
      </c>
      <c r="E190">
        <v>1246275400</v>
      </c>
      <c r="F190" s="222">
        <v>46247</v>
      </c>
      <c r="G190" s="222"/>
      <c r="H190" t="s">
        <v>23</v>
      </c>
      <c r="I190" t="s">
        <v>24</v>
      </c>
      <c r="J190">
        <v>11409</v>
      </c>
      <c r="K190" s="222">
        <v>46157</v>
      </c>
      <c r="L190">
        <v>1010100</v>
      </c>
      <c r="M190" t="s">
        <v>29</v>
      </c>
      <c r="N190">
        <v>-74</v>
      </c>
      <c r="O190" s="30">
        <v>0</v>
      </c>
      <c r="P190" s="30">
        <v>0</v>
      </c>
      <c r="Q190" s="30">
        <v>193644</v>
      </c>
      <c r="R190" s="30">
        <v>0</v>
      </c>
      <c r="S190" s="30">
        <v>0</v>
      </c>
      <c r="T190" s="30">
        <v>0</v>
      </c>
      <c r="U190" s="30">
        <v>0</v>
      </c>
      <c r="V190" s="30">
        <v>0</v>
      </c>
      <c r="W190" s="30">
        <v>0</v>
      </c>
      <c r="X190" s="30">
        <v>0</v>
      </c>
      <c r="Y190" s="30">
        <v>0</v>
      </c>
      <c r="Z190" s="30">
        <v>0</v>
      </c>
      <c r="AA190" s="30">
        <v>0</v>
      </c>
      <c r="AB190" s="30">
        <v>0</v>
      </c>
      <c r="AC190" s="30" t="s">
        <v>457</v>
      </c>
      <c r="AD190" s="30"/>
      <c r="AE190" s="30">
        <v>0</v>
      </c>
    </row>
    <row r="191" spans="1:31" x14ac:dyDescent="0.25">
      <c r="A191">
        <v>2559</v>
      </c>
      <c r="B191" t="s">
        <v>431</v>
      </c>
      <c r="C191" t="s">
        <v>69</v>
      </c>
      <c r="D191" s="33">
        <v>78390</v>
      </c>
      <c r="E191">
        <v>1246270082</v>
      </c>
      <c r="F191" s="222">
        <v>46204</v>
      </c>
      <c r="G191" s="222"/>
      <c r="H191" t="s">
        <v>23</v>
      </c>
      <c r="I191" t="s">
        <v>24</v>
      </c>
      <c r="J191">
        <v>11033</v>
      </c>
      <c r="K191" s="222">
        <v>46114</v>
      </c>
      <c r="L191">
        <v>1010100</v>
      </c>
      <c r="M191" t="s">
        <v>29</v>
      </c>
      <c r="N191">
        <v>-31</v>
      </c>
      <c r="O191" s="30">
        <v>0</v>
      </c>
      <c r="P191" s="30">
        <v>0</v>
      </c>
      <c r="Q191" s="30">
        <v>78390</v>
      </c>
      <c r="R191" s="30">
        <v>0</v>
      </c>
      <c r="S191" s="30">
        <v>0</v>
      </c>
      <c r="T191" s="30">
        <v>0</v>
      </c>
      <c r="U191" s="30">
        <v>0</v>
      </c>
      <c r="V191" s="30">
        <v>0</v>
      </c>
      <c r="W191" s="30">
        <v>0</v>
      </c>
      <c r="X191" s="30">
        <v>0</v>
      </c>
      <c r="Y191" s="30">
        <v>0</v>
      </c>
      <c r="Z191" s="30">
        <v>0</v>
      </c>
      <c r="AA191" s="30">
        <v>0</v>
      </c>
      <c r="AB191" s="30">
        <v>0</v>
      </c>
      <c r="AC191" s="30" t="s">
        <v>457</v>
      </c>
      <c r="AD191" s="30"/>
      <c r="AE191" s="30">
        <v>0</v>
      </c>
    </row>
    <row r="192" spans="1:31" x14ac:dyDescent="0.25">
      <c r="A192">
        <v>2559</v>
      </c>
      <c r="B192" t="s">
        <v>431</v>
      </c>
      <c r="C192" t="s">
        <v>69</v>
      </c>
      <c r="D192" s="33">
        <v>195730.4</v>
      </c>
      <c r="E192">
        <v>1246271698</v>
      </c>
      <c r="F192" s="222">
        <v>46219</v>
      </c>
      <c r="G192" s="222"/>
      <c r="H192" t="s">
        <v>23</v>
      </c>
      <c r="I192" t="s">
        <v>24</v>
      </c>
      <c r="J192">
        <v>11159</v>
      </c>
      <c r="K192" s="222">
        <v>46129</v>
      </c>
      <c r="L192">
        <v>1010100</v>
      </c>
      <c r="M192" t="s">
        <v>29</v>
      </c>
      <c r="N192">
        <v>-46</v>
      </c>
      <c r="O192" s="30">
        <v>0</v>
      </c>
      <c r="P192" s="30">
        <v>0</v>
      </c>
      <c r="Q192" s="30">
        <v>195730.4</v>
      </c>
      <c r="R192" s="30">
        <v>0</v>
      </c>
      <c r="S192" s="30">
        <v>0</v>
      </c>
      <c r="T192" s="30">
        <v>0</v>
      </c>
      <c r="U192" s="30">
        <v>0</v>
      </c>
      <c r="V192" s="30">
        <v>0</v>
      </c>
      <c r="W192" s="30">
        <v>0</v>
      </c>
      <c r="X192" s="30">
        <v>0</v>
      </c>
      <c r="Y192" s="30">
        <v>0</v>
      </c>
      <c r="Z192" s="30">
        <v>0</v>
      </c>
      <c r="AA192" s="30">
        <v>0</v>
      </c>
      <c r="AB192" s="30">
        <v>0</v>
      </c>
      <c r="AC192" s="30" t="s">
        <v>457</v>
      </c>
      <c r="AD192" s="30"/>
      <c r="AE192" s="30">
        <v>0</v>
      </c>
    </row>
    <row r="193" spans="1:31" x14ac:dyDescent="0.25">
      <c r="A193">
        <v>2559</v>
      </c>
      <c r="B193" t="s">
        <v>431</v>
      </c>
      <c r="C193" t="s">
        <v>69</v>
      </c>
      <c r="D193" s="33">
        <v>90758.399999999994</v>
      </c>
      <c r="E193">
        <v>1246272595</v>
      </c>
      <c r="F193" s="222">
        <v>46226</v>
      </c>
      <c r="G193" s="222"/>
      <c r="H193" t="s">
        <v>23</v>
      </c>
      <c r="I193" t="s">
        <v>24</v>
      </c>
      <c r="J193">
        <v>11219</v>
      </c>
      <c r="K193" s="222">
        <v>46136</v>
      </c>
      <c r="L193">
        <v>1010100</v>
      </c>
      <c r="M193" t="s">
        <v>29</v>
      </c>
      <c r="N193">
        <v>-53</v>
      </c>
      <c r="O193" s="30">
        <v>0</v>
      </c>
      <c r="P193" s="30">
        <v>0</v>
      </c>
      <c r="Q193" s="30">
        <v>90758.399999999994</v>
      </c>
      <c r="R193" s="30">
        <v>0</v>
      </c>
      <c r="S193" s="30">
        <v>0</v>
      </c>
      <c r="T193" s="30">
        <v>0</v>
      </c>
      <c r="U193" s="30">
        <v>0</v>
      </c>
      <c r="V193" s="30">
        <v>0</v>
      </c>
      <c r="W193" s="30">
        <v>0</v>
      </c>
      <c r="X193" s="30">
        <v>0</v>
      </c>
      <c r="Y193" s="30">
        <v>0</v>
      </c>
      <c r="Z193" s="30">
        <v>0</v>
      </c>
      <c r="AA193" s="30">
        <v>0</v>
      </c>
      <c r="AB193" s="30">
        <v>0</v>
      </c>
      <c r="AC193" s="30" t="s">
        <v>457</v>
      </c>
      <c r="AD193" s="30"/>
      <c r="AE193" s="30">
        <v>0</v>
      </c>
    </row>
    <row r="194" spans="1:31" x14ac:dyDescent="0.25">
      <c r="A194">
        <v>2559</v>
      </c>
      <c r="B194" t="s">
        <v>431</v>
      </c>
      <c r="C194" t="s">
        <v>69</v>
      </c>
      <c r="D194" s="33">
        <v>195339.2</v>
      </c>
      <c r="E194">
        <v>1246274052</v>
      </c>
      <c r="F194" s="222">
        <v>46240</v>
      </c>
      <c r="G194" s="222"/>
      <c r="H194" t="s">
        <v>23</v>
      </c>
      <c r="I194" t="s">
        <v>24</v>
      </c>
      <c r="J194">
        <v>11328</v>
      </c>
      <c r="K194" s="222">
        <v>46150</v>
      </c>
      <c r="L194">
        <v>1010100</v>
      </c>
      <c r="M194" t="s">
        <v>29</v>
      </c>
      <c r="N194">
        <v>-67</v>
      </c>
      <c r="O194" s="30">
        <v>0</v>
      </c>
      <c r="P194" s="30">
        <v>0</v>
      </c>
      <c r="Q194" s="30">
        <v>195339.2</v>
      </c>
      <c r="R194" s="30">
        <v>0</v>
      </c>
      <c r="S194" s="30">
        <v>0</v>
      </c>
      <c r="T194" s="30">
        <v>0</v>
      </c>
      <c r="U194" s="30">
        <v>0</v>
      </c>
      <c r="V194" s="30">
        <v>0</v>
      </c>
      <c r="W194" s="30">
        <v>0</v>
      </c>
      <c r="X194" s="30">
        <v>0</v>
      </c>
      <c r="Y194" s="30">
        <v>0</v>
      </c>
      <c r="Z194" s="30">
        <v>0</v>
      </c>
      <c r="AA194" s="30">
        <v>0</v>
      </c>
      <c r="AB194" s="30">
        <v>0</v>
      </c>
      <c r="AC194" s="30" t="s">
        <v>457</v>
      </c>
      <c r="AD194" s="30"/>
      <c r="AE194" s="30">
        <v>0</v>
      </c>
    </row>
    <row r="195" spans="1:31" x14ac:dyDescent="0.25">
      <c r="A195">
        <v>2559</v>
      </c>
      <c r="B195" t="s">
        <v>431</v>
      </c>
      <c r="C195" t="s">
        <v>69</v>
      </c>
      <c r="D195" s="33">
        <v>193774.4</v>
      </c>
      <c r="E195">
        <v>1246277504</v>
      </c>
      <c r="F195" s="222">
        <v>46261</v>
      </c>
      <c r="G195" s="222"/>
      <c r="H195" t="s">
        <v>23</v>
      </c>
      <c r="I195" t="s">
        <v>24</v>
      </c>
      <c r="J195">
        <v>11560</v>
      </c>
      <c r="K195" s="222">
        <v>46171</v>
      </c>
      <c r="L195">
        <v>1010100</v>
      </c>
      <c r="M195" t="s">
        <v>29</v>
      </c>
      <c r="N195">
        <v>-88</v>
      </c>
      <c r="O195" s="30">
        <v>0</v>
      </c>
      <c r="P195" s="30">
        <v>0</v>
      </c>
      <c r="Q195" s="30">
        <v>193774.4</v>
      </c>
      <c r="R195" s="30">
        <v>0</v>
      </c>
      <c r="S195" s="30">
        <v>0</v>
      </c>
      <c r="T195" s="30">
        <v>0</v>
      </c>
      <c r="U195" s="30">
        <v>0</v>
      </c>
      <c r="V195" s="30">
        <v>0</v>
      </c>
      <c r="W195" s="30">
        <v>0</v>
      </c>
      <c r="X195" s="30">
        <v>0</v>
      </c>
      <c r="Y195" s="30">
        <v>0</v>
      </c>
      <c r="Z195" s="30">
        <v>0</v>
      </c>
      <c r="AA195" s="30">
        <v>0</v>
      </c>
      <c r="AB195" s="30">
        <v>0</v>
      </c>
      <c r="AC195" s="30" t="s">
        <v>457</v>
      </c>
      <c r="AD195" s="30"/>
      <c r="AE195" s="30">
        <v>0</v>
      </c>
    </row>
    <row r="196" spans="1:31" x14ac:dyDescent="0.25">
      <c r="A196">
        <v>2559</v>
      </c>
      <c r="B196" t="s">
        <v>431</v>
      </c>
      <c r="C196" t="s">
        <v>69</v>
      </c>
      <c r="D196" s="33">
        <v>6000</v>
      </c>
      <c r="E196">
        <v>1246244748</v>
      </c>
      <c r="F196" s="222">
        <v>45968</v>
      </c>
      <c r="G196" s="222"/>
      <c r="H196" t="s">
        <v>23</v>
      </c>
      <c r="I196" t="s">
        <v>24</v>
      </c>
      <c r="J196">
        <v>1246244748</v>
      </c>
      <c r="K196" s="222">
        <v>45953</v>
      </c>
      <c r="L196">
        <v>3041000</v>
      </c>
      <c r="M196" t="s">
        <v>124</v>
      </c>
      <c r="N196">
        <v>205</v>
      </c>
      <c r="O196" s="30">
        <v>0</v>
      </c>
      <c r="P196" s="30">
        <v>180</v>
      </c>
      <c r="Q196" s="30">
        <v>0</v>
      </c>
      <c r="R196" s="30">
        <v>0</v>
      </c>
      <c r="S196" s="30">
        <v>0</v>
      </c>
      <c r="T196" s="30">
        <v>6000</v>
      </c>
      <c r="U196" s="30">
        <v>0</v>
      </c>
      <c r="V196" s="30">
        <v>0</v>
      </c>
      <c r="W196" s="30">
        <v>180</v>
      </c>
      <c r="X196" s="30">
        <v>0</v>
      </c>
      <c r="Y196" s="30">
        <v>0</v>
      </c>
      <c r="Z196" s="30">
        <v>6000</v>
      </c>
      <c r="AA196" s="30">
        <v>0</v>
      </c>
      <c r="AB196" s="30">
        <v>180</v>
      </c>
      <c r="AC196" s="30" t="s">
        <v>457</v>
      </c>
      <c r="AD196" s="30"/>
      <c r="AE196" s="30">
        <v>180</v>
      </c>
    </row>
    <row r="197" spans="1:31" x14ac:dyDescent="0.25">
      <c r="A197">
        <v>6124</v>
      </c>
      <c r="B197" t="s">
        <v>431</v>
      </c>
      <c r="C197" t="s">
        <v>85</v>
      </c>
      <c r="D197" s="33">
        <v>54919.6</v>
      </c>
      <c r="E197">
        <v>1246273393</v>
      </c>
      <c r="F197" s="222">
        <v>46236</v>
      </c>
      <c r="G197" s="222"/>
      <c r="H197" t="s">
        <v>23</v>
      </c>
      <c r="I197" t="s">
        <v>24</v>
      </c>
      <c r="J197">
        <v>11281</v>
      </c>
      <c r="K197" s="222">
        <v>46146</v>
      </c>
      <c r="L197">
        <v>1010100</v>
      </c>
      <c r="M197" t="s">
        <v>29</v>
      </c>
      <c r="N197">
        <v>-63</v>
      </c>
      <c r="O197" s="30">
        <v>0</v>
      </c>
      <c r="P197" s="30">
        <v>0</v>
      </c>
      <c r="Q197" s="30">
        <v>54919.6</v>
      </c>
      <c r="R197" s="30">
        <v>0</v>
      </c>
      <c r="S197" s="30">
        <v>0</v>
      </c>
      <c r="T197" s="30">
        <v>0</v>
      </c>
      <c r="U197" s="30">
        <v>0</v>
      </c>
      <c r="V197" s="30">
        <v>0</v>
      </c>
      <c r="W197" s="30">
        <v>0</v>
      </c>
      <c r="X197" s="30">
        <v>0</v>
      </c>
      <c r="Y197" s="30">
        <v>0</v>
      </c>
      <c r="Z197" s="30">
        <v>0</v>
      </c>
      <c r="AA197" s="30">
        <v>0</v>
      </c>
      <c r="AB197" s="30">
        <v>0</v>
      </c>
      <c r="AC197" s="30" t="s">
        <v>457</v>
      </c>
      <c r="AD197" s="30"/>
      <c r="AE197" s="30">
        <v>0</v>
      </c>
    </row>
    <row r="198" spans="1:31" x14ac:dyDescent="0.25">
      <c r="A198">
        <v>6124</v>
      </c>
      <c r="B198" t="s">
        <v>431</v>
      </c>
      <c r="C198" t="s">
        <v>85</v>
      </c>
      <c r="D198" s="33">
        <v>384000</v>
      </c>
      <c r="E198">
        <v>1246277044</v>
      </c>
      <c r="F198" s="222">
        <v>46259</v>
      </c>
      <c r="G198" s="222"/>
      <c r="H198" t="s">
        <v>23</v>
      </c>
      <c r="I198" t="s">
        <v>24</v>
      </c>
      <c r="J198">
        <v>2971</v>
      </c>
      <c r="K198" s="222">
        <v>46169</v>
      </c>
      <c r="L198">
        <v>1010100</v>
      </c>
      <c r="M198" t="s">
        <v>29</v>
      </c>
      <c r="N198">
        <v>-86</v>
      </c>
      <c r="O198" s="30">
        <v>0</v>
      </c>
      <c r="P198" s="30">
        <v>0</v>
      </c>
      <c r="Q198" s="30">
        <v>384000</v>
      </c>
      <c r="R198" s="30">
        <v>0</v>
      </c>
      <c r="S198" s="30">
        <v>0</v>
      </c>
      <c r="T198" s="30">
        <v>0</v>
      </c>
      <c r="U198" s="30">
        <v>0</v>
      </c>
      <c r="V198" s="30">
        <v>0</v>
      </c>
      <c r="W198" s="30">
        <v>0</v>
      </c>
      <c r="X198" s="30">
        <v>0</v>
      </c>
      <c r="Y198" s="30">
        <v>0</v>
      </c>
      <c r="Z198" s="30">
        <v>0</v>
      </c>
      <c r="AA198" s="30">
        <v>0</v>
      </c>
      <c r="AB198" s="30">
        <v>0</v>
      </c>
      <c r="AC198" s="30" t="s">
        <v>457</v>
      </c>
      <c r="AD198" s="30"/>
      <c r="AE198" s="30">
        <v>0</v>
      </c>
    </row>
    <row r="199" spans="1:31" x14ac:dyDescent="0.25">
      <c r="A199">
        <v>6124</v>
      </c>
      <c r="B199" t="s">
        <v>431</v>
      </c>
      <c r="C199" t="s">
        <v>85</v>
      </c>
      <c r="D199" s="33">
        <v>51634.400000000001</v>
      </c>
      <c r="E199">
        <v>1246271329</v>
      </c>
      <c r="F199" s="222">
        <v>46216</v>
      </c>
      <c r="G199" s="222"/>
      <c r="H199" t="s">
        <v>23</v>
      </c>
      <c r="I199" t="s">
        <v>24</v>
      </c>
      <c r="J199">
        <v>11119</v>
      </c>
      <c r="K199" s="222">
        <v>46126</v>
      </c>
      <c r="L199">
        <v>1010100</v>
      </c>
      <c r="M199" t="s">
        <v>29</v>
      </c>
      <c r="N199">
        <v>-43</v>
      </c>
      <c r="O199" s="30">
        <v>0</v>
      </c>
      <c r="P199" s="30">
        <v>0</v>
      </c>
      <c r="Q199" s="30">
        <v>51634.400000000001</v>
      </c>
      <c r="R199" s="30">
        <v>0</v>
      </c>
      <c r="S199" s="30">
        <v>0</v>
      </c>
      <c r="T199" s="30">
        <v>0</v>
      </c>
      <c r="U199" s="30">
        <v>0</v>
      </c>
      <c r="V199" s="30">
        <v>0</v>
      </c>
      <c r="W199" s="30">
        <v>0</v>
      </c>
      <c r="X199" s="30">
        <v>0</v>
      </c>
      <c r="Y199" s="30">
        <v>0</v>
      </c>
      <c r="Z199" s="30">
        <v>0</v>
      </c>
      <c r="AA199" s="30">
        <v>0</v>
      </c>
      <c r="AB199" s="30">
        <v>0</v>
      </c>
      <c r="AC199" s="30" t="s">
        <v>457</v>
      </c>
      <c r="AD199" s="30"/>
      <c r="AE199" s="30">
        <v>0</v>
      </c>
    </row>
    <row r="200" spans="1:31" x14ac:dyDescent="0.25">
      <c r="A200">
        <v>6124</v>
      </c>
      <c r="B200" t="s">
        <v>431</v>
      </c>
      <c r="C200" t="s">
        <v>85</v>
      </c>
      <c r="D200" s="33">
        <v>52129.08</v>
      </c>
      <c r="E200">
        <v>1246277258</v>
      </c>
      <c r="F200" s="222">
        <v>46260</v>
      </c>
      <c r="G200" s="222"/>
      <c r="H200" t="s">
        <v>23</v>
      </c>
      <c r="I200" t="s">
        <v>24</v>
      </c>
      <c r="J200">
        <v>11536</v>
      </c>
      <c r="K200" s="222">
        <v>46170</v>
      </c>
      <c r="L200">
        <v>1010100</v>
      </c>
      <c r="M200" t="s">
        <v>29</v>
      </c>
      <c r="N200">
        <v>-87</v>
      </c>
      <c r="O200" s="30">
        <v>0</v>
      </c>
      <c r="P200" s="30">
        <v>0</v>
      </c>
      <c r="Q200" s="30">
        <v>52129.08</v>
      </c>
      <c r="R200" s="30">
        <v>0</v>
      </c>
      <c r="S200" s="30">
        <v>0</v>
      </c>
      <c r="T200" s="30">
        <v>0</v>
      </c>
      <c r="U200" s="30">
        <v>0</v>
      </c>
      <c r="V200" s="30">
        <v>0</v>
      </c>
      <c r="W200" s="30">
        <v>0</v>
      </c>
      <c r="X200" s="30">
        <v>0</v>
      </c>
      <c r="Y200" s="30">
        <v>0</v>
      </c>
      <c r="Z200" s="30">
        <v>0</v>
      </c>
      <c r="AA200" s="30">
        <v>0</v>
      </c>
      <c r="AB200" s="30">
        <v>0</v>
      </c>
      <c r="AC200" s="30" t="s">
        <v>457</v>
      </c>
      <c r="AD200" s="30"/>
      <c r="AE200" s="30">
        <v>0</v>
      </c>
    </row>
    <row r="201" spans="1:31" x14ac:dyDescent="0.25">
      <c r="A201">
        <v>6124</v>
      </c>
      <c r="B201" t="s">
        <v>431</v>
      </c>
      <c r="C201" t="s">
        <v>85</v>
      </c>
      <c r="D201" s="33">
        <v>52374</v>
      </c>
      <c r="E201">
        <v>1246267926</v>
      </c>
      <c r="F201" s="222">
        <v>46187</v>
      </c>
      <c r="G201" s="222"/>
      <c r="H201" t="s">
        <v>23</v>
      </c>
      <c r="I201" t="s">
        <v>24</v>
      </c>
      <c r="J201">
        <v>10897</v>
      </c>
      <c r="K201" s="222">
        <v>46097</v>
      </c>
      <c r="L201">
        <v>1010100</v>
      </c>
      <c r="M201" t="s">
        <v>29</v>
      </c>
      <c r="N201">
        <v>-14</v>
      </c>
      <c r="O201" s="30">
        <v>0</v>
      </c>
      <c r="P201" s="30">
        <v>0</v>
      </c>
      <c r="Q201" s="30">
        <v>52374</v>
      </c>
      <c r="R201" s="30">
        <v>0</v>
      </c>
      <c r="S201" s="30">
        <v>0</v>
      </c>
      <c r="T201" s="30">
        <v>0</v>
      </c>
      <c r="U201" s="30">
        <v>0</v>
      </c>
      <c r="V201" s="30">
        <v>0</v>
      </c>
      <c r="W201" s="30">
        <v>0</v>
      </c>
      <c r="X201" s="30">
        <v>0</v>
      </c>
      <c r="Y201" s="30">
        <v>0</v>
      </c>
      <c r="Z201" s="30">
        <v>0</v>
      </c>
      <c r="AA201" s="30">
        <v>0</v>
      </c>
      <c r="AB201" s="30">
        <v>0</v>
      </c>
      <c r="AC201" s="30" t="s">
        <v>457</v>
      </c>
      <c r="AD201" s="30"/>
      <c r="AE201" s="30">
        <v>0</v>
      </c>
    </row>
    <row r="202" spans="1:31" x14ac:dyDescent="0.25">
      <c r="A202">
        <v>7102</v>
      </c>
      <c r="B202" t="s">
        <v>431</v>
      </c>
      <c r="C202" t="s">
        <v>480</v>
      </c>
      <c r="D202" s="33">
        <v>63616.49</v>
      </c>
      <c r="E202">
        <v>1246275577</v>
      </c>
      <c r="F202" s="222">
        <v>46250</v>
      </c>
      <c r="G202" s="222"/>
      <c r="H202" t="s">
        <v>23</v>
      </c>
      <c r="I202" t="s">
        <v>24</v>
      </c>
      <c r="J202">
        <v>11421</v>
      </c>
      <c r="K202" s="222">
        <v>46160</v>
      </c>
      <c r="L202">
        <v>1010100</v>
      </c>
      <c r="M202" t="s">
        <v>29</v>
      </c>
      <c r="N202">
        <v>-77</v>
      </c>
      <c r="O202" s="30">
        <v>0</v>
      </c>
      <c r="P202" s="30">
        <v>0</v>
      </c>
      <c r="Q202" s="30">
        <v>63616.49</v>
      </c>
      <c r="R202" s="30">
        <v>0</v>
      </c>
      <c r="S202" s="30">
        <v>0</v>
      </c>
      <c r="T202" s="30">
        <v>0</v>
      </c>
      <c r="U202" s="30">
        <v>0</v>
      </c>
      <c r="V202" s="30">
        <v>0</v>
      </c>
      <c r="W202" s="30">
        <v>0</v>
      </c>
      <c r="X202" s="30">
        <v>0</v>
      </c>
      <c r="Y202" s="30">
        <v>0</v>
      </c>
      <c r="Z202" s="30">
        <v>0</v>
      </c>
      <c r="AA202" s="30">
        <v>0</v>
      </c>
      <c r="AB202" s="30">
        <v>0</v>
      </c>
      <c r="AC202" s="30" t="s">
        <v>457</v>
      </c>
      <c r="AD202" s="30"/>
      <c r="AE202" s="30">
        <v>0</v>
      </c>
    </row>
    <row r="203" spans="1:31" x14ac:dyDescent="0.25">
      <c r="A203">
        <v>7102</v>
      </c>
      <c r="B203" t="s">
        <v>431</v>
      </c>
      <c r="C203" t="s">
        <v>480</v>
      </c>
      <c r="D203" s="33">
        <v>63327</v>
      </c>
      <c r="E203">
        <v>1246270569</v>
      </c>
      <c r="F203" s="222">
        <v>46210</v>
      </c>
      <c r="G203" s="222"/>
      <c r="H203" t="s">
        <v>23</v>
      </c>
      <c r="I203" t="s">
        <v>24</v>
      </c>
      <c r="J203">
        <v>11069</v>
      </c>
      <c r="K203" s="222">
        <v>46120</v>
      </c>
      <c r="L203">
        <v>1010100</v>
      </c>
      <c r="M203" t="s">
        <v>29</v>
      </c>
      <c r="N203">
        <v>-37</v>
      </c>
      <c r="O203" s="30">
        <v>0</v>
      </c>
      <c r="P203" s="30">
        <v>0</v>
      </c>
      <c r="Q203" s="30">
        <v>63327</v>
      </c>
      <c r="R203" s="30">
        <v>0</v>
      </c>
      <c r="S203" s="30">
        <v>0</v>
      </c>
      <c r="T203" s="30">
        <v>0</v>
      </c>
      <c r="U203" s="30">
        <v>0</v>
      </c>
      <c r="V203" s="30">
        <v>0</v>
      </c>
      <c r="W203" s="30">
        <v>0</v>
      </c>
      <c r="X203" s="30">
        <v>0</v>
      </c>
      <c r="Y203" s="30">
        <v>0</v>
      </c>
      <c r="Z203" s="30">
        <v>0</v>
      </c>
      <c r="AA203" s="30">
        <v>0</v>
      </c>
      <c r="AB203" s="30">
        <v>0</v>
      </c>
      <c r="AC203" s="30" t="s">
        <v>457</v>
      </c>
      <c r="AD203" s="30"/>
      <c r="AE203" s="30">
        <v>0</v>
      </c>
    </row>
    <row r="204" spans="1:31" x14ac:dyDescent="0.25">
      <c r="A204">
        <v>7102</v>
      </c>
      <c r="B204" t="s">
        <v>431</v>
      </c>
      <c r="C204" t="s">
        <v>480</v>
      </c>
      <c r="D204" s="33">
        <v>62637.3</v>
      </c>
      <c r="E204">
        <v>1246268784</v>
      </c>
      <c r="F204" s="222">
        <v>46195</v>
      </c>
      <c r="G204" s="222"/>
      <c r="H204" t="s">
        <v>23</v>
      </c>
      <c r="I204" t="s">
        <v>24</v>
      </c>
      <c r="J204">
        <v>10966</v>
      </c>
      <c r="K204" s="222">
        <v>46105</v>
      </c>
      <c r="L204">
        <v>1010100</v>
      </c>
      <c r="M204" t="s">
        <v>29</v>
      </c>
      <c r="N204">
        <v>-22</v>
      </c>
      <c r="O204" s="30">
        <v>0</v>
      </c>
      <c r="P204" s="30">
        <v>0</v>
      </c>
      <c r="Q204" s="30">
        <v>62637.3</v>
      </c>
      <c r="R204" s="30">
        <v>0</v>
      </c>
      <c r="S204" s="30">
        <v>0</v>
      </c>
      <c r="T204" s="30">
        <v>0</v>
      </c>
      <c r="U204" s="30">
        <v>0</v>
      </c>
      <c r="V204" s="30">
        <v>0</v>
      </c>
      <c r="W204" s="30">
        <v>0</v>
      </c>
      <c r="X204" s="30">
        <v>0</v>
      </c>
      <c r="Y204" s="30">
        <v>0</v>
      </c>
      <c r="Z204" s="30">
        <v>0</v>
      </c>
      <c r="AA204" s="30">
        <v>0</v>
      </c>
      <c r="AB204" s="30">
        <v>0</v>
      </c>
      <c r="AC204" s="30" t="s">
        <v>457</v>
      </c>
      <c r="AD204" s="30"/>
      <c r="AE204" s="30">
        <v>0</v>
      </c>
    </row>
    <row r="205" spans="1:31" x14ac:dyDescent="0.25">
      <c r="A205">
        <v>7102</v>
      </c>
      <c r="B205" t="s">
        <v>431</v>
      </c>
      <c r="C205" t="s">
        <v>480</v>
      </c>
      <c r="D205" s="33">
        <v>63257.91</v>
      </c>
      <c r="E205">
        <v>1246277067</v>
      </c>
      <c r="F205" s="222">
        <v>46259</v>
      </c>
      <c r="G205" s="222"/>
      <c r="H205" t="s">
        <v>23</v>
      </c>
      <c r="I205" t="s">
        <v>24</v>
      </c>
      <c r="J205">
        <v>11514</v>
      </c>
      <c r="K205" s="222">
        <v>46169</v>
      </c>
      <c r="L205">
        <v>1010100</v>
      </c>
      <c r="M205" t="s">
        <v>29</v>
      </c>
      <c r="N205">
        <v>-86</v>
      </c>
      <c r="O205" s="30">
        <v>0</v>
      </c>
      <c r="P205" s="30">
        <v>0</v>
      </c>
      <c r="Q205" s="30">
        <v>63257.91</v>
      </c>
      <c r="R205" s="30">
        <v>0</v>
      </c>
      <c r="S205" s="30">
        <v>0</v>
      </c>
      <c r="T205" s="30">
        <v>0</v>
      </c>
      <c r="U205" s="30">
        <v>0</v>
      </c>
      <c r="V205" s="30">
        <v>0</v>
      </c>
      <c r="W205" s="30">
        <v>0</v>
      </c>
      <c r="X205" s="30">
        <v>0</v>
      </c>
      <c r="Y205" s="30">
        <v>0</v>
      </c>
      <c r="Z205" s="30">
        <v>0</v>
      </c>
      <c r="AA205" s="30">
        <v>0</v>
      </c>
      <c r="AB205" s="30">
        <v>0</v>
      </c>
      <c r="AC205" s="30" t="s">
        <v>457</v>
      </c>
      <c r="AD205" s="30"/>
      <c r="AE205" s="30">
        <v>0</v>
      </c>
    </row>
    <row r="206" spans="1:31" x14ac:dyDescent="0.25">
      <c r="A206">
        <v>7662</v>
      </c>
      <c r="B206" t="s">
        <v>526</v>
      </c>
      <c r="C206" t="s">
        <v>465</v>
      </c>
      <c r="D206" s="33">
        <v>77060</v>
      </c>
      <c r="E206">
        <v>1246269690</v>
      </c>
      <c r="F206" s="222">
        <v>46172</v>
      </c>
      <c r="G206" s="222">
        <v>46174</v>
      </c>
      <c r="H206" t="s">
        <v>23</v>
      </c>
      <c r="I206" t="s">
        <v>24</v>
      </c>
      <c r="J206">
        <v>2856</v>
      </c>
      <c r="K206" s="222">
        <v>46112</v>
      </c>
      <c r="L206">
        <v>1010100</v>
      </c>
      <c r="M206" t="s">
        <v>29</v>
      </c>
      <c r="N206">
        <v>1</v>
      </c>
      <c r="O206" s="30">
        <v>0</v>
      </c>
      <c r="P206" s="30">
        <v>0</v>
      </c>
      <c r="Q206" s="30">
        <v>0</v>
      </c>
      <c r="R206" s="30">
        <v>77060</v>
      </c>
      <c r="S206" s="30">
        <v>0</v>
      </c>
      <c r="T206" s="30">
        <v>0</v>
      </c>
      <c r="U206" s="30">
        <v>0</v>
      </c>
      <c r="V206" s="30">
        <v>0</v>
      </c>
      <c r="W206" s="30">
        <v>0</v>
      </c>
      <c r="X206" s="30">
        <v>0</v>
      </c>
      <c r="Y206" s="30">
        <v>0</v>
      </c>
      <c r="Z206" s="30">
        <v>0</v>
      </c>
      <c r="AA206" s="30">
        <v>0</v>
      </c>
      <c r="AB206" s="30">
        <v>0</v>
      </c>
      <c r="AC206" s="30" t="s">
        <v>407</v>
      </c>
      <c r="AD206" s="30"/>
      <c r="AE206" s="30">
        <v>0</v>
      </c>
    </row>
    <row r="207" spans="1:31" x14ac:dyDescent="0.25">
      <c r="A207">
        <v>7662</v>
      </c>
      <c r="B207" t="s">
        <v>526</v>
      </c>
      <c r="C207" t="s">
        <v>465</v>
      </c>
      <c r="D207" s="33">
        <v>112800</v>
      </c>
      <c r="E207">
        <v>1246276582</v>
      </c>
      <c r="F207" s="222">
        <v>46212</v>
      </c>
      <c r="G207" s="222"/>
      <c r="H207" t="s">
        <v>23</v>
      </c>
      <c r="I207" t="s">
        <v>24</v>
      </c>
      <c r="J207">
        <v>2961</v>
      </c>
      <c r="K207" s="222">
        <v>46167</v>
      </c>
      <c r="L207">
        <v>1010100</v>
      </c>
      <c r="M207" t="s">
        <v>29</v>
      </c>
      <c r="N207">
        <v>-39</v>
      </c>
      <c r="O207" s="30">
        <v>0</v>
      </c>
      <c r="P207" s="30">
        <v>0</v>
      </c>
      <c r="Q207" s="30">
        <v>112800</v>
      </c>
      <c r="R207" s="30">
        <v>0</v>
      </c>
      <c r="S207" s="30">
        <v>0</v>
      </c>
      <c r="T207" s="30">
        <v>0</v>
      </c>
      <c r="U207" s="30">
        <v>0</v>
      </c>
      <c r="V207" s="30">
        <v>0</v>
      </c>
      <c r="W207" s="30">
        <v>0</v>
      </c>
      <c r="X207" s="30">
        <v>0</v>
      </c>
      <c r="Y207" s="30">
        <v>0</v>
      </c>
      <c r="Z207" s="30">
        <v>0</v>
      </c>
      <c r="AA207" s="30">
        <v>0</v>
      </c>
      <c r="AB207" s="30">
        <v>0</v>
      </c>
      <c r="AC207" s="30" t="s">
        <v>407</v>
      </c>
      <c r="AD207" s="30"/>
      <c r="AE207" s="30">
        <v>0</v>
      </c>
    </row>
    <row r="208" spans="1:31" x14ac:dyDescent="0.25">
      <c r="A208">
        <v>7662</v>
      </c>
      <c r="B208" t="s">
        <v>526</v>
      </c>
      <c r="C208" t="s">
        <v>465</v>
      </c>
      <c r="D208" s="33">
        <v>112800</v>
      </c>
      <c r="E208">
        <v>1246276583</v>
      </c>
      <c r="F208" s="222">
        <v>46227</v>
      </c>
      <c r="G208" s="222"/>
      <c r="H208" t="s">
        <v>23</v>
      </c>
      <c r="I208" t="s">
        <v>24</v>
      </c>
      <c r="J208">
        <v>2961</v>
      </c>
      <c r="K208" s="222">
        <v>46167</v>
      </c>
      <c r="L208">
        <v>1010100</v>
      </c>
      <c r="M208" t="s">
        <v>29</v>
      </c>
      <c r="N208">
        <v>-54</v>
      </c>
      <c r="O208" s="30">
        <v>0</v>
      </c>
      <c r="P208" s="30">
        <v>0</v>
      </c>
      <c r="Q208" s="30">
        <v>112800</v>
      </c>
      <c r="R208" s="30">
        <v>0</v>
      </c>
      <c r="S208" s="30">
        <v>0</v>
      </c>
      <c r="T208" s="30">
        <v>0</v>
      </c>
      <c r="U208" s="30">
        <v>0</v>
      </c>
      <c r="V208" s="30">
        <v>0</v>
      </c>
      <c r="W208" s="30">
        <v>0</v>
      </c>
      <c r="X208" s="30">
        <v>0</v>
      </c>
      <c r="Y208" s="30">
        <v>0</v>
      </c>
      <c r="Z208" s="30">
        <v>0</v>
      </c>
      <c r="AA208" s="30">
        <v>0</v>
      </c>
      <c r="AB208" s="30">
        <v>0</v>
      </c>
      <c r="AC208" s="30" t="s">
        <v>407</v>
      </c>
      <c r="AD208" s="30"/>
      <c r="AE208" s="30">
        <v>0</v>
      </c>
    </row>
    <row r="209" spans="1:31" x14ac:dyDescent="0.25">
      <c r="A209">
        <v>7662</v>
      </c>
      <c r="B209" t="s">
        <v>526</v>
      </c>
      <c r="C209" t="s">
        <v>465</v>
      </c>
      <c r="D209" s="33">
        <v>91675</v>
      </c>
      <c r="E209">
        <v>1246273180</v>
      </c>
      <c r="F209" s="222">
        <v>46202</v>
      </c>
      <c r="G209" s="222"/>
      <c r="H209" t="s">
        <v>23</v>
      </c>
      <c r="I209" t="s">
        <v>24</v>
      </c>
      <c r="J209">
        <v>2902</v>
      </c>
      <c r="K209" s="222">
        <v>46142</v>
      </c>
      <c r="L209">
        <v>1010100</v>
      </c>
      <c r="M209" t="s">
        <v>29</v>
      </c>
      <c r="N209">
        <v>-29</v>
      </c>
      <c r="O209" s="30">
        <v>0</v>
      </c>
      <c r="P209" s="30">
        <v>0</v>
      </c>
      <c r="Q209" s="30">
        <v>91675</v>
      </c>
      <c r="R209" s="30">
        <v>0</v>
      </c>
      <c r="S209" s="30">
        <v>0</v>
      </c>
      <c r="T209" s="30">
        <v>0</v>
      </c>
      <c r="U209" s="30">
        <v>0</v>
      </c>
      <c r="V209" s="30">
        <v>0</v>
      </c>
      <c r="W209" s="30">
        <v>0</v>
      </c>
      <c r="X209" s="30">
        <v>0</v>
      </c>
      <c r="Y209" s="30">
        <v>0</v>
      </c>
      <c r="Z209" s="30">
        <v>0</v>
      </c>
      <c r="AA209" s="30">
        <v>0</v>
      </c>
      <c r="AB209" s="30">
        <v>0</v>
      </c>
      <c r="AC209" s="30" t="s">
        <v>407</v>
      </c>
      <c r="AD209" s="30"/>
      <c r="AE209" s="30">
        <v>0</v>
      </c>
    </row>
    <row r="210" spans="1:31" x14ac:dyDescent="0.25">
      <c r="A210">
        <v>7662</v>
      </c>
      <c r="B210" t="s">
        <v>526</v>
      </c>
      <c r="C210" t="s">
        <v>465</v>
      </c>
      <c r="D210" s="33">
        <v>91675</v>
      </c>
      <c r="E210">
        <v>1246273179</v>
      </c>
      <c r="F210" s="222">
        <v>46187</v>
      </c>
      <c r="G210" s="222"/>
      <c r="H210" t="s">
        <v>23</v>
      </c>
      <c r="I210" t="s">
        <v>24</v>
      </c>
      <c r="J210">
        <v>2902</v>
      </c>
      <c r="K210" s="222">
        <v>46142</v>
      </c>
      <c r="L210">
        <v>1010100</v>
      </c>
      <c r="M210" t="s">
        <v>29</v>
      </c>
      <c r="N210">
        <v>-14</v>
      </c>
      <c r="O210" s="30">
        <v>0</v>
      </c>
      <c r="P210" s="30">
        <v>0</v>
      </c>
      <c r="Q210" s="30">
        <v>91675</v>
      </c>
      <c r="R210" s="30">
        <v>0</v>
      </c>
      <c r="S210" s="30">
        <v>0</v>
      </c>
      <c r="T210" s="30">
        <v>0</v>
      </c>
      <c r="U210" s="30">
        <v>0</v>
      </c>
      <c r="V210" s="30">
        <v>0</v>
      </c>
      <c r="W210" s="30">
        <v>0</v>
      </c>
      <c r="X210" s="30">
        <v>0</v>
      </c>
      <c r="Y210" s="30">
        <v>0</v>
      </c>
      <c r="Z210" s="30">
        <v>0</v>
      </c>
      <c r="AA210" s="30">
        <v>0</v>
      </c>
      <c r="AB210" s="30">
        <v>0</v>
      </c>
      <c r="AC210" s="30" t="s">
        <v>407</v>
      </c>
      <c r="AD210" s="30"/>
      <c r="AE210" s="30">
        <v>0</v>
      </c>
    </row>
    <row r="211" spans="1:31" x14ac:dyDescent="0.25">
      <c r="A211">
        <v>7479</v>
      </c>
      <c r="B211" t="s">
        <v>431</v>
      </c>
      <c r="C211" t="s">
        <v>715</v>
      </c>
      <c r="D211" s="33">
        <v>167211.9</v>
      </c>
      <c r="E211">
        <v>1246274162</v>
      </c>
      <c r="F211" s="222">
        <v>46240</v>
      </c>
      <c r="G211" s="222"/>
      <c r="H211" t="s">
        <v>23</v>
      </c>
      <c r="I211" t="s">
        <v>24</v>
      </c>
      <c r="J211">
        <v>11335</v>
      </c>
      <c r="K211" s="222">
        <v>46150</v>
      </c>
      <c r="L211">
        <v>1010100</v>
      </c>
      <c r="M211" t="s">
        <v>29</v>
      </c>
      <c r="N211">
        <v>-67</v>
      </c>
      <c r="O211" s="30">
        <v>0</v>
      </c>
      <c r="P211" s="30">
        <v>0</v>
      </c>
      <c r="Q211" s="30">
        <v>167211.9</v>
      </c>
      <c r="R211" s="30">
        <v>0</v>
      </c>
      <c r="S211" s="30">
        <v>0</v>
      </c>
      <c r="T211" s="30">
        <v>0</v>
      </c>
      <c r="U211" s="30">
        <v>0</v>
      </c>
      <c r="V211" s="30">
        <v>0</v>
      </c>
      <c r="W211" s="30">
        <v>0</v>
      </c>
      <c r="X211" s="30">
        <v>0</v>
      </c>
      <c r="Y211" s="30">
        <v>0</v>
      </c>
      <c r="Z211" s="30">
        <v>0</v>
      </c>
      <c r="AA211" s="30">
        <v>0</v>
      </c>
      <c r="AB211" s="30">
        <v>0</v>
      </c>
      <c r="AC211" s="30" t="s">
        <v>457</v>
      </c>
      <c r="AD211" s="30"/>
      <c r="AE211" s="30">
        <v>0</v>
      </c>
    </row>
    <row r="212" spans="1:31" x14ac:dyDescent="0.25">
      <c r="A212">
        <v>7479</v>
      </c>
      <c r="B212" t="s">
        <v>431</v>
      </c>
      <c r="C212" t="s">
        <v>715</v>
      </c>
      <c r="D212" s="33">
        <v>64239.64</v>
      </c>
      <c r="E212">
        <v>1246275302</v>
      </c>
      <c r="F212" s="222">
        <v>46247</v>
      </c>
      <c r="G212" s="222"/>
      <c r="H212" t="s">
        <v>23</v>
      </c>
      <c r="I212" t="s">
        <v>24</v>
      </c>
      <c r="J212">
        <v>11401</v>
      </c>
      <c r="K212" s="222">
        <v>46157</v>
      </c>
      <c r="L212">
        <v>1010100</v>
      </c>
      <c r="M212" t="s">
        <v>29</v>
      </c>
      <c r="N212">
        <v>-74</v>
      </c>
      <c r="O212" s="30">
        <v>0</v>
      </c>
      <c r="P212" s="30">
        <v>0</v>
      </c>
      <c r="Q212" s="30">
        <v>64239.64</v>
      </c>
      <c r="R212" s="30">
        <v>0</v>
      </c>
      <c r="S212" s="30">
        <v>0</v>
      </c>
      <c r="T212" s="30">
        <v>0</v>
      </c>
      <c r="U212" s="30">
        <v>0</v>
      </c>
      <c r="V212" s="30">
        <v>0</v>
      </c>
      <c r="W212" s="30">
        <v>0</v>
      </c>
      <c r="X212" s="30">
        <v>0</v>
      </c>
      <c r="Y212" s="30">
        <v>0</v>
      </c>
      <c r="Z212" s="30">
        <v>0</v>
      </c>
      <c r="AA212" s="30">
        <v>0</v>
      </c>
      <c r="AB212" s="30">
        <v>0</v>
      </c>
      <c r="AC212" s="30" t="s">
        <v>457</v>
      </c>
      <c r="AD212" s="30"/>
      <c r="AE212" s="30">
        <v>0</v>
      </c>
    </row>
    <row r="213" spans="1:31" x14ac:dyDescent="0.25">
      <c r="A213">
        <v>7479</v>
      </c>
      <c r="B213" t="s">
        <v>431</v>
      </c>
      <c r="C213" t="s">
        <v>715</v>
      </c>
      <c r="D213" s="33">
        <v>384000</v>
      </c>
      <c r="E213">
        <v>1246277126</v>
      </c>
      <c r="F213" s="222">
        <v>46259</v>
      </c>
      <c r="G213" s="222"/>
      <c r="H213" t="s">
        <v>23</v>
      </c>
      <c r="I213" t="s">
        <v>24</v>
      </c>
      <c r="J213">
        <v>2974</v>
      </c>
      <c r="K213" s="222">
        <v>46169</v>
      </c>
      <c r="L213">
        <v>1010100</v>
      </c>
      <c r="M213" t="s">
        <v>29</v>
      </c>
      <c r="N213">
        <v>-86</v>
      </c>
      <c r="O213" s="30">
        <v>0</v>
      </c>
      <c r="P213" s="30">
        <v>0</v>
      </c>
      <c r="Q213" s="30">
        <v>384000</v>
      </c>
      <c r="R213" s="30">
        <v>0</v>
      </c>
      <c r="S213" s="30">
        <v>0</v>
      </c>
      <c r="T213" s="30">
        <v>0</v>
      </c>
      <c r="U213" s="30">
        <v>0</v>
      </c>
      <c r="V213" s="30">
        <v>0</v>
      </c>
      <c r="W213" s="30">
        <v>0</v>
      </c>
      <c r="X213" s="30">
        <v>0</v>
      </c>
      <c r="Y213" s="30">
        <v>0</v>
      </c>
      <c r="Z213" s="30">
        <v>0</v>
      </c>
      <c r="AA213" s="30">
        <v>0</v>
      </c>
      <c r="AB213" s="30">
        <v>0</v>
      </c>
      <c r="AC213" s="30" t="s">
        <v>457</v>
      </c>
      <c r="AD213" s="30"/>
      <c r="AE213" s="30">
        <v>0</v>
      </c>
    </row>
    <row r="214" spans="1:31" x14ac:dyDescent="0.25">
      <c r="A214">
        <v>6477</v>
      </c>
      <c r="B214" t="s">
        <v>431</v>
      </c>
      <c r="C214" t="s">
        <v>88</v>
      </c>
      <c r="D214" s="33">
        <v>5400</v>
      </c>
      <c r="E214">
        <v>1246054441</v>
      </c>
      <c r="F214" s="222">
        <v>44897</v>
      </c>
      <c r="G214" s="222"/>
      <c r="H214" t="s">
        <v>23</v>
      </c>
      <c r="I214" t="s">
        <v>24</v>
      </c>
      <c r="J214">
        <v>1246054441</v>
      </c>
      <c r="K214" s="222">
        <v>44882</v>
      </c>
      <c r="L214">
        <v>3041000</v>
      </c>
      <c r="M214" t="s">
        <v>124</v>
      </c>
      <c r="N214">
        <v>1276</v>
      </c>
      <c r="O214" s="30">
        <v>0</v>
      </c>
      <c r="P214" s="30">
        <v>5400</v>
      </c>
      <c r="Q214" s="30">
        <v>0</v>
      </c>
      <c r="R214" s="30">
        <v>0</v>
      </c>
      <c r="S214" s="30">
        <v>0</v>
      </c>
      <c r="T214" s="30">
        <v>0</v>
      </c>
      <c r="U214" s="30">
        <v>5400</v>
      </c>
      <c r="V214" s="30">
        <v>0</v>
      </c>
      <c r="W214" s="30">
        <v>162</v>
      </c>
      <c r="X214" s="30">
        <v>5238</v>
      </c>
      <c r="Y214" s="30">
        <v>5238</v>
      </c>
      <c r="Z214" s="30">
        <v>5400</v>
      </c>
      <c r="AA214" s="30">
        <v>0</v>
      </c>
      <c r="AB214" s="30">
        <v>5400</v>
      </c>
      <c r="AC214" s="30" t="s">
        <v>457</v>
      </c>
      <c r="AD214" s="30"/>
      <c r="AE214" s="30">
        <v>5400</v>
      </c>
    </row>
    <row r="215" spans="1:31" x14ac:dyDescent="0.25">
      <c r="A215">
        <v>6477</v>
      </c>
      <c r="B215" t="s">
        <v>431</v>
      </c>
      <c r="C215" t="s">
        <v>88</v>
      </c>
      <c r="D215" s="33">
        <v>92903</v>
      </c>
      <c r="E215">
        <v>1246275478</v>
      </c>
      <c r="F215" s="222">
        <v>46247</v>
      </c>
      <c r="G215" s="222"/>
      <c r="H215" t="s">
        <v>23</v>
      </c>
      <c r="I215" t="s">
        <v>24</v>
      </c>
      <c r="J215">
        <v>11413</v>
      </c>
      <c r="K215" s="222">
        <v>46157</v>
      </c>
      <c r="L215">
        <v>1010100</v>
      </c>
      <c r="M215" t="s">
        <v>29</v>
      </c>
      <c r="N215">
        <v>-74</v>
      </c>
      <c r="O215" s="30">
        <v>0</v>
      </c>
      <c r="P215" s="30">
        <v>0</v>
      </c>
      <c r="Q215" s="30">
        <v>92903</v>
      </c>
      <c r="R215" s="30">
        <v>0</v>
      </c>
      <c r="S215" s="30">
        <v>0</v>
      </c>
      <c r="T215" s="30">
        <v>0</v>
      </c>
      <c r="U215" s="30">
        <v>0</v>
      </c>
      <c r="V215" s="30">
        <v>0</v>
      </c>
      <c r="W215" s="30">
        <v>0</v>
      </c>
      <c r="X215" s="30">
        <v>0</v>
      </c>
      <c r="Y215" s="30">
        <v>0</v>
      </c>
      <c r="Z215" s="30">
        <v>0</v>
      </c>
      <c r="AA215" s="30">
        <v>0</v>
      </c>
      <c r="AB215" s="30">
        <v>0</v>
      </c>
      <c r="AC215" s="30" t="s">
        <v>457</v>
      </c>
      <c r="AD215" s="30"/>
      <c r="AE215" s="30">
        <v>0</v>
      </c>
    </row>
    <row r="216" spans="1:31" x14ac:dyDescent="0.25">
      <c r="A216">
        <v>6477</v>
      </c>
      <c r="B216" t="s">
        <v>431</v>
      </c>
      <c r="C216" t="s">
        <v>88</v>
      </c>
      <c r="D216" s="33">
        <v>184525</v>
      </c>
      <c r="E216">
        <v>1246275783</v>
      </c>
      <c r="F216" s="222">
        <v>46251</v>
      </c>
      <c r="G216" s="222"/>
      <c r="H216" t="s">
        <v>23</v>
      </c>
      <c r="I216" t="s">
        <v>24</v>
      </c>
      <c r="J216">
        <v>11440</v>
      </c>
      <c r="K216" s="222">
        <v>46161</v>
      </c>
      <c r="L216">
        <v>1010100</v>
      </c>
      <c r="M216" t="s">
        <v>29</v>
      </c>
      <c r="N216">
        <v>-78</v>
      </c>
      <c r="O216" s="30">
        <v>0</v>
      </c>
      <c r="P216" s="30">
        <v>0</v>
      </c>
      <c r="Q216" s="30">
        <v>184525</v>
      </c>
      <c r="R216" s="30">
        <v>0</v>
      </c>
      <c r="S216" s="30">
        <v>0</v>
      </c>
      <c r="T216" s="30">
        <v>0</v>
      </c>
      <c r="U216" s="30">
        <v>0</v>
      </c>
      <c r="V216" s="30">
        <v>0</v>
      </c>
      <c r="W216" s="30">
        <v>0</v>
      </c>
      <c r="X216" s="30">
        <v>0</v>
      </c>
      <c r="Y216" s="30">
        <v>0</v>
      </c>
      <c r="Z216" s="30">
        <v>0</v>
      </c>
      <c r="AA216" s="30">
        <v>0</v>
      </c>
      <c r="AB216" s="30">
        <v>0</v>
      </c>
      <c r="AC216" s="30" t="s">
        <v>457</v>
      </c>
      <c r="AD216" s="30"/>
      <c r="AE216" s="30">
        <v>0</v>
      </c>
    </row>
    <row r="217" spans="1:31" x14ac:dyDescent="0.25">
      <c r="A217">
        <v>6477</v>
      </c>
      <c r="B217" t="s">
        <v>431</v>
      </c>
      <c r="C217" t="s">
        <v>88</v>
      </c>
      <c r="D217" s="33">
        <v>185135</v>
      </c>
      <c r="E217">
        <v>1246276345</v>
      </c>
      <c r="F217" s="222">
        <v>46254</v>
      </c>
      <c r="G217" s="222"/>
      <c r="H217" t="s">
        <v>23</v>
      </c>
      <c r="I217" t="s">
        <v>24</v>
      </c>
      <c r="J217">
        <v>11476</v>
      </c>
      <c r="K217" s="222">
        <v>46164</v>
      </c>
      <c r="L217">
        <v>1010100</v>
      </c>
      <c r="M217" t="s">
        <v>29</v>
      </c>
      <c r="N217">
        <v>-81</v>
      </c>
      <c r="O217" s="30">
        <v>0</v>
      </c>
      <c r="P217" s="30">
        <v>0</v>
      </c>
      <c r="Q217" s="30">
        <v>185135</v>
      </c>
      <c r="R217" s="30">
        <v>0</v>
      </c>
      <c r="S217" s="30">
        <v>0</v>
      </c>
      <c r="T217" s="30">
        <v>0</v>
      </c>
      <c r="U217" s="30">
        <v>0</v>
      </c>
      <c r="V217" s="30">
        <v>0</v>
      </c>
      <c r="W217" s="30">
        <v>0</v>
      </c>
      <c r="X217" s="30">
        <v>0</v>
      </c>
      <c r="Y217" s="30">
        <v>0</v>
      </c>
      <c r="Z217" s="30">
        <v>0</v>
      </c>
      <c r="AA217" s="30">
        <v>0</v>
      </c>
      <c r="AB217" s="30">
        <v>0</v>
      </c>
      <c r="AC217" s="30" t="s">
        <v>457</v>
      </c>
      <c r="AD217" s="30"/>
      <c r="AE217" s="30">
        <v>0</v>
      </c>
    </row>
    <row r="218" spans="1:31" x14ac:dyDescent="0.25">
      <c r="A218">
        <v>6477</v>
      </c>
      <c r="B218" t="s">
        <v>431</v>
      </c>
      <c r="C218" t="s">
        <v>88</v>
      </c>
      <c r="D218" s="33">
        <v>35057.43</v>
      </c>
      <c r="E218">
        <v>1246277377</v>
      </c>
      <c r="F218" s="222">
        <v>46261</v>
      </c>
      <c r="G218" s="222"/>
      <c r="H218" t="s">
        <v>23</v>
      </c>
      <c r="I218" t="s">
        <v>24</v>
      </c>
      <c r="J218">
        <v>11552</v>
      </c>
      <c r="K218" s="222">
        <v>46171</v>
      </c>
      <c r="L218">
        <v>1010100</v>
      </c>
      <c r="M218" t="s">
        <v>29</v>
      </c>
      <c r="N218">
        <v>-88</v>
      </c>
      <c r="O218" s="30">
        <v>0</v>
      </c>
      <c r="P218" s="30">
        <v>0</v>
      </c>
      <c r="Q218" s="30">
        <v>35057.43</v>
      </c>
      <c r="R218" s="30">
        <v>0</v>
      </c>
      <c r="S218" s="30">
        <v>0</v>
      </c>
      <c r="T218" s="30">
        <v>0</v>
      </c>
      <c r="U218" s="30">
        <v>0</v>
      </c>
      <c r="V218" s="30">
        <v>0</v>
      </c>
      <c r="W218" s="30">
        <v>0</v>
      </c>
      <c r="X218" s="30">
        <v>0</v>
      </c>
      <c r="Y218" s="30">
        <v>0</v>
      </c>
      <c r="Z218" s="30">
        <v>0</v>
      </c>
      <c r="AA218" s="30">
        <v>0</v>
      </c>
      <c r="AB218" s="30">
        <v>0</v>
      </c>
      <c r="AC218" s="30" t="s">
        <v>457</v>
      </c>
      <c r="AD218" s="30"/>
      <c r="AE218" s="30">
        <v>0</v>
      </c>
    </row>
    <row r="219" spans="1:31" x14ac:dyDescent="0.25">
      <c r="A219">
        <v>6477</v>
      </c>
      <c r="B219" t="s">
        <v>431</v>
      </c>
      <c r="C219" t="s">
        <v>88</v>
      </c>
      <c r="D219" s="33">
        <v>34213.5</v>
      </c>
      <c r="E219">
        <v>1246274569</v>
      </c>
      <c r="F219" s="222">
        <v>46244</v>
      </c>
      <c r="G219" s="222"/>
      <c r="H219" t="s">
        <v>23</v>
      </c>
      <c r="I219" t="s">
        <v>24</v>
      </c>
      <c r="J219">
        <v>11361</v>
      </c>
      <c r="K219" s="222">
        <v>46154</v>
      </c>
      <c r="L219">
        <v>1010100</v>
      </c>
      <c r="M219" t="s">
        <v>29</v>
      </c>
      <c r="N219">
        <v>-71</v>
      </c>
      <c r="O219" s="30">
        <v>0</v>
      </c>
      <c r="P219" s="30">
        <v>0</v>
      </c>
      <c r="Q219" s="30">
        <v>34213.5</v>
      </c>
      <c r="R219" s="30">
        <v>0</v>
      </c>
      <c r="S219" s="30">
        <v>0</v>
      </c>
      <c r="T219" s="30">
        <v>0</v>
      </c>
      <c r="U219" s="30">
        <v>0</v>
      </c>
      <c r="V219" s="30">
        <v>0</v>
      </c>
      <c r="W219" s="30">
        <v>0</v>
      </c>
      <c r="X219" s="30">
        <v>0</v>
      </c>
      <c r="Y219" s="30">
        <v>0</v>
      </c>
      <c r="Z219" s="30">
        <v>0</v>
      </c>
      <c r="AA219" s="30">
        <v>0</v>
      </c>
      <c r="AB219" s="30">
        <v>0</v>
      </c>
      <c r="AC219" s="30" t="s">
        <v>457</v>
      </c>
      <c r="AD219" s="30"/>
      <c r="AE219" s="30">
        <v>0</v>
      </c>
    </row>
    <row r="220" spans="1:31" x14ac:dyDescent="0.25">
      <c r="A220">
        <v>6477</v>
      </c>
      <c r="B220" t="s">
        <v>431</v>
      </c>
      <c r="C220" t="s">
        <v>88</v>
      </c>
      <c r="D220" s="33">
        <v>183427</v>
      </c>
      <c r="E220">
        <v>1246273826</v>
      </c>
      <c r="F220" s="222">
        <v>46238</v>
      </c>
      <c r="G220" s="222"/>
      <c r="H220" t="s">
        <v>23</v>
      </c>
      <c r="I220" t="s">
        <v>24</v>
      </c>
      <c r="J220">
        <v>11314</v>
      </c>
      <c r="K220" s="222">
        <v>46148</v>
      </c>
      <c r="L220">
        <v>1010100</v>
      </c>
      <c r="M220" t="s">
        <v>29</v>
      </c>
      <c r="N220">
        <v>-65</v>
      </c>
      <c r="O220" s="30">
        <v>0</v>
      </c>
      <c r="P220" s="30">
        <v>0</v>
      </c>
      <c r="Q220" s="30">
        <v>183427</v>
      </c>
      <c r="R220" s="30">
        <v>0</v>
      </c>
      <c r="S220" s="30">
        <v>0</v>
      </c>
      <c r="T220" s="30">
        <v>0</v>
      </c>
      <c r="U220" s="30">
        <v>0</v>
      </c>
      <c r="V220" s="30">
        <v>0</v>
      </c>
      <c r="W220" s="30">
        <v>0</v>
      </c>
      <c r="X220" s="30">
        <v>0</v>
      </c>
      <c r="Y220" s="30">
        <v>0</v>
      </c>
      <c r="Z220" s="30">
        <v>0</v>
      </c>
      <c r="AA220" s="30">
        <v>0</v>
      </c>
      <c r="AB220" s="30">
        <v>0</v>
      </c>
      <c r="AC220" s="30" t="s">
        <v>457</v>
      </c>
      <c r="AD220" s="30"/>
      <c r="AE220" s="30">
        <v>0</v>
      </c>
    </row>
    <row r="221" spans="1:31" x14ac:dyDescent="0.25">
      <c r="A221">
        <v>6477</v>
      </c>
      <c r="B221" t="s">
        <v>431</v>
      </c>
      <c r="C221" t="s">
        <v>88</v>
      </c>
      <c r="D221" s="33">
        <v>6302.6</v>
      </c>
      <c r="E221">
        <v>1246212732</v>
      </c>
      <c r="F221" s="222">
        <v>45682</v>
      </c>
      <c r="G221" s="222"/>
      <c r="H221" t="s">
        <v>23</v>
      </c>
      <c r="I221" t="s">
        <v>24</v>
      </c>
      <c r="J221">
        <v>6197</v>
      </c>
      <c r="K221" s="222">
        <v>45622</v>
      </c>
      <c r="L221">
        <v>1010100</v>
      </c>
      <c r="M221" t="s">
        <v>29</v>
      </c>
      <c r="N221">
        <v>491</v>
      </c>
      <c r="O221" s="30">
        <v>0</v>
      </c>
      <c r="P221" s="30">
        <v>6302.6</v>
      </c>
      <c r="Q221" s="30">
        <v>0</v>
      </c>
      <c r="R221" s="30">
        <v>0</v>
      </c>
      <c r="S221" s="30">
        <v>0</v>
      </c>
      <c r="T221" s="30">
        <v>0</v>
      </c>
      <c r="U221" s="30">
        <v>6302.6</v>
      </c>
      <c r="V221" s="30">
        <v>0</v>
      </c>
      <c r="W221" s="30">
        <v>189.078</v>
      </c>
      <c r="X221" s="30">
        <v>6113.5219999999999</v>
      </c>
      <c r="Y221" s="30">
        <v>6113.5219999999999</v>
      </c>
      <c r="Z221" s="30">
        <v>6302.6</v>
      </c>
      <c r="AA221" s="30">
        <v>0</v>
      </c>
      <c r="AB221" s="30">
        <v>6302.6</v>
      </c>
      <c r="AC221" s="30" t="s">
        <v>457</v>
      </c>
      <c r="AD221" s="30"/>
      <c r="AE221" s="30">
        <v>6302.6</v>
      </c>
    </row>
    <row r="222" spans="1:31" x14ac:dyDescent="0.25">
      <c r="A222">
        <v>7097</v>
      </c>
      <c r="B222" t="s">
        <v>431</v>
      </c>
      <c r="C222" t="s">
        <v>92</v>
      </c>
      <c r="D222" s="33">
        <v>11300</v>
      </c>
      <c r="E222">
        <v>1246058687</v>
      </c>
      <c r="F222" s="222">
        <v>44925</v>
      </c>
      <c r="G222" s="222"/>
      <c r="H222" t="s">
        <v>23</v>
      </c>
      <c r="I222" t="s">
        <v>24</v>
      </c>
      <c r="J222">
        <v>1246058687</v>
      </c>
      <c r="K222" s="222">
        <v>44910</v>
      </c>
      <c r="L222">
        <v>3041000</v>
      </c>
      <c r="M222" t="s">
        <v>124</v>
      </c>
      <c r="N222">
        <v>1248</v>
      </c>
      <c r="O222" s="30">
        <v>0</v>
      </c>
      <c r="P222" s="30">
        <v>11300</v>
      </c>
      <c r="Q222" s="30">
        <v>0</v>
      </c>
      <c r="R222" s="30">
        <v>0</v>
      </c>
      <c r="S222" s="30">
        <v>0</v>
      </c>
      <c r="T222" s="30">
        <v>0</v>
      </c>
      <c r="U222" s="30">
        <v>11300</v>
      </c>
      <c r="V222" s="30">
        <v>0</v>
      </c>
      <c r="W222" s="30">
        <v>339</v>
      </c>
      <c r="X222" s="30">
        <v>10961</v>
      </c>
      <c r="Y222" s="30">
        <v>10961</v>
      </c>
      <c r="Z222" s="30">
        <v>11300</v>
      </c>
      <c r="AA222" s="30">
        <v>0</v>
      </c>
      <c r="AB222" s="30">
        <v>11300</v>
      </c>
      <c r="AC222" s="30" t="s">
        <v>457</v>
      </c>
      <c r="AD222" s="30"/>
      <c r="AE222" s="30">
        <v>11300</v>
      </c>
    </row>
    <row r="223" spans="1:31" x14ac:dyDescent="0.25">
      <c r="A223">
        <v>7097</v>
      </c>
      <c r="B223" t="s">
        <v>431</v>
      </c>
      <c r="C223" t="s">
        <v>92</v>
      </c>
      <c r="D223" s="33">
        <v>10183.120000000001</v>
      </c>
      <c r="E223">
        <v>1246057240</v>
      </c>
      <c r="F223" s="222">
        <v>44922</v>
      </c>
      <c r="G223" s="222"/>
      <c r="H223" t="s">
        <v>23</v>
      </c>
      <c r="I223" t="s">
        <v>24</v>
      </c>
      <c r="J223">
        <v>71222</v>
      </c>
      <c r="K223" s="222">
        <v>44902</v>
      </c>
      <c r="L223">
        <v>3041000</v>
      </c>
      <c r="M223" t="s">
        <v>124</v>
      </c>
      <c r="N223">
        <v>1251</v>
      </c>
      <c r="O223" s="30">
        <v>0</v>
      </c>
      <c r="P223" s="30">
        <v>10183.120000000001</v>
      </c>
      <c r="Q223" s="30">
        <v>0</v>
      </c>
      <c r="R223" s="30">
        <v>0</v>
      </c>
      <c r="S223" s="30">
        <v>0</v>
      </c>
      <c r="T223" s="30">
        <v>0</v>
      </c>
      <c r="U223" s="30">
        <v>10183.120000000001</v>
      </c>
      <c r="V223" s="30">
        <v>0</v>
      </c>
      <c r="W223" s="30">
        <v>305.49360000000001</v>
      </c>
      <c r="X223" s="30">
        <v>9877.626400000001</v>
      </c>
      <c r="Y223" s="30">
        <v>9877.626400000001</v>
      </c>
      <c r="Z223" s="30">
        <v>10183.120000000001</v>
      </c>
      <c r="AA223" s="30">
        <v>0</v>
      </c>
      <c r="AB223" s="30">
        <v>10183.120000000001</v>
      </c>
      <c r="AC223" s="30" t="s">
        <v>457</v>
      </c>
      <c r="AD223" s="30"/>
      <c r="AE223" s="30">
        <v>10183.120000000001</v>
      </c>
    </row>
    <row r="224" spans="1:31" x14ac:dyDescent="0.25">
      <c r="A224">
        <v>7648</v>
      </c>
      <c r="B224" t="s">
        <v>364</v>
      </c>
      <c r="C224" t="s">
        <v>803</v>
      </c>
      <c r="D224" s="33">
        <v>69738.899999999994</v>
      </c>
      <c r="E224">
        <v>1246274164</v>
      </c>
      <c r="F224" s="222">
        <v>46185</v>
      </c>
      <c r="G224" s="222"/>
      <c r="H224" t="s">
        <v>23</v>
      </c>
      <c r="I224" t="s">
        <v>24</v>
      </c>
      <c r="J224">
        <v>11337</v>
      </c>
      <c r="K224" s="222">
        <v>46150</v>
      </c>
      <c r="L224">
        <v>1010100</v>
      </c>
      <c r="M224" t="s">
        <v>29</v>
      </c>
      <c r="N224">
        <v>-12</v>
      </c>
      <c r="O224" s="30">
        <v>0</v>
      </c>
      <c r="P224" s="30">
        <v>0</v>
      </c>
      <c r="Q224" s="30">
        <v>69738.899999999994</v>
      </c>
      <c r="R224" s="30">
        <v>0</v>
      </c>
      <c r="S224" s="30">
        <v>0</v>
      </c>
      <c r="T224" s="30">
        <v>0</v>
      </c>
      <c r="U224" s="30">
        <v>0</v>
      </c>
      <c r="V224" s="30">
        <v>0</v>
      </c>
      <c r="W224" s="30">
        <v>0</v>
      </c>
      <c r="X224" s="30">
        <v>0</v>
      </c>
      <c r="Y224" s="30">
        <v>0</v>
      </c>
      <c r="Z224" s="30">
        <v>0</v>
      </c>
      <c r="AA224" s="30">
        <v>0</v>
      </c>
      <c r="AB224" s="30">
        <v>0</v>
      </c>
      <c r="AC224" s="30" t="s">
        <v>407</v>
      </c>
      <c r="AD224" s="30"/>
      <c r="AE224" s="30">
        <v>0</v>
      </c>
    </row>
    <row r="225" spans="1:31" x14ac:dyDescent="0.25">
      <c r="A225">
        <v>7443</v>
      </c>
      <c r="B225" t="s">
        <v>431</v>
      </c>
      <c r="C225" t="s">
        <v>225</v>
      </c>
      <c r="D225" s="33">
        <v>1200</v>
      </c>
      <c r="E225">
        <v>1246156403</v>
      </c>
      <c r="F225" s="222">
        <v>45496</v>
      </c>
      <c r="G225" s="222"/>
      <c r="H225" t="s">
        <v>23</v>
      </c>
      <c r="I225" t="s">
        <v>24</v>
      </c>
      <c r="J225">
        <v>1246156403</v>
      </c>
      <c r="K225" s="222">
        <v>45481</v>
      </c>
      <c r="L225">
        <v>3041000</v>
      </c>
      <c r="M225" t="s">
        <v>124</v>
      </c>
      <c r="N225">
        <v>677</v>
      </c>
      <c r="O225" s="30">
        <v>0</v>
      </c>
      <c r="P225" s="30">
        <v>1200</v>
      </c>
      <c r="Q225" s="30">
        <v>0</v>
      </c>
      <c r="R225" s="30">
        <v>0</v>
      </c>
      <c r="S225" s="30">
        <v>0</v>
      </c>
      <c r="T225" s="30">
        <v>0</v>
      </c>
      <c r="U225" s="30">
        <v>1200</v>
      </c>
      <c r="V225" s="30">
        <v>0</v>
      </c>
      <c r="W225" s="30">
        <v>36</v>
      </c>
      <c r="X225" s="30">
        <v>1164</v>
      </c>
      <c r="Y225" s="30">
        <v>1164</v>
      </c>
      <c r="Z225" s="30">
        <v>1200</v>
      </c>
      <c r="AA225" s="30">
        <v>0</v>
      </c>
      <c r="AB225" s="30">
        <v>1200</v>
      </c>
      <c r="AC225" s="30" t="s">
        <v>457</v>
      </c>
      <c r="AD225" s="30"/>
      <c r="AE225" s="30">
        <v>1200</v>
      </c>
    </row>
    <row r="226" spans="1:31" x14ac:dyDescent="0.25">
      <c r="A226">
        <v>7443</v>
      </c>
      <c r="B226" t="s">
        <v>431</v>
      </c>
      <c r="C226" t="s">
        <v>225</v>
      </c>
      <c r="D226" s="33">
        <v>1200</v>
      </c>
      <c r="E226">
        <v>1246156396</v>
      </c>
      <c r="F226" s="222">
        <v>45496</v>
      </c>
      <c r="G226" s="222"/>
      <c r="H226" t="s">
        <v>23</v>
      </c>
      <c r="I226" t="s">
        <v>24</v>
      </c>
      <c r="J226">
        <v>1246156396</v>
      </c>
      <c r="K226" s="222">
        <v>45481</v>
      </c>
      <c r="L226">
        <v>3041000</v>
      </c>
      <c r="M226" t="s">
        <v>124</v>
      </c>
      <c r="N226">
        <v>677</v>
      </c>
      <c r="O226" s="30">
        <v>0</v>
      </c>
      <c r="P226" s="30">
        <v>1200</v>
      </c>
      <c r="Q226" s="30">
        <v>0</v>
      </c>
      <c r="R226" s="30">
        <v>0</v>
      </c>
      <c r="S226" s="30">
        <v>0</v>
      </c>
      <c r="T226" s="30">
        <v>0</v>
      </c>
      <c r="U226" s="30">
        <v>1200</v>
      </c>
      <c r="V226" s="30">
        <v>0</v>
      </c>
      <c r="W226" s="30">
        <v>36</v>
      </c>
      <c r="X226" s="30">
        <v>1164</v>
      </c>
      <c r="Y226" s="30">
        <v>1164</v>
      </c>
      <c r="Z226" s="30">
        <v>1200</v>
      </c>
      <c r="AA226" s="30">
        <v>0</v>
      </c>
      <c r="AB226" s="30">
        <v>1200</v>
      </c>
      <c r="AC226" s="30" t="s">
        <v>457</v>
      </c>
      <c r="AD226" s="30"/>
      <c r="AE226" s="30">
        <v>1200</v>
      </c>
    </row>
    <row r="227" spans="1:31" x14ac:dyDescent="0.25">
      <c r="A227">
        <v>7024</v>
      </c>
      <c r="B227" t="s">
        <v>431</v>
      </c>
      <c r="C227" t="s">
        <v>722</v>
      </c>
      <c r="D227" s="33">
        <v>70855.199999999997</v>
      </c>
      <c r="E227">
        <v>1246269662</v>
      </c>
      <c r="F227" s="222">
        <v>46201</v>
      </c>
      <c r="G227" s="222"/>
      <c r="H227" t="s">
        <v>23</v>
      </c>
      <c r="I227" t="s">
        <v>24</v>
      </c>
      <c r="J227">
        <v>11011</v>
      </c>
      <c r="K227" s="222">
        <v>46111</v>
      </c>
      <c r="L227">
        <v>1010100</v>
      </c>
      <c r="M227" t="s">
        <v>29</v>
      </c>
      <c r="N227">
        <v>-28</v>
      </c>
      <c r="O227" s="30">
        <v>0</v>
      </c>
      <c r="P227" s="30">
        <v>0</v>
      </c>
      <c r="Q227" s="30">
        <v>70855.199999999997</v>
      </c>
      <c r="R227" s="30">
        <v>0</v>
      </c>
      <c r="S227" s="30">
        <v>0</v>
      </c>
      <c r="T227" s="30">
        <v>0</v>
      </c>
      <c r="U227" s="30">
        <v>0</v>
      </c>
      <c r="V227" s="30">
        <v>0</v>
      </c>
      <c r="W227" s="30">
        <v>0</v>
      </c>
      <c r="X227" s="30">
        <v>0</v>
      </c>
      <c r="Y227" s="30">
        <v>0</v>
      </c>
      <c r="Z227" s="30">
        <v>0</v>
      </c>
      <c r="AA227" s="30">
        <v>0</v>
      </c>
      <c r="AB227" s="30">
        <v>0</v>
      </c>
      <c r="AC227" s="30" t="s">
        <v>457</v>
      </c>
      <c r="AD227" s="30"/>
      <c r="AE227" s="30">
        <v>0</v>
      </c>
    </row>
    <row r="228" spans="1:31" x14ac:dyDescent="0.25">
      <c r="A228">
        <v>7024</v>
      </c>
      <c r="B228" t="s">
        <v>431</v>
      </c>
      <c r="C228" t="s">
        <v>722</v>
      </c>
      <c r="D228" s="33">
        <v>71323.199999999997</v>
      </c>
      <c r="E228">
        <v>1246270943</v>
      </c>
      <c r="F228" s="222">
        <v>46212</v>
      </c>
      <c r="G228" s="222"/>
      <c r="H228" t="s">
        <v>23</v>
      </c>
      <c r="I228" t="s">
        <v>24</v>
      </c>
      <c r="J228">
        <v>11084</v>
      </c>
      <c r="K228" s="222">
        <v>46122</v>
      </c>
      <c r="L228">
        <v>1010100</v>
      </c>
      <c r="M228" t="s">
        <v>29</v>
      </c>
      <c r="N228">
        <v>-39</v>
      </c>
      <c r="O228" s="30">
        <v>0</v>
      </c>
      <c r="P228" s="30">
        <v>0</v>
      </c>
      <c r="Q228" s="30">
        <v>71323.199999999997</v>
      </c>
      <c r="R228" s="30">
        <v>0</v>
      </c>
      <c r="S228" s="30">
        <v>0</v>
      </c>
      <c r="T228" s="30">
        <v>0</v>
      </c>
      <c r="U228" s="30">
        <v>0</v>
      </c>
      <c r="V228" s="30">
        <v>0</v>
      </c>
      <c r="W228" s="30">
        <v>0</v>
      </c>
      <c r="X228" s="30">
        <v>0</v>
      </c>
      <c r="Y228" s="30">
        <v>0</v>
      </c>
      <c r="Z228" s="30">
        <v>0</v>
      </c>
      <c r="AA228" s="30">
        <v>0</v>
      </c>
      <c r="AB228" s="30">
        <v>0</v>
      </c>
      <c r="AC228" s="30" t="s">
        <v>457</v>
      </c>
      <c r="AD228" s="30"/>
      <c r="AE228" s="30">
        <v>0</v>
      </c>
    </row>
    <row r="229" spans="1:31" x14ac:dyDescent="0.25">
      <c r="A229">
        <v>7024</v>
      </c>
      <c r="B229" t="s">
        <v>431</v>
      </c>
      <c r="C229" t="s">
        <v>722</v>
      </c>
      <c r="D229" s="33">
        <v>71203.75</v>
      </c>
      <c r="E229">
        <v>1246275490</v>
      </c>
      <c r="F229" s="222">
        <v>46247</v>
      </c>
      <c r="G229" s="222"/>
      <c r="H229" t="s">
        <v>23</v>
      </c>
      <c r="I229" t="s">
        <v>24</v>
      </c>
      <c r="J229">
        <v>11414</v>
      </c>
      <c r="K229" s="222">
        <v>46157</v>
      </c>
      <c r="L229">
        <v>1010100</v>
      </c>
      <c r="M229" t="s">
        <v>29</v>
      </c>
      <c r="N229">
        <v>-74</v>
      </c>
      <c r="O229" s="30">
        <v>0</v>
      </c>
      <c r="P229" s="30">
        <v>0</v>
      </c>
      <c r="Q229" s="30">
        <v>71203.75</v>
      </c>
      <c r="R229" s="30">
        <v>0</v>
      </c>
      <c r="S229" s="30">
        <v>0</v>
      </c>
      <c r="T229" s="30">
        <v>0</v>
      </c>
      <c r="U229" s="30">
        <v>0</v>
      </c>
      <c r="V229" s="30">
        <v>0</v>
      </c>
      <c r="W229" s="30">
        <v>0</v>
      </c>
      <c r="X229" s="30">
        <v>0</v>
      </c>
      <c r="Y229" s="30">
        <v>0</v>
      </c>
      <c r="Z229" s="30">
        <v>0</v>
      </c>
      <c r="AA229" s="30">
        <v>0</v>
      </c>
      <c r="AB229" s="30">
        <v>0</v>
      </c>
      <c r="AC229" s="30" t="s">
        <v>457</v>
      </c>
      <c r="AD229" s="30"/>
      <c r="AE229" s="30">
        <v>0</v>
      </c>
    </row>
    <row r="230" spans="1:31" x14ac:dyDescent="0.25">
      <c r="A230">
        <v>7302</v>
      </c>
      <c r="B230" t="s">
        <v>431</v>
      </c>
      <c r="C230" t="s">
        <v>94</v>
      </c>
      <c r="D230" s="33">
        <v>1800</v>
      </c>
      <c r="E230">
        <v>1246045752</v>
      </c>
      <c r="F230" s="222">
        <v>44848</v>
      </c>
      <c r="G230" s="222"/>
      <c r="H230" t="s">
        <v>23</v>
      </c>
      <c r="I230" t="s">
        <v>24</v>
      </c>
      <c r="J230">
        <v>290922</v>
      </c>
      <c r="K230" s="222">
        <v>44833</v>
      </c>
      <c r="L230">
        <v>3041000</v>
      </c>
      <c r="M230" t="s">
        <v>124</v>
      </c>
      <c r="N230">
        <v>1325</v>
      </c>
      <c r="O230" s="30">
        <v>0</v>
      </c>
      <c r="P230" s="30">
        <v>1800</v>
      </c>
      <c r="Q230" s="30">
        <v>0</v>
      </c>
      <c r="R230" s="30">
        <v>0</v>
      </c>
      <c r="S230" s="30">
        <v>0</v>
      </c>
      <c r="T230" s="30">
        <v>0</v>
      </c>
      <c r="U230" s="30">
        <v>1800</v>
      </c>
      <c r="V230" s="30">
        <v>0</v>
      </c>
      <c r="W230" s="30">
        <v>54</v>
      </c>
      <c r="X230" s="30">
        <v>1746</v>
      </c>
      <c r="Y230" s="30">
        <v>1746</v>
      </c>
      <c r="Z230" s="30">
        <v>1800</v>
      </c>
      <c r="AA230" s="30">
        <v>0</v>
      </c>
      <c r="AB230" s="30">
        <v>1800</v>
      </c>
      <c r="AC230" s="30" t="s">
        <v>457</v>
      </c>
      <c r="AD230" s="30"/>
      <c r="AE230" s="30">
        <v>1800</v>
      </c>
    </row>
    <row r="231" spans="1:31" x14ac:dyDescent="0.25">
      <c r="A231">
        <v>7302</v>
      </c>
      <c r="B231" t="s">
        <v>431</v>
      </c>
      <c r="C231" t="s">
        <v>94</v>
      </c>
      <c r="D231" s="33">
        <v>7200</v>
      </c>
      <c r="E231">
        <v>1246033417</v>
      </c>
      <c r="F231" s="222">
        <v>44792</v>
      </c>
      <c r="G231" s="222"/>
      <c r="H231" t="s">
        <v>23</v>
      </c>
      <c r="I231" t="s">
        <v>24</v>
      </c>
      <c r="J231">
        <v>1246033417</v>
      </c>
      <c r="K231" s="222">
        <v>44777</v>
      </c>
      <c r="L231">
        <v>3041000</v>
      </c>
      <c r="M231" t="s">
        <v>124</v>
      </c>
      <c r="N231">
        <v>1381</v>
      </c>
      <c r="O231" s="30">
        <v>0</v>
      </c>
      <c r="P231" s="30">
        <v>7200</v>
      </c>
      <c r="Q231" s="30">
        <v>0</v>
      </c>
      <c r="R231" s="30">
        <v>0</v>
      </c>
      <c r="S231" s="30">
        <v>0</v>
      </c>
      <c r="T231" s="30">
        <v>0</v>
      </c>
      <c r="U231" s="30">
        <v>7200</v>
      </c>
      <c r="V231" s="30">
        <v>0</v>
      </c>
      <c r="W231" s="30">
        <v>216</v>
      </c>
      <c r="X231" s="30">
        <v>6984</v>
      </c>
      <c r="Y231" s="30">
        <v>6984</v>
      </c>
      <c r="Z231" s="30">
        <v>7200</v>
      </c>
      <c r="AA231" s="30">
        <v>0</v>
      </c>
      <c r="AB231" s="30">
        <v>7200</v>
      </c>
      <c r="AC231" s="30" t="s">
        <v>457</v>
      </c>
      <c r="AD231" s="30"/>
      <c r="AE231" s="30">
        <v>7200</v>
      </c>
    </row>
    <row r="232" spans="1:31" x14ac:dyDescent="0.25">
      <c r="A232">
        <v>7302</v>
      </c>
      <c r="B232" t="s">
        <v>431</v>
      </c>
      <c r="C232" t="s">
        <v>94</v>
      </c>
      <c r="D232" s="33">
        <v>1431.76</v>
      </c>
      <c r="E232">
        <v>1246062794</v>
      </c>
      <c r="F232" s="222">
        <v>44939</v>
      </c>
      <c r="G232" s="222"/>
      <c r="H232" t="s">
        <v>23</v>
      </c>
      <c r="I232" t="s">
        <v>24</v>
      </c>
      <c r="J232">
        <v>19884</v>
      </c>
      <c r="K232" s="222">
        <v>44879</v>
      </c>
      <c r="L232">
        <v>1010100</v>
      </c>
      <c r="M232" t="s">
        <v>29</v>
      </c>
      <c r="N232">
        <v>1234</v>
      </c>
      <c r="O232" s="30">
        <v>0</v>
      </c>
      <c r="P232" s="30">
        <v>1431.76</v>
      </c>
      <c r="Q232" s="30">
        <v>0</v>
      </c>
      <c r="R232" s="30">
        <v>0</v>
      </c>
      <c r="S232" s="30">
        <v>0</v>
      </c>
      <c r="T232" s="30">
        <v>0</v>
      </c>
      <c r="U232" s="30">
        <v>1431.76</v>
      </c>
      <c r="V232" s="30">
        <v>0</v>
      </c>
      <c r="W232" s="30">
        <v>42.952799999999996</v>
      </c>
      <c r="X232" s="30">
        <v>1388.8072</v>
      </c>
      <c r="Y232" s="30">
        <v>1388.8072</v>
      </c>
      <c r="Z232" s="30">
        <v>1431.76</v>
      </c>
      <c r="AA232" s="30">
        <v>0</v>
      </c>
      <c r="AB232" s="30">
        <v>1431.76</v>
      </c>
      <c r="AC232" s="30" t="s">
        <v>457</v>
      </c>
      <c r="AD232" s="30"/>
      <c r="AE232" s="30">
        <v>1431.76</v>
      </c>
    </row>
    <row r="233" spans="1:31" x14ac:dyDescent="0.25">
      <c r="A233">
        <v>7302</v>
      </c>
      <c r="B233" t="s">
        <v>431</v>
      </c>
      <c r="C233" t="s">
        <v>94</v>
      </c>
      <c r="D233" s="33">
        <v>9000</v>
      </c>
      <c r="E233">
        <v>1246054438</v>
      </c>
      <c r="F233" s="222">
        <v>44897</v>
      </c>
      <c r="G233" s="222"/>
      <c r="H233" t="s">
        <v>23</v>
      </c>
      <c r="I233" t="s">
        <v>24</v>
      </c>
      <c r="J233">
        <v>1246054438</v>
      </c>
      <c r="K233" s="222">
        <v>44882</v>
      </c>
      <c r="L233">
        <v>3041000</v>
      </c>
      <c r="M233" t="s">
        <v>124</v>
      </c>
      <c r="N233">
        <v>1276</v>
      </c>
      <c r="O233" s="30">
        <v>0</v>
      </c>
      <c r="P233" s="30">
        <v>9000</v>
      </c>
      <c r="Q233" s="30">
        <v>0</v>
      </c>
      <c r="R233" s="30">
        <v>0</v>
      </c>
      <c r="S233" s="30">
        <v>0</v>
      </c>
      <c r="T233" s="30">
        <v>0</v>
      </c>
      <c r="U233" s="30">
        <v>9000</v>
      </c>
      <c r="V233" s="30">
        <v>0</v>
      </c>
      <c r="W233" s="30">
        <v>270</v>
      </c>
      <c r="X233" s="30">
        <v>8730</v>
      </c>
      <c r="Y233" s="30">
        <v>8730</v>
      </c>
      <c r="Z233" s="30">
        <v>9000</v>
      </c>
      <c r="AA233" s="30">
        <v>0</v>
      </c>
      <c r="AB233" s="30">
        <v>9000</v>
      </c>
      <c r="AC233" s="30" t="s">
        <v>457</v>
      </c>
      <c r="AD233" s="30"/>
      <c r="AE233" s="30">
        <v>9000</v>
      </c>
    </row>
    <row r="234" spans="1:31" x14ac:dyDescent="0.25">
      <c r="A234">
        <v>7302</v>
      </c>
      <c r="B234" t="s">
        <v>431</v>
      </c>
      <c r="C234" t="s">
        <v>94</v>
      </c>
      <c r="D234" s="33">
        <v>7200</v>
      </c>
      <c r="E234">
        <v>1246057914</v>
      </c>
      <c r="F234" s="222">
        <v>44922</v>
      </c>
      <c r="G234" s="222"/>
      <c r="H234" t="s">
        <v>23</v>
      </c>
      <c r="I234" t="s">
        <v>24</v>
      </c>
      <c r="J234">
        <v>1246057914</v>
      </c>
      <c r="K234" s="222">
        <v>44907</v>
      </c>
      <c r="L234">
        <v>3041000</v>
      </c>
      <c r="M234" t="s">
        <v>124</v>
      </c>
      <c r="N234">
        <v>1251</v>
      </c>
      <c r="O234" s="30">
        <v>0</v>
      </c>
      <c r="P234" s="30">
        <v>7200</v>
      </c>
      <c r="Q234" s="30">
        <v>0</v>
      </c>
      <c r="R234" s="30">
        <v>0</v>
      </c>
      <c r="S234" s="30">
        <v>0</v>
      </c>
      <c r="T234" s="30">
        <v>0</v>
      </c>
      <c r="U234" s="30">
        <v>7200</v>
      </c>
      <c r="V234" s="30">
        <v>0</v>
      </c>
      <c r="W234" s="30">
        <v>216</v>
      </c>
      <c r="X234" s="30">
        <v>6984</v>
      </c>
      <c r="Y234" s="30">
        <v>6984</v>
      </c>
      <c r="Z234" s="30">
        <v>7200</v>
      </c>
      <c r="AA234" s="30">
        <v>0</v>
      </c>
      <c r="AB234" s="30">
        <v>7200</v>
      </c>
      <c r="AC234" s="30" t="s">
        <v>457</v>
      </c>
      <c r="AD234" s="30"/>
      <c r="AE234" s="30">
        <v>7200</v>
      </c>
    </row>
    <row r="235" spans="1:31" x14ac:dyDescent="0.25">
      <c r="A235">
        <v>7302</v>
      </c>
      <c r="B235" t="s">
        <v>431</v>
      </c>
      <c r="C235" t="s">
        <v>94</v>
      </c>
      <c r="D235" s="33">
        <v>2517.4</v>
      </c>
      <c r="E235">
        <v>1246055324</v>
      </c>
      <c r="F235" s="222">
        <v>44887</v>
      </c>
      <c r="G235" s="222"/>
      <c r="H235" t="s">
        <v>23</v>
      </c>
      <c r="I235" t="s">
        <v>24</v>
      </c>
      <c r="J235">
        <v>19314</v>
      </c>
      <c r="K235" s="222">
        <v>44827</v>
      </c>
      <c r="L235">
        <v>1010100</v>
      </c>
      <c r="M235" t="s">
        <v>29</v>
      </c>
      <c r="N235">
        <v>1286</v>
      </c>
      <c r="O235" s="30">
        <v>0</v>
      </c>
      <c r="P235" s="30">
        <v>2517.4</v>
      </c>
      <c r="Q235" s="30">
        <v>0</v>
      </c>
      <c r="R235" s="30">
        <v>0</v>
      </c>
      <c r="S235" s="30">
        <v>0</v>
      </c>
      <c r="T235" s="30">
        <v>0</v>
      </c>
      <c r="U235" s="30">
        <v>2517.4</v>
      </c>
      <c r="V235" s="30">
        <v>0</v>
      </c>
      <c r="W235" s="30">
        <v>75.522000000000006</v>
      </c>
      <c r="X235" s="30">
        <v>2441.8780000000002</v>
      </c>
      <c r="Y235" s="30">
        <v>2441.8780000000002</v>
      </c>
      <c r="Z235" s="30">
        <v>2517.4</v>
      </c>
      <c r="AA235" s="30">
        <v>0</v>
      </c>
      <c r="AB235" s="30">
        <v>2517.4</v>
      </c>
      <c r="AC235" s="30" t="s">
        <v>457</v>
      </c>
      <c r="AD235" s="30"/>
      <c r="AE235" s="30">
        <v>2517.4</v>
      </c>
    </row>
    <row r="236" spans="1:31" x14ac:dyDescent="0.25">
      <c r="A236">
        <v>7302</v>
      </c>
      <c r="B236" t="s">
        <v>431</v>
      </c>
      <c r="C236" t="s">
        <v>94</v>
      </c>
      <c r="D236" s="33">
        <v>36679.800000000003</v>
      </c>
      <c r="E236">
        <v>1246272740</v>
      </c>
      <c r="F236" s="222">
        <v>46229</v>
      </c>
      <c r="G236" s="222"/>
      <c r="H236" t="s">
        <v>23</v>
      </c>
      <c r="I236" t="s">
        <v>24</v>
      </c>
      <c r="J236">
        <v>11223</v>
      </c>
      <c r="K236" s="222">
        <v>46139</v>
      </c>
      <c r="L236">
        <v>1010100</v>
      </c>
      <c r="M236" t="s">
        <v>29</v>
      </c>
      <c r="N236">
        <v>-56</v>
      </c>
      <c r="O236" s="30">
        <v>0</v>
      </c>
      <c r="P236" s="30">
        <v>0</v>
      </c>
      <c r="Q236" s="30">
        <v>36679.800000000003</v>
      </c>
      <c r="R236" s="30">
        <v>0</v>
      </c>
      <c r="S236" s="30">
        <v>0</v>
      </c>
      <c r="T236" s="30">
        <v>0</v>
      </c>
      <c r="U236" s="30">
        <v>0</v>
      </c>
      <c r="V236" s="30">
        <v>0</v>
      </c>
      <c r="W236" s="30">
        <v>0</v>
      </c>
      <c r="X236" s="30">
        <v>0</v>
      </c>
      <c r="Y236" s="30">
        <v>0</v>
      </c>
      <c r="Z236" s="30">
        <v>0</v>
      </c>
      <c r="AA236" s="30">
        <v>0</v>
      </c>
      <c r="AB236" s="30">
        <v>0</v>
      </c>
      <c r="AC236" s="30" t="s">
        <v>457</v>
      </c>
      <c r="AD236" s="30"/>
      <c r="AE236" s="30">
        <v>0</v>
      </c>
    </row>
    <row r="237" spans="1:31" x14ac:dyDescent="0.25">
      <c r="A237">
        <v>7302</v>
      </c>
      <c r="B237" t="s">
        <v>431</v>
      </c>
      <c r="C237" t="s">
        <v>94</v>
      </c>
      <c r="D237" s="33">
        <v>67867.8</v>
      </c>
      <c r="E237">
        <v>1246270495</v>
      </c>
      <c r="F237" s="222">
        <v>46209</v>
      </c>
      <c r="G237" s="222"/>
      <c r="H237" t="s">
        <v>23</v>
      </c>
      <c r="I237" t="s">
        <v>24</v>
      </c>
      <c r="J237">
        <v>11064</v>
      </c>
      <c r="K237" s="222">
        <v>46119</v>
      </c>
      <c r="L237">
        <v>1010100</v>
      </c>
      <c r="M237" t="s">
        <v>29</v>
      </c>
      <c r="N237">
        <v>-36</v>
      </c>
      <c r="O237" s="30">
        <v>0</v>
      </c>
      <c r="P237" s="30">
        <v>0</v>
      </c>
      <c r="Q237" s="30">
        <v>67867.8</v>
      </c>
      <c r="R237" s="30">
        <v>0</v>
      </c>
      <c r="S237" s="30">
        <v>0</v>
      </c>
      <c r="T237" s="30">
        <v>0</v>
      </c>
      <c r="U237" s="30">
        <v>0</v>
      </c>
      <c r="V237" s="30">
        <v>0</v>
      </c>
      <c r="W237" s="30">
        <v>0</v>
      </c>
      <c r="X237" s="30">
        <v>0</v>
      </c>
      <c r="Y237" s="30">
        <v>0</v>
      </c>
      <c r="Z237" s="30">
        <v>0</v>
      </c>
      <c r="AA237" s="30">
        <v>0</v>
      </c>
      <c r="AB237" s="30">
        <v>0</v>
      </c>
      <c r="AC237" s="30" t="s">
        <v>457</v>
      </c>
      <c r="AD237" s="30"/>
      <c r="AE237" s="30">
        <v>0</v>
      </c>
    </row>
    <row r="238" spans="1:31" x14ac:dyDescent="0.25">
      <c r="A238">
        <v>7302</v>
      </c>
      <c r="B238" t="s">
        <v>431</v>
      </c>
      <c r="C238" t="s">
        <v>94</v>
      </c>
      <c r="D238" s="33">
        <v>181231</v>
      </c>
      <c r="E238">
        <v>1246273299</v>
      </c>
      <c r="F238" s="222">
        <v>46232</v>
      </c>
      <c r="G238" s="222"/>
      <c r="H238" t="s">
        <v>23</v>
      </c>
      <c r="I238" t="s">
        <v>24</v>
      </c>
      <c r="J238">
        <v>11276</v>
      </c>
      <c r="K238" s="222">
        <v>46142</v>
      </c>
      <c r="L238">
        <v>1010100</v>
      </c>
      <c r="M238" t="s">
        <v>29</v>
      </c>
      <c r="N238">
        <v>-59</v>
      </c>
      <c r="O238" s="30">
        <v>0</v>
      </c>
      <c r="P238" s="30">
        <v>0</v>
      </c>
      <c r="Q238" s="30">
        <v>181231</v>
      </c>
      <c r="R238" s="30">
        <v>0</v>
      </c>
      <c r="S238" s="30">
        <v>0</v>
      </c>
      <c r="T238" s="30">
        <v>0</v>
      </c>
      <c r="U238" s="30">
        <v>0</v>
      </c>
      <c r="V238" s="30">
        <v>0</v>
      </c>
      <c r="W238" s="30">
        <v>0</v>
      </c>
      <c r="X238" s="30">
        <v>0</v>
      </c>
      <c r="Y238" s="30">
        <v>0</v>
      </c>
      <c r="Z238" s="30">
        <v>0</v>
      </c>
      <c r="AA238" s="30">
        <v>0</v>
      </c>
      <c r="AB238" s="30">
        <v>0</v>
      </c>
      <c r="AC238" s="30" t="s">
        <v>457</v>
      </c>
      <c r="AD238" s="30"/>
      <c r="AE238" s="30">
        <v>0</v>
      </c>
    </row>
    <row r="239" spans="1:31" x14ac:dyDescent="0.25">
      <c r="A239">
        <v>7302</v>
      </c>
      <c r="B239" t="s">
        <v>431</v>
      </c>
      <c r="C239" t="s">
        <v>94</v>
      </c>
      <c r="D239" s="33">
        <v>34441.589999999997</v>
      </c>
      <c r="E239">
        <v>1246274568</v>
      </c>
      <c r="F239" s="222">
        <v>46244</v>
      </c>
      <c r="G239" s="222"/>
      <c r="H239" t="s">
        <v>23</v>
      </c>
      <c r="I239" t="s">
        <v>24</v>
      </c>
      <c r="J239">
        <v>11362</v>
      </c>
      <c r="K239" s="222">
        <v>46154</v>
      </c>
      <c r="L239">
        <v>1010100</v>
      </c>
      <c r="M239" t="s">
        <v>29</v>
      </c>
      <c r="N239">
        <v>-71</v>
      </c>
      <c r="O239" s="30">
        <v>0</v>
      </c>
      <c r="P239" s="30">
        <v>0</v>
      </c>
      <c r="Q239" s="30">
        <v>34441.589999999997</v>
      </c>
      <c r="R239" s="30">
        <v>0</v>
      </c>
      <c r="S239" s="30">
        <v>0</v>
      </c>
      <c r="T239" s="30">
        <v>0</v>
      </c>
      <c r="U239" s="30">
        <v>0</v>
      </c>
      <c r="V239" s="30">
        <v>0</v>
      </c>
      <c r="W239" s="30">
        <v>0</v>
      </c>
      <c r="X239" s="30">
        <v>0</v>
      </c>
      <c r="Y239" s="30">
        <v>0</v>
      </c>
      <c r="Z239" s="30">
        <v>0</v>
      </c>
      <c r="AA239" s="30">
        <v>0</v>
      </c>
      <c r="AB239" s="30">
        <v>0</v>
      </c>
      <c r="AC239" s="30" t="s">
        <v>457</v>
      </c>
      <c r="AD239" s="30"/>
      <c r="AE239" s="30">
        <v>0</v>
      </c>
    </row>
    <row r="240" spans="1:31" x14ac:dyDescent="0.25">
      <c r="A240">
        <v>7302</v>
      </c>
      <c r="B240" t="s">
        <v>431</v>
      </c>
      <c r="C240" t="s">
        <v>94</v>
      </c>
      <c r="D240" s="33">
        <v>91500</v>
      </c>
      <c r="E240">
        <v>1246275476</v>
      </c>
      <c r="F240" s="222">
        <v>46247</v>
      </c>
      <c r="G240" s="222"/>
      <c r="H240" t="s">
        <v>23</v>
      </c>
      <c r="I240" t="s">
        <v>24</v>
      </c>
      <c r="J240">
        <v>11412</v>
      </c>
      <c r="K240" s="222">
        <v>46157</v>
      </c>
      <c r="L240">
        <v>1010100</v>
      </c>
      <c r="M240" t="s">
        <v>29</v>
      </c>
      <c r="N240">
        <v>-74</v>
      </c>
      <c r="O240" s="30">
        <v>0</v>
      </c>
      <c r="P240" s="30">
        <v>0</v>
      </c>
      <c r="Q240" s="30">
        <v>91500</v>
      </c>
      <c r="R240" s="30">
        <v>0</v>
      </c>
      <c r="S240" s="30">
        <v>0</v>
      </c>
      <c r="T240" s="30">
        <v>0</v>
      </c>
      <c r="U240" s="30">
        <v>0</v>
      </c>
      <c r="V240" s="30">
        <v>0</v>
      </c>
      <c r="W240" s="30">
        <v>0</v>
      </c>
      <c r="X240" s="30">
        <v>0</v>
      </c>
      <c r="Y240" s="30">
        <v>0</v>
      </c>
      <c r="Z240" s="30">
        <v>0</v>
      </c>
      <c r="AA240" s="30">
        <v>0</v>
      </c>
      <c r="AB240" s="30">
        <v>0</v>
      </c>
      <c r="AC240" s="30" t="s">
        <v>457</v>
      </c>
      <c r="AD240" s="30"/>
      <c r="AE240" s="30">
        <v>0</v>
      </c>
    </row>
    <row r="241" spans="1:31" x14ac:dyDescent="0.25">
      <c r="A241">
        <v>7302</v>
      </c>
      <c r="B241" t="s">
        <v>431</v>
      </c>
      <c r="C241" t="s">
        <v>94</v>
      </c>
      <c r="D241" s="33">
        <v>129924</v>
      </c>
      <c r="E241">
        <v>1246268530</v>
      </c>
      <c r="F241" s="222">
        <v>46191</v>
      </c>
      <c r="G241" s="222"/>
      <c r="H241" t="s">
        <v>23</v>
      </c>
      <c r="I241" t="s">
        <v>24</v>
      </c>
      <c r="J241">
        <v>10941</v>
      </c>
      <c r="K241" s="222">
        <v>46101</v>
      </c>
      <c r="L241">
        <v>1010100</v>
      </c>
      <c r="M241" t="s">
        <v>29</v>
      </c>
      <c r="N241">
        <v>-18</v>
      </c>
      <c r="O241" s="30">
        <v>0</v>
      </c>
      <c r="P241" s="30">
        <v>0</v>
      </c>
      <c r="Q241" s="30">
        <v>129924</v>
      </c>
      <c r="R241" s="30">
        <v>0</v>
      </c>
      <c r="S241" s="30">
        <v>0</v>
      </c>
      <c r="T241" s="30">
        <v>0</v>
      </c>
      <c r="U241" s="30">
        <v>0</v>
      </c>
      <c r="V241" s="30">
        <v>0</v>
      </c>
      <c r="W241" s="30">
        <v>0</v>
      </c>
      <c r="X241" s="30">
        <v>0</v>
      </c>
      <c r="Y241" s="30">
        <v>0</v>
      </c>
      <c r="Z241" s="30">
        <v>0</v>
      </c>
      <c r="AA241" s="30">
        <v>0</v>
      </c>
      <c r="AB241" s="30">
        <v>0</v>
      </c>
      <c r="AC241" s="30" t="s">
        <v>457</v>
      </c>
      <c r="AD241" s="30"/>
      <c r="AE241" s="30">
        <v>0</v>
      </c>
    </row>
    <row r="242" spans="1:31" x14ac:dyDescent="0.25">
      <c r="A242">
        <v>7302</v>
      </c>
      <c r="B242" t="s">
        <v>431</v>
      </c>
      <c r="C242" t="s">
        <v>94</v>
      </c>
      <c r="D242" s="33">
        <v>64.2</v>
      </c>
      <c r="E242">
        <v>1246226087</v>
      </c>
      <c r="F242" s="222">
        <v>45919</v>
      </c>
      <c r="G242" s="222"/>
      <c r="H242" t="s">
        <v>23</v>
      </c>
      <c r="I242" t="s">
        <v>24</v>
      </c>
      <c r="J242">
        <v>8559</v>
      </c>
      <c r="K242" s="222">
        <v>45859</v>
      </c>
      <c r="L242">
        <v>1010100</v>
      </c>
      <c r="M242" t="s">
        <v>29</v>
      </c>
      <c r="N242">
        <v>254</v>
      </c>
      <c r="O242" s="30">
        <v>0</v>
      </c>
      <c r="P242" s="30">
        <v>1.9259999999999999</v>
      </c>
      <c r="Q242" s="30">
        <v>0</v>
      </c>
      <c r="R242" s="30">
        <v>0</v>
      </c>
      <c r="S242" s="30">
        <v>0</v>
      </c>
      <c r="T242" s="30">
        <v>64.2</v>
      </c>
      <c r="U242" s="30">
        <v>0</v>
      </c>
      <c r="V242" s="30">
        <v>0</v>
      </c>
      <c r="W242" s="30">
        <v>1.9259999999999999</v>
      </c>
      <c r="X242" s="30">
        <v>0</v>
      </c>
      <c r="Y242" s="30">
        <v>0</v>
      </c>
      <c r="Z242" s="30">
        <v>64.2</v>
      </c>
      <c r="AA242" s="30">
        <v>0</v>
      </c>
      <c r="AB242" s="30">
        <v>1.9259999999999999</v>
      </c>
      <c r="AC242" s="30" t="s">
        <v>457</v>
      </c>
      <c r="AD242" s="30"/>
      <c r="AE242" s="30">
        <v>1.9259999999999999</v>
      </c>
    </row>
    <row r="243" spans="1:31" x14ac:dyDescent="0.25">
      <c r="A243">
        <v>6415</v>
      </c>
      <c r="B243" t="s">
        <v>431</v>
      </c>
      <c r="C243" t="s">
        <v>126</v>
      </c>
      <c r="D243" s="33">
        <v>3600</v>
      </c>
      <c r="E243">
        <v>1245985693</v>
      </c>
      <c r="F243" s="222">
        <v>44692</v>
      </c>
      <c r="G243" s="222"/>
      <c r="H243" t="s">
        <v>23</v>
      </c>
      <c r="I243" t="s">
        <v>24</v>
      </c>
      <c r="J243">
        <v>1245985693</v>
      </c>
      <c r="K243" s="222">
        <v>44531</v>
      </c>
      <c r="L243">
        <v>3041000</v>
      </c>
      <c r="M243" t="s">
        <v>124</v>
      </c>
      <c r="N243">
        <v>1481</v>
      </c>
      <c r="O243" s="30">
        <v>0</v>
      </c>
      <c r="P243" s="30">
        <v>3600</v>
      </c>
      <c r="Q243" s="30">
        <v>0</v>
      </c>
      <c r="R243" s="30">
        <v>0</v>
      </c>
      <c r="S243" s="30">
        <v>0</v>
      </c>
      <c r="T243" s="30">
        <v>0</v>
      </c>
      <c r="U243" s="30">
        <v>3600</v>
      </c>
      <c r="V243" s="30">
        <v>0</v>
      </c>
      <c r="W243" s="30">
        <v>108</v>
      </c>
      <c r="X243" s="30">
        <v>3492</v>
      </c>
      <c r="Y243" s="30">
        <v>3492</v>
      </c>
      <c r="Z243" s="30">
        <v>3600</v>
      </c>
      <c r="AA243" s="30">
        <v>0</v>
      </c>
      <c r="AB243" s="30">
        <v>3600</v>
      </c>
      <c r="AC243" s="30" t="s">
        <v>457</v>
      </c>
      <c r="AD243" s="30"/>
      <c r="AE243" s="30">
        <v>3600</v>
      </c>
    </row>
    <row r="244" spans="1:31" x14ac:dyDescent="0.25">
      <c r="A244">
        <v>7103</v>
      </c>
      <c r="B244" t="s">
        <v>431</v>
      </c>
      <c r="C244" t="s">
        <v>483</v>
      </c>
      <c r="D244" s="33">
        <v>57019</v>
      </c>
      <c r="E244">
        <v>1246269403</v>
      </c>
      <c r="F244" s="222">
        <v>46198</v>
      </c>
      <c r="G244" s="222"/>
      <c r="H244" t="s">
        <v>23</v>
      </c>
      <c r="I244" t="s">
        <v>24</v>
      </c>
      <c r="J244">
        <v>10985</v>
      </c>
      <c r="K244" s="222">
        <v>46108</v>
      </c>
      <c r="L244">
        <v>1010100</v>
      </c>
      <c r="M244" t="s">
        <v>29</v>
      </c>
      <c r="N244">
        <v>-25</v>
      </c>
      <c r="O244" s="30">
        <v>0</v>
      </c>
      <c r="P244" s="30">
        <v>0</v>
      </c>
      <c r="Q244" s="30">
        <v>57019</v>
      </c>
      <c r="R244" s="30">
        <v>0</v>
      </c>
      <c r="S244" s="30">
        <v>0</v>
      </c>
      <c r="T244" s="30">
        <v>0</v>
      </c>
      <c r="U244" s="30">
        <v>0</v>
      </c>
      <c r="V244" s="30">
        <v>0</v>
      </c>
      <c r="W244" s="30">
        <v>0</v>
      </c>
      <c r="X244" s="30">
        <v>0</v>
      </c>
      <c r="Y244" s="30">
        <v>0</v>
      </c>
      <c r="Z244" s="30">
        <v>0</v>
      </c>
      <c r="AA244" s="30">
        <v>0</v>
      </c>
      <c r="AB244" s="30">
        <v>0</v>
      </c>
      <c r="AC244" s="30" t="s">
        <v>457</v>
      </c>
      <c r="AD244" s="30"/>
      <c r="AE244" s="30">
        <v>0</v>
      </c>
    </row>
    <row r="245" spans="1:31" x14ac:dyDescent="0.25">
      <c r="A245">
        <v>8413</v>
      </c>
      <c r="B245" t="s">
        <v>353</v>
      </c>
      <c r="C245" t="s">
        <v>774</v>
      </c>
      <c r="D245" s="33">
        <v>94346</v>
      </c>
      <c r="E245">
        <v>1246273107</v>
      </c>
      <c r="F245" s="222">
        <v>46201</v>
      </c>
      <c r="G245" s="222"/>
      <c r="H245" t="s">
        <v>23</v>
      </c>
      <c r="I245" t="s">
        <v>24</v>
      </c>
      <c r="J245">
        <v>11262</v>
      </c>
      <c r="K245" s="222">
        <v>46141</v>
      </c>
      <c r="L245">
        <v>1010100</v>
      </c>
      <c r="M245" t="s">
        <v>29</v>
      </c>
      <c r="N245">
        <v>-28</v>
      </c>
      <c r="O245" s="30">
        <v>0</v>
      </c>
      <c r="P245" s="30">
        <v>0</v>
      </c>
      <c r="Q245" s="30">
        <v>94346</v>
      </c>
      <c r="R245" s="30">
        <v>0</v>
      </c>
      <c r="S245" s="30">
        <v>0</v>
      </c>
      <c r="T245" s="30">
        <v>0</v>
      </c>
      <c r="U245" s="30">
        <v>0</v>
      </c>
      <c r="V245" s="30">
        <v>0</v>
      </c>
      <c r="W245" s="30">
        <v>0</v>
      </c>
      <c r="X245" s="30">
        <v>0</v>
      </c>
      <c r="Y245" s="30">
        <v>0</v>
      </c>
      <c r="Z245" s="30">
        <v>0</v>
      </c>
      <c r="AA245" s="30">
        <v>0</v>
      </c>
      <c r="AB245" s="30">
        <v>0</v>
      </c>
      <c r="AC245" s="30" t="s">
        <v>407</v>
      </c>
      <c r="AD245" s="30"/>
      <c r="AE245" s="30">
        <v>0</v>
      </c>
    </row>
    <row r="246" spans="1:31" x14ac:dyDescent="0.25">
      <c r="A246">
        <v>8414</v>
      </c>
      <c r="B246" t="s">
        <v>353</v>
      </c>
      <c r="C246" t="s">
        <v>804</v>
      </c>
      <c r="D246" s="33">
        <v>79884.2</v>
      </c>
      <c r="E246">
        <v>1246274298</v>
      </c>
      <c r="F246" s="222">
        <v>46213</v>
      </c>
      <c r="G246" s="222"/>
      <c r="H246" t="s">
        <v>23</v>
      </c>
      <c r="I246" t="s">
        <v>24</v>
      </c>
      <c r="J246">
        <v>11344</v>
      </c>
      <c r="K246" s="222">
        <v>46153</v>
      </c>
      <c r="L246">
        <v>1010100</v>
      </c>
      <c r="M246" t="s">
        <v>29</v>
      </c>
      <c r="N246">
        <v>-40</v>
      </c>
      <c r="O246" s="30">
        <v>0</v>
      </c>
      <c r="P246" s="30">
        <v>0</v>
      </c>
      <c r="Q246" s="30">
        <v>79884.2</v>
      </c>
      <c r="R246" s="30">
        <v>0</v>
      </c>
      <c r="S246" s="30">
        <v>0</v>
      </c>
      <c r="T246" s="30">
        <v>0</v>
      </c>
      <c r="U246" s="30">
        <v>0</v>
      </c>
      <c r="V246" s="30">
        <v>0</v>
      </c>
      <c r="W246" s="30">
        <v>0</v>
      </c>
      <c r="X246" s="30">
        <v>0</v>
      </c>
      <c r="Y246" s="30">
        <v>0</v>
      </c>
      <c r="Z246" s="30">
        <v>0</v>
      </c>
      <c r="AA246" s="30">
        <v>0</v>
      </c>
      <c r="AB246" s="30">
        <v>0</v>
      </c>
      <c r="AC246" s="30" t="s">
        <v>407</v>
      </c>
      <c r="AD246" s="30"/>
      <c r="AE246" s="30">
        <v>0</v>
      </c>
    </row>
    <row r="247" spans="1:31" x14ac:dyDescent="0.25">
      <c r="A247">
        <v>9824</v>
      </c>
      <c r="B247" t="s">
        <v>366</v>
      </c>
      <c r="C247" t="s">
        <v>173</v>
      </c>
      <c r="D247" s="33">
        <v>69971.199999999997</v>
      </c>
      <c r="E247">
        <v>1246154720</v>
      </c>
      <c r="F247" s="222">
        <v>45738</v>
      </c>
      <c r="G247" s="222"/>
      <c r="H247" t="s">
        <v>156</v>
      </c>
      <c r="I247" t="s">
        <v>157</v>
      </c>
      <c r="J247">
        <v>4113</v>
      </c>
      <c r="K247" s="222">
        <v>45475</v>
      </c>
      <c r="L247">
        <v>1010100</v>
      </c>
      <c r="M247" t="s">
        <v>29</v>
      </c>
      <c r="N247">
        <v>435</v>
      </c>
      <c r="O247" s="30">
        <v>0</v>
      </c>
      <c r="P247" s="30">
        <v>69971.199999999997</v>
      </c>
      <c r="Q247" s="30">
        <v>0</v>
      </c>
      <c r="R247" s="30">
        <v>0</v>
      </c>
      <c r="S247" s="30">
        <v>0</v>
      </c>
      <c r="T247" s="30">
        <v>0</v>
      </c>
      <c r="U247" s="30">
        <v>69971.199999999997</v>
      </c>
      <c r="V247" s="30">
        <v>0</v>
      </c>
      <c r="W247" s="30">
        <v>2099.136</v>
      </c>
      <c r="X247" s="30">
        <v>67872.063999999998</v>
      </c>
      <c r="Y247" s="30">
        <v>67872.063999999998</v>
      </c>
      <c r="Z247" s="30">
        <v>69971.199999999997</v>
      </c>
      <c r="AA247" s="30">
        <v>0</v>
      </c>
      <c r="AB247" s="30">
        <v>69971.199999999997</v>
      </c>
      <c r="AC247" s="30" t="s">
        <v>458</v>
      </c>
      <c r="AD247" s="30"/>
      <c r="AE247" s="30">
        <v>69971.199999999997</v>
      </c>
    </row>
    <row r="248" spans="1:31" x14ac:dyDescent="0.25">
      <c r="A248">
        <v>9824</v>
      </c>
      <c r="B248" t="s">
        <v>366</v>
      </c>
      <c r="C248" t="s">
        <v>173</v>
      </c>
      <c r="D248" s="33">
        <v>60656</v>
      </c>
      <c r="E248">
        <v>1246154724</v>
      </c>
      <c r="F248" s="222">
        <v>45738</v>
      </c>
      <c r="G248" s="222"/>
      <c r="H248" t="s">
        <v>156</v>
      </c>
      <c r="I248" t="s">
        <v>157</v>
      </c>
      <c r="J248">
        <v>4114</v>
      </c>
      <c r="K248" s="222">
        <v>45475</v>
      </c>
      <c r="L248">
        <v>1010100</v>
      </c>
      <c r="M248" t="s">
        <v>29</v>
      </c>
      <c r="N248">
        <v>435</v>
      </c>
      <c r="O248" s="30">
        <v>0</v>
      </c>
      <c r="P248" s="30">
        <v>60656</v>
      </c>
      <c r="Q248" s="30">
        <v>0</v>
      </c>
      <c r="R248" s="30">
        <v>0</v>
      </c>
      <c r="S248" s="30">
        <v>0</v>
      </c>
      <c r="T248" s="30">
        <v>0</v>
      </c>
      <c r="U248" s="30">
        <v>60656</v>
      </c>
      <c r="V248" s="30">
        <v>0</v>
      </c>
      <c r="W248" s="30">
        <v>1819.6799999999998</v>
      </c>
      <c r="X248" s="30">
        <v>58836.32</v>
      </c>
      <c r="Y248" s="30">
        <v>58836.32</v>
      </c>
      <c r="Z248" s="30">
        <v>60656</v>
      </c>
      <c r="AA248" s="30">
        <v>0</v>
      </c>
      <c r="AB248" s="30">
        <v>60656</v>
      </c>
      <c r="AC248" s="30" t="s">
        <v>458</v>
      </c>
      <c r="AD248" s="30"/>
      <c r="AE248" s="30">
        <v>60656</v>
      </c>
    </row>
    <row r="249" spans="1:31" x14ac:dyDescent="0.25">
      <c r="A249">
        <v>10473</v>
      </c>
      <c r="B249" t="s">
        <v>364</v>
      </c>
      <c r="C249" t="s">
        <v>769</v>
      </c>
      <c r="D249" s="33">
        <v>62566.400000000001</v>
      </c>
      <c r="E249">
        <v>1246272889</v>
      </c>
      <c r="F249" s="222">
        <v>46175</v>
      </c>
      <c r="G249" s="222"/>
      <c r="H249" t="s">
        <v>23</v>
      </c>
      <c r="I249" t="s">
        <v>24</v>
      </c>
      <c r="J249">
        <v>11243</v>
      </c>
      <c r="K249" s="222">
        <v>46140</v>
      </c>
      <c r="L249">
        <v>1010100</v>
      </c>
      <c r="M249" t="s">
        <v>29</v>
      </c>
      <c r="N249">
        <v>-2</v>
      </c>
      <c r="O249" s="30">
        <v>0</v>
      </c>
      <c r="P249" s="30">
        <v>0</v>
      </c>
      <c r="Q249" s="30">
        <v>62566.400000000001</v>
      </c>
      <c r="R249" s="30">
        <v>0</v>
      </c>
      <c r="S249" s="30">
        <v>0</v>
      </c>
      <c r="T249" s="30">
        <v>0</v>
      </c>
      <c r="U249" s="30">
        <v>0</v>
      </c>
      <c r="V249" s="30">
        <v>0</v>
      </c>
      <c r="W249" s="30">
        <v>0</v>
      </c>
      <c r="X249" s="30">
        <v>0</v>
      </c>
      <c r="Y249" s="30">
        <v>0</v>
      </c>
      <c r="Z249" s="30">
        <v>0</v>
      </c>
      <c r="AA249" s="30">
        <v>0</v>
      </c>
      <c r="AB249" s="30">
        <v>0</v>
      </c>
      <c r="AC249" s="30" t="s">
        <v>407</v>
      </c>
      <c r="AD249" s="30"/>
      <c r="AE249" s="30">
        <v>0</v>
      </c>
    </row>
    <row r="250" spans="1:31" x14ac:dyDescent="0.25">
      <c r="A250">
        <v>11724</v>
      </c>
      <c r="B250" t="s">
        <v>367</v>
      </c>
      <c r="C250" t="s">
        <v>108</v>
      </c>
      <c r="D250" s="33">
        <v>72162</v>
      </c>
      <c r="E250">
        <v>1246271964</v>
      </c>
      <c r="F250" s="222">
        <v>46198</v>
      </c>
      <c r="G250" s="222"/>
      <c r="H250" t="s">
        <v>23</v>
      </c>
      <c r="I250" t="s">
        <v>24</v>
      </c>
      <c r="J250">
        <v>11187</v>
      </c>
      <c r="K250" s="222">
        <v>46132</v>
      </c>
      <c r="L250">
        <v>1010100</v>
      </c>
      <c r="M250" t="s">
        <v>29</v>
      </c>
      <c r="N250">
        <v>-25</v>
      </c>
      <c r="O250" s="30">
        <v>0</v>
      </c>
      <c r="P250" s="30">
        <v>0</v>
      </c>
      <c r="Q250" s="30">
        <v>72162</v>
      </c>
      <c r="R250" s="30">
        <v>0</v>
      </c>
      <c r="S250" s="30">
        <v>0</v>
      </c>
      <c r="T250" s="30">
        <v>0</v>
      </c>
      <c r="U250" s="30">
        <v>0</v>
      </c>
      <c r="V250" s="30">
        <v>0</v>
      </c>
      <c r="W250" s="30">
        <v>0</v>
      </c>
      <c r="X250" s="30">
        <v>0</v>
      </c>
      <c r="Y250" s="30">
        <v>0</v>
      </c>
      <c r="Z250" s="30">
        <v>0</v>
      </c>
      <c r="AA250" s="30">
        <v>0</v>
      </c>
      <c r="AB250" s="30">
        <v>0</v>
      </c>
      <c r="AC250" s="30" t="s">
        <v>407</v>
      </c>
      <c r="AD250" s="30"/>
      <c r="AE250" s="30">
        <v>0</v>
      </c>
    </row>
    <row r="251" spans="1:31" x14ac:dyDescent="0.25">
      <c r="A251">
        <v>11724</v>
      </c>
      <c r="B251" t="s">
        <v>367</v>
      </c>
      <c r="C251" t="s">
        <v>108</v>
      </c>
      <c r="D251" s="33">
        <v>72162</v>
      </c>
      <c r="E251">
        <v>1246271962</v>
      </c>
      <c r="F251" s="222">
        <v>46198</v>
      </c>
      <c r="G251" s="222"/>
      <c r="H251" t="s">
        <v>23</v>
      </c>
      <c r="I251" t="s">
        <v>24</v>
      </c>
      <c r="J251">
        <v>11186</v>
      </c>
      <c r="K251" s="222">
        <v>46132</v>
      </c>
      <c r="L251">
        <v>1010100</v>
      </c>
      <c r="M251" t="s">
        <v>29</v>
      </c>
      <c r="N251">
        <v>-25</v>
      </c>
      <c r="O251" s="30">
        <v>0</v>
      </c>
      <c r="P251" s="30">
        <v>0</v>
      </c>
      <c r="Q251" s="30">
        <v>72162</v>
      </c>
      <c r="R251" s="30">
        <v>0</v>
      </c>
      <c r="S251" s="30">
        <v>0</v>
      </c>
      <c r="T251" s="30">
        <v>0</v>
      </c>
      <c r="U251" s="30">
        <v>0</v>
      </c>
      <c r="V251" s="30">
        <v>0</v>
      </c>
      <c r="W251" s="30">
        <v>0</v>
      </c>
      <c r="X251" s="30">
        <v>0</v>
      </c>
      <c r="Y251" s="30">
        <v>0</v>
      </c>
      <c r="Z251" s="30">
        <v>0</v>
      </c>
      <c r="AA251" s="30">
        <v>0</v>
      </c>
      <c r="AB251" s="30">
        <v>0</v>
      </c>
      <c r="AC251" s="30" t="s">
        <v>407</v>
      </c>
      <c r="AD251" s="30"/>
      <c r="AE251" s="30">
        <v>0</v>
      </c>
    </row>
    <row r="252" spans="1:31" x14ac:dyDescent="0.25">
      <c r="A252">
        <v>11724</v>
      </c>
      <c r="B252" t="s">
        <v>367</v>
      </c>
      <c r="C252" t="s">
        <v>108</v>
      </c>
      <c r="D252" s="33">
        <v>178561.9</v>
      </c>
      <c r="E252">
        <v>1246270926</v>
      </c>
      <c r="F252" s="222">
        <v>46183</v>
      </c>
      <c r="G252" s="222"/>
      <c r="H252" t="s">
        <v>23</v>
      </c>
      <c r="I252" t="s">
        <v>24</v>
      </c>
      <c r="J252">
        <v>11082</v>
      </c>
      <c r="K252" s="222">
        <v>46121</v>
      </c>
      <c r="L252">
        <v>1010100</v>
      </c>
      <c r="M252" t="s">
        <v>29</v>
      </c>
      <c r="N252">
        <v>-10</v>
      </c>
      <c r="O252" s="30">
        <v>0</v>
      </c>
      <c r="P252" s="30">
        <v>0</v>
      </c>
      <c r="Q252" s="30">
        <v>178561.9</v>
      </c>
      <c r="R252" s="30">
        <v>0</v>
      </c>
      <c r="S252" s="30">
        <v>0</v>
      </c>
      <c r="T252" s="30">
        <v>0</v>
      </c>
      <c r="U252" s="30">
        <v>0</v>
      </c>
      <c r="V252" s="30">
        <v>0</v>
      </c>
      <c r="W252" s="30">
        <v>0</v>
      </c>
      <c r="X252" s="30">
        <v>0</v>
      </c>
      <c r="Y252" s="30">
        <v>0</v>
      </c>
      <c r="Z252" s="30">
        <v>0</v>
      </c>
      <c r="AA252" s="30">
        <v>0</v>
      </c>
      <c r="AB252" s="30">
        <v>0</v>
      </c>
      <c r="AC252" s="30" t="s">
        <v>407</v>
      </c>
      <c r="AD252" s="30"/>
      <c r="AE252" s="30">
        <v>0</v>
      </c>
    </row>
    <row r="253" spans="1:31" x14ac:dyDescent="0.25">
      <c r="A253">
        <v>10371</v>
      </c>
      <c r="B253" t="s">
        <v>366</v>
      </c>
      <c r="C253" t="s">
        <v>228</v>
      </c>
      <c r="D253" s="33">
        <v>56674.77</v>
      </c>
      <c r="E253">
        <v>1246161059</v>
      </c>
      <c r="F253" s="222">
        <v>45736</v>
      </c>
      <c r="G253" s="222"/>
      <c r="H253" t="s">
        <v>156</v>
      </c>
      <c r="I253" t="s">
        <v>157</v>
      </c>
      <c r="J253">
        <v>4516</v>
      </c>
      <c r="K253" s="222">
        <v>45502</v>
      </c>
      <c r="L253">
        <v>1010100</v>
      </c>
      <c r="M253" t="s">
        <v>29</v>
      </c>
      <c r="N253">
        <v>437</v>
      </c>
      <c r="O253" s="30">
        <v>0</v>
      </c>
      <c r="P253" s="30">
        <v>56674.77</v>
      </c>
      <c r="Q253" s="30">
        <v>0</v>
      </c>
      <c r="R253" s="30">
        <v>0</v>
      </c>
      <c r="S253" s="30">
        <v>0</v>
      </c>
      <c r="T253" s="30">
        <v>0</v>
      </c>
      <c r="U253" s="30">
        <v>56674.77</v>
      </c>
      <c r="V253" s="30">
        <v>0</v>
      </c>
      <c r="W253" s="30">
        <v>1700.2430999999999</v>
      </c>
      <c r="X253" s="30">
        <v>54974.526899999997</v>
      </c>
      <c r="Y253" s="30">
        <v>54974.526899999997</v>
      </c>
      <c r="Z253" s="30">
        <v>56674.77</v>
      </c>
      <c r="AA253" s="30">
        <v>0</v>
      </c>
      <c r="AB253" s="30">
        <v>56674.77</v>
      </c>
      <c r="AC253" s="30" t="s">
        <v>458</v>
      </c>
      <c r="AD253" s="30"/>
      <c r="AE253" s="30">
        <v>56674.77</v>
      </c>
    </row>
    <row r="254" spans="1:31" x14ac:dyDescent="0.25">
      <c r="A254">
        <v>10371</v>
      </c>
      <c r="B254" t="s">
        <v>366</v>
      </c>
      <c r="C254" t="s">
        <v>228</v>
      </c>
      <c r="D254" s="33">
        <v>50007.15</v>
      </c>
      <c r="E254">
        <v>1246161057</v>
      </c>
      <c r="F254" s="222">
        <v>45736</v>
      </c>
      <c r="G254" s="222"/>
      <c r="H254" t="s">
        <v>156</v>
      </c>
      <c r="I254" t="s">
        <v>157</v>
      </c>
      <c r="J254">
        <v>4515</v>
      </c>
      <c r="K254" s="222">
        <v>45502</v>
      </c>
      <c r="L254">
        <v>1010100</v>
      </c>
      <c r="M254" t="s">
        <v>29</v>
      </c>
      <c r="N254">
        <v>437</v>
      </c>
      <c r="O254" s="30">
        <v>0</v>
      </c>
      <c r="P254" s="30">
        <v>50007.15</v>
      </c>
      <c r="Q254" s="30">
        <v>0</v>
      </c>
      <c r="R254" s="30">
        <v>0</v>
      </c>
      <c r="S254" s="30">
        <v>0</v>
      </c>
      <c r="T254" s="30">
        <v>0</v>
      </c>
      <c r="U254" s="30">
        <v>50007.15</v>
      </c>
      <c r="V254" s="30">
        <v>0</v>
      </c>
      <c r="W254" s="30">
        <v>1500.2145</v>
      </c>
      <c r="X254" s="30">
        <v>48506.9355</v>
      </c>
      <c r="Y254" s="30">
        <v>48506.9355</v>
      </c>
      <c r="Z254" s="30">
        <v>50007.15</v>
      </c>
      <c r="AA254" s="30">
        <v>0</v>
      </c>
      <c r="AB254" s="30">
        <v>50007.15</v>
      </c>
      <c r="AC254" s="30" t="s">
        <v>458</v>
      </c>
      <c r="AD254" s="30"/>
      <c r="AE254" s="30">
        <v>50007.15</v>
      </c>
    </row>
    <row r="255" spans="1:31" x14ac:dyDescent="0.25">
      <c r="A255">
        <v>10660</v>
      </c>
      <c r="B255" t="s">
        <v>359</v>
      </c>
      <c r="C255" t="s">
        <v>103</v>
      </c>
      <c r="D255" s="33">
        <v>1282.56</v>
      </c>
      <c r="E255">
        <v>1246157883</v>
      </c>
      <c r="F255" s="222">
        <v>45472</v>
      </c>
      <c r="G255" s="222"/>
      <c r="H255" t="s">
        <v>23</v>
      </c>
      <c r="I255" t="s">
        <v>24</v>
      </c>
      <c r="J255">
        <v>3740</v>
      </c>
      <c r="K255" s="222">
        <v>45444</v>
      </c>
      <c r="L255">
        <v>1010100</v>
      </c>
      <c r="M255" t="s">
        <v>29</v>
      </c>
      <c r="N255">
        <v>701</v>
      </c>
      <c r="O255" s="30">
        <v>0</v>
      </c>
      <c r="P255" s="30">
        <v>1282.5599999999997</v>
      </c>
      <c r="Q255" s="30">
        <v>0</v>
      </c>
      <c r="R255" s="30">
        <v>0</v>
      </c>
      <c r="S255" s="30">
        <v>0</v>
      </c>
      <c r="T255" s="30">
        <v>0</v>
      </c>
      <c r="U255" s="30">
        <v>1282.56</v>
      </c>
      <c r="V255" s="30">
        <v>0</v>
      </c>
      <c r="W255" s="30">
        <v>38.476799999999997</v>
      </c>
      <c r="X255" s="30">
        <v>1244.0831999999998</v>
      </c>
      <c r="Y255" s="30">
        <v>1244.0831999999998</v>
      </c>
      <c r="Z255" s="30">
        <v>1282.56</v>
      </c>
      <c r="AA255" s="30">
        <v>0</v>
      </c>
      <c r="AB255" s="30">
        <v>1282.5599999999997</v>
      </c>
      <c r="AC255" s="30" t="s">
        <v>457</v>
      </c>
      <c r="AD255" s="30"/>
      <c r="AE255" s="30">
        <v>1282.5599999999997</v>
      </c>
    </row>
    <row r="256" spans="1:31" x14ac:dyDescent="0.25">
      <c r="A256">
        <v>10660</v>
      </c>
      <c r="B256" t="s">
        <v>359</v>
      </c>
      <c r="C256" t="s">
        <v>103</v>
      </c>
      <c r="D256" s="33">
        <v>1603.2</v>
      </c>
      <c r="E256">
        <v>1246176576</v>
      </c>
      <c r="F256" s="222">
        <v>45577</v>
      </c>
      <c r="G256" s="222"/>
      <c r="H256" t="s">
        <v>23</v>
      </c>
      <c r="I256" t="s">
        <v>24</v>
      </c>
      <c r="J256">
        <v>5264</v>
      </c>
      <c r="K256" s="222">
        <v>45549</v>
      </c>
      <c r="L256">
        <v>1010100</v>
      </c>
      <c r="M256" t="s">
        <v>29</v>
      </c>
      <c r="N256">
        <v>596</v>
      </c>
      <c r="O256" s="30">
        <v>0</v>
      </c>
      <c r="P256" s="30">
        <v>1603.2</v>
      </c>
      <c r="Q256" s="30">
        <v>0</v>
      </c>
      <c r="R256" s="30">
        <v>0</v>
      </c>
      <c r="S256" s="30">
        <v>0</v>
      </c>
      <c r="T256" s="30">
        <v>0</v>
      </c>
      <c r="U256" s="30">
        <v>1603.2</v>
      </c>
      <c r="V256" s="30">
        <v>0</v>
      </c>
      <c r="W256" s="30">
        <v>48.095999999999997</v>
      </c>
      <c r="X256" s="30">
        <v>1555.104</v>
      </c>
      <c r="Y256" s="30">
        <v>1555.104</v>
      </c>
      <c r="Z256" s="30">
        <v>1603.2</v>
      </c>
      <c r="AA256" s="30">
        <v>0</v>
      </c>
      <c r="AB256" s="30">
        <v>1603.2</v>
      </c>
      <c r="AC256" s="30" t="s">
        <v>457</v>
      </c>
      <c r="AD256" s="30"/>
      <c r="AE256" s="30">
        <v>1603.2</v>
      </c>
    </row>
    <row r="257" spans="1:31" x14ac:dyDescent="0.25">
      <c r="A257">
        <v>10660</v>
      </c>
      <c r="B257" t="s">
        <v>359</v>
      </c>
      <c r="C257" t="s">
        <v>103</v>
      </c>
      <c r="D257" s="33">
        <v>1282.56</v>
      </c>
      <c r="E257">
        <v>1246184893</v>
      </c>
      <c r="F257" s="222">
        <v>45623</v>
      </c>
      <c r="G257" s="222"/>
      <c r="H257" t="s">
        <v>23</v>
      </c>
      <c r="I257" t="s">
        <v>24</v>
      </c>
      <c r="J257">
        <v>5907</v>
      </c>
      <c r="K257" s="222">
        <v>45595</v>
      </c>
      <c r="L257">
        <v>1010100</v>
      </c>
      <c r="M257" t="s">
        <v>29</v>
      </c>
      <c r="N257">
        <v>550</v>
      </c>
      <c r="O257" s="30">
        <v>0</v>
      </c>
      <c r="P257" s="30">
        <v>1282.5599999999997</v>
      </c>
      <c r="Q257" s="30">
        <v>0</v>
      </c>
      <c r="R257" s="30">
        <v>0</v>
      </c>
      <c r="S257" s="30">
        <v>0</v>
      </c>
      <c r="T257" s="30">
        <v>0</v>
      </c>
      <c r="U257" s="30">
        <v>1282.56</v>
      </c>
      <c r="V257" s="30">
        <v>0</v>
      </c>
      <c r="W257" s="30">
        <v>38.476799999999997</v>
      </c>
      <c r="X257" s="30">
        <v>1244.0831999999998</v>
      </c>
      <c r="Y257" s="30">
        <v>1244.0831999999998</v>
      </c>
      <c r="Z257" s="30">
        <v>1282.56</v>
      </c>
      <c r="AA257" s="30">
        <v>0</v>
      </c>
      <c r="AB257" s="30">
        <v>1282.5599999999997</v>
      </c>
      <c r="AC257" s="30" t="s">
        <v>457</v>
      </c>
      <c r="AD257" s="30"/>
      <c r="AE257" s="30">
        <v>1282.5599999999997</v>
      </c>
    </row>
    <row r="258" spans="1:31" x14ac:dyDescent="0.25">
      <c r="A258">
        <v>10434</v>
      </c>
      <c r="B258" t="s">
        <v>355</v>
      </c>
      <c r="C258" t="s">
        <v>100</v>
      </c>
      <c r="D258" s="33">
        <v>1200</v>
      </c>
      <c r="E258">
        <v>1246180341</v>
      </c>
      <c r="F258" s="222">
        <v>45615</v>
      </c>
      <c r="G258" s="222"/>
      <c r="H258" t="s">
        <v>23</v>
      </c>
      <c r="I258" t="s">
        <v>24</v>
      </c>
      <c r="J258">
        <v>1246180341</v>
      </c>
      <c r="K258" s="222">
        <v>45600</v>
      </c>
      <c r="L258">
        <v>3041000</v>
      </c>
      <c r="M258" t="s">
        <v>124</v>
      </c>
      <c r="N258">
        <v>558</v>
      </c>
      <c r="O258" s="30">
        <v>0</v>
      </c>
      <c r="P258" s="30">
        <v>1200</v>
      </c>
      <c r="Q258" s="30">
        <v>0</v>
      </c>
      <c r="R258" s="30">
        <v>0</v>
      </c>
      <c r="S258" s="30">
        <v>0</v>
      </c>
      <c r="T258" s="30">
        <v>0</v>
      </c>
      <c r="U258" s="30">
        <v>1200</v>
      </c>
      <c r="V258" s="30">
        <v>0</v>
      </c>
      <c r="W258" s="30">
        <v>36</v>
      </c>
      <c r="X258" s="30">
        <v>1164</v>
      </c>
      <c r="Y258" s="30">
        <v>1164</v>
      </c>
      <c r="Z258" s="30">
        <v>1200</v>
      </c>
      <c r="AA258" s="30">
        <v>0</v>
      </c>
      <c r="AB258" s="30">
        <v>1200</v>
      </c>
      <c r="AC258" s="30" t="s">
        <v>457</v>
      </c>
      <c r="AD258" s="30"/>
      <c r="AE258" s="30">
        <v>1200</v>
      </c>
    </row>
    <row r="259" spans="1:31" x14ac:dyDescent="0.25">
      <c r="A259">
        <v>11207</v>
      </c>
      <c r="B259" t="s">
        <v>368</v>
      </c>
      <c r="C259" t="s">
        <v>176</v>
      </c>
      <c r="D259" s="33">
        <v>153825.49</v>
      </c>
      <c r="E259">
        <v>1246067872</v>
      </c>
      <c r="F259" s="222">
        <v>45412</v>
      </c>
      <c r="G259" s="222"/>
      <c r="H259" t="s">
        <v>156</v>
      </c>
      <c r="I259" t="s">
        <v>157</v>
      </c>
      <c r="J259">
        <v>20696</v>
      </c>
      <c r="K259" s="222">
        <v>44973</v>
      </c>
      <c r="L259">
        <v>1010100</v>
      </c>
      <c r="M259" t="s">
        <v>29</v>
      </c>
      <c r="N259">
        <v>761</v>
      </c>
      <c r="O259" s="30">
        <v>0</v>
      </c>
      <c r="P259" s="30">
        <v>153825.49</v>
      </c>
      <c r="Q259" s="30">
        <v>0</v>
      </c>
      <c r="R259" s="30">
        <v>0</v>
      </c>
      <c r="S259" s="30">
        <v>0</v>
      </c>
      <c r="T259" s="30">
        <v>0</v>
      </c>
      <c r="U259" s="30">
        <v>153825.49</v>
      </c>
      <c r="V259" s="30">
        <v>0</v>
      </c>
      <c r="W259" s="30">
        <v>0</v>
      </c>
      <c r="X259" s="30">
        <v>0</v>
      </c>
      <c r="Y259" s="30">
        <v>0</v>
      </c>
      <c r="Z259" s="30">
        <v>153825.49</v>
      </c>
      <c r="AA259" s="30">
        <v>153825.49</v>
      </c>
      <c r="AB259" s="30">
        <v>153825.49</v>
      </c>
      <c r="AC259" s="30" t="s">
        <v>458</v>
      </c>
      <c r="AD259" s="30"/>
      <c r="AE259" s="30">
        <v>153825.49</v>
      </c>
    </row>
    <row r="260" spans="1:31" x14ac:dyDescent="0.25">
      <c r="A260">
        <v>11207</v>
      </c>
      <c r="B260" t="s">
        <v>368</v>
      </c>
      <c r="C260" t="s">
        <v>176</v>
      </c>
      <c r="D260" s="33">
        <v>118231.86</v>
      </c>
      <c r="E260">
        <v>1246074301</v>
      </c>
      <c r="F260" s="222">
        <v>45412</v>
      </c>
      <c r="G260" s="222"/>
      <c r="H260" t="s">
        <v>156</v>
      </c>
      <c r="I260" t="s">
        <v>157</v>
      </c>
      <c r="J260">
        <v>21005</v>
      </c>
      <c r="K260" s="222">
        <v>45015</v>
      </c>
      <c r="L260">
        <v>1010100</v>
      </c>
      <c r="M260" t="s">
        <v>29</v>
      </c>
      <c r="N260">
        <v>761</v>
      </c>
      <c r="O260" s="30">
        <v>0</v>
      </c>
      <c r="P260" s="30">
        <v>118231.86</v>
      </c>
      <c r="Q260" s="30">
        <v>0</v>
      </c>
      <c r="R260" s="30">
        <v>0</v>
      </c>
      <c r="S260" s="30">
        <v>0</v>
      </c>
      <c r="T260" s="30">
        <v>0</v>
      </c>
      <c r="U260" s="30">
        <v>118231.86</v>
      </c>
      <c r="V260" s="30">
        <v>0</v>
      </c>
      <c r="W260" s="30">
        <v>0</v>
      </c>
      <c r="X260" s="30">
        <v>0</v>
      </c>
      <c r="Y260" s="30">
        <v>0</v>
      </c>
      <c r="Z260" s="30">
        <v>118231.86</v>
      </c>
      <c r="AA260" s="30">
        <v>118231.86</v>
      </c>
      <c r="AB260" s="30">
        <v>118231.86</v>
      </c>
      <c r="AC260" s="30" t="s">
        <v>458</v>
      </c>
      <c r="AD260" s="30"/>
      <c r="AE260" s="30">
        <v>118231.86</v>
      </c>
    </row>
    <row r="261" spans="1:31" x14ac:dyDescent="0.25">
      <c r="A261">
        <v>11207</v>
      </c>
      <c r="B261" t="s">
        <v>368</v>
      </c>
      <c r="C261" t="s">
        <v>176</v>
      </c>
      <c r="D261" s="33">
        <v>91167.15</v>
      </c>
      <c r="E261">
        <v>1246075550</v>
      </c>
      <c r="F261" s="222">
        <v>45412</v>
      </c>
      <c r="G261" s="222"/>
      <c r="H261" t="s">
        <v>156</v>
      </c>
      <c r="I261" t="s">
        <v>157</v>
      </c>
      <c r="J261">
        <v>21053</v>
      </c>
      <c r="K261" s="222">
        <v>45022</v>
      </c>
      <c r="L261">
        <v>1010100</v>
      </c>
      <c r="M261" t="s">
        <v>29</v>
      </c>
      <c r="N261">
        <v>761</v>
      </c>
      <c r="O261" s="30">
        <v>0</v>
      </c>
      <c r="P261" s="30">
        <v>91167.15</v>
      </c>
      <c r="Q261" s="30">
        <v>0</v>
      </c>
      <c r="R261" s="30">
        <v>0</v>
      </c>
      <c r="S261" s="30">
        <v>0</v>
      </c>
      <c r="T261" s="30">
        <v>0</v>
      </c>
      <c r="U261" s="30">
        <v>91167.15</v>
      </c>
      <c r="V261" s="30">
        <v>0</v>
      </c>
      <c r="W261" s="30">
        <v>0</v>
      </c>
      <c r="X261" s="30">
        <v>0</v>
      </c>
      <c r="Y261" s="30">
        <v>0</v>
      </c>
      <c r="Z261" s="30">
        <v>91167.15</v>
      </c>
      <c r="AA261" s="30">
        <v>91167.15</v>
      </c>
      <c r="AB261" s="30">
        <v>91167.15</v>
      </c>
      <c r="AC261" s="30" t="s">
        <v>458</v>
      </c>
      <c r="AD261" s="30"/>
      <c r="AE261" s="30">
        <v>91167.15</v>
      </c>
    </row>
    <row r="262" spans="1:31" x14ac:dyDescent="0.25">
      <c r="A262">
        <v>11207</v>
      </c>
      <c r="B262" t="s">
        <v>368</v>
      </c>
      <c r="C262" t="s">
        <v>176</v>
      </c>
      <c r="D262" s="33">
        <v>43771.16</v>
      </c>
      <c r="E262">
        <v>1246094423</v>
      </c>
      <c r="F262" s="222">
        <v>45423</v>
      </c>
      <c r="G262" s="222"/>
      <c r="H262" t="s">
        <v>156</v>
      </c>
      <c r="I262" t="s">
        <v>157</v>
      </c>
      <c r="J262">
        <v>356</v>
      </c>
      <c r="K262" s="222">
        <v>45133</v>
      </c>
      <c r="L262">
        <v>1010100</v>
      </c>
      <c r="M262" t="s">
        <v>29</v>
      </c>
      <c r="N262">
        <v>750</v>
      </c>
      <c r="O262" s="30">
        <v>0</v>
      </c>
      <c r="P262" s="30">
        <v>43771.16</v>
      </c>
      <c r="Q262" s="30">
        <v>0</v>
      </c>
      <c r="R262" s="30">
        <v>0</v>
      </c>
      <c r="S262" s="30">
        <v>0</v>
      </c>
      <c r="T262" s="30">
        <v>0</v>
      </c>
      <c r="U262" s="30">
        <v>43771.16</v>
      </c>
      <c r="V262" s="30">
        <v>0</v>
      </c>
      <c r="W262" s="30">
        <v>0</v>
      </c>
      <c r="X262" s="30">
        <v>0</v>
      </c>
      <c r="Y262" s="30">
        <v>0</v>
      </c>
      <c r="Z262" s="30">
        <v>43771.16</v>
      </c>
      <c r="AA262" s="30">
        <v>43771.16</v>
      </c>
      <c r="AB262" s="30">
        <v>43771.16</v>
      </c>
      <c r="AC262" s="30" t="s">
        <v>458</v>
      </c>
      <c r="AD262" s="30"/>
      <c r="AE262" s="30">
        <v>43771.16</v>
      </c>
    </row>
    <row r="263" spans="1:31" x14ac:dyDescent="0.25">
      <c r="A263">
        <v>11207</v>
      </c>
      <c r="B263" t="s">
        <v>368</v>
      </c>
      <c r="C263" t="s">
        <v>176</v>
      </c>
      <c r="D263" s="33">
        <v>44760.26</v>
      </c>
      <c r="E263">
        <v>1246092027</v>
      </c>
      <c r="F263" s="222">
        <v>45504</v>
      </c>
      <c r="G263" s="222"/>
      <c r="H263" t="s">
        <v>156</v>
      </c>
      <c r="I263" t="s">
        <v>157</v>
      </c>
      <c r="J263">
        <v>138</v>
      </c>
      <c r="K263" s="222">
        <v>45119</v>
      </c>
      <c r="L263">
        <v>1010100</v>
      </c>
      <c r="M263" t="s">
        <v>29</v>
      </c>
      <c r="N263">
        <v>669</v>
      </c>
      <c r="O263" s="30">
        <v>0</v>
      </c>
      <c r="P263" s="30">
        <v>44760.26</v>
      </c>
      <c r="Q263" s="30">
        <v>0</v>
      </c>
      <c r="R263" s="30">
        <v>0</v>
      </c>
      <c r="S263" s="30">
        <v>0</v>
      </c>
      <c r="T263" s="30">
        <v>0</v>
      </c>
      <c r="U263" s="30">
        <v>44760.26</v>
      </c>
      <c r="V263" s="30">
        <v>0</v>
      </c>
      <c r="W263" s="30">
        <v>0</v>
      </c>
      <c r="X263" s="30">
        <v>0</v>
      </c>
      <c r="Y263" s="30">
        <v>0</v>
      </c>
      <c r="Z263" s="30">
        <v>44760.26</v>
      </c>
      <c r="AA263" s="30">
        <v>44760.26</v>
      </c>
      <c r="AB263" s="30">
        <v>44760.26</v>
      </c>
      <c r="AC263" s="30" t="s">
        <v>458</v>
      </c>
      <c r="AD263" s="30"/>
      <c r="AE263" s="30">
        <v>44760.26</v>
      </c>
    </row>
    <row r="264" spans="1:31" x14ac:dyDescent="0.25">
      <c r="A264">
        <v>11207</v>
      </c>
      <c r="B264" t="s">
        <v>368</v>
      </c>
      <c r="C264" t="s">
        <v>176</v>
      </c>
      <c r="D264" s="33">
        <v>43771.16</v>
      </c>
      <c r="E264">
        <v>1246093362</v>
      </c>
      <c r="F264" s="222">
        <v>45417</v>
      </c>
      <c r="G264" s="222"/>
      <c r="H264" t="s">
        <v>156</v>
      </c>
      <c r="I264" t="s">
        <v>157</v>
      </c>
      <c r="J264">
        <v>253</v>
      </c>
      <c r="K264" s="222">
        <v>45127</v>
      </c>
      <c r="L264">
        <v>1010100</v>
      </c>
      <c r="M264" t="s">
        <v>29</v>
      </c>
      <c r="N264">
        <v>756</v>
      </c>
      <c r="O264" s="30">
        <v>0</v>
      </c>
      <c r="P264" s="30">
        <v>43771.16</v>
      </c>
      <c r="Q264" s="30">
        <v>0</v>
      </c>
      <c r="R264" s="30">
        <v>0</v>
      </c>
      <c r="S264" s="30">
        <v>0</v>
      </c>
      <c r="T264" s="30">
        <v>0</v>
      </c>
      <c r="U264" s="30">
        <v>43771.16</v>
      </c>
      <c r="V264" s="30">
        <v>0</v>
      </c>
      <c r="W264" s="30">
        <v>0</v>
      </c>
      <c r="X264" s="30">
        <v>0</v>
      </c>
      <c r="Y264" s="30">
        <v>0</v>
      </c>
      <c r="Z264" s="30">
        <v>43771.16</v>
      </c>
      <c r="AA264" s="30">
        <v>43771.16</v>
      </c>
      <c r="AB264" s="30">
        <v>43771.16</v>
      </c>
      <c r="AC264" s="30" t="s">
        <v>458</v>
      </c>
      <c r="AD264" s="30"/>
      <c r="AE264" s="30">
        <v>43771.16</v>
      </c>
    </row>
    <row r="265" spans="1:31" x14ac:dyDescent="0.25">
      <c r="A265">
        <v>11207</v>
      </c>
      <c r="B265" t="s">
        <v>368</v>
      </c>
      <c r="C265" t="s">
        <v>176</v>
      </c>
      <c r="D265" s="33">
        <v>47925.4</v>
      </c>
      <c r="E265">
        <v>1246094864</v>
      </c>
      <c r="F265" s="222">
        <v>45544</v>
      </c>
      <c r="G265" s="222"/>
      <c r="H265" t="s">
        <v>156</v>
      </c>
      <c r="I265" t="s">
        <v>157</v>
      </c>
      <c r="J265">
        <v>407</v>
      </c>
      <c r="K265" s="222">
        <v>45135</v>
      </c>
      <c r="L265">
        <v>1010100</v>
      </c>
      <c r="M265" t="s">
        <v>29</v>
      </c>
      <c r="N265">
        <v>629</v>
      </c>
      <c r="O265" s="30">
        <v>0</v>
      </c>
      <c r="P265" s="30">
        <v>47925.4</v>
      </c>
      <c r="Q265" s="30">
        <v>0</v>
      </c>
      <c r="R265" s="30">
        <v>0</v>
      </c>
      <c r="S265" s="30">
        <v>0</v>
      </c>
      <c r="T265" s="30">
        <v>0</v>
      </c>
      <c r="U265" s="30">
        <v>47925.4</v>
      </c>
      <c r="V265" s="30">
        <v>0</v>
      </c>
      <c r="W265" s="30">
        <v>0</v>
      </c>
      <c r="X265" s="30">
        <v>0</v>
      </c>
      <c r="Y265" s="30">
        <v>0</v>
      </c>
      <c r="Z265" s="30">
        <v>47925.4</v>
      </c>
      <c r="AA265" s="30">
        <v>47925.4</v>
      </c>
      <c r="AB265" s="30">
        <v>47925.4</v>
      </c>
      <c r="AC265" s="30" t="s">
        <v>458</v>
      </c>
      <c r="AD265" s="30"/>
      <c r="AE265" s="30">
        <v>47925.4</v>
      </c>
    </row>
    <row r="266" spans="1:31" x14ac:dyDescent="0.25">
      <c r="A266">
        <v>11207</v>
      </c>
      <c r="B266" t="s">
        <v>368</v>
      </c>
      <c r="C266" t="s">
        <v>176</v>
      </c>
      <c r="D266" s="33">
        <v>106301.38</v>
      </c>
      <c r="E266">
        <v>1246094863</v>
      </c>
      <c r="F266" s="222">
        <v>45425</v>
      </c>
      <c r="G266" s="222"/>
      <c r="H266" t="s">
        <v>156</v>
      </c>
      <c r="I266" t="s">
        <v>157</v>
      </c>
      <c r="J266">
        <v>406</v>
      </c>
      <c r="K266" s="222">
        <v>45135</v>
      </c>
      <c r="L266">
        <v>1010100</v>
      </c>
      <c r="M266" t="s">
        <v>29</v>
      </c>
      <c r="N266">
        <v>748</v>
      </c>
      <c r="O266" s="30">
        <v>0</v>
      </c>
      <c r="P266" s="30">
        <v>106301.38</v>
      </c>
      <c r="Q266" s="30">
        <v>0</v>
      </c>
      <c r="R266" s="30">
        <v>0</v>
      </c>
      <c r="S266" s="30">
        <v>0</v>
      </c>
      <c r="T266" s="30">
        <v>0</v>
      </c>
      <c r="U266" s="30">
        <v>106301.38</v>
      </c>
      <c r="V266" s="30">
        <v>0</v>
      </c>
      <c r="W266" s="30">
        <v>0</v>
      </c>
      <c r="X266" s="30">
        <v>0</v>
      </c>
      <c r="Y266" s="30">
        <v>0</v>
      </c>
      <c r="Z266" s="30">
        <v>106301.38</v>
      </c>
      <c r="AA266" s="30">
        <v>106301.38</v>
      </c>
      <c r="AB266" s="30">
        <v>106301.38</v>
      </c>
      <c r="AC266" s="30" t="s">
        <v>458</v>
      </c>
      <c r="AD266" s="30"/>
      <c r="AE266" s="30">
        <v>106301.38</v>
      </c>
    </row>
    <row r="267" spans="1:31" x14ac:dyDescent="0.25">
      <c r="A267">
        <v>11207</v>
      </c>
      <c r="B267" t="s">
        <v>368</v>
      </c>
      <c r="C267" t="s">
        <v>176</v>
      </c>
      <c r="D267" s="33">
        <v>150072.54</v>
      </c>
      <c r="E267">
        <v>1246095554</v>
      </c>
      <c r="F267" s="222">
        <v>45415</v>
      </c>
      <c r="G267" s="222"/>
      <c r="H267" t="s">
        <v>156</v>
      </c>
      <c r="I267" t="s">
        <v>157</v>
      </c>
      <c r="J267">
        <v>485</v>
      </c>
      <c r="K267" s="222">
        <v>45140</v>
      </c>
      <c r="L267">
        <v>1010100</v>
      </c>
      <c r="M267" t="s">
        <v>29</v>
      </c>
      <c r="N267">
        <v>758</v>
      </c>
      <c r="O267" s="30">
        <v>0</v>
      </c>
      <c r="P267" s="30">
        <v>150072.54</v>
      </c>
      <c r="Q267" s="30">
        <v>0</v>
      </c>
      <c r="R267" s="30">
        <v>0</v>
      </c>
      <c r="S267" s="30">
        <v>0</v>
      </c>
      <c r="T267" s="30">
        <v>0</v>
      </c>
      <c r="U267" s="30">
        <v>150072.54</v>
      </c>
      <c r="V267" s="30">
        <v>0</v>
      </c>
      <c r="W267" s="30">
        <v>0</v>
      </c>
      <c r="X267" s="30">
        <v>0</v>
      </c>
      <c r="Y267" s="30">
        <v>0</v>
      </c>
      <c r="Z267" s="30">
        <v>150072.54</v>
      </c>
      <c r="AA267" s="30">
        <v>150072.54</v>
      </c>
      <c r="AB267" s="30">
        <v>150072.54</v>
      </c>
      <c r="AC267" s="30" t="s">
        <v>458</v>
      </c>
      <c r="AD267" s="30"/>
      <c r="AE267" s="30">
        <v>150072.54</v>
      </c>
    </row>
    <row r="268" spans="1:31" x14ac:dyDescent="0.25">
      <c r="A268">
        <v>11207</v>
      </c>
      <c r="B268" t="s">
        <v>368</v>
      </c>
      <c r="C268" t="s">
        <v>176</v>
      </c>
      <c r="D268" s="33">
        <v>150072.54999999999</v>
      </c>
      <c r="E268">
        <v>1246098101</v>
      </c>
      <c r="F268" s="222">
        <v>45414</v>
      </c>
      <c r="G268" s="222"/>
      <c r="H268" t="s">
        <v>156</v>
      </c>
      <c r="I268" t="s">
        <v>157</v>
      </c>
      <c r="J268">
        <v>151</v>
      </c>
      <c r="K268" s="222">
        <v>45154</v>
      </c>
      <c r="L268">
        <v>1010100</v>
      </c>
      <c r="M268" t="s">
        <v>29</v>
      </c>
      <c r="N268">
        <v>759</v>
      </c>
      <c r="O268" s="30">
        <v>0</v>
      </c>
      <c r="P268" s="30">
        <v>150072.54999999999</v>
      </c>
      <c r="Q268" s="30">
        <v>0</v>
      </c>
      <c r="R268" s="30">
        <v>0</v>
      </c>
      <c r="S268" s="30">
        <v>0</v>
      </c>
      <c r="T268" s="30">
        <v>0</v>
      </c>
      <c r="U268" s="30">
        <v>150072.54999999999</v>
      </c>
      <c r="V268" s="30">
        <v>0</v>
      </c>
      <c r="W268" s="30">
        <v>0</v>
      </c>
      <c r="X268" s="30">
        <v>0</v>
      </c>
      <c r="Y268" s="30">
        <v>0</v>
      </c>
      <c r="Z268" s="30">
        <v>150072.54999999999</v>
      </c>
      <c r="AA268" s="30">
        <v>150072.54999999999</v>
      </c>
      <c r="AB268" s="30">
        <v>150072.54999999999</v>
      </c>
      <c r="AC268" s="30" t="s">
        <v>458</v>
      </c>
      <c r="AD268" s="30"/>
      <c r="AE268" s="30">
        <v>150072.54999999999</v>
      </c>
    </row>
    <row r="269" spans="1:31" x14ac:dyDescent="0.25">
      <c r="A269">
        <v>11207</v>
      </c>
      <c r="B269" t="s">
        <v>368</v>
      </c>
      <c r="C269" t="s">
        <v>176</v>
      </c>
      <c r="D269" s="33">
        <v>43771.16</v>
      </c>
      <c r="E269">
        <v>1246098102</v>
      </c>
      <c r="F269" s="222">
        <v>45414</v>
      </c>
      <c r="G269" s="222"/>
      <c r="H269" t="s">
        <v>156</v>
      </c>
      <c r="I269" t="s">
        <v>157</v>
      </c>
      <c r="J269">
        <v>152</v>
      </c>
      <c r="K269" s="222">
        <v>45154</v>
      </c>
      <c r="L269">
        <v>1010100</v>
      </c>
      <c r="M269" t="s">
        <v>29</v>
      </c>
      <c r="N269">
        <v>759</v>
      </c>
      <c r="O269" s="30">
        <v>0</v>
      </c>
      <c r="P269" s="30">
        <v>43771.16</v>
      </c>
      <c r="Q269" s="30">
        <v>0</v>
      </c>
      <c r="R269" s="30">
        <v>0</v>
      </c>
      <c r="S269" s="30">
        <v>0</v>
      </c>
      <c r="T269" s="30">
        <v>0</v>
      </c>
      <c r="U269" s="30">
        <v>43771.16</v>
      </c>
      <c r="V269" s="30">
        <v>0</v>
      </c>
      <c r="W269" s="30">
        <v>0</v>
      </c>
      <c r="X269" s="30">
        <v>0</v>
      </c>
      <c r="Y269" s="30">
        <v>0</v>
      </c>
      <c r="Z269" s="30">
        <v>43771.16</v>
      </c>
      <c r="AA269" s="30">
        <v>43771.16</v>
      </c>
      <c r="AB269" s="30">
        <v>43771.16</v>
      </c>
      <c r="AC269" s="30" t="s">
        <v>458</v>
      </c>
      <c r="AD269" s="30"/>
      <c r="AE269" s="30">
        <v>43771.16</v>
      </c>
    </row>
    <row r="270" spans="1:31" x14ac:dyDescent="0.25">
      <c r="A270">
        <v>11207</v>
      </c>
      <c r="B270" t="s">
        <v>368</v>
      </c>
      <c r="C270" t="s">
        <v>176</v>
      </c>
      <c r="D270" s="33">
        <v>150072.54</v>
      </c>
      <c r="E270">
        <v>1246096042</v>
      </c>
      <c r="F270" s="222">
        <v>45417</v>
      </c>
      <c r="G270" s="222"/>
      <c r="H270" t="s">
        <v>156</v>
      </c>
      <c r="I270" t="s">
        <v>157</v>
      </c>
      <c r="J270">
        <v>520</v>
      </c>
      <c r="K270" s="222">
        <v>45142</v>
      </c>
      <c r="L270">
        <v>1010100</v>
      </c>
      <c r="M270" t="s">
        <v>29</v>
      </c>
      <c r="N270">
        <v>756</v>
      </c>
      <c r="O270" s="30">
        <v>0</v>
      </c>
      <c r="P270" s="30">
        <v>150072.54</v>
      </c>
      <c r="Q270" s="30">
        <v>0</v>
      </c>
      <c r="R270" s="30">
        <v>0</v>
      </c>
      <c r="S270" s="30">
        <v>0</v>
      </c>
      <c r="T270" s="30">
        <v>0</v>
      </c>
      <c r="U270" s="30">
        <v>150072.54</v>
      </c>
      <c r="V270" s="30">
        <v>0</v>
      </c>
      <c r="W270" s="30">
        <v>0</v>
      </c>
      <c r="X270" s="30">
        <v>0</v>
      </c>
      <c r="Y270" s="30">
        <v>0</v>
      </c>
      <c r="Z270" s="30">
        <v>150072.54</v>
      </c>
      <c r="AA270" s="30">
        <v>150072.54</v>
      </c>
      <c r="AB270" s="30">
        <v>150072.54</v>
      </c>
      <c r="AC270" s="30" t="s">
        <v>458</v>
      </c>
      <c r="AD270" s="30"/>
      <c r="AE270" s="30">
        <v>150072.54</v>
      </c>
    </row>
    <row r="271" spans="1:31" x14ac:dyDescent="0.25">
      <c r="A271">
        <v>11207</v>
      </c>
      <c r="B271" t="s">
        <v>368</v>
      </c>
      <c r="C271" t="s">
        <v>176</v>
      </c>
      <c r="D271" s="33">
        <v>150072.54999999999</v>
      </c>
      <c r="E271">
        <v>1246098739</v>
      </c>
      <c r="F271" s="222">
        <v>45446</v>
      </c>
      <c r="G271" s="222"/>
      <c r="H271" t="s">
        <v>156</v>
      </c>
      <c r="I271" t="s">
        <v>157</v>
      </c>
      <c r="J271">
        <v>161</v>
      </c>
      <c r="K271" s="222">
        <v>45156</v>
      </c>
      <c r="L271">
        <v>1010100</v>
      </c>
      <c r="M271" t="s">
        <v>29</v>
      </c>
      <c r="N271">
        <v>727</v>
      </c>
      <c r="O271" s="30">
        <v>0</v>
      </c>
      <c r="P271" s="30">
        <v>150072.54999999999</v>
      </c>
      <c r="Q271" s="30">
        <v>0</v>
      </c>
      <c r="R271" s="30">
        <v>0</v>
      </c>
      <c r="S271" s="30">
        <v>0</v>
      </c>
      <c r="T271" s="30">
        <v>0</v>
      </c>
      <c r="U271" s="30">
        <v>150072.54999999999</v>
      </c>
      <c r="V271" s="30">
        <v>0</v>
      </c>
      <c r="W271" s="30">
        <v>0</v>
      </c>
      <c r="X271" s="30">
        <v>0</v>
      </c>
      <c r="Y271" s="30">
        <v>0</v>
      </c>
      <c r="Z271" s="30">
        <v>150072.54999999999</v>
      </c>
      <c r="AA271" s="30">
        <v>150072.54999999999</v>
      </c>
      <c r="AB271" s="30">
        <v>150072.54999999999</v>
      </c>
      <c r="AC271" s="30" t="s">
        <v>458</v>
      </c>
      <c r="AD271" s="30"/>
      <c r="AE271" s="30">
        <v>150072.54999999999</v>
      </c>
    </row>
    <row r="272" spans="1:31" x14ac:dyDescent="0.25">
      <c r="A272">
        <v>11207</v>
      </c>
      <c r="B272" t="s">
        <v>368</v>
      </c>
      <c r="C272" t="s">
        <v>176</v>
      </c>
      <c r="D272" s="33">
        <v>150072.54</v>
      </c>
      <c r="E272">
        <v>1246103409</v>
      </c>
      <c r="F272" s="222">
        <v>45421</v>
      </c>
      <c r="G272" s="222"/>
      <c r="H272" t="s">
        <v>156</v>
      </c>
      <c r="I272" t="s">
        <v>157</v>
      </c>
      <c r="J272">
        <v>231</v>
      </c>
      <c r="K272" s="222">
        <v>45181</v>
      </c>
      <c r="L272">
        <v>1010100</v>
      </c>
      <c r="M272" t="s">
        <v>29</v>
      </c>
      <c r="N272">
        <v>752</v>
      </c>
      <c r="O272" s="30">
        <v>0</v>
      </c>
      <c r="P272" s="30">
        <v>150072.54</v>
      </c>
      <c r="Q272" s="30">
        <v>0</v>
      </c>
      <c r="R272" s="30">
        <v>0</v>
      </c>
      <c r="S272" s="30">
        <v>0</v>
      </c>
      <c r="T272" s="30">
        <v>0</v>
      </c>
      <c r="U272" s="30">
        <v>150072.54</v>
      </c>
      <c r="V272" s="30">
        <v>0</v>
      </c>
      <c r="W272" s="30">
        <v>0</v>
      </c>
      <c r="X272" s="30">
        <v>0</v>
      </c>
      <c r="Y272" s="30">
        <v>0</v>
      </c>
      <c r="Z272" s="30">
        <v>150072.54</v>
      </c>
      <c r="AA272" s="30">
        <v>150072.54</v>
      </c>
      <c r="AB272" s="30">
        <v>150072.54</v>
      </c>
      <c r="AC272" s="30" t="s">
        <v>458</v>
      </c>
      <c r="AD272" s="30"/>
      <c r="AE272" s="30">
        <v>150072.54</v>
      </c>
    </row>
    <row r="273" spans="1:31" x14ac:dyDescent="0.25">
      <c r="A273">
        <v>11207</v>
      </c>
      <c r="B273" t="s">
        <v>368</v>
      </c>
      <c r="C273" t="s">
        <v>176</v>
      </c>
      <c r="D273" s="33">
        <v>150072.54999999999</v>
      </c>
      <c r="E273">
        <v>1246104480</v>
      </c>
      <c r="F273" s="222">
        <v>45427</v>
      </c>
      <c r="G273" s="222"/>
      <c r="H273" t="s">
        <v>156</v>
      </c>
      <c r="I273" t="s">
        <v>157</v>
      </c>
      <c r="J273">
        <v>1209</v>
      </c>
      <c r="K273" s="222">
        <v>45187</v>
      </c>
      <c r="L273">
        <v>1010100</v>
      </c>
      <c r="M273" t="s">
        <v>29</v>
      </c>
      <c r="N273">
        <v>746</v>
      </c>
      <c r="O273" s="30">
        <v>0</v>
      </c>
      <c r="P273" s="30">
        <v>150072.54999999999</v>
      </c>
      <c r="Q273" s="30">
        <v>0</v>
      </c>
      <c r="R273" s="30">
        <v>0</v>
      </c>
      <c r="S273" s="30">
        <v>0</v>
      </c>
      <c r="T273" s="30">
        <v>0</v>
      </c>
      <c r="U273" s="30">
        <v>150072.54999999999</v>
      </c>
      <c r="V273" s="30">
        <v>0</v>
      </c>
      <c r="W273" s="30">
        <v>0</v>
      </c>
      <c r="X273" s="30">
        <v>0</v>
      </c>
      <c r="Y273" s="30">
        <v>0</v>
      </c>
      <c r="Z273" s="30">
        <v>150072.54999999999</v>
      </c>
      <c r="AA273" s="30">
        <v>150072.54999999999</v>
      </c>
      <c r="AB273" s="30">
        <v>150072.54999999999</v>
      </c>
      <c r="AC273" s="30" t="s">
        <v>458</v>
      </c>
      <c r="AD273" s="30"/>
      <c r="AE273" s="30">
        <v>150072.54999999999</v>
      </c>
    </row>
    <row r="274" spans="1:31" x14ac:dyDescent="0.25">
      <c r="A274">
        <v>11207</v>
      </c>
      <c r="B274" t="s">
        <v>368</v>
      </c>
      <c r="C274" t="s">
        <v>176</v>
      </c>
      <c r="D274" s="33">
        <v>98152.42</v>
      </c>
      <c r="E274">
        <v>1246128194</v>
      </c>
      <c r="F274" s="222">
        <v>45595</v>
      </c>
      <c r="G274" s="222"/>
      <c r="H274" t="s">
        <v>156</v>
      </c>
      <c r="I274" t="s">
        <v>157</v>
      </c>
      <c r="J274">
        <v>2705</v>
      </c>
      <c r="K274" s="222">
        <v>45327</v>
      </c>
      <c r="L274">
        <v>1010100</v>
      </c>
      <c r="M274" t="s">
        <v>29</v>
      </c>
      <c r="N274">
        <v>578</v>
      </c>
      <c r="O274" s="30">
        <v>0</v>
      </c>
      <c r="P274" s="30">
        <v>98152.42</v>
      </c>
      <c r="Q274" s="30">
        <v>0</v>
      </c>
      <c r="R274" s="30">
        <v>0</v>
      </c>
      <c r="S274" s="30">
        <v>0</v>
      </c>
      <c r="T274" s="30">
        <v>0</v>
      </c>
      <c r="U274" s="30">
        <v>98152.42</v>
      </c>
      <c r="V274" s="30">
        <v>0</v>
      </c>
      <c r="W274" s="30">
        <v>0</v>
      </c>
      <c r="X274" s="30">
        <v>0</v>
      </c>
      <c r="Y274" s="30">
        <v>0</v>
      </c>
      <c r="Z274" s="30">
        <v>98152.42</v>
      </c>
      <c r="AA274" s="30">
        <v>98152.42</v>
      </c>
      <c r="AB274" s="30">
        <v>98152.42</v>
      </c>
      <c r="AC274" s="30" t="s">
        <v>458</v>
      </c>
      <c r="AD274" s="30"/>
      <c r="AE274" s="30">
        <v>98152.42</v>
      </c>
    </row>
    <row r="275" spans="1:31" x14ac:dyDescent="0.25">
      <c r="A275">
        <v>11207</v>
      </c>
      <c r="B275" t="s">
        <v>368</v>
      </c>
      <c r="C275" t="s">
        <v>176</v>
      </c>
      <c r="D275" s="33">
        <v>98152.43</v>
      </c>
      <c r="E275">
        <v>1246128212</v>
      </c>
      <c r="F275" s="222">
        <v>45595</v>
      </c>
      <c r="G275" s="222"/>
      <c r="H275" t="s">
        <v>156</v>
      </c>
      <c r="I275" t="s">
        <v>157</v>
      </c>
      <c r="J275">
        <v>2708</v>
      </c>
      <c r="K275" s="222">
        <v>45327</v>
      </c>
      <c r="L275">
        <v>1010100</v>
      </c>
      <c r="M275" t="s">
        <v>29</v>
      </c>
      <c r="N275">
        <v>578</v>
      </c>
      <c r="O275" s="30">
        <v>0</v>
      </c>
      <c r="P275" s="30">
        <v>98152.43</v>
      </c>
      <c r="Q275" s="30">
        <v>0</v>
      </c>
      <c r="R275" s="30">
        <v>0</v>
      </c>
      <c r="S275" s="30">
        <v>0</v>
      </c>
      <c r="T275" s="30">
        <v>0</v>
      </c>
      <c r="U275" s="30">
        <v>98152.43</v>
      </c>
      <c r="V275" s="30">
        <v>0</v>
      </c>
      <c r="W275" s="30">
        <v>0</v>
      </c>
      <c r="X275" s="30">
        <v>0</v>
      </c>
      <c r="Y275" s="30">
        <v>0</v>
      </c>
      <c r="Z275" s="30">
        <v>98152.43</v>
      </c>
      <c r="AA275" s="30">
        <v>98152.43</v>
      </c>
      <c r="AB275" s="30">
        <v>98152.43</v>
      </c>
      <c r="AC275" s="30" t="s">
        <v>458</v>
      </c>
      <c r="AD275" s="30"/>
      <c r="AE275" s="30">
        <v>98152.43</v>
      </c>
    </row>
    <row r="276" spans="1:31" x14ac:dyDescent="0.25">
      <c r="A276">
        <v>11207</v>
      </c>
      <c r="B276" t="s">
        <v>368</v>
      </c>
      <c r="C276" t="s">
        <v>176</v>
      </c>
      <c r="D276" s="33">
        <v>43771.16</v>
      </c>
      <c r="E276">
        <v>1246102312</v>
      </c>
      <c r="F276" s="222">
        <v>45414</v>
      </c>
      <c r="G276" s="222"/>
      <c r="H276" t="s">
        <v>156</v>
      </c>
      <c r="I276" t="s">
        <v>157</v>
      </c>
      <c r="J276">
        <v>1038</v>
      </c>
      <c r="K276" s="222">
        <v>45174</v>
      </c>
      <c r="L276">
        <v>1010100</v>
      </c>
      <c r="M276" t="s">
        <v>29</v>
      </c>
      <c r="N276">
        <v>759</v>
      </c>
      <c r="O276" s="30">
        <v>0</v>
      </c>
      <c r="P276" s="30">
        <v>43771.16</v>
      </c>
      <c r="Q276" s="30">
        <v>0</v>
      </c>
      <c r="R276" s="30">
        <v>0</v>
      </c>
      <c r="S276" s="30">
        <v>0</v>
      </c>
      <c r="T276" s="30">
        <v>0</v>
      </c>
      <c r="U276" s="30">
        <v>43771.16</v>
      </c>
      <c r="V276" s="30">
        <v>0</v>
      </c>
      <c r="W276" s="30">
        <v>0</v>
      </c>
      <c r="X276" s="30">
        <v>0</v>
      </c>
      <c r="Y276" s="30">
        <v>0</v>
      </c>
      <c r="Z276" s="30">
        <v>43771.16</v>
      </c>
      <c r="AA276" s="30">
        <v>43771.16</v>
      </c>
      <c r="AB276" s="30">
        <v>43771.16</v>
      </c>
      <c r="AC276" s="30" t="s">
        <v>458</v>
      </c>
      <c r="AD276" s="30"/>
      <c r="AE276" s="30">
        <v>43771.16</v>
      </c>
    </row>
    <row r="277" spans="1:31" x14ac:dyDescent="0.25">
      <c r="A277">
        <v>11207</v>
      </c>
      <c r="B277" t="s">
        <v>368</v>
      </c>
      <c r="C277" t="s">
        <v>176</v>
      </c>
      <c r="D277" s="33">
        <v>43771.16</v>
      </c>
      <c r="E277">
        <v>1246103425</v>
      </c>
      <c r="F277" s="222">
        <v>45421</v>
      </c>
      <c r="G277" s="222"/>
      <c r="H277" t="s">
        <v>156</v>
      </c>
      <c r="I277" t="s">
        <v>157</v>
      </c>
      <c r="J277">
        <v>232</v>
      </c>
      <c r="K277" s="222">
        <v>45181</v>
      </c>
      <c r="L277">
        <v>1010100</v>
      </c>
      <c r="M277" t="s">
        <v>29</v>
      </c>
      <c r="N277">
        <v>752</v>
      </c>
      <c r="O277" s="30">
        <v>0</v>
      </c>
      <c r="P277" s="30">
        <v>43771.16</v>
      </c>
      <c r="Q277" s="30">
        <v>0</v>
      </c>
      <c r="R277" s="30">
        <v>0</v>
      </c>
      <c r="S277" s="30">
        <v>0</v>
      </c>
      <c r="T277" s="30">
        <v>0</v>
      </c>
      <c r="U277" s="30">
        <v>43771.16</v>
      </c>
      <c r="V277" s="30">
        <v>0</v>
      </c>
      <c r="W277" s="30">
        <v>0</v>
      </c>
      <c r="X277" s="30">
        <v>0</v>
      </c>
      <c r="Y277" s="30">
        <v>0</v>
      </c>
      <c r="Z277" s="30">
        <v>43771.16</v>
      </c>
      <c r="AA277" s="30">
        <v>43771.16</v>
      </c>
      <c r="AB277" s="30">
        <v>43771.16</v>
      </c>
      <c r="AC277" s="30" t="s">
        <v>458</v>
      </c>
      <c r="AD277" s="30"/>
      <c r="AE277" s="30">
        <v>43771.16</v>
      </c>
    </row>
    <row r="278" spans="1:31" x14ac:dyDescent="0.25">
      <c r="A278">
        <v>11207</v>
      </c>
      <c r="B278" t="s">
        <v>368</v>
      </c>
      <c r="C278" t="s">
        <v>176</v>
      </c>
      <c r="D278" s="33">
        <v>85883.37</v>
      </c>
      <c r="E278">
        <v>1246128634</v>
      </c>
      <c r="F278" s="222">
        <v>45597</v>
      </c>
      <c r="G278" s="222"/>
      <c r="H278" t="s">
        <v>156</v>
      </c>
      <c r="I278" t="s">
        <v>157</v>
      </c>
      <c r="J278">
        <v>2731</v>
      </c>
      <c r="K278" s="222">
        <v>45329</v>
      </c>
      <c r="L278">
        <v>1010100</v>
      </c>
      <c r="M278" t="s">
        <v>29</v>
      </c>
      <c r="N278">
        <v>576</v>
      </c>
      <c r="O278" s="30">
        <v>0</v>
      </c>
      <c r="P278" s="30">
        <v>85883.37</v>
      </c>
      <c r="Q278" s="30">
        <v>0</v>
      </c>
      <c r="R278" s="30">
        <v>0</v>
      </c>
      <c r="S278" s="30">
        <v>0</v>
      </c>
      <c r="T278" s="30">
        <v>0</v>
      </c>
      <c r="U278" s="30">
        <v>85883.37</v>
      </c>
      <c r="V278" s="30">
        <v>0</v>
      </c>
      <c r="W278" s="30">
        <v>0</v>
      </c>
      <c r="X278" s="30">
        <v>0</v>
      </c>
      <c r="Y278" s="30">
        <v>0</v>
      </c>
      <c r="Z278" s="30">
        <v>85883.37</v>
      </c>
      <c r="AA278" s="30">
        <v>85883.37</v>
      </c>
      <c r="AB278" s="30">
        <v>85883.37</v>
      </c>
      <c r="AC278" s="30" t="s">
        <v>458</v>
      </c>
      <c r="AD278" s="30"/>
      <c r="AE278" s="30">
        <v>85883.37</v>
      </c>
    </row>
    <row r="279" spans="1:31" x14ac:dyDescent="0.25">
      <c r="A279">
        <v>11207</v>
      </c>
      <c r="B279" t="s">
        <v>368</v>
      </c>
      <c r="C279" t="s">
        <v>176</v>
      </c>
      <c r="D279" s="33">
        <v>150072.54</v>
      </c>
      <c r="E279">
        <v>1246106013</v>
      </c>
      <c r="F279" s="222">
        <v>45416</v>
      </c>
      <c r="G279" s="222"/>
      <c r="H279" t="s">
        <v>156</v>
      </c>
      <c r="I279" t="s">
        <v>157</v>
      </c>
      <c r="J279">
        <v>1329</v>
      </c>
      <c r="K279" s="222">
        <v>45194</v>
      </c>
      <c r="L279">
        <v>1010100</v>
      </c>
      <c r="M279" t="s">
        <v>29</v>
      </c>
      <c r="N279">
        <v>757</v>
      </c>
      <c r="O279" s="30">
        <v>0</v>
      </c>
      <c r="P279" s="30">
        <v>150072.54</v>
      </c>
      <c r="Q279" s="30">
        <v>0</v>
      </c>
      <c r="R279" s="30">
        <v>0</v>
      </c>
      <c r="S279" s="30">
        <v>0</v>
      </c>
      <c r="T279" s="30">
        <v>0</v>
      </c>
      <c r="U279" s="30">
        <v>150072.54</v>
      </c>
      <c r="V279" s="30">
        <v>0</v>
      </c>
      <c r="W279" s="30">
        <v>0</v>
      </c>
      <c r="X279" s="30">
        <v>0</v>
      </c>
      <c r="Y279" s="30">
        <v>0</v>
      </c>
      <c r="Z279" s="30">
        <v>150072.54</v>
      </c>
      <c r="AA279" s="30">
        <v>150072.54</v>
      </c>
      <c r="AB279" s="30">
        <v>150072.54</v>
      </c>
      <c r="AC279" s="30" t="s">
        <v>458</v>
      </c>
      <c r="AD279" s="30"/>
      <c r="AE279" s="30">
        <v>150072.54</v>
      </c>
    </row>
    <row r="280" spans="1:31" x14ac:dyDescent="0.25">
      <c r="A280">
        <v>11207</v>
      </c>
      <c r="B280" t="s">
        <v>368</v>
      </c>
      <c r="C280" t="s">
        <v>176</v>
      </c>
      <c r="D280" s="33">
        <v>150072.54</v>
      </c>
      <c r="E280">
        <v>1246102752</v>
      </c>
      <c r="F280" s="222">
        <v>45415</v>
      </c>
      <c r="G280" s="222"/>
      <c r="H280" t="s">
        <v>156</v>
      </c>
      <c r="I280" t="s">
        <v>157</v>
      </c>
      <c r="J280">
        <v>1071</v>
      </c>
      <c r="K280" s="222">
        <v>45175</v>
      </c>
      <c r="L280">
        <v>1010100</v>
      </c>
      <c r="M280" t="s">
        <v>29</v>
      </c>
      <c r="N280">
        <v>758</v>
      </c>
      <c r="O280" s="30">
        <v>0</v>
      </c>
      <c r="P280" s="30">
        <v>150072.54</v>
      </c>
      <c r="Q280" s="30">
        <v>0</v>
      </c>
      <c r="R280" s="30">
        <v>0</v>
      </c>
      <c r="S280" s="30">
        <v>0</v>
      </c>
      <c r="T280" s="30">
        <v>0</v>
      </c>
      <c r="U280" s="30">
        <v>150072.54</v>
      </c>
      <c r="V280" s="30">
        <v>0</v>
      </c>
      <c r="W280" s="30">
        <v>0</v>
      </c>
      <c r="X280" s="30">
        <v>0</v>
      </c>
      <c r="Y280" s="30">
        <v>0</v>
      </c>
      <c r="Z280" s="30">
        <v>150072.54</v>
      </c>
      <c r="AA280" s="30">
        <v>150072.54</v>
      </c>
      <c r="AB280" s="30">
        <v>150072.54</v>
      </c>
      <c r="AC280" s="30" t="s">
        <v>458</v>
      </c>
      <c r="AD280" s="30"/>
      <c r="AE280" s="30">
        <v>150072.54</v>
      </c>
    </row>
    <row r="281" spans="1:31" x14ac:dyDescent="0.25">
      <c r="A281">
        <v>11207</v>
      </c>
      <c r="B281" t="s">
        <v>368</v>
      </c>
      <c r="C281" t="s">
        <v>176</v>
      </c>
      <c r="D281" s="33">
        <v>43771.16</v>
      </c>
      <c r="E281">
        <v>1246103933</v>
      </c>
      <c r="F281" s="222">
        <v>45423</v>
      </c>
      <c r="G281" s="222"/>
      <c r="H281" t="s">
        <v>156</v>
      </c>
      <c r="I281" t="s">
        <v>157</v>
      </c>
      <c r="J281">
        <v>1167</v>
      </c>
      <c r="K281" s="222">
        <v>45183</v>
      </c>
      <c r="L281">
        <v>1010100</v>
      </c>
      <c r="M281" t="s">
        <v>29</v>
      </c>
      <c r="N281">
        <v>750</v>
      </c>
      <c r="O281" s="30">
        <v>0</v>
      </c>
      <c r="P281" s="30">
        <v>43771.16</v>
      </c>
      <c r="Q281" s="30">
        <v>0</v>
      </c>
      <c r="R281" s="30">
        <v>0</v>
      </c>
      <c r="S281" s="30">
        <v>0</v>
      </c>
      <c r="T281" s="30">
        <v>0</v>
      </c>
      <c r="U281" s="30">
        <v>43771.16</v>
      </c>
      <c r="V281" s="30">
        <v>0</v>
      </c>
      <c r="W281" s="30">
        <v>0</v>
      </c>
      <c r="X281" s="30">
        <v>0</v>
      </c>
      <c r="Y281" s="30">
        <v>0</v>
      </c>
      <c r="Z281" s="30">
        <v>43771.16</v>
      </c>
      <c r="AA281" s="30">
        <v>43771.16</v>
      </c>
      <c r="AB281" s="30">
        <v>43771.16</v>
      </c>
      <c r="AC281" s="30" t="s">
        <v>458</v>
      </c>
      <c r="AD281" s="30"/>
      <c r="AE281" s="30">
        <v>43771.16</v>
      </c>
    </row>
    <row r="282" spans="1:31" x14ac:dyDescent="0.25">
      <c r="A282">
        <v>11207</v>
      </c>
      <c r="B282" t="s">
        <v>368</v>
      </c>
      <c r="C282" t="s">
        <v>176</v>
      </c>
      <c r="D282" s="33">
        <v>150072.54</v>
      </c>
      <c r="E282">
        <v>1246105096</v>
      </c>
      <c r="F282" s="222">
        <v>45429</v>
      </c>
      <c r="G282" s="222"/>
      <c r="H282" t="s">
        <v>156</v>
      </c>
      <c r="I282" t="s">
        <v>157</v>
      </c>
      <c r="J282">
        <v>1263</v>
      </c>
      <c r="K282" s="222">
        <v>45189</v>
      </c>
      <c r="L282">
        <v>1010100</v>
      </c>
      <c r="M282" t="s">
        <v>29</v>
      </c>
      <c r="N282">
        <v>744</v>
      </c>
      <c r="O282" s="30">
        <v>0</v>
      </c>
      <c r="P282" s="30">
        <v>150072.54</v>
      </c>
      <c r="Q282" s="30">
        <v>0</v>
      </c>
      <c r="R282" s="30">
        <v>0</v>
      </c>
      <c r="S282" s="30">
        <v>0</v>
      </c>
      <c r="T282" s="30">
        <v>0</v>
      </c>
      <c r="U282" s="30">
        <v>150072.54</v>
      </c>
      <c r="V282" s="30">
        <v>0</v>
      </c>
      <c r="W282" s="30">
        <v>0</v>
      </c>
      <c r="X282" s="30">
        <v>0</v>
      </c>
      <c r="Y282" s="30">
        <v>0</v>
      </c>
      <c r="Z282" s="30">
        <v>150072.54</v>
      </c>
      <c r="AA282" s="30">
        <v>150072.54</v>
      </c>
      <c r="AB282" s="30">
        <v>150072.54</v>
      </c>
      <c r="AC282" s="30" t="s">
        <v>458</v>
      </c>
      <c r="AD282" s="30"/>
      <c r="AE282" s="30">
        <v>150072.54</v>
      </c>
    </row>
    <row r="283" spans="1:31" x14ac:dyDescent="0.25">
      <c r="A283">
        <v>11207</v>
      </c>
      <c r="B283" t="s">
        <v>368</v>
      </c>
      <c r="C283" t="s">
        <v>176</v>
      </c>
      <c r="D283" s="33">
        <v>85883.37</v>
      </c>
      <c r="E283">
        <v>1246131973</v>
      </c>
      <c r="F283" s="222">
        <v>45595</v>
      </c>
      <c r="G283" s="222"/>
      <c r="H283" t="s">
        <v>156</v>
      </c>
      <c r="I283" t="s">
        <v>157</v>
      </c>
      <c r="J283">
        <v>2972</v>
      </c>
      <c r="K283" s="222">
        <v>45352</v>
      </c>
      <c r="L283">
        <v>1010100</v>
      </c>
      <c r="M283" t="s">
        <v>29</v>
      </c>
      <c r="N283">
        <v>578</v>
      </c>
      <c r="O283" s="30">
        <v>0</v>
      </c>
      <c r="P283" s="30">
        <v>85883.37</v>
      </c>
      <c r="Q283" s="30">
        <v>0</v>
      </c>
      <c r="R283" s="30">
        <v>0</v>
      </c>
      <c r="S283" s="30">
        <v>0</v>
      </c>
      <c r="T283" s="30">
        <v>0</v>
      </c>
      <c r="U283" s="30">
        <v>85883.37</v>
      </c>
      <c r="V283" s="30">
        <v>0</v>
      </c>
      <c r="W283" s="30">
        <v>0</v>
      </c>
      <c r="X283" s="30">
        <v>0</v>
      </c>
      <c r="Y283" s="30">
        <v>0</v>
      </c>
      <c r="Z283" s="30">
        <v>85883.37</v>
      </c>
      <c r="AA283" s="30">
        <v>85883.37</v>
      </c>
      <c r="AB283" s="30">
        <v>85883.37</v>
      </c>
      <c r="AC283" s="30" t="s">
        <v>458</v>
      </c>
      <c r="AD283" s="30"/>
      <c r="AE283" s="30">
        <v>85883.37</v>
      </c>
    </row>
    <row r="284" spans="1:31" x14ac:dyDescent="0.25">
      <c r="A284">
        <v>11456</v>
      </c>
      <c r="B284" t="s">
        <v>368</v>
      </c>
      <c r="C284" t="s">
        <v>184</v>
      </c>
      <c r="D284" s="33">
        <v>108608.88999999998</v>
      </c>
      <c r="E284">
        <v>1246074872</v>
      </c>
      <c r="F284" s="222">
        <v>45412</v>
      </c>
      <c r="G284" s="222"/>
      <c r="H284" t="s">
        <v>156</v>
      </c>
      <c r="I284" t="s">
        <v>157</v>
      </c>
      <c r="J284">
        <v>21029</v>
      </c>
      <c r="K284" s="222">
        <v>45019</v>
      </c>
      <c r="L284">
        <v>1010100</v>
      </c>
      <c r="M284" t="s">
        <v>29</v>
      </c>
      <c r="N284">
        <v>761</v>
      </c>
      <c r="O284" s="30">
        <v>0</v>
      </c>
      <c r="P284" s="30">
        <v>108608.88999999998</v>
      </c>
      <c r="Q284" s="30">
        <v>0</v>
      </c>
      <c r="R284" s="30">
        <v>0</v>
      </c>
      <c r="S284" s="30">
        <v>0</v>
      </c>
      <c r="T284" s="30">
        <v>0</v>
      </c>
      <c r="U284" s="30">
        <v>108608.88999999998</v>
      </c>
      <c r="V284" s="30">
        <v>0</v>
      </c>
      <c r="W284" s="30">
        <v>0</v>
      </c>
      <c r="X284" s="30">
        <v>0</v>
      </c>
      <c r="Y284" s="30">
        <v>0</v>
      </c>
      <c r="Z284" s="30">
        <v>108608.88999999998</v>
      </c>
      <c r="AA284" s="30">
        <v>108608.88999999998</v>
      </c>
      <c r="AB284" s="30">
        <v>108608.88999999998</v>
      </c>
      <c r="AC284" s="30" t="s">
        <v>458</v>
      </c>
      <c r="AD284" s="30"/>
      <c r="AE284" s="30">
        <v>108608.88999999998</v>
      </c>
    </row>
    <row r="285" spans="1:31" x14ac:dyDescent="0.25">
      <c r="A285">
        <v>11456</v>
      </c>
      <c r="B285" t="s">
        <v>368</v>
      </c>
      <c r="C285" t="s">
        <v>184</v>
      </c>
      <c r="D285" s="33">
        <v>136139</v>
      </c>
      <c r="E285">
        <v>1246074571</v>
      </c>
      <c r="F285" s="222">
        <v>45412</v>
      </c>
      <c r="G285" s="222"/>
      <c r="H285" t="s">
        <v>156</v>
      </c>
      <c r="I285" t="s">
        <v>157</v>
      </c>
      <c r="J285">
        <v>21023</v>
      </c>
      <c r="K285" s="222">
        <v>45017</v>
      </c>
      <c r="L285">
        <v>1010100</v>
      </c>
      <c r="M285" t="s">
        <v>29</v>
      </c>
      <c r="N285">
        <v>761</v>
      </c>
      <c r="O285" s="30">
        <v>0</v>
      </c>
      <c r="P285" s="30">
        <v>136139</v>
      </c>
      <c r="Q285" s="30">
        <v>0</v>
      </c>
      <c r="R285" s="30">
        <v>0</v>
      </c>
      <c r="S285" s="30">
        <v>0</v>
      </c>
      <c r="T285" s="30">
        <v>0</v>
      </c>
      <c r="U285" s="30">
        <v>136139</v>
      </c>
      <c r="V285" s="30">
        <v>0</v>
      </c>
      <c r="W285" s="30">
        <v>0</v>
      </c>
      <c r="X285" s="30">
        <v>0</v>
      </c>
      <c r="Y285" s="30">
        <v>0</v>
      </c>
      <c r="Z285" s="30">
        <v>136139</v>
      </c>
      <c r="AA285" s="30">
        <v>136139</v>
      </c>
      <c r="AB285" s="30">
        <v>136139</v>
      </c>
      <c r="AC285" s="30" t="s">
        <v>458</v>
      </c>
      <c r="AD285" s="30"/>
      <c r="AE285" s="30">
        <v>136139</v>
      </c>
    </row>
    <row r="286" spans="1:31" x14ac:dyDescent="0.25">
      <c r="A286">
        <v>11456</v>
      </c>
      <c r="B286" t="s">
        <v>368</v>
      </c>
      <c r="C286" t="s">
        <v>184</v>
      </c>
      <c r="D286" s="33">
        <v>150110.1</v>
      </c>
      <c r="E286">
        <v>1246127149</v>
      </c>
      <c r="F286" s="222">
        <v>45615</v>
      </c>
      <c r="G286" s="222"/>
      <c r="H286" t="s">
        <v>156</v>
      </c>
      <c r="I286" t="s">
        <v>157</v>
      </c>
      <c r="J286">
        <v>2634</v>
      </c>
      <c r="K286" s="222">
        <v>45320</v>
      </c>
      <c r="L286">
        <v>1010100</v>
      </c>
      <c r="M286" t="s">
        <v>29</v>
      </c>
      <c r="N286">
        <v>558</v>
      </c>
      <c r="O286" s="30">
        <v>0</v>
      </c>
      <c r="P286" s="30">
        <v>150110.1</v>
      </c>
      <c r="Q286" s="30">
        <v>0</v>
      </c>
      <c r="R286" s="30">
        <v>0</v>
      </c>
      <c r="S286" s="30">
        <v>0</v>
      </c>
      <c r="T286" s="30">
        <v>0</v>
      </c>
      <c r="U286" s="30">
        <v>150110.1</v>
      </c>
      <c r="V286" s="30">
        <v>0</v>
      </c>
      <c r="W286" s="30">
        <v>0</v>
      </c>
      <c r="X286" s="30">
        <v>0</v>
      </c>
      <c r="Y286" s="30">
        <v>0</v>
      </c>
      <c r="Z286" s="30">
        <v>150110.1</v>
      </c>
      <c r="AA286" s="30">
        <v>150110.1</v>
      </c>
      <c r="AB286" s="30">
        <v>150110.1</v>
      </c>
      <c r="AC286" s="30" t="s">
        <v>458</v>
      </c>
      <c r="AD286" s="30"/>
      <c r="AE286" s="30">
        <v>150110.1</v>
      </c>
    </row>
    <row r="287" spans="1:31" x14ac:dyDescent="0.25">
      <c r="A287">
        <v>11456</v>
      </c>
      <c r="B287" t="s">
        <v>368</v>
      </c>
      <c r="C287" t="s">
        <v>184</v>
      </c>
      <c r="D287" s="33">
        <v>150110.1</v>
      </c>
      <c r="E287">
        <v>1246128463</v>
      </c>
      <c r="F287" s="222">
        <v>45623</v>
      </c>
      <c r="G287" s="222"/>
      <c r="H287" t="s">
        <v>156</v>
      </c>
      <c r="I287" t="s">
        <v>157</v>
      </c>
      <c r="J287">
        <v>2720</v>
      </c>
      <c r="K287" s="222">
        <v>45328</v>
      </c>
      <c r="L287">
        <v>1010100</v>
      </c>
      <c r="M287" t="s">
        <v>29</v>
      </c>
      <c r="N287">
        <v>550</v>
      </c>
      <c r="O287" s="30">
        <v>0</v>
      </c>
      <c r="P287" s="30">
        <v>150110.1</v>
      </c>
      <c r="Q287" s="30">
        <v>0</v>
      </c>
      <c r="R287" s="30">
        <v>0</v>
      </c>
      <c r="S287" s="30">
        <v>0</v>
      </c>
      <c r="T287" s="30">
        <v>0</v>
      </c>
      <c r="U287" s="30">
        <v>150110.1</v>
      </c>
      <c r="V287" s="30">
        <v>0</v>
      </c>
      <c r="W287" s="30">
        <v>0</v>
      </c>
      <c r="X287" s="30">
        <v>0</v>
      </c>
      <c r="Y287" s="30">
        <v>0</v>
      </c>
      <c r="Z287" s="30">
        <v>150110.1</v>
      </c>
      <c r="AA287" s="30">
        <v>150110.1</v>
      </c>
      <c r="AB287" s="30">
        <v>150110.1</v>
      </c>
      <c r="AC287" s="30" t="s">
        <v>458</v>
      </c>
      <c r="AD287" s="30"/>
      <c r="AE287" s="30">
        <v>150110.1</v>
      </c>
    </row>
    <row r="288" spans="1:31" x14ac:dyDescent="0.25">
      <c r="A288">
        <v>10492</v>
      </c>
      <c r="B288" t="s">
        <v>356</v>
      </c>
      <c r="C288" t="s">
        <v>732</v>
      </c>
      <c r="D288" s="33">
        <v>83087.199999999997</v>
      </c>
      <c r="E288">
        <v>1246274547</v>
      </c>
      <c r="F288" s="222">
        <v>46182</v>
      </c>
      <c r="G288" s="222"/>
      <c r="H288" t="s">
        <v>23</v>
      </c>
      <c r="I288" t="s">
        <v>24</v>
      </c>
      <c r="J288">
        <v>11360</v>
      </c>
      <c r="K288" s="222">
        <v>46154</v>
      </c>
      <c r="L288">
        <v>1010100</v>
      </c>
      <c r="M288" t="s">
        <v>29</v>
      </c>
      <c r="N288">
        <v>-9</v>
      </c>
      <c r="O288" s="30">
        <v>0</v>
      </c>
      <c r="P288" s="30">
        <v>0</v>
      </c>
      <c r="Q288" s="30">
        <v>83087.199999999997</v>
      </c>
      <c r="R288" s="30">
        <v>0</v>
      </c>
      <c r="S288" s="30">
        <v>0</v>
      </c>
      <c r="T288" s="30">
        <v>0</v>
      </c>
      <c r="U288" s="30">
        <v>0</v>
      </c>
      <c r="V288" s="30">
        <v>0</v>
      </c>
      <c r="W288" s="30">
        <v>0</v>
      </c>
      <c r="X288" s="30">
        <v>0</v>
      </c>
      <c r="Y288" s="30">
        <v>0</v>
      </c>
      <c r="Z288" s="30">
        <v>0</v>
      </c>
      <c r="AA288" s="30">
        <v>0</v>
      </c>
      <c r="AB288" s="30">
        <v>0</v>
      </c>
      <c r="AC288" s="30" t="s">
        <v>407</v>
      </c>
      <c r="AD288" s="30"/>
      <c r="AE288" s="30">
        <v>0</v>
      </c>
    </row>
    <row r="289" spans="1:31" x14ac:dyDescent="0.25">
      <c r="A289">
        <v>10492</v>
      </c>
      <c r="B289" t="s">
        <v>356</v>
      </c>
      <c r="C289" t="s">
        <v>732</v>
      </c>
      <c r="D289" s="33">
        <v>83190.8</v>
      </c>
      <c r="E289">
        <v>1246277253</v>
      </c>
      <c r="F289" s="222">
        <v>46198</v>
      </c>
      <c r="G289" s="222"/>
      <c r="H289" t="s">
        <v>23</v>
      </c>
      <c r="I289" t="s">
        <v>24</v>
      </c>
      <c r="J289">
        <v>11535</v>
      </c>
      <c r="K289" s="222">
        <v>46170</v>
      </c>
      <c r="L289">
        <v>1010100</v>
      </c>
      <c r="M289" t="s">
        <v>29</v>
      </c>
      <c r="N289">
        <v>-25</v>
      </c>
      <c r="O289" s="30">
        <v>0</v>
      </c>
      <c r="P289" s="30">
        <v>0</v>
      </c>
      <c r="Q289" s="30">
        <v>83190.8</v>
      </c>
      <c r="R289" s="30">
        <v>0</v>
      </c>
      <c r="S289" s="30">
        <v>0</v>
      </c>
      <c r="T289" s="30">
        <v>0</v>
      </c>
      <c r="U289" s="30">
        <v>0</v>
      </c>
      <c r="V289" s="30">
        <v>0</v>
      </c>
      <c r="W289" s="30">
        <v>0</v>
      </c>
      <c r="X289" s="30">
        <v>0</v>
      </c>
      <c r="Y289" s="30">
        <v>0</v>
      </c>
      <c r="Z289" s="30">
        <v>0</v>
      </c>
      <c r="AA289" s="30">
        <v>0</v>
      </c>
      <c r="AB289" s="30">
        <v>0</v>
      </c>
      <c r="AC289" s="30" t="s">
        <v>407</v>
      </c>
      <c r="AD289" s="30"/>
      <c r="AE289" s="30">
        <v>0</v>
      </c>
    </row>
    <row r="290" spans="1:31" x14ac:dyDescent="0.25">
      <c r="A290">
        <v>13018</v>
      </c>
      <c r="B290" t="s">
        <v>583</v>
      </c>
      <c r="C290" t="s">
        <v>586</v>
      </c>
      <c r="D290" s="33">
        <v>63625.599999999999</v>
      </c>
      <c r="E290">
        <v>1246271772</v>
      </c>
      <c r="F290" s="222">
        <v>46195</v>
      </c>
      <c r="G290" s="222"/>
      <c r="H290" t="s">
        <v>23</v>
      </c>
      <c r="I290" t="s">
        <v>24</v>
      </c>
      <c r="J290">
        <v>11167</v>
      </c>
      <c r="K290" s="222">
        <v>46129</v>
      </c>
      <c r="L290">
        <v>1010100</v>
      </c>
      <c r="M290" t="s">
        <v>29</v>
      </c>
      <c r="N290">
        <v>-22</v>
      </c>
      <c r="O290" s="30">
        <v>0</v>
      </c>
      <c r="P290" s="30">
        <v>0</v>
      </c>
      <c r="Q290" s="30">
        <v>63625.599999999999</v>
      </c>
      <c r="R290" s="30">
        <v>0</v>
      </c>
      <c r="S290" s="30">
        <v>0</v>
      </c>
      <c r="T290" s="30">
        <v>0</v>
      </c>
      <c r="U290" s="30">
        <v>0</v>
      </c>
      <c r="V290" s="30">
        <v>0</v>
      </c>
      <c r="W290" s="30">
        <v>0</v>
      </c>
      <c r="X290" s="30">
        <v>0</v>
      </c>
      <c r="Y290" s="30">
        <v>0</v>
      </c>
      <c r="Z290" s="30">
        <v>0</v>
      </c>
      <c r="AA290" s="30">
        <v>0</v>
      </c>
      <c r="AB290" s="30">
        <v>0</v>
      </c>
      <c r="AC290" s="30" t="s">
        <v>407</v>
      </c>
      <c r="AD290" s="30"/>
      <c r="AE290" s="30">
        <v>0</v>
      </c>
    </row>
    <row r="291" spans="1:31" x14ac:dyDescent="0.25">
      <c r="A291">
        <v>13018</v>
      </c>
      <c r="B291" t="s">
        <v>583</v>
      </c>
      <c r="C291" t="s">
        <v>586</v>
      </c>
      <c r="D291" s="33">
        <v>61407.199999999997</v>
      </c>
      <c r="E291">
        <v>1246271899</v>
      </c>
      <c r="F291" s="222">
        <v>46220</v>
      </c>
      <c r="G291" s="222"/>
      <c r="H291" t="s">
        <v>23</v>
      </c>
      <c r="I291" t="s">
        <v>24</v>
      </c>
      <c r="J291">
        <v>11180</v>
      </c>
      <c r="K291" s="222">
        <v>46132</v>
      </c>
      <c r="L291">
        <v>1010100</v>
      </c>
      <c r="M291" t="s">
        <v>29</v>
      </c>
      <c r="N291">
        <v>-47</v>
      </c>
      <c r="O291" s="30">
        <v>0</v>
      </c>
      <c r="P291" s="30">
        <v>0</v>
      </c>
      <c r="Q291" s="30">
        <v>61407.199999999997</v>
      </c>
      <c r="R291" s="30">
        <v>0</v>
      </c>
      <c r="S291" s="30">
        <v>0</v>
      </c>
      <c r="T291" s="30">
        <v>0</v>
      </c>
      <c r="U291" s="30">
        <v>0</v>
      </c>
      <c r="V291" s="30">
        <v>0</v>
      </c>
      <c r="W291" s="30">
        <v>0</v>
      </c>
      <c r="X291" s="30">
        <v>0</v>
      </c>
      <c r="Y291" s="30">
        <v>0</v>
      </c>
      <c r="Z291" s="30">
        <v>0</v>
      </c>
      <c r="AA291" s="30">
        <v>0</v>
      </c>
      <c r="AB291" s="30">
        <v>0</v>
      </c>
      <c r="AC291" s="30" t="s">
        <v>407</v>
      </c>
      <c r="AD291" s="30"/>
      <c r="AE291" s="30">
        <v>0</v>
      </c>
    </row>
    <row r="292" spans="1:31" x14ac:dyDescent="0.25">
      <c r="A292">
        <v>13018</v>
      </c>
      <c r="B292" t="s">
        <v>583</v>
      </c>
      <c r="C292" t="s">
        <v>586</v>
      </c>
      <c r="D292" s="33">
        <v>70068.399999999994</v>
      </c>
      <c r="E292">
        <v>1246277393</v>
      </c>
      <c r="F292" s="222">
        <v>46231</v>
      </c>
      <c r="G292" s="222"/>
      <c r="H292" t="s">
        <v>23</v>
      </c>
      <c r="I292" t="s">
        <v>24</v>
      </c>
      <c r="J292">
        <v>11554</v>
      </c>
      <c r="K292" s="222">
        <v>46171</v>
      </c>
      <c r="L292">
        <v>1010100</v>
      </c>
      <c r="M292" t="s">
        <v>29</v>
      </c>
      <c r="N292">
        <v>-58</v>
      </c>
      <c r="O292" s="30">
        <v>0</v>
      </c>
      <c r="P292" s="30">
        <v>0</v>
      </c>
      <c r="Q292" s="30">
        <v>70068.399999999994</v>
      </c>
      <c r="R292" s="30">
        <v>0</v>
      </c>
      <c r="S292" s="30">
        <v>0</v>
      </c>
      <c r="T292" s="30">
        <v>0</v>
      </c>
      <c r="U292" s="30">
        <v>0</v>
      </c>
      <c r="V292" s="30">
        <v>0</v>
      </c>
      <c r="W292" s="30">
        <v>0</v>
      </c>
      <c r="X292" s="30">
        <v>0</v>
      </c>
      <c r="Y292" s="30">
        <v>0</v>
      </c>
      <c r="Z292" s="30">
        <v>0</v>
      </c>
      <c r="AA292" s="30">
        <v>0</v>
      </c>
      <c r="AB292" s="30">
        <v>0</v>
      </c>
      <c r="AC292" s="30" t="s">
        <v>407</v>
      </c>
      <c r="AD292" s="30"/>
      <c r="AE292" s="30">
        <v>0</v>
      </c>
    </row>
    <row r="293" spans="1:31" x14ac:dyDescent="0.25">
      <c r="A293">
        <v>13018</v>
      </c>
      <c r="B293" t="s">
        <v>583</v>
      </c>
      <c r="C293" t="s">
        <v>586</v>
      </c>
      <c r="D293" s="33">
        <v>63838</v>
      </c>
      <c r="E293">
        <v>1246271508</v>
      </c>
      <c r="F293" s="222">
        <v>46215</v>
      </c>
      <c r="G293" s="222"/>
      <c r="H293" t="s">
        <v>23</v>
      </c>
      <c r="I293" t="s">
        <v>24</v>
      </c>
      <c r="J293">
        <v>11134</v>
      </c>
      <c r="K293" s="222">
        <v>46127</v>
      </c>
      <c r="L293">
        <v>1010100</v>
      </c>
      <c r="M293" t="s">
        <v>29</v>
      </c>
      <c r="N293">
        <v>-42</v>
      </c>
      <c r="O293" s="30">
        <v>0</v>
      </c>
      <c r="P293" s="30">
        <v>0</v>
      </c>
      <c r="Q293" s="30">
        <v>63838</v>
      </c>
      <c r="R293" s="30">
        <v>0</v>
      </c>
      <c r="S293" s="30">
        <v>0</v>
      </c>
      <c r="T293" s="30">
        <v>0</v>
      </c>
      <c r="U293" s="30">
        <v>0</v>
      </c>
      <c r="V293" s="30">
        <v>0</v>
      </c>
      <c r="W293" s="30">
        <v>0</v>
      </c>
      <c r="X293" s="30">
        <v>0</v>
      </c>
      <c r="Y293" s="30">
        <v>0</v>
      </c>
      <c r="Z293" s="30">
        <v>0</v>
      </c>
      <c r="AA293" s="30">
        <v>0</v>
      </c>
      <c r="AB293" s="30">
        <v>0</v>
      </c>
      <c r="AC293" s="30" t="s">
        <v>407</v>
      </c>
      <c r="AD293" s="30"/>
      <c r="AE293" s="30">
        <v>0</v>
      </c>
    </row>
    <row r="294" spans="1:31" x14ac:dyDescent="0.25">
      <c r="A294">
        <v>13018</v>
      </c>
      <c r="B294" t="s">
        <v>583</v>
      </c>
      <c r="C294" t="s">
        <v>586</v>
      </c>
      <c r="D294" s="33">
        <v>327740.59999999998</v>
      </c>
      <c r="E294">
        <v>1246272485</v>
      </c>
      <c r="F294" s="222">
        <v>46209</v>
      </c>
      <c r="G294" s="222"/>
      <c r="H294" t="s">
        <v>23</v>
      </c>
      <c r="I294" t="s">
        <v>24</v>
      </c>
      <c r="J294">
        <v>11214</v>
      </c>
      <c r="K294" s="222">
        <v>46136</v>
      </c>
      <c r="L294">
        <v>1010100</v>
      </c>
      <c r="M294" t="s">
        <v>29</v>
      </c>
      <c r="N294">
        <v>-36</v>
      </c>
      <c r="O294" s="30">
        <v>0</v>
      </c>
      <c r="P294" s="30">
        <v>0</v>
      </c>
      <c r="Q294" s="30">
        <v>327740.59999999998</v>
      </c>
      <c r="R294" s="30">
        <v>0</v>
      </c>
      <c r="S294" s="30">
        <v>0</v>
      </c>
      <c r="T294" s="30">
        <v>0</v>
      </c>
      <c r="U294" s="30">
        <v>0</v>
      </c>
      <c r="V294" s="30">
        <v>0</v>
      </c>
      <c r="W294" s="30">
        <v>0</v>
      </c>
      <c r="X294" s="30">
        <v>0</v>
      </c>
      <c r="Y294" s="30">
        <v>0</v>
      </c>
      <c r="Z294" s="30">
        <v>0</v>
      </c>
      <c r="AA294" s="30">
        <v>0</v>
      </c>
      <c r="AB294" s="30">
        <v>0</v>
      </c>
      <c r="AC294" s="30" t="s">
        <v>407</v>
      </c>
      <c r="AD294" s="30"/>
      <c r="AE294" s="30">
        <v>0</v>
      </c>
    </row>
    <row r="295" spans="1:31" x14ac:dyDescent="0.25">
      <c r="A295">
        <v>15908</v>
      </c>
      <c r="B295" t="s">
        <v>784</v>
      </c>
      <c r="C295" t="s">
        <v>749</v>
      </c>
      <c r="D295" s="33">
        <v>152185.74</v>
      </c>
      <c r="E295">
        <v>1246268845</v>
      </c>
      <c r="F295" s="222">
        <v>46195</v>
      </c>
      <c r="G295" s="222"/>
      <c r="H295" t="s">
        <v>156</v>
      </c>
      <c r="I295" t="s">
        <v>157</v>
      </c>
      <c r="J295">
        <v>10968</v>
      </c>
      <c r="K295" s="222">
        <v>46105</v>
      </c>
      <c r="L295">
        <v>1010100</v>
      </c>
      <c r="M295" t="s">
        <v>29</v>
      </c>
      <c r="N295">
        <v>-22</v>
      </c>
      <c r="O295" s="30">
        <v>0</v>
      </c>
      <c r="P295" s="30">
        <v>0</v>
      </c>
      <c r="Q295" s="30">
        <v>152185.74</v>
      </c>
      <c r="R295" s="30">
        <v>0</v>
      </c>
      <c r="S295" s="30">
        <v>0</v>
      </c>
      <c r="T295" s="30">
        <v>0</v>
      </c>
      <c r="U295" s="30">
        <v>0</v>
      </c>
      <c r="V295" s="30">
        <v>0</v>
      </c>
      <c r="W295" s="30">
        <v>0</v>
      </c>
      <c r="X295" s="30">
        <v>0</v>
      </c>
      <c r="Y295" s="30">
        <v>0</v>
      </c>
      <c r="Z295" s="30">
        <v>0</v>
      </c>
      <c r="AA295" s="30">
        <v>0</v>
      </c>
      <c r="AB295" s="30">
        <v>0</v>
      </c>
      <c r="AC295" s="30" t="s">
        <v>407</v>
      </c>
      <c r="AD295" s="30"/>
      <c r="AE295" s="30">
        <v>0</v>
      </c>
    </row>
    <row r="296" spans="1:31" x14ac:dyDescent="0.25">
      <c r="A296">
        <v>15908</v>
      </c>
      <c r="B296" t="s">
        <v>784</v>
      </c>
      <c r="C296" t="s">
        <v>749</v>
      </c>
      <c r="D296" s="33">
        <v>38698.71</v>
      </c>
      <c r="E296">
        <v>1246268455</v>
      </c>
      <c r="F296" s="222">
        <v>46190</v>
      </c>
      <c r="G296" s="222"/>
      <c r="H296" t="s">
        <v>156</v>
      </c>
      <c r="I296" t="s">
        <v>157</v>
      </c>
      <c r="J296">
        <v>10935</v>
      </c>
      <c r="K296" s="222">
        <v>46100</v>
      </c>
      <c r="L296">
        <v>1010100</v>
      </c>
      <c r="M296" t="s">
        <v>29</v>
      </c>
      <c r="N296">
        <v>-17</v>
      </c>
      <c r="O296" s="30">
        <v>0</v>
      </c>
      <c r="P296" s="30">
        <v>0</v>
      </c>
      <c r="Q296" s="30">
        <v>38698.71</v>
      </c>
      <c r="R296" s="30">
        <v>0</v>
      </c>
      <c r="S296" s="30">
        <v>0</v>
      </c>
      <c r="T296" s="30">
        <v>0</v>
      </c>
      <c r="U296" s="30">
        <v>0</v>
      </c>
      <c r="V296" s="30">
        <v>0</v>
      </c>
      <c r="W296" s="30">
        <v>0</v>
      </c>
      <c r="X296" s="30">
        <v>0</v>
      </c>
      <c r="Y296" s="30">
        <v>0</v>
      </c>
      <c r="Z296" s="30">
        <v>0</v>
      </c>
      <c r="AA296" s="30">
        <v>0</v>
      </c>
      <c r="AB296" s="30">
        <v>0</v>
      </c>
      <c r="AC296" s="30" t="s">
        <v>407</v>
      </c>
      <c r="AD296" s="30"/>
      <c r="AE296" s="30">
        <v>0</v>
      </c>
    </row>
    <row r="297" spans="1:31" x14ac:dyDescent="0.25">
      <c r="A297">
        <v>15908</v>
      </c>
      <c r="B297" t="s">
        <v>784</v>
      </c>
      <c r="C297" t="s">
        <v>749</v>
      </c>
      <c r="D297" s="33">
        <v>46034.400000000001</v>
      </c>
      <c r="E297">
        <v>1246273647</v>
      </c>
      <c r="F297" s="222">
        <v>46237</v>
      </c>
      <c r="G297" s="222"/>
      <c r="H297" t="s">
        <v>156</v>
      </c>
      <c r="I297" t="s">
        <v>157</v>
      </c>
      <c r="J297">
        <v>11302</v>
      </c>
      <c r="K297" s="222">
        <v>46147</v>
      </c>
      <c r="L297">
        <v>1010100</v>
      </c>
      <c r="M297" t="s">
        <v>29</v>
      </c>
      <c r="N297">
        <v>-64</v>
      </c>
      <c r="O297" s="30">
        <v>0</v>
      </c>
      <c r="P297" s="30">
        <v>0</v>
      </c>
      <c r="Q297" s="30">
        <v>46034.400000000001</v>
      </c>
      <c r="R297" s="30">
        <v>0</v>
      </c>
      <c r="S297" s="30">
        <v>0</v>
      </c>
      <c r="T297" s="30">
        <v>0</v>
      </c>
      <c r="U297" s="30">
        <v>0</v>
      </c>
      <c r="V297" s="30">
        <v>0</v>
      </c>
      <c r="W297" s="30">
        <v>0</v>
      </c>
      <c r="X297" s="30">
        <v>0</v>
      </c>
      <c r="Y297" s="30">
        <v>0</v>
      </c>
      <c r="Z297" s="30">
        <v>0</v>
      </c>
      <c r="AA297" s="30">
        <v>0</v>
      </c>
      <c r="AB297" s="30">
        <v>0</v>
      </c>
      <c r="AC297" s="30" t="s">
        <v>407</v>
      </c>
      <c r="AD297" s="30"/>
      <c r="AE297" s="30">
        <v>0</v>
      </c>
    </row>
    <row r="298" spans="1:31" x14ac:dyDescent="0.25">
      <c r="A298">
        <v>15905</v>
      </c>
      <c r="B298" t="s">
        <v>784</v>
      </c>
      <c r="C298" t="s">
        <v>751</v>
      </c>
      <c r="D298" s="33">
        <v>51551.06</v>
      </c>
      <c r="E298">
        <v>1246268473</v>
      </c>
      <c r="F298" s="222">
        <v>46190</v>
      </c>
      <c r="G298" s="222"/>
      <c r="H298" t="s">
        <v>156</v>
      </c>
      <c r="I298" t="s">
        <v>157</v>
      </c>
      <c r="J298">
        <v>10938</v>
      </c>
      <c r="K298" s="222">
        <v>46100</v>
      </c>
      <c r="L298">
        <v>1010100</v>
      </c>
      <c r="M298" t="s">
        <v>29</v>
      </c>
      <c r="N298">
        <v>-17</v>
      </c>
      <c r="O298" s="30">
        <v>0</v>
      </c>
      <c r="P298" s="30">
        <v>0</v>
      </c>
      <c r="Q298" s="30">
        <v>51551.06</v>
      </c>
      <c r="R298" s="30">
        <v>0</v>
      </c>
      <c r="S298" s="30">
        <v>0</v>
      </c>
      <c r="T298" s="30">
        <v>0</v>
      </c>
      <c r="U298" s="30">
        <v>0</v>
      </c>
      <c r="V298" s="30">
        <v>0</v>
      </c>
      <c r="W298" s="30">
        <v>0</v>
      </c>
      <c r="X298" s="30">
        <v>0</v>
      </c>
      <c r="Y298" s="30">
        <v>0</v>
      </c>
      <c r="Z298" s="30">
        <v>0</v>
      </c>
      <c r="AA298" s="30">
        <v>0</v>
      </c>
      <c r="AB298" s="30">
        <v>0</v>
      </c>
      <c r="AC298" s="30" t="s">
        <v>407</v>
      </c>
      <c r="AD298" s="30"/>
      <c r="AE298" s="30">
        <v>0</v>
      </c>
    </row>
    <row r="299" spans="1:31" x14ac:dyDescent="0.25">
      <c r="A299">
        <v>15905</v>
      </c>
      <c r="B299" t="s">
        <v>784</v>
      </c>
      <c r="C299" t="s">
        <v>751</v>
      </c>
      <c r="D299" s="33">
        <v>62496.02</v>
      </c>
      <c r="E299">
        <v>1246273651</v>
      </c>
      <c r="F299" s="222">
        <v>46237</v>
      </c>
      <c r="G299" s="222"/>
      <c r="H299" t="s">
        <v>156</v>
      </c>
      <c r="I299" t="s">
        <v>157</v>
      </c>
      <c r="J299">
        <v>11304</v>
      </c>
      <c r="K299" s="222">
        <v>46147</v>
      </c>
      <c r="L299">
        <v>1010100</v>
      </c>
      <c r="M299" t="s">
        <v>29</v>
      </c>
      <c r="N299">
        <v>-64</v>
      </c>
      <c r="O299" s="30">
        <v>0</v>
      </c>
      <c r="P299" s="30">
        <v>0</v>
      </c>
      <c r="Q299" s="30">
        <v>62496.02</v>
      </c>
      <c r="R299" s="30">
        <v>0</v>
      </c>
      <c r="S299" s="30">
        <v>0</v>
      </c>
      <c r="T299" s="30">
        <v>0</v>
      </c>
      <c r="U299" s="30">
        <v>0</v>
      </c>
      <c r="V299" s="30">
        <v>0</v>
      </c>
      <c r="W299" s="30">
        <v>0</v>
      </c>
      <c r="X299" s="30">
        <v>0</v>
      </c>
      <c r="Y299" s="30">
        <v>0</v>
      </c>
      <c r="Z299" s="30">
        <v>0</v>
      </c>
      <c r="AA299" s="30">
        <v>0</v>
      </c>
      <c r="AB299" s="30">
        <v>0</v>
      </c>
      <c r="AC299" s="30" t="s">
        <v>407</v>
      </c>
      <c r="AD299" s="30"/>
      <c r="AE299" s="30">
        <v>0</v>
      </c>
    </row>
    <row r="300" spans="1:31" x14ac:dyDescent="0.25">
      <c r="A300">
        <v>15905</v>
      </c>
      <c r="B300" t="s">
        <v>784</v>
      </c>
      <c r="C300" t="s">
        <v>751</v>
      </c>
      <c r="D300" s="33">
        <v>177522.26</v>
      </c>
      <c r="E300">
        <v>1246268967</v>
      </c>
      <c r="F300" s="222">
        <v>46196</v>
      </c>
      <c r="G300" s="222"/>
      <c r="H300" t="s">
        <v>156</v>
      </c>
      <c r="I300" t="s">
        <v>157</v>
      </c>
      <c r="J300">
        <v>10973</v>
      </c>
      <c r="K300" s="222">
        <v>46106</v>
      </c>
      <c r="L300">
        <v>1010100</v>
      </c>
      <c r="M300" t="s">
        <v>29</v>
      </c>
      <c r="N300">
        <v>-23</v>
      </c>
      <c r="O300" s="30">
        <v>0</v>
      </c>
      <c r="P300" s="30">
        <v>0</v>
      </c>
      <c r="Q300" s="30">
        <v>177522.26</v>
      </c>
      <c r="R300" s="30">
        <v>0</v>
      </c>
      <c r="S300" s="30">
        <v>0</v>
      </c>
      <c r="T300" s="30">
        <v>0</v>
      </c>
      <c r="U300" s="30">
        <v>0</v>
      </c>
      <c r="V300" s="30">
        <v>0</v>
      </c>
      <c r="W300" s="30">
        <v>0</v>
      </c>
      <c r="X300" s="30">
        <v>0</v>
      </c>
      <c r="Y300" s="30">
        <v>0</v>
      </c>
      <c r="Z300" s="30">
        <v>0</v>
      </c>
      <c r="AA300" s="30">
        <v>0</v>
      </c>
      <c r="AB300" s="30">
        <v>0</v>
      </c>
      <c r="AC300" s="30" t="s">
        <v>407</v>
      </c>
      <c r="AD300" s="30"/>
      <c r="AE300" s="30">
        <v>0</v>
      </c>
    </row>
    <row r="301" spans="1:31" x14ac:dyDescent="0.25">
      <c r="A301">
        <v>15905</v>
      </c>
      <c r="B301" t="s">
        <v>784</v>
      </c>
      <c r="C301" t="s">
        <v>751</v>
      </c>
      <c r="D301" s="33">
        <v>72587.789999999994</v>
      </c>
      <c r="E301">
        <v>1246271194</v>
      </c>
      <c r="F301" s="222">
        <v>46215</v>
      </c>
      <c r="G301" s="222"/>
      <c r="H301" t="s">
        <v>156</v>
      </c>
      <c r="I301" t="s">
        <v>157</v>
      </c>
      <c r="J301">
        <v>11111</v>
      </c>
      <c r="K301" s="222">
        <v>46125</v>
      </c>
      <c r="L301">
        <v>1010100</v>
      </c>
      <c r="M301" t="s">
        <v>29</v>
      </c>
      <c r="N301">
        <v>-42</v>
      </c>
      <c r="O301" s="30">
        <v>0</v>
      </c>
      <c r="P301" s="30">
        <v>0</v>
      </c>
      <c r="Q301" s="30">
        <v>72587.789999999994</v>
      </c>
      <c r="R301" s="30">
        <v>0</v>
      </c>
      <c r="S301" s="30">
        <v>0</v>
      </c>
      <c r="T301" s="30">
        <v>0</v>
      </c>
      <c r="U301" s="30">
        <v>0</v>
      </c>
      <c r="V301" s="30">
        <v>0</v>
      </c>
      <c r="W301" s="30">
        <v>0</v>
      </c>
      <c r="X301" s="30">
        <v>0</v>
      </c>
      <c r="Y301" s="30">
        <v>0</v>
      </c>
      <c r="Z301" s="30">
        <v>0</v>
      </c>
      <c r="AA301" s="30">
        <v>0</v>
      </c>
      <c r="AB301" s="30">
        <v>0</v>
      </c>
      <c r="AC301" s="30" t="s">
        <v>407</v>
      </c>
      <c r="AD301" s="30"/>
      <c r="AE301" s="30">
        <v>0</v>
      </c>
    </row>
    <row r="302" spans="1:31" x14ac:dyDescent="0.25">
      <c r="A302">
        <v>16387</v>
      </c>
      <c r="B302" t="s">
        <v>365</v>
      </c>
      <c r="C302" t="s">
        <v>635</v>
      </c>
      <c r="D302" s="33">
        <v>5030.5</v>
      </c>
      <c r="E302">
        <v>1246250305</v>
      </c>
      <c r="F302" s="222">
        <v>46254</v>
      </c>
      <c r="G302" s="222"/>
      <c r="H302" t="s">
        <v>156</v>
      </c>
      <c r="I302" t="s">
        <v>157</v>
      </c>
      <c r="J302">
        <v>10088</v>
      </c>
      <c r="K302" s="222">
        <v>45982</v>
      </c>
      <c r="L302">
        <v>1010100</v>
      </c>
      <c r="M302" t="s">
        <v>29</v>
      </c>
      <c r="N302">
        <v>-81</v>
      </c>
      <c r="O302" s="30">
        <v>0</v>
      </c>
      <c r="P302" s="30">
        <v>0</v>
      </c>
      <c r="Q302" s="30">
        <v>5030.5</v>
      </c>
      <c r="R302" s="30">
        <v>0</v>
      </c>
      <c r="S302" s="30">
        <v>0</v>
      </c>
      <c r="T302" s="30">
        <v>0</v>
      </c>
      <c r="U302" s="30">
        <v>0</v>
      </c>
      <c r="V302" s="30">
        <v>0</v>
      </c>
      <c r="W302" s="30">
        <v>0</v>
      </c>
      <c r="X302" s="30">
        <v>0</v>
      </c>
      <c r="Y302" s="30">
        <v>0</v>
      </c>
      <c r="Z302" s="30">
        <v>0</v>
      </c>
      <c r="AA302" s="30">
        <v>0</v>
      </c>
      <c r="AB302" s="30">
        <v>0</v>
      </c>
      <c r="AC302" s="30" t="s">
        <v>407</v>
      </c>
      <c r="AD302" s="30"/>
      <c r="AE302" s="30">
        <v>0</v>
      </c>
    </row>
    <row r="303" spans="1:31" x14ac:dyDescent="0.25">
      <c r="A303">
        <v>15906</v>
      </c>
      <c r="B303" t="s">
        <v>784</v>
      </c>
      <c r="C303" t="s">
        <v>753</v>
      </c>
      <c r="D303" s="33">
        <v>60112.54</v>
      </c>
      <c r="E303">
        <v>1246273649</v>
      </c>
      <c r="F303" s="222">
        <v>46237</v>
      </c>
      <c r="G303" s="222"/>
      <c r="H303" t="s">
        <v>156</v>
      </c>
      <c r="I303" t="s">
        <v>157</v>
      </c>
      <c r="J303">
        <v>11303</v>
      </c>
      <c r="K303" s="222">
        <v>46147</v>
      </c>
      <c r="L303">
        <v>1010100</v>
      </c>
      <c r="M303" t="s">
        <v>29</v>
      </c>
      <c r="N303">
        <v>-64</v>
      </c>
      <c r="O303" s="30">
        <v>0</v>
      </c>
      <c r="P303" s="30">
        <v>0</v>
      </c>
      <c r="Q303" s="30">
        <v>60112.54</v>
      </c>
      <c r="R303" s="30">
        <v>0</v>
      </c>
      <c r="S303" s="30">
        <v>0</v>
      </c>
      <c r="T303" s="30">
        <v>0</v>
      </c>
      <c r="U303" s="30">
        <v>0</v>
      </c>
      <c r="V303" s="30">
        <v>0</v>
      </c>
      <c r="W303" s="30">
        <v>0</v>
      </c>
      <c r="X303" s="30">
        <v>0</v>
      </c>
      <c r="Y303" s="30">
        <v>0</v>
      </c>
      <c r="Z303" s="30">
        <v>0</v>
      </c>
      <c r="AA303" s="30">
        <v>0</v>
      </c>
      <c r="AB303" s="30">
        <v>0</v>
      </c>
      <c r="AC303" s="30" t="s">
        <v>407</v>
      </c>
      <c r="AD303" s="30"/>
      <c r="AE303" s="30">
        <v>0</v>
      </c>
    </row>
    <row r="304" spans="1:31" x14ac:dyDescent="0.25">
      <c r="A304">
        <v>15906</v>
      </c>
      <c r="B304" t="s">
        <v>784</v>
      </c>
      <c r="C304" t="s">
        <v>753</v>
      </c>
      <c r="D304" s="33">
        <v>51551.06</v>
      </c>
      <c r="E304">
        <v>1246268468</v>
      </c>
      <c r="F304" s="222">
        <v>46190</v>
      </c>
      <c r="G304" s="222"/>
      <c r="H304" t="s">
        <v>156</v>
      </c>
      <c r="I304" t="s">
        <v>157</v>
      </c>
      <c r="J304">
        <v>10937</v>
      </c>
      <c r="K304" s="222">
        <v>46100</v>
      </c>
      <c r="L304">
        <v>1010100</v>
      </c>
      <c r="M304" t="s">
        <v>29</v>
      </c>
      <c r="N304">
        <v>-17</v>
      </c>
      <c r="O304" s="30">
        <v>0</v>
      </c>
      <c r="P304" s="30">
        <v>0</v>
      </c>
      <c r="Q304" s="30">
        <v>51551.06</v>
      </c>
      <c r="R304" s="30">
        <v>0</v>
      </c>
      <c r="S304" s="30">
        <v>0</v>
      </c>
      <c r="T304" s="30">
        <v>0</v>
      </c>
      <c r="U304" s="30">
        <v>0</v>
      </c>
      <c r="V304" s="30">
        <v>0</v>
      </c>
      <c r="W304" s="30">
        <v>0</v>
      </c>
      <c r="X304" s="30">
        <v>0</v>
      </c>
      <c r="Y304" s="30">
        <v>0</v>
      </c>
      <c r="Z304" s="30">
        <v>0</v>
      </c>
      <c r="AA304" s="30">
        <v>0</v>
      </c>
      <c r="AB304" s="30">
        <v>0</v>
      </c>
      <c r="AC304" s="30" t="s">
        <v>407</v>
      </c>
      <c r="AD304" s="30"/>
      <c r="AE304" s="30">
        <v>0</v>
      </c>
    </row>
    <row r="305" spans="1:31" x14ac:dyDescent="0.25">
      <c r="A305">
        <v>15904</v>
      </c>
      <c r="B305" t="s">
        <v>784</v>
      </c>
      <c r="C305" t="s">
        <v>755</v>
      </c>
      <c r="D305" s="33">
        <v>38698.71</v>
      </c>
      <c r="E305">
        <v>1246268475</v>
      </c>
      <c r="F305" s="222">
        <v>46190</v>
      </c>
      <c r="G305" s="222"/>
      <c r="H305" t="s">
        <v>156</v>
      </c>
      <c r="I305" t="s">
        <v>157</v>
      </c>
      <c r="J305">
        <v>10939</v>
      </c>
      <c r="K305" s="222">
        <v>46100</v>
      </c>
      <c r="L305">
        <v>1010100</v>
      </c>
      <c r="M305" t="s">
        <v>29</v>
      </c>
      <c r="N305">
        <v>-17</v>
      </c>
      <c r="O305" s="30">
        <v>0</v>
      </c>
      <c r="P305" s="30">
        <v>0</v>
      </c>
      <c r="Q305" s="30">
        <v>38698.71</v>
      </c>
      <c r="R305" s="30">
        <v>0</v>
      </c>
      <c r="S305" s="30">
        <v>0</v>
      </c>
      <c r="T305" s="30">
        <v>0</v>
      </c>
      <c r="U305" s="30">
        <v>0</v>
      </c>
      <c r="V305" s="30">
        <v>0</v>
      </c>
      <c r="W305" s="30">
        <v>0</v>
      </c>
      <c r="X305" s="30">
        <v>0</v>
      </c>
      <c r="Y305" s="30">
        <v>0</v>
      </c>
      <c r="Z305" s="30">
        <v>0</v>
      </c>
      <c r="AA305" s="30">
        <v>0</v>
      </c>
      <c r="AB305" s="30">
        <v>0</v>
      </c>
      <c r="AC305" s="30" t="s">
        <v>407</v>
      </c>
      <c r="AD305" s="30"/>
      <c r="AE305" s="30">
        <v>0</v>
      </c>
    </row>
    <row r="306" spans="1:31" x14ac:dyDescent="0.25">
      <c r="A306">
        <v>15904</v>
      </c>
      <c r="B306" t="s">
        <v>784</v>
      </c>
      <c r="C306" t="s">
        <v>755</v>
      </c>
      <c r="D306" s="33">
        <v>49794.11</v>
      </c>
      <c r="E306">
        <v>1246273644</v>
      </c>
      <c r="F306" s="222">
        <v>46237</v>
      </c>
      <c r="G306" s="222"/>
      <c r="H306" t="s">
        <v>156</v>
      </c>
      <c r="I306" t="s">
        <v>157</v>
      </c>
      <c r="J306">
        <v>11301</v>
      </c>
      <c r="K306" s="222">
        <v>46147</v>
      </c>
      <c r="L306">
        <v>1010100</v>
      </c>
      <c r="M306" t="s">
        <v>29</v>
      </c>
      <c r="N306">
        <v>-64</v>
      </c>
      <c r="O306" s="30">
        <v>0</v>
      </c>
      <c r="P306" s="30">
        <v>0</v>
      </c>
      <c r="Q306" s="30">
        <v>49794.11</v>
      </c>
      <c r="R306" s="30">
        <v>0</v>
      </c>
      <c r="S306" s="30">
        <v>0</v>
      </c>
      <c r="T306" s="30">
        <v>0</v>
      </c>
      <c r="U306" s="30">
        <v>0</v>
      </c>
      <c r="V306" s="30">
        <v>0</v>
      </c>
      <c r="W306" s="30">
        <v>0</v>
      </c>
      <c r="X306" s="30">
        <v>0</v>
      </c>
      <c r="Y306" s="30">
        <v>0</v>
      </c>
      <c r="Z306" s="30">
        <v>0</v>
      </c>
      <c r="AA306" s="30">
        <v>0</v>
      </c>
      <c r="AB306" s="30">
        <v>0</v>
      </c>
      <c r="AC306" s="30" t="s">
        <v>407</v>
      </c>
      <c r="AD306" s="30"/>
      <c r="AE306" s="30">
        <v>0</v>
      </c>
    </row>
    <row r="307" spans="1:31" x14ac:dyDescent="0.25">
      <c r="A307">
        <v>15904</v>
      </c>
      <c r="B307" t="s">
        <v>784</v>
      </c>
      <c r="C307" t="s">
        <v>755</v>
      </c>
      <c r="D307" s="33">
        <v>152158.14000000001</v>
      </c>
      <c r="E307">
        <v>1246269114</v>
      </c>
      <c r="F307" s="222">
        <v>46196</v>
      </c>
      <c r="G307" s="222"/>
      <c r="H307" t="s">
        <v>156</v>
      </c>
      <c r="I307" t="s">
        <v>157</v>
      </c>
      <c r="J307">
        <v>10978</v>
      </c>
      <c r="K307" s="222">
        <v>46106</v>
      </c>
      <c r="L307">
        <v>1010100</v>
      </c>
      <c r="M307" t="s">
        <v>29</v>
      </c>
      <c r="N307">
        <v>-23</v>
      </c>
      <c r="O307" s="30">
        <v>0</v>
      </c>
      <c r="P307" s="30">
        <v>0</v>
      </c>
      <c r="Q307" s="30">
        <v>152158.14000000001</v>
      </c>
      <c r="R307" s="30">
        <v>0</v>
      </c>
      <c r="S307" s="30">
        <v>0</v>
      </c>
      <c r="T307" s="30">
        <v>0</v>
      </c>
      <c r="U307" s="30">
        <v>0</v>
      </c>
      <c r="V307" s="30">
        <v>0</v>
      </c>
      <c r="W307" s="30">
        <v>0</v>
      </c>
      <c r="X307" s="30">
        <v>0</v>
      </c>
      <c r="Y307" s="30">
        <v>0</v>
      </c>
      <c r="Z307" s="30">
        <v>0</v>
      </c>
      <c r="AA307" s="30">
        <v>0</v>
      </c>
      <c r="AB307" s="30">
        <v>0</v>
      </c>
      <c r="AC307" s="30" t="s">
        <v>407</v>
      </c>
      <c r="AD307" s="30"/>
      <c r="AE307" s="30">
        <v>0</v>
      </c>
    </row>
    <row r="308" spans="1:31" x14ac:dyDescent="0.25">
      <c r="A308">
        <v>707</v>
      </c>
      <c r="B308" t="s">
        <v>44</v>
      </c>
      <c r="C308" t="s">
        <v>45</v>
      </c>
      <c r="D308" s="33">
        <v>40320</v>
      </c>
      <c r="E308">
        <v>1246146706</v>
      </c>
      <c r="F308" s="222">
        <v>45461</v>
      </c>
      <c r="G308" s="222"/>
      <c r="H308" t="s">
        <v>23</v>
      </c>
      <c r="I308" t="s">
        <v>24</v>
      </c>
      <c r="J308">
        <v>3619</v>
      </c>
      <c r="K308" s="222">
        <v>45433</v>
      </c>
      <c r="L308">
        <v>1010100</v>
      </c>
      <c r="M308" t="s">
        <v>29</v>
      </c>
      <c r="N308">
        <v>712</v>
      </c>
      <c r="O308" s="30">
        <v>0</v>
      </c>
      <c r="P308" s="30">
        <v>40320</v>
      </c>
      <c r="Q308" s="30">
        <v>0</v>
      </c>
      <c r="R308" s="30">
        <v>0</v>
      </c>
      <c r="S308" s="30">
        <v>0</v>
      </c>
      <c r="T308" s="30">
        <v>0</v>
      </c>
      <c r="U308" s="30">
        <v>40320</v>
      </c>
      <c r="V308" s="30">
        <v>0</v>
      </c>
      <c r="W308" s="30">
        <v>1209.5999999999999</v>
      </c>
      <c r="X308" s="30">
        <v>39110.400000000001</v>
      </c>
      <c r="Y308" s="30">
        <v>39110.400000000001</v>
      </c>
      <c r="Z308" s="30">
        <v>40320</v>
      </c>
      <c r="AA308" s="30">
        <v>0</v>
      </c>
      <c r="AB308" s="30">
        <v>40320</v>
      </c>
      <c r="AC308" s="30" t="s">
        <v>458</v>
      </c>
      <c r="AD308" s="30"/>
      <c r="AE308" s="30">
        <v>40320</v>
      </c>
    </row>
    <row r="309" spans="1:31" x14ac:dyDescent="0.25">
      <c r="A309">
        <v>707</v>
      </c>
      <c r="B309" t="s">
        <v>44</v>
      </c>
      <c r="C309" t="s">
        <v>45</v>
      </c>
      <c r="D309" s="33">
        <v>14640</v>
      </c>
      <c r="E309">
        <v>1246145696</v>
      </c>
      <c r="F309" s="222">
        <v>45454</v>
      </c>
      <c r="G309" s="222"/>
      <c r="H309" t="s">
        <v>23</v>
      </c>
      <c r="I309" t="s">
        <v>24</v>
      </c>
      <c r="J309">
        <v>3538</v>
      </c>
      <c r="K309" s="222">
        <v>45426</v>
      </c>
      <c r="L309">
        <v>1010100</v>
      </c>
      <c r="M309" t="s">
        <v>29</v>
      </c>
      <c r="N309">
        <v>719</v>
      </c>
      <c r="O309" s="30">
        <v>0</v>
      </c>
      <c r="P309" s="30">
        <v>14640</v>
      </c>
      <c r="Q309" s="30">
        <v>0</v>
      </c>
      <c r="R309" s="30">
        <v>0</v>
      </c>
      <c r="S309" s="30">
        <v>0</v>
      </c>
      <c r="T309" s="30">
        <v>0</v>
      </c>
      <c r="U309" s="30">
        <v>14640</v>
      </c>
      <c r="V309" s="30">
        <v>0</v>
      </c>
      <c r="W309" s="30">
        <v>439.2</v>
      </c>
      <c r="X309" s="30">
        <v>14200.8</v>
      </c>
      <c r="Y309" s="30">
        <v>14200.8</v>
      </c>
      <c r="Z309" s="30">
        <v>14640</v>
      </c>
      <c r="AA309" s="30">
        <v>0</v>
      </c>
      <c r="AB309" s="30">
        <v>14640</v>
      </c>
      <c r="AC309" s="30" t="s">
        <v>458</v>
      </c>
      <c r="AD309" s="30"/>
      <c r="AE309" s="30">
        <v>14640</v>
      </c>
    </row>
    <row r="310" spans="1:31" x14ac:dyDescent="0.25">
      <c r="A310">
        <v>707</v>
      </c>
      <c r="B310" t="s">
        <v>44</v>
      </c>
      <c r="C310" t="s">
        <v>45</v>
      </c>
      <c r="D310" s="33">
        <v>43920</v>
      </c>
      <c r="E310">
        <v>1246148035</v>
      </c>
      <c r="F310" s="222">
        <v>45469</v>
      </c>
      <c r="G310" s="222"/>
      <c r="H310" t="s">
        <v>23</v>
      </c>
      <c r="I310" t="s">
        <v>24</v>
      </c>
      <c r="J310">
        <v>3722</v>
      </c>
      <c r="K310" s="222">
        <v>45441</v>
      </c>
      <c r="L310">
        <v>1010100</v>
      </c>
      <c r="M310" t="s">
        <v>29</v>
      </c>
      <c r="N310">
        <v>704</v>
      </c>
      <c r="O310" s="30">
        <v>0</v>
      </c>
      <c r="P310" s="30">
        <v>43920</v>
      </c>
      <c r="Q310" s="30">
        <v>0</v>
      </c>
      <c r="R310" s="30">
        <v>0</v>
      </c>
      <c r="S310" s="30">
        <v>0</v>
      </c>
      <c r="T310" s="30">
        <v>0</v>
      </c>
      <c r="U310" s="30">
        <v>43920</v>
      </c>
      <c r="V310" s="30">
        <v>0</v>
      </c>
      <c r="W310" s="30">
        <v>1317.6</v>
      </c>
      <c r="X310" s="30">
        <v>42602.400000000001</v>
      </c>
      <c r="Y310" s="30">
        <v>42602.400000000001</v>
      </c>
      <c r="Z310" s="30">
        <v>43920</v>
      </c>
      <c r="AA310" s="30">
        <v>0</v>
      </c>
      <c r="AB310" s="30">
        <v>43920</v>
      </c>
      <c r="AC310" s="30" t="s">
        <v>458</v>
      </c>
      <c r="AD310" s="30"/>
      <c r="AE310" s="30">
        <v>43920</v>
      </c>
    </row>
    <row r="311" spans="1:31" x14ac:dyDescent="0.25">
      <c r="A311">
        <v>707</v>
      </c>
      <c r="B311" t="s">
        <v>44</v>
      </c>
      <c r="C311" t="s">
        <v>45</v>
      </c>
      <c r="D311" s="33">
        <v>36600</v>
      </c>
      <c r="E311">
        <v>1246146938</v>
      </c>
      <c r="F311" s="222">
        <v>45462</v>
      </c>
      <c r="G311" s="222"/>
      <c r="H311" t="s">
        <v>23</v>
      </c>
      <c r="I311" t="s">
        <v>24</v>
      </c>
      <c r="J311">
        <v>3637</v>
      </c>
      <c r="K311" s="222">
        <v>45434</v>
      </c>
      <c r="L311">
        <v>1010100</v>
      </c>
      <c r="M311" t="s">
        <v>29</v>
      </c>
      <c r="N311">
        <v>711</v>
      </c>
      <c r="O311" s="30">
        <v>0</v>
      </c>
      <c r="P311" s="30">
        <v>36600</v>
      </c>
      <c r="Q311" s="30">
        <v>0</v>
      </c>
      <c r="R311" s="30">
        <v>0</v>
      </c>
      <c r="S311" s="30">
        <v>0</v>
      </c>
      <c r="T311" s="30">
        <v>0</v>
      </c>
      <c r="U311" s="30">
        <v>36600</v>
      </c>
      <c r="V311" s="30">
        <v>0</v>
      </c>
      <c r="W311" s="30">
        <v>1098</v>
      </c>
      <c r="X311" s="30">
        <v>35502</v>
      </c>
      <c r="Y311" s="30">
        <v>35502</v>
      </c>
      <c r="Z311" s="30">
        <v>36600</v>
      </c>
      <c r="AA311" s="30">
        <v>0</v>
      </c>
      <c r="AB311" s="30">
        <v>36600</v>
      </c>
      <c r="AC311" s="30" t="s">
        <v>458</v>
      </c>
      <c r="AD311" s="30"/>
      <c r="AE311" s="30">
        <v>36600</v>
      </c>
    </row>
    <row r="312" spans="1:31" x14ac:dyDescent="0.25">
      <c r="A312">
        <v>707</v>
      </c>
      <c r="B312" t="s">
        <v>44</v>
      </c>
      <c r="C312" t="s">
        <v>45</v>
      </c>
      <c r="D312" s="33">
        <v>33600</v>
      </c>
      <c r="E312">
        <v>1246148036</v>
      </c>
      <c r="F312" s="222">
        <v>45469</v>
      </c>
      <c r="G312" s="222"/>
      <c r="H312" t="s">
        <v>23</v>
      </c>
      <c r="I312" t="s">
        <v>24</v>
      </c>
      <c r="J312">
        <v>3723</v>
      </c>
      <c r="K312" s="222">
        <v>45441</v>
      </c>
      <c r="L312">
        <v>1010100</v>
      </c>
      <c r="M312" t="s">
        <v>29</v>
      </c>
      <c r="N312">
        <v>704</v>
      </c>
      <c r="O312" s="30">
        <v>0</v>
      </c>
      <c r="P312" s="30">
        <v>33600</v>
      </c>
      <c r="Q312" s="30">
        <v>0</v>
      </c>
      <c r="R312" s="30">
        <v>0</v>
      </c>
      <c r="S312" s="30">
        <v>0</v>
      </c>
      <c r="T312" s="30">
        <v>0</v>
      </c>
      <c r="U312" s="30">
        <v>33600</v>
      </c>
      <c r="V312" s="30">
        <v>0</v>
      </c>
      <c r="W312" s="30">
        <v>1008</v>
      </c>
      <c r="X312" s="30">
        <v>32592</v>
      </c>
      <c r="Y312" s="30">
        <v>32592</v>
      </c>
      <c r="Z312" s="30">
        <v>33600</v>
      </c>
      <c r="AA312" s="30">
        <v>0</v>
      </c>
      <c r="AB312" s="30">
        <v>33600</v>
      </c>
      <c r="AC312" s="30" t="s">
        <v>458</v>
      </c>
      <c r="AD312" s="30"/>
      <c r="AE312" s="30">
        <v>33600</v>
      </c>
    </row>
    <row r="313" spans="1:31" x14ac:dyDescent="0.25">
      <c r="A313">
        <v>707</v>
      </c>
      <c r="B313" t="s">
        <v>44</v>
      </c>
      <c r="C313" t="s">
        <v>45</v>
      </c>
      <c r="D313" s="33">
        <v>16800</v>
      </c>
      <c r="E313">
        <v>1246141445</v>
      </c>
      <c r="F313" s="222">
        <v>45433</v>
      </c>
      <c r="G313" s="222"/>
      <c r="H313" t="s">
        <v>23</v>
      </c>
      <c r="I313" t="s">
        <v>24</v>
      </c>
      <c r="J313">
        <v>3345</v>
      </c>
      <c r="K313" s="222">
        <v>45405</v>
      </c>
      <c r="L313">
        <v>1010100</v>
      </c>
      <c r="M313" t="s">
        <v>29</v>
      </c>
      <c r="N313">
        <v>740</v>
      </c>
      <c r="O313" s="30">
        <v>0</v>
      </c>
      <c r="P313" s="30">
        <v>16800</v>
      </c>
      <c r="Q313" s="30">
        <v>0</v>
      </c>
      <c r="R313" s="30">
        <v>0</v>
      </c>
      <c r="S313" s="30">
        <v>0</v>
      </c>
      <c r="T313" s="30">
        <v>0</v>
      </c>
      <c r="U313" s="30">
        <v>16800</v>
      </c>
      <c r="V313" s="30">
        <v>0</v>
      </c>
      <c r="W313" s="30">
        <v>504</v>
      </c>
      <c r="X313" s="30">
        <v>16296</v>
      </c>
      <c r="Y313" s="30">
        <v>16296</v>
      </c>
      <c r="Z313" s="30">
        <v>16800</v>
      </c>
      <c r="AA313" s="30">
        <v>0</v>
      </c>
      <c r="AB313" s="30">
        <v>16800</v>
      </c>
      <c r="AC313" s="30" t="s">
        <v>458</v>
      </c>
      <c r="AD313" s="30"/>
      <c r="AE313" s="30">
        <v>16800</v>
      </c>
    </row>
    <row r="314" spans="1:31" x14ac:dyDescent="0.25">
      <c r="A314">
        <v>707</v>
      </c>
      <c r="B314" t="s">
        <v>44</v>
      </c>
      <c r="C314" t="s">
        <v>45</v>
      </c>
      <c r="D314" s="33">
        <v>40353.599999999999</v>
      </c>
      <c r="E314">
        <v>1246143397</v>
      </c>
      <c r="F314" s="222">
        <v>45443</v>
      </c>
      <c r="G314" s="222"/>
      <c r="H314" t="s">
        <v>23</v>
      </c>
      <c r="I314" t="s">
        <v>24</v>
      </c>
      <c r="J314">
        <v>3448</v>
      </c>
      <c r="K314" s="222">
        <v>45415</v>
      </c>
      <c r="L314">
        <v>1010100</v>
      </c>
      <c r="M314" t="s">
        <v>29</v>
      </c>
      <c r="N314">
        <v>730</v>
      </c>
      <c r="O314" s="30">
        <v>0</v>
      </c>
      <c r="P314" s="30">
        <v>40353.599999999999</v>
      </c>
      <c r="Q314" s="30">
        <v>0</v>
      </c>
      <c r="R314" s="30">
        <v>0</v>
      </c>
      <c r="S314" s="30">
        <v>0</v>
      </c>
      <c r="T314" s="30">
        <v>0</v>
      </c>
      <c r="U314" s="30">
        <v>40353.599999999999</v>
      </c>
      <c r="V314" s="30">
        <v>0</v>
      </c>
      <c r="W314" s="30">
        <v>1210.6079999999999</v>
      </c>
      <c r="X314" s="30">
        <v>39142.991999999998</v>
      </c>
      <c r="Y314" s="30">
        <v>39142.991999999998</v>
      </c>
      <c r="Z314" s="30">
        <v>40353.599999999999</v>
      </c>
      <c r="AA314" s="30">
        <v>0</v>
      </c>
      <c r="AB314" s="30">
        <v>40353.599999999999</v>
      </c>
      <c r="AC314" s="30" t="s">
        <v>458</v>
      </c>
      <c r="AD314" s="30"/>
      <c r="AE314" s="30">
        <v>40353.599999999999</v>
      </c>
    </row>
    <row r="315" spans="1:31" x14ac:dyDescent="0.25">
      <c r="A315">
        <v>1462</v>
      </c>
      <c r="B315" t="s">
        <v>55</v>
      </c>
      <c r="C315" t="s">
        <v>56</v>
      </c>
      <c r="D315" s="33">
        <v>38067.25</v>
      </c>
      <c r="E315">
        <v>1246274419</v>
      </c>
      <c r="F315" s="222">
        <v>46213</v>
      </c>
      <c r="G315" s="222"/>
      <c r="H315" t="s">
        <v>23</v>
      </c>
      <c r="I315" t="s">
        <v>24</v>
      </c>
      <c r="J315">
        <v>11350</v>
      </c>
      <c r="K315" s="222">
        <v>46153</v>
      </c>
      <c r="L315">
        <v>1010100</v>
      </c>
      <c r="M315" t="s">
        <v>29</v>
      </c>
      <c r="N315">
        <v>-40</v>
      </c>
      <c r="O315" s="30">
        <v>0</v>
      </c>
      <c r="P315" s="30">
        <v>0</v>
      </c>
      <c r="Q315" s="30">
        <v>38067.25</v>
      </c>
      <c r="R315" s="30">
        <v>0</v>
      </c>
      <c r="S315" s="30">
        <v>0</v>
      </c>
      <c r="T315" s="30">
        <v>0</v>
      </c>
      <c r="U315" s="30">
        <v>0</v>
      </c>
      <c r="V315" s="30">
        <v>0</v>
      </c>
      <c r="W315" s="30">
        <v>0</v>
      </c>
      <c r="X315" s="30">
        <v>0</v>
      </c>
      <c r="Y315" s="30">
        <v>0</v>
      </c>
      <c r="Z315" s="30">
        <v>0</v>
      </c>
      <c r="AA315" s="30">
        <v>0</v>
      </c>
      <c r="AB315" s="30">
        <v>0</v>
      </c>
      <c r="AC315" s="30" t="s">
        <v>407</v>
      </c>
      <c r="AD315" s="30"/>
      <c r="AE315" s="30">
        <v>0</v>
      </c>
    </row>
    <row r="316" spans="1:31" x14ac:dyDescent="0.25">
      <c r="A316">
        <v>1462</v>
      </c>
      <c r="B316" t="s">
        <v>55</v>
      </c>
      <c r="C316" t="s">
        <v>56</v>
      </c>
      <c r="D316" s="33">
        <v>38067.25</v>
      </c>
      <c r="E316">
        <v>1246274420</v>
      </c>
      <c r="F316" s="222">
        <v>46223</v>
      </c>
      <c r="G316" s="222"/>
      <c r="H316" t="s">
        <v>23</v>
      </c>
      <c r="I316" t="s">
        <v>24</v>
      </c>
      <c r="J316">
        <v>11350</v>
      </c>
      <c r="K316" s="222">
        <v>46153</v>
      </c>
      <c r="L316">
        <v>1010100</v>
      </c>
      <c r="M316" t="s">
        <v>29</v>
      </c>
      <c r="N316">
        <v>-50</v>
      </c>
      <c r="O316" s="30">
        <v>0</v>
      </c>
      <c r="P316" s="30">
        <v>0</v>
      </c>
      <c r="Q316" s="30">
        <v>38067.25</v>
      </c>
      <c r="R316" s="30">
        <v>0</v>
      </c>
      <c r="S316" s="30">
        <v>0</v>
      </c>
      <c r="T316" s="30">
        <v>0</v>
      </c>
      <c r="U316" s="30">
        <v>0</v>
      </c>
      <c r="V316" s="30">
        <v>0</v>
      </c>
      <c r="W316" s="30">
        <v>0</v>
      </c>
      <c r="X316" s="30">
        <v>0</v>
      </c>
      <c r="Y316" s="30">
        <v>0</v>
      </c>
      <c r="Z316" s="30">
        <v>0</v>
      </c>
      <c r="AA316" s="30">
        <v>0</v>
      </c>
      <c r="AB316" s="30">
        <v>0</v>
      </c>
      <c r="AC316" s="30" t="s">
        <v>407</v>
      </c>
      <c r="AD316" s="30"/>
      <c r="AE316" s="30">
        <v>0</v>
      </c>
    </row>
    <row r="317" spans="1:31" x14ac:dyDescent="0.25">
      <c r="A317">
        <v>1462</v>
      </c>
      <c r="B317" t="s">
        <v>55</v>
      </c>
      <c r="C317" t="s">
        <v>56</v>
      </c>
      <c r="D317" s="33">
        <v>38160.199999999997</v>
      </c>
      <c r="E317">
        <v>1246270126</v>
      </c>
      <c r="F317" s="222">
        <v>46174</v>
      </c>
      <c r="G317" s="222"/>
      <c r="H317" t="s">
        <v>23</v>
      </c>
      <c r="I317" t="s">
        <v>24</v>
      </c>
      <c r="J317">
        <v>11041</v>
      </c>
      <c r="K317" s="222">
        <v>46114</v>
      </c>
      <c r="L317">
        <v>1010100</v>
      </c>
      <c r="M317" t="s">
        <v>29</v>
      </c>
      <c r="N317">
        <v>-1</v>
      </c>
      <c r="O317" s="30">
        <v>0</v>
      </c>
      <c r="P317" s="30">
        <v>0</v>
      </c>
      <c r="Q317" s="30">
        <v>38160.199999999997</v>
      </c>
      <c r="R317" s="30">
        <v>0</v>
      </c>
      <c r="S317" s="30">
        <v>0</v>
      </c>
      <c r="T317" s="30">
        <v>0</v>
      </c>
      <c r="U317" s="30">
        <v>0</v>
      </c>
      <c r="V317" s="30">
        <v>0</v>
      </c>
      <c r="W317" s="30">
        <v>0</v>
      </c>
      <c r="X317" s="30">
        <v>0</v>
      </c>
      <c r="Y317" s="30">
        <v>0</v>
      </c>
      <c r="Z317" s="30">
        <v>0</v>
      </c>
      <c r="AA317" s="30">
        <v>0</v>
      </c>
      <c r="AB317" s="30">
        <v>0</v>
      </c>
      <c r="AC317" s="30" t="s">
        <v>407</v>
      </c>
      <c r="AD317" s="30"/>
      <c r="AE317" s="30">
        <v>0</v>
      </c>
    </row>
    <row r="318" spans="1:31" x14ac:dyDescent="0.25">
      <c r="A318">
        <v>1462</v>
      </c>
      <c r="B318" t="s">
        <v>55</v>
      </c>
      <c r="C318" t="s">
        <v>56</v>
      </c>
      <c r="D318" s="33">
        <v>38160.199999999997</v>
      </c>
      <c r="E318">
        <v>1246270127</v>
      </c>
      <c r="F318" s="222">
        <v>46184</v>
      </c>
      <c r="G318" s="222"/>
      <c r="H318" t="s">
        <v>23</v>
      </c>
      <c r="I318" t="s">
        <v>24</v>
      </c>
      <c r="J318">
        <v>11041</v>
      </c>
      <c r="K318" s="222">
        <v>46114</v>
      </c>
      <c r="L318">
        <v>1010100</v>
      </c>
      <c r="M318" t="s">
        <v>29</v>
      </c>
      <c r="N318">
        <v>-11</v>
      </c>
      <c r="O318" s="30">
        <v>0</v>
      </c>
      <c r="P318" s="30">
        <v>0</v>
      </c>
      <c r="Q318" s="30">
        <v>38160.199999999997</v>
      </c>
      <c r="R318" s="30">
        <v>0</v>
      </c>
      <c r="S318" s="30">
        <v>0</v>
      </c>
      <c r="T318" s="30">
        <v>0</v>
      </c>
      <c r="U318" s="30">
        <v>0</v>
      </c>
      <c r="V318" s="30">
        <v>0</v>
      </c>
      <c r="W318" s="30">
        <v>0</v>
      </c>
      <c r="X318" s="30">
        <v>0</v>
      </c>
      <c r="Y318" s="30">
        <v>0</v>
      </c>
      <c r="Z318" s="30">
        <v>0</v>
      </c>
      <c r="AA318" s="30">
        <v>0</v>
      </c>
      <c r="AB318" s="30">
        <v>0</v>
      </c>
      <c r="AC318" s="30" t="s">
        <v>407</v>
      </c>
      <c r="AD318" s="30"/>
      <c r="AE318" s="30">
        <v>0</v>
      </c>
    </row>
    <row r="319" spans="1:31" x14ac:dyDescent="0.25">
      <c r="A319">
        <v>1462</v>
      </c>
      <c r="B319" t="s">
        <v>55</v>
      </c>
      <c r="C319" t="s">
        <v>56</v>
      </c>
      <c r="D319" s="33">
        <v>38236.25</v>
      </c>
      <c r="E319">
        <v>1246277330</v>
      </c>
      <c r="F319" s="222">
        <v>46230</v>
      </c>
      <c r="G319" s="222"/>
      <c r="H319" t="s">
        <v>23</v>
      </c>
      <c r="I319" t="s">
        <v>24</v>
      </c>
      <c r="J319">
        <v>11543</v>
      </c>
      <c r="K319" s="222">
        <v>46170</v>
      </c>
      <c r="L319">
        <v>1010100</v>
      </c>
      <c r="M319" t="s">
        <v>29</v>
      </c>
      <c r="N319">
        <v>-57</v>
      </c>
      <c r="O319" s="30">
        <v>0</v>
      </c>
      <c r="P319" s="30">
        <v>0</v>
      </c>
      <c r="Q319" s="30">
        <v>38236.25</v>
      </c>
      <c r="R319" s="30">
        <v>0</v>
      </c>
      <c r="S319" s="30">
        <v>0</v>
      </c>
      <c r="T319" s="30">
        <v>0</v>
      </c>
      <c r="U319" s="30">
        <v>0</v>
      </c>
      <c r="V319" s="30">
        <v>0</v>
      </c>
      <c r="W319" s="30">
        <v>0</v>
      </c>
      <c r="X319" s="30">
        <v>0</v>
      </c>
      <c r="Y319" s="30">
        <v>0</v>
      </c>
      <c r="Z319" s="30">
        <v>0</v>
      </c>
      <c r="AA319" s="30">
        <v>0</v>
      </c>
      <c r="AB319" s="30">
        <v>0</v>
      </c>
      <c r="AC319" s="30" t="s">
        <v>407</v>
      </c>
      <c r="AD319" s="30"/>
      <c r="AE319" s="30">
        <v>0</v>
      </c>
    </row>
    <row r="320" spans="1:31" x14ac:dyDescent="0.25">
      <c r="A320">
        <v>1462</v>
      </c>
      <c r="B320" t="s">
        <v>55</v>
      </c>
      <c r="C320" t="s">
        <v>56</v>
      </c>
      <c r="D320" s="33">
        <v>38236.25</v>
      </c>
      <c r="E320">
        <v>1246277331</v>
      </c>
      <c r="F320" s="222">
        <v>46240</v>
      </c>
      <c r="G320" s="222"/>
      <c r="H320" t="s">
        <v>23</v>
      </c>
      <c r="I320" t="s">
        <v>24</v>
      </c>
      <c r="J320">
        <v>11543</v>
      </c>
      <c r="K320" s="222">
        <v>46170</v>
      </c>
      <c r="L320">
        <v>1010100</v>
      </c>
      <c r="M320" t="s">
        <v>29</v>
      </c>
      <c r="N320">
        <v>-67</v>
      </c>
      <c r="O320" s="30">
        <v>0</v>
      </c>
      <c r="P320" s="30">
        <v>0</v>
      </c>
      <c r="Q320" s="30">
        <v>38236.25</v>
      </c>
      <c r="R320" s="30">
        <v>0</v>
      </c>
      <c r="S320" s="30">
        <v>0</v>
      </c>
      <c r="T320" s="30">
        <v>0</v>
      </c>
      <c r="U320" s="30">
        <v>0</v>
      </c>
      <c r="V320" s="30">
        <v>0</v>
      </c>
      <c r="W320" s="30">
        <v>0</v>
      </c>
      <c r="X320" s="30">
        <v>0</v>
      </c>
      <c r="Y320" s="30">
        <v>0</v>
      </c>
      <c r="Z320" s="30">
        <v>0</v>
      </c>
      <c r="AA320" s="30">
        <v>0</v>
      </c>
      <c r="AB320" s="30">
        <v>0</v>
      </c>
      <c r="AC320" s="30" t="s">
        <v>407</v>
      </c>
      <c r="AD320" s="30"/>
      <c r="AE320" s="30">
        <v>0</v>
      </c>
    </row>
    <row r="321" spans="1:31" x14ac:dyDescent="0.25">
      <c r="A321">
        <v>2011</v>
      </c>
      <c r="B321" t="s">
        <v>616</v>
      </c>
      <c r="C321" t="s">
        <v>462</v>
      </c>
      <c r="D321" s="33">
        <v>332479.46999999991</v>
      </c>
      <c r="E321">
        <v>1246277335</v>
      </c>
      <c r="F321" s="222">
        <v>46198</v>
      </c>
      <c r="G321" s="222"/>
      <c r="H321" t="s">
        <v>23</v>
      </c>
      <c r="I321" t="s">
        <v>24</v>
      </c>
      <c r="J321">
        <v>11544</v>
      </c>
      <c r="K321" s="222">
        <v>46170</v>
      </c>
      <c r="L321">
        <v>1010100</v>
      </c>
      <c r="M321" t="s">
        <v>29</v>
      </c>
      <c r="N321">
        <v>-25</v>
      </c>
      <c r="O321" s="30">
        <v>0</v>
      </c>
      <c r="P321" s="30">
        <v>0</v>
      </c>
      <c r="Q321" s="30">
        <v>332479.46999999991</v>
      </c>
      <c r="R321" s="30">
        <v>0</v>
      </c>
      <c r="S321" s="30">
        <v>0</v>
      </c>
      <c r="T321" s="30">
        <v>0</v>
      </c>
      <c r="U321" s="30">
        <v>0</v>
      </c>
      <c r="V321" s="30">
        <v>0</v>
      </c>
      <c r="W321" s="30">
        <v>0</v>
      </c>
      <c r="X321" s="30">
        <v>0</v>
      </c>
      <c r="Y321" s="30">
        <v>0</v>
      </c>
      <c r="Z321" s="30">
        <v>0</v>
      </c>
      <c r="AA321" s="30">
        <v>0</v>
      </c>
      <c r="AB321" s="30">
        <v>0</v>
      </c>
      <c r="AC321" s="30" t="s">
        <v>407</v>
      </c>
      <c r="AD321" s="30"/>
      <c r="AE321" s="30">
        <v>0</v>
      </c>
    </row>
    <row r="322" spans="1:31" x14ac:dyDescent="0.25">
      <c r="A322">
        <v>2011</v>
      </c>
      <c r="B322" t="s">
        <v>616</v>
      </c>
      <c r="C322" t="s">
        <v>462</v>
      </c>
      <c r="D322" s="33">
        <v>105088.1</v>
      </c>
      <c r="E322">
        <v>1246276488</v>
      </c>
      <c r="F322" s="222">
        <v>46195</v>
      </c>
      <c r="G322" s="222"/>
      <c r="H322" t="s">
        <v>23</v>
      </c>
      <c r="I322" t="s">
        <v>24</v>
      </c>
      <c r="J322">
        <v>11486</v>
      </c>
      <c r="K322" s="222">
        <v>46167</v>
      </c>
      <c r="L322">
        <v>1010100</v>
      </c>
      <c r="M322" t="s">
        <v>29</v>
      </c>
      <c r="N322">
        <v>-22</v>
      </c>
      <c r="O322" s="30">
        <v>0</v>
      </c>
      <c r="P322" s="30">
        <v>0</v>
      </c>
      <c r="Q322" s="30">
        <v>105088.1</v>
      </c>
      <c r="R322" s="30">
        <v>0</v>
      </c>
      <c r="S322" s="30">
        <v>0</v>
      </c>
      <c r="T322" s="30">
        <v>0</v>
      </c>
      <c r="U322" s="30">
        <v>0</v>
      </c>
      <c r="V322" s="30">
        <v>0</v>
      </c>
      <c r="W322" s="30">
        <v>0</v>
      </c>
      <c r="X322" s="30">
        <v>0</v>
      </c>
      <c r="Y322" s="30">
        <v>0</v>
      </c>
      <c r="Z322" s="30">
        <v>0</v>
      </c>
      <c r="AA322" s="30">
        <v>0</v>
      </c>
      <c r="AB322" s="30">
        <v>0</v>
      </c>
      <c r="AC322" s="30" t="s">
        <v>407</v>
      </c>
      <c r="AD322" s="30"/>
      <c r="AE322" s="30">
        <v>0</v>
      </c>
    </row>
    <row r="323" spans="1:31" x14ac:dyDescent="0.25">
      <c r="A323">
        <v>2011</v>
      </c>
      <c r="B323" t="s">
        <v>616</v>
      </c>
      <c r="C323" t="s">
        <v>462</v>
      </c>
      <c r="D323" s="33">
        <v>105017.5</v>
      </c>
      <c r="E323">
        <v>1246277105</v>
      </c>
      <c r="F323" s="222">
        <v>46197</v>
      </c>
      <c r="G323" s="222"/>
      <c r="H323" t="s">
        <v>23</v>
      </c>
      <c r="I323" t="s">
        <v>24</v>
      </c>
      <c r="J323">
        <v>11519</v>
      </c>
      <c r="K323" s="222">
        <v>46169</v>
      </c>
      <c r="L323">
        <v>1010100</v>
      </c>
      <c r="M323" t="s">
        <v>29</v>
      </c>
      <c r="N323">
        <v>-24</v>
      </c>
      <c r="O323" s="30">
        <v>0</v>
      </c>
      <c r="P323" s="30">
        <v>0</v>
      </c>
      <c r="Q323" s="30">
        <v>105017.5</v>
      </c>
      <c r="R323" s="30">
        <v>0</v>
      </c>
      <c r="S323" s="30">
        <v>0</v>
      </c>
      <c r="T323" s="30">
        <v>0</v>
      </c>
      <c r="U323" s="30">
        <v>0</v>
      </c>
      <c r="V323" s="30">
        <v>0</v>
      </c>
      <c r="W323" s="30">
        <v>0</v>
      </c>
      <c r="X323" s="30">
        <v>0</v>
      </c>
      <c r="Y323" s="30">
        <v>0</v>
      </c>
      <c r="Z323" s="30">
        <v>0</v>
      </c>
      <c r="AA323" s="30">
        <v>0</v>
      </c>
      <c r="AB323" s="30">
        <v>0</v>
      </c>
      <c r="AC323" s="30" t="s">
        <v>407</v>
      </c>
      <c r="AD323" s="30"/>
      <c r="AE323" s="30">
        <v>0</v>
      </c>
    </row>
    <row r="324" spans="1:31" x14ac:dyDescent="0.25">
      <c r="A324">
        <v>2011</v>
      </c>
      <c r="B324" t="s">
        <v>616</v>
      </c>
      <c r="C324" t="s">
        <v>462</v>
      </c>
      <c r="D324" s="33">
        <v>105264.6</v>
      </c>
      <c r="E324">
        <v>1246275452</v>
      </c>
      <c r="F324" s="222">
        <v>46185</v>
      </c>
      <c r="G324" s="222"/>
      <c r="H324" t="s">
        <v>23</v>
      </c>
      <c r="I324" t="s">
        <v>24</v>
      </c>
      <c r="J324">
        <v>11410</v>
      </c>
      <c r="K324" s="222">
        <v>46157</v>
      </c>
      <c r="L324">
        <v>1010100</v>
      </c>
      <c r="M324" t="s">
        <v>29</v>
      </c>
      <c r="N324">
        <v>-12</v>
      </c>
      <c r="O324" s="30">
        <v>0</v>
      </c>
      <c r="P324" s="30">
        <v>0</v>
      </c>
      <c r="Q324" s="30">
        <v>105264.6</v>
      </c>
      <c r="R324" s="30">
        <v>0</v>
      </c>
      <c r="S324" s="30">
        <v>0</v>
      </c>
      <c r="T324" s="30">
        <v>0</v>
      </c>
      <c r="U324" s="30">
        <v>0</v>
      </c>
      <c r="V324" s="30">
        <v>0</v>
      </c>
      <c r="W324" s="30">
        <v>0</v>
      </c>
      <c r="X324" s="30">
        <v>0</v>
      </c>
      <c r="Y324" s="30">
        <v>0</v>
      </c>
      <c r="Z324" s="30">
        <v>0</v>
      </c>
      <c r="AA324" s="30">
        <v>0</v>
      </c>
      <c r="AB324" s="30">
        <v>0</v>
      </c>
      <c r="AC324" s="30" t="s">
        <v>407</v>
      </c>
      <c r="AD324" s="30"/>
      <c r="AE324" s="30">
        <v>0</v>
      </c>
    </row>
    <row r="325" spans="1:31" x14ac:dyDescent="0.25">
      <c r="A325">
        <v>2011</v>
      </c>
      <c r="B325" t="s">
        <v>616</v>
      </c>
      <c r="C325" t="s">
        <v>462</v>
      </c>
      <c r="D325" s="33">
        <v>105123.4</v>
      </c>
      <c r="E325">
        <v>1246275874</v>
      </c>
      <c r="F325" s="222">
        <v>46190</v>
      </c>
      <c r="G325" s="222"/>
      <c r="H325" t="s">
        <v>23</v>
      </c>
      <c r="I325" t="s">
        <v>24</v>
      </c>
      <c r="J325">
        <v>11447</v>
      </c>
      <c r="K325" s="222">
        <v>46162</v>
      </c>
      <c r="L325">
        <v>1010100</v>
      </c>
      <c r="M325" t="s">
        <v>29</v>
      </c>
      <c r="N325">
        <v>-17</v>
      </c>
      <c r="O325" s="30">
        <v>0</v>
      </c>
      <c r="P325" s="30">
        <v>0</v>
      </c>
      <c r="Q325" s="30">
        <v>105123.4</v>
      </c>
      <c r="R325" s="30">
        <v>0</v>
      </c>
      <c r="S325" s="30">
        <v>0</v>
      </c>
      <c r="T325" s="30">
        <v>0</v>
      </c>
      <c r="U325" s="30">
        <v>0</v>
      </c>
      <c r="V325" s="30">
        <v>0</v>
      </c>
      <c r="W325" s="30">
        <v>0</v>
      </c>
      <c r="X325" s="30">
        <v>0</v>
      </c>
      <c r="Y325" s="30">
        <v>0</v>
      </c>
      <c r="Z325" s="30">
        <v>0</v>
      </c>
      <c r="AA325" s="30">
        <v>0</v>
      </c>
      <c r="AB325" s="30">
        <v>0</v>
      </c>
      <c r="AC325" s="30" t="s">
        <v>407</v>
      </c>
      <c r="AD325" s="30"/>
      <c r="AE325" s="30">
        <v>0</v>
      </c>
    </row>
    <row r="326" spans="1:31" x14ac:dyDescent="0.25">
      <c r="A326">
        <v>2011</v>
      </c>
      <c r="B326" t="s">
        <v>616</v>
      </c>
      <c r="C326" t="s">
        <v>462</v>
      </c>
      <c r="D326" s="33">
        <v>105370.5</v>
      </c>
      <c r="E326">
        <v>1246276546</v>
      </c>
      <c r="F326" s="222">
        <v>46195</v>
      </c>
      <c r="G326" s="222"/>
      <c r="H326" t="s">
        <v>23</v>
      </c>
      <c r="I326" t="s">
        <v>24</v>
      </c>
      <c r="J326">
        <v>11491</v>
      </c>
      <c r="K326" s="222">
        <v>46167</v>
      </c>
      <c r="L326">
        <v>1010100</v>
      </c>
      <c r="M326" t="s">
        <v>29</v>
      </c>
      <c r="N326">
        <v>-22</v>
      </c>
      <c r="O326" s="30">
        <v>0</v>
      </c>
      <c r="P326" s="30">
        <v>0</v>
      </c>
      <c r="Q326" s="30">
        <v>105370.5</v>
      </c>
      <c r="R326" s="30">
        <v>0</v>
      </c>
      <c r="S326" s="30">
        <v>0</v>
      </c>
      <c r="T326" s="30">
        <v>0</v>
      </c>
      <c r="U326" s="30">
        <v>0</v>
      </c>
      <c r="V326" s="30">
        <v>0</v>
      </c>
      <c r="W326" s="30">
        <v>0</v>
      </c>
      <c r="X326" s="30">
        <v>0</v>
      </c>
      <c r="Y326" s="30">
        <v>0</v>
      </c>
      <c r="Z326" s="30">
        <v>0</v>
      </c>
      <c r="AA326" s="30">
        <v>0</v>
      </c>
      <c r="AB326" s="30">
        <v>0</v>
      </c>
      <c r="AC326" s="30" t="s">
        <v>407</v>
      </c>
      <c r="AD326" s="30"/>
      <c r="AE326" s="30">
        <v>0</v>
      </c>
    </row>
    <row r="327" spans="1:31" x14ac:dyDescent="0.25">
      <c r="A327">
        <v>2011</v>
      </c>
      <c r="B327" t="s">
        <v>616</v>
      </c>
      <c r="C327" t="s">
        <v>462</v>
      </c>
      <c r="D327" s="33">
        <v>105052.8</v>
      </c>
      <c r="E327">
        <v>1246274524</v>
      </c>
      <c r="F327" s="222">
        <v>46182</v>
      </c>
      <c r="G327" s="222"/>
      <c r="H327" t="s">
        <v>23</v>
      </c>
      <c r="I327" t="s">
        <v>24</v>
      </c>
      <c r="J327">
        <v>11355</v>
      </c>
      <c r="K327" s="222">
        <v>46154</v>
      </c>
      <c r="L327">
        <v>1010100</v>
      </c>
      <c r="M327" t="s">
        <v>29</v>
      </c>
      <c r="N327">
        <v>-9</v>
      </c>
      <c r="O327" s="30">
        <v>0</v>
      </c>
      <c r="P327" s="30">
        <v>0</v>
      </c>
      <c r="Q327" s="30">
        <v>105052.8</v>
      </c>
      <c r="R327" s="30">
        <v>0</v>
      </c>
      <c r="S327" s="30">
        <v>0</v>
      </c>
      <c r="T327" s="30">
        <v>0</v>
      </c>
      <c r="U327" s="30">
        <v>0</v>
      </c>
      <c r="V327" s="30">
        <v>0</v>
      </c>
      <c r="W327" s="30">
        <v>0</v>
      </c>
      <c r="X327" s="30">
        <v>0</v>
      </c>
      <c r="Y327" s="30">
        <v>0</v>
      </c>
      <c r="Z327" s="30">
        <v>0</v>
      </c>
      <c r="AA327" s="30">
        <v>0</v>
      </c>
      <c r="AB327" s="30">
        <v>0</v>
      </c>
      <c r="AC327" s="30" t="s">
        <v>407</v>
      </c>
      <c r="AD327" s="30"/>
      <c r="AE327" s="30">
        <v>0</v>
      </c>
    </row>
    <row r="328" spans="1:31" x14ac:dyDescent="0.25">
      <c r="A328">
        <v>2011</v>
      </c>
      <c r="B328" t="s">
        <v>616</v>
      </c>
      <c r="C328" t="s">
        <v>462</v>
      </c>
      <c r="D328" s="33">
        <v>105370.5</v>
      </c>
      <c r="E328">
        <v>1246277319</v>
      </c>
      <c r="F328" s="222">
        <v>46198</v>
      </c>
      <c r="G328" s="222"/>
      <c r="H328" t="s">
        <v>23</v>
      </c>
      <c r="I328" t="s">
        <v>24</v>
      </c>
      <c r="J328">
        <v>11541</v>
      </c>
      <c r="K328" s="222">
        <v>46170</v>
      </c>
      <c r="L328">
        <v>1010100</v>
      </c>
      <c r="M328" t="s">
        <v>29</v>
      </c>
      <c r="N328">
        <v>-25</v>
      </c>
      <c r="O328" s="30">
        <v>0</v>
      </c>
      <c r="P328" s="30">
        <v>0</v>
      </c>
      <c r="Q328" s="30">
        <v>105370.5</v>
      </c>
      <c r="R328" s="30">
        <v>0</v>
      </c>
      <c r="S328" s="30">
        <v>0</v>
      </c>
      <c r="T328" s="30">
        <v>0</v>
      </c>
      <c r="U328" s="30">
        <v>0</v>
      </c>
      <c r="V328" s="30">
        <v>0</v>
      </c>
      <c r="W328" s="30">
        <v>0</v>
      </c>
      <c r="X328" s="30">
        <v>0</v>
      </c>
      <c r="Y328" s="30">
        <v>0</v>
      </c>
      <c r="Z328" s="30">
        <v>0</v>
      </c>
      <c r="AA328" s="30">
        <v>0</v>
      </c>
      <c r="AB328" s="30">
        <v>0</v>
      </c>
      <c r="AC328" s="30" t="s">
        <v>407</v>
      </c>
      <c r="AD328" s="30"/>
      <c r="AE328" s="30">
        <v>0</v>
      </c>
    </row>
    <row r="329" spans="1:31" x14ac:dyDescent="0.25">
      <c r="A329">
        <v>2011</v>
      </c>
      <c r="B329" t="s">
        <v>616</v>
      </c>
      <c r="C329" t="s">
        <v>462</v>
      </c>
      <c r="D329" s="33">
        <v>347791.02</v>
      </c>
      <c r="E329">
        <v>1246276372</v>
      </c>
      <c r="F329" s="222">
        <v>46192</v>
      </c>
      <c r="G329" s="222"/>
      <c r="H329" t="s">
        <v>23</v>
      </c>
      <c r="I329" t="s">
        <v>24</v>
      </c>
      <c r="J329">
        <v>11477</v>
      </c>
      <c r="K329" s="222">
        <v>46164</v>
      </c>
      <c r="L329">
        <v>1010100</v>
      </c>
      <c r="M329" t="s">
        <v>29</v>
      </c>
      <c r="N329">
        <v>-19</v>
      </c>
      <c r="O329" s="30">
        <v>0</v>
      </c>
      <c r="P329" s="30">
        <v>0</v>
      </c>
      <c r="Q329" s="30">
        <v>347791.02</v>
      </c>
      <c r="R329" s="30">
        <v>0</v>
      </c>
      <c r="S329" s="30">
        <v>0</v>
      </c>
      <c r="T329" s="30">
        <v>0</v>
      </c>
      <c r="U329" s="30">
        <v>0</v>
      </c>
      <c r="V329" s="30">
        <v>0</v>
      </c>
      <c r="W329" s="30">
        <v>0</v>
      </c>
      <c r="X329" s="30">
        <v>0</v>
      </c>
      <c r="Y329" s="30">
        <v>0</v>
      </c>
      <c r="Z329" s="30">
        <v>0</v>
      </c>
      <c r="AA329" s="30">
        <v>0</v>
      </c>
      <c r="AB329" s="30">
        <v>0</v>
      </c>
      <c r="AC329" s="30" t="s">
        <v>407</v>
      </c>
      <c r="AD329" s="30"/>
      <c r="AE329" s="30">
        <v>0</v>
      </c>
    </row>
    <row r="330" spans="1:31" x14ac:dyDescent="0.25">
      <c r="A330">
        <v>2011</v>
      </c>
      <c r="B330" t="s">
        <v>616</v>
      </c>
      <c r="C330" t="s">
        <v>462</v>
      </c>
      <c r="D330" s="33">
        <v>104876.3</v>
      </c>
      <c r="E330">
        <v>1246277476</v>
      </c>
      <c r="F330" s="222">
        <v>46199</v>
      </c>
      <c r="G330" s="222"/>
      <c r="H330" t="s">
        <v>23</v>
      </c>
      <c r="I330" t="s">
        <v>24</v>
      </c>
      <c r="J330">
        <v>11558</v>
      </c>
      <c r="K330" s="222">
        <v>46171</v>
      </c>
      <c r="L330">
        <v>1010100</v>
      </c>
      <c r="M330" t="s">
        <v>29</v>
      </c>
      <c r="N330">
        <v>-26</v>
      </c>
      <c r="O330" s="30">
        <v>0</v>
      </c>
      <c r="P330" s="30">
        <v>0</v>
      </c>
      <c r="Q330" s="30">
        <v>104876.3</v>
      </c>
      <c r="R330" s="30">
        <v>0</v>
      </c>
      <c r="S330" s="30">
        <v>0</v>
      </c>
      <c r="T330" s="30">
        <v>0</v>
      </c>
      <c r="U330" s="30">
        <v>0</v>
      </c>
      <c r="V330" s="30">
        <v>0</v>
      </c>
      <c r="W330" s="30">
        <v>0</v>
      </c>
      <c r="X330" s="30">
        <v>0</v>
      </c>
      <c r="Y330" s="30">
        <v>0</v>
      </c>
      <c r="Z330" s="30">
        <v>0</v>
      </c>
      <c r="AA330" s="30">
        <v>0</v>
      </c>
      <c r="AB330" s="30">
        <v>0</v>
      </c>
      <c r="AC330" s="30" t="s">
        <v>407</v>
      </c>
      <c r="AD330" s="30"/>
      <c r="AE330" s="30">
        <v>0</v>
      </c>
    </row>
    <row r="331" spans="1:31" x14ac:dyDescent="0.25">
      <c r="A331">
        <v>2225</v>
      </c>
      <c r="B331" t="s">
        <v>727</v>
      </c>
      <c r="C331" t="s">
        <v>800</v>
      </c>
      <c r="D331" s="33">
        <v>168333.2</v>
      </c>
      <c r="E331">
        <v>1246275826</v>
      </c>
      <c r="F331" s="222">
        <v>46189</v>
      </c>
      <c r="G331" s="222"/>
      <c r="H331" t="s">
        <v>23</v>
      </c>
      <c r="I331" t="s">
        <v>24</v>
      </c>
      <c r="J331">
        <v>11445</v>
      </c>
      <c r="K331" s="222">
        <v>46161</v>
      </c>
      <c r="L331">
        <v>1010100</v>
      </c>
      <c r="M331" t="s">
        <v>29</v>
      </c>
      <c r="N331">
        <v>-16</v>
      </c>
      <c r="O331" s="30">
        <v>0</v>
      </c>
      <c r="P331" s="30">
        <v>0</v>
      </c>
      <c r="Q331" s="30">
        <v>168333.2</v>
      </c>
      <c r="R331" s="30">
        <v>0</v>
      </c>
      <c r="S331" s="30">
        <v>0</v>
      </c>
      <c r="T331" s="30">
        <v>0</v>
      </c>
      <c r="U331" s="30">
        <v>0</v>
      </c>
      <c r="V331" s="30">
        <v>0</v>
      </c>
      <c r="W331" s="30">
        <v>0</v>
      </c>
      <c r="X331" s="30">
        <v>0</v>
      </c>
      <c r="Y331" s="30">
        <v>0</v>
      </c>
      <c r="Z331" s="30">
        <v>0</v>
      </c>
      <c r="AA331" s="30">
        <v>0</v>
      </c>
      <c r="AB331" s="30">
        <v>0</v>
      </c>
      <c r="AC331" s="30" t="s">
        <v>407</v>
      </c>
      <c r="AD331" s="30"/>
      <c r="AE331" s="30">
        <v>0</v>
      </c>
    </row>
    <row r="332" spans="1:31" x14ac:dyDescent="0.25">
      <c r="A332">
        <v>2225</v>
      </c>
      <c r="B332" t="s">
        <v>727</v>
      </c>
      <c r="C332" t="s">
        <v>800</v>
      </c>
      <c r="D332" s="33">
        <v>165291.70000000001</v>
      </c>
      <c r="E332">
        <v>1246273862</v>
      </c>
      <c r="F332" s="222">
        <v>46176</v>
      </c>
      <c r="G332" s="222"/>
      <c r="H332" t="s">
        <v>23</v>
      </c>
      <c r="I332" t="s">
        <v>24</v>
      </c>
      <c r="J332">
        <v>11316</v>
      </c>
      <c r="K332" s="222">
        <v>46148</v>
      </c>
      <c r="L332">
        <v>1010100</v>
      </c>
      <c r="M332" t="s">
        <v>29</v>
      </c>
      <c r="N332">
        <v>-3</v>
      </c>
      <c r="O332" s="30">
        <v>0</v>
      </c>
      <c r="P332" s="30">
        <v>0</v>
      </c>
      <c r="Q332" s="30">
        <v>165291.70000000001</v>
      </c>
      <c r="R332" s="30">
        <v>0</v>
      </c>
      <c r="S332" s="30">
        <v>0</v>
      </c>
      <c r="T332" s="30">
        <v>0</v>
      </c>
      <c r="U332" s="30">
        <v>0</v>
      </c>
      <c r="V332" s="30">
        <v>0</v>
      </c>
      <c r="W332" s="30">
        <v>0</v>
      </c>
      <c r="X332" s="30">
        <v>0</v>
      </c>
      <c r="Y332" s="30">
        <v>0</v>
      </c>
      <c r="Z332" s="30">
        <v>0</v>
      </c>
      <c r="AA332" s="30">
        <v>0</v>
      </c>
      <c r="AB332" s="30">
        <v>0</v>
      </c>
      <c r="AC332" s="30" t="s">
        <v>407</v>
      </c>
      <c r="AD332" s="30"/>
      <c r="AE332" s="30">
        <v>0</v>
      </c>
    </row>
    <row r="333" spans="1:31" x14ac:dyDescent="0.25">
      <c r="A333">
        <v>505</v>
      </c>
      <c r="B333" t="s">
        <v>41</v>
      </c>
      <c r="C333" t="s">
        <v>801</v>
      </c>
      <c r="D333" s="33">
        <v>42720</v>
      </c>
      <c r="E333">
        <v>1246273918</v>
      </c>
      <c r="F333" s="222">
        <v>46177</v>
      </c>
      <c r="G333" s="222"/>
      <c r="H333" t="s">
        <v>23</v>
      </c>
      <c r="I333" t="s">
        <v>24</v>
      </c>
      <c r="J333">
        <v>11323</v>
      </c>
      <c r="K333" s="222">
        <v>46149</v>
      </c>
      <c r="L333">
        <v>1010100</v>
      </c>
      <c r="M333" t="s">
        <v>29</v>
      </c>
      <c r="N333">
        <v>-4</v>
      </c>
      <c r="O333" s="30">
        <v>0</v>
      </c>
      <c r="P333" s="30">
        <v>0</v>
      </c>
      <c r="Q333" s="30">
        <v>42720</v>
      </c>
      <c r="R333" s="30">
        <v>0</v>
      </c>
      <c r="S333" s="30">
        <v>0</v>
      </c>
      <c r="T333" s="30">
        <v>0</v>
      </c>
      <c r="U333" s="30">
        <v>0</v>
      </c>
      <c r="V333" s="30">
        <v>0</v>
      </c>
      <c r="W333" s="30">
        <v>0</v>
      </c>
      <c r="X333" s="30">
        <v>0</v>
      </c>
      <c r="Y333" s="30">
        <v>0</v>
      </c>
      <c r="Z333" s="30">
        <v>0</v>
      </c>
      <c r="AA333" s="30">
        <v>0</v>
      </c>
      <c r="AB333" s="30">
        <v>0</v>
      </c>
      <c r="AC333" s="30" t="s">
        <v>407</v>
      </c>
      <c r="AD333" s="30"/>
      <c r="AE333" s="30">
        <v>0</v>
      </c>
    </row>
    <row r="334" spans="1:31" x14ac:dyDescent="0.25">
      <c r="A334">
        <v>3297</v>
      </c>
      <c r="B334" t="s">
        <v>550</v>
      </c>
      <c r="C334" t="s">
        <v>26</v>
      </c>
      <c r="D334" s="33">
        <v>49956.68</v>
      </c>
      <c r="E334">
        <v>1246271355</v>
      </c>
      <c r="F334" s="222">
        <v>46186</v>
      </c>
      <c r="G334" s="222"/>
      <c r="H334" t="s">
        <v>23</v>
      </c>
      <c r="I334" t="s">
        <v>24</v>
      </c>
      <c r="J334">
        <v>11123</v>
      </c>
      <c r="K334" s="222">
        <v>46126</v>
      </c>
      <c r="L334">
        <v>1010200</v>
      </c>
      <c r="M334" t="s">
        <v>113</v>
      </c>
      <c r="N334">
        <v>-13</v>
      </c>
      <c r="O334" s="30">
        <v>0</v>
      </c>
      <c r="P334" s="30">
        <v>0</v>
      </c>
      <c r="Q334" s="30">
        <v>49956.68</v>
      </c>
      <c r="R334" s="30">
        <v>0</v>
      </c>
      <c r="S334" s="30">
        <v>0</v>
      </c>
      <c r="T334" s="30">
        <v>0</v>
      </c>
      <c r="U334" s="30">
        <v>0</v>
      </c>
      <c r="V334" s="30">
        <v>0</v>
      </c>
      <c r="W334" s="30">
        <v>0</v>
      </c>
      <c r="X334" s="30">
        <v>0</v>
      </c>
      <c r="Y334" s="30">
        <v>0</v>
      </c>
      <c r="Z334" s="30">
        <v>0</v>
      </c>
      <c r="AA334" s="30">
        <v>0</v>
      </c>
      <c r="AB334" s="30">
        <v>0</v>
      </c>
      <c r="AC334" s="30" t="s">
        <v>407</v>
      </c>
      <c r="AD334" s="30"/>
      <c r="AE334" s="30">
        <v>0</v>
      </c>
    </row>
    <row r="335" spans="1:31" x14ac:dyDescent="0.25">
      <c r="A335">
        <v>3273</v>
      </c>
      <c r="B335" t="s">
        <v>79</v>
      </c>
      <c r="C335" t="s">
        <v>15464</v>
      </c>
      <c r="D335" s="33">
        <v>86601.42</v>
      </c>
      <c r="E335">
        <v>1246276989</v>
      </c>
      <c r="F335" s="222">
        <v>46196</v>
      </c>
      <c r="G335" s="222"/>
      <c r="H335" t="s">
        <v>23</v>
      </c>
      <c r="I335" t="s">
        <v>24</v>
      </c>
      <c r="J335">
        <v>11508</v>
      </c>
      <c r="K335" s="222">
        <v>46168</v>
      </c>
      <c r="L335">
        <v>1010100</v>
      </c>
      <c r="M335" t="s">
        <v>29</v>
      </c>
      <c r="N335">
        <v>-23</v>
      </c>
      <c r="O335" s="30">
        <v>0</v>
      </c>
      <c r="P335" s="30">
        <v>0</v>
      </c>
      <c r="Q335" s="30">
        <v>86601.42</v>
      </c>
      <c r="R335" s="30">
        <v>0</v>
      </c>
      <c r="S335" s="30">
        <v>0</v>
      </c>
      <c r="T335" s="30">
        <v>0</v>
      </c>
      <c r="U335" s="30">
        <v>0</v>
      </c>
      <c r="V335" s="30">
        <v>0</v>
      </c>
      <c r="W335" s="30">
        <v>0</v>
      </c>
      <c r="X335" s="30">
        <v>0</v>
      </c>
      <c r="Y335" s="30">
        <v>0</v>
      </c>
      <c r="Z335" s="30">
        <v>0</v>
      </c>
      <c r="AA335" s="30">
        <v>0</v>
      </c>
      <c r="AB335" s="30">
        <v>0</v>
      </c>
      <c r="AC335" s="30" t="s">
        <v>407</v>
      </c>
      <c r="AD335" s="30"/>
      <c r="AE335" s="30">
        <v>0</v>
      </c>
    </row>
    <row r="336" spans="1:31" x14ac:dyDescent="0.25">
      <c r="A336">
        <v>3426</v>
      </c>
      <c r="B336" t="s">
        <v>350</v>
      </c>
      <c r="C336" t="s">
        <v>27</v>
      </c>
      <c r="D336" s="33">
        <v>250261.53</v>
      </c>
      <c r="E336">
        <v>1246272081</v>
      </c>
      <c r="F336" s="222">
        <v>46194</v>
      </c>
      <c r="G336" s="222"/>
      <c r="H336" t="s">
        <v>23</v>
      </c>
      <c r="I336" t="s">
        <v>24</v>
      </c>
      <c r="J336">
        <v>2886</v>
      </c>
      <c r="K336" s="222">
        <v>46134</v>
      </c>
      <c r="L336">
        <v>1010200</v>
      </c>
      <c r="M336" t="s">
        <v>113</v>
      </c>
      <c r="N336">
        <v>-21</v>
      </c>
      <c r="O336" s="30">
        <v>0</v>
      </c>
      <c r="P336" s="30">
        <v>0</v>
      </c>
      <c r="Q336" s="30">
        <v>250261.53</v>
      </c>
      <c r="R336" s="30">
        <v>0</v>
      </c>
      <c r="S336" s="30">
        <v>0</v>
      </c>
      <c r="T336" s="30">
        <v>0</v>
      </c>
      <c r="U336" s="30">
        <v>0</v>
      </c>
      <c r="V336" s="30">
        <v>0</v>
      </c>
      <c r="W336" s="30">
        <v>0</v>
      </c>
      <c r="X336" s="30">
        <v>0</v>
      </c>
      <c r="Y336" s="30">
        <v>0</v>
      </c>
      <c r="Z336" s="30">
        <v>0</v>
      </c>
      <c r="AA336" s="30">
        <v>0</v>
      </c>
      <c r="AB336" s="30">
        <v>0</v>
      </c>
      <c r="AC336" s="30" t="s">
        <v>407</v>
      </c>
      <c r="AD336" s="30"/>
      <c r="AE336" s="30">
        <v>0</v>
      </c>
    </row>
    <row r="337" spans="1:31" x14ac:dyDescent="0.25">
      <c r="A337">
        <v>2680</v>
      </c>
      <c r="B337" t="s">
        <v>313</v>
      </c>
      <c r="C337" t="s">
        <v>26</v>
      </c>
      <c r="D337" s="33">
        <v>175275.24</v>
      </c>
      <c r="E337">
        <v>1246272069</v>
      </c>
      <c r="F337" s="222">
        <v>46194</v>
      </c>
      <c r="G337" s="222"/>
      <c r="H337" t="s">
        <v>23</v>
      </c>
      <c r="I337" t="s">
        <v>24</v>
      </c>
      <c r="J337">
        <v>11191</v>
      </c>
      <c r="K337" s="222">
        <v>46134</v>
      </c>
      <c r="L337">
        <v>1010200</v>
      </c>
      <c r="M337" t="s">
        <v>113</v>
      </c>
      <c r="N337">
        <v>-21</v>
      </c>
      <c r="O337" s="30">
        <v>0</v>
      </c>
      <c r="P337" s="30">
        <v>0</v>
      </c>
      <c r="Q337" s="30">
        <v>175275.24</v>
      </c>
      <c r="R337" s="30">
        <v>0</v>
      </c>
      <c r="S337" s="30">
        <v>0</v>
      </c>
      <c r="T337" s="30">
        <v>0</v>
      </c>
      <c r="U337" s="30">
        <v>0</v>
      </c>
      <c r="V337" s="30">
        <v>0</v>
      </c>
      <c r="W337" s="30">
        <v>0</v>
      </c>
      <c r="X337" s="30">
        <v>0</v>
      </c>
      <c r="Y337" s="30">
        <v>0</v>
      </c>
      <c r="Z337" s="30">
        <v>0</v>
      </c>
      <c r="AA337" s="30">
        <v>0</v>
      </c>
      <c r="AB337" s="30">
        <v>0</v>
      </c>
      <c r="AC337" s="30" t="s">
        <v>407</v>
      </c>
      <c r="AD337" s="30"/>
      <c r="AE337" s="30">
        <v>0</v>
      </c>
    </row>
    <row r="338" spans="1:31" x14ac:dyDescent="0.25">
      <c r="A338">
        <v>3142</v>
      </c>
      <c r="B338" t="s">
        <v>78</v>
      </c>
      <c r="C338" t="s">
        <v>735</v>
      </c>
      <c r="D338" s="33">
        <v>83895.3</v>
      </c>
      <c r="E338">
        <v>1246275268</v>
      </c>
      <c r="F338" s="222">
        <v>46184</v>
      </c>
      <c r="G338" s="222"/>
      <c r="H338" t="s">
        <v>23</v>
      </c>
      <c r="I338" t="s">
        <v>24</v>
      </c>
      <c r="J338">
        <v>11400</v>
      </c>
      <c r="K338" s="222">
        <v>46156</v>
      </c>
      <c r="L338">
        <v>1010100</v>
      </c>
      <c r="M338" t="s">
        <v>29</v>
      </c>
      <c r="N338">
        <v>-11</v>
      </c>
      <c r="O338" s="30">
        <v>0</v>
      </c>
      <c r="P338" s="30">
        <v>0</v>
      </c>
      <c r="Q338" s="30">
        <v>83895.3</v>
      </c>
      <c r="R338" s="30">
        <v>0</v>
      </c>
      <c r="S338" s="30">
        <v>0</v>
      </c>
      <c r="T338" s="30">
        <v>0</v>
      </c>
      <c r="U338" s="30">
        <v>0</v>
      </c>
      <c r="V338" s="30">
        <v>0</v>
      </c>
      <c r="W338" s="30">
        <v>0</v>
      </c>
      <c r="X338" s="30">
        <v>0</v>
      </c>
      <c r="Y338" s="30">
        <v>0</v>
      </c>
      <c r="Z338" s="30">
        <v>0</v>
      </c>
      <c r="AA338" s="30">
        <v>0</v>
      </c>
      <c r="AB338" s="30">
        <v>0</v>
      </c>
      <c r="AC338" s="30" t="s">
        <v>407</v>
      </c>
      <c r="AD338" s="30"/>
      <c r="AE338" s="30">
        <v>0</v>
      </c>
    </row>
    <row r="339" spans="1:31" x14ac:dyDescent="0.25">
      <c r="A339">
        <v>2410</v>
      </c>
      <c r="B339" t="s">
        <v>419</v>
      </c>
      <c r="C339" t="s">
        <v>26</v>
      </c>
      <c r="D339" s="33">
        <v>413134.59</v>
      </c>
      <c r="E339">
        <v>1246274624</v>
      </c>
      <c r="F339" s="222">
        <v>46184</v>
      </c>
      <c r="G339" s="222"/>
      <c r="H339" t="s">
        <v>23</v>
      </c>
      <c r="I339" t="s">
        <v>24</v>
      </c>
      <c r="J339">
        <v>2936</v>
      </c>
      <c r="K339" s="222">
        <v>46154</v>
      </c>
      <c r="L339">
        <v>1010200</v>
      </c>
      <c r="M339" t="s">
        <v>113</v>
      </c>
      <c r="N339">
        <v>-11</v>
      </c>
      <c r="O339" s="30">
        <v>0</v>
      </c>
      <c r="P339" s="30">
        <v>0</v>
      </c>
      <c r="Q339" s="30">
        <v>413134.59</v>
      </c>
      <c r="R339" s="30">
        <v>0</v>
      </c>
      <c r="S339" s="30">
        <v>0</v>
      </c>
      <c r="T339" s="30">
        <v>0</v>
      </c>
      <c r="U339" s="30">
        <v>0</v>
      </c>
      <c r="V339" s="30">
        <v>0</v>
      </c>
      <c r="W339" s="30">
        <v>0</v>
      </c>
      <c r="X339" s="30">
        <v>0</v>
      </c>
      <c r="Y339" s="30">
        <v>0</v>
      </c>
      <c r="Z339" s="30">
        <v>0</v>
      </c>
      <c r="AA339" s="30">
        <v>0</v>
      </c>
      <c r="AB339" s="30">
        <v>0</v>
      </c>
      <c r="AC339" s="30" t="s">
        <v>407</v>
      </c>
      <c r="AD339" s="30"/>
      <c r="AE339" s="30">
        <v>0</v>
      </c>
    </row>
    <row r="340" spans="1:31" x14ac:dyDescent="0.25">
      <c r="A340">
        <v>2900</v>
      </c>
      <c r="B340" t="s">
        <v>463</v>
      </c>
      <c r="C340" t="s">
        <v>737</v>
      </c>
      <c r="D340" s="33">
        <v>46001.18</v>
      </c>
      <c r="E340">
        <v>1246272843</v>
      </c>
      <c r="F340" s="222">
        <v>46195</v>
      </c>
      <c r="G340" s="222"/>
      <c r="H340" t="s">
        <v>23</v>
      </c>
      <c r="I340" t="s">
        <v>24</v>
      </c>
      <c r="J340">
        <v>11234</v>
      </c>
      <c r="K340" s="222">
        <v>46139</v>
      </c>
      <c r="L340">
        <v>1010100</v>
      </c>
      <c r="M340" t="s">
        <v>29</v>
      </c>
      <c r="N340">
        <v>-22</v>
      </c>
      <c r="O340" s="30">
        <v>0</v>
      </c>
      <c r="P340" s="30">
        <v>0</v>
      </c>
      <c r="Q340" s="30">
        <v>46001.18</v>
      </c>
      <c r="R340" s="30">
        <v>0</v>
      </c>
      <c r="S340" s="30">
        <v>0</v>
      </c>
      <c r="T340" s="30">
        <v>0</v>
      </c>
      <c r="U340" s="30">
        <v>0</v>
      </c>
      <c r="V340" s="30">
        <v>0</v>
      </c>
      <c r="W340" s="30">
        <v>0</v>
      </c>
      <c r="X340" s="30">
        <v>0</v>
      </c>
      <c r="Y340" s="30">
        <v>0</v>
      </c>
      <c r="Z340" s="30">
        <v>0</v>
      </c>
      <c r="AA340" s="30">
        <v>0</v>
      </c>
      <c r="AB340" s="30">
        <v>0</v>
      </c>
      <c r="AC340" s="30" t="s">
        <v>407</v>
      </c>
      <c r="AD340" s="30"/>
      <c r="AE340" s="30">
        <v>0</v>
      </c>
    </row>
    <row r="341" spans="1:31" x14ac:dyDescent="0.25">
      <c r="A341">
        <v>2900</v>
      </c>
      <c r="B341" t="s">
        <v>463</v>
      </c>
      <c r="C341" t="s">
        <v>737</v>
      </c>
      <c r="D341" s="33">
        <v>17017.16</v>
      </c>
      <c r="E341">
        <v>1246267968</v>
      </c>
      <c r="F341" s="222">
        <v>46187</v>
      </c>
      <c r="G341" s="222"/>
      <c r="H341" t="s">
        <v>23</v>
      </c>
      <c r="I341" t="s">
        <v>24</v>
      </c>
      <c r="J341">
        <v>10901</v>
      </c>
      <c r="K341" s="222">
        <v>46097</v>
      </c>
      <c r="L341">
        <v>1010100</v>
      </c>
      <c r="M341" t="s">
        <v>29</v>
      </c>
      <c r="N341">
        <v>-14</v>
      </c>
      <c r="O341" s="30">
        <v>0</v>
      </c>
      <c r="P341" s="30">
        <v>0</v>
      </c>
      <c r="Q341" s="30">
        <v>17017.16</v>
      </c>
      <c r="R341" s="30">
        <v>0</v>
      </c>
      <c r="S341" s="30">
        <v>0</v>
      </c>
      <c r="T341" s="30">
        <v>0</v>
      </c>
      <c r="U341" s="30">
        <v>0</v>
      </c>
      <c r="V341" s="30">
        <v>0</v>
      </c>
      <c r="W341" s="30">
        <v>0</v>
      </c>
      <c r="X341" s="30">
        <v>0</v>
      </c>
      <c r="Y341" s="30">
        <v>0</v>
      </c>
      <c r="Z341" s="30">
        <v>0</v>
      </c>
      <c r="AA341" s="30">
        <v>0</v>
      </c>
      <c r="AB341" s="30">
        <v>0</v>
      </c>
      <c r="AC341" s="30" t="s">
        <v>407</v>
      </c>
      <c r="AD341" s="30"/>
      <c r="AE341" s="30">
        <v>0</v>
      </c>
    </row>
    <row r="342" spans="1:31" x14ac:dyDescent="0.25">
      <c r="A342">
        <v>2900</v>
      </c>
      <c r="B342" t="s">
        <v>463</v>
      </c>
      <c r="C342" t="s">
        <v>737</v>
      </c>
      <c r="D342" s="33">
        <v>10112.23</v>
      </c>
      <c r="E342">
        <v>1246272848</v>
      </c>
      <c r="F342" s="222">
        <v>46195</v>
      </c>
      <c r="G342" s="222"/>
      <c r="H342" t="s">
        <v>23</v>
      </c>
      <c r="I342" t="s">
        <v>24</v>
      </c>
      <c r="J342">
        <v>11236</v>
      </c>
      <c r="K342" s="222">
        <v>46139</v>
      </c>
      <c r="L342">
        <v>1010100</v>
      </c>
      <c r="M342" t="s">
        <v>29</v>
      </c>
      <c r="N342">
        <v>-22</v>
      </c>
      <c r="O342" s="30">
        <v>0</v>
      </c>
      <c r="P342" s="30">
        <v>0</v>
      </c>
      <c r="Q342" s="30">
        <v>10112.23</v>
      </c>
      <c r="R342" s="30">
        <v>0</v>
      </c>
      <c r="S342" s="30">
        <v>0</v>
      </c>
      <c r="T342" s="30">
        <v>0</v>
      </c>
      <c r="U342" s="30">
        <v>0</v>
      </c>
      <c r="V342" s="30">
        <v>0</v>
      </c>
      <c r="W342" s="30">
        <v>0</v>
      </c>
      <c r="X342" s="30">
        <v>0</v>
      </c>
      <c r="Y342" s="30">
        <v>0</v>
      </c>
      <c r="Z342" s="30">
        <v>0</v>
      </c>
      <c r="AA342" s="30">
        <v>0</v>
      </c>
      <c r="AB342" s="30">
        <v>0</v>
      </c>
      <c r="AC342" s="30" t="s">
        <v>407</v>
      </c>
      <c r="AD342" s="30"/>
      <c r="AE342" s="30">
        <v>0</v>
      </c>
    </row>
    <row r="343" spans="1:31" x14ac:dyDescent="0.25">
      <c r="A343">
        <v>2900</v>
      </c>
      <c r="B343" t="s">
        <v>463</v>
      </c>
      <c r="C343" t="s">
        <v>737</v>
      </c>
      <c r="D343" s="33">
        <v>2225.04</v>
      </c>
      <c r="E343">
        <v>1246272846</v>
      </c>
      <c r="F343" s="222">
        <v>46195</v>
      </c>
      <c r="G343" s="222"/>
      <c r="H343" t="s">
        <v>23</v>
      </c>
      <c r="I343" t="s">
        <v>24</v>
      </c>
      <c r="J343">
        <v>11235</v>
      </c>
      <c r="K343" s="222">
        <v>46139</v>
      </c>
      <c r="L343">
        <v>1010100</v>
      </c>
      <c r="M343" t="s">
        <v>29</v>
      </c>
      <c r="N343">
        <v>-22</v>
      </c>
      <c r="O343" s="30">
        <v>0</v>
      </c>
      <c r="P343" s="30">
        <v>0</v>
      </c>
      <c r="Q343" s="30">
        <v>2225.04</v>
      </c>
      <c r="R343" s="30">
        <v>0</v>
      </c>
      <c r="S343" s="30">
        <v>0</v>
      </c>
      <c r="T343" s="30">
        <v>0</v>
      </c>
      <c r="U343" s="30">
        <v>0</v>
      </c>
      <c r="V343" s="30">
        <v>0</v>
      </c>
      <c r="W343" s="30">
        <v>0</v>
      </c>
      <c r="X343" s="30">
        <v>0</v>
      </c>
      <c r="Y343" s="30">
        <v>0</v>
      </c>
      <c r="Z343" s="30">
        <v>0</v>
      </c>
      <c r="AA343" s="30">
        <v>0</v>
      </c>
      <c r="AB343" s="30">
        <v>0</v>
      </c>
      <c r="AC343" s="30" t="s">
        <v>407</v>
      </c>
      <c r="AD343" s="30"/>
      <c r="AE343" s="30">
        <v>0</v>
      </c>
    </row>
    <row r="344" spans="1:31" x14ac:dyDescent="0.25">
      <c r="A344">
        <v>2900</v>
      </c>
      <c r="B344" t="s">
        <v>463</v>
      </c>
      <c r="C344" t="s">
        <v>737</v>
      </c>
      <c r="D344" s="33">
        <v>32495.82</v>
      </c>
      <c r="E344">
        <v>1246267973</v>
      </c>
      <c r="F344" s="222">
        <v>46187</v>
      </c>
      <c r="G344" s="222"/>
      <c r="H344" t="s">
        <v>23</v>
      </c>
      <c r="I344" t="s">
        <v>24</v>
      </c>
      <c r="J344">
        <v>10902</v>
      </c>
      <c r="K344" s="222">
        <v>46097</v>
      </c>
      <c r="L344">
        <v>1010100</v>
      </c>
      <c r="M344" t="s">
        <v>29</v>
      </c>
      <c r="N344">
        <v>-14</v>
      </c>
      <c r="O344" s="30">
        <v>0</v>
      </c>
      <c r="P344" s="30">
        <v>0</v>
      </c>
      <c r="Q344" s="30">
        <v>32495.82</v>
      </c>
      <c r="R344" s="30">
        <v>0</v>
      </c>
      <c r="S344" s="30">
        <v>0</v>
      </c>
      <c r="T344" s="30">
        <v>0</v>
      </c>
      <c r="U344" s="30">
        <v>0</v>
      </c>
      <c r="V344" s="30">
        <v>0</v>
      </c>
      <c r="W344" s="30">
        <v>0</v>
      </c>
      <c r="X344" s="30">
        <v>0</v>
      </c>
      <c r="Y344" s="30">
        <v>0</v>
      </c>
      <c r="Z344" s="30">
        <v>0</v>
      </c>
      <c r="AA344" s="30">
        <v>0</v>
      </c>
      <c r="AB344" s="30">
        <v>0</v>
      </c>
      <c r="AC344" s="30" t="s">
        <v>407</v>
      </c>
      <c r="AD344" s="30"/>
      <c r="AE344" s="30">
        <v>0</v>
      </c>
    </row>
    <row r="345" spans="1:31" x14ac:dyDescent="0.25">
      <c r="A345">
        <v>2696</v>
      </c>
      <c r="B345" t="s">
        <v>119</v>
      </c>
      <c r="C345" t="s">
        <v>26</v>
      </c>
      <c r="D345" s="33">
        <v>91784.41</v>
      </c>
      <c r="E345">
        <v>1246274791</v>
      </c>
      <c r="F345" s="222">
        <v>46245</v>
      </c>
      <c r="G345" s="222"/>
      <c r="H345" t="s">
        <v>23</v>
      </c>
      <c r="I345" t="s">
        <v>24</v>
      </c>
      <c r="J345">
        <v>11378</v>
      </c>
      <c r="K345" s="222">
        <v>46155</v>
      </c>
      <c r="L345">
        <v>1010200</v>
      </c>
      <c r="M345" t="s">
        <v>113</v>
      </c>
      <c r="N345">
        <v>-72</v>
      </c>
      <c r="O345" s="30">
        <v>0</v>
      </c>
      <c r="P345" s="30">
        <v>0</v>
      </c>
      <c r="Q345" s="30">
        <v>91784.41</v>
      </c>
      <c r="R345" s="30">
        <v>0</v>
      </c>
      <c r="S345" s="30">
        <v>0</v>
      </c>
      <c r="T345" s="30">
        <v>0</v>
      </c>
      <c r="U345" s="30">
        <v>0</v>
      </c>
      <c r="V345" s="30">
        <v>0</v>
      </c>
      <c r="W345" s="30">
        <v>0</v>
      </c>
      <c r="X345" s="30">
        <v>0</v>
      </c>
      <c r="Y345" s="30">
        <v>0</v>
      </c>
      <c r="Z345" s="30">
        <v>0</v>
      </c>
      <c r="AA345" s="30">
        <v>0</v>
      </c>
      <c r="AB345" s="30">
        <v>0</v>
      </c>
      <c r="AC345" s="30" t="s">
        <v>407</v>
      </c>
      <c r="AD345" s="30"/>
      <c r="AE345" s="30">
        <v>0</v>
      </c>
    </row>
    <row r="346" spans="1:31" x14ac:dyDescent="0.25">
      <c r="A346">
        <v>2696</v>
      </c>
      <c r="B346" t="s">
        <v>119</v>
      </c>
      <c r="C346" t="s">
        <v>26</v>
      </c>
      <c r="D346" s="33">
        <v>116719.31</v>
      </c>
      <c r="E346">
        <v>1246277374</v>
      </c>
      <c r="F346" s="222">
        <v>46261</v>
      </c>
      <c r="G346" s="222"/>
      <c r="H346" t="s">
        <v>23</v>
      </c>
      <c r="I346" t="s">
        <v>24</v>
      </c>
      <c r="J346">
        <v>11551</v>
      </c>
      <c r="K346" s="222">
        <v>46171</v>
      </c>
      <c r="L346">
        <v>1010200</v>
      </c>
      <c r="M346" t="s">
        <v>113</v>
      </c>
      <c r="N346">
        <v>-88</v>
      </c>
      <c r="O346" s="30">
        <v>0</v>
      </c>
      <c r="P346" s="30">
        <v>0</v>
      </c>
      <c r="Q346" s="30">
        <v>116719.31</v>
      </c>
      <c r="R346" s="30">
        <v>0</v>
      </c>
      <c r="S346" s="30">
        <v>0</v>
      </c>
      <c r="T346" s="30">
        <v>0</v>
      </c>
      <c r="U346" s="30">
        <v>0</v>
      </c>
      <c r="V346" s="30">
        <v>0</v>
      </c>
      <c r="W346" s="30">
        <v>0</v>
      </c>
      <c r="X346" s="30">
        <v>0</v>
      </c>
      <c r="Y346" s="30">
        <v>0</v>
      </c>
      <c r="Z346" s="30">
        <v>0</v>
      </c>
      <c r="AA346" s="30">
        <v>0</v>
      </c>
      <c r="AB346" s="30">
        <v>0</v>
      </c>
      <c r="AC346" s="30" t="s">
        <v>407</v>
      </c>
      <c r="AD346" s="30"/>
      <c r="AE346" s="30">
        <v>0</v>
      </c>
    </row>
    <row r="347" spans="1:31" x14ac:dyDescent="0.25">
      <c r="A347">
        <v>2622</v>
      </c>
      <c r="B347" t="s">
        <v>73</v>
      </c>
      <c r="C347" t="s">
        <v>478</v>
      </c>
      <c r="D347" s="33">
        <v>410856.52</v>
      </c>
      <c r="E347">
        <v>1246268936</v>
      </c>
      <c r="F347" s="222">
        <v>46196</v>
      </c>
      <c r="G347" s="222"/>
      <c r="H347" t="s">
        <v>23</v>
      </c>
      <c r="I347" t="s">
        <v>24</v>
      </c>
      <c r="J347">
        <v>2842</v>
      </c>
      <c r="K347" s="222">
        <v>46106</v>
      </c>
      <c r="L347">
        <v>1010100</v>
      </c>
      <c r="M347" t="s">
        <v>29</v>
      </c>
      <c r="N347">
        <v>-23</v>
      </c>
      <c r="O347" s="30">
        <v>0</v>
      </c>
      <c r="P347" s="30">
        <v>0</v>
      </c>
      <c r="Q347" s="30">
        <v>410856.52</v>
      </c>
      <c r="R347" s="30">
        <v>0</v>
      </c>
      <c r="S347" s="30">
        <v>0</v>
      </c>
      <c r="T347" s="30">
        <v>0</v>
      </c>
      <c r="U347" s="30">
        <v>0</v>
      </c>
      <c r="V347" s="30">
        <v>0</v>
      </c>
      <c r="W347" s="30">
        <v>0</v>
      </c>
      <c r="X347" s="30">
        <v>0</v>
      </c>
      <c r="Y347" s="30">
        <v>0</v>
      </c>
      <c r="Z347" s="30">
        <v>0</v>
      </c>
      <c r="AA347" s="30">
        <v>0</v>
      </c>
      <c r="AB347" s="30">
        <v>0</v>
      </c>
      <c r="AC347" s="30" t="s">
        <v>407</v>
      </c>
      <c r="AD347" s="30"/>
      <c r="AE347" s="30">
        <v>0</v>
      </c>
    </row>
    <row r="348" spans="1:31" x14ac:dyDescent="0.25">
      <c r="A348">
        <v>2622</v>
      </c>
      <c r="B348" t="s">
        <v>73</v>
      </c>
      <c r="C348" t="s">
        <v>478</v>
      </c>
      <c r="D348" s="33">
        <v>382561.45</v>
      </c>
      <c r="E348">
        <v>1246274802</v>
      </c>
      <c r="F348" s="222">
        <v>46245</v>
      </c>
      <c r="G348" s="222"/>
      <c r="H348" t="s">
        <v>23</v>
      </c>
      <c r="I348" t="s">
        <v>24</v>
      </c>
      <c r="J348">
        <v>2939</v>
      </c>
      <c r="K348" s="222">
        <v>46155</v>
      </c>
      <c r="L348">
        <v>1010100</v>
      </c>
      <c r="M348" t="s">
        <v>29</v>
      </c>
      <c r="N348">
        <v>-72</v>
      </c>
      <c r="O348" s="30">
        <v>0</v>
      </c>
      <c r="P348" s="30">
        <v>0</v>
      </c>
      <c r="Q348" s="30">
        <v>382561.45</v>
      </c>
      <c r="R348" s="30">
        <v>0</v>
      </c>
      <c r="S348" s="30">
        <v>0</v>
      </c>
      <c r="T348" s="30">
        <v>0</v>
      </c>
      <c r="U348" s="30">
        <v>0</v>
      </c>
      <c r="V348" s="30">
        <v>0</v>
      </c>
      <c r="W348" s="30">
        <v>0</v>
      </c>
      <c r="X348" s="30">
        <v>0</v>
      </c>
      <c r="Y348" s="30">
        <v>0</v>
      </c>
      <c r="Z348" s="30">
        <v>0</v>
      </c>
      <c r="AA348" s="30">
        <v>0</v>
      </c>
      <c r="AB348" s="30">
        <v>0</v>
      </c>
      <c r="AC348" s="30" t="s">
        <v>407</v>
      </c>
      <c r="AD348" s="30"/>
      <c r="AE348" s="30">
        <v>0</v>
      </c>
    </row>
    <row r="349" spans="1:31" x14ac:dyDescent="0.25">
      <c r="A349">
        <v>2645</v>
      </c>
      <c r="B349" t="s">
        <v>342</v>
      </c>
      <c r="C349" t="s">
        <v>26</v>
      </c>
      <c r="D349" s="33">
        <v>143222.74</v>
      </c>
      <c r="E349">
        <v>1246277225</v>
      </c>
      <c r="F349" s="222">
        <v>46200</v>
      </c>
      <c r="G349" s="222"/>
      <c r="H349" t="s">
        <v>23</v>
      </c>
      <c r="I349" t="s">
        <v>24</v>
      </c>
      <c r="J349">
        <v>11529</v>
      </c>
      <c r="K349" s="222">
        <v>46170</v>
      </c>
      <c r="L349">
        <v>1010200</v>
      </c>
      <c r="M349" t="s">
        <v>113</v>
      </c>
      <c r="N349">
        <v>-27</v>
      </c>
      <c r="O349" s="30">
        <v>0</v>
      </c>
      <c r="P349" s="30">
        <v>0</v>
      </c>
      <c r="Q349" s="30">
        <v>143222.74</v>
      </c>
      <c r="R349" s="30">
        <v>0</v>
      </c>
      <c r="S349" s="30">
        <v>0</v>
      </c>
      <c r="T349" s="30">
        <v>0</v>
      </c>
      <c r="U349" s="30">
        <v>0</v>
      </c>
      <c r="V349" s="30">
        <v>0</v>
      </c>
      <c r="W349" s="30">
        <v>0</v>
      </c>
      <c r="X349" s="30">
        <v>0</v>
      </c>
      <c r="Y349" s="30">
        <v>0</v>
      </c>
      <c r="Z349" s="30">
        <v>0</v>
      </c>
      <c r="AA349" s="30">
        <v>0</v>
      </c>
      <c r="AB349" s="30">
        <v>0</v>
      </c>
      <c r="AC349" s="30" t="s">
        <v>407</v>
      </c>
      <c r="AD349" s="30"/>
      <c r="AE349" s="30">
        <v>0</v>
      </c>
    </row>
    <row r="350" spans="1:31" x14ac:dyDescent="0.25">
      <c r="A350">
        <v>2975</v>
      </c>
      <c r="B350" t="s">
        <v>420</v>
      </c>
      <c r="C350" t="s">
        <v>76</v>
      </c>
      <c r="D350" s="33">
        <v>59889.9</v>
      </c>
      <c r="E350">
        <v>1246277368</v>
      </c>
      <c r="F350" s="222">
        <v>46199</v>
      </c>
      <c r="G350" s="222"/>
      <c r="H350" t="s">
        <v>23</v>
      </c>
      <c r="I350" t="s">
        <v>24</v>
      </c>
      <c r="J350">
        <v>11549</v>
      </c>
      <c r="K350" s="222">
        <v>46171</v>
      </c>
      <c r="L350">
        <v>1010100</v>
      </c>
      <c r="M350" t="s">
        <v>29</v>
      </c>
      <c r="N350">
        <v>-26</v>
      </c>
      <c r="O350" s="30">
        <v>0</v>
      </c>
      <c r="P350" s="30">
        <v>0</v>
      </c>
      <c r="Q350" s="30">
        <v>59889.9</v>
      </c>
      <c r="R350" s="30">
        <v>0</v>
      </c>
      <c r="S350" s="30">
        <v>0</v>
      </c>
      <c r="T350" s="30">
        <v>0</v>
      </c>
      <c r="U350" s="30">
        <v>0</v>
      </c>
      <c r="V350" s="30">
        <v>0</v>
      </c>
      <c r="W350" s="30">
        <v>0</v>
      </c>
      <c r="X350" s="30">
        <v>0</v>
      </c>
      <c r="Y350" s="30">
        <v>0</v>
      </c>
      <c r="Z350" s="30">
        <v>0</v>
      </c>
      <c r="AA350" s="30">
        <v>0</v>
      </c>
      <c r="AB350" s="30">
        <v>0</v>
      </c>
      <c r="AC350" s="30" t="s">
        <v>407</v>
      </c>
      <c r="AD350" s="30"/>
      <c r="AE350" s="30">
        <v>0</v>
      </c>
    </row>
    <row r="351" spans="1:31" x14ac:dyDescent="0.25">
      <c r="A351">
        <v>2975</v>
      </c>
      <c r="B351" t="s">
        <v>420</v>
      </c>
      <c r="C351" t="s">
        <v>76</v>
      </c>
      <c r="D351" s="33">
        <v>60009.599999999999</v>
      </c>
      <c r="E351">
        <v>1246274594</v>
      </c>
      <c r="F351" s="222">
        <v>46182</v>
      </c>
      <c r="G351" s="222"/>
      <c r="H351" t="s">
        <v>23</v>
      </c>
      <c r="I351" t="s">
        <v>24</v>
      </c>
      <c r="J351">
        <v>11367</v>
      </c>
      <c r="K351" s="222">
        <v>46154</v>
      </c>
      <c r="L351">
        <v>1010100</v>
      </c>
      <c r="M351" t="s">
        <v>29</v>
      </c>
      <c r="N351">
        <v>-9</v>
      </c>
      <c r="O351" s="30">
        <v>0</v>
      </c>
      <c r="P351" s="30">
        <v>0</v>
      </c>
      <c r="Q351" s="30">
        <v>60009.599999999999</v>
      </c>
      <c r="R351" s="30">
        <v>0</v>
      </c>
      <c r="S351" s="30">
        <v>0</v>
      </c>
      <c r="T351" s="30">
        <v>0</v>
      </c>
      <c r="U351" s="30">
        <v>0</v>
      </c>
      <c r="V351" s="30">
        <v>0</v>
      </c>
      <c r="W351" s="30">
        <v>0</v>
      </c>
      <c r="X351" s="30">
        <v>0</v>
      </c>
      <c r="Y351" s="30">
        <v>0</v>
      </c>
      <c r="Z351" s="30">
        <v>0</v>
      </c>
      <c r="AA351" s="30">
        <v>0</v>
      </c>
      <c r="AB351" s="30">
        <v>0</v>
      </c>
      <c r="AC351" s="30" t="s">
        <v>407</v>
      </c>
      <c r="AD351" s="30"/>
      <c r="AE351" s="30">
        <v>0</v>
      </c>
    </row>
    <row r="352" spans="1:31" x14ac:dyDescent="0.25">
      <c r="A352">
        <v>2975</v>
      </c>
      <c r="B352" t="s">
        <v>420</v>
      </c>
      <c r="C352" t="s">
        <v>76</v>
      </c>
      <c r="D352" s="33">
        <v>59850</v>
      </c>
      <c r="E352">
        <v>1246276916</v>
      </c>
      <c r="F352" s="222">
        <v>46196</v>
      </c>
      <c r="G352" s="222"/>
      <c r="H352" t="s">
        <v>23</v>
      </c>
      <c r="I352" t="s">
        <v>24</v>
      </c>
      <c r="J352">
        <v>11500</v>
      </c>
      <c r="K352" s="222">
        <v>46168</v>
      </c>
      <c r="L352">
        <v>1010100</v>
      </c>
      <c r="M352" t="s">
        <v>29</v>
      </c>
      <c r="N352">
        <v>-23</v>
      </c>
      <c r="O352" s="30">
        <v>0</v>
      </c>
      <c r="P352" s="30">
        <v>0</v>
      </c>
      <c r="Q352" s="30">
        <v>59850</v>
      </c>
      <c r="R352" s="30">
        <v>0</v>
      </c>
      <c r="S352" s="30">
        <v>0</v>
      </c>
      <c r="T352" s="30">
        <v>0</v>
      </c>
      <c r="U352" s="30">
        <v>0</v>
      </c>
      <c r="V352" s="30">
        <v>0</v>
      </c>
      <c r="W352" s="30">
        <v>0</v>
      </c>
      <c r="X352" s="30">
        <v>0</v>
      </c>
      <c r="Y352" s="30">
        <v>0</v>
      </c>
      <c r="Z352" s="30">
        <v>0</v>
      </c>
      <c r="AA352" s="30">
        <v>0</v>
      </c>
      <c r="AB352" s="30">
        <v>0</v>
      </c>
      <c r="AC352" s="30" t="s">
        <v>407</v>
      </c>
      <c r="AD352" s="30"/>
      <c r="AE352" s="30">
        <v>0</v>
      </c>
    </row>
    <row r="353" spans="1:31" x14ac:dyDescent="0.25">
      <c r="A353">
        <v>2652</v>
      </c>
      <c r="B353" t="s">
        <v>117</v>
      </c>
      <c r="C353" t="s">
        <v>26</v>
      </c>
      <c r="D353" s="33">
        <v>157582.04</v>
      </c>
      <c r="E353">
        <v>1246274325</v>
      </c>
      <c r="F353" s="222">
        <v>46183</v>
      </c>
      <c r="G353" s="222"/>
      <c r="H353" t="s">
        <v>23</v>
      </c>
      <c r="I353" t="s">
        <v>24</v>
      </c>
      <c r="J353">
        <v>11347</v>
      </c>
      <c r="K353" s="222">
        <v>46153</v>
      </c>
      <c r="L353">
        <v>1010200</v>
      </c>
      <c r="M353" t="s">
        <v>113</v>
      </c>
      <c r="N353">
        <v>-10</v>
      </c>
      <c r="O353" s="30">
        <v>0</v>
      </c>
      <c r="P353" s="30">
        <v>0</v>
      </c>
      <c r="Q353" s="30">
        <v>157582.04</v>
      </c>
      <c r="R353" s="30">
        <v>0</v>
      </c>
      <c r="S353" s="30">
        <v>0</v>
      </c>
      <c r="T353" s="30">
        <v>0</v>
      </c>
      <c r="U353" s="30">
        <v>0</v>
      </c>
      <c r="V353" s="30">
        <v>0</v>
      </c>
      <c r="W353" s="30">
        <v>0</v>
      </c>
      <c r="X353" s="30">
        <v>0</v>
      </c>
      <c r="Y353" s="30">
        <v>0</v>
      </c>
      <c r="Z353" s="30">
        <v>0</v>
      </c>
      <c r="AA353" s="30">
        <v>0</v>
      </c>
      <c r="AB353" s="30">
        <v>0</v>
      </c>
      <c r="AC353" s="30" t="s">
        <v>407</v>
      </c>
      <c r="AD353" s="30"/>
      <c r="AE353" s="30">
        <v>0</v>
      </c>
    </row>
    <row r="354" spans="1:31" x14ac:dyDescent="0.25">
      <c r="A354">
        <v>2287</v>
      </c>
      <c r="B354" t="s">
        <v>114</v>
      </c>
      <c r="C354" t="s">
        <v>115</v>
      </c>
      <c r="D354" s="33">
        <v>150064.82999999999</v>
      </c>
      <c r="E354">
        <v>1246273103</v>
      </c>
      <c r="F354" s="222">
        <v>46171</v>
      </c>
      <c r="G354" s="222"/>
      <c r="H354" t="s">
        <v>23</v>
      </c>
      <c r="I354" t="s">
        <v>24</v>
      </c>
      <c r="J354">
        <v>11261</v>
      </c>
      <c r="K354" s="222">
        <v>46141</v>
      </c>
      <c r="L354">
        <v>1010200</v>
      </c>
      <c r="M354" t="s">
        <v>113</v>
      </c>
      <c r="N354">
        <v>2</v>
      </c>
      <c r="O354" s="30">
        <v>0</v>
      </c>
      <c r="P354" s="30">
        <v>0</v>
      </c>
      <c r="Q354" s="30">
        <v>0</v>
      </c>
      <c r="R354" s="30">
        <v>150064.82999999999</v>
      </c>
      <c r="S354" s="30">
        <v>0</v>
      </c>
      <c r="T354" s="30">
        <v>0</v>
      </c>
      <c r="U354" s="30">
        <v>0</v>
      </c>
      <c r="V354" s="30">
        <v>0</v>
      </c>
      <c r="W354" s="30">
        <v>0</v>
      </c>
      <c r="X354" s="30">
        <v>0</v>
      </c>
      <c r="Y354" s="30">
        <v>0</v>
      </c>
      <c r="Z354" s="30">
        <v>0</v>
      </c>
      <c r="AA354" s="30">
        <v>0</v>
      </c>
      <c r="AB354" s="30">
        <v>0</v>
      </c>
      <c r="AC354" s="30" t="s">
        <v>407</v>
      </c>
      <c r="AD354" s="30"/>
      <c r="AE354" s="30">
        <v>0</v>
      </c>
    </row>
    <row r="355" spans="1:31" x14ac:dyDescent="0.25">
      <c r="A355">
        <v>2287</v>
      </c>
      <c r="B355" t="s">
        <v>114</v>
      </c>
      <c r="C355" t="s">
        <v>115</v>
      </c>
      <c r="D355" s="33">
        <v>148197.62</v>
      </c>
      <c r="E355">
        <v>1246273592</v>
      </c>
      <c r="F355" s="222">
        <v>46177</v>
      </c>
      <c r="G355" s="222"/>
      <c r="H355" t="s">
        <v>23</v>
      </c>
      <c r="I355" t="s">
        <v>24</v>
      </c>
      <c r="J355">
        <v>11298</v>
      </c>
      <c r="K355" s="222">
        <v>46147</v>
      </c>
      <c r="L355">
        <v>1010200</v>
      </c>
      <c r="M355" t="s">
        <v>113</v>
      </c>
      <c r="N355">
        <v>-4</v>
      </c>
      <c r="O355" s="30">
        <v>0</v>
      </c>
      <c r="P355" s="30">
        <v>0</v>
      </c>
      <c r="Q355" s="30">
        <v>148197.62</v>
      </c>
      <c r="R355" s="30">
        <v>0</v>
      </c>
      <c r="S355" s="30">
        <v>0</v>
      </c>
      <c r="T355" s="30">
        <v>0</v>
      </c>
      <c r="U355" s="30">
        <v>0</v>
      </c>
      <c r="V355" s="30">
        <v>0</v>
      </c>
      <c r="W355" s="30">
        <v>0</v>
      </c>
      <c r="X355" s="30">
        <v>0</v>
      </c>
      <c r="Y355" s="30">
        <v>0</v>
      </c>
      <c r="Z355" s="30">
        <v>0</v>
      </c>
      <c r="AA355" s="30">
        <v>0</v>
      </c>
      <c r="AB355" s="30">
        <v>0</v>
      </c>
      <c r="AC355" s="30" t="s">
        <v>407</v>
      </c>
      <c r="AD355" s="30"/>
      <c r="AE355" s="30">
        <v>0</v>
      </c>
    </row>
    <row r="356" spans="1:31" x14ac:dyDescent="0.25">
      <c r="A356">
        <v>2287</v>
      </c>
      <c r="B356" t="s">
        <v>114</v>
      </c>
      <c r="C356" t="s">
        <v>115</v>
      </c>
      <c r="D356" s="33">
        <v>146607.17000000001</v>
      </c>
      <c r="E356">
        <v>1246274601</v>
      </c>
      <c r="F356" s="222">
        <v>46184</v>
      </c>
      <c r="G356" s="222"/>
      <c r="H356" t="s">
        <v>23</v>
      </c>
      <c r="I356" t="s">
        <v>24</v>
      </c>
      <c r="J356">
        <v>11368</v>
      </c>
      <c r="K356" s="222">
        <v>46154</v>
      </c>
      <c r="L356">
        <v>1010200</v>
      </c>
      <c r="M356" t="s">
        <v>113</v>
      </c>
      <c r="N356">
        <v>-11</v>
      </c>
      <c r="O356" s="30">
        <v>0</v>
      </c>
      <c r="P356" s="30">
        <v>0</v>
      </c>
      <c r="Q356" s="30">
        <v>146607.17000000001</v>
      </c>
      <c r="R356" s="30">
        <v>0</v>
      </c>
      <c r="S356" s="30">
        <v>0</v>
      </c>
      <c r="T356" s="30">
        <v>0</v>
      </c>
      <c r="U356" s="30">
        <v>0</v>
      </c>
      <c r="V356" s="30">
        <v>0</v>
      </c>
      <c r="W356" s="30">
        <v>0</v>
      </c>
      <c r="X356" s="30">
        <v>0</v>
      </c>
      <c r="Y356" s="30">
        <v>0</v>
      </c>
      <c r="Z356" s="30">
        <v>0</v>
      </c>
      <c r="AA356" s="30">
        <v>0</v>
      </c>
      <c r="AB356" s="30">
        <v>0</v>
      </c>
      <c r="AC356" s="30" t="s">
        <v>407</v>
      </c>
      <c r="AD356" s="30"/>
      <c r="AE356" s="30">
        <v>0</v>
      </c>
    </row>
    <row r="357" spans="1:31" x14ac:dyDescent="0.25">
      <c r="A357">
        <v>2287</v>
      </c>
      <c r="B357" t="s">
        <v>114</v>
      </c>
      <c r="C357" t="s">
        <v>115</v>
      </c>
      <c r="D357" s="33">
        <v>151690.72</v>
      </c>
      <c r="E357">
        <v>1246275642</v>
      </c>
      <c r="F357" s="222">
        <v>46190</v>
      </c>
      <c r="G357" s="222"/>
      <c r="H357" t="s">
        <v>23</v>
      </c>
      <c r="I357" t="s">
        <v>24</v>
      </c>
      <c r="J357">
        <v>11429</v>
      </c>
      <c r="K357" s="222">
        <v>46160</v>
      </c>
      <c r="L357">
        <v>1010200</v>
      </c>
      <c r="M357" t="s">
        <v>113</v>
      </c>
      <c r="N357">
        <v>-17</v>
      </c>
      <c r="O357" s="30">
        <v>0</v>
      </c>
      <c r="P357" s="30">
        <v>0</v>
      </c>
      <c r="Q357" s="30">
        <v>151690.72</v>
      </c>
      <c r="R357" s="30">
        <v>0</v>
      </c>
      <c r="S357" s="30">
        <v>0</v>
      </c>
      <c r="T357" s="30">
        <v>0</v>
      </c>
      <c r="U357" s="30">
        <v>0</v>
      </c>
      <c r="V357" s="30">
        <v>0</v>
      </c>
      <c r="W357" s="30">
        <v>0</v>
      </c>
      <c r="X357" s="30">
        <v>0</v>
      </c>
      <c r="Y357" s="30">
        <v>0</v>
      </c>
      <c r="Z357" s="30">
        <v>0</v>
      </c>
      <c r="AA357" s="30">
        <v>0</v>
      </c>
      <c r="AB357" s="30">
        <v>0</v>
      </c>
      <c r="AC357" s="30" t="s">
        <v>407</v>
      </c>
      <c r="AD357" s="30"/>
      <c r="AE357" s="30">
        <v>0</v>
      </c>
    </row>
    <row r="358" spans="1:31" x14ac:dyDescent="0.25">
      <c r="A358">
        <v>2287</v>
      </c>
      <c r="B358" t="s">
        <v>114</v>
      </c>
      <c r="C358" t="s">
        <v>115</v>
      </c>
      <c r="D358" s="33">
        <v>150414.18</v>
      </c>
      <c r="E358">
        <v>1246277109</v>
      </c>
      <c r="F358" s="222">
        <v>46199</v>
      </c>
      <c r="G358" s="222"/>
      <c r="H358" t="s">
        <v>23</v>
      </c>
      <c r="I358" t="s">
        <v>24</v>
      </c>
      <c r="J358">
        <v>11520</v>
      </c>
      <c r="K358" s="222">
        <v>46169</v>
      </c>
      <c r="L358">
        <v>1010200</v>
      </c>
      <c r="M358" t="s">
        <v>113</v>
      </c>
      <c r="N358">
        <v>-26</v>
      </c>
      <c r="O358" s="30">
        <v>0</v>
      </c>
      <c r="P358" s="30">
        <v>0</v>
      </c>
      <c r="Q358" s="30">
        <v>150414.18</v>
      </c>
      <c r="R358" s="30">
        <v>0</v>
      </c>
      <c r="S358" s="30">
        <v>0</v>
      </c>
      <c r="T358" s="30">
        <v>0</v>
      </c>
      <c r="U358" s="30">
        <v>0</v>
      </c>
      <c r="V358" s="30">
        <v>0</v>
      </c>
      <c r="W358" s="30">
        <v>0</v>
      </c>
      <c r="X358" s="30">
        <v>0</v>
      </c>
      <c r="Y358" s="30">
        <v>0</v>
      </c>
      <c r="Z358" s="30">
        <v>0</v>
      </c>
      <c r="AA358" s="30">
        <v>0</v>
      </c>
      <c r="AB358" s="30">
        <v>0</v>
      </c>
      <c r="AC358" s="30" t="s">
        <v>407</v>
      </c>
      <c r="AD358" s="30"/>
      <c r="AE358" s="30">
        <v>0</v>
      </c>
    </row>
    <row r="359" spans="1:31" x14ac:dyDescent="0.25">
      <c r="A359">
        <v>2655</v>
      </c>
      <c r="B359" t="s">
        <v>318</v>
      </c>
      <c r="C359" t="s">
        <v>26</v>
      </c>
      <c r="D359" s="33">
        <v>40017.64</v>
      </c>
      <c r="E359">
        <v>1246268741</v>
      </c>
      <c r="F359" s="222">
        <v>46165</v>
      </c>
      <c r="G359" s="222"/>
      <c r="H359" t="s">
        <v>23</v>
      </c>
      <c r="I359" t="s">
        <v>24</v>
      </c>
      <c r="J359">
        <v>10964</v>
      </c>
      <c r="K359" s="222">
        <v>46105</v>
      </c>
      <c r="L359">
        <v>1010200</v>
      </c>
      <c r="M359" t="s">
        <v>113</v>
      </c>
      <c r="N359">
        <v>8</v>
      </c>
      <c r="O359" s="30">
        <v>0</v>
      </c>
      <c r="P359" s="30">
        <v>0</v>
      </c>
      <c r="Q359" s="30">
        <v>0</v>
      </c>
      <c r="R359" s="30">
        <v>40017.64</v>
      </c>
      <c r="S359" s="30">
        <v>0</v>
      </c>
      <c r="T359" s="30">
        <v>0</v>
      </c>
      <c r="U359" s="30">
        <v>0</v>
      </c>
      <c r="V359" s="30">
        <v>0</v>
      </c>
      <c r="W359" s="30">
        <v>0</v>
      </c>
      <c r="X359" s="30">
        <v>0</v>
      </c>
      <c r="Y359" s="30">
        <v>0</v>
      </c>
      <c r="Z359" s="30">
        <v>0</v>
      </c>
      <c r="AA359" s="30">
        <v>0</v>
      </c>
      <c r="AB359" s="30">
        <v>0</v>
      </c>
      <c r="AC359" s="30" t="s">
        <v>407</v>
      </c>
      <c r="AD359" s="30"/>
      <c r="AE359" s="30">
        <v>0</v>
      </c>
    </row>
    <row r="360" spans="1:31" x14ac:dyDescent="0.25">
      <c r="A360">
        <v>2656</v>
      </c>
      <c r="B360" t="s">
        <v>118</v>
      </c>
      <c r="C360" t="s">
        <v>26</v>
      </c>
      <c r="D360" s="33">
        <v>443929.79000000004</v>
      </c>
      <c r="E360">
        <v>1246277257</v>
      </c>
      <c r="F360" s="222">
        <v>46200</v>
      </c>
      <c r="G360" s="222"/>
      <c r="H360" t="s">
        <v>23</v>
      </c>
      <c r="I360" t="s">
        <v>24</v>
      </c>
      <c r="J360">
        <v>2977</v>
      </c>
      <c r="K360" s="222">
        <v>46170</v>
      </c>
      <c r="L360">
        <v>1010200</v>
      </c>
      <c r="M360" t="s">
        <v>113</v>
      </c>
      <c r="N360">
        <v>-27</v>
      </c>
      <c r="O360" s="30">
        <v>0</v>
      </c>
      <c r="P360" s="30">
        <v>0</v>
      </c>
      <c r="Q360" s="30">
        <v>443929.79000000004</v>
      </c>
      <c r="R360" s="30">
        <v>0</v>
      </c>
      <c r="S360" s="30">
        <v>0</v>
      </c>
      <c r="T360" s="30">
        <v>0</v>
      </c>
      <c r="U360" s="30">
        <v>0</v>
      </c>
      <c r="V360" s="30">
        <v>0</v>
      </c>
      <c r="W360" s="30">
        <v>0</v>
      </c>
      <c r="X360" s="30">
        <v>0</v>
      </c>
      <c r="Y360" s="30">
        <v>0</v>
      </c>
      <c r="Z360" s="30">
        <v>0</v>
      </c>
      <c r="AA360" s="30">
        <v>0</v>
      </c>
      <c r="AB360" s="30">
        <v>0</v>
      </c>
      <c r="AC360" s="30" t="s">
        <v>407</v>
      </c>
      <c r="AD360" s="30"/>
      <c r="AE360" s="30">
        <v>0</v>
      </c>
    </row>
    <row r="361" spans="1:31" x14ac:dyDescent="0.25">
      <c r="A361">
        <v>6132</v>
      </c>
      <c r="B361" t="s">
        <v>160</v>
      </c>
      <c r="C361" t="s">
        <v>161</v>
      </c>
      <c r="D361" s="33">
        <v>131993.79999999999</v>
      </c>
      <c r="E361">
        <v>1246090615</v>
      </c>
      <c r="F361" s="222">
        <v>45471</v>
      </c>
      <c r="G361" s="222"/>
      <c r="H361" t="s">
        <v>156</v>
      </c>
      <c r="I361" t="s">
        <v>157</v>
      </c>
      <c r="J361">
        <v>33</v>
      </c>
      <c r="K361" s="222">
        <v>45111</v>
      </c>
      <c r="L361">
        <v>1010100</v>
      </c>
      <c r="M361" t="s">
        <v>29</v>
      </c>
      <c r="N361">
        <v>702</v>
      </c>
      <c r="O361" s="30">
        <v>0</v>
      </c>
      <c r="P361" s="30">
        <v>0</v>
      </c>
      <c r="Q361" s="30">
        <v>0</v>
      </c>
      <c r="R361" s="30">
        <v>0</v>
      </c>
      <c r="S361" s="30">
        <v>0</v>
      </c>
      <c r="T361" s="30">
        <v>0</v>
      </c>
      <c r="U361" s="30">
        <v>131993.79999999999</v>
      </c>
      <c r="V361" s="30">
        <v>0</v>
      </c>
      <c r="W361" s="30">
        <v>3959.8139999999994</v>
      </c>
      <c r="X361" s="30">
        <v>128033.98599999999</v>
      </c>
      <c r="Y361" s="30">
        <v>128033.98599999999</v>
      </c>
      <c r="Z361" s="30">
        <v>131993.79999999999</v>
      </c>
      <c r="AA361" s="30">
        <v>-131993.79999999999</v>
      </c>
      <c r="AB361" s="30">
        <v>0</v>
      </c>
      <c r="AC361" s="30" t="s">
        <v>459</v>
      </c>
      <c r="AD361" s="30"/>
      <c r="AE361" s="30">
        <v>0</v>
      </c>
    </row>
    <row r="362" spans="1:31" x14ac:dyDescent="0.25">
      <c r="A362">
        <v>6132</v>
      </c>
      <c r="B362" t="s">
        <v>160</v>
      </c>
      <c r="C362" t="s">
        <v>161</v>
      </c>
      <c r="D362" s="33">
        <v>178370</v>
      </c>
      <c r="E362">
        <v>1246091907</v>
      </c>
      <c r="F362" s="222">
        <v>45437</v>
      </c>
      <c r="G362" s="222"/>
      <c r="H362" t="s">
        <v>156</v>
      </c>
      <c r="I362" t="s">
        <v>157</v>
      </c>
      <c r="J362">
        <v>129</v>
      </c>
      <c r="K362" s="222">
        <v>45119</v>
      </c>
      <c r="L362">
        <v>1010100</v>
      </c>
      <c r="M362" t="s">
        <v>29</v>
      </c>
      <c r="N362">
        <v>736</v>
      </c>
      <c r="O362" s="30">
        <v>0</v>
      </c>
      <c r="P362" s="30">
        <v>0</v>
      </c>
      <c r="Q362" s="30">
        <v>0</v>
      </c>
      <c r="R362" s="30">
        <v>0</v>
      </c>
      <c r="S362" s="30">
        <v>0</v>
      </c>
      <c r="T362" s="30">
        <v>0</v>
      </c>
      <c r="U362" s="30">
        <v>178370</v>
      </c>
      <c r="V362" s="30">
        <v>0</v>
      </c>
      <c r="W362" s="30">
        <v>5351.0999999999995</v>
      </c>
      <c r="X362" s="30">
        <v>173018.9</v>
      </c>
      <c r="Y362" s="30">
        <v>173018.9</v>
      </c>
      <c r="Z362" s="30">
        <v>178370</v>
      </c>
      <c r="AA362" s="30">
        <v>-178370</v>
      </c>
      <c r="AB362" s="30">
        <v>0</v>
      </c>
      <c r="AC362" s="30" t="s">
        <v>459</v>
      </c>
      <c r="AD362" s="30"/>
      <c r="AE362" s="30">
        <v>0</v>
      </c>
    </row>
    <row r="363" spans="1:31" x14ac:dyDescent="0.25">
      <c r="A363">
        <v>6132</v>
      </c>
      <c r="B363" t="s">
        <v>160</v>
      </c>
      <c r="C363" t="s">
        <v>161</v>
      </c>
      <c r="D363" s="33">
        <v>178370</v>
      </c>
      <c r="E363">
        <v>1246090579</v>
      </c>
      <c r="F363" s="222">
        <v>45470</v>
      </c>
      <c r="G363" s="222"/>
      <c r="H363" t="s">
        <v>156</v>
      </c>
      <c r="I363" t="s">
        <v>157</v>
      </c>
      <c r="J363">
        <v>28</v>
      </c>
      <c r="K363" s="222">
        <v>45110</v>
      </c>
      <c r="L363">
        <v>1010100</v>
      </c>
      <c r="M363" t="s">
        <v>29</v>
      </c>
      <c r="N363">
        <v>703</v>
      </c>
      <c r="O363" s="30">
        <v>0</v>
      </c>
      <c r="P363" s="30">
        <v>0</v>
      </c>
      <c r="Q363" s="30">
        <v>0</v>
      </c>
      <c r="R363" s="30">
        <v>0</v>
      </c>
      <c r="S363" s="30">
        <v>0</v>
      </c>
      <c r="T363" s="30">
        <v>0</v>
      </c>
      <c r="U363" s="30">
        <v>178370</v>
      </c>
      <c r="V363" s="30">
        <v>0</v>
      </c>
      <c r="W363" s="30">
        <v>5351.0999999999995</v>
      </c>
      <c r="X363" s="30">
        <v>173018.9</v>
      </c>
      <c r="Y363" s="30">
        <v>173018.9</v>
      </c>
      <c r="Z363" s="30">
        <v>178370</v>
      </c>
      <c r="AA363" s="30">
        <v>-178370</v>
      </c>
      <c r="AB363" s="30">
        <v>0</v>
      </c>
      <c r="AC363" s="30" t="s">
        <v>459</v>
      </c>
      <c r="AD363" s="30"/>
      <c r="AE363" s="30">
        <v>0</v>
      </c>
    </row>
    <row r="364" spans="1:31" x14ac:dyDescent="0.25">
      <c r="A364">
        <v>6132</v>
      </c>
      <c r="B364" t="s">
        <v>160</v>
      </c>
      <c r="C364" t="s">
        <v>161</v>
      </c>
      <c r="D364" s="33">
        <v>142696</v>
      </c>
      <c r="E364">
        <v>1246091833</v>
      </c>
      <c r="F364" s="222">
        <v>45436</v>
      </c>
      <c r="G364" s="222"/>
      <c r="H364" t="s">
        <v>156</v>
      </c>
      <c r="I364" t="s">
        <v>157</v>
      </c>
      <c r="J364">
        <v>116</v>
      </c>
      <c r="K364" s="222">
        <v>45118</v>
      </c>
      <c r="L364">
        <v>1010100</v>
      </c>
      <c r="M364" t="s">
        <v>29</v>
      </c>
      <c r="N364">
        <v>737</v>
      </c>
      <c r="O364" s="30">
        <v>0</v>
      </c>
      <c r="P364" s="30">
        <v>0</v>
      </c>
      <c r="Q364" s="30">
        <v>0</v>
      </c>
      <c r="R364" s="30">
        <v>0</v>
      </c>
      <c r="S364" s="30">
        <v>0</v>
      </c>
      <c r="T364" s="30">
        <v>0</v>
      </c>
      <c r="U364" s="30">
        <v>142696</v>
      </c>
      <c r="V364" s="30">
        <v>0</v>
      </c>
      <c r="W364" s="30">
        <v>4280.88</v>
      </c>
      <c r="X364" s="30">
        <v>138415.12</v>
      </c>
      <c r="Y364" s="30">
        <v>138415.12</v>
      </c>
      <c r="Z364" s="30">
        <v>142696</v>
      </c>
      <c r="AA364" s="30">
        <v>-142696</v>
      </c>
      <c r="AB364" s="30">
        <v>0</v>
      </c>
      <c r="AC364" s="30" t="s">
        <v>459</v>
      </c>
      <c r="AD364" s="30"/>
      <c r="AE364" s="30">
        <v>0</v>
      </c>
    </row>
    <row r="365" spans="1:31" x14ac:dyDescent="0.25">
      <c r="A365">
        <v>6132</v>
      </c>
      <c r="B365" t="s">
        <v>160</v>
      </c>
      <c r="C365" t="s">
        <v>161</v>
      </c>
      <c r="D365" s="33">
        <v>60766.2</v>
      </c>
      <c r="E365">
        <v>1246095119</v>
      </c>
      <c r="F365" s="222">
        <v>45447</v>
      </c>
      <c r="G365" s="222"/>
      <c r="H365" t="s">
        <v>156</v>
      </c>
      <c r="I365" t="s">
        <v>157</v>
      </c>
      <c r="J365">
        <v>93</v>
      </c>
      <c r="K365" s="222">
        <v>45138</v>
      </c>
      <c r="L365">
        <v>1010100</v>
      </c>
      <c r="M365" t="s">
        <v>29</v>
      </c>
      <c r="N365">
        <v>726</v>
      </c>
      <c r="O365" s="30">
        <v>0</v>
      </c>
      <c r="P365" s="30">
        <v>0</v>
      </c>
      <c r="Q365" s="30">
        <v>0</v>
      </c>
      <c r="R365" s="30">
        <v>0</v>
      </c>
      <c r="S365" s="30">
        <v>0</v>
      </c>
      <c r="T365" s="30">
        <v>0</v>
      </c>
      <c r="U365" s="30">
        <v>60766.2</v>
      </c>
      <c r="V365" s="30">
        <v>0</v>
      </c>
      <c r="W365" s="30">
        <v>1822.9859999999999</v>
      </c>
      <c r="X365" s="30">
        <v>58943.213999999993</v>
      </c>
      <c r="Y365" s="30">
        <v>58943.213999999993</v>
      </c>
      <c r="Z365" s="30">
        <v>60766.2</v>
      </c>
      <c r="AA365" s="30">
        <v>-60766.2</v>
      </c>
      <c r="AB365" s="30">
        <v>0</v>
      </c>
      <c r="AC365" s="30" t="s">
        <v>459</v>
      </c>
      <c r="AD365" s="30"/>
      <c r="AE365" s="30">
        <v>0</v>
      </c>
    </row>
    <row r="366" spans="1:31" x14ac:dyDescent="0.25">
      <c r="A366">
        <v>6132</v>
      </c>
      <c r="B366" t="s">
        <v>160</v>
      </c>
      <c r="C366" t="s">
        <v>161</v>
      </c>
      <c r="D366" s="33">
        <v>178260</v>
      </c>
      <c r="E366">
        <v>1246091832</v>
      </c>
      <c r="F366" s="222">
        <v>45436</v>
      </c>
      <c r="G366" s="222"/>
      <c r="H366" t="s">
        <v>156</v>
      </c>
      <c r="I366" t="s">
        <v>157</v>
      </c>
      <c r="J366">
        <v>115</v>
      </c>
      <c r="K366" s="222">
        <v>45118</v>
      </c>
      <c r="L366">
        <v>1010100</v>
      </c>
      <c r="M366" t="s">
        <v>29</v>
      </c>
      <c r="N366">
        <v>737</v>
      </c>
      <c r="O366" s="30">
        <v>0</v>
      </c>
      <c r="P366" s="30">
        <v>0</v>
      </c>
      <c r="Q366" s="30">
        <v>0</v>
      </c>
      <c r="R366" s="30">
        <v>0</v>
      </c>
      <c r="S366" s="30">
        <v>0</v>
      </c>
      <c r="T366" s="30">
        <v>0</v>
      </c>
      <c r="U366" s="30">
        <v>178260</v>
      </c>
      <c r="V366" s="30">
        <v>0</v>
      </c>
      <c r="W366" s="30">
        <v>5347.8</v>
      </c>
      <c r="X366" s="30">
        <v>172912.19999999998</v>
      </c>
      <c r="Y366" s="30">
        <v>172912.19999999998</v>
      </c>
      <c r="Z366" s="30">
        <v>178260</v>
      </c>
      <c r="AA366" s="30">
        <v>-178260</v>
      </c>
      <c r="AB366" s="30">
        <v>0</v>
      </c>
      <c r="AC366" s="30" t="s">
        <v>459</v>
      </c>
      <c r="AD366" s="30"/>
      <c r="AE366" s="30">
        <v>0</v>
      </c>
    </row>
    <row r="367" spans="1:31" x14ac:dyDescent="0.25">
      <c r="A367">
        <v>6132</v>
      </c>
      <c r="B367" t="s">
        <v>160</v>
      </c>
      <c r="C367" t="s">
        <v>161</v>
      </c>
      <c r="D367" s="33">
        <v>151915.50000000003</v>
      </c>
      <c r="E367">
        <v>1246095049</v>
      </c>
      <c r="F367" s="222">
        <v>45447</v>
      </c>
      <c r="G367" s="222"/>
      <c r="H367" t="s">
        <v>156</v>
      </c>
      <c r="I367" t="s">
        <v>157</v>
      </c>
      <c r="J367">
        <v>92</v>
      </c>
      <c r="K367" s="222">
        <v>45138</v>
      </c>
      <c r="L367">
        <v>1010100</v>
      </c>
      <c r="M367" t="s">
        <v>29</v>
      </c>
      <c r="N367">
        <v>726</v>
      </c>
      <c r="O367" s="30">
        <v>0</v>
      </c>
      <c r="P367" s="30">
        <v>0</v>
      </c>
      <c r="Q367" s="30">
        <v>0</v>
      </c>
      <c r="R367" s="30">
        <v>0</v>
      </c>
      <c r="S367" s="30">
        <v>0</v>
      </c>
      <c r="T367" s="30">
        <v>0</v>
      </c>
      <c r="U367" s="30">
        <v>151915.50000000003</v>
      </c>
      <c r="V367" s="30">
        <v>0</v>
      </c>
      <c r="W367" s="30">
        <v>4557.4650000000011</v>
      </c>
      <c r="X367" s="30">
        <v>147358.03500000003</v>
      </c>
      <c r="Y367" s="30">
        <v>147358.03500000003</v>
      </c>
      <c r="Z367" s="30">
        <v>151915.50000000003</v>
      </c>
      <c r="AA367" s="30">
        <v>-151915.50000000003</v>
      </c>
      <c r="AB367" s="30">
        <v>0</v>
      </c>
      <c r="AC367" s="30" t="s">
        <v>459</v>
      </c>
      <c r="AD367" s="30"/>
      <c r="AE367" s="30">
        <v>0</v>
      </c>
    </row>
    <row r="368" spans="1:31" x14ac:dyDescent="0.25">
      <c r="A368">
        <v>6132</v>
      </c>
      <c r="B368" t="s">
        <v>160</v>
      </c>
      <c r="C368" t="s">
        <v>161</v>
      </c>
      <c r="D368" s="33">
        <v>91149.3</v>
      </c>
      <c r="E368">
        <v>1246095124</v>
      </c>
      <c r="F368" s="222">
        <v>45447</v>
      </c>
      <c r="G368" s="222"/>
      <c r="H368" t="s">
        <v>156</v>
      </c>
      <c r="I368" t="s">
        <v>157</v>
      </c>
      <c r="J368">
        <v>94</v>
      </c>
      <c r="K368" s="222">
        <v>45138</v>
      </c>
      <c r="L368">
        <v>1010100</v>
      </c>
      <c r="M368" t="s">
        <v>29</v>
      </c>
      <c r="N368">
        <v>726</v>
      </c>
      <c r="O368" s="30">
        <v>0</v>
      </c>
      <c r="P368" s="30">
        <v>0</v>
      </c>
      <c r="Q368" s="30">
        <v>0</v>
      </c>
      <c r="R368" s="30">
        <v>0</v>
      </c>
      <c r="S368" s="30">
        <v>0</v>
      </c>
      <c r="T368" s="30">
        <v>0</v>
      </c>
      <c r="U368" s="30">
        <v>91149.3</v>
      </c>
      <c r="V368" s="30">
        <v>0</v>
      </c>
      <c r="W368" s="30">
        <v>2734.4789999999998</v>
      </c>
      <c r="X368" s="30">
        <v>88414.820999999996</v>
      </c>
      <c r="Y368" s="30">
        <v>88414.820999999996</v>
      </c>
      <c r="Z368" s="30">
        <v>91149.3</v>
      </c>
      <c r="AA368" s="30">
        <v>-91149.3</v>
      </c>
      <c r="AB368" s="30">
        <v>0</v>
      </c>
      <c r="AC368" s="30" t="s">
        <v>459</v>
      </c>
      <c r="AD368" s="30"/>
      <c r="AE368" s="30">
        <v>0</v>
      </c>
    </row>
    <row r="369" spans="1:31" x14ac:dyDescent="0.25">
      <c r="A369">
        <v>6132</v>
      </c>
      <c r="B369" t="s">
        <v>160</v>
      </c>
      <c r="C369" t="s">
        <v>161</v>
      </c>
      <c r="D369" s="33">
        <v>85223.34</v>
      </c>
      <c r="E369">
        <v>1246097799</v>
      </c>
      <c r="F369" s="222">
        <v>45442</v>
      </c>
      <c r="G369" s="222"/>
      <c r="H369" t="s">
        <v>156</v>
      </c>
      <c r="I369" t="s">
        <v>157</v>
      </c>
      <c r="J369">
        <v>678</v>
      </c>
      <c r="K369" s="222">
        <v>45152</v>
      </c>
      <c r="L369">
        <v>1010100</v>
      </c>
      <c r="M369" t="s">
        <v>29</v>
      </c>
      <c r="N369">
        <v>731</v>
      </c>
      <c r="O369" s="30">
        <v>0</v>
      </c>
      <c r="P369" s="30">
        <v>0</v>
      </c>
      <c r="Q369" s="30">
        <v>0</v>
      </c>
      <c r="R369" s="30">
        <v>0</v>
      </c>
      <c r="S369" s="30">
        <v>0</v>
      </c>
      <c r="T369" s="30">
        <v>0</v>
      </c>
      <c r="U369" s="30">
        <v>85223.34</v>
      </c>
      <c r="V369" s="30">
        <v>0</v>
      </c>
      <c r="W369" s="30">
        <v>2556.7001999999998</v>
      </c>
      <c r="X369" s="30">
        <v>82666.63979999999</v>
      </c>
      <c r="Y369" s="30">
        <v>82666.63979999999</v>
      </c>
      <c r="Z369" s="30">
        <v>85223.34</v>
      </c>
      <c r="AA369" s="30">
        <v>-85223.34</v>
      </c>
      <c r="AB369" s="30">
        <v>0</v>
      </c>
      <c r="AC369" s="30" t="s">
        <v>459</v>
      </c>
      <c r="AD369" s="30"/>
      <c r="AE369" s="30">
        <v>0</v>
      </c>
    </row>
    <row r="370" spans="1:31" x14ac:dyDescent="0.25">
      <c r="A370">
        <v>6132</v>
      </c>
      <c r="B370" t="s">
        <v>160</v>
      </c>
      <c r="C370" t="s">
        <v>161</v>
      </c>
      <c r="D370" s="33">
        <v>84323.41</v>
      </c>
      <c r="E370">
        <v>1246121990</v>
      </c>
      <c r="F370" s="222">
        <v>45557</v>
      </c>
      <c r="G370" s="222"/>
      <c r="H370" t="s">
        <v>156</v>
      </c>
      <c r="I370" t="s">
        <v>157</v>
      </c>
      <c r="J370">
        <v>2361</v>
      </c>
      <c r="K370" s="222">
        <v>45289</v>
      </c>
      <c r="L370">
        <v>1010100</v>
      </c>
      <c r="M370" t="s">
        <v>29</v>
      </c>
      <c r="N370">
        <v>616</v>
      </c>
      <c r="O370" s="30">
        <v>0</v>
      </c>
      <c r="P370" s="30">
        <v>0</v>
      </c>
      <c r="Q370" s="30">
        <v>0</v>
      </c>
      <c r="R370" s="30">
        <v>0</v>
      </c>
      <c r="S370" s="30">
        <v>0</v>
      </c>
      <c r="T370" s="30">
        <v>0</v>
      </c>
      <c r="U370" s="30">
        <v>84323.41</v>
      </c>
      <c r="V370" s="30">
        <v>0</v>
      </c>
      <c r="W370" s="30">
        <v>2529.7022999999999</v>
      </c>
      <c r="X370" s="30">
        <v>81793.707699999999</v>
      </c>
      <c r="Y370" s="30">
        <v>81793.707699999999</v>
      </c>
      <c r="Z370" s="30">
        <v>84323.41</v>
      </c>
      <c r="AA370" s="30">
        <v>-84323.41</v>
      </c>
      <c r="AB370" s="30">
        <v>0</v>
      </c>
      <c r="AC370" s="30" t="s">
        <v>459</v>
      </c>
      <c r="AD370" s="30"/>
      <c r="AE370" s="30">
        <v>0</v>
      </c>
    </row>
    <row r="371" spans="1:31" x14ac:dyDescent="0.25">
      <c r="A371">
        <v>6132</v>
      </c>
      <c r="B371" t="s">
        <v>160</v>
      </c>
      <c r="C371" t="s">
        <v>161</v>
      </c>
      <c r="D371" s="33">
        <v>63251.12</v>
      </c>
      <c r="E371">
        <v>1246128996</v>
      </c>
      <c r="F371" s="222">
        <v>45571</v>
      </c>
      <c r="G371" s="222"/>
      <c r="H371" t="s">
        <v>156</v>
      </c>
      <c r="I371" t="s">
        <v>157</v>
      </c>
      <c r="J371">
        <v>2766</v>
      </c>
      <c r="K371" s="222">
        <v>45331</v>
      </c>
      <c r="L371">
        <v>1010100</v>
      </c>
      <c r="M371" t="s">
        <v>29</v>
      </c>
      <c r="N371">
        <v>602</v>
      </c>
      <c r="O371" s="30">
        <v>0</v>
      </c>
      <c r="P371" s="30">
        <v>0</v>
      </c>
      <c r="Q371" s="30">
        <v>0</v>
      </c>
      <c r="R371" s="30">
        <v>0</v>
      </c>
      <c r="S371" s="30">
        <v>0</v>
      </c>
      <c r="T371" s="30">
        <v>0</v>
      </c>
      <c r="U371" s="30">
        <v>63251.12</v>
      </c>
      <c r="V371" s="30">
        <v>0</v>
      </c>
      <c r="W371" s="30">
        <v>1897.5336</v>
      </c>
      <c r="X371" s="30">
        <v>61353.5864</v>
      </c>
      <c r="Y371" s="30">
        <v>61353.5864</v>
      </c>
      <c r="Z371" s="30">
        <v>63251.12</v>
      </c>
      <c r="AA371" s="30">
        <v>-63251.12</v>
      </c>
      <c r="AB371" s="30">
        <v>0</v>
      </c>
      <c r="AC371" s="30" t="s">
        <v>459</v>
      </c>
      <c r="AD371" s="30"/>
      <c r="AE371" s="30">
        <v>0</v>
      </c>
    </row>
    <row r="372" spans="1:31" x14ac:dyDescent="0.25">
      <c r="A372">
        <v>6132</v>
      </c>
      <c r="B372" t="s">
        <v>160</v>
      </c>
      <c r="C372" t="s">
        <v>161</v>
      </c>
      <c r="D372" s="33">
        <v>52062</v>
      </c>
      <c r="E372">
        <v>1246115169</v>
      </c>
      <c r="F372" s="222">
        <v>45466</v>
      </c>
      <c r="G372" s="222"/>
      <c r="H372" t="s">
        <v>156</v>
      </c>
      <c r="I372" t="s">
        <v>157</v>
      </c>
      <c r="J372">
        <v>1974</v>
      </c>
      <c r="K372" s="222">
        <v>45244</v>
      </c>
      <c r="L372">
        <v>1010100</v>
      </c>
      <c r="M372" t="s">
        <v>29</v>
      </c>
      <c r="N372">
        <v>707</v>
      </c>
      <c r="O372" s="30">
        <v>0</v>
      </c>
      <c r="P372" s="30">
        <v>0</v>
      </c>
      <c r="Q372" s="30">
        <v>0</v>
      </c>
      <c r="R372" s="30">
        <v>0</v>
      </c>
      <c r="S372" s="30">
        <v>0</v>
      </c>
      <c r="T372" s="30">
        <v>0</v>
      </c>
      <c r="U372" s="30">
        <v>52062</v>
      </c>
      <c r="V372" s="30">
        <v>0</v>
      </c>
      <c r="W372" s="30">
        <v>1561.86</v>
      </c>
      <c r="X372" s="30">
        <v>50500.14</v>
      </c>
      <c r="Y372" s="30">
        <v>50500.14</v>
      </c>
      <c r="Z372" s="30">
        <v>52062</v>
      </c>
      <c r="AA372" s="30">
        <v>-52062</v>
      </c>
      <c r="AB372" s="30">
        <v>0</v>
      </c>
      <c r="AC372" s="30" t="s">
        <v>459</v>
      </c>
      <c r="AD372" s="30"/>
      <c r="AE372" s="30">
        <v>0</v>
      </c>
    </row>
    <row r="373" spans="1:31" x14ac:dyDescent="0.25">
      <c r="A373">
        <v>6132</v>
      </c>
      <c r="B373" t="s">
        <v>160</v>
      </c>
      <c r="C373" t="s">
        <v>161</v>
      </c>
      <c r="D373" s="33">
        <v>32002.66</v>
      </c>
      <c r="E373">
        <v>1246120211</v>
      </c>
      <c r="F373" s="222">
        <v>45518</v>
      </c>
      <c r="G373" s="222"/>
      <c r="H373" t="s">
        <v>156</v>
      </c>
      <c r="I373" t="s">
        <v>157</v>
      </c>
      <c r="J373">
        <v>2284</v>
      </c>
      <c r="K373" s="222">
        <v>45278</v>
      </c>
      <c r="L373">
        <v>1010100</v>
      </c>
      <c r="M373" t="s">
        <v>29</v>
      </c>
      <c r="N373">
        <v>655</v>
      </c>
      <c r="O373" s="30">
        <v>0</v>
      </c>
      <c r="P373" s="30">
        <v>0</v>
      </c>
      <c r="Q373" s="30">
        <v>0</v>
      </c>
      <c r="R373" s="30">
        <v>0</v>
      </c>
      <c r="S373" s="30">
        <v>0</v>
      </c>
      <c r="T373" s="30">
        <v>0</v>
      </c>
      <c r="U373" s="30">
        <v>32002.66</v>
      </c>
      <c r="V373" s="30">
        <v>0</v>
      </c>
      <c r="W373" s="30">
        <v>960.07979999999998</v>
      </c>
      <c r="X373" s="30">
        <v>31042.5802</v>
      </c>
      <c r="Y373" s="30">
        <v>31042.5802</v>
      </c>
      <c r="Z373" s="30">
        <v>32002.66</v>
      </c>
      <c r="AA373" s="30">
        <v>-32002.66</v>
      </c>
      <c r="AB373" s="30">
        <v>0</v>
      </c>
      <c r="AC373" s="30" t="s">
        <v>459</v>
      </c>
      <c r="AD373" s="30"/>
      <c r="AE373" s="30">
        <v>0</v>
      </c>
    </row>
    <row r="374" spans="1:31" x14ac:dyDescent="0.25">
      <c r="A374">
        <v>6132</v>
      </c>
      <c r="B374" t="s">
        <v>160</v>
      </c>
      <c r="C374" t="s">
        <v>161</v>
      </c>
      <c r="D374" s="33">
        <v>112435.2</v>
      </c>
      <c r="E374">
        <v>1246116054</v>
      </c>
      <c r="F374" s="222">
        <v>45491</v>
      </c>
      <c r="G374" s="222"/>
      <c r="H374" t="s">
        <v>156</v>
      </c>
      <c r="I374" t="s">
        <v>157</v>
      </c>
      <c r="J374">
        <v>2046</v>
      </c>
      <c r="K374" s="222">
        <v>45251</v>
      </c>
      <c r="L374">
        <v>1010100</v>
      </c>
      <c r="M374" t="s">
        <v>29</v>
      </c>
      <c r="N374">
        <v>682</v>
      </c>
      <c r="O374" s="30">
        <v>0</v>
      </c>
      <c r="P374" s="30">
        <v>0</v>
      </c>
      <c r="Q374" s="30">
        <v>0</v>
      </c>
      <c r="R374" s="30">
        <v>0</v>
      </c>
      <c r="S374" s="30">
        <v>0</v>
      </c>
      <c r="T374" s="30">
        <v>0</v>
      </c>
      <c r="U374" s="30">
        <v>112435.2</v>
      </c>
      <c r="V374" s="30">
        <v>0</v>
      </c>
      <c r="W374" s="30">
        <v>3373.0559999999996</v>
      </c>
      <c r="X374" s="30">
        <v>109062.144</v>
      </c>
      <c r="Y374" s="30">
        <v>109062.144</v>
      </c>
      <c r="Z374" s="30">
        <v>112435.2</v>
      </c>
      <c r="AA374" s="30">
        <v>-112435.2</v>
      </c>
      <c r="AB374" s="30">
        <v>0</v>
      </c>
      <c r="AC374" s="30" t="s">
        <v>459</v>
      </c>
      <c r="AD374" s="30"/>
      <c r="AE374" s="30">
        <v>0</v>
      </c>
    </row>
    <row r="375" spans="1:31" x14ac:dyDescent="0.25">
      <c r="A375">
        <v>6132</v>
      </c>
      <c r="B375" t="s">
        <v>160</v>
      </c>
      <c r="C375" t="s">
        <v>161</v>
      </c>
      <c r="D375" s="33">
        <v>29450.6</v>
      </c>
      <c r="E375">
        <v>1246128801</v>
      </c>
      <c r="F375" s="222">
        <v>45605</v>
      </c>
      <c r="G375" s="222"/>
      <c r="H375" t="s">
        <v>156</v>
      </c>
      <c r="I375" t="s">
        <v>157</v>
      </c>
      <c r="J375">
        <v>2746</v>
      </c>
      <c r="K375" s="222">
        <v>45330</v>
      </c>
      <c r="L375">
        <v>1010100</v>
      </c>
      <c r="M375" t="s">
        <v>29</v>
      </c>
      <c r="N375">
        <v>568</v>
      </c>
      <c r="O375" s="30">
        <v>0</v>
      </c>
      <c r="P375" s="30">
        <v>0</v>
      </c>
      <c r="Q375" s="30">
        <v>0</v>
      </c>
      <c r="R375" s="30">
        <v>0</v>
      </c>
      <c r="S375" s="30">
        <v>0</v>
      </c>
      <c r="T375" s="30">
        <v>0</v>
      </c>
      <c r="U375" s="30">
        <v>29450.6</v>
      </c>
      <c r="V375" s="30">
        <v>0</v>
      </c>
      <c r="W375" s="30">
        <v>883.51799999999992</v>
      </c>
      <c r="X375" s="30">
        <v>28567.081999999999</v>
      </c>
      <c r="Y375" s="30">
        <v>28567.081999999999</v>
      </c>
      <c r="Z375" s="30">
        <v>29450.6</v>
      </c>
      <c r="AA375" s="30">
        <v>-29450.6</v>
      </c>
      <c r="AB375" s="30">
        <v>0</v>
      </c>
      <c r="AC375" s="30" t="s">
        <v>459</v>
      </c>
      <c r="AD375" s="30"/>
      <c r="AE375" s="30">
        <v>0</v>
      </c>
    </row>
    <row r="376" spans="1:31" x14ac:dyDescent="0.25">
      <c r="A376">
        <v>6132</v>
      </c>
      <c r="B376" t="s">
        <v>160</v>
      </c>
      <c r="C376" t="s">
        <v>161</v>
      </c>
      <c r="D376" s="33">
        <v>87840</v>
      </c>
      <c r="E376">
        <v>1246113431</v>
      </c>
      <c r="F376" s="222">
        <v>45476</v>
      </c>
      <c r="G376" s="222"/>
      <c r="H376" t="s">
        <v>156</v>
      </c>
      <c r="I376" t="s">
        <v>157</v>
      </c>
      <c r="J376">
        <v>1852</v>
      </c>
      <c r="K376" s="222">
        <v>45236</v>
      </c>
      <c r="L376">
        <v>1010100</v>
      </c>
      <c r="M376" t="s">
        <v>29</v>
      </c>
      <c r="N376">
        <v>697</v>
      </c>
      <c r="O376" s="30">
        <v>0</v>
      </c>
      <c r="P376" s="30">
        <v>0</v>
      </c>
      <c r="Q376" s="30">
        <v>0</v>
      </c>
      <c r="R376" s="30">
        <v>0</v>
      </c>
      <c r="S376" s="30">
        <v>0</v>
      </c>
      <c r="T376" s="30">
        <v>0</v>
      </c>
      <c r="U376" s="30">
        <v>87840</v>
      </c>
      <c r="V376" s="30">
        <v>0</v>
      </c>
      <c r="W376" s="30">
        <v>2635.2</v>
      </c>
      <c r="X376" s="30">
        <v>85204.800000000003</v>
      </c>
      <c r="Y376" s="30">
        <v>85204.800000000003</v>
      </c>
      <c r="Z376" s="30">
        <v>87840</v>
      </c>
      <c r="AA376" s="30">
        <v>-87840</v>
      </c>
      <c r="AB376" s="30">
        <v>0</v>
      </c>
      <c r="AC376" s="30" t="s">
        <v>459</v>
      </c>
      <c r="AD376" s="30"/>
      <c r="AE376" s="30">
        <v>0</v>
      </c>
    </row>
    <row r="377" spans="1:31" x14ac:dyDescent="0.25">
      <c r="A377">
        <v>6132</v>
      </c>
      <c r="B377" t="s">
        <v>160</v>
      </c>
      <c r="C377" t="s">
        <v>161</v>
      </c>
      <c r="D377" s="33">
        <v>27201.1</v>
      </c>
      <c r="E377">
        <v>1246124199</v>
      </c>
      <c r="F377" s="222">
        <v>45557</v>
      </c>
      <c r="G377" s="222"/>
      <c r="H377" t="s">
        <v>156</v>
      </c>
      <c r="I377" t="s">
        <v>157</v>
      </c>
      <c r="J377">
        <v>2454</v>
      </c>
      <c r="K377" s="222">
        <v>45301</v>
      </c>
      <c r="L377">
        <v>1010100</v>
      </c>
      <c r="M377" t="s">
        <v>29</v>
      </c>
      <c r="N377">
        <v>616</v>
      </c>
      <c r="O377" s="30">
        <v>0</v>
      </c>
      <c r="P377" s="30">
        <v>0</v>
      </c>
      <c r="Q377" s="30">
        <v>0</v>
      </c>
      <c r="R377" s="30">
        <v>0</v>
      </c>
      <c r="S377" s="30">
        <v>0</v>
      </c>
      <c r="T377" s="30">
        <v>0</v>
      </c>
      <c r="U377" s="30">
        <v>27201.1</v>
      </c>
      <c r="V377" s="30">
        <v>0</v>
      </c>
      <c r="W377" s="30">
        <v>816.0329999999999</v>
      </c>
      <c r="X377" s="30">
        <v>26385.066999999999</v>
      </c>
      <c r="Y377" s="30">
        <v>26385.066999999999</v>
      </c>
      <c r="Z377" s="30">
        <v>27201.1</v>
      </c>
      <c r="AA377" s="30">
        <v>-27201.1</v>
      </c>
      <c r="AB377" s="30">
        <v>0</v>
      </c>
      <c r="AC377" s="30" t="s">
        <v>459</v>
      </c>
      <c r="AD377" s="30"/>
      <c r="AE377" s="30">
        <v>0</v>
      </c>
    </row>
    <row r="378" spans="1:31" x14ac:dyDescent="0.25">
      <c r="A378">
        <v>6132</v>
      </c>
      <c r="B378" t="s">
        <v>160</v>
      </c>
      <c r="C378" t="s">
        <v>161</v>
      </c>
      <c r="D378" s="33">
        <v>86529.600000000006</v>
      </c>
      <c r="E378">
        <v>1246116354</v>
      </c>
      <c r="F378" s="222">
        <v>45475</v>
      </c>
      <c r="G378" s="222"/>
      <c r="H378" t="s">
        <v>156</v>
      </c>
      <c r="I378" t="s">
        <v>157</v>
      </c>
      <c r="J378">
        <v>2068</v>
      </c>
      <c r="K378" s="222">
        <v>45253</v>
      </c>
      <c r="L378">
        <v>1010100</v>
      </c>
      <c r="M378" t="s">
        <v>29</v>
      </c>
      <c r="N378">
        <v>698</v>
      </c>
      <c r="O378" s="30">
        <v>0</v>
      </c>
      <c r="P378" s="30">
        <v>0</v>
      </c>
      <c r="Q378" s="30">
        <v>0</v>
      </c>
      <c r="R378" s="30">
        <v>0</v>
      </c>
      <c r="S378" s="30">
        <v>0</v>
      </c>
      <c r="T378" s="30">
        <v>0</v>
      </c>
      <c r="U378" s="30">
        <v>86529.600000000006</v>
      </c>
      <c r="V378" s="30">
        <v>0</v>
      </c>
      <c r="W378" s="30">
        <v>2595.8879999999999</v>
      </c>
      <c r="X378" s="30">
        <v>83933.712</v>
      </c>
      <c r="Y378" s="30">
        <v>83933.712</v>
      </c>
      <c r="Z378" s="30">
        <v>86529.600000000006</v>
      </c>
      <c r="AA378" s="30">
        <v>-86529.600000000006</v>
      </c>
      <c r="AB378" s="30">
        <v>0</v>
      </c>
      <c r="AC378" s="30" t="s">
        <v>459</v>
      </c>
      <c r="AD378" s="30"/>
      <c r="AE378" s="30">
        <v>0</v>
      </c>
    </row>
    <row r="379" spans="1:31" x14ac:dyDescent="0.25">
      <c r="A379">
        <v>6132</v>
      </c>
      <c r="B379" t="s">
        <v>160</v>
      </c>
      <c r="C379" t="s">
        <v>161</v>
      </c>
      <c r="D379" s="33">
        <v>171010</v>
      </c>
      <c r="E379">
        <v>1246117256</v>
      </c>
      <c r="F379" s="222">
        <v>45474</v>
      </c>
      <c r="G379" s="222"/>
      <c r="H379" t="s">
        <v>156</v>
      </c>
      <c r="I379" t="s">
        <v>157</v>
      </c>
      <c r="J379">
        <v>2130</v>
      </c>
      <c r="K379" s="222">
        <v>45260</v>
      </c>
      <c r="L379">
        <v>1010100</v>
      </c>
      <c r="M379" t="s">
        <v>29</v>
      </c>
      <c r="N379">
        <v>699</v>
      </c>
      <c r="O379" s="30">
        <v>0</v>
      </c>
      <c r="P379" s="30">
        <v>0</v>
      </c>
      <c r="Q379" s="30">
        <v>0</v>
      </c>
      <c r="R379" s="30">
        <v>0</v>
      </c>
      <c r="S379" s="30">
        <v>0</v>
      </c>
      <c r="T379" s="30">
        <v>0</v>
      </c>
      <c r="U379" s="30">
        <v>171010</v>
      </c>
      <c r="V379" s="30">
        <v>0</v>
      </c>
      <c r="W379" s="30">
        <v>5130.3</v>
      </c>
      <c r="X379" s="30">
        <v>165879.69999999998</v>
      </c>
      <c r="Y379" s="30">
        <v>165879.69999999998</v>
      </c>
      <c r="Z379" s="30">
        <v>171010</v>
      </c>
      <c r="AA379" s="30">
        <v>-171010</v>
      </c>
      <c r="AB379" s="30">
        <v>0</v>
      </c>
      <c r="AC379" s="30" t="s">
        <v>459</v>
      </c>
      <c r="AD379" s="30"/>
      <c r="AE379" s="30">
        <v>0</v>
      </c>
    </row>
    <row r="380" spans="1:31" x14ac:dyDescent="0.25">
      <c r="A380">
        <v>6132</v>
      </c>
      <c r="B380" t="s">
        <v>160</v>
      </c>
      <c r="C380" t="s">
        <v>161</v>
      </c>
      <c r="D380" s="33">
        <v>94461</v>
      </c>
      <c r="E380">
        <v>1246125716</v>
      </c>
      <c r="F380" s="222">
        <v>45578</v>
      </c>
      <c r="G380" s="222"/>
      <c r="H380" t="s">
        <v>156</v>
      </c>
      <c r="I380" t="s">
        <v>157</v>
      </c>
      <c r="J380">
        <v>2541</v>
      </c>
      <c r="K380" s="222">
        <v>45310</v>
      </c>
      <c r="L380">
        <v>1010100</v>
      </c>
      <c r="M380" t="s">
        <v>29</v>
      </c>
      <c r="N380">
        <v>595</v>
      </c>
      <c r="O380" s="30">
        <v>0</v>
      </c>
      <c r="P380" s="30">
        <v>0</v>
      </c>
      <c r="Q380" s="30">
        <v>0</v>
      </c>
      <c r="R380" s="30">
        <v>0</v>
      </c>
      <c r="S380" s="30">
        <v>0</v>
      </c>
      <c r="T380" s="30">
        <v>0</v>
      </c>
      <c r="U380" s="30">
        <v>94461</v>
      </c>
      <c r="V380" s="30">
        <v>0</v>
      </c>
      <c r="W380" s="30">
        <v>2833.83</v>
      </c>
      <c r="X380" s="30">
        <v>91627.17</v>
      </c>
      <c r="Y380" s="30">
        <v>91627.17</v>
      </c>
      <c r="Z380" s="30">
        <v>94461</v>
      </c>
      <c r="AA380" s="30">
        <v>-94461</v>
      </c>
      <c r="AB380" s="30">
        <v>0</v>
      </c>
      <c r="AC380" s="30" t="s">
        <v>459</v>
      </c>
      <c r="AD380" s="30"/>
      <c r="AE380" s="30">
        <v>0</v>
      </c>
    </row>
    <row r="381" spans="1:31" x14ac:dyDescent="0.25">
      <c r="A381">
        <v>6132</v>
      </c>
      <c r="B381" t="s">
        <v>160</v>
      </c>
      <c r="C381" t="s">
        <v>161</v>
      </c>
      <c r="D381" s="33">
        <v>67967</v>
      </c>
      <c r="E381">
        <v>1246128327</v>
      </c>
      <c r="F381" s="222">
        <v>45567</v>
      </c>
      <c r="G381" s="222"/>
      <c r="H381" t="s">
        <v>156</v>
      </c>
      <c r="I381" t="s">
        <v>157</v>
      </c>
      <c r="J381">
        <v>2712</v>
      </c>
      <c r="K381" s="222">
        <v>45327</v>
      </c>
      <c r="L381">
        <v>1010100</v>
      </c>
      <c r="M381" t="s">
        <v>29</v>
      </c>
      <c r="N381">
        <v>606</v>
      </c>
      <c r="O381" s="30">
        <v>0</v>
      </c>
      <c r="P381" s="30">
        <v>0</v>
      </c>
      <c r="Q381" s="30">
        <v>0</v>
      </c>
      <c r="R381" s="30">
        <v>0</v>
      </c>
      <c r="S381" s="30">
        <v>0</v>
      </c>
      <c r="T381" s="30">
        <v>0</v>
      </c>
      <c r="U381" s="30">
        <v>67967</v>
      </c>
      <c r="V381" s="30">
        <v>0</v>
      </c>
      <c r="W381" s="30">
        <v>2039.01</v>
      </c>
      <c r="X381" s="30">
        <v>65927.990000000005</v>
      </c>
      <c r="Y381" s="30">
        <v>65927.990000000005</v>
      </c>
      <c r="Z381" s="30">
        <v>67967</v>
      </c>
      <c r="AA381" s="30">
        <v>-67967</v>
      </c>
      <c r="AB381" s="30">
        <v>0</v>
      </c>
      <c r="AC381" s="30" t="s">
        <v>459</v>
      </c>
      <c r="AD381" s="30"/>
      <c r="AE381" s="30">
        <v>0</v>
      </c>
    </row>
    <row r="382" spans="1:31" x14ac:dyDescent="0.25">
      <c r="A382">
        <v>6132</v>
      </c>
      <c r="B382" t="s">
        <v>160</v>
      </c>
      <c r="C382" t="s">
        <v>161</v>
      </c>
      <c r="D382" s="33">
        <v>77852.5</v>
      </c>
      <c r="E382">
        <v>1246128328</v>
      </c>
      <c r="F382" s="222">
        <v>45567</v>
      </c>
      <c r="G382" s="222"/>
      <c r="H382" t="s">
        <v>156</v>
      </c>
      <c r="I382" t="s">
        <v>157</v>
      </c>
      <c r="J382">
        <v>2713</v>
      </c>
      <c r="K382" s="222">
        <v>45327</v>
      </c>
      <c r="L382">
        <v>1010100</v>
      </c>
      <c r="M382" t="s">
        <v>29</v>
      </c>
      <c r="N382">
        <v>606</v>
      </c>
      <c r="O382" s="30">
        <v>0</v>
      </c>
      <c r="P382" s="30">
        <v>0</v>
      </c>
      <c r="Q382" s="30">
        <v>0</v>
      </c>
      <c r="R382" s="30">
        <v>0</v>
      </c>
      <c r="S382" s="30">
        <v>0</v>
      </c>
      <c r="T382" s="30">
        <v>0</v>
      </c>
      <c r="U382" s="30">
        <v>77852.5</v>
      </c>
      <c r="V382" s="30">
        <v>0</v>
      </c>
      <c r="W382" s="30">
        <v>2335.5749999999998</v>
      </c>
      <c r="X382" s="30">
        <v>75516.925000000003</v>
      </c>
      <c r="Y382" s="30">
        <v>75516.925000000003</v>
      </c>
      <c r="Z382" s="30">
        <v>77852.5</v>
      </c>
      <c r="AA382" s="30">
        <v>-77852.5</v>
      </c>
      <c r="AB382" s="30">
        <v>0</v>
      </c>
      <c r="AC382" s="30" t="s">
        <v>459</v>
      </c>
      <c r="AD382" s="30"/>
      <c r="AE382" s="30">
        <v>0</v>
      </c>
    </row>
    <row r="383" spans="1:31" x14ac:dyDescent="0.25">
      <c r="A383">
        <v>6132</v>
      </c>
      <c r="B383" t="s">
        <v>160</v>
      </c>
      <c r="C383" t="s">
        <v>161</v>
      </c>
      <c r="D383" s="33">
        <v>41610.269999999997</v>
      </c>
      <c r="E383">
        <v>1246128682</v>
      </c>
      <c r="F383" s="222">
        <v>45604</v>
      </c>
      <c r="G383" s="222"/>
      <c r="H383" t="s">
        <v>156</v>
      </c>
      <c r="I383" t="s">
        <v>157</v>
      </c>
      <c r="J383">
        <v>2737</v>
      </c>
      <c r="K383" s="222">
        <v>45329</v>
      </c>
      <c r="L383">
        <v>1010100</v>
      </c>
      <c r="M383" t="s">
        <v>29</v>
      </c>
      <c r="N383">
        <v>569</v>
      </c>
      <c r="O383" s="30">
        <v>0</v>
      </c>
      <c r="P383" s="30">
        <v>0</v>
      </c>
      <c r="Q383" s="30">
        <v>0</v>
      </c>
      <c r="R383" s="30">
        <v>0</v>
      </c>
      <c r="S383" s="30">
        <v>0</v>
      </c>
      <c r="T383" s="30">
        <v>0</v>
      </c>
      <c r="U383" s="30">
        <v>41610.269999999997</v>
      </c>
      <c r="V383" s="30">
        <v>0</v>
      </c>
      <c r="W383" s="30">
        <v>1248.3081</v>
      </c>
      <c r="X383" s="30">
        <v>40361.961899999995</v>
      </c>
      <c r="Y383" s="30">
        <v>40361.961899999995</v>
      </c>
      <c r="Z383" s="30">
        <v>41610.269999999997</v>
      </c>
      <c r="AA383" s="30">
        <v>-41610.269999999997</v>
      </c>
      <c r="AB383" s="30">
        <v>0</v>
      </c>
      <c r="AC383" s="30" t="s">
        <v>459</v>
      </c>
      <c r="AD383" s="30"/>
      <c r="AE383" s="30">
        <v>0</v>
      </c>
    </row>
    <row r="384" spans="1:31" x14ac:dyDescent="0.25">
      <c r="A384">
        <v>6132</v>
      </c>
      <c r="B384" t="s">
        <v>160</v>
      </c>
      <c r="C384" t="s">
        <v>161</v>
      </c>
      <c r="D384" s="33">
        <v>107254.39999999999</v>
      </c>
      <c r="E384">
        <v>1246126442</v>
      </c>
      <c r="F384" s="222">
        <v>45565</v>
      </c>
      <c r="G384" s="222"/>
      <c r="H384" t="s">
        <v>156</v>
      </c>
      <c r="I384" t="s">
        <v>157</v>
      </c>
      <c r="J384">
        <v>2587</v>
      </c>
      <c r="K384" s="222">
        <v>45315</v>
      </c>
      <c r="L384">
        <v>1010100</v>
      </c>
      <c r="M384" t="s">
        <v>29</v>
      </c>
      <c r="N384">
        <v>608</v>
      </c>
      <c r="O384" s="30">
        <v>0</v>
      </c>
      <c r="P384" s="30">
        <v>0</v>
      </c>
      <c r="Q384" s="30">
        <v>0</v>
      </c>
      <c r="R384" s="30">
        <v>0</v>
      </c>
      <c r="S384" s="30">
        <v>0</v>
      </c>
      <c r="T384" s="30">
        <v>0</v>
      </c>
      <c r="U384" s="30">
        <v>107254.39999999999</v>
      </c>
      <c r="V384" s="30">
        <v>0</v>
      </c>
      <c r="W384" s="30">
        <v>3217.6319999999996</v>
      </c>
      <c r="X384" s="30">
        <v>104036.768</v>
      </c>
      <c r="Y384" s="30">
        <v>104036.768</v>
      </c>
      <c r="Z384" s="30">
        <v>107254.39999999999</v>
      </c>
      <c r="AA384" s="30">
        <v>-107254.39999999999</v>
      </c>
      <c r="AB384" s="30">
        <v>0</v>
      </c>
      <c r="AC384" s="30" t="s">
        <v>459</v>
      </c>
      <c r="AD384" s="30"/>
      <c r="AE384" s="30">
        <v>0</v>
      </c>
    </row>
    <row r="385" spans="1:31" x14ac:dyDescent="0.25">
      <c r="A385">
        <v>6132</v>
      </c>
      <c r="B385" t="s">
        <v>160</v>
      </c>
      <c r="C385" t="s">
        <v>161</v>
      </c>
      <c r="D385" s="33">
        <v>56218.2</v>
      </c>
      <c r="E385">
        <v>1246128800</v>
      </c>
      <c r="F385" s="222">
        <v>45605</v>
      </c>
      <c r="G385" s="222"/>
      <c r="H385" t="s">
        <v>156</v>
      </c>
      <c r="I385" t="s">
        <v>157</v>
      </c>
      <c r="J385">
        <v>2745</v>
      </c>
      <c r="K385" s="222">
        <v>45330</v>
      </c>
      <c r="L385">
        <v>1010100</v>
      </c>
      <c r="M385" t="s">
        <v>29</v>
      </c>
      <c r="N385">
        <v>568</v>
      </c>
      <c r="O385" s="30">
        <v>0</v>
      </c>
      <c r="P385" s="30">
        <v>0</v>
      </c>
      <c r="Q385" s="30">
        <v>0</v>
      </c>
      <c r="R385" s="30">
        <v>0</v>
      </c>
      <c r="S385" s="30">
        <v>0</v>
      </c>
      <c r="T385" s="30">
        <v>0</v>
      </c>
      <c r="U385" s="30">
        <v>56218.2</v>
      </c>
      <c r="V385" s="30">
        <v>0</v>
      </c>
      <c r="W385" s="30">
        <v>1686.5459999999998</v>
      </c>
      <c r="X385" s="30">
        <v>54531.653999999995</v>
      </c>
      <c r="Y385" s="30">
        <v>54531.653999999995</v>
      </c>
      <c r="Z385" s="30">
        <v>56218.2</v>
      </c>
      <c r="AA385" s="30">
        <v>-56218.2</v>
      </c>
      <c r="AB385" s="30">
        <v>0</v>
      </c>
      <c r="AC385" s="30" t="s">
        <v>459</v>
      </c>
      <c r="AD385" s="30"/>
      <c r="AE385" s="30">
        <v>0</v>
      </c>
    </row>
    <row r="386" spans="1:31" x14ac:dyDescent="0.25">
      <c r="A386">
        <v>6132</v>
      </c>
      <c r="B386" t="s">
        <v>160</v>
      </c>
      <c r="C386" t="s">
        <v>161</v>
      </c>
      <c r="D386" s="33">
        <v>24480.99</v>
      </c>
      <c r="E386">
        <v>1246127802</v>
      </c>
      <c r="F386" s="222">
        <v>45603</v>
      </c>
      <c r="G386" s="222"/>
      <c r="H386" t="s">
        <v>156</v>
      </c>
      <c r="I386" t="s">
        <v>157</v>
      </c>
      <c r="J386">
        <v>2674</v>
      </c>
      <c r="K386" s="222">
        <v>45323</v>
      </c>
      <c r="L386">
        <v>1010100</v>
      </c>
      <c r="M386" t="s">
        <v>29</v>
      </c>
      <c r="N386">
        <v>570</v>
      </c>
      <c r="O386" s="30">
        <v>0</v>
      </c>
      <c r="P386" s="30">
        <v>0</v>
      </c>
      <c r="Q386" s="30">
        <v>0</v>
      </c>
      <c r="R386" s="30">
        <v>0</v>
      </c>
      <c r="S386" s="30">
        <v>0</v>
      </c>
      <c r="T386" s="30">
        <v>0</v>
      </c>
      <c r="U386" s="30">
        <v>24480.99</v>
      </c>
      <c r="V386" s="30">
        <v>0</v>
      </c>
      <c r="W386" s="30">
        <v>734.42970000000003</v>
      </c>
      <c r="X386" s="30">
        <v>23746.560300000001</v>
      </c>
      <c r="Y386" s="30">
        <v>23746.560300000001</v>
      </c>
      <c r="Z386" s="30">
        <v>24480.99</v>
      </c>
      <c r="AA386" s="30">
        <v>-24480.99</v>
      </c>
      <c r="AB386" s="30">
        <v>0</v>
      </c>
      <c r="AC386" s="30" t="s">
        <v>459</v>
      </c>
      <c r="AD386" s="30"/>
      <c r="AE386" s="30">
        <v>0</v>
      </c>
    </row>
    <row r="387" spans="1:31" x14ac:dyDescent="0.25">
      <c r="A387">
        <v>6132</v>
      </c>
      <c r="B387" t="s">
        <v>160</v>
      </c>
      <c r="C387" t="s">
        <v>161</v>
      </c>
      <c r="D387" s="33">
        <v>87043.520000000004</v>
      </c>
      <c r="E387">
        <v>1246120531</v>
      </c>
      <c r="F387" s="222">
        <v>45559</v>
      </c>
      <c r="G387" s="222"/>
      <c r="H387" t="s">
        <v>156</v>
      </c>
      <c r="I387" t="s">
        <v>157</v>
      </c>
      <c r="J387">
        <v>2295</v>
      </c>
      <c r="K387" s="222">
        <v>45279</v>
      </c>
      <c r="L387">
        <v>1010100</v>
      </c>
      <c r="M387" t="s">
        <v>29</v>
      </c>
      <c r="N387">
        <v>614</v>
      </c>
      <c r="O387" s="30">
        <v>0</v>
      </c>
      <c r="P387" s="30">
        <v>0</v>
      </c>
      <c r="Q387" s="30">
        <v>0</v>
      </c>
      <c r="R387" s="30">
        <v>0</v>
      </c>
      <c r="S387" s="30">
        <v>0</v>
      </c>
      <c r="T387" s="30">
        <v>0</v>
      </c>
      <c r="U387" s="30">
        <v>87043.520000000004</v>
      </c>
      <c r="V387" s="30">
        <v>0</v>
      </c>
      <c r="W387" s="30">
        <v>2611.3056000000001</v>
      </c>
      <c r="X387" s="30">
        <v>84432.214399999997</v>
      </c>
      <c r="Y387" s="30">
        <v>84432.214399999997</v>
      </c>
      <c r="Z387" s="30">
        <v>87043.520000000004</v>
      </c>
      <c r="AA387" s="30">
        <v>-87043.520000000004</v>
      </c>
      <c r="AB387" s="30">
        <v>0</v>
      </c>
      <c r="AC387" s="30" t="s">
        <v>459</v>
      </c>
      <c r="AD387" s="30"/>
      <c r="AE387" s="30">
        <v>0</v>
      </c>
    </row>
    <row r="388" spans="1:31" x14ac:dyDescent="0.25">
      <c r="A388">
        <v>6132</v>
      </c>
      <c r="B388" t="s">
        <v>160</v>
      </c>
      <c r="C388" t="s">
        <v>161</v>
      </c>
      <c r="D388" s="33">
        <v>87504.97</v>
      </c>
      <c r="E388">
        <v>1246119910</v>
      </c>
      <c r="F388" s="222">
        <v>45555</v>
      </c>
      <c r="G388" s="222"/>
      <c r="H388" t="s">
        <v>156</v>
      </c>
      <c r="I388" t="s">
        <v>157</v>
      </c>
      <c r="J388">
        <v>2248</v>
      </c>
      <c r="K388" s="222">
        <v>45275</v>
      </c>
      <c r="L388">
        <v>1010100</v>
      </c>
      <c r="M388" t="s">
        <v>29</v>
      </c>
      <c r="N388">
        <v>618</v>
      </c>
      <c r="O388" s="30">
        <v>0</v>
      </c>
      <c r="P388" s="30">
        <v>0</v>
      </c>
      <c r="Q388" s="30">
        <v>0</v>
      </c>
      <c r="R388" s="30">
        <v>0</v>
      </c>
      <c r="S388" s="30">
        <v>0</v>
      </c>
      <c r="T388" s="30">
        <v>0</v>
      </c>
      <c r="U388" s="30">
        <v>87504.97</v>
      </c>
      <c r="V388" s="30">
        <v>0</v>
      </c>
      <c r="W388" s="30">
        <v>2625.1491000000001</v>
      </c>
      <c r="X388" s="30">
        <v>84879.820899999992</v>
      </c>
      <c r="Y388" s="30">
        <v>84879.820899999992</v>
      </c>
      <c r="Z388" s="30">
        <v>87504.97</v>
      </c>
      <c r="AA388" s="30">
        <v>-87504.97</v>
      </c>
      <c r="AB388" s="30">
        <v>0</v>
      </c>
      <c r="AC388" s="30" t="s">
        <v>459</v>
      </c>
      <c r="AD388" s="30"/>
      <c r="AE388" s="30">
        <v>0</v>
      </c>
    </row>
    <row r="389" spans="1:31" x14ac:dyDescent="0.25">
      <c r="A389">
        <v>6132</v>
      </c>
      <c r="B389" t="s">
        <v>160</v>
      </c>
      <c r="C389" t="s">
        <v>161</v>
      </c>
      <c r="D389" s="33">
        <v>22997.32</v>
      </c>
      <c r="E389">
        <v>1246119982</v>
      </c>
      <c r="F389" s="222">
        <v>45515</v>
      </c>
      <c r="G389" s="222"/>
      <c r="H389" t="s">
        <v>156</v>
      </c>
      <c r="I389" t="s">
        <v>157</v>
      </c>
      <c r="J389">
        <v>2263</v>
      </c>
      <c r="K389" s="222">
        <v>45275</v>
      </c>
      <c r="L389">
        <v>1010100</v>
      </c>
      <c r="M389" t="s">
        <v>29</v>
      </c>
      <c r="N389">
        <v>658</v>
      </c>
      <c r="O389" s="30">
        <v>0</v>
      </c>
      <c r="P389" s="30">
        <v>0</v>
      </c>
      <c r="Q389" s="30">
        <v>0</v>
      </c>
      <c r="R389" s="30">
        <v>0</v>
      </c>
      <c r="S389" s="30">
        <v>0</v>
      </c>
      <c r="T389" s="30">
        <v>0</v>
      </c>
      <c r="U389" s="30">
        <v>22997.32</v>
      </c>
      <c r="V389" s="30">
        <v>0</v>
      </c>
      <c r="W389" s="30">
        <v>689.91959999999995</v>
      </c>
      <c r="X389" s="30">
        <v>22307.400399999999</v>
      </c>
      <c r="Y389" s="30">
        <v>22307.400399999999</v>
      </c>
      <c r="Z389" s="30">
        <v>22997.32</v>
      </c>
      <c r="AA389" s="30">
        <v>-22997.32</v>
      </c>
      <c r="AB389" s="30">
        <v>0</v>
      </c>
      <c r="AC389" s="30" t="s">
        <v>459</v>
      </c>
      <c r="AD389" s="30"/>
      <c r="AE389" s="30">
        <v>0</v>
      </c>
    </row>
    <row r="390" spans="1:31" x14ac:dyDescent="0.25">
      <c r="A390">
        <v>6132</v>
      </c>
      <c r="B390" t="s">
        <v>160</v>
      </c>
      <c r="C390" t="s">
        <v>161</v>
      </c>
      <c r="D390" s="33">
        <v>10860</v>
      </c>
      <c r="E390">
        <v>1246122169</v>
      </c>
      <c r="F390" s="222">
        <v>45469</v>
      </c>
      <c r="G390" s="222"/>
      <c r="H390" t="s">
        <v>156</v>
      </c>
      <c r="I390" t="s">
        <v>157</v>
      </c>
      <c r="J390">
        <v>2373</v>
      </c>
      <c r="K390" s="222">
        <v>45289</v>
      </c>
      <c r="L390">
        <v>1010100</v>
      </c>
      <c r="M390" t="s">
        <v>29</v>
      </c>
      <c r="N390">
        <v>704</v>
      </c>
      <c r="O390" s="30">
        <v>0</v>
      </c>
      <c r="P390" s="30">
        <v>0</v>
      </c>
      <c r="Q390" s="30">
        <v>0</v>
      </c>
      <c r="R390" s="30">
        <v>0</v>
      </c>
      <c r="S390" s="30">
        <v>0</v>
      </c>
      <c r="T390" s="30">
        <v>0</v>
      </c>
      <c r="U390" s="30">
        <v>10860</v>
      </c>
      <c r="V390" s="30">
        <v>0</v>
      </c>
      <c r="W390" s="30">
        <v>325.8</v>
      </c>
      <c r="X390" s="30">
        <v>10534.199999999999</v>
      </c>
      <c r="Y390" s="30">
        <v>10534.199999999999</v>
      </c>
      <c r="Z390" s="30">
        <v>10860</v>
      </c>
      <c r="AA390" s="30">
        <v>-10860</v>
      </c>
      <c r="AB390" s="30">
        <v>0</v>
      </c>
      <c r="AC390" s="30" t="s">
        <v>459</v>
      </c>
      <c r="AD390" s="30"/>
      <c r="AE390" s="30">
        <v>0</v>
      </c>
    </row>
    <row r="391" spans="1:31" x14ac:dyDescent="0.25">
      <c r="A391">
        <v>6132</v>
      </c>
      <c r="B391" t="s">
        <v>160</v>
      </c>
      <c r="C391" t="s">
        <v>161</v>
      </c>
      <c r="D391" s="33">
        <v>57205.5</v>
      </c>
      <c r="E391">
        <v>1246122168</v>
      </c>
      <c r="F391" s="222">
        <v>45557</v>
      </c>
      <c r="G391" s="222"/>
      <c r="H391" t="s">
        <v>156</v>
      </c>
      <c r="I391" t="s">
        <v>157</v>
      </c>
      <c r="J391">
        <v>2372</v>
      </c>
      <c r="K391" s="222">
        <v>45289</v>
      </c>
      <c r="L391">
        <v>1010100</v>
      </c>
      <c r="M391" t="s">
        <v>29</v>
      </c>
      <c r="N391">
        <v>616</v>
      </c>
      <c r="O391" s="30">
        <v>0</v>
      </c>
      <c r="P391" s="30">
        <v>0</v>
      </c>
      <c r="Q391" s="30">
        <v>0</v>
      </c>
      <c r="R391" s="30">
        <v>0</v>
      </c>
      <c r="S391" s="30">
        <v>0</v>
      </c>
      <c r="T391" s="30">
        <v>0</v>
      </c>
      <c r="U391" s="30">
        <v>57205.5</v>
      </c>
      <c r="V391" s="30">
        <v>0</v>
      </c>
      <c r="W391" s="30">
        <v>1716.165</v>
      </c>
      <c r="X391" s="30">
        <v>55489.334999999999</v>
      </c>
      <c r="Y391" s="30">
        <v>55489.334999999999</v>
      </c>
      <c r="Z391" s="30">
        <v>57205.5</v>
      </c>
      <c r="AA391" s="30">
        <v>-57205.5</v>
      </c>
      <c r="AB391" s="30">
        <v>0</v>
      </c>
      <c r="AC391" s="30" t="s">
        <v>459</v>
      </c>
      <c r="AD391" s="30"/>
      <c r="AE391" s="30">
        <v>0</v>
      </c>
    </row>
    <row r="392" spans="1:31" x14ac:dyDescent="0.25">
      <c r="A392">
        <v>6132</v>
      </c>
      <c r="B392" t="s">
        <v>160</v>
      </c>
      <c r="C392" t="s">
        <v>161</v>
      </c>
      <c r="D392" s="33">
        <v>109750.39999999999</v>
      </c>
      <c r="E392">
        <v>1246117165</v>
      </c>
      <c r="F392" s="222">
        <v>45473</v>
      </c>
      <c r="G392" s="222"/>
      <c r="H392" t="s">
        <v>156</v>
      </c>
      <c r="I392" t="s">
        <v>157</v>
      </c>
      <c r="J392">
        <v>2128</v>
      </c>
      <c r="K392" s="222">
        <v>45259</v>
      </c>
      <c r="L392">
        <v>1010100</v>
      </c>
      <c r="M392" t="s">
        <v>29</v>
      </c>
      <c r="N392">
        <v>700</v>
      </c>
      <c r="O392" s="30">
        <v>0</v>
      </c>
      <c r="P392" s="30">
        <v>0</v>
      </c>
      <c r="Q392" s="30">
        <v>0</v>
      </c>
      <c r="R392" s="30">
        <v>0</v>
      </c>
      <c r="S392" s="30">
        <v>0</v>
      </c>
      <c r="T392" s="30">
        <v>0</v>
      </c>
      <c r="U392" s="30">
        <v>109750.39999999999</v>
      </c>
      <c r="V392" s="30">
        <v>0</v>
      </c>
      <c r="W392" s="30">
        <v>3292.5119999999997</v>
      </c>
      <c r="X392" s="30">
        <v>106457.88799999999</v>
      </c>
      <c r="Y392" s="30">
        <v>106457.88799999999</v>
      </c>
      <c r="Z392" s="30">
        <v>109750.39999999999</v>
      </c>
      <c r="AA392" s="30">
        <v>-109750.39999999999</v>
      </c>
      <c r="AB392" s="30">
        <v>0</v>
      </c>
      <c r="AC392" s="30" t="s">
        <v>459</v>
      </c>
      <c r="AD392" s="30"/>
      <c r="AE392" s="30">
        <v>0</v>
      </c>
    </row>
    <row r="393" spans="1:31" x14ac:dyDescent="0.25">
      <c r="A393">
        <v>6132</v>
      </c>
      <c r="B393" t="s">
        <v>160</v>
      </c>
      <c r="C393" t="s">
        <v>161</v>
      </c>
      <c r="D393" s="33">
        <v>111644.8</v>
      </c>
      <c r="E393">
        <v>1246117516</v>
      </c>
      <c r="F393" s="222">
        <v>45536</v>
      </c>
      <c r="G393" s="222"/>
      <c r="H393" t="s">
        <v>156</v>
      </c>
      <c r="I393" t="s">
        <v>157</v>
      </c>
      <c r="J393">
        <v>2140</v>
      </c>
      <c r="K393" s="222">
        <v>45261</v>
      </c>
      <c r="L393">
        <v>1010100</v>
      </c>
      <c r="M393" t="s">
        <v>29</v>
      </c>
      <c r="N393">
        <v>637</v>
      </c>
      <c r="O393" s="30">
        <v>0</v>
      </c>
      <c r="P393" s="30">
        <v>0</v>
      </c>
      <c r="Q393" s="30">
        <v>0</v>
      </c>
      <c r="R393" s="30">
        <v>0</v>
      </c>
      <c r="S393" s="30">
        <v>0</v>
      </c>
      <c r="T393" s="30">
        <v>0</v>
      </c>
      <c r="U393" s="30">
        <v>111644.8</v>
      </c>
      <c r="V393" s="30">
        <v>0</v>
      </c>
      <c r="W393" s="30">
        <v>3349.3440000000001</v>
      </c>
      <c r="X393" s="30">
        <v>108295.45600000001</v>
      </c>
      <c r="Y393" s="30">
        <v>108295.45600000001</v>
      </c>
      <c r="Z393" s="30">
        <v>111644.8</v>
      </c>
      <c r="AA393" s="30">
        <v>-111644.8</v>
      </c>
      <c r="AB393" s="30">
        <v>0</v>
      </c>
      <c r="AC393" s="30" t="s">
        <v>459</v>
      </c>
      <c r="AD393" s="30"/>
      <c r="AE393" s="30">
        <v>0</v>
      </c>
    </row>
    <row r="394" spans="1:31" x14ac:dyDescent="0.25">
      <c r="A394">
        <v>6132</v>
      </c>
      <c r="B394" t="s">
        <v>160</v>
      </c>
      <c r="C394" t="s">
        <v>161</v>
      </c>
      <c r="D394" s="33">
        <v>136005.5</v>
      </c>
      <c r="E394">
        <v>1246120768</v>
      </c>
      <c r="F394" s="222">
        <v>45560</v>
      </c>
      <c r="G394" s="222"/>
      <c r="H394" t="s">
        <v>156</v>
      </c>
      <c r="I394" t="s">
        <v>157</v>
      </c>
      <c r="J394">
        <v>2299</v>
      </c>
      <c r="K394" s="222">
        <v>45280</v>
      </c>
      <c r="L394">
        <v>1010100</v>
      </c>
      <c r="M394" t="s">
        <v>29</v>
      </c>
      <c r="N394">
        <v>613</v>
      </c>
      <c r="O394" s="30">
        <v>0</v>
      </c>
      <c r="P394" s="30">
        <v>0</v>
      </c>
      <c r="Q394" s="30">
        <v>0</v>
      </c>
      <c r="R394" s="30">
        <v>0</v>
      </c>
      <c r="S394" s="30">
        <v>0</v>
      </c>
      <c r="T394" s="30">
        <v>0</v>
      </c>
      <c r="U394" s="30">
        <v>136005.5</v>
      </c>
      <c r="V394" s="30">
        <v>0</v>
      </c>
      <c r="W394" s="30">
        <v>4080.165</v>
      </c>
      <c r="X394" s="30">
        <v>131925.33499999999</v>
      </c>
      <c r="Y394" s="30">
        <v>131925.33499999999</v>
      </c>
      <c r="Z394" s="30">
        <v>136005.5</v>
      </c>
      <c r="AA394" s="30">
        <v>-136005.5</v>
      </c>
      <c r="AB394" s="30">
        <v>0</v>
      </c>
      <c r="AC394" s="30" t="s">
        <v>459</v>
      </c>
      <c r="AD394" s="30"/>
      <c r="AE394" s="30">
        <v>0</v>
      </c>
    </row>
    <row r="395" spans="1:31" x14ac:dyDescent="0.25">
      <c r="A395">
        <v>6132</v>
      </c>
      <c r="B395" t="s">
        <v>160</v>
      </c>
      <c r="C395" t="s">
        <v>161</v>
      </c>
      <c r="D395" s="33">
        <v>136005.5</v>
      </c>
      <c r="E395">
        <v>1246124946</v>
      </c>
      <c r="F395" s="222">
        <v>45566</v>
      </c>
      <c r="G395" s="222"/>
      <c r="H395" t="s">
        <v>156</v>
      </c>
      <c r="I395" t="s">
        <v>157</v>
      </c>
      <c r="J395">
        <v>2498</v>
      </c>
      <c r="K395" s="222">
        <v>45306</v>
      </c>
      <c r="L395">
        <v>1010100</v>
      </c>
      <c r="M395" t="s">
        <v>29</v>
      </c>
      <c r="N395">
        <v>607</v>
      </c>
      <c r="O395" s="30">
        <v>0</v>
      </c>
      <c r="P395" s="30">
        <v>0</v>
      </c>
      <c r="Q395" s="30">
        <v>0</v>
      </c>
      <c r="R395" s="30">
        <v>0</v>
      </c>
      <c r="S395" s="30">
        <v>0</v>
      </c>
      <c r="T395" s="30">
        <v>0</v>
      </c>
      <c r="U395" s="30">
        <v>136005.5</v>
      </c>
      <c r="V395" s="30">
        <v>0</v>
      </c>
      <c r="W395" s="30">
        <v>4080.165</v>
      </c>
      <c r="X395" s="30">
        <v>131925.33499999999</v>
      </c>
      <c r="Y395" s="30">
        <v>131925.33499999999</v>
      </c>
      <c r="Z395" s="30">
        <v>136005.5</v>
      </c>
      <c r="AA395" s="30">
        <v>-136005.5</v>
      </c>
      <c r="AB395" s="30">
        <v>0</v>
      </c>
      <c r="AC395" s="30" t="s">
        <v>459</v>
      </c>
      <c r="AD395" s="30"/>
      <c r="AE395" s="30">
        <v>0</v>
      </c>
    </row>
    <row r="396" spans="1:31" x14ac:dyDescent="0.25">
      <c r="A396">
        <v>6132</v>
      </c>
      <c r="B396" t="s">
        <v>160</v>
      </c>
      <c r="C396" t="s">
        <v>161</v>
      </c>
      <c r="D396" s="33">
        <v>87043.520000000004</v>
      </c>
      <c r="E396">
        <v>1246120099</v>
      </c>
      <c r="F396" s="222">
        <v>45558</v>
      </c>
      <c r="G396" s="222"/>
      <c r="H396" t="s">
        <v>156</v>
      </c>
      <c r="I396" t="s">
        <v>157</v>
      </c>
      <c r="J396">
        <v>2279</v>
      </c>
      <c r="K396" s="222">
        <v>45278</v>
      </c>
      <c r="L396">
        <v>1010100</v>
      </c>
      <c r="M396" t="s">
        <v>29</v>
      </c>
      <c r="N396">
        <v>615</v>
      </c>
      <c r="O396" s="30">
        <v>0</v>
      </c>
      <c r="P396" s="30">
        <v>0</v>
      </c>
      <c r="Q396" s="30">
        <v>0</v>
      </c>
      <c r="R396" s="30">
        <v>0</v>
      </c>
      <c r="S396" s="30">
        <v>0</v>
      </c>
      <c r="T396" s="30">
        <v>0</v>
      </c>
      <c r="U396" s="30">
        <v>87043.520000000004</v>
      </c>
      <c r="V396" s="30">
        <v>0</v>
      </c>
      <c r="W396" s="30">
        <v>2611.3056000000001</v>
      </c>
      <c r="X396" s="30">
        <v>84432.214399999997</v>
      </c>
      <c r="Y396" s="30">
        <v>84432.214399999997</v>
      </c>
      <c r="Z396" s="30">
        <v>87043.520000000004</v>
      </c>
      <c r="AA396" s="30">
        <v>-87043.520000000004</v>
      </c>
      <c r="AB396" s="30">
        <v>0</v>
      </c>
      <c r="AC396" s="30" t="s">
        <v>459</v>
      </c>
      <c r="AD396" s="30"/>
      <c r="AE396" s="30">
        <v>0</v>
      </c>
    </row>
    <row r="397" spans="1:31" x14ac:dyDescent="0.25">
      <c r="A397">
        <v>6132</v>
      </c>
      <c r="B397" t="s">
        <v>160</v>
      </c>
      <c r="C397" t="s">
        <v>161</v>
      </c>
      <c r="D397" s="33">
        <v>111465.88</v>
      </c>
      <c r="E397">
        <v>1246127801</v>
      </c>
      <c r="F397" s="222">
        <v>45603</v>
      </c>
      <c r="G397" s="222"/>
      <c r="H397" t="s">
        <v>156</v>
      </c>
      <c r="I397" t="s">
        <v>157</v>
      </c>
      <c r="J397">
        <v>2673</v>
      </c>
      <c r="K397" s="222">
        <v>45323</v>
      </c>
      <c r="L397">
        <v>1010100</v>
      </c>
      <c r="M397" t="s">
        <v>29</v>
      </c>
      <c r="N397">
        <v>570</v>
      </c>
      <c r="O397" s="30">
        <v>0</v>
      </c>
      <c r="P397" s="30">
        <v>0</v>
      </c>
      <c r="Q397" s="30">
        <v>0</v>
      </c>
      <c r="R397" s="30">
        <v>0</v>
      </c>
      <c r="S397" s="30">
        <v>0</v>
      </c>
      <c r="T397" s="30">
        <v>0</v>
      </c>
      <c r="U397" s="30">
        <v>111465.88</v>
      </c>
      <c r="V397" s="30">
        <v>0</v>
      </c>
      <c r="W397" s="30">
        <v>3343.9764</v>
      </c>
      <c r="X397" s="30">
        <v>108121.90360000001</v>
      </c>
      <c r="Y397" s="30">
        <v>108121.90360000001</v>
      </c>
      <c r="Z397" s="30">
        <v>111465.88</v>
      </c>
      <c r="AA397" s="30">
        <v>-111465.88</v>
      </c>
      <c r="AB397" s="30">
        <v>0</v>
      </c>
      <c r="AC397" s="30" t="s">
        <v>459</v>
      </c>
      <c r="AD397" s="30"/>
      <c r="AE397" s="30">
        <v>0</v>
      </c>
    </row>
    <row r="398" spans="1:31" x14ac:dyDescent="0.25">
      <c r="A398">
        <v>6132</v>
      </c>
      <c r="B398" t="s">
        <v>160</v>
      </c>
      <c r="C398" t="s">
        <v>161</v>
      </c>
      <c r="D398" s="33">
        <v>47937.4</v>
      </c>
      <c r="E398">
        <v>1246118354</v>
      </c>
      <c r="F398" s="222">
        <v>45541</v>
      </c>
      <c r="G398" s="222"/>
      <c r="H398" t="s">
        <v>156</v>
      </c>
      <c r="I398" t="s">
        <v>157</v>
      </c>
      <c r="J398">
        <v>2184</v>
      </c>
      <c r="K398" s="222">
        <v>45266</v>
      </c>
      <c r="L398">
        <v>1010100</v>
      </c>
      <c r="M398" t="s">
        <v>29</v>
      </c>
      <c r="N398">
        <v>632</v>
      </c>
      <c r="O398" s="30">
        <v>0</v>
      </c>
      <c r="P398" s="30">
        <v>0</v>
      </c>
      <c r="Q398" s="30">
        <v>0</v>
      </c>
      <c r="R398" s="30">
        <v>0</v>
      </c>
      <c r="S398" s="30">
        <v>0</v>
      </c>
      <c r="T398" s="30">
        <v>0</v>
      </c>
      <c r="U398" s="30">
        <v>47937.4</v>
      </c>
      <c r="V398" s="30">
        <v>0</v>
      </c>
      <c r="W398" s="30">
        <v>1438.1220000000001</v>
      </c>
      <c r="X398" s="30">
        <v>46499.277999999998</v>
      </c>
      <c r="Y398" s="30">
        <v>46499.277999999998</v>
      </c>
      <c r="Z398" s="30">
        <v>47937.4</v>
      </c>
      <c r="AA398" s="30">
        <v>-47937.4</v>
      </c>
      <c r="AB398" s="30">
        <v>0</v>
      </c>
      <c r="AC398" s="30" t="s">
        <v>459</v>
      </c>
      <c r="AD398" s="30"/>
      <c r="AE398" s="30">
        <v>0</v>
      </c>
    </row>
    <row r="399" spans="1:31" x14ac:dyDescent="0.25">
      <c r="A399">
        <v>6132</v>
      </c>
      <c r="B399" t="s">
        <v>160</v>
      </c>
      <c r="C399" t="s">
        <v>161</v>
      </c>
      <c r="D399" s="33">
        <v>155705</v>
      </c>
      <c r="E399">
        <v>1246129974</v>
      </c>
      <c r="F399" s="222">
        <v>45568</v>
      </c>
      <c r="G399" s="222"/>
      <c r="H399" t="s">
        <v>156</v>
      </c>
      <c r="I399" t="s">
        <v>157</v>
      </c>
      <c r="J399">
        <v>2839</v>
      </c>
      <c r="K399" s="222">
        <v>45341</v>
      </c>
      <c r="L399">
        <v>1010100</v>
      </c>
      <c r="M399" t="s">
        <v>29</v>
      </c>
      <c r="N399">
        <v>605</v>
      </c>
      <c r="O399" s="30">
        <v>0</v>
      </c>
      <c r="P399" s="30">
        <v>0</v>
      </c>
      <c r="Q399" s="30">
        <v>0</v>
      </c>
      <c r="R399" s="30">
        <v>0</v>
      </c>
      <c r="S399" s="30">
        <v>0</v>
      </c>
      <c r="T399" s="30">
        <v>0</v>
      </c>
      <c r="U399" s="30">
        <v>155705</v>
      </c>
      <c r="V399" s="30">
        <v>0</v>
      </c>
      <c r="W399" s="30">
        <v>4671.1499999999996</v>
      </c>
      <c r="X399" s="30">
        <v>151033.85</v>
      </c>
      <c r="Y399" s="30">
        <v>151033.85</v>
      </c>
      <c r="Z399" s="30">
        <v>155705</v>
      </c>
      <c r="AA399" s="30">
        <v>-155705</v>
      </c>
      <c r="AB399" s="30">
        <v>0</v>
      </c>
      <c r="AC399" s="30" t="s">
        <v>459</v>
      </c>
      <c r="AD399" s="30"/>
      <c r="AE399" s="30">
        <v>0</v>
      </c>
    </row>
    <row r="400" spans="1:31" x14ac:dyDescent="0.25">
      <c r="A400">
        <v>6132</v>
      </c>
      <c r="B400" t="s">
        <v>160</v>
      </c>
      <c r="C400" t="s">
        <v>161</v>
      </c>
      <c r="D400" s="33">
        <v>42163.65</v>
      </c>
      <c r="E400">
        <v>1246124200</v>
      </c>
      <c r="F400" s="222">
        <v>45569</v>
      </c>
      <c r="G400" s="222"/>
      <c r="H400" t="s">
        <v>156</v>
      </c>
      <c r="I400" t="s">
        <v>157</v>
      </c>
      <c r="J400">
        <v>2455</v>
      </c>
      <c r="K400" s="222">
        <v>45301</v>
      </c>
      <c r="L400">
        <v>1010100</v>
      </c>
      <c r="M400" t="s">
        <v>29</v>
      </c>
      <c r="N400">
        <v>604</v>
      </c>
      <c r="O400" s="30">
        <v>0</v>
      </c>
      <c r="P400" s="30">
        <v>0</v>
      </c>
      <c r="Q400" s="30">
        <v>0</v>
      </c>
      <c r="R400" s="30">
        <v>0</v>
      </c>
      <c r="S400" s="30">
        <v>0</v>
      </c>
      <c r="T400" s="30">
        <v>0</v>
      </c>
      <c r="U400" s="30">
        <v>42163.65</v>
      </c>
      <c r="V400" s="30">
        <v>0</v>
      </c>
      <c r="W400" s="30">
        <v>1264.9095</v>
      </c>
      <c r="X400" s="30">
        <v>40898.7405</v>
      </c>
      <c r="Y400" s="30">
        <v>40898.7405</v>
      </c>
      <c r="Z400" s="30">
        <v>42163.65</v>
      </c>
      <c r="AA400" s="30">
        <v>-42163.65</v>
      </c>
      <c r="AB400" s="30">
        <v>0</v>
      </c>
      <c r="AC400" s="30" t="s">
        <v>459</v>
      </c>
      <c r="AD400" s="30"/>
      <c r="AE400" s="30">
        <v>0</v>
      </c>
    </row>
    <row r="401" spans="1:31" x14ac:dyDescent="0.25">
      <c r="A401">
        <v>6132</v>
      </c>
      <c r="B401" t="s">
        <v>160</v>
      </c>
      <c r="C401" t="s">
        <v>161</v>
      </c>
      <c r="D401" s="33">
        <v>111065.60000000001</v>
      </c>
      <c r="E401">
        <v>1246114703</v>
      </c>
      <c r="F401" s="222">
        <v>45463</v>
      </c>
      <c r="G401" s="222"/>
      <c r="H401" t="s">
        <v>156</v>
      </c>
      <c r="I401" t="s">
        <v>157</v>
      </c>
      <c r="J401">
        <v>1937</v>
      </c>
      <c r="K401" s="222">
        <v>45241</v>
      </c>
      <c r="L401">
        <v>1010100</v>
      </c>
      <c r="M401" t="s">
        <v>29</v>
      </c>
      <c r="N401">
        <v>710</v>
      </c>
      <c r="O401" s="30">
        <v>0</v>
      </c>
      <c r="P401" s="30">
        <v>0</v>
      </c>
      <c r="Q401" s="30">
        <v>0</v>
      </c>
      <c r="R401" s="30">
        <v>0</v>
      </c>
      <c r="S401" s="30">
        <v>0</v>
      </c>
      <c r="T401" s="30">
        <v>0</v>
      </c>
      <c r="U401" s="30">
        <v>111065.60000000001</v>
      </c>
      <c r="V401" s="30">
        <v>0</v>
      </c>
      <c r="W401" s="30">
        <v>3331.9679999999998</v>
      </c>
      <c r="X401" s="30">
        <v>107733.632</v>
      </c>
      <c r="Y401" s="30">
        <v>107733.632</v>
      </c>
      <c r="Z401" s="30">
        <v>111065.60000000001</v>
      </c>
      <c r="AA401" s="30">
        <v>-111065.60000000001</v>
      </c>
      <c r="AB401" s="30">
        <v>0</v>
      </c>
      <c r="AC401" s="30" t="s">
        <v>459</v>
      </c>
      <c r="AD401" s="30"/>
      <c r="AE401" s="30">
        <v>0</v>
      </c>
    </row>
    <row r="402" spans="1:31" x14ac:dyDescent="0.25">
      <c r="A402">
        <v>6132</v>
      </c>
      <c r="B402" t="s">
        <v>160</v>
      </c>
      <c r="C402" t="s">
        <v>161</v>
      </c>
      <c r="D402" s="33">
        <v>27201.1</v>
      </c>
      <c r="E402">
        <v>1246125717</v>
      </c>
      <c r="F402" s="222">
        <v>45566</v>
      </c>
      <c r="G402" s="222"/>
      <c r="H402" t="s">
        <v>156</v>
      </c>
      <c r="I402" t="s">
        <v>157</v>
      </c>
      <c r="J402">
        <v>2542</v>
      </c>
      <c r="K402" s="222">
        <v>45310</v>
      </c>
      <c r="L402">
        <v>1010100</v>
      </c>
      <c r="M402" t="s">
        <v>29</v>
      </c>
      <c r="N402">
        <v>607</v>
      </c>
      <c r="O402" s="30">
        <v>0</v>
      </c>
      <c r="P402" s="30">
        <v>0</v>
      </c>
      <c r="Q402" s="30">
        <v>0</v>
      </c>
      <c r="R402" s="30">
        <v>0</v>
      </c>
      <c r="S402" s="30">
        <v>0</v>
      </c>
      <c r="T402" s="30">
        <v>0</v>
      </c>
      <c r="U402" s="30">
        <v>27201.1</v>
      </c>
      <c r="V402" s="30">
        <v>0</v>
      </c>
      <c r="W402" s="30">
        <v>816.0329999999999</v>
      </c>
      <c r="X402" s="30">
        <v>26385.066999999999</v>
      </c>
      <c r="Y402" s="30">
        <v>26385.066999999999</v>
      </c>
      <c r="Z402" s="30">
        <v>27201.1</v>
      </c>
      <c r="AA402" s="30">
        <v>-27201.1</v>
      </c>
      <c r="AB402" s="30">
        <v>0</v>
      </c>
      <c r="AC402" s="30" t="s">
        <v>459</v>
      </c>
      <c r="AD402" s="30"/>
      <c r="AE402" s="30">
        <v>0</v>
      </c>
    </row>
    <row r="403" spans="1:31" x14ac:dyDescent="0.25">
      <c r="A403">
        <v>6132</v>
      </c>
      <c r="B403" t="s">
        <v>160</v>
      </c>
      <c r="C403" t="s">
        <v>161</v>
      </c>
      <c r="D403" s="33">
        <v>136005.5</v>
      </c>
      <c r="E403">
        <v>1246124718</v>
      </c>
      <c r="F403" s="222">
        <v>45563</v>
      </c>
      <c r="G403" s="222"/>
      <c r="H403" t="s">
        <v>156</v>
      </c>
      <c r="I403" t="s">
        <v>157</v>
      </c>
      <c r="J403">
        <v>2489</v>
      </c>
      <c r="K403" s="222">
        <v>45303</v>
      </c>
      <c r="L403">
        <v>1010100</v>
      </c>
      <c r="M403" t="s">
        <v>29</v>
      </c>
      <c r="N403">
        <v>610</v>
      </c>
      <c r="O403" s="30">
        <v>0</v>
      </c>
      <c r="P403" s="30">
        <v>0</v>
      </c>
      <c r="Q403" s="30">
        <v>0</v>
      </c>
      <c r="R403" s="30">
        <v>0</v>
      </c>
      <c r="S403" s="30">
        <v>0</v>
      </c>
      <c r="T403" s="30">
        <v>0</v>
      </c>
      <c r="U403" s="30">
        <v>136005.5</v>
      </c>
      <c r="V403" s="30">
        <v>0</v>
      </c>
      <c r="W403" s="30">
        <v>4080.165</v>
      </c>
      <c r="X403" s="30">
        <v>131925.33499999999</v>
      </c>
      <c r="Y403" s="30">
        <v>131925.33499999999</v>
      </c>
      <c r="Z403" s="30">
        <v>136005.5</v>
      </c>
      <c r="AA403" s="30">
        <v>-136005.5</v>
      </c>
      <c r="AB403" s="30">
        <v>0</v>
      </c>
      <c r="AC403" s="30" t="s">
        <v>459</v>
      </c>
      <c r="AD403" s="30"/>
      <c r="AE403" s="30">
        <v>0</v>
      </c>
    </row>
    <row r="404" spans="1:31" x14ac:dyDescent="0.25">
      <c r="A404">
        <v>6132</v>
      </c>
      <c r="B404" t="s">
        <v>160</v>
      </c>
      <c r="C404" t="s">
        <v>161</v>
      </c>
      <c r="D404" s="33">
        <v>45093</v>
      </c>
      <c r="E404">
        <v>1246128683</v>
      </c>
      <c r="F404" s="222">
        <v>45604</v>
      </c>
      <c r="G404" s="222"/>
      <c r="H404" t="s">
        <v>156</v>
      </c>
      <c r="I404" t="s">
        <v>157</v>
      </c>
      <c r="J404">
        <v>2738</v>
      </c>
      <c r="K404" s="222">
        <v>45329</v>
      </c>
      <c r="L404">
        <v>1010100</v>
      </c>
      <c r="M404" t="s">
        <v>29</v>
      </c>
      <c r="N404">
        <v>569</v>
      </c>
      <c r="O404" s="30">
        <v>0</v>
      </c>
      <c r="P404" s="30">
        <v>0</v>
      </c>
      <c r="Q404" s="30">
        <v>0</v>
      </c>
      <c r="R404" s="30">
        <v>0</v>
      </c>
      <c r="S404" s="30">
        <v>0</v>
      </c>
      <c r="T404" s="30">
        <v>0</v>
      </c>
      <c r="U404" s="30">
        <v>45093</v>
      </c>
      <c r="V404" s="30">
        <v>0</v>
      </c>
      <c r="W404" s="30">
        <v>1352.79</v>
      </c>
      <c r="X404" s="30">
        <v>43740.21</v>
      </c>
      <c r="Y404" s="30">
        <v>43740.21</v>
      </c>
      <c r="Z404" s="30">
        <v>45093</v>
      </c>
      <c r="AA404" s="30">
        <v>-45093</v>
      </c>
      <c r="AB404" s="30">
        <v>0</v>
      </c>
      <c r="AC404" s="30" t="s">
        <v>459</v>
      </c>
      <c r="AD404" s="30"/>
      <c r="AE404" s="30">
        <v>0</v>
      </c>
    </row>
    <row r="405" spans="1:31" x14ac:dyDescent="0.25">
      <c r="A405">
        <v>6132</v>
      </c>
      <c r="B405" t="s">
        <v>160</v>
      </c>
      <c r="C405" t="s">
        <v>161</v>
      </c>
      <c r="D405" s="33">
        <v>82986.649999999994</v>
      </c>
      <c r="E405">
        <v>1246113430</v>
      </c>
      <c r="F405" s="222">
        <v>45476</v>
      </c>
      <c r="G405" s="222"/>
      <c r="H405" t="s">
        <v>156</v>
      </c>
      <c r="I405" t="s">
        <v>157</v>
      </c>
      <c r="J405">
        <v>1851</v>
      </c>
      <c r="K405" s="222">
        <v>45236</v>
      </c>
      <c r="L405">
        <v>1010100</v>
      </c>
      <c r="M405" t="s">
        <v>29</v>
      </c>
      <c r="N405">
        <v>697</v>
      </c>
      <c r="O405" s="30">
        <v>0</v>
      </c>
      <c r="P405" s="30">
        <v>0</v>
      </c>
      <c r="Q405" s="30">
        <v>0</v>
      </c>
      <c r="R405" s="30">
        <v>0</v>
      </c>
      <c r="S405" s="30">
        <v>0</v>
      </c>
      <c r="T405" s="30">
        <v>0</v>
      </c>
      <c r="U405" s="30">
        <v>82986.649999999994</v>
      </c>
      <c r="V405" s="30">
        <v>0</v>
      </c>
      <c r="W405" s="30">
        <v>2489.5994999999998</v>
      </c>
      <c r="X405" s="30">
        <v>80497.050499999998</v>
      </c>
      <c r="Y405" s="30">
        <v>80497.050499999998</v>
      </c>
      <c r="Z405" s="30">
        <v>82986.649999999994</v>
      </c>
      <c r="AA405" s="30">
        <v>-82986.649999999994</v>
      </c>
      <c r="AB405" s="30">
        <v>0</v>
      </c>
      <c r="AC405" s="30" t="s">
        <v>459</v>
      </c>
      <c r="AD405" s="30"/>
      <c r="AE405" s="30">
        <v>0</v>
      </c>
    </row>
    <row r="406" spans="1:31" x14ac:dyDescent="0.25">
      <c r="A406">
        <v>6132</v>
      </c>
      <c r="B406" t="s">
        <v>160</v>
      </c>
      <c r="C406" t="s">
        <v>161</v>
      </c>
      <c r="D406" s="33">
        <v>174445</v>
      </c>
      <c r="E406">
        <v>1246116577</v>
      </c>
      <c r="F406" s="222">
        <v>45468</v>
      </c>
      <c r="G406" s="222"/>
      <c r="H406" t="s">
        <v>156</v>
      </c>
      <c r="I406" t="s">
        <v>157</v>
      </c>
      <c r="J406">
        <v>2091</v>
      </c>
      <c r="K406" s="222">
        <v>45254</v>
      </c>
      <c r="L406">
        <v>1010100</v>
      </c>
      <c r="M406" t="s">
        <v>29</v>
      </c>
      <c r="N406">
        <v>705</v>
      </c>
      <c r="O406" s="30">
        <v>0</v>
      </c>
      <c r="P406" s="30">
        <v>0</v>
      </c>
      <c r="Q406" s="30">
        <v>0</v>
      </c>
      <c r="R406" s="30">
        <v>0</v>
      </c>
      <c r="S406" s="30">
        <v>0</v>
      </c>
      <c r="T406" s="30">
        <v>0</v>
      </c>
      <c r="U406" s="30">
        <v>174445</v>
      </c>
      <c r="V406" s="30">
        <v>0</v>
      </c>
      <c r="W406" s="30">
        <v>5233.3499999999995</v>
      </c>
      <c r="X406" s="30">
        <v>169211.65</v>
      </c>
      <c r="Y406" s="30">
        <v>169211.65</v>
      </c>
      <c r="Z406" s="30">
        <v>174445</v>
      </c>
      <c r="AA406" s="30">
        <v>-174445</v>
      </c>
      <c r="AB406" s="30">
        <v>0</v>
      </c>
      <c r="AC406" s="30" t="s">
        <v>459</v>
      </c>
      <c r="AD406" s="30"/>
      <c r="AE406" s="30">
        <v>0</v>
      </c>
    </row>
    <row r="407" spans="1:31" x14ac:dyDescent="0.25">
      <c r="A407">
        <v>6132</v>
      </c>
      <c r="B407" t="s">
        <v>160</v>
      </c>
      <c r="C407" t="s">
        <v>161</v>
      </c>
      <c r="D407" s="33">
        <v>158956.25</v>
      </c>
      <c r="E407">
        <v>1246104181</v>
      </c>
      <c r="F407" s="222">
        <v>45444</v>
      </c>
      <c r="G407" s="222"/>
      <c r="H407" t="s">
        <v>156</v>
      </c>
      <c r="I407" t="s">
        <v>157</v>
      </c>
      <c r="J407">
        <v>1180</v>
      </c>
      <c r="K407" s="222">
        <v>45184</v>
      </c>
      <c r="L407">
        <v>1010100</v>
      </c>
      <c r="M407" t="s">
        <v>29</v>
      </c>
      <c r="N407">
        <v>729</v>
      </c>
      <c r="O407" s="30">
        <v>0</v>
      </c>
      <c r="P407" s="30">
        <v>0</v>
      </c>
      <c r="Q407" s="30">
        <v>0</v>
      </c>
      <c r="R407" s="30">
        <v>0</v>
      </c>
      <c r="S407" s="30">
        <v>0</v>
      </c>
      <c r="T407" s="30">
        <v>0</v>
      </c>
      <c r="U407" s="30">
        <v>158956.25</v>
      </c>
      <c r="V407" s="30">
        <v>0</v>
      </c>
      <c r="W407" s="30">
        <v>4768.6875</v>
      </c>
      <c r="X407" s="30">
        <v>154187.5625</v>
      </c>
      <c r="Y407" s="30">
        <v>154187.5625</v>
      </c>
      <c r="Z407" s="30">
        <v>158956.25</v>
      </c>
      <c r="AA407" s="30">
        <v>-158956.25</v>
      </c>
      <c r="AB407" s="30">
        <v>0</v>
      </c>
      <c r="AC407" s="30" t="s">
        <v>459</v>
      </c>
      <c r="AD407" s="30"/>
      <c r="AE407" s="30">
        <v>0</v>
      </c>
    </row>
    <row r="408" spans="1:31" x14ac:dyDescent="0.25">
      <c r="A408">
        <v>6132</v>
      </c>
      <c r="B408" t="s">
        <v>160</v>
      </c>
      <c r="C408" t="s">
        <v>161</v>
      </c>
      <c r="D408" s="33">
        <v>171662.49999999997</v>
      </c>
      <c r="E408">
        <v>1246112815</v>
      </c>
      <c r="F408" s="222">
        <v>45471</v>
      </c>
      <c r="G408" s="222"/>
      <c r="H408" t="s">
        <v>156</v>
      </c>
      <c r="I408" t="s">
        <v>157</v>
      </c>
      <c r="J408">
        <v>1799</v>
      </c>
      <c r="K408" s="222">
        <v>45231</v>
      </c>
      <c r="L408">
        <v>1010100</v>
      </c>
      <c r="M408" t="s">
        <v>29</v>
      </c>
      <c r="N408">
        <v>702</v>
      </c>
      <c r="O408" s="30">
        <v>0</v>
      </c>
      <c r="P408" s="30">
        <v>0</v>
      </c>
      <c r="Q408" s="30">
        <v>0</v>
      </c>
      <c r="R408" s="30">
        <v>0</v>
      </c>
      <c r="S408" s="30">
        <v>0</v>
      </c>
      <c r="T408" s="30">
        <v>0</v>
      </c>
      <c r="U408" s="30">
        <v>171662.49999999997</v>
      </c>
      <c r="V408" s="30">
        <v>0</v>
      </c>
      <c r="W408" s="30">
        <v>5149.8749999999991</v>
      </c>
      <c r="X408" s="30">
        <v>166512.62499999997</v>
      </c>
      <c r="Y408" s="30">
        <v>166512.62499999997</v>
      </c>
      <c r="Z408" s="30">
        <v>171662.49999999997</v>
      </c>
      <c r="AA408" s="30">
        <v>-171662.49999999997</v>
      </c>
      <c r="AB408" s="30">
        <v>0</v>
      </c>
      <c r="AC408" s="30" t="s">
        <v>459</v>
      </c>
      <c r="AD408" s="30"/>
      <c r="AE408" s="30">
        <v>0</v>
      </c>
    </row>
    <row r="409" spans="1:31" x14ac:dyDescent="0.25">
      <c r="A409">
        <v>6132</v>
      </c>
      <c r="B409" t="s">
        <v>160</v>
      </c>
      <c r="C409" t="s">
        <v>161</v>
      </c>
      <c r="D409" s="33">
        <v>174610</v>
      </c>
      <c r="E409">
        <v>1246113736</v>
      </c>
      <c r="F409" s="222">
        <v>45478</v>
      </c>
      <c r="G409" s="222"/>
      <c r="H409" t="s">
        <v>156</v>
      </c>
      <c r="I409" t="s">
        <v>157</v>
      </c>
      <c r="J409">
        <v>1878</v>
      </c>
      <c r="K409" s="222">
        <v>45238</v>
      </c>
      <c r="L409">
        <v>1010100</v>
      </c>
      <c r="M409" t="s">
        <v>29</v>
      </c>
      <c r="N409">
        <v>695</v>
      </c>
      <c r="O409" s="30">
        <v>0</v>
      </c>
      <c r="P409" s="30">
        <v>0</v>
      </c>
      <c r="Q409" s="30">
        <v>0</v>
      </c>
      <c r="R409" s="30">
        <v>0</v>
      </c>
      <c r="S409" s="30">
        <v>0</v>
      </c>
      <c r="T409" s="30">
        <v>0</v>
      </c>
      <c r="U409" s="30">
        <v>174610</v>
      </c>
      <c r="V409" s="30">
        <v>0</v>
      </c>
      <c r="W409" s="30">
        <v>5238.3</v>
      </c>
      <c r="X409" s="30">
        <v>169371.69999999998</v>
      </c>
      <c r="Y409" s="30">
        <v>169371.69999999998</v>
      </c>
      <c r="Z409" s="30">
        <v>174610</v>
      </c>
      <c r="AA409" s="30">
        <v>-174610</v>
      </c>
      <c r="AB409" s="30">
        <v>0</v>
      </c>
      <c r="AC409" s="30" t="s">
        <v>459</v>
      </c>
      <c r="AD409" s="30"/>
      <c r="AE409" s="30">
        <v>0</v>
      </c>
    </row>
    <row r="410" spans="1:31" x14ac:dyDescent="0.25">
      <c r="A410">
        <v>6132</v>
      </c>
      <c r="B410" t="s">
        <v>160</v>
      </c>
      <c r="C410" t="s">
        <v>161</v>
      </c>
      <c r="D410" s="33">
        <v>87840</v>
      </c>
      <c r="E410">
        <v>1246111212</v>
      </c>
      <c r="F410" s="222">
        <v>45464</v>
      </c>
      <c r="G410" s="222"/>
      <c r="H410" t="s">
        <v>156</v>
      </c>
      <c r="I410" t="s">
        <v>157</v>
      </c>
      <c r="J410">
        <v>1720</v>
      </c>
      <c r="K410" s="222">
        <v>45224</v>
      </c>
      <c r="L410">
        <v>1010100</v>
      </c>
      <c r="M410" t="s">
        <v>29</v>
      </c>
      <c r="N410">
        <v>709</v>
      </c>
      <c r="O410" s="30">
        <v>0</v>
      </c>
      <c r="P410" s="30">
        <v>0</v>
      </c>
      <c r="Q410" s="30">
        <v>0</v>
      </c>
      <c r="R410" s="30">
        <v>0</v>
      </c>
      <c r="S410" s="30">
        <v>0</v>
      </c>
      <c r="T410" s="30">
        <v>0</v>
      </c>
      <c r="U410" s="30">
        <v>87840</v>
      </c>
      <c r="V410" s="30">
        <v>0</v>
      </c>
      <c r="W410" s="30">
        <v>2635.2</v>
      </c>
      <c r="X410" s="30">
        <v>85204.800000000003</v>
      </c>
      <c r="Y410" s="30">
        <v>85204.800000000003</v>
      </c>
      <c r="Z410" s="30">
        <v>87840</v>
      </c>
      <c r="AA410" s="30">
        <v>-87840</v>
      </c>
      <c r="AB410" s="30">
        <v>0</v>
      </c>
      <c r="AC410" s="30" t="s">
        <v>459</v>
      </c>
      <c r="AD410" s="30"/>
      <c r="AE410" s="30">
        <v>0</v>
      </c>
    </row>
    <row r="411" spans="1:31" x14ac:dyDescent="0.25">
      <c r="A411">
        <v>6132</v>
      </c>
      <c r="B411" t="s">
        <v>160</v>
      </c>
      <c r="C411" t="s">
        <v>161</v>
      </c>
      <c r="D411" s="33">
        <v>23787.68</v>
      </c>
      <c r="E411">
        <v>1246115170</v>
      </c>
      <c r="F411" s="222">
        <v>45466</v>
      </c>
      <c r="G411" s="222"/>
      <c r="H411" t="s">
        <v>156</v>
      </c>
      <c r="I411" t="s">
        <v>157</v>
      </c>
      <c r="J411">
        <v>1975</v>
      </c>
      <c r="K411" s="222">
        <v>45244</v>
      </c>
      <c r="L411">
        <v>1010100</v>
      </c>
      <c r="M411" t="s">
        <v>29</v>
      </c>
      <c r="N411">
        <v>707</v>
      </c>
      <c r="O411" s="30">
        <v>0</v>
      </c>
      <c r="P411" s="30">
        <v>0</v>
      </c>
      <c r="Q411" s="30">
        <v>0</v>
      </c>
      <c r="R411" s="30">
        <v>0</v>
      </c>
      <c r="S411" s="30">
        <v>0</v>
      </c>
      <c r="T411" s="30">
        <v>0</v>
      </c>
      <c r="U411" s="30">
        <v>23787.68</v>
      </c>
      <c r="V411" s="30">
        <v>0</v>
      </c>
      <c r="W411" s="30">
        <v>713.63040000000001</v>
      </c>
      <c r="X411" s="30">
        <v>23074.049599999998</v>
      </c>
      <c r="Y411" s="30">
        <v>23074.049599999998</v>
      </c>
      <c r="Z411" s="30">
        <v>23787.68</v>
      </c>
      <c r="AA411" s="30">
        <v>-23787.68</v>
      </c>
      <c r="AB411" s="30">
        <v>0</v>
      </c>
      <c r="AC411" s="30" t="s">
        <v>459</v>
      </c>
      <c r="AD411" s="30"/>
      <c r="AE411" s="30">
        <v>0</v>
      </c>
    </row>
    <row r="412" spans="1:31" x14ac:dyDescent="0.25">
      <c r="A412">
        <v>6132</v>
      </c>
      <c r="B412" t="s">
        <v>160</v>
      </c>
      <c r="C412" t="s">
        <v>161</v>
      </c>
      <c r="D412" s="33">
        <v>30381.599999999999</v>
      </c>
      <c r="E412">
        <v>1246115171</v>
      </c>
      <c r="F412" s="222">
        <v>45466</v>
      </c>
      <c r="G412" s="222"/>
      <c r="H412" t="s">
        <v>156</v>
      </c>
      <c r="I412" t="s">
        <v>157</v>
      </c>
      <c r="J412">
        <v>1976</v>
      </c>
      <c r="K412" s="222">
        <v>45244</v>
      </c>
      <c r="L412">
        <v>1010100</v>
      </c>
      <c r="M412" t="s">
        <v>29</v>
      </c>
      <c r="N412">
        <v>707</v>
      </c>
      <c r="O412" s="30">
        <v>0</v>
      </c>
      <c r="P412" s="30">
        <v>0</v>
      </c>
      <c r="Q412" s="30">
        <v>0</v>
      </c>
      <c r="R412" s="30">
        <v>0</v>
      </c>
      <c r="S412" s="30">
        <v>0</v>
      </c>
      <c r="T412" s="30">
        <v>0</v>
      </c>
      <c r="U412" s="30">
        <v>30381.599999999999</v>
      </c>
      <c r="V412" s="30">
        <v>0</v>
      </c>
      <c r="W412" s="30">
        <v>911.44799999999998</v>
      </c>
      <c r="X412" s="30">
        <v>29470.151999999998</v>
      </c>
      <c r="Y412" s="30">
        <v>29470.151999999998</v>
      </c>
      <c r="Z412" s="30">
        <v>30381.599999999999</v>
      </c>
      <c r="AA412" s="30">
        <v>-30381.599999999999</v>
      </c>
      <c r="AB412" s="30">
        <v>0</v>
      </c>
      <c r="AC412" s="30" t="s">
        <v>459</v>
      </c>
      <c r="AD412" s="30"/>
      <c r="AE412" s="30">
        <v>0</v>
      </c>
    </row>
    <row r="413" spans="1:31" x14ac:dyDescent="0.25">
      <c r="A413">
        <v>6132</v>
      </c>
      <c r="B413" t="s">
        <v>160</v>
      </c>
      <c r="C413" t="s">
        <v>161</v>
      </c>
      <c r="D413" s="33">
        <v>107022</v>
      </c>
      <c r="E413">
        <v>1246110109</v>
      </c>
      <c r="F413" s="222">
        <v>45439</v>
      </c>
      <c r="G413" s="222"/>
      <c r="H413" t="s">
        <v>156</v>
      </c>
      <c r="I413" t="s">
        <v>157</v>
      </c>
      <c r="J413">
        <v>347</v>
      </c>
      <c r="K413" s="222">
        <v>45217</v>
      </c>
      <c r="L413">
        <v>1010100</v>
      </c>
      <c r="M413" t="s">
        <v>29</v>
      </c>
      <c r="N413">
        <v>734</v>
      </c>
      <c r="O413" s="30">
        <v>0</v>
      </c>
      <c r="P413" s="30">
        <v>0</v>
      </c>
      <c r="Q413" s="30">
        <v>0</v>
      </c>
      <c r="R413" s="30">
        <v>0</v>
      </c>
      <c r="S413" s="30">
        <v>0</v>
      </c>
      <c r="T413" s="30">
        <v>0</v>
      </c>
      <c r="U413" s="30">
        <v>107022</v>
      </c>
      <c r="V413" s="30">
        <v>0</v>
      </c>
      <c r="W413" s="30">
        <v>3210.66</v>
      </c>
      <c r="X413" s="30">
        <v>103811.34</v>
      </c>
      <c r="Y413" s="30">
        <v>103811.34</v>
      </c>
      <c r="Z413" s="30">
        <v>107022</v>
      </c>
      <c r="AA413" s="30">
        <v>-107022</v>
      </c>
      <c r="AB413" s="30">
        <v>0</v>
      </c>
      <c r="AC413" s="30" t="s">
        <v>459</v>
      </c>
      <c r="AD413" s="30"/>
      <c r="AE413" s="30">
        <v>0</v>
      </c>
    </row>
    <row r="414" spans="1:31" x14ac:dyDescent="0.25">
      <c r="A414">
        <v>6132</v>
      </c>
      <c r="B414" t="s">
        <v>160</v>
      </c>
      <c r="C414" t="s">
        <v>161</v>
      </c>
      <c r="D414" s="33">
        <v>83822.5</v>
      </c>
      <c r="E414">
        <v>1246111211</v>
      </c>
      <c r="F414" s="222">
        <v>45464</v>
      </c>
      <c r="G414" s="222"/>
      <c r="H414" t="s">
        <v>156</v>
      </c>
      <c r="I414" t="s">
        <v>157</v>
      </c>
      <c r="J414">
        <v>1719</v>
      </c>
      <c r="K414" s="222">
        <v>45224</v>
      </c>
      <c r="L414">
        <v>1010100</v>
      </c>
      <c r="M414" t="s">
        <v>29</v>
      </c>
      <c r="N414">
        <v>709</v>
      </c>
      <c r="O414" s="30">
        <v>0</v>
      </c>
      <c r="P414" s="30">
        <v>0</v>
      </c>
      <c r="Q414" s="30">
        <v>0</v>
      </c>
      <c r="R414" s="30">
        <v>0</v>
      </c>
      <c r="S414" s="30">
        <v>0</v>
      </c>
      <c r="T414" s="30">
        <v>0</v>
      </c>
      <c r="U414" s="30">
        <v>83822.5</v>
      </c>
      <c r="V414" s="30">
        <v>0</v>
      </c>
      <c r="W414" s="30">
        <v>2514.6749999999997</v>
      </c>
      <c r="X414" s="30">
        <v>81307.824999999997</v>
      </c>
      <c r="Y414" s="30">
        <v>81307.824999999997</v>
      </c>
      <c r="Z414" s="30">
        <v>83822.5</v>
      </c>
      <c r="AA414" s="30">
        <v>-83822.5</v>
      </c>
      <c r="AB414" s="30">
        <v>0</v>
      </c>
      <c r="AC414" s="30" t="s">
        <v>459</v>
      </c>
      <c r="AD414" s="30"/>
      <c r="AE414" s="30">
        <v>0</v>
      </c>
    </row>
    <row r="415" spans="1:31" x14ac:dyDescent="0.25">
      <c r="A415">
        <v>6132</v>
      </c>
      <c r="B415" t="s">
        <v>160</v>
      </c>
      <c r="C415" t="s">
        <v>161</v>
      </c>
      <c r="D415" s="33">
        <v>169458.49999999997</v>
      </c>
      <c r="E415">
        <v>1246110264</v>
      </c>
      <c r="F415" s="222">
        <v>45440</v>
      </c>
      <c r="G415" s="222"/>
      <c r="H415" t="s">
        <v>156</v>
      </c>
      <c r="I415" t="s">
        <v>157</v>
      </c>
      <c r="J415">
        <v>1662</v>
      </c>
      <c r="K415" s="222">
        <v>45218</v>
      </c>
      <c r="L415">
        <v>1010100</v>
      </c>
      <c r="M415" t="s">
        <v>29</v>
      </c>
      <c r="N415">
        <v>733</v>
      </c>
      <c r="O415" s="30">
        <v>0</v>
      </c>
      <c r="P415" s="30">
        <v>0</v>
      </c>
      <c r="Q415" s="30">
        <v>0</v>
      </c>
      <c r="R415" s="30">
        <v>0</v>
      </c>
      <c r="S415" s="30">
        <v>0</v>
      </c>
      <c r="T415" s="30">
        <v>0</v>
      </c>
      <c r="U415" s="30">
        <v>169458.49999999997</v>
      </c>
      <c r="V415" s="30">
        <v>0</v>
      </c>
      <c r="W415" s="30">
        <v>5083.7549999999992</v>
      </c>
      <c r="X415" s="30">
        <v>164374.74499999997</v>
      </c>
      <c r="Y415" s="30">
        <v>164374.74499999997</v>
      </c>
      <c r="Z415" s="30">
        <v>169458.49999999997</v>
      </c>
      <c r="AA415" s="30">
        <v>-169458.49999999997</v>
      </c>
      <c r="AB415" s="30">
        <v>0</v>
      </c>
      <c r="AC415" s="30" t="s">
        <v>459</v>
      </c>
      <c r="AD415" s="30"/>
      <c r="AE415" s="30">
        <v>0</v>
      </c>
    </row>
    <row r="416" spans="1:31" x14ac:dyDescent="0.25">
      <c r="A416">
        <v>6132</v>
      </c>
      <c r="B416" t="s">
        <v>160</v>
      </c>
      <c r="C416" t="s">
        <v>161</v>
      </c>
      <c r="D416" s="33">
        <v>135934</v>
      </c>
      <c r="E416">
        <v>1246131961</v>
      </c>
      <c r="F416" s="222">
        <v>45566</v>
      </c>
      <c r="G416" s="222"/>
      <c r="H416" t="s">
        <v>156</v>
      </c>
      <c r="I416" t="s">
        <v>157</v>
      </c>
      <c r="J416">
        <v>2969</v>
      </c>
      <c r="K416" s="222">
        <v>45352</v>
      </c>
      <c r="L416">
        <v>1010100</v>
      </c>
      <c r="M416" t="s">
        <v>29</v>
      </c>
      <c r="N416">
        <v>607</v>
      </c>
      <c r="O416" s="30">
        <v>0</v>
      </c>
      <c r="P416" s="30">
        <v>0</v>
      </c>
      <c r="Q416" s="30">
        <v>0</v>
      </c>
      <c r="R416" s="30">
        <v>0</v>
      </c>
      <c r="S416" s="30">
        <v>0</v>
      </c>
      <c r="T416" s="30">
        <v>0</v>
      </c>
      <c r="U416" s="30">
        <v>135934</v>
      </c>
      <c r="V416" s="30">
        <v>0</v>
      </c>
      <c r="W416" s="30">
        <v>4078.02</v>
      </c>
      <c r="X416" s="30">
        <v>131855.98000000001</v>
      </c>
      <c r="Y416" s="30">
        <v>131855.98000000001</v>
      </c>
      <c r="Z416" s="30">
        <v>135934</v>
      </c>
      <c r="AA416" s="30">
        <v>-135934</v>
      </c>
      <c r="AB416" s="30">
        <v>0</v>
      </c>
      <c r="AC416" s="30" t="s">
        <v>459</v>
      </c>
      <c r="AD416" s="30"/>
      <c r="AE416" s="30">
        <v>0</v>
      </c>
    </row>
    <row r="417" spans="1:31" x14ac:dyDescent="0.25">
      <c r="A417">
        <v>6132</v>
      </c>
      <c r="B417" t="s">
        <v>160</v>
      </c>
      <c r="C417" t="s">
        <v>161</v>
      </c>
      <c r="D417" s="33">
        <v>108747.2</v>
      </c>
      <c r="E417">
        <v>1246132951</v>
      </c>
      <c r="F417" s="222">
        <v>45572</v>
      </c>
      <c r="G417" s="222"/>
      <c r="H417" t="s">
        <v>156</v>
      </c>
      <c r="I417" t="s">
        <v>157</v>
      </c>
      <c r="J417">
        <v>3007</v>
      </c>
      <c r="K417" s="222">
        <v>45358</v>
      </c>
      <c r="L417">
        <v>1010100</v>
      </c>
      <c r="M417" t="s">
        <v>29</v>
      </c>
      <c r="N417">
        <v>601</v>
      </c>
      <c r="O417" s="30">
        <v>0</v>
      </c>
      <c r="P417" s="30">
        <v>0</v>
      </c>
      <c r="Q417" s="30">
        <v>0</v>
      </c>
      <c r="R417" s="30">
        <v>0</v>
      </c>
      <c r="S417" s="30">
        <v>0</v>
      </c>
      <c r="T417" s="30">
        <v>0</v>
      </c>
      <c r="U417" s="30">
        <v>108747.2</v>
      </c>
      <c r="V417" s="30">
        <v>0</v>
      </c>
      <c r="W417" s="30">
        <v>3262.4159999999997</v>
      </c>
      <c r="X417" s="30">
        <v>105484.784</v>
      </c>
      <c r="Y417" s="30">
        <v>105484.784</v>
      </c>
      <c r="Z417" s="30">
        <v>108747.2</v>
      </c>
      <c r="AA417" s="30">
        <v>-108747.2</v>
      </c>
      <c r="AB417" s="30">
        <v>0</v>
      </c>
      <c r="AC417" s="30" t="s">
        <v>459</v>
      </c>
      <c r="AD417" s="30"/>
      <c r="AE417" s="30">
        <v>0</v>
      </c>
    </row>
    <row r="418" spans="1:31" x14ac:dyDescent="0.25">
      <c r="A418">
        <v>6132</v>
      </c>
      <c r="B418" t="s">
        <v>160</v>
      </c>
      <c r="C418" t="s">
        <v>161</v>
      </c>
      <c r="D418" s="33">
        <v>86997.759999999995</v>
      </c>
      <c r="E418">
        <v>1246131102</v>
      </c>
      <c r="F418" s="222">
        <v>45570</v>
      </c>
      <c r="G418" s="222"/>
      <c r="H418" t="s">
        <v>156</v>
      </c>
      <c r="I418" t="s">
        <v>157</v>
      </c>
      <c r="J418">
        <v>2917</v>
      </c>
      <c r="K418" s="222">
        <v>45348</v>
      </c>
      <c r="L418">
        <v>1010100</v>
      </c>
      <c r="M418" t="s">
        <v>29</v>
      </c>
      <c r="N418">
        <v>603</v>
      </c>
      <c r="O418" s="30">
        <v>0</v>
      </c>
      <c r="P418" s="30">
        <v>0</v>
      </c>
      <c r="Q418" s="30">
        <v>0</v>
      </c>
      <c r="R418" s="30">
        <v>0</v>
      </c>
      <c r="S418" s="30">
        <v>0</v>
      </c>
      <c r="T418" s="30">
        <v>0</v>
      </c>
      <c r="U418" s="30">
        <v>86997.759999999995</v>
      </c>
      <c r="V418" s="30">
        <v>0</v>
      </c>
      <c r="W418" s="30">
        <v>2609.9327999999996</v>
      </c>
      <c r="X418" s="30">
        <v>84387.8272</v>
      </c>
      <c r="Y418" s="30">
        <v>84387.8272</v>
      </c>
      <c r="Z418" s="30">
        <v>86997.759999999995</v>
      </c>
      <c r="AA418" s="30">
        <v>-86997.759999999995</v>
      </c>
      <c r="AB418" s="30">
        <v>0</v>
      </c>
      <c r="AC418" s="30" t="s">
        <v>459</v>
      </c>
      <c r="AD418" s="30"/>
      <c r="AE418" s="30">
        <v>0</v>
      </c>
    </row>
    <row r="419" spans="1:31" x14ac:dyDescent="0.25">
      <c r="A419">
        <v>6132</v>
      </c>
      <c r="B419" t="s">
        <v>160</v>
      </c>
      <c r="C419" t="s">
        <v>161</v>
      </c>
      <c r="D419" s="33">
        <v>29450.6</v>
      </c>
      <c r="E419">
        <v>1246146931</v>
      </c>
      <c r="F419" s="222">
        <v>45584</v>
      </c>
      <c r="G419" s="222"/>
      <c r="H419" t="s">
        <v>156</v>
      </c>
      <c r="I419" t="s">
        <v>157</v>
      </c>
      <c r="J419">
        <v>3632</v>
      </c>
      <c r="K419" s="222">
        <v>45434</v>
      </c>
      <c r="L419">
        <v>1010100</v>
      </c>
      <c r="M419" t="s">
        <v>29</v>
      </c>
      <c r="N419">
        <v>589</v>
      </c>
      <c r="O419" s="30">
        <v>0</v>
      </c>
      <c r="P419" s="30">
        <v>0</v>
      </c>
      <c r="Q419" s="30">
        <v>0</v>
      </c>
      <c r="R419" s="30">
        <v>0</v>
      </c>
      <c r="S419" s="30">
        <v>0</v>
      </c>
      <c r="T419" s="30">
        <v>0</v>
      </c>
      <c r="U419" s="30">
        <v>29450.6</v>
      </c>
      <c r="V419" s="30">
        <v>0</v>
      </c>
      <c r="W419" s="30">
        <v>883.51799999999992</v>
      </c>
      <c r="X419" s="30">
        <v>28567.081999999999</v>
      </c>
      <c r="Y419" s="30">
        <v>28567.081999999999</v>
      </c>
      <c r="Z419" s="30">
        <v>29450.6</v>
      </c>
      <c r="AA419" s="30">
        <v>-29450.6</v>
      </c>
      <c r="AB419" s="30">
        <v>0</v>
      </c>
      <c r="AC419" s="30" t="s">
        <v>459</v>
      </c>
      <c r="AD419" s="30"/>
      <c r="AE419" s="30">
        <v>0</v>
      </c>
    </row>
    <row r="420" spans="1:31" x14ac:dyDescent="0.25">
      <c r="A420">
        <v>6132</v>
      </c>
      <c r="B420" t="s">
        <v>160</v>
      </c>
      <c r="C420" t="s">
        <v>161</v>
      </c>
      <c r="D420" s="33">
        <v>38061.519999999997</v>
      </c>
      <c r="E420">
        <v>1246146932</v>
      </c>
      <c r="F420" s="222">
        <v>45569</v>
      </c>
      <c r="G420" s="222"/>
      <c r="H420" t="s">
        <v>156</v>
      </c>
      <c r="I420" t="s">
        <v>157</v>
      </c>
      <c r="J420">
        <v>3633</v>
      </c>
      <c r="K420" s="222">
        <v>45434</v>
      </c>
      <c r="L420">
        <v>1010100</v>
      </c>
      <c r="M420" t="s">
        <v>29</v>
      </c>
      <c r="N420">
        <v>604</v>
      </c>
      <c r="O420" s="30">
        <v>0</v>
      </c>
      <c r="P420" s="30">
        <v>0</v>
      </c>
      <c r="Q420" s="30">
        <v>0</v>
      </c>
      <c r="R420" s="30">
        <v>0</v>
      </c>
      <c r="S420" s="30">
        <v>0</v>
      </c>
      <c r="T420" s="30">
        <v>0</v>
      </c>
      <c r="U420" s="30">
        <v>38061.519999999997</v>
      </c>
      <c r="V420" s="30">
        <v>0</v>
      </c>
      <c r="W420" s="30">
        <v>1141.8455999999999</v>
      </c>
      <c r="X420" s="30">
        <v>36919.674399999996</v>
      </c>
      <c r="Y420" s="30">
        <v>36919.674399999996</v>
      </c>
      <c r="Z420" s="30">
        <v>38061.519999999997</v>
      </c>
      <c r="AA420" s="30">
        <v>-38061.519999999997</v>
      </c>
      <c r="AB420" s="30">
        <v>0</v>
      </c>
      <c r="AC420" s="30" t="s">
        <v>459</v>
      </c>
      <c r="AD420" s="30"/>
      <c r="AE420" s="30">
        <v>0</v>
      </c>
    </row>
    <row r="421" spans="1:31" x14ac:dyDescent="0.25">
      <c r="A421">
        <v>6132</v>
      </c>
      <c r="B421" t="s">
        <v>160</v>
      </c>
      <c r="C421" t="s">
        <v>161</v>
      </c>
      <c r="D421" s="33">
        <v>8760</v>
      </c>
      <c r="E421">
        <v>1246146933</v>
      </c>
      <c r="F421" s="222">
        <v>45462</v>
      </c>
      <c r="G421" s="222"/>
      <c r="H421" t="s">
        <v>156</v>
      </c>
      <c r="I421" t="s">
        <v>157</v>
      </c>
      <c r="J421">
        <v>3634</v>
      </c>
      <c r="K421" s="222">
        <v>45434</v>
      </c>
      <c r="L421">
        <v>1010100</v>
      </c>
      <c r="M421" t="s">
        <v>29</v>
      </c>
      <c r="N421">
        <v>711</v>
      </c>
      <c r="O421" s="30">
        <v>0</v>
      </c>
      <c r="P421" s="30">
        <v>0</v>
      </c>
      <c r="Q421" s="30">
        <v>0</v>
      </c>
      <c r="R421" s="30">
        <v>0</v>
      </c>
      <c r="S421" s="30">
        <v>0</v>
      </c>
      <c r="T421" s="30">
        <v>0</v>
      </c>
      <c r="U421" s="30">
        <v>8760</v>
      </c>
      <c r="V421" s="30">
        <v>0</v>
      </c>
      <c r="W421" s="30">
        <v>262.8</v>
      </c>
      <c r="X421" s="30">
        <v>8497.1999999999989</v>
      </c>
      <c r="Y421" s="30">
        <v>8497.1999999999989</v>
      </c>
      <c r="Z421" s="30">
        <v>8760</v>
      </c>
      <c r="AA421" s="30">
        <v>-8760</v>
      </c>
      <c r="AB421" s="30">
        <v>0</v>
      </c>
      <c r="AC421" s="30" t="s">
        <v>459</v>
      </c>
      <c r="AD421" s="30"/>
      <c r="AE421" s="30">
        <v>0</v>
      </c>
    </row>
    <row r="422" spans="1:31" x14ac:dyDescent="0.25">
      <c r="A422">
        <v>6132</v>
      </c>
      <c r="B422" t="s">
        <v>160</v>
      </c>
      <c r="C422" t="s">
        <v>161</v>
      </c>
      <c r="D422" s="33">
        <v>14851.85</v>
      </c>
      <c r="E422">
        <v>1246132474</v>
      </c>
      <c r="F422" s="222">
        <v>45570</v>
      </c>
      <c r="G422" s="222"/>
      <c r="H422" t="s">
        <v>156</v>
      </c>
      <c r="I422" t="s">
        <v>157</v>
      </c>
      <c r="J422">
        <v>2989</v>
      </c>
      <c r="K422" s="222">
        <v>45356</v>
      </c>
      <c r="L422">
        <v>1010100</v>
      </c>
      <c r="M422" t="s">
        <v>29</v>
      </c>
      <c r="N422">
        <v>603</v>
      </c>
      <c r="O422" s="30">
        <v>0</v>
      </c>
      <c r="P422" s="30">
        <v>0</v>
      </c>
      <c r="Q422" s="30">
        <v>0</v>
      </c>
      <c r="R422" s="30">
        <v>0</v>
      </c>
      <c r="S422" s="30">
        <v>0</v>
      </c>
      <c r="T422" s="30">
        <v>0</v>
      </c>
      <c r="U422" s="30">
        <v>14851.85</v>
      </c>
      <c r="V422" s="30">
        <v>0</v>
      </c>
      <c r="W422" s="30">
        <v>445.55549999999999</v>
      </c>
      <c r="X422" s="30">
        <v>14406.2945</v>
      </c>
      <c r="Y422" s="30">
        <v>14406.2945</v>
      </c>
      <c r="Z422" s="30">
        <v>14851.85</v>
      </c>
      <c r="AA422" s="30">
        <v>-14851.85</v>
      </c>
      <c r="AB422" s="30">
        <v>0</v>
      </c>
      <c r="AC422" s="30" t="s">
        <v>459</v>
      </c>
      <c r="AD422" s="30"/>
      <c r="AE422" s="30">
        <v>0</v>
      </c>
    </row>
    <row r="423" spans="1:31" x14ac:dyDescent="0.25">
      <c r="A423">
        <v>6132</v>
      </c>
      <c r="B423" t="s">
        <v>160</v>
      </c>
      <c r="C423" t="s">
        <v>161</v>
      </c>
      <c r="D423" s="33">
        <v>99200.52</v>
      </c>
      <c r="E423">
        <v>1246147269</v>
      </c>
      <c r="F423" s="222">
        <v>45571</v>
      </c>
      <c r="G423" s="222"/>
      <c r="H423" t="s">
        <v>156</v>
      </c>
      <c r="I423" t="s">
        <v>157</v>
      </c>
      <c r="J423">
        <v>3665</v>
      </c>
      <c r="K423" s="222">
        <v>45436</v>
      </c>
      <c r="L423">
        <v>1010100</v>
      </c>
      <c r="M423" t="s">
        <v>29</v>
      </c>
      <c r="N423">
        <v>602</v>
      </c>
      <c r="O423" s="30">
        <v>0</v>
      </c>
      <c r="P423" s="30">
        <v>0</v>
      </c>
      <c r="Q423" s="30">
        <v>0</v>
      </c>
      <c r="R423" s="30">
        <v>0</v>
      </c>
      <c r="S423" s="30">
        <v>0</v>
      </c>
      <c r="T423" s="30">
        <v>0</v>
      </c>
      <c r="U423" s="30">
        <v>99200.52</v>
      </c>
      <c r="V423" s="30">
        <v>0</v>
      </c>
      <c r="W423" s="30">
        <v>2976.0156000000002</v>
      </c>
      <c r="X423" s="30">
        <v>96224.504400000005</v>
      </c>
      <c r="Y423" s="30">
        <v>96224.504400000005</v>
      </c>
      <c r="Z423" s="30">
        <v>99200.52</v>
      </c>
      <c r="AA423" s="30">
        <v>-99200.52</v>
      </c>
      <c r="AB423" s="30">
        <v>0</v>
      </c>
      <c r="AC423" s="30" t="s">
        <v>459</v>
      </c>
      <c r="AD423" s="30"/>
      <c r="AE423" s="30">
        <v>0</v>
      </c>
    </row>
    <row r="424" spans="1:31" x14ac:dyDescent="0.25">
      <c r="A424">
        <v>6132</v>
      </c>
      <c r="B424" t="s">
        <v>160</v>
      </c>
      <c r="C424" t="s">
        <v>161</v>
      </c>
      <c r="D424" s="33">
        <v>33509.519999999997</v>
      </c>
      <c r="E424">
        <v>1246148020</v>
      </c>
      <c r="F424" s="222">
        <v>45576</v>
      </c>
      <c r="G424" s="222"/>
      <c r="H424" t="s">
        <v>156</v>
      </c>
      <c r="I424" t="s">
        <v>157</v>
      </c>
      <c r="J424">
        <v>3714</v>
      </c>
      <c r="K424" s="222">
        <v>45441</v>
      </c>
      <c r="L424">
        <v>1010100</v>
      </c>
      <c r="M424" t="s">
        <v>29</v>
      </c>
      <c r="N424">
        <v>597</v>
      </c>
      <c r="O424" s="30">
        <v>0</v>
      </c>
      <c r="P424" s="30">
        <v>0</v>
      </c>
      <c r="Q424" s="30">
        <v>0</v>
      </c>
      <c r="R424" s="30">
        <v>0</v>
      </c>
      <c r="S424" s="30">
        <v>0</v>
      </c>
      <c r="T424" s="30">
        <v>0</v>
      </c>
      <c r="U424" s="30">
        <v>33509.519999999997</v>
      </c>
      <c r="V424" s="30">
        <v>0</v>
      </c>
      <c r="W424" s="30">
        <v>1005.2855999999998</v>
      </c>
      <c r="X424" s="30">
        <v>32504.234399999998</v>
      </c>
      <c r="Y424" s="30">
        <v>32504.234399999998</v>
      </c>
      <c r="Z424" s="30">
        <v>33509.519999999997</v>
      </c>
      <c r="AA424" s="30">
        <v>-33509.519999999997</v>
      </c>
      <c r="AB424" s="30">
        <v>0</v>
      </c>
      <c r="AC424" s="30" t="s">
        <v>459</v>
      </c>
      <c r="AD424" s="30"/>
      <c r="AE424" s="30">
        <v>0</v>
      </c>
    </row>
    <row r="425" spans="1:31" x14ac:dyDescent="0.25">
      <c r="A425">
        <v>6132</v>
      </c>
      <c r="B425" t="s">
        <v>160</v>
      </c>
      <c r="C425" t="s">
        <v>161</v>
      </c>
      <c r="D425" s="33">
        <v>56218.2</v>
      </c>
      <c r="E425">
        <v>1246148019</v>
      </c>
      <c r="F425" s="222">
        <v>45576</v>
      </c>
      <c r="G425" s="222"/>
      <c r="H425" t="s">
        <v>156</v>
      </c>
      <c r="I425" t="s">
        <v>157</v>
      </c>
      <c r="J425">
        <v>3713</v>
      </c>
      <c r="K425" s="222">
        <v>45441</v>
      </c>
      <c r="L425">
        <v>1010100</v>
      </c>
      <c r="M425" t="s">
        <v>29</v>
      </c>
      <c r="N425">
        <v>597</v>
      </c>
      <c r="O425" s="30">
        <v>0</v>
      </c>
      <c r="P425" s="30">
        <v>0</v>
      </c>
      <c r="Q425" s="30">
        <v>0</v>
      </c>
      <c r="R425" s="30">
        <v>0</v>
      </c>
      <c r="S425" s="30">
        <v>0</v>
      </c>
      <c r="T425" s="30">
        <v>0</v>
      </c>
      <c r="U425" s="30">
        <v>56218.2</v>
      </c>
      <c r="V425" s="30">
        <v>0</v>
      </c>
      <c r="W425" s="30">
        <v>1686.5459999999998</v>
      </c>
      <c r="X425" s="30">
        <v>54531.653999999995</v>
      </c>
      <c r="Y425" s="30">
        <v>54531.653999999995</v>
      </c>
      <c r="Z425" s="30">
        <v>56218.2</v>
      </c>
      <c r="AA425" s="30">
        <v>-56218.2</v>
      </c>
      <c r="AB425" s="30">
        <v>0</v>
      </c>
      <c r="AC425" s="30" t="s">
        <v>459</v>
      </c>
      <c r="AD425" s="30"/>
      <c r="AE425" s="30">
        <v>0</v>
      </c>
    </row>
    <row r="426" spans="1:31" x14ac:dyDescent="0.25">
      <c r="A426">
        <v>6132</v>
      </c>
      <c r="B426" t="s">
        <v>160</v>
      </c>
      <c r="C426" t="s">
        <v>161</v>
      </c>
      <c r="D426" s="33">
        <v>95220.3</v>
      </c>
      <c r="E426">
        <v>1246135170</v>
      </c>
      <c r="F426" s="222">
        <v>45566</v>
      </c>
      <c r="G426" s="222"/>
      <c r="H426" t="s">
        <v>156</v>
      </c>
      <c r="I426" t="s">
        <v>157</v>
      </c>
      <c r="J426">
        <v>3136</v>
      </c>
      <c r="K426" s="222">
        <v>45372</v>
      </c>
      <c r="L426">
        <v>1010100</v>
      </c>
      <c r="M426" t="s">
        <v>29</v>
      </c>
      <c r="N426">
        <v>607</v>
      </c>
      <c r="O426" s="30">
        <v>0</v>
      </c>
      <c r="P426" s="30">
        <v>0</v>
      </c>
      <c r="Q426" s="30">
        <v>0</v>
      </c>
      <c r="R426" s="30">
        <v>0</v>
      </c>
      <c r="S426" s="30">
        <v>0</v>
      </c>
      <c r="T426" s="30">
        <v>0</v>
      </c>
      <c r="U426" s="30">
        <v>95220.3</v>
      </c>
      <c r="V426" s="30">
        <v>0</v>
      </c>
      <c r="W426" s="30">
        <v>2856.6089999999999</v>
      </c>
      <c r="X426" s="30">
        <v>92363.691000000006</v>
      </c>
      <c r="Y426" s="30">
        <v>92363.691000000006</v>
      </c>
      <c r="Z426" s="30">
        <v>95220.3</v>
      </c>
      <c r="AA426" s="30">
        <v>-95220.3</v>
      </c>
      <c r="AB426" s="30">
        <v>0</v>
      </c>
      <c r="AC426" s="30" t="s">
        <v>459</v>
      </c>
      <c r="AD426" s="30"/>
      <c r="AE426" s="30">
        <v>0</v>
      </c>
    </row>
    <row r="427" spans="1:31" x14ac:dyDescent="0.25">
      <c r="A427">
        <v>6132</v>
      </c>
      <c r="B427" t="s">
        <v>160</v>
      </c>
      <c r="C427" t="s">
        <v>161</v>
      </c>
      <c r="D427" s="33">
        <v>29542.9</v>
      </c>
      <c r="E427">
        <v>1246135172</v>
      </c>
      <c r="F427" s="222">
        <v>45566</v>
      </c>
      <c r="G427" s="222"/>
      <c r="H427" t="s">
        <v>156</v>
      </c>
      <c r="I427" t="s">
        <v>157</v>
      </c>
      <c r="J427">
        <v>3137</v>
      </c>
      <c r="K427" s="222">
        <v>45372</v>
      </c>
      <c r="L427">
        <v>1010100</v>
      </c>
      <c r="M427" t="s">
        <v>29</v>
      </c>
      <c r="N427">
        <v>607</v>
      </c>
      <c r="O427" s="30">
        <v>0</v>
      </c>
      <c r="P427" s="30">
        <v>0</v>
      </c>
      <c r="Q427" s="30">
        <v>0</v>
      </c>
      <c r="R427" s="30">
        <v>0</v>
      </c>
      <c r="S427" s="30">
        <v>0</v>
      </c>
      <c r="T427" s="30">
        <v>0</v>
      </c>
      <c r="U427" s="30">
        <v>29542.9</v>
      </c>
      <c r="V427" s="30">
        <v>0</v>
      </c>
      <c r="W427" s="30">
        <v>886.28700000000003</v>
      </c>
      <c r="X427" s="30">
        <v>28656.613000000001</v>
      </c>
      <c r="Y427" s="30">
        <v>28656.613000000001</v>
      </c>
      <c r="Z427" s="30">
        <v>29542.9</v>
      </c>
      <c r="AA427" s="30">
        <v>-29542.9</v>
      </c>
      <c r="AB427" s="30">
        <v>0</v>
      </c>
      <c r="AC427" s="30" t="s">
        <v>459</v>
      </c>
      <c r="AD427" s="30"/>
      <c r="AE427" s="30">
        <v>0</v>
      </c>
    </row>
    <row r="428" spans="1:31" x14ac:dyDescent="0.25">
      <c r="A428">
        <v>6132</v>
      </c>
      <c r="B428" t="s">
        <v>160</v>
      </c>
      <c r="C428" t="s">
        <v>161</v>
      </c>
      <c r="D428" s="33">
        <v>92588.02</v>
      </c>
      <c r="E428">
        <v>1246138275</v>
      </c>
      <c r="F428" s="222">
        <v>45570</v>
      </c>
      <c r="G428" s="222"/>
      <c r="H428" t="s">
        <v>156</v>
      </c>
      <c r="I428" t="s">
        <v>157</v>
      </c>
      <c r="J428">
        <v>3249</v>
      </c>
      <c r="K428" s="222">
        <v>45390</v>
      </c>
      <c r="L428">
        <v>1010100</v>
      </c>
      <c r="M428" t="s">
        <v>29</v>
      </c>
      <c r="N428">
        <v>603</v>
      </c>
      <c r="O428" s="30">
        <v>0</v>
      </c>
      <c r="P428" s="30">
        <v>0</v>
      </c>
      <c r="Q428" s="30">
        <v>0</v>
      </c>
      <c r="R428" s="30">
        <v>0</v>
      </c>
      <c r="S428" s="30">
        <v>0</v>
      </c>
      <c r="T428" s="30">
        <v>0</v>
      </c>
      <c r="U428" s="30">
        <v>92588.02</v>
      </c>
      <c r="V428" s="30">
        <v>0</v>
      </c>
      <c r="W428" s="30">
        <v>2777.6406000000002</v>
      </c>
      <c r="X428" s="30">
        <v>89810.379400000005</v>
      </c>
      <c r="Y428" s="30">
        <v>89810.379400000005</v>
      </c>
      <c r="Z428" s="30">
        <v>92588.02</v>
      </c>
      <c r="AA428" s="30">
        <v>-92588.02</v>
      </c>
      <c r="AB428" s="30">
        <v>0</v>
      </c>
      <c r="AC428" s="30" t="s">
        <v>459</v>
      </c>
      <c r="AD428" s="30"/>
      <c r="AE428" s="30">
        <v>0</v>
      </c>
    </row>
    <row r="429" spans="1:31" x14ac:dyDescent="0.25">
      <c r="A429">
        <v>6132</v>
      </c>
      <c r="B429" t="s">
        <v>160</v>
      </c>
      <c r="C429" t="s">
        <v>161</v>
      </c>
      <c r="D429" s="33">
        <v>97872.48</v>
      </c>
      <c r="E429">
        <v>1246135813</v>
      </c>
      <c r="F429" s="222">
        <v>45570</v>
      </c>
      <c r="G429" s="222"/>
      <c r="H429" t="s">
        <v>156</v>
      </c>
      <c r="I429" t="s">
        <v>157</v>
      </c>
      <c r="J429">
        <v>3160</v>
      </c>
      <c r="K429" s="222">
        <v>45376</v>
      </c>
      <c r="L429">
        <v>1010100</v>
      </c>
      <c r="M429" t="s">
        <v>29</v>
      </c>
      <c r="N429">
        <v>603</v>
      </c>
      <c r="O429" s="30">
        <v>0</v>
      </c>
      <c r="P429" s="30">
        <v>0</v>
      </c>
      <c r="Q429" s="30">
        <v>0</v>
      </c>
      <c r="R429" s="30">
        <v>0</v>
      </c>
      <c r="S429" s="30">
        <v>0</v>
      </c>
      <c r="T429" s="30">
        <v>0</v>
      </c>
      <c r="U429" s="30">
        <v>97872.48</v>
      </c>
      <c r="V429" s="30">
        <v>0</v>
      </c>
      <c r="W429" s="30">
        <v>2936.1743999999999</v>
      </c>
      <c r="X429" s="30">
        <v>94936.305599999992</v>
      </c>
      <c r="Y429" s="30">
        <v>94936.305599999992</v>
      </c>
      <c r="Z429" s="30">
        <v>97872.48</v>
      </c>
      <c r="AA429" s="30">
        <v>-97872.48</v>
      </c>
      <c r="AB429" s="30">
        <v>0</v>
      </c>
      <c r="AC429" s="30" t="s">
        <v>459</v>
      </c>
      <c r="AD429" s="30"/>
      <c r="AE429" s="30">
        <v>0</v>
      </c>
    </row>
    <row r="430" spans="1:31" x14ac:dyDescent="0.25">
      <c r="A430">
        <v>6132</v>
      </c>
      <c r="B430" t="s">
        <v>160</v>
      </c>
      <c r="C430" t="s">
        <v>161</v>
      </c>
      <c r="D430" s="33">
        <v>155705</v>
      </c>
      <c r="E430">
        <v>1246130904</v>
      </c>
      <c r="F430" s="222">
        <v>45567</v>
      </c>
      <c r="G430" s="222"/>
      <c r="H430" t="s">
        <v>156</v>
      </c>
      <c r="I430" t="s">
        <v>157</v>
      </c>
      <c r="J430">
        <v>2906</v>
      </c>
      <c r="K430" s="222">
        <v>45345</v>
      </c>
      <c r="L430">
        <v>1010100</v>
      </c>
      <c r="M430" t="s">
        <v>29</v>
      </c>
      <c r="N430">
        <v>606</v>
      </c>
      <c r="O430" s="30">
        <v>0</v>
      </c>
      <c r="P430" s="30">
        <v>0</v>
      </c>
      <c r="Q430" s="30">
        <v>0</v>
      </c>
      <c r="R430" s="30">
        <v>0</v>
      </c>
      <c r="S430" s="30">
        <v>0</v>
      </c>
      <c r="T430" s="30">
        <v>0</v>
      </c>
      <c r="U430" s="30">
        <v>155705</v>
      </c>
      <c r="V430" s="30">
        <v>0</v>
      </c>
      <c r="W430" s="30">
        <v>4671.1499999999996</v>
      </c>
      <c r="X430" s="30">
        <v>151033.85</v>
      </c>
      <c r="Y430" s="30">
        <v>151033.85</v>
      </c>
      <c r="Z430" s="30">
        <v>155705</v>
      </c>
      <c r="AA430" s="30">
        <v>-155705</v>
      </c>
      <c r="AB430" s="30">
        <v>0</v>
      </c>
      <c r="AC430" s="30" t="s">
        <v>459</v>
      </c>
      <c r="AD430" s="30"/>
      <c r="AE430" s="30">
        <v>0</v>
      </c>
    </row>
    <row r="431" spans="1:31" x14ac:dyDescent="0.25">
      <c r="A431">
        <v>6132</v>
      </c>
      <c r="B431" t="s">
        <v>160</v>
      </c>
      <c r="C431" t="s">
        <v>161</v>
      </c>
      <c r="D431" s="33">
        <v>86997.759999999995</v>
      </c>
      <c r="E431">
        <v>1246137598</v>
      </c>
      <c r="F431" s="222">
        <v>45566</v>
      </c>
      <c r="G431" s="222"/>
      <c r="H431" t="s">
        <v>156</v>
      </c>
      <c r="I431" t="s">
        <v>157</v>
      </c>
      <c r="J431">
        <v>3223</v>
      </c>
      <c r="K431" s="222">
        <v>45386</v>
      </c>
      <c r="L431">
        <v>1010100</v>
      </c>
      <c r="M431" t="s">
        <v>29</v>
      </c>
      <c r="N431">
        <v>607</v>
      </c>
      <c r="O431" s="30">
        <v>0</v>
      </c>
      <c r="P431" s="30">
        <v>0</v>
      </c>
      <c r="Q431" s="30">
        <v>0</v>
      </c>
      <c r="R431" s="30">
        <v>0</v>
      </c>
      <c r="S431" s="30">
        <v>0</v>
      </c>
      <c r="T431" s="30">
        <v>0</v>
      </c>
      <c r="U431" s="30">
        <v>86997.759999999995</v>
      </c>
      <c r="V431" s="30">
        <v>0</v>
      </c>
      <c r="W431" s="30">
        <v>2609.9327999999996</v>
      </c>
      <c r="X431" s="30">
        <v>84387.8272</v>
      </c>
      <c r="Y431" s="30">
        <v>84387.8272</v>
      </c>
      <c r="Z431" s="30">
        <v>86997.759999999995</v>
      </c>
      <c r="AA431" s="30">
        <v>-86997.759999999995</v>
      </c>
      <c r="AB431" s="30">
        <v>0</v>
      </c>
      <c r="AC431" s="30" t="s">
        <v>459</v>
      </c>
      <c r="AD431" s="30"/>
      <c r="AE431" s="30">
        <v>0</v>
      </c>
    </row>
    <row r="432" spans="1:31" x14ac:dyDescent="0.25">
      <c r="A432">
        <v>6132</v>
      </c>
      <c r="B432" t="s">
        <v>160</v>
      </c>
      <c r="C432" t="s">
        <v>161</v>
      </c>
      <c r="D432" s="33">
        <v>55849.2</v>
      </c>
      <c r="E432">
        <v>1246147270</v>
      </c>
      <c r="F432" s="222">
        <v>45571</v>
      </c>
      <c r="G432" s="222"/>
      <c r="H432" t="s">
        <v>156</v>
      </c>
      <c r="I432" t="s">
        <v>157</v>
      </c>
      <c r="J432">
        <v>3666</v>
      </c>
      <c r="K432" s="222">
        <v>45436</v>
      </c>
      <c r="L432">
        <v>1010100</v>
      </c>
      <c r="M432" t="s">
        <v>29</v>
      </c>
      <c r="N432">
        <v>602</v>
      </c>
      <c r="O432" s="30">
        <v>0</v>
      </c>
      <c r="P432" s="30">
        <v>0</v>
      </c>
      <c r="Q432" s="30">
        <v>0</v>
      </c>
      <c r="R432" s="30">
        <v>0</v>
      </c>
      <c r="S432" s="30">
        <v>0</v>
      </c>
      <c r="T432" s="30">
        <v>0</v>
      </c>
      <c r="U432" s="30">
        <v>55849.2</v>
      </c>
      <c r="V432" s="30">
        <v>0</v>
      </c>
      <c r="W432" s="30">
        <v>1675.4759999999999</v>
      </c>
      <c r="X432" s="30">
        <v>54173.723999999995</v>
      </c>
      <c r="Y432" s="30">
        <v>54173.723999999995</v>
      </c>
      <c r="Z432" s="30">
        <v>55849.2</v>
      </c>
      <c r="AA432" s="30">
        <v>-55849.2</v>
      </c>
      <c r="AB432" s="30">
        <v>0</v>
      </c>
      <c r="AC432" s="30" t="s">
        <v>459</v>
      </c>
      <c r="AD432" s="30"/>
      <c r="AE432" s="30">
        <v>0</v>
      </c>
    </row>
    <row r="433" spans="1:31" x14ac:dyDescent="0.25">
      <c r="A433">
        <v>6132</v>
      </c>
      <c r="B433" t="s">
        <v>160</v>
      </c>
      <c r="C433" t="s">
        <v>161</v>
      </c>
      <c r="D433" s="33">
        <v>97872.48</v>
      </c>
      <c r="E433">
        <v>1246131241</v>
      </c>
      <c r="F433" s="222">
        <v>45571</v>
      </c>
      <c r="G433" s="222"/>
      <c r="H433" t="s">
        <v>156</v>
      </c>
      <c r="I433" t="s">
        <v>157</v>
      </c>
      <c r="J433">
        <v>2928</v>
      </c>
      <c r="K433" s="222">
        <v>45349</v>
      </c>
      <c r="L433">
        <v>1010100</v>
      </c>
      <c r="M433" t="s">
        <v>29</v>
      </c>
      <c r="N433">
        <v>602</v>
      </c>
      <c r="O433" s="30">
        <v>0</v>
      </c>
      <c r="P433" s="30">
        <v>0</v>
      </c>
      <c r="Q433" s="30">
        <v>0</v>
      </c>
      <c r="R433" s="30">
        <v>0</v>
      </c>
      <c r="S433" s="30">
        <v>0</v>
      </c>
      <c r="T433" s="30">
        <v>0</v>
      </c>
      <c r="U433" s="30">
        <v>97872.48</v>
      </c>
      <c r="V433" s="30">
        <v>0</v>
      </c>
      <c r="W433" s="30">
        <v>2936.1743999999999</v>
      </c>
      <c r="X433" s="30">
        <v>94936.305599999992</v>
      </c>
      <c r="Y433" s="30">
        <v>94936.305599999992</v>
      </c>
      <c r="Z433" s="30">
        <v>97872.48</v>
      </c>
      <c r="AA433" s="30">
        <v>-97872.48</v>
      </c>
      <c r="AB433" s="30">
        <v>0</v>
      </c>
      <c r="AC433" s="30" t="s">
        <v>459</v>
      </c>
      <c r="AD433" s="30"/>
      <c r="AE433" s="30">
        <v>0</v>
      </c>
    </row>
    <row r="434" spans="1:31" x14ac:dyDescent="0.25">
      <c r="A434">
        <v>6132</v>
      </c>
      <c r="B434" t="s">
        <v>160</v>
      </c>
      <c r="C434" t="s">
        <v>161</v>
      </c>
      <c r="D434" s="33">
        <v>57092.28</v>
      </c>
      <c r="E434">
        <v>1246133070</v>
      </c>
      <c r="F434" s="222">
        <v>45573</v>
      </c>
      <c r="G434" s="222"/>
      <c r="H434" t="s">
        <v>156</v>
      </c>
      <c r="I434" t="s">
        <v>157</v>
      </c>
      <c r="J434">
        <v>3012</v>
      </c>
      <c r="K434" s="222">
        <v>45359</v>
      </c>
      <c r="L434">
        <v>1010100</v>
      </c>
      <c r="M434" t="s">
        <v>29</v>
      </c>
      <c r="N434">
        <v>600</v>
      </c>
      <c r="O434" s="30">
        <v>0</v>
      </c>
      <c r="P434" s="30">
        <v>0</v>
      </c>
      <c r="Q434" s="30">
        <v>0</v>
      </c>
      <c r="R434" s="30">
        <v>0</v>
      </c>
      <c r="S434" s="30">
        <v>0</v>
      </c>
      <c r="T434" s="30">
        <v>0</v>
      </c>
      <c r="U434" s="30">
        <v>57092.28</v>
      </c>
      <c r="V434" s="30">
        <v>0</v>
      </c>
      <c r="W434" s="30">
        <v>1712.7683999999999</v>
      </c>
      <c r="X434" s="30">
        <v>55379.511599999998</v>
      </c>
      <c r="Y434" s="30">
        <v>55379.511599999998</v>
      </c>
      <c r="Z434" s="30">
        <v>57092.28</v>
      </c>
      <c r="AA434" s="30">
        <v>-57092.28</v>
      </c>
      <c r="AB434" s="30">
        <v>0</v>
      </c>
      <c r="AC434" s="30" t="s">
        <v>459</v>
      </c>
      <c r="AD434" s="30"/>
      <c r="AE434" s="30">
        <v>0</v>
      </c>
    </row>
    <row r="435" spans="1:31" x14ac:dyDescent="0.25">
      <c r="A435">
        <v>6132</v>
      </c>
      <c r="B435" t="s">
        <v>160</v>
      </c>
      <c r="C435" t="s">
        <v>161</v>
      </c>
      <c r="D435" s="33">
        <v>86997.759999999995</v>
      </c>
      <c r="E435">
        <v>1246131594</v>
      </c>
      <c r="F435" s="222">
        <v>45573</v>
      </c>
      <c r="G435" s="222"/>
      <c r="H435" t="s">
        <v>156</v>
      </c>
      <c r="I435" t="s">
        <v>157</v>
      </c>
      <c r="J435">
        <v>2956</v>
      </c>
      <c r="K435" s="222">
        <v>45351</v>
      </c>
      <c r="L435">
        <v>1010100</v>
      </c>
      <c r="M435" t="s">
        <v>29</v>
      </c>
      <c r="N435">
        <v>600</v>
      </c>
      <c r="O435" s="30">
        <v>0</v>
      </c>
      <c r="P435" s="30">
        <v>0</v>
      </c>
      <c r="Q435" s="30">
        <v>0</v>
      </c>
      <c r="R435" s="30">
        <v>0</v>
      </c>
      <c r="S435" s="30">
        <v>0</v>
      </c>
      <c r="T435" s="30">
        <v>0</v>
      </c>
      <c r="U435" s="30">
        <v>86997.759999999995</v>
      </c>
      <c r="V435" s="30">
        <v>0</v>
      </c>
      <c r="W435" s="30">
        <v>2609.9327999999996</v>
      </c>
      <c r="X435" s="30">
        <v>84387.8272</v>
      </c>
      <c r="Y435" s="30">
        <v>84387.8272</v>
      </c>
      <c r="Z435" s="30">
        <v>86997.759999999995</v>
      </c>
      <c r="AA435" s="30">
        <v>-86997.759999999995</v>
      </c>
      <c r="AB435" s="30">
        <v>0</v>
      </c>
      <c r="AC435" s="30" t="s">
        <v>459</v>
      </c>
      <c r="AD435" s="30"/>
      <c r="AE435" s="30">
        <v>0</v>
      </c>
    </row>
    <row r="436" spans="1:31" x14ac:dyDescent="0.25">
      <c r="A436">
        <v>6132</v>
      </c>
      <c r="B436" t="s">
        <v>160</v>
      </c>
      <c r="C436" t="s">
        <v>161</v>
      </c>
      <c r="D436" s="33">
        <v>86997.759999999995</v>
      </c>
      <c r="E436">
        <v>1246133332</v>
      </c>
      <c r="F436" s="222">
        <v>45576</v>
      </c>
      <c r="G436" s="222"/>
      <c r="H436" t="s">
        <v>156</v>
      </c>
      <c r="I436" t="s">
        <v>157</v>
      </c>
      <c r="J436">
        <v>3028</v>
      </c>
      <c r="K436" s="222">
        <v>45362</v>
      </c>
      <c r="L436">
        <v>1010100</v>
      </c>
      <c r="M436" t="s">
        <v>29</v>
      </c>
      <c r="N436">
        <v>597</v>
      </c>
      <c r="O436" s="30">
        <v>0</v>
      </c>
      <c r="P436" s="30">
        <v>0</v>
      </c>
      <c r="Q436" s="30">
        <v>0</v>
      </c>
      <c r="R436" s="30">
        <v>0</v>
      </c>
      <c r="S436" s="30">
        <v>0</v>
      </c>
      <c r="T436" s="30">
        <v>0</v>
      </c>
      <c r="U436" s="30">
        <v>86997.759999999995</v>
      </c>
      <c r="V436" s="30">
        <v>0</v>
      </c>
      <c r="W436" s="30">
        <v>2609.9327999999996</v>
      </c>
      <c r="X436" s="30">
        <v>84387.8272</v>
      </c>
      <c r="Y436" s="30">
        <v>84387.8272</v>
      </c>
      <c r="Z436" s="30">
        <v>86997.759999999995</v>
      </c>
      <c r="AA436" s="30">
        <v>-86997.759999999995</v>
      </c>
      <c r="AB436" s="30">
        <v>0</v>
      </c>
      <c r="AC436" s="30" t="s">
        <v>459</v>
      </c>
      <c r="AD436" s="30"/>
      <c r="AE436" s="30">
        <v>0</v>
      </c>
    </row>
    <row r="437" spans="1:31" x14ac:dyDescent="0.25">
      <c r="A437">
        <v>6132</v>
      </c>
      <c r="B437" t="s">
        <v>160</v>
      </c>
      <c r="C437" t="s">
        <v>161</v>
      </c>
      <c r="D437" s="33">
        <v>95153.8</v>
      </c>
      <c r="E437">
        <v>1246133718</v>
      </c>
      <c r="F437" s="222">
        <v>45578</v>
      </c>
      <c r="G437" s="222"/>
      <c r="H437" t="s">
        <v>156</v>
      </c>
      <c r="I437" t="s">
        <v>157</v>
      </c>
      <c r="J437">
        <v>3051</v>
      </c>
      <c r="K437" s="222">
        <v>45364</v>
      </c>
      <c r="L437">
        <v>1010100</v>
      </c>
      <c r="M437" t="s">
        <v>29</v>
      </c>
      <c r="N437">
        <v>595</v>
      </c>
      <c r="O437" s="30">
        <v>0</v>
      </c>
      <c r="P437" s="30">
        <v>0</v>
      </c>
      <c r="Q437" s="30">
        <v>0</v>
      </c>
      <c r="R437" s="30">
        <v>0</v>
      </c>
      <c r="S437" s="30">
        <v>0</v>
      </c>
      <c r="T437" s="30">
        <v>0</v>
      </c>
      <c r="U437" s="30">
        <v>95153.8</v>
      </c>
      <c r="V437" s="30">
        <v>0</v>
      </c>
      <c r="W437" s="30">
        <v>2854.614</v>
      </c>
      <c r="X437" s="30">
        <v>92299.186000000002</v>
      </c>
      <c r="Y437" s="30">
        <v>92299.186000000002</v>
      </c>
      <c r="Z437" s="30">
        <v>95153.8</v>
      </c>
      <c r="AA437" s="30">
        <v>-95153.8</v>
      </c>
      <c r="AB437" s="30">
        <v>0</v>
      </c>
      <c r="AC437" s="30" t="s">
        <v>459</v>
      </c>
      <c r="AD437" s="30"/>
      <c r="AE437" s="30">
        <v>0</v>
      </c>
    </row>
    <row r="438" spans="1:31" x14ac:dyDescent="0.25">
      <c r="A438">
        <v>6132</v>
      </c>
      <c r="B438" t="s">
        <v>160</v>
      </c>
      <c r="C438" t="s">
        <v>161</v>
      </c>
      <c r="D438" s="33">
        <v>116501.9</v>
      </c>
      <c r="E438">
        <v>1246138114</v>
      </c>
      <c r="F438" s="222">
        <v>45570</v>
      </c>
      <c r="G438" s="222"/>
      <c r="H438" t="s">
        <v>156</v>
      </c>
      <c r="I438" t="s">
        <v>157</v>
      </c>
      <c r="J438">
        <v>3243</v>
      </c>
      <c r="K438" s="222">
        <v>45390</v>
      </c>
      <c r="L438">
        <v>1010100</v>
      </c>
      <c r="M438" t="s">
        <v>29</v>
      </c>
      <c r="N438">
        <v>603</v>
      </c>
      <c r="O438" s="30">
        <v>0</v>
      </c>
      <c r="P438" s="30">
        <v>0</v>
      </c>
      <c r="Q438" s="30">
        <v>0</v>
      </c>
      <c r="R438" s="30">
        <v>0</v>
      </c>
      <c r="S438" s="30">
        <v>0</v>
      </c>
      <c r="T438" s="30">
        <v>0</v>
      </c>
      <c r="U438" s="30">
        <v>116501.9</v>
      </c>
      <c r="V438" s="30">
        <v>0</v>
      </c>
      <c r="W438" s="30">
        <v>3495.0569999999998</v>
      </c>
      <c r="X438" s="30">
        <v>113006.84299999999</v>
      </c>
      <c r="Y438" s="30">
        <v>113006.84299999999</v>
      </c>
      <c r="Z438" s="30">
        <v>116501.9</v>
      </c>
      <c r="AA438" s="30">
        <v>-116501.9</v>
      </c>
      <c r="AB438" s="30">
        <v>0</v>
      </c>
      <c r="AC438" s="30" t="s">
        <v>459</v>
      </c>
      <c r="AD438" s="30"/>
      <c r="AE438" s="30">
        <v>0</v>
      </c>
    </row>
    <row r="439" spans="1:31" x14ac:dyDescent="0.25">
      <c r="A439">
        <v>6132</v>
      </c>
      <c r="B439" t="s">
        <v>160</v>
      </c>
      <c r="C439" t="s">
        <v>161</v>
      </c>
      <c r="D439" s="33">
        <v>134954</v>
      </c>
      <c r="E439">
        <v>1246130651</v>
      </c>
      <c r="F439" s="222">
        <v>45566</v>
      </c>
      <c r="G439" s="222"/>
      <c r="H439" t="s">
        <v>156</v>
      </c>
      <c r="I439" t="s">
        <v>157</v>
      </c>
      <c r="J439">
        <v>2889</v>
      </c>
      <c r="K439" s="222">
        <v>45344</v>
      </c>
      <c r="L439">
        <v>1010100</v>
      </c>
      <c r="M439" t="s">
        <v>29</v>
      </c>
      <c r="N439">
        <v>607</v>
      </c>
      <c r="O439" s="30">
        <v>0</v>
      </c>
      <c r="P439" s="30">
        <v>0</v>
      </c>
      <c r="Q439" s="30">
        <v>0</v>
      </c>
      <c r="R439" s="30">
        <v>0</v>
      </c>
      <c r="S439" s="30">
        <v>0</v>
      </c>
      <c r="T439" s="30">
        <v>0</v>
      </c>
      <c r="U439" s="30">
        <v>134954</v>
      </c>
      <c r="V439" s="30">
        <v>0</v>
      </c>
      <c r="W439" s="30">
        <v>4048.62</v>
      </c>
      <c r="X439" s="30">
        <v>130905.37999999999</v>
      </c>
      <c r="Y439" s="30">
        <v>130905.37999999999</v>
      </c>
      <c r="Z439" s="30">
        <v>134954</v>
      </c>
      <c r="AA439" s="30">
        <v>-134954</v>
      </c>
      <c r="AB439" s="30">
        <v>0</v>
      </c>
      <c r="AC439" s="30" t="s">
        <v>459</v>
      </c>
      <c r="AD439" s="30"/>
      <c r="AE439" s="30">
        <v>0</v>
      </c>
    </row>
    <row r="440" spans="1:31" x14ac:dyDescent="0.25">
      <c r="A440">
        <v>6132</v>
      </c>
      <c r="B440" t="s">
        <v>160</v>
      </c>
      <c r="C440" t="s">
        <v>161</v>
      </c>
      <c r="D440" s="33">
        <v>86997.759999999995</v>
      </c>
      <c r="E440">
        <v>1246131630</v>
      </c>
      <c r="F440" s="222">
        <v>45573</v>
      </c>
      <c r="G440" s="222"/>
      <c r="H440" t="s">
        <v>156</v>
      </c>
      <c r="I440" t="s">
        <v>157</v>
      </c>
      <c r="J440">
        <v>2958</v>
      </c>
      <c r="K440" s="222">
        <v>45351</v>
      </c>
      <c r="L440">
        <v>1010100</v>
      </c>
      <c r="M440" t="s">
        <v>29</v>
      </c>
      <c r="N440">
        <v>600</v>
      </c>
      <c r="O440" s="30">
        <v>0</v>
      </c>
      <c r="P440" s="30">
        <v>0</v>
      </c>
      <c r="Q440" s="30">
        <v>0</v>
      </c>
      <c r="R440" s="30">
        <v>0</v>
      </c>
      <c r="S440" s="30">
        <v>0</v>
      </c>
      <c r="T440" s="30">
        <v>0</v>
      </c>
      <c r="U440" s="30">
        <v>86997.759999999995</v>
      </c>
      <c r="V440" s="30">
        <v>0</v>
      </c>
      <c r="W440" s="30">
        <v>2609.9327999999996</v>
      </c>
      <c r="X440" s="30">
        <v>84387.8272</v>
      </c>
      <c r="Y440" s="30">
        <v>84387.8272</v>
      </c>
      <c r="Z440" s="30">
        <v>86997.759999999995</v>
      </c>
      <c r="AA440" s="30">
        <v>-86997.759999999995</v>
      </c>
      <c r="AB440" s="30">
        <v>0</v>
      </c>
      <c r="AC440" s="30" t="s">
        <v>459</v>
      </c>
      <c r="AD440" s="30"/>
      <c r="AE440" s="30">
        <v>0</v>
      </c>
    </row>
    <row r="441" spans="1:31" x14ac:dyDescent="0.25">
      <c r="A441">
        <v>6132</v>
      </c>
      <c r="B441" t="s">
        <v>160</v>
      </c>
      <c r="C441" t="s">
        <v>161</v>
      </c>
      <c r="D441" s="33">
        <v>29949.599999999999</v>
      </c>
      <c r="E441">
        <v>1246133071</v>
      </c>
      <c r="F441" s="222">
        <v>45573</v>
      </c>
      <c r="G441" s="222"/>
      <c r="H441" t="s">
        <v>156</v>
      </c>
      <c r="I441" t="s">
        <v>157</v>
      </c>
      <c r="J441">
        <v>3013</v>
      </c>
      <c r="K441" s="222">
        <v>45359</v>
      </c>
      <c r="L441">
        <v>1010100</v>
      </c>
      <c r="M441" t="s">
        <v>29</v>
      </c>
      <c r="N441">
        <v>600</v>
      </c>
      <c r="O441" s="30">
        <v>0</v>
      </c>
      <c r="P441" s="30">
        <v>0</v>
      </c>
      <c r="Q441" s="30">
        <v>0</v>
      </c>
      <c r="R441" s="30">
        <v>0</v>
      </c>
      <c r="S441" s="30">
        <v>0</v>
      </c>
      <c r="T441" s="30">
        <v>0</v>
      </c>
      <c r="U441" s="30">
        <v>29949.599999999999</v>
      </c>
      <c r="V441" s="30">
        <v>0</v>
      </c>
      <c r="W441" s="30">
        <v>898.48799999999994</v>
      </c>
      <c r="X441" s="30">
        <v>29051.111999999997</v>
      </c>
      <c r="Y441" s="30">
        <v>29051.111999999997</v>
      </c>
      <c r="Z441" s="30">
        <v>29949.599999999999</v>
      </c>
      <c r="AA441" s="30">
        <v>-29949.599999999999</v>
      </c>
      <c r="AB441" s="30">
        <v>0</v>
      </c>
      <c r="AC441" s="30" t="s">
        <v>459</v>
      </c>
      <c r="AD441" s="30"/>
      <c r="AE441" s="30">
        <v>0</v>
      </c>
    </row>
    <row r="442" spans="1:31" x14ac:dyDescent="0.25">
      <c r="A442">
        <v>6132</v>
      </c>
      <c r="B442" t="s">
        <v>160</v>
      </c>
      <c r="C442" t="s">
        <v>161</v>
      </c>
      <c r="D442" s="33">
        <v>54275.6</v>
      </c>
      <c r="E442">
        <v>1246132475</v>
      </c>
      <c r="F442" s="222">
        <v>45570</v>
      </c>
      <c r="G442" s="222"/>
      <c r="H442" t="s">
        <v>156</v>
      </c>
      <c r="I442" t="s">
        <v>157</v>
      </c>
      <c r="J442">
        <v>2990</v>
      </c>
      <c r="K442" s="222">
        <v>45356</v>
      </c>
      <c r="L442">
        <v>1010100</v>
      </c>
      <c r="M442" t="s">
        <v>29</v>
      </c>
      <c r="N442">
        <v>603</v>
      </c>
      <c r="O442" s="30">
        <v>0</v>
      </c>
      <c r="P442" s="30">
        <v>0</v>
      </c>
      <c r="Q442" s="30">
        <v>0</v>
      </c>
      <c r="R442" s="30">
        <v>0</v>
      </c>
      <c r="S442" s="30">
        <v>0</v>
      </c>
      <c r="T442" s="30">
        <v>0</v>
      </c>
      <c r="U442" s="30">
        <v>54275.6</v>
      </c>
      <c r="V442" s="30">
        <v>0</v>
      </c>
      <c r="W442" s="30">
        <v>1628.2679999999998</v>
      </c>
      <c r="X442" s="30">
        <v>52647.331999999995</v>
      </c>
      <c r="Y442" s="30">
        <v>52647.331999999995</v>
      </c>
      <c r="Z442" s="30">
        <v>54275.6</v>
      </c>
      <c r="AA442" s="30">
        <v>-54275.6</v>
      </c>
      <c r="AB442" s="30">
        <v>0</v>
      </c>
      <c r="AC442" s="30" t="s">
        <v>459</v>
      </c>
      <c r="AD442" s="30"/>
      <c r="AE442" s="30">
        <v>0</v>
      </c>
    </row>
    <row r="443" spans="1:31" x14ac:dyDescent="0.25">
      <c r="A443">
        <v>6132</v>
      </c>
      <c r="B443" t="s">
        <v>160</v>
      </c>
      <c r="C443" t="s">
        <v>161</v>
      </c>
      <c r="D443" s="33">
        <v>97872.48</v>
      </c>
      <c r="E443">
        <v>1246132869</v>
      </c>
      <c r="F443" s="222">
        <v>45572</v>
      </c>
      <c r="G443" s="222"/>
      <c r="H443" t="s">
        <v>156</v>
      </c>
      <c r="I443" t="s">
        <v>157</v>
      </c>
      <c r="J443">
        <v>3001</v>
      </c>
      <c r="K443" s="222">
        <v>45358</v>
      </c>
      <c r="L443">
        <v>1010100</v>
      </c>
      <c r="M443" t="s">
        <v>29</v>
      </c>
      <c r="N443">
        <v>601</v>
      </c>
      <c r="O443" s="30">
        <v>0</v>
      </c>
      <c r="P443" s="30">
        <v>0</v>
      </c>
      <c r="Q443" s="30">
        <v>0</v>
      </c>
      <c r="R443" s="30">
        <v>0</v>
      </c>
      <c r="S443" s="30">
        <v>0</v>
      </c>
      <c r="T443" s="30">
        <v>0</v>
      </c>
      <c r="U443" s="30">
        <v>97872.48</v>
      </c>
      <c r="V443" s="30">
        <v>0</v>
      </c>
      <c r="W443" s="30">
        <v>2936.1743999999999</v>
      </c>
      <c r="X443" s="30">
        <v>94936.305599999992</v>
      </c>
      <c r="Y443" s="30">
        <v>94936.305599999992</v>
      </c>
      <c r="Z443" s="30">
        <v>97872.48</v>
      </c>
      <c r="AA443" s="30">
        <v>-97872.48</v>
      </c>
      <c r="AB443" s="30">
        <v>0</v>
      </c>
      <c r="AC443" s="30" t="s">
        <v>459</v>
      </c>
      <c r="AD443" s="30"/>
      <c r="AE443" s="30">
        <v>0</v>
      </c>
    </row>
    <row r="444" spans="1:31" x14ac:dyDescent="0.25">
      <c r="A444">
        <v>6132</v>
      </c>
      <c r="B444" t="s">
        <v>160</v>
      </c>
      <c r="C444" t="s">
        <v>161</v>
      </c>
      <c r="D444" s="33">
        <v>86997.759999999995</v>
      </c>
      <c r="E444">
        <v>1246147192</v>
      </c>
      <c r="F444" s="222">
        <v>45571</v>
      </c>
      <c r="G444" s="222"/>
      <c r="H444" t="s">
        <v>156</v>
      </c>
      <c r="I444" t="s">
        <v>157</v>
      </c>
      <c r="J444">
        <v>3654</v>
      </c>
      <c r="K444" s="222">
        <v>45436</v>
      </c>
      <c r="L444">
        <v>1010100</v>
      </c>
      <c r="M444" t="s">
        <v>29</v>
      </c>
      <c r="N444">
        <v>602</v>
      </c>
      <c r="O444" s="30">
        <v>0</v>
      </c>
      <c r="P444" s="30">
        <v>0</v>
      </c>
      <c r="Q444" s="30">
        <v>0</v>
      </c>
      <c r="R444" s="30">
        <v>0</v>
      </c>
      <c r="S444" s="30">
        <v>0</v>
      </c>
      <c r="T444" s="30">
        <v>0</v>
      </c>
      <c r="U444" s="30">
        <v>86997.759999999995</v>
      </c>
      <c r="V444" s="30">
        <v>0</v>
      </c>
      <c r="W444" s="30">
        <v>2609.9327999999996</v>
      </c>
      <c r="X444" s="30">
        <v>84387.8272</v>
      </c>
      <c r="Y444" s="30">
        <v>84387.8272</v>
      </c>
      <c r="Z444" s="30">
        <v>86997.759999999995</v>
      </c>
      <c r="AA444" s="30">
        <v>-86997.759999999995</v>
      </c>
      <c r="AB444" s="30">
        <v>0</v>
      </c>
      <c r="AC444" s="30" t="s">
        <v>459</v>
      </c>
      <c r="AD444" s="30"/>
      <c r="AE444" s="30">
        <v>0</v>
      </c>
    </row>
    <row r="445" spans="1:31" x14ac:dyDescent="0.25">
      <c r="A445">
        <v>6132</v>
      </c>
      <c r="B445" t="s">
        <v>160</v>
      </c>
      <c r="C445" t="s">
        <v>161</v>
      </c>
      <c r="D445" s="33">
        <v>101192.76</v>
      </c>
      <c r="E445">
        <v>1246148270</v>
      </c>
      <c r="F445" s="222">
        <v>45578</v>
      </c>
      <c r="G445" s="222"/>
      <c r="H445" t="s">
        <v>156</v>
      </c>
      <c r="I445" t="s">
        <v>157</v>
      </c>
      <c r="J445">
        <v>3731</v>
      </c>
      <c r="K445" s="222">
        <v>45443</v>
      </c>
      <c r="L445">
        <v>1010100</v>
      </c>
      <c r="M445" t="s">
        <v>29</v>
      </c>
      <c r="N445">
        <v>595</v>
      </c>
      <c r="O445" s="30">
        <v>0</v>
      </c>
      <c r="P445" s="30">
        <v>0</v>
      </c>
      <c r="Q445" s="30">
        <v>0</v>
      </c>
      <c r="R445" s="30">
        <v>0</v>
      </c>
      <c r="S445" s="30">
        <v>0</v>
      </c>
      <c r="T445" s="30">
        <v>0</v>
      </c>
      <c r="U445" s="30">
        <v>101192.76</v>
      </c>
      <c r="V445" s="30">
        <v>0</v>
      </c>
      <c r="W445" s="30">
        <v>3035.7828</v>
      </c>
      <c r="X445" s="30">
        <v>98156.977199999994</v>
      </c>
      <c r="Y445" s="30">
        <v>98156.977199999994</v>
      </c>
      <c r="Z445" s="30">
        <v>101192.76</v>
      </c>
      <c r="AA445" s="30">
        <v>-101192.76</v>
      </c>
      <c r="AB445" s="30">
        <v>0</v>
      </c>
      <c r="AC445" s="30" t="s">
        <v>459</v>
      </c>
      <c r="AD445" s="30"/>
      <c r="AE445" s="30">
        <v>0</v>
      </c>
    </row>
    <row r="446" spans="1:31" x14ac:dyDescent="0.25">
      <c r="A446">
        <v>5519</v>
      </c>
      <c r="B446" t="s">
        <v>272</v>
      </c>
      <c r="C446" t="s">
        <v>759</v>
      </c>
      <c r="D446" s="33">
        <v>45716.4</v>
      </c>
      <c r="E446">
        <v>1246275471</v>
      </c>
      <c r="F446" s="222">
        <v>46187</v>
      </c>
      <c r="G446" s="222"/>
      <c r="H446" t="s">
        <v>23</v>
      </c>
      <c r="I446" t="s">
        <v>24</v>
      </c>
      <c r="J446">
        <v>11411</v>
      </c>
      <c r="K446" s="222">
        <v>46157</v>
      </c>
      <c r="L446">
        <v>1010100</v>
      </c>
      <c r="M446" t="s">
        <v>29</v>
      </c>
      <c r="N446">
        <v>-14</v>
      </c>
      <c r="O446" s="30">
        <v>0</v>
      </c>
      <c r="P446" s="30">
        <v>0</v>
      </c>
      <c r="Q446" s="30">
        <v>45716.4</v>
      </c>
      <c r="R446" s="30">
        <v>0</v>
      </c>
      <c r="S446" s="30">
        <v>0</v>
      </c>
      <c r="T446" s="30">
        <v>0</v>
      </c>
      <c r="U446" s="30">
        <v>0</v>
      </c>
      <c r="V446" s="30">
        <v>0</v>
      </c>
      <c r="W446" s="30">
        <v>0</v>
      </c>
      <c r="X446" s="30">
        <v>0</v>
      </c>
      <c r="Y446" s="30">
        <v>0</v>
      </c>
      <c r="Z446" s="30">
        <v>0</v>
      </c>
      <c r="AA446" s="30">
        <v>0</v>
      </c>
      <c r="AB446" s="30">
        <v>0</v>
      </c>
      <c r="AC446" s="30" t="s">
        <v>407</v>
      </c>
      <c r="AD446" s="30"/>
      <c r="AE446" s="30">
        <v>0</v>
      </c>
    </row>
    <row r="447" spans="1:31" x14ac:dyDescent="0.25">
      <c r="A447">
        <v>5519</v>
      </c>
      <c r="B447" t="s">
        <v>272</v>
      </c>
      <c r="C447" t="s">
        <v>759</v>
      </c>
      <c r="D447" s="33">
        <v>45716.4</v>
      </c>
      <c r="E447">
        <v>1246275472</v>
      </c>
      <c r="F447" s="222">
        <v>46217</v>
      </c>
      <c r="G447" s="222"/>
      <c r="H447" t="s">
        <v>23</v>
      </c>
      <c r="I447" t="s">
        <v>24</v>
      </c>
      <c r="J447">
        <v>11411</v>
      </c>
      <c r="K447" s="222">
        <v>46157</v>
      </c>
      <c r="L447">
        <v>1010100</v>
      </c>
      <c r="M447" t="s">
        <v>29</v>
      </c>
      <c r="N447">
        <v>-44</v>
      </c>
      <c r="O447" s="30">
        <v>0</v>
      </c>
      <c r="P447" s="30">
        <v>0</v>
      </c>
      <c r="Q447" s="30">
        <v>45716.4</v>
      </c>
      <c r="R447" s="30">
        <v>0</v>
      </c>
      <c r="S447" s="30">
        <v>0</v>
      </c>
      <c r="T447" s="30">
        <v>0</v>
      </c>
      <c r="U447" s="30">
        <v>0</v>
      </c>
      <c r="V447" s="30">
        <v>0</v>
      </c>
      <c r="W447" s="30">
        <v>0</v>
      </c>
      <c r="X447" s="30">
        <v>0</v>
      </c>
      <c r="Y447" s="30">
        <v>0</v>
      </c>
      <c r="Z447" s="30">
        <v>0</v>
      </c>
      <c r="AA447" s="30">
        <v>0</v>
      </c>
      <c r="AB447" s="30">
        <v>0</v>
      </c>
      <c r="AC447" s="30" t="s">
        <v>407</v>
      </c>
      <c r="AD447" s="30"/>
      <c r="AE447" s="30">
        <v>0</v>
      </c>
    </row>
    <row r="448" spans="1:31" x14ac:dyDescent="0.25">
      <c r="A448">
        <v>6177</v>
      </c>
      <c r="B448" t="s">
        <v>633</v>
      </c>
      <c r="C448" t="s">
        <v>692</v>
      </c>
      <c r="D448" s="33">
        <v>122180</v>
      </c>
      <c r="E448">
        <v>1246273001</v>
      </c>
      <c r="F448" s="222">
        <v>46200</v>
      </c>
      <c r="G448" s="222"/>
      <c r="H448" t="s">
        <v>23</v>
      </c>
      <c r="I448" t="s">
        <v>24</v>
      </c>
      <c r="J448">
        <v>11247</v>
      </c>
      <c r="K448" s="222">
        <v>46140</v>
      </c>
      <c r="L448">
        <v>1010100</v>
      </c>
      <c r="M448" t="s">
        <v>29</v>
      </c>
      <c r="N448">
        <v>-27</v>
      </c>
      <c r="O448" s="30">
        <v>0</v>
      </c>
      <c r="P448" s="30">
        <v>0</v>
      </c>
      <c r="Q448" s="30">
        <v>122180</v>
      </c>
      <c r="R448" s="30">
        <v>0</v>
      </c>
      <c r="S448" s="30">
        <v>0</v>
      </c>
      <c r="T448" s="30">
        <v>0</v>
      </c>
      <c r="U448" s="30">
        <v>0</v>
      </c>
      <c r="V448" s="30">
        <v>0</v>
      </c>
      <c r="W448" s="30">
        <v>0</v>
      </c>
      <c r="X448" s="30">
        <v>0</v>
      </c>
      <c r="Y448" s="30">
        <v>0</v>
      </c>
      <c r="Z448" s="30">
        <v>0</v>
      </c>
      <c r="AA448" s="30">
        <v>0</v>
      </c>
      <c r="AB448" s="30">
        <v>0</v>
      </c>
      <c r="AC448" s="30" t="s">
        <v>407</v>
      </c>
      <c r="AD448" s="30"/>
      <c r="AE448" s="30">
        <v>0</v>
      </c>
    </row>
    <row r="449" spans="1:31" x14ac:dyDescent="0.25">
      <c r="A449">
        <v>5300</v>
      </c>
      <c r="B449" t="s">
        <v>25</v>
      </c>
      <c r="C449" t="s">
        <v>464</v>
      </c>
      <c r="D449" s="33">
        <v>174023.2</v>
      </c>
      <c r="E449">
        <v>1246273400</v>
      </c>
      <c r="F449" s="222">
        <v>46174</v>
      </c>
      <c r="G449" s="222">
        <v>46174</v>
      </c>
      <c r="H449" t="s">
        <v>23</v>
      </c>
      <c r="I449" t="s">
        <v>24</v>
      </c>
      <c r="J449">
        <v>11286</v>
      </c>
      <c r="K449" s="222">
        <v>46146</v>
      </c>
      <c r="L449">
        <v>1010100</v>
      </c>
      <c r="M449" t="s">
        <v>29</v>
      </c>
      <c r="N449">
        <v>-1</v>
      </c>
      <c r="O449" s="30">
        <v>0</v>
      </c>
      <c r="P449" s="30">
        <v>0</v>
      </c>
      <c r="Q449" s="30">
        <v>174023.2</v>
      </c>
      <c r="R449" s="30">
        <v>0</v>
      </c>
      <c r="S449" s="30">
        <v>0</v>
      </c>
      <c r="T449" s="30">
        <v>0</v>
      </c>
      <c r="U449" s="30">
        <v>0</v>
      </c>
      <c r="V449" s="30">
        <v>0</v>
      </c>
      <c r="W449" s="30">
        <v>0</v>
      </c>
      <c r="X449" s="30">
        <v>0</v>
      </c>
      <c r="Y449" s="30">
        <v>0</v>
      </c>
      <c r="Z449" s="30">
        <v>0</v>
      </c>
      <c r="AA449" s="30">
        <v>0</v>
      </c>
      <c r="AB449" s="30">
        <v>0</v>
      </c>
      <c r="AC449" s="30" t="s">
        <v>407</v>
      </c>
      <c r="AD449" s="30"/>
      <c r="AE449" s="30">
        <v>0</v>
      </c>
    </row>
    <row r="450" spans="1:31" x14ac:dyDescent="0.25">
      <c r="A450">
        <v>5300</v>
      </c>
      <c r="B450" t="s">
        <v>25</v>
      </c>
      <c r="C450" t="s">
        <v>464</v>
      </c>
      <c r="D450" s="33">
        <v>176331.2</v>
      </c>
      <c r="E450">
        <v>1246276241</v>
      </c>
      <c r="F450" s="222">
        <v>46192</v>
      </c>
      <c r="G450" s="222"/>
      <c r="H450" t="s">
        <v>23</v>
      </c>
      <c r="I450" t="s">
        <v>24</v>
      </c>
      <c r="J450">
        <v>11469</v>
      </c>
      <c r="K450" s="222">
        <v>46164</v>
      </c>
      <c r="L450">
        <v>1010100</v>
      </c>
      <c r="M450" t="s">
        <v>29</v>
      </c>
      <c r="N450">
        <v>-19</v>
      </c>
      <c r="O450" s="30">
        <v>0</v>
      </c>
      <c r="P450" s="30">
        <v>0</v>
      </c>
      <c r="Q450" s="30">
        <v>176331.2</v>
      </c>
      <c r="R450" s="30">
        <v>0</v>
      </c>
      <c r="S450" s="30">
        <v>0</v>
      </c>
      <c r="T450" s="30">
        <v>0</v>
      </c>
      <c r="U450" s="30">
        <v>0</v>
      </c>
      <c r="V450" s="30">
        <v>0</v>
      </c>
      <c r="W450" s="30">
        <v>0</v>
      </c>
      <c r="X450" s="30">
        <v>0</v>
      </c>
      <c r="Y450" s="30">
        <v>0</v>
      </c>
      <c r="Z450" s="30">
        <v>0</v>
      </c>
      <c r="AA450" s="30">
        <v>0</v>
      </c>
      <c r="AB450" s="30">
        <v>0</v>
      </c>
      <c r="AC450" s="30" t="s">
        <v>407</v>
      </c>
      <c r="AD450" s="30"/>
      <c r="AE450" s="30">
        <v>0</v>
      </c>
    </row>
    <row r="451" spans="1:31" x14ac:dyDescent="0.25">
      <c r="A451">
        <v>5300</v>
      </c>
      <c r="B451" t="s">
        <v>25</v>
      </c>
      <c r="C451" t="s">
        <v>464</v>
      </c>
      <c r="D451" s="33">
        <v>170388.1</v>
      </c>
      <c r="E451">
        <v>1246276132</v>
      </c>
      <c r="F451" s="222">
        <v>46191</v>
      </c>
      <c r="G451" s="222"/>
      <c r="H451" t="s">
        <v>23</v>
      </c>
      <c r="I451" t="s">
        <v>24</v>
      </c>
      <c r="J451">
        <v>11463</v>
      </c>
      <c r="K451" s="222">
        <v>46163</v>
      </c>
      <c r="L451">
        <v>1010100</v>
      </c>
      <c r="M451" t="s">
        <v>29</v>
      </c>
      <c r="N451">
        <v>-18</v>
      </c>
      <c r="O451" s="30">
        <v>0</v>
      </c>
      <c r="P451" s="30">
        <v>0</v>
      </c>
      <c r="Q451" s="30">
        <v>170388.1</v>
      </c>
      <c r="R451" s="30">
        <v>0</v>
      </c>
      <c r="S451" s="30">
        <v>0</v>
      </c>
      <c r="T451" s="30">
        <v>0</v>
      </c>
      <c r="U451" s="30">
        <v>0</v>
      </c>
      <c r="V451" s="30">
        <v>0</v>
      </c>
      <c r="W451" s="30">
        <v>0</v>
      </c>
      <c r="X451" s="30">
        <v>0</v>
      </c>
      <c r="Y451" s="30">
        <v>0</v>
      </c>
      <c r="Z451" s="30">
        <v>0</v>
      </c>
      <c r="AA451" s="30">
        <v>0</v>
      </c>
      <c r="AB451" s="30">
        <v>0</v>
      </c>
      <c r="AC451" s="30" t="s">
        <v>407</v>
      </c>
      <c r="AD451" s="30"/>
      <c r="AE451" s="30">
        <v>0</v>
      </c>
    </row>
    <row r="452" spans="1:31" x14ac:dyDescent="0.25">
      <c r="A452">
        <v>5300</v>
      </c>
      <c r="B452" t="s">
        <v>25</v>
      </c>
      <c r="C452" t="s">
        <v>464</v>
      </c>
      <c r="D452" s="33">
        <v>174542.49999999997</v>
      </c>
      <c r="E452">
        <v>1246273743</v>
      </c>
      <c r="F452" s="222">
        <v>46176</v>
      </c>
      <c r="G452" s="222"/>
      <c r="H452" t="s">
        <v>23</v>
      </c>
      <c r="I452" t="s">
        <v>24</v>
      </c>
      <c r="J452">
        <v>11309</v>
      </c>
      <c r="K452" s="222">
        <v>46148</v>
      </c>
      <c r="L452">
        <v>1010100</v>
      </c>
      <c r="M452" t="s">
        <v>29</v>
      </c>
      <c r="N452">
        <v>-3</v>
      </c>
      <c r="O452" s="30">
        <v>0</v>
      </c>
      <c r="P452" s="30">
        <v>0</v>
      </c>
      <c r="Q452" s="30">
        <v>174542.49999999997</v>
      </c>
      <c r="R452" s="30">
        <v>0</v>
      </c>
      <c r="S452" s="30">
        <v>0</v>
      </c>
      <c r="T452" s="30">
        <v>0</v>
      </c>
      <c r="U452" s="30">
        <v>0</v>
      </c>
      <c r="V452" s="30">
        <v>0</v>
      </c>
      <c r="W452" s="30">
        <v>0</v>
      </c>
      <c r="X452" s="30">
        <v>0</v>
      </c>
      <c r="Y452" s="30">
        <v>0</v>
      </c>
      <c r="Z452" s="30">
        <v>0</v>
      </c>
      <c r="AA452" s="30">
        <v>0</v>
      </c>
      <c r="AB452" s="30">
        <v>0</v>
      </c>
      <c r="AC452" s="30" t="s">
        <v>407</v>
      </c>
      <c r="AD452" s="30"/>
      <c r="AE452" s="30">
        <v>0</v>
      </c>
    </row>
    <row r="453" spans="1:31" x14ac:dyDescent="0.25">
      <c r="A453">
        <v>5300</v>
      </c>
      <c r="B453" t="s">
        <v>25</v>
      </c>
      <c r="C453" t="s">
        <v>464</v>
      </c>
      <c r="D453" s="33">
        <v>169176.4</v>
      </c>
      <c r="E453">
        <v>1246273181</v>
      </c>
      <c r="F453" s="222">
        <v>46174</v>
      </c>
      <c r="G453" s="222">
        <v>46174</v>
      </c>
      <c r="H453" t="s">
        <v>23</v>
      </c>
      <c r="I453" t="s">
        <v>24</v>
      </c>
      <c r="J453">
        <v>11268</v>
      </c>
      <c r="K453" s="222">
        <v>46142</v>
      </c>
      <c r="L453">
        <v>1010100</v>
      </c>
      <c r="M453" t="s">
        <v>29</v>
      </c>
      <c r="N453">
        <v>-1</v>
      </c>
      <c r="O453" s="30">
        <v>0</v>
      </c>
      <c r="P453" s="30">
        <v>0</v>
      </c>
      <c r="Q453" s="30">
        <v>169176.4</v>
      </c>
      <c r="R453" s="30">
        <v>0</v>
      </c>
      <c r="S453" s="30">
        <v>0</v>
      </c>
      <c r="T453" s="30">
        <v>0</v>
      </c>
      <c r="U453" s="30">
        <v>0</v>
      </c>
      <c r="V453" s="30">
        <v>0</v>
      </c>
      <c r="W453" s="30">
        <v>0</v>
      </c>
      <c r="X453" s="30">
        <v>0</v>
      </c>
      <c r="Y453" s="30">
        <v>0</v>
      </c>
      <c r="Z453" s="30">
        <v>0</v>
      </c>
      <c r="AA453" s="30">
        <v>0</v>
      </c>
      <c r="AB453" s="30">
        <v>0</v>
      </c>
      <c r="AC453" s="30" t="s">
        <v>407</v>
      </c>
      <c r="AD453" s="30"/>
      <c r="AE453" s="30">
        <v>0</v>
      </c>
    </row>
    <row r="454" spans="1:31" x14ac:dyDescent="0.25">
      <c r="A454">
        <v>5882</v>
      </c>
      <c r="B454" t="s">
        <v>162</v>
      </c>
      <c r="C454" t="s">
        <v>26</v>
      </c>
      <c r="D454" s="33">
        <v>131282.87</v>
      </c>
      <c r="E454">
        <v>1246273745</v>
      </c>
      <c r="F454" s="222">
        <v>46178</v>
      </c>
      <c r="G454" s="222"/>
      <c r="H454" t="s">
        <v>23</v>
      </c>
      <c r="I454" t="s">
        <v>24</v>
      </c>
      <c r="J454">
        <v>11311</v>
      </c>
      <c r="K454" s="222">
        <v>46148</v>
      </c>
      <c r="L454">
        <v>1010200</v>
      </c>
      <c r="M454" t="s">
        <v>113</v>
      </c>
      <c r="N454">
        <v>-5</v>
      </c>
      <c r="O454" s="30">
        <v>0</v>
      </c>
      <c r="P454" s="30">
        <v>0</v>
      </c>
      <c r="Q454" s="30">
        <v>131282.87</v>
      </c>
      <c r="R454" s="30">
        <v>0</v>
      </c>
      <c r="S454" s="30">
        <v>0</v>
      </c>
      <c r="T454" s="30">
        <v>0</v>
      </c>
      <c r="U454" s="30">
        <v>0</v>
      </c>
      <c r="V454" s="30">
        <v>0</v>
      </c>
      <c r="W454" s="30">
        <v>0</v>
      </c>
      <c r="X454" s="30">
        <v>0</v>
      </c>
      <c r="Y454" s="30">
        <v>0</v>
      </c>
      <c r="Z454" s="30">
        <v>0</v>
      </c>
      <c r="AA454" s="30">
        <v>0</v>
      </c>
      <c r="AB454" s="30">
        <v>0</v>
      </c>
      <c r="AC454" s="30" t="s">
        <v>407</v>
      </c>
      <c r="AD454" s="30"/>
      <c r="AE454" s="30">
        <v>0</v>
      </c>
    </row>
    <row r="455" spans="1:31" x14ac:dyDescent="0.25">
      <c r="A455">
        <v>5882</v>
      </c>
      <c r="B455" t="s">
        <v>162</v>
      </c>
      <c r="C455" t="s">
        <v>26</v>
      </c>
      <c r="D455" s="33">
        <v>133551.97</v>
      </c>
      <c r="E455">
        <v>1246275785</v>
      </c>
      <c r="F455" s="222">
        <v>46191</v>
      </c>
      <c r="G455" s="222"/>
      <c r="H455" t="s">
        <v>23</v>
      </c>
      <c r="I455" t="s">
        <v>24</v>
      </c>
      <c r="J455">
        <v>11439</v>
      </c>
      <c r="K455" s="222">
        <v>46161</v>
      </c>
      <c r="L455">
        <v>1010200</v>
      </c>
      <c r="M455" t="s">
        <v>113</v>
      </c>
      <c r="N455">
        <v>-18</v>
      </c>
      <c r="O455" s="30">
        <v>0</v>
      </c>
      <c r="P455" s="30">
        <v>0</v>
      </c>
      <c r="Q455" s="30">
        <v>133551.97</v>
      </c>
      <c r="R455" s="30">
        <v>0</v>
      </c>
      <c r="S455" s="30">
        <v>0</v>
      </c>
      <c r="T455" s="30">
        <v>0</v>
      </c>
      <c r="U455" s="30">
        <v>0</v>
      </c>
      <c r="V455" s="30">
        <v>0</v>
      </c>
      <c r="W455" s="30">
        <v>0</v>
      </c>
      <c r="X455" s="30">
        <v>0</v>
      </c>
      <c r="Y455" s="30">
        <v>0</v>
      </c>
      <c r="Z455" s="30">
        <v>0</v>
      </c>
      <c r="AA455" s="30">
        <v>0</v>
      </c>
      <c r="AB455" s="30">
        <v>0</v>
      </c>
      <c r="AC455" s="30" t="s">
        <v>407</v>
      </c>
      <c r="AD455" s="30"/>
      <c r="AE455" s="30">
        <v>0</v>
      </c>
    </row>
    <row r="456" spans="1:31" x14ac:dyDescent="0.25">
      <c r="A456">
        <v>4575</v>
      </c>
      <c r="B456" t="s">
        <v>80</v>
      </c>
      <c r="C456" t="s">
        <v>81</v>
      </c>
      <c r="D456" s="33">
        <v>20940</v>
      </c>
      <c r="E456">
        <v>1246113043</v>
      </c>
      <c r="F456" s="222">
        <v>45311</v>
      </c>
      <c r="G456" s="222"/>
      <c r="H456" t="s">
        <v>23</v>
      </c>
      <c r="I456" t="s">
        <v>24</v>
      </c>
      <c r="J456">
        <v>1821</v>
      </c>
      <c r="K456" s="222">
        <v>45233</v>
      </c>
      <c r="L456">
        <v>1010100</v>
      </c>
      <c r="M456" t="s">
        <v>29</v>
      </c>
      <c r="N456">
        <v>862</v>
      </c>
      <c r="O456" s="30">
        <v>0</v>
      </c>
      <c r="P456" s="30">
        <v>20940</v>
      </c>
      <c r="Q456" s="30">
        <v>0</v>
      </c>
      <c r="R456" s="30">
        <v>0</v>
      </c>
      <c r="S456" s="30">
        <v>0</v>
      </c>
      <c r="T456" s="30">
        <v>0</v>
      </c>
      <c r="U456" s="30">
        <v>20940</v>
      </c>
      <c r="V456" s="30">
        <v>0</v>
      </c>
      <c r="W456" s="30">
        <v>628.19999999999993</v>
      </c>
      <c r="X456" s="30">
        <v>20311.8</v>
      </c>
      <c r="Y456" s="30">
        <v>20311.8</v>
      </c>
      <c r="Z456" s="30">
        <v>20940</v>
      </c>
      <c r="AA456" s="30">
        <v>0</v>
      </c>
      <c r="AB456" s="30">
        <v>20940</v>
      </c>
      <c r="AC456" s="30" t="s">
        <v>459</v>
      </c>
      <c r="AD456" s="30"/>
      <c r="AE456" s="30">
        <v>20940</v>
      </c>
    </row>
    <row r="457" spans="1:31" x14ac:dyDescent="0.25">
      <c r="A457">
        <v>5657</v>
      </c>
      <c r="B457" t="s">
        <v>84</v>
      </c>
      <c r="C457" t="s">
        <v>15401</v>
      </c>
      <c r="D457" s="33">
        <v>18100</v>
      </c>
      <c r="E457">
        <v>1246274650</v>
      </c>
      <c r="F457" s="222">
        <v>46182</v>
      </c>
      <c r="G457" s="222"/>
      <c r="H457" t="s">
        <v>23</v>
      </c>
      <c r="I457" t="s">
        <v>24</v>
      </c>
      <c r="J457">
        <v>11371</v>
      </c>
      <c r="K457" s="222">
        <v>46154</v>
      </c>
      <c r="L457">
        <v>1010100</v>
      </c>
      <c r="M457" t="s">
        <v>29</v>
      </c>
      <c r="N457">
        <v>-9</v>
      </c>
      <c r="O457" s="30">
        <v>0</v>
      </c>
      <c r="P457" s="30">
        <v>0</v>
      </c>
      <c r="Q457" s="30">
        <v>18100</v>
      </c>
      <c r="R457" s="30">
        <v>0</v>
      </c>
      <c r="S457" s="30">
        <v>0</v>
      </c>
      <c r="T457" s="30">
        <v>0</v>
      </c>
      <c r="U457" s="30">
        <v>0</v>
      </c>
      <c r="V457" s="30">
        <v>0</v>
      </c>
      <c r="W457" s="30">
        <v>0</v>
      </c>
      <c r="X457" s="30">
        <v>0</v>
      </c>
      <c r="Y457" s="30">
        <v>0</v>
      </c>
      <c r="Z457" s="30">
        <v>0</v>
      </c>
      <c r="AA457" s="30">
        <v>0</v>
      </c>
      <c r="AB457" s="30">
        <v>0</v>
      </c>
      <c r="AC457" s="30" t="s">
        <v>407</v>
      </c>
      <c r="AD457" s="30"/>
      <c r="AE457" s="30">
        <v>0</v>
      </c>
    </row>
    <row r="458" spans="1:31" x14ac:dyDescent="0.25">
      <c r="A458">
        <v>5657</v>
      </c>
      <c r="B458" t="s">
        <v>84</v>
      </c>
      <c r="C458" t="s">
        <v>15401</v>
      </c>
      <c r="D458" s="33">
        <v>31780</v>
      </c>
      <c r="E458">
        <v>1246274603</v>
      </c>
      <c r="F458" s="222">
        <v>46182</v>
      </c>
      <c r="G458" s="222"/>
      <c r="H458" t="s">
        <v>23</v>
      </c>
      <c r="I458" t="s">
        <v>24</v>
      </c>
      <c r="J458">
        <v>2935</v>
      </c>
      <c r="K458" s="222">
        <v>46154</v>
      </c>
      <c r="L458">
        <v>1010100</v>
      </c>
      <c r="M458" t="s">
        <v>29</v>
      </c>
      <c r="N458">
        <v>-9</v>
      </c>
      <c r="O458" s="30">
        <v>0</v>
      </c>
      <c r="P458" s="30">
        <v>0</v>
      </c>
      <c r="Q458" s="30">
        <v>31780</v>
      </c>
      <c r="R458" s="30">
        <v>0</v>
      </c>
      <c r="S458" s="30">
        <v>0</v>
      </c>
      <c r="T458" s="30">
        <v>0</v>
      </c>
      <c r="U458" s="30">
        <v>0</v>
      </c>
      <c r="V458" s="30">
        <v>0</v>
      </c>
      <c r="W458" s="30">
        <v>0</v>
      </c>
      <c r="X458" s="30">
        <v>0</v>
      </c>
      <c r="Y458" s="30">
        <v>0</v>
      </c>
      <c r="Z458" s="30">
        <v>0</v>
      </c>
      <c r="AA458" s="30">
        <v>0</v>
      </c>
      <c r="AB458" s="30">
        <v>0</v>
      </c>
      <c r="AC458" s="30" t="s">
        <v>407</v>
      </c>
      <c r="AD458" s="30"/>
      <c r="AE458" s="30">
        <v>0</v>
      </c>
    </row>
    <row r="459" spans="1:31" x14ac:dyDescent="0.25">
      <c r="A459">
        <v>4737</v>
      </c>
      <c r="B459" t="s">
        <v>578</v>
      </c>
      <c r="C459" t="s">
        <v>15418</v>
      </c>
      <c r="D459" s="33">
        <v>25520</v>
      </c>
      <c r="E459">
        <v>1246276226</v>
      </c>
      <c r="F459" s="222">
        <v>46194</v>
      </c>
      <c r="G459" s="222"/>
      <c r="H459" t="s">
        <v>23</v>
      </c>
      <c r="I459" t="s">
        <v>24</v>
      </c>
      <c r="J459">
        <v>2954</v>
      </c>
      <c r="K459" s="222">
        <v>46164</v>
      </c>
      <c r="L459">
        <v>1010100</v>
      </c>
      <c r="M459" t="s">
        <v>29</v>
      </c>
      <c r="N459">
        <v>-21</v>
      </c>
      <c r="O459" s="30">
        <v>0</v>
      </c>
      <c r="P459" s="30">
        <v>0</v>
      </c>
      <c r="Q459" s="30">
        <v>25520</v>
      </c>
      <c r="R459" s="30">
        <v>0</v>
      </c>
      <c r="S459" s="30">
        <v>0</v>
      </c>
      <c r="T459" s="30">
        <v>0</v>
      </c>
      <c r="U459" s="30">
        <v>0</v>
      </c>
      <c r="V459" s="30">
        <v>0</v>
      </c>
      <c r="W459" s="30">
        <v>0</v>
      </c>
      <c r="X459" s="30">
        <v>0</v>
      </c>
      <c r="Y459" s="30">
        <v>0</v>
      </c>
      <c r="Z459" s="30">
        <v>0</v>
      </c>
      <c r="AA459" s="30">
        <v>0</v>
      </c>
      <c r="AB459" s="30">
        <v>0</v>
      </c>
      <c r="AC459" s="30" t="s">
        <v>407</v>
      </c>
      <c r="AD459" s="30"/>
      <c r="AE459" s="30">
        <v>0</v>
      </c>
    </row>
    <row r="460" spans="1:31" x14ac:dyDescent="0.25">
      <c r="A460">
        <v>4737</v>
      </c>
      <c r="B460" t="s">
        <v>578</v>
      </c>
      <c r="C460" t="s">
        <v>15418</v>
      </c>
      <c r="D460" s="33">
        <v>14269</v>
      </c>
      <c r="E460">
        <v>1246276410</v>
      </c>
      <c r="F460" s="222">
        <v>46194</v>
      </c>
      <c r="G460" s="222"/>
      <c r="H460" t="s">
        <v>23</v>
      </c>
      <c r="I460" t="s">
        <v>24</v>
      </c>
      <c r="J460">
        <v>11480</v>
      </c>
      <c r="K460" s="222">
        <v>46164</v>
      </c>
      <c r="L460">
        <v>1010100</v>
      </c>
      <c r="M460" t="s">
        <v>29</v>
      </c>
      <c r="N460">
        <v>-21</v>
      </c>
      <c r="O460" s="30">
        <v>0</v>
      </c>
      <c r="P460" s="30">
        <v>0</v>
      </c>
      <c r="Q460" s="30">
        <v>14269</v>
      </c>
      <c r="R460" s="30">
        <v>0</v>
      </c>
      <c r="S460" s="30">
        <v>0</v>
      </c>
      <c r="T460" s="30">
        <v>0</v>
      </c>
      <c r="U460" s="30">
        <v>0</v>
      </c>
      <c r="V460" s="30">
        <v>0</v>
      </c>
      <c r="W460" s="30">
        <v>0</v>
      </c>
      <c r="X460" s="30">
        <v>0</v>
      </c>
      <c r="Y460" s="30">
        <v>0</v>
      </c>
      <c r="Z460" s="30">
        <v>0</v>
      </c>
      <c r="AA460" s="30">
        <v>0</v>
      </c>
      <c r="AB460" s="30">
        <v>0</v>
      </c>
      <c r="AC460" s="30" t="s">
        <v>407</v>
      </c>
      <c r="AD460" s="30"/>
      <c r="AE460" s="30">
        <v>0</v>
      </c>
    </row>
    <row r="461" spans="1:31" x14ac:dyDescent="0.25">
      <c r="A461">
        <v>7022</v>
      </c>
      <c r="B461" t="s">
        <v>15419</v>
      </c>
      <c r="C461" t="s">
        <v>90</v>
      </c>
      <c r="D461" s="33">
        <v>1800</v>
      </c>
      <c r="E461">
        <v>1246054442</v>
      </c>
      <c r="F461" s="222">
        <v>44897</v>
      </c>
      <c r="G461" s="222"/>
      <c r="H461" t="s">
        <v>23</v>
      </c>
      <c r="I461" t="s">
        <v>24</v>
      </c>
      <c r="J461">
        <v>1246054442</v>
      </c>
      <c r="K461" s="222">
        <v>44882</v>
      </c>
      <c r="L461">
        <v>3041000</v>
      </c>
      <c r="M461" t="s">
        <v>124</v>
      </c>
      <c r="N461">
        <v>1276</v>
      </c>
      <c r="O461" s="30">
        <v>0</v>
      </c>
      <c r="P461" s="30">
        <v>1800</v>
      </c>
      <c r="Q461" s="30">
        <v>0</v>
      </c>
      <c r="R461" s="30">
        <v>0</v>
      </c>
      <c r="S461" s="30">
        <v>0</v>
      </c>
      <c r="T461" s="30">
        <v>0</v>
      </c>
      <c r="U461" s="30">
        <v>1800</v>
      </c>
      <c r="V461" s="30">
        <v>0</v>
      </c>
      <c r="W461" s="30">
        <v>54</v>
      </c>
      <c r="X461" s="30">
        <v>1746</v>
      </c>
      <c r="Y461" s="30">
        <v>1746</v>
      </c>
      <c r="Z461" s="30">
        <v>1800</v>
      </c>
      <c r="AA461" s="30">
        <v>0</v>
      </c>
      <c r="AB461" s="30">
        <v>1800</v>
      </c>
      <c r="AC461" s="30" t="s">
        <v>407</v>
      </c>
      <c r="AD461" s="30"/>
      <c r="AE461" s="30">
        <v>1800</v>
      </c>
    </row>
    <row r="462" spans="1:31" x14ac:dyDescent="0.25">
      <c r="A462">
        <v>7022</v>
      </c>
      <c r="B462" t="s">
        <v>15419</v>
      </c>
      <c r="C462" t="s">
        <v>90</v>
      </c>
      <c r="D462" s="33">
        <v>70658.399999999994</v>
      </c>
      <c r="E462">
        <v>1246270917</v>
      </c>
      <c r="F462" s="222">
        <v>46211</v>
      </c>
      <c r="G462" s="222"/>
      <c r="H462" t="s">
        <v>23</v>
      </c>
      <c r="I462" t="s">
        <v>24</v>
      </c>
      <c r="J462">
        <v>11081</v>
      </c>
      <c r="K462" s="222">
        <v>46121</v>
      </c>
      <c r="L462">
        <v>1010100</v>
      </c>
      <c r="M462" t="s">
        <v>29</v>
      </c>
      <c r="N462">
        <v>-38</v>
      </c>
      <c r="O462" s="30">
        <v>0</v>
      </c>
      <c r="P462" s="30">
        <v>0</v>
      </c>
      <c r="Q462" s="30">
        <v>70658.399999999994</v>
      </c>
      <c r="R462" s="30">
        <v>0</v>
      </c>
      <c r="S462" s="30">
        <v>0</v>
      </c>
      <c r="T462" s="30">
        <v>0</v>
      </c>
      <c r="U462" s="30">
        <v>0</v>
      </c>
      <c r="V462" s="30">
        <v>0</v>
      </c>
      <c r="W462" s="30">
        <v>0</v>
      </c>
      <c r="X462" s="30">
        <v>0</v>
      </c>
      <c r="Y462" s="30">
        <v>0</v>
      </c>
      <c r="Z462" s="30">
        <v>0</v>
      </c>
      <c r="AA462" s="30">
        <v>0</v>
      </c>
      <c r="AB462" s="30">
        <v>0</v>
      </c>
      <c r="AC462" s="30" t="s">
        <v>407</v>
      </c>
      <c r="AD462" s="30"/>
      <c r="AE462" s="30">
        <v>0</v>
      </c>
    </row>
    <row r="463" spans="1:31" x14ac:dyDescent="0.25">
      <c r="A463">
        <v>7022</v>
      </c>
      <c r="B463" t="s">
        <v>15419</v>
      </c>
      <c r="C463" t="s">
        <v>90</v>
      </c>
      <c r="D463" s="33">
        <v>70894.399999999994</v>
      </c>
      <c r="E463">
        <v>1246270966</v>
      </c>
      <c r="F463" s="222">
        <v>46212</v>
      </c>
      <c r="G463" s="222"/>
      <c r="H463" t="s">
        <v>23</v>
      </c>
      <c r="I463" t="s">
        <v>24</v>
      </c>
      <c r="J463">
        <v>11087</v>
      </c>
      <c r="K463" s="222">
        <v>46122</v>
      </c>
      <c r="L463">
        <v>1010100</v>
      </c>
      <c r="M463" t="s">
        <v>29</v>
      </c>
      <c r="N463">
        <v>-39</v>
      </c>
      <c r="O463" s="30">
        <v>0</v>
      </c>
      <c r="P463" s="30">
        <v>0</v>
      </c>
      <c r="Q463" s="30">
        <v>70894.399999999994</v>
      </c>
      <c r="R463" s="30">
        <v>0</v>
      </c>
      <c r="S463" s="30">
        <v>0</v>
      </c>
      <c r="T463" s="30">
        <v>0</v>
      </c>
      <c r="U463" s="30">
        <v>0</v>
      </c>
      <c r="V463" s="30">
        <v>0</v>
      </c>
      <c r="W463" s="30">
        <v>0</v>
      </c>
      <c r="X463" s="30">
        <v>0</v>
      </c>
      <c r="Y463" s="30">
        <v>0</v>
      </c>
      <c r="Z463" s="30">
        <v>0</v>
      </c>
      <c r="AA463" s="30">
        <v>0</v>
      </c>
      <c r="AB463" s="30">
        <v>0</v>
      </c>
      <c r="AC463" s="30" t="s">
        <v>407</v>
      </c>
      <c r="AD463" s="30"/>
      <c r="AE463" s="30">
        <v>0</v>
      </c>
    </row>
    <row r="464" spans="1:31" x14ac:dyDescent="0.25">
      <c r="A464">
        <v>7022</v>
      </c>
      <c r="B464" t="s">
        <v>15419</v>
      </c>
      <c r="C464" t="s">
        <v>90</v>
      </c>
      <c r="D464" s="33">
        <v>70540.399999999994</v>
      </c>
      <c r="E464">
        <v>1246275322</v>
      </c>
      <c r="F464" s="222">
        <v>46247</v>
      </c>
      <c r="G464" s="222"/>
      <c r="H464" t="s">
        <v>23</v>
      </c>
      <c r="I464" t="s">
        <v>24</v>
      </c>
      <c r="J464">
        <v>11403</v>
      </c>
      <c r="K464" s="222">
        <v>46157</v>
      </c>
      <c r="L464">
        <v>1010100</v>
      </c>
      <c r="M464" t="s">
        <v>29</v>
      </c>
      <c r="N464">
        <v>-74</v>
      </c>
      <c r="O464" s="30">
        <v>0</v>
      </c>
      <c r="P464" s="30">
        <v>0</v>
      </c>
      <c r="Q464" s="30">
        <v>70540.399999999994</v>
      </c>
      <c r="R464" s="30">
        <v>0</v>
      </c>
      <c r="S464" s="30">
        <v>0</v>
      </c>
      <c r="T464" s="30">
        <v>0</v>
      </c>
      <c r="U464" s="30">
        <v>0</v>
      </c>
      <c r="V464" s="30">
        <v>0</v>
      </c>
      <c r="W464" s="30">
        <v>0</v>
      </c>
      <c r="X464" s="30">
        <v>0</v>
      </c>
      <c r="Y464" s="30">
        <v>0</v>
      </c>
      <c r="Z464" s="30">
        <v>0</v>
      </c>
      <c r="AA464" s="30">
        <v>0</v>
      </c>
      <c r="AB464" s="30">
        <v>0</v>
      </c>
      <c r="AC464" s="30" t="s">
        <v>407</v>
      </c>
      <c r="AD464" s="30"/>
      <c r="AE464" s="30">
        <v>0</v>
      </c>
    </row>
    <row r="465" spans="1:31" x14ac:dyDescent="0.25">
      <c r="A465">
        <v>7022</v>
      </c>
      <c r="B465" t="s">
        <v>15419</v>
      </c>
      <c r="C465" t="s">
        <v>90</v>
      </c>
      <c r="D465" s="33">
        <v>70776.399999999994</v>
      </c>
      <c r="E465">
        <v>1246276033</v>
      </c>
      <c r="F465" s="222">
        <v>46253</v>
      </c>
      <c r="G465" s="222"/>
      <c r="H465" t="s">
        <v>23</v>
      </c>
      <c r="I465" t="s">
        <v>24</v>
      </c>
      <c r="J465">
        <v>11461</v>
      </c>
      <c r="K465" s="222">
        <v>46163</v>
      </c>
      <c r="L465">
        <v>1010100</v>
      </c>
      <c r="M465" t="s">
        <v>29</v>
      </c>
      <c r="N465">
        <v>-80</v>
      </c>
      <c r="O465" s="30">
        <v>0</v>
      </c>
      <c r="P465" s="30">
        <v>0</v>
      </c>
      <c r="Q465" s="30">
        <v>70776.399999999994</v>
      </c>
      <c r="R465" s="30">
        <v>0</v>
      </c>
      <c r="S465" s="30">
        <v>0</v>
      </c>
      <c r="T465" s="30">
        <v>0</v>
      </c>
      <c r="U465" s="30">
        <v>0</v>
      </c>
      <c r="V465" s="30">
        <v>0</v>
      </c>
      <c r="W465" s="30">
        <v>0</v>
      </c>
      <c r="X465" s="30">
        <v>0</v>
      </c>
      <c r="Y465" s="30">
        <v>0</v>
      </c>
      <c r="Z465" s="30">
        <v>0</v>
      </c>
      <c r="AA465" s="30">
        <v>0</v>
      </c>
      <c r="AB465" s="30">
        <v>0</v>
      </c>
      <c r="AC465" s="30" t="s">
        <v>407</v>
      </c>
      <c r="AD465" s="30"/>
      <c r="AE465" s="30">
        <v>0</v>
      </c>
    </row>
    <row r="466" spans="1:31" x14ac:dyDescent="0.25">
      <c r="A466">
        <v>7022</v>
      </c>
      <c r="B466" t="s">
        <v>15419</v>
      </c>
      <c r="C466" t="s">
        <v>90</v>
      </c>
      <c r="D466" s="33">
        <v>70516.800000000003</v>
      </c>
      <c r="E466">
        <v>1246270817</v>
      </c>
      <c r="F466" s="222">
        <v>46211</v>
      </c>
      <c r="G466" s="222"/>
      <c r="H466" t="s">
        <v>23</v>
      </c>
      <c r="I466" t="s">
        <v>24</v>
      </c>
      <c r="J466">
        <v>11077</v>
      </c>
      <c r="K466" s="222">
        <v>46121</v>
      </c>
      <c r="L466">
        <v>1010100</v>
      </c>
      <c r="M466" t="s">
        <v>29</v>
      </c>
      <c r="N466">
        <v>-38</v>
      </c>
      <c r="O466" s="30">
        <v>0</v>
      </c>
      <c r="P466" s="30">
        <v>0</v>
      </c>
      <c r="Q466" s="30">
        <v>70516.800000000003</v>
      </c>
      <c r="R466" s="30">
        <v>0</v>
      </c>
      <c r="S466" s="30">
        <v>0</v>
      </c>
      <c r="T466" s="30">
        <v>0</v>
      </c>
      <c r="U466" s="30">
        <v>0</v>
      </c>
      <c r="V466" s="30">
        <v>0</v>
      </c>
      <c r="W466" s="30">
        <v>0</v>
      </c>
      <c r="X466" s="30">
        <v>0</v>
      </c>
      <c r="Y466" s="30">
        <v>0</v>
      </c>
      <c r="Z466" s="30">
        <v>0</v>
      </c>
      <c r="AA466" s="30">
        <v>0</v>
      </c>
      <c r="AB466" s="30">
        <v>0</v>
      </c>
      <c r="AC466" s="30" t="s">
        <v>407</v>
      </c>
      <c r="AD466" s="30"/>
      <c r="AE466" s="30">
        <v>0</v>
      </c>
    </row>
    <row r="467" spans="1:31" x14ac:dyDescent="0.25">
      <c r="A467">
        <v>7022</v>
      </c>
      <c r="B467" t="s">
        <v>15419</v>
      </c>
      <c r="C467" t="s">
        <v>90</v>
      </c>
      <c r="D467" s="33">
        <v>71012.399999999994</v>
      </c>
      <c r="E467">
        <v>1246272359</v>
      </c>
      <c r="F467" s="222">
        <v>46226</v>
      </c>
      <c r="G467" s="222"/>
      <c r="H467" t="s">
        <v>23</v>
      </c>
      <c r="I467" t="s">
        <v>24</v>
      </c>
      <c r="J467">
        <v>11207</v>
      </c>
      <c r="K467" s="222">
        <v>46136</v>
      </c>
      <c r="L467">
        <v>1010100</v>
      </c>
      <c r="M467" t="s">
        <v>29</v>
      </c>
      <c r="N467">
        <v>-53</v>
      </c>
      <c r="O467" s="30">
        <v>0</v>
      </c>
      <c r="P467" s="30">
        <v>0</v>
      </c>
      <c r="Q467" s="30">
        <v>71012.399999999994</v>
      </c>
      <c r="R467" s="30">
        <v>0</v>
      </c>
      <c r="S467" s="30">
        <v>0</v>
      </c>
      <c r="T467" s="30">
        <v>0</v>
      </c>
      <c r="U467" s="30">
        <v>0</v>
      </c>
      <c r="V467" s="30">
        <v>0</v>
      </c>
      <c r="W467" s="30">
        <v>0</v>
      </c>
      <c r="X467" s="30">
        <v>0</v>
      </c>
      <c r="Y467" s="30">
        <v>0</v>
      </c>
      <c r="Z467" s="30">
        <v>0</v>
      </c>
      <c r="AA467" s="30">
        <v>0</v>
      </c>
      <c r="AB467" s="30">
        <v>0</v>
      </c>
      <c r="AC467" s="30" t="s">
        <v>407</v>
      </c>
      <c r="AD467" s="30"/>
      <c r="AE467" s="30">
        <v>0</v>
      </c>
    </row>
    <row r="468" spans="1:31" x14ac:dyDescent="0.25">
      <c r="A468">
        <v>7022</v>
      </c>
      <c r="B468" t="s">
        <v>15419</v>
      </c>
      <c r="C468" t="s">
        <v>90</v>
      </c>
      <c r="D468" s="33">
        <v>71862</v>
      </c>
      <c r="E468">
        <v>1246276474</v>
      </c>
      <c r="F468" s="222">
        <v>46257</v>
      </c>
      <c r="G468" s="222"/>
      <c r="H468" t="s">
        <v>23</v>
      </c>
      <c r="I468" t="s">
        <v>24</v>
      </c>
      <c r="J468">
        <v>11485</v>
      </c>
      <c r="K468" s="222">
        <v>46167</v>
      </c>
      <c r="L468">
        <v>1010100</v>
      </c>
      <c r="M468" t="s">
        <v>29</v>
      </c>
      <c r="N468">
        <v>-84</v>
      </c>
      <c r="O468" s="30">
        <v>0</v>
      </c>
      <c r="P468" s="30">
        <v>0</v>
      </c>
      <c r="Q468" s="30">
        <v>71862</v>
      </c>
      <c r="R468" s="30">
        <v>0</v>
      </c>
      <c r="S468" s="30">
        <v>0</v>
      </c>
      <c r="T468" s="30">
        <v>0</v>
      </c>
      <c r="U468" s="30">
        <v>0</v>
      </c>
      <c r="V468" s="30">
        <v>0</v>
      </c>
      <c r="W468" s="30">
        <v>0</v>
      </c>
      <c r="X468" s="30">
        <v>0</v>
      </c>
      <c r="Y468" s="30">
        <v>0</v>
      </c>
      <c r="Z468" s="30">
        <v>0</v>
      </c>
      <c r="AA468" s="30">
        <v>0</v>
      </c>
      <c r="AB468" s="30">
        <v>0</v>
      </c>
      <c r="AC468" s="30" t="s">
        <v>407</v>
      </c>
      <c r="AD468" s="30"/>
      <c r="AE468" s="30">
        <v>0</v>
      </c>
    </row>
    <row r="469" spans="1:31" x14ac:dyDescent="0.25">
      <c r="A469">
        <v>7022</v>
      </c>
      <c r="B469" t="s">
        <v>15419</v>
      </c>
      <c r="C469" t="s">
        <v>90</v>
      </c>
      <c r="D469" s="33">
        <v>70587.600000000006</v>
      </c>
      <c r="E469">
        <v>1246274256</v>
      </c>
      <c r="F469" s="222">
        <v>46243</v>
      </c>
      <c r="G469" s="222"/>
      <c r="H469" t="s">
        <v>23</v>
      </c>
      <c r="I469" t="s">
        <v>24</v>
      </c>
      <c r="J469">
        <v>11338</v>
      </c>
      <c r="K469" s="222">
        <v>46153</v>
      </c>
      <c r="L469">
        <v>1010100</v>
      </c>
      <c r="M469" t="s">
        <v>29</v>
      </c>
      <c r="N469">
        <v>-70</v>
      </c>
      <c r="O469" s="30">
        <v>0</v>
      </c>
      <c r="P469" s="30">
        <v>0</v>
      </c>
      <c r="Q469" s="30">
        <v>70587.600000000006</v>
      </c>
      <c r="R469" s="30">
        <v>0</v>
      </c>
      <c r="S469" s="30">
        <v>0</v>
      </c>
      <c r="T469" s="30">
        <v>0</v>
      </c>
      <c r="U469" s="30">
        <v>0</v>
      </c>
      <c r="V469" s="30">
        <v>0</v>
      </c>
      <c r="W469" s="30">
        <v>0</v>
      </c>
      <c r="X469" s="30">
        <v>0</v>
      </c>
      <c r="Y469" s="30">
        <v>0</v>
      </c>
      <c r="Z469" s="30">
        <v>0</v>
      </c>
      <c r="AA469" s="30">
        <v>0</v>
      </c>
      <c r="AB469" s="30">
        <v>0</v>
      </c>
      <c r="AC469" s="30" t="s">
        <v>407</v>
      </c>
      <c r="AD469" s="30"/>
      <c r="AE469" s="30">
        <v>0</v>
      </c>
    </row>
    <row r="470" spans="1:31" x14ac:dyDescent="0.25">
      <c r="A470">
        <v>7022</v>
      </c>
      <c r="B470" t="s">
        <v>15419</v>
      </c>
      <c r="C470" t="s">
        <v>90</v>
      </c>
      <c r="D470" s="33">
        <v>70516.800000000003</v>
      </c>
      <c r="E470">
        <v>1246270344</v>
      </c>
      <c r="F470" s="222">
        <v>46208</v>
      </c>
      <c r="G470" s="222"/>
      <c r="H470" t="s">
        <v>23</v>
      </c>
      <c r="I470" t="s">
        <v>24</v>
      </c>
      <c r="J470">
        <v>11052</v>
      </c>
      <c r="K470" s="222">
        <v>46118</v>
      </c>
      <c r="L470">
        <v>1010100</v>
      </c>
      <c r="M470" t="s">
        <v>29</v>
      </c>
      <c r="N470">
        <v>-35</v>
      </c>
      <c r="O470" s="30">
        <v>0</v>
      </c>
      <c r="P470" s="30">
        <v>0</v>
      </c>
      <c r="Q470" s="30">
        <v>70516.800000000003</v>
      </c>
      <c r="R470" s="30">
        <v>0</v>
      </c>
      <c r="S470" s="30">
        <v>0</v>
      </c>
      <c r="T470" s="30">
        <v>0</v>
      </c>
      <c r="U470" s="30">
        <v>0</v>
      </c>
      <c r="V470" s="30">
        <v>0</v>
      </c>
      <c r="W470" s="30">
        <v>0</v>
      </c>
      <c r="X470" s="30">
        <v>0</v>
      </c>
      <c r="Y470" s="30">
        <v>0</v>
      </c>
      <c r="Z470" s="30">
        <v>0</v>
      </c>
      <c r="AA470" s="30">
        <v>0</v>
      </c>
      <c r="AB470" s="30">
        <v>0</v>
      </c>
      <c r="AC470" s="30" t="s">
        <v>407</v>
      </c>
      <c r="AD470" s="30"/>
      <c r="AE470" s="30">
        <v>0</v>
      </c>
    </row>
    <row r="471" spans="1:31" x14ac:dyDescent="0.25">
      <c r="A471">
        <v>7022</v>
      </c>
      <c r="B471" t="s">
        <v>15419</v>
      </c>
      <c r="C471" t="s">
        <v>90</v>
      </c>
      <c r="D471" s="33">
        <v>70705.600000000006</v>
      </c>
      <c r="E471">
        <v>1246271135</v>
      </c>
      <c r="F471" s="222">
        <v>46215</v>
      </c>
      <c r="G471" s="222"/>
      <c r="H471" t="s">
        <v>23</v>
      </c>
      <c r="I471" t="s">
        <v>24</v>
      </c>
      <c r="J471">
        <v>11102</v>
      </c>
      <c r="K471" s="222">
        <v>46125</v>
      </c>
      <c r="L471">
        <v>1010100</v>
      </c>
      <c r="M471" t="s">
        <v>29</v>
      </c>
      <c r="N471">
        <v>-42</v>
      </c>
      <c r="O471" s="30">
        <v>0</v>
      </c>
      <c r="P471" s="30">
        <v>0</v>
      </c>
      <c r="Q471" s="30">
        <v>70705.600000000006</v>
      </c>
      <c r="R471" s="30">
        <v>0</v>
      </c>
      <c r="S471" s="30">
        <v>0</v>
      </c>
      <c r="T471" s="30">
        <v>0</v>
      </c>
      <c r="U471" s="30">
        <v>0</v>
      </c>
      <c r="V471" s="30">
        <v>0</v>
      </c>
      <c r="W471" s="30">
        <v>0</v>
      </c>
      <c r="X471" s="30">
        <v>0</v>
      </c>
      <c r="Y471" s="30">
        <v>0</v>
      </c>
      <c r="Z471" s="30">
        <v>0</v>
      </c>
      <c r="AA471" s="30">
        <v>0</v>
      </c>
      <c r="AB471" s="30">
        <v>0</v>
      </c>
      <c r="AC471" s="30" t="s">
        <v>407</v>
      </c>
      <c r="AD471" s="30"/>
      <c r="AE471" s="30">
        <v>0</v>
      </c>
    </row>
    <row r="472" spans="1:31" x14ac:dyDescent="0.25">
      <c r="A472">
        <v>7022</v>
      </c>
      <c r="B472" t="s">
        <v>15419</v>
      </c>
      <c r="C472" t="s">
        <v>90</v>
      </c>
      <c r="D472" s="33">
        <v>70941.600000000006</v>
      </c>
      <c r="E472">
        <v>1246271888</v>
      </c>
      <c r="F472" s="222">
        <v>46222</v>
      </c>
      <c r="G472" s="222"/>
      <c r="H472" t="s">
        <v>23</v>
      </c>
      <c r="I472" t="s">
        <v>24</v>
      </c>
      <c r="J472">
        <v>11176</v>
      </c>
      <c r="K472" s="222">
        <v>46132</v>
      </c>
      <c r="L472">
        <v>1010100</v>
      </c>
      <c r="M472" t="s">
        <v>29</v>
      </c>
      <c r="N472">
        <v>-49</v>
      </c>
      <c r="O472" s="30">
        <v>0</v>
      </c>
      <c r="P472" s="30">
        <v>0</v>
      </c>
      <c r="Q472" s="30">
        <v>70941.600000000006</v>
      </c>
      <c r="R472" s="30">
        <v>0</v>
      </c>
      <c r="S472" s="30">
        <v>0</v>
      </c>
      <c r="T472" s="30">
        <v>0</v>
      </c>
      <c r="U472" s="30">
        <v>0</v>
      </c>
      <c r="V472" s="30">
        <v>0</v>
      </c>
      <c r="W472" s="30">
        <v>0</v>
      </c>
      <c r="X472" s="30">
        <v>0</v>
      </c>
      <c r="Y472" s="30">
        <v>0</v>
      </c>
      <c r="Z472" s="30">
        <v>0</v>
      </c>
      <c r="AA472" s="30">
        <v>0</v>
      </c>
      <c r="AB472" s="30">
        <v>0</v>
      </c>
      <c r="AC472" s="30" t="s">
        <v>407</v>
      </c>
      <c r="AD472" s="30"/>
      <c r="AE472" s="30">
        <v>0</v>
      </c>
    </row>
    <row r="473" spans="1:31" x14ac:dyDescent="0.25">
      <c r="A473">
        <v>7022</v>
      </c>
      <c r="B473" t="s">
        <v>15419</v>
      </c>
      <c r="C473" t="s">
        <v>90</v>
      </c>
      <c r="D473" s="33">
        <v>71909.2</v>
      </c>
      <c r="E473">
        <v>1246273912</v>
      </c>
      <c r="F473" s="222">
        <v>46239</v>
      </c>
      <c r="G473" s="222"/>
      <c r="H473" t="s">
        <v>23</v>
      </c>
      <c r="I473" t="s">
        <v>24</v>
      </c>
      <c r="J473">
        <v>11322</v>
      </c>
      <c r="K473" s="222">
        <v>46149</v>
      </c>
      <c r="L473">
        <v>1010100</v>
      </c>
      <c r="M473" t="s">
        <v>29</v>
      </c>
      <c r="N473">
        <v>-66</v>
      </c>
      <c r="O473" s="30">
        <v>0</v>
      </c>
      <c r="P473" s="30">
        <v>0</v>
      </c>
      <c r="Q473" s="30">
        <v>71909.2</v>
      </c>
      <c r="R473" s="30">
        <v>0</v>
      </c>
      <c r="S473" s="30">
        <v>0</v>
      </c>
      <c r="T473" s="30">
        <v>0</v>
      </c>
      <c r="U473" s="30">
        <v>0</v>
      </c>
      <c r="V473" s="30">
        <v>0</v>
      </c>
      <c r="W473" s="30">
        <v>0</v>
      </c>
      <c r="X473" s="30">
        <v>0</v>
      </c>
      <c r="Y473" s="30">
        <v>0</v>
      </c>
      <c r="Z473" s="30">
        <v>0</v>
      </c>
      <c r="AA473" s="30">
        <v>0</v>
      </c>
      <c r="AB473" s="30">
        <v>0</v>
      </c>
      <c r="AC473" s="30" t="s">
        <v>407</v>
      </c>
      <c r="AD473" s="30"/>
      <c r="AE473" s="30">
        <v>0</v>
      </c>
    </row>
    <row r="474" spans="1:31" x14ac:dyDescent="0.25">
      <c r="A474">
        <v>7060</v>
      </c>
      <c r="B474" t="s">
        <v>165</v>
      </c>
      <c r="C474" t="s">
        <v>166</v>
      </c>
      <c r="D474" s="33">
        <v>68792.100000000006</v>
      </c>
      <c r="E474">
        <v>1246232316</v>
      </c>
      <c r="F474" s="222">
        <v>46172</v>
      </c>
      <c r="G474" s="222">
        <v>46174</v>
      </c>
      <c r="H474" t="s">
        <v>156</v>
      </c>
      <c r="I474" t="s">
        <v>157</v>
      </c>
      <c r="J474">
        <v>8971</v>
      </c>
      <c r="K474" s="222">
        <v>45890</v>
      </c>
      <c r="L474">
        <v>1010100</v>
      </c>
      <c r="M474" t="s">
        <v>29</v>
      </c>
      <c r="N474">
        <v>1</v>
      </c>
      <c r="O474" s="30">
        <v>0</v>
      </c>
      <c r="P474" s="30">
        <v>0</v>
      </c>
      <c r="Q474" s="30">
        <v>0</v>
      </c>
      <c r="R474" s="30">
        <v>68792.100000000006</v>
      </c>
      <c r="S474" s="30">
        <v>0</v>
      </c>
      <c r="T474" s="30">
        <v>0</v>
      </c>
      <c r="U474" s="30">
        <v>0</v>
      </c>
      <c r="V474" s="30">
        <v>0</v>
      </c>
      <c r="W474" s="30">
        <v>0</v>
      </c>
      <c r="X474" s="30">
        <v>0</v>
      </c>
      <c r="Y474" s="30">
        <v>0</v>
      </c>
      <c r="Z474" s="30">
        <v>0</v>
      </c>
      <c r="AA474" s="30">
        <v>0</v>
      </c>
      <c r="AB474" s="30">
        <v>0</v>
      </c>
      <c r="AC474" s="30" t="s">
        <v>407</v>
      </c>
      <c r="AD474" s="30"/>
      <c r="AE474" s="30">
        <v>0</v>
      </c>
    </row>
    <row r="475" spans="1:31" x14ac:dyDescent="0.25">
      <c r="A475">
        <v>7060</v>
      </c>
      <c r="B475" t="s">
        <v>165</v>
      </c>
      <c r="C475" t="s">
        <v>166</v>
      </c>
      <c r="D475" s="33">
        <v>5180.3999999999996</v>
      </c>
      <c r="E475">
        <v>1246254161</v>
      </c>
      <c r="F475" s="222">
        <v>46281</v>
      </c>
      <c r="G475" s="222"/>
      <c r="H475" t="s">
        <v>156</v>
      </c>
      <c r="I475" t="s">
        <v>157</v>
      </c>
      <c r="J475">
        <v>10278</v>
      </c>
      <c r="K475" s="222">
        <v>46006</v>
      </c>
      <c r="L475">
        <v>1010100</v>
      </c>
      <c r="M475" t="s">
        <v>29</v>
      </c>
      <c r="N475">
        <v>-108</v>
      </c>
      <c r="O475" s="30">
        <v>0</v>
      </c>
      <c r="P475" s="30">
        <v>0</v>
      </c>
      <c r="Q475" s="30">
        <v>5180.3999999999996</v>
      </c>
      <c r="R475" s="30">
        <v>0</v>
      </c>
      <c r="S475" s="30">
        <v>0</v>
      </c>
      <c r="T475" s="30">
        <v>0</v>
      </c>
      <c r="U475" s="30">
        <v>0</v>
      </c>
      <c r="V475" s="30">
        <v>0</v>
      </c>
      <c r="W475" s="30">
        <v>0</v>
      </c>
      <c r="X475" s="30">
        <v>0</v>
      </c>
      <c r="Y475" s="30">
        <v>0</v>
      </c>
      <c r="Z475" s="30">
        <v>0</v>
      </c>
      <c r="AA475" s="30">
        <v>0</v>
      </c>
      <c r="AB475" s="30">
        <v>0</v>
      </c>
      <c r="AC475" s="30" t="s">
        <v>407</v>
      </c>
      <c r="AD475" s="30"/>
      <c r="AE475" s="30">
        <v>0</v>
      </c>
    </row>
    <row r="476" spans="1:31" x14ac:dyDescent="0.25">
      <c r="A476">
        <v>7060</v>
      </c>
      <c r="B476" t="s">
        <v>165</v>
      </c>
      <c r="C476" t="s">
        <v>166</v>
      </c>
      <c r="D476" s="33">
        <v>8288.64</v>
      </c>
      <c r="E476">
        <v>1246252321</v>
      </c>
      <c r="F476" s="222">
        <v>46269</v>
      </c>
      <c r="G476" s="222"/>
      <c r="H476" t="s">
        <v>156</v>
      </c>
      <c r="I476" t="s">
        <v>157</v>
      </c>
      <c r="J476">
        <v>10183</v>
      </c>
      <c r="K476" s="222">
        <v>45994</v>
      </c>
      <c r="L476">
        <v>1010100</v>
      </c>
      <c r="M476" t="s">
        <v>29</v>
      </c>
      <c r="N476">
        <v>-96</v>
      </c>
      <c r="O476" s="30">
        <v>0</v>
      </c>
      <c r="P476" s="30">
        <v>0</v>
      </c>
      <c r="Q476" s="30">
        <v>8288.64</v>
      </c>
      <c r="R476" s="30">
        <v>0</v>
      </c>
      <c r="S476" s="30">
        <v>0</v>
      </c>
      <c r="T476" s="30">
        <v>0</v>
      </c>
      <c r="U476" s="30">
        <v>0</v>
      </c>
      <c r="V476" s="30">
        <v>0</v>
      </c>
      <c r="W476" s="30">
        <v>0</v>
      </c>
      <c r="X476" s="30">
        <v>0</v>
      </c>
      <c r="Y476" s="30">
        <v>0</v>
      </c>
      <c r="Z476" s="30">
        <v>0</v>
      </c>
      <c r="AA476" s="30">
        <v>0</v>
      </c>
      <c r="AB476" s="30">
        <v>0</v>
      </c>
      <c r="AC476" s="30" t="s">
        <v>407</v>
      </c>
      <c r="AD476" s="30"/>
      <c r="AE476" s="30">
        <v>0</v>
      </c>
    </row>
    <row r="477" spans="1:31" x14ac:dyDescent="0.25">
      <c r="A477">
        <v>7060</v>
      </c>
      <c r="B477" t="s">
        <v>165</v>
      </c>
      <c r="C477" t="s">
        <v>166</v>
      </c>
      <c r="D477" s="33">
        <v>67383.5</v>
      </c>
      <c r="E477">
        <v>1246254471</v>
      </c>
      <c r="F477" s="222">
        <v>46279</v>
      </c>
      <c r="G477" s="222"/>
      <c r="H477" t="s">
        <v>156</v>
      </c>
      <c r="I477" t="s">
        <v>157</v>
      </c>
      <c r="J477">
        <v>10301</v>
      </c>
      <c r="K477" s="222">
        <v>46007</v>
      </c>
      <c r="L477">
        <v>1010100</v>
      </c>
      <c r="M477" t="s">
        <v>29</v>
      </c>
      <c r="N477">
        <v>-106</v>
      </c>
      <c r="O477" s="30">
        <v>0</v>
      </c>
      <c r="P477" s="30">
        <v>0</v>
      </c>
      <c r="Q477" s="30">
        <v>67383.5</v>
      </c>
      <c r="R477" s="30">
        <v>0</v>
      </c>
      <c r="S477" s="30">
        <v>0</v>
      </c>
      <c r="T477" s="30">
        <v>0</v>
      </c>
      <c r="U477" s="30">
        <v>0</v>
      </c>
      <c r="V477" s="30">
        <v>0</v>
      </c>
      <c r="W477" s="30">
        <v>0</v>
      </c>
      <c r="X477" s="30">
        <v>0</v>
      </c>
      <c r="Y477" s="30">
        <v>0</v>
      </c>
      <c r="Z477" s="30">
        <v>0</v>
      </c>
      <c r="AA477" s="30">
        <v>0</v>
      </c>
      <c r="AB477" s="30">
        <v>0</v>
      </c>
      <c r="AC477" s="30" t="s">
        <v>407</v>
      </c>
      <c r="AD477" s="30"/>
      <c r="AE477" s="30">
        <v>0</v>
      </c>
    </row>
    <row r="478" spans="1:31" x14ac:dyDescent="0.25">
      <c r="A478">
        <v>7060</v>
      </c>
      <c r="B478" t="s">
        <v>165</v>
      </c>
      <c r="C478" t="s">
        <v>166</v>
      </c>
      <c r="D478" s="33">
        <v>202489.44</v>
      </c>
      <c r="E478">
        <v>1246233024</v>
      </c>
      <c r="F478" s="222">
        <v>46264</v>
      </c>
      <c r="G478" s="222"/>
      <c r="H478" t="s">
        <v>156</v>
      </c>
      <c r="I478" t="s">
        <v>157</v>
      </c>
      <c r="J478">
        <v>9046</v>
      </c>
      <c r="K478" s="222">
        <v>45895</v>
      </c>
      <c r="L478">
        <v>1010100</v>
      </c>
      <c r="M478" t="s">
        <v>29</v>
      </c>
      <c r="N478">
        <v>-91</v>
      </c>
      <c r="O478" s="30">
        <v>0</v>
      </c>
      <c r="P478" s="30">
        <v>0</v>
      </c>
      <c r="Q478" s="30">
        <v>202489.44</v>
      </c>
      <c r="R478" s="30">
        <v>0</v>
      </c>
      <c r="S478" s="30">
        <v>0</v>
      </c>
      <c r="T478" s="30">
        <v>0</v>
      </c>
      <c r="U478" s="30">
        <v>0</v>
      </c>
      <c r="V478" s="30">
        <v>0</v>
      </c>
      <c r="W478" s="30">
        <v>0</v>
      </c>
      <c r="X478" s="30">
        <v>0</v>
      </c>
      <c r="Y478" s="30">
        <v>0</v>
      </c>
      <c r="Z478" s="30">
        <v>0</v>
      </c>
      <c r="AA478" s="30">
        <v>0</v>
      </c>
      <c r="AB478" s="30">
        <v>0</v>
      </c>
      <c r="AC478" s="30" t="s">
        <v>407</v>
      </c>
      <c r="AD478" s="30"/>
      <c r="AE478" s="30">
        <v>0</v>
      </c>
    </row>
    <row r="479" spans="1:31" x14ac:dyDescent="0.25">
      <c r="A479">
        <v>7060</v>
      </c>
      <c r="B479" t="s">
        <v>165</v>
      </c>
      <c r="C479" t="s">
        <v>166</v>
      </c>
      <c r="D479" s="33">
        <v>210926.49999999997</v>
      </c>
      <c r="E479">
        <v>1246232491</v>
      </c>
      <c r="F479" s="222">
        <v>46264</v>
      </c>
      <c r="G479" s="222"/>
      <c r="H479" t="s">
        <v>156</v>
      </c>
      <c r="I479" t="s">
        <v>157</v>
      </c>
      <c r="J479">
        <v>9006</v>
      </c>
      <c r="K479" s="222">
        <v>45891</v>
      </c>
      <c r="L479">
        <v>1010100</v>
      </c>
      <c r="M479" t="s">
        <v>29</v>
      </c>
      <c r="N479">
        <v>-91</v>
      </c>
      <c r="O479" s="30">
        <v>0</v>
      </c>
      <c r="P479" s="30">
        <v>0</v>
      </c>
      <c r="Q479" s="30">
        <v>210926.49999999997</v>
      </c>
      <c r="R479" s="30">
        <v>0</v>
      </c>
      <c r="S479" s="30">
        <v>0</v>
      </c>
      <c r="T479" s="30">
        <v>0</v>
      </c>
      <c r="U479" s="30">
        <v>0</v>
      </c>
      <c r="V479" s="30">
        <v>0</v>
      </c>
      <c r="W479" s="30">
        <v>0</v>
      </c>
      <c r="X479" s="30">
        <v>0</v>
      </c>
      <c r="Y479" s="30">
        <v>0</v>
      </c>
      <c r="Z479" s="30">
        <v>0</v>
      </c>
      <c r="AA479" s="30">
        <v>0</v>
      </c>
      <c r="AB479" s="30">
        <v>0</v>
      </c>
      <c r="AC479" s="30" t="s">
        <v>407</v>
      </c>
      <c r="AD479" s="30"/>
      <c r="AE479" s="30">
        <v>0</v>
      </c>
    </row>
    <row r="480" spans="1:31" x14ac:dyDescent="0.25">
      <c r="A480">
        <v>7060</v>
      </c>
      <c r="B480" t="s">
        <v>165</v>
      </c>
      <c r="C480" t="s">
        <v>166</v>
      </c>
      <c r="D480" s="33">
        <v>135891.48000000001</v>
      </c>
      <c r="E480">
        <v>1246233319</v>
      </c>
      <c r="F480" s="222">
        <v>46266</v>
      </c>
      <c r="G480" s="222"/>
      <c r="H480" t="s">
        <v>156</v>
      </c>
      <c r="I480" t="s">
        <v>157</v>
      </c>
      <c r="J480">
        <v>9076</v>
      </c>
      <c r="K480" s="222">
        <v>45896</v>
      </c>
      <c r="L480">
        <v>1010100</v>
      </c>
      <c r="M480" t="s">
        <v>29</v>
      </c>
      <c r="N480">
        <v>-93</v>
      </c>
      <c r="O480" s="30">
        <v>0</v>
      </c>
      <c r="P480" s="30">
        <v>0</v>
      </c>
      <c r="Q480" s="30">
        <v>135891.48000000001</v>
      </c>
      <c r="R480" s="30">
        <v>0</v>
      </c>
      <c r="S480" s="30">
        <v>0</v>
      </c>
      <c r="T480" s="30">
        <v>0</v>
      </c>
      <c r="U480" s="30">
        <v>0</v>
      </c>
      <c r="V480" s="30">
        <v>0</v>
      </c>
      <c r="W480" s="30">
        <v>0</v>
      </c>
      <c r="X480" s="30">
        <v>0</v>
      </c>
      <c r="Y480" s="30">
        <v>0</v>
      </c>
      <c r="Z480" s="30">
        <v>0</v>
      </c>
      <c r="AA480" s="30">
        <v>0</v>
      </c>
      <c r="AB480" s="30">
        <v>0</v>
      </c>
      <c r="AC480" s="30" t="s">
        <v>407</v>
      </c>
      <c r="AD480" s="30"/>
      <c r="AE480" s="30">
        <v>0</v>
      </c>
    </row>
    <row r="481" spans="1:31" x14ac:dyDescent="0.25">
      <c r="A481">
        <v>7060</v>
      </c>
      <c r="B481" t="s">
        <v>165</v>
      </c>
      <c r="C481" t="s">
        <v>166</v>
      </c>
      <c r="D481" s="33">
        <v>160304.14000000001</v>
      </c>
      <c r="E481">
        <v>1246232724</v>
      </c>
      <c r="F481" s="222">
        <v>46264</v>
      </c>
      <c r="G481" s="222"/>
      <c r="H481" t="s">
        <v>156</v>
      </c>
      <c r="I481" t="s">
        <v>157</v>
      </c>
      <c r="J481">
        <v>9023</v>
      </c>
      <c r="K481" s="222">
        <v>45894</v>
      </c>
      <c r="L481">
        <v>1010100</v>
      </c>
      <c r="M481" t="s">
        <v>29</v>
      </c>
      <c r="N481">
        <v>-91</v>
      </c>
      <c r="O481" s="30">
        <v>0</v>
      </c>
      <c r="P481" s="30">
        <v>0</v>
      </c>
      <c r="Q481" s="30">
        <v>160304.14000000001</v>
      </c>
      <c r="R481" s="30">
        <v>0</v>
      </c>
      <c r="S481" s="30">
        <v>0</v>
      </c>
      <c r="T481" s="30">
        <v>0</v>
      </c>
      <c r="U481" s="30">
        <v>0</v>
      </c>
      <c r="V481" s="30">
        <v>0</v>
      </c>
      <c r="W481" s="30">
        <v>0</v>
      </c>
      <c r="X481" s="30">
        <v>0</v>
      </c>
      <c r="Y481" s="30">
        <v>0</v>
      </c>
      <c r="Z481" s="30">
        <v>0</v>
      </c>
      <c r="AA481" s="30">
        <v>0</v>
      </c>
      <c r="AB481" s="30">
        <v>0</v>
      </c>
      <c r="AC481" s="30" t="s">
        <v>407</v>
      </c>
      <c r="AD481" s="30"/>
      <c r="AE481" s="30">
        <v>0</v>
      </c>
    </row>
    <row r="482" spans="1:31" x14ac:dyDescent="0.25">
      <c r="A482">
        <v>7060</v>
      </c>
      <c r="B482" t="s">
        <v>165</v>
      </c>
      <c r="C482" t="s">
        <v>166</v>
      </c>
      <c r="D482" s="33">
        <v>134992.95999999999</v>
      </c>
      <c r="E482">
        <v>1246233318</v>
      </c>
      <c r="F482" s="222">
        <v>46265</v>
      </c>
      <c r="G482" s="222"/>
      <c r="H482" t="s">
        <v>156</v>
      </c>
      <c r="I482" t="s">
        <v>157</v>
      </c>
      <c r="J482">
        <v>9075</v>
      </c>
      <c r="K482" s="222">
        <v>45896</v>
      </c>
      <c r="L482">
        <v>1010100</v>
      </c>
      <c r="M482" t="s">
        <v>29</v>
      </c>
      <c r="N482">
        <v>-92</v>
      </c>
      <c r="O482" s="30">
        <v>0</v>
      </c>
      <c r="P482" s="30">
        <v>0</v>
      </c>
      <c r="Q482" s="30">
        <v>134992.95999999999</v>
      </c>
      <c r="R482" s="30">
        <v>0</v>
      </c>
      <c r="S482" s="30">
        <v>0</v>
      </c>
      <c r="T482" s="30">
        <v>0</v>
      </c>
      <c r="U482" s="30">
        <v>0</v>
      </c>
      <c r="V482" s="30">
        <v>0</v>
      </c>
      <c r="W482" s="30">
        <v>0</v>
      </c>
      <c r="X482" s="30">
        <v>0</v>
      </c>
      <c r="Y482" s="30">
        <v>0</v>
      </c>
      <c r="Z482" s="30">
        <v>0</v>
      </c>
      <c r="AA482" s="30">
        <v>0</v>
      </c>
      <c r="AB482" s="30">
        <v>0</v>
      </c>
      <c r="AC482" s="30" t="s">
        <v>407</v>
      </c>
      <c r="AD482" s="30"/>
      <c r="AE482" s="30">
        <v>0</v>
      </c>
    </row>
    <row r="483" spans="1:31" x14ac:dyDescent="0.25">
      <c r="A483">
        <v>13773</v>
      </c>
      <c r="B483" t="s">
        <v>428</v>
      </c>
      <c r="C483" t="s">
        <v>15467</v>
      </c>
      <c r="D483" s="33">
        <v>6853.28</v>
      </c>
      <c r="E483">
        <v>1246277373</v>
      </c>
      <c r="F483" s="222">
        <v>46178</v>
      </c>
      <c r="G483" s="222"/>
      <c r="H483" t="s">
        <v>156</v>
      </c>
      <c r="I483" t="s">
        <v>157</v>
      </c>
      <c r="J483">
        <v>11550</v>
      </c>
      <c r="K483" s="222">
        <v>46171</v>
      </c>
      <c r="L483">
        <v>1010100</v>
      </c>
      <c r="M483" t="s">
        <v>29</v>
      </c>
      <c r="N483">
        <v>-5</v>
      </c>
      <c r="O483" s="30">
        <v>0</v>
      </c>
      <c r="P483" s="30">
        <v>0</v>
      </c>
      <c r="Q483" s="30">
        <v>6853.28</v>
      </c>
      <c r="R483" s="30">
        <v>0</v>
      </c>
      <c r="S483" s="30">
        <v>0</v>
      </c>
      <c r="T483" s="30">
        <v>0</v>
      </c>
      <c r="U483" s="30">
        <v>0</v>
      </c>
      <c r="V483" s="30">
        <v>0</v>
      </c>
      <c r="W483" s="30">
        <v>0</v>
      </c>
      <c r="X483" s="30">
        <v>0</v>
      </c>
      <c r="Y483" s="30">
        <v>0</v>
      </c>
      <c r="Z483" s="30">
        <v>0</v>
      </c>
      <c r="AA483" s="30">
        <v>0</v>
      </c>
      <c r="AB483" s="30">
        <v>0</v>
      </c>
      <c r="AC483" s="30" t="s">
        <v>407</v>
      </c>
      <c r="AD483" s="30"/>
      <c r="AE483" s="30">
        <v>0</v>
      </c>
    </row>
    <row r="484" spans="1:31" x14ac:dyDescent="0.25">
      <c r="A484">
        <v>6370</v>
      </c>
      <c r="B484" t="s">
        <v>264</v>
      </c>
      <c r="C484" t="s">
        <v>27</v>
      </c>
      <c r="D484" s="33">
        <v>191959.21</v>
      </c>
      <c r="E484">
        <v>1246276420</v>
      </c>
      <c r="F484" s="222">
        <v>46194</v>
      </c>
      <c r="G484" s="222"/>
      <c r="H484" t="s">
        <v>23</v>
      </c>
      <c r="I484" t="s">
        <v>24</v>
      </c>
      <c r="J484">
        <v>11482</v>
      </c>
      <c r="K484" s="222">
        <v>46164</v>
      </c>
      <c r="L484">
        <v>1010200</v>
      </c>
      <c r="M484" t="s">
        <v>113</v>
      </c>
      <c r="N484">
        <v>-21</v>
      </c>
      <c r="O484" s="30">
        <v>0</v>
      </c>
      <c r="P484" s="30">
        <v>0</v>
      </c>
      <c r="Q484" s="30">
        <v>191959.21</v>
      </c>
      <c r="R484" s="30">
        <v>0</v>
      </c>
      <c r="S484" s="30">
        <v>0</v>
      </c>
      <c r="T484" s="30">
        <v>0</v>
      </c>
      <c r="U484" s="30">
        <v>0</v>
      </c>
      <c r="V484" s="30">
        <v>0</v>
      </c>
      <c r="W484" s="30">
        <v>0</v>
      </c>
      <c r="X484" s="30">
        <v>0</v>
      </c>
      <c r="Y484" s="30">
        <v>0</v>
      </c>
      <c r="Z484" s="30">
        <v>0</v>
      </c>
      <c r="AA484" s="30">
        <v>0</v>
      </c>
      <c r="AB484" s="30">
        <v>0</v>
      </c>
      <c r="AC484" s="30" t="s">
        <v>407</v>
      </c>
      <c r="AD484" s="30"/>
      <c r="AE484" s="30">
        <v>0</v>
      </c>
    </row>
    <row r="485" spans="1:31" x14ac:dyDescent="0.25">
      <c r="A485">
        <v>6370</v>
      </c>
      <c r="B485" t="s">
        <v>264</v>
      </c>
      <c r="C485" t="s">
        <v>27</v>
      </c>
      <c r="D485" s="33">
        <v>185715.05</v>
      </c>
      <c r="E485">
        <v>1246274134</v>
      </c>
      <c r="F485" s="222">
        <v>46180</v>
      </c>
      <c r="G485" s="222"/>
      <c r="H485" t="s">
        <v>23</v>
      </c>
      <c r="I485" t="s">
        <v>24</v>
      </c>
      <c r="J485">
        <v>11332</v>
      </c>
      <c r="K485" s="222">
        <v>46150</v>
      </c>
      <c r="L485">
        <v>1010200</v>
      </c>
      <c r="M485" t="s">
        <v>113</v>
      </c>
      <c r="N485">
        <v>-7</v>
      </c>
      <c r="O485" s="30">
        <v>0</v>
      </c>
      <c r="P485" s="30">
        <v>0</v>
      </c>
      <c r="Q485" s="30">
        <v>185715.05</v>
      </c>
      <c r="R485" s="30">
        <v>0</v>
      </c>
      <c r="S485" s="30">
        <v>0</v>
      </c>
      <c r="T485" s="30">
        <v>0</v>
      </c>
      <c r="U485" s="30">
        <v>0</v>
      </c>
      <c r="V485" s="30">
        <v>0</v>
      </c>
      <c r="W485" s="30">
        <v>0</v>
      </c>
      <c r="X485" s="30">
        <v>0</v>
      </c>
      <c r="Y485" s="30">
        <v>0</v>
      </c>
      <c r="Z485" s="30">
        <v>0</v>
      </c>
      <c r="AA485" s="30">
        <v>0</v>
      </c>
      <c r="AB485" s="30">
        <v>0</v>
      </c>
      <c r="AC485" s="30" t="s">
        <v>407</v>
      </c>
      <c r="AD485" s="30"/>
      <c r="AE485" s="30">
        <v>0</v>
      </c>
    </row>
    <row r="486" spans="1:31" x14ac:dyDescent="0.25">
      <c r="A486">
        <v>9708</v>
      </c>
      <c r="B486" t="s">
        <v>538</v>
      </c>
      <c r="C486" t="s">
        <v>26</v>
      </c>
      <c r="D486" s="33">
        <v>687688.91</v>
      </c>
      <c r="E486">
        <v>1246271322</v>
      </c>
      <c r="F486" s="222">
        <v>46186</v>
      </c>
      <c r="G486" s="222"/>
      <c r="I486" t="s">
        <v>326</v>
      </c>
      <c r="J486">
        <v>11122</v>
      </c>
      <c r="K486" s="222">
        <v>46126</v>
      </c>
      <c r="L486">
        <v>1010200</v>
      </c>
      <c r="M486" t="s">
        <v>113</v>
      </c>
      <c r="N486">
        <v>-13</v>
      </c>
      <c r="O486" s="30">
        <v>0</v>
      </c>
      <c r="P486" s="30">
        <v>0</v>
      </c>
      <c r="Q486" s="30">
        <v>687688.91</v>
      </c>
      <c r="R486" s="30">
        <v>0</v>
      </c>
      <c r="S486" s="30">
        <v>0</v>
      </c>
      <c r="T486" s="30">
        <v>0</v>
      </c>
      <c r="U486" s="30">
        <v>0</v>
      </c>
      <c r="V486" s="30">
        <v>0</v>
      </c>
      <c r="W486" s="30">
        <v>0</v>
      </c>
      <c r="X486" s="30">
        <v>0</v>
      </c>
      <c r="Y486" s="30">
        <v>0</v>
      </c>
      <c r="Z486" s="30">
        <v>0</v>
      </c>
      <c r="AA486" s="30">
        <v>0</v>
      </c>
      <c r="AB486" s="30">
        <v>0</v>
      </c>
      <c r="AC486" s="30" t="s">
        <v>407</v>
      </c>
      <c r="AD486" s="30"/>
      <c r="AE486" s="30">
        <v>0</v>
      </c>
    </row>
    <row r="487" spans="1:31" x14ac:dyDescent="0.25">
      <c r="A487">
        <v>8187</v>
      </c>
      <c r="B487" t="s">
        <v>466</v>
      </c>
      <c r="C487" t="s">
        <v>284</v>
      </c>
      <c r="D487" s="33">
        <v>299642.08</v>
      </c>
      <c r="E487">
        <v>1246270723</v>
      </c>
      <c r="F487" s="222">
        <v>46357</v>
      </c>
      <c r="G487" s="222"/>
      <c r="H487" t="s">
        <v>156</v>
      </c>
      <c r="I487" t="s">
        <v>157</v>
      </c>
      <c r="J487">
        <v>11075</v>
      </c>
      <c r="K487" s="222">
        <v>46120</v>
      </c>
      <c r="L487">
        <v>1010100</v>
      </c>
      <c r="M487" t="s">
        <v>29</v>
      </c>
      <c r="N487">
        <v>-184</v>
      </c>
      <c r="O487" s="30">
        <v>0</v>
      </c>
      <c r="P487" s="30">
        <v>0</v>
      </c>
      <c r="Q487" s="30">
        <v>299642.08</v>
      </c>
      <c r="R487" s="30">
        <v>0</v>
      </c>
      <c r="S487" s="30">
        <v>0</v>
      </c>
      <c r="T487" s="30">
        <v>0</v>
      </c>
      <c r="U487" s="30">
        <v>0</v>
      </c>
      <c r="V487" s="30">
        <v>0</v>
      </c>
      <c r="W487" s="30">
        <v>0</v>
      </c>
      <c r="X487" s="30">
        <v>0</v>
      </c>
      <c r="Y487" s="30">
        <v>0</v>
      </c>
      <c r="Z487" s="30">
        <v>0</v>
      </c>
      <c r="AA487" s="30">
        <v>0</v>
      </c>
      <c r="AB487" s="30">
        <v>0</v>
      </c>
      <c r="AC487" s="30" t="s">
        <v>407</v>
      </c>
      <c r="AD487" s="30"/>
      <c r="AE487" s="30">
        <v>0</v>
      </c>
    </row>
    <row r="488" spans="1:31" x14ac:dyDescent="0.25">
      <c r="A488">
        <v>9295</v>
      </c>
      <c r="B488" t="s">
        <v>333</v>
      </c>
      <c r="C488" t="s">
        <v>115</v>
      </c>
      <c r="D488" s="33">
        <v>127980.15</v>
      </c>
      <c r="E488">
        <v>1246274654</v>
      </c>
      <c r="F488" s="222">
        <v>46184</v>
      </c>
      <c r="G488" s="222"/>
      <c r="H488" t="s">
        <v>23</v>
      </c>
      <c r="I488" t="s">
        <v>24</v>
      </c>
      <c r="J488">
        <v>11372</v>
      </c>
      <c r="K488" s="222">
        <v>46154</v>
      </c>
      <c r="L488">
        <v>1010200</v>
      </c>
      <c r="M488" t="s">
        <v>113</v>
      </c>
      <c r="N488">
        <v>-11</v>
      </c>
      <c r="O488" s="30">
        <v>0</v>
      </c>
      <c r="P488" s="30">
        <v>0</v>
      </c>
      <c r="Q488" s="30">
        <v>127980.15</v>
      </c>
      <c r="R488" s="30">
        <v>0</v>
      </c>
      <c r="S488" s="30">
        <v>0</v>
      </c>
      <c r="T488" s="30">
        <v>0</v>
      </c>
      <c r="U488" s="30">
        <v>0</v>
      </c>
      <c r="V488" s="30">
        <v>0</v>
      </c>
      <c r="W488" s="30">
        <v>0</v>
      </c>
      <c r="X488" s="30">
        <v>0</v>
      </c>
      <c r="Y488" s="30">
        <v>0</v>
      </c>
      <c r="Z488" s="30">
        <v>0</v>
      </c>
      <c r="AA488" s="30">
        <v>0</v>
      </c>
      <c r="AB488" s="30">
        <v>0</v>
      </c>
      <c r="AC488" s="30" t="s">
        <v>407</v>
      </c>
      <c r="AD488" s="30"/>
      <c r="AE488" s="30">
        <v>0</v>
      </c>
    </row>
    <row r="489" spans="1:31" x14ac:dyDescent="0.25">
      <c r="A489">
        <v>9295</v>
      </c>
      <c r="B489" t="s">
        <v>333</v>
      </c>
      <c r="C489" t="s">
        <v>115</v>
      </c>
      <c r="D489" s="33">
        <v>127990.59</v>
      </c>
      <c r="E489">
        <v>1246274949</v>
      </c>
      <c r="F489" s="222">
        <v>46185</v>
      </c>
      <c r="G489" s="222"/>
      <c r="H489" t="s">
        <v>23</v>
      </c>
      <c r="I489" t="s">
        <v>24</v>
      </c>
      <c r="J489">
        <v>11389</v>
      </c>
      <c r="K489" s="222">
        <v>46155</v>
      </c>
      <c r="L489">
        <v>1010200</v>
      </c>
      <c r="M489" t="s">
        <v>113</v>
      </c>
      <c r="N489">
        <v>-12</v>
      </c>
      <c r="O489" s="30">
        <v>0</v>
      </c>
      <c r="P489" s="30">
        <v>0</v>
      </c>
      <c r="Q489" s="30">
        <v>127990.59</v>
      </c>
      <c r="R489" s="30">
        <v>0</v>
      </c>
      <c r="S489" s="30">
        <v>0</v>
      </c>
      <c r="T489" s="30">
        <v>0</v>
      </c>
      <c r="U489" s="30">
        <v>0</v>
      </c>
      <c r="V489" s="30">
        <v>0</v>
      </c>
      <c r="W489" s="30">
        <v>0</v>
      </c>
      <c r="X489" s="30">
        <v>0</v>
      </c>
      <c r="Y489" s="30">
        <v>0</v>
      </c>
      <c r="Z489" s="30">
        <v>0</v>
      </c>
      <c r="AA489" s="30">
        <v>0</v>
      </c>
      <c r="AB489" s="30">
        <v>0</v>
      </c>
      <c r="AC489" s="30" t="s">
        <v>407</v>
      </c>
      <c r="AD489" s="30"/>
      <c r="AE489" s="30">
        <v>0</v>
      </c>
    </row>
    <row r="490" spans="1:31" x14ac:dyDescent="0.25">
      <c r="A490">
        <v>9295</v>
      </c>
      <c r="B490" t="s">
        <v>333</v>
      </c>
      <c r="C490" t="s">
        <v>115</v>
      </c>
      <c r="D490" s="33">
        <v>127990.57</v>
      </c>
      <c r="E490">
        <v>1246274944</v>
      </c>
      <c r="F490" s="222">
        <v>46185</v>
      </c>
      <c r="G490" s="222"/>
      <c r="H490" t="s">
        <v>23</v>
      </c>
      <c r="I490" t="s">
        <v>24</v>
      </c>
      <c r="J490">
        <v>11388</v>
      </c>
      <c r="K490" s="222">
        <v>46155</v>
      </c>
      <c r="L490">
        <v>1010200</v>
      </c>
      <c r="M490" t="s">
        <v>113</v>
      </c>
      <c r="N490">
        <v>-12</v>
      </c>
      <c r="O490" s="30">
        <v>0</v>
      </c>
      <c r="P490" s="30">
        <v>0</v>
      </c>
      <c r="Q490" s="30">
        <v>127990.57</v>
      </c>
      <c r="R490" s="30">
        <v>0</v>
      </c>
      <c r="S490" s="30">
        <v>0</v>
      </c>
      <c r="T490" s="30">
        <v>0</v>
      </c>
      <c r="U490" s="30">
        <v>0</v>
      </c>
      <c r="V490" s="30">
        <v>0</v>
      </c>
      <c r="W490" s="30">
        <v>0</v>
      </c>
      <c r="X490" s="30">
        <v>0</v>
      </c>
      <c r="Y490" s="30">
        <v>0</v>
      </c>
      <c r="Z490" s="30">
        <v>0</v>
      </c>
      <c r="AA490" s="30">
        <v>0</v>
      </c>
      <c r="AB490" s="30">
        <v>0</v>
      </c>
      <c r="AC490" s="30" t="s">
        <v>407</v>
      </c>
      <c r="AD490" s="30"/>
      <c r="AE490" s="30">
        <v>0</v>
      </c>
    </row>
    <row r="491" spans="1:31" x14ac:dyDescent="0.25">
      <c r="A491">
        <v>9295</v>
      </c>
      <c r="B491" t="s">
        <v>333</v>
      </c>
      <c r="C491" t="s">
        <v>115</v>
      </c>
      <c r="D491" s="33">
        <v>130865.56</v>
      </c>
      <c r="E491">
        <v>1246276225</v>
      </c>
      <c r="F491" s="222">
        <v>46194</v>
      </c>
      <c r="G491" s="222"/>
      <c r="H491" t="s">
        <v>23</v>
      </c>
      <c r="I491" t="s">
        <v>24</v>
      </c>
      <c r="J491">
        <v>11467</v>
      </c>
      <c r="K491" s="222">
        <v>46164</v>
      </c>
      <c r="L491">
        <v>1010200</v>
      </c>
      <c r="M491" t="s">
        <v>113</v>
      </c>
      <c r="N491">
        <v>-21</v>
      </c>
      <c r="O491" s="30">
        <v>0</v>
      </c>
      <c r="P491" s="30">
        <v>0</v>
      </c>
      <c r="Q491" s="30">
        <v>130865.56</v>
      </c>
      <c r="R491" s="30">
        <v>0</v>
      </c>
      <c r="S491" s="30">
        <v>0</v>
      </c>
      <c r="T491" s="30">
        <v>0</v>
      </c>
      <c r="U491" s="30">
        <v>0</v>
      </c>
      <c r="V491" s="30">
        <v>0</v>
      </c>
      <c r="W491" s="30">
        <v>0</v>
      </c>
      <c r="X491" s="30">
        <v>0</v>
      </c>
      <c r="Y491" s="30">
        <v>0</v>
      </c>
      <c r="Z491" s="30">
        <v>0</v>
      </c>
      <c r="AA491" s="30">
        <v>0</v>
      </c>
      <c r="AB491" s="30">
        <v>0</v>
      </c>
      <c r="AC491" s="30" t="s">
        <v>407</v>
      </c>
      <c r="AD491" s="30"/>
      <c r="AE491" s="30">
        <v>0</v>
      </c>
    </row>
    <row r="492" spans="1:31" x14ac:dyDescent="0.25">
      <c r="A492">
        <v>9295</v>
      </c>
      <c r="B492" t="s">
        <v>333</v>
      </c>
      <c r="C492" t="s">
        <v>115</v>
      </c>
      <c r="D492" s="33">
        <v>130865.56</v>
      </c>
      <c r="E492">
        <v>1246276295</v>
      </c>
      <c r="F492" s="222">
        <v>46194</v>
      </c>
      <c r="G492" s="222"/>
      <c r="H492" t="s">
        <v>23</v>
      </c>
      <c r="I492" t="s">
        <v>24</v>
      </c>
      <c r="J492">
        <v>11474</v>
      </c>
      <c r="K492" s="222">
        <v>46164</v>
      </c>
      <c r="L492">
        <v>1010200</v>
      </c>
      <c r="M492" t="s">
        <v>113</v>
      </c>
      <c r="N492">
        <v>-21</v>
      </c>
      <c r="O492" s="30">
        <v>0</v>
      </c>
      <c r="P492" s="30">
        <v>0</v>
      </c>
      <c r="Q492" s="30">
        <v>130865.56</v>
      </c>
      <c r="R492" s="30">
        <v>0</v>
      </c>
      <c r="S492" s="30">
        <v>0</v>
      </c>
      <c r="T492" s="30">
        <v>0</v>
      </c>
      <c r="U492" s="30">
        <v>0</v>
      </c>
      <c r="V492" s="30">
        <v>0</v>
      </c>
      <c r="W492" s="30">
        <v>0</v>
      </c>
      <c r="X492" s="30">
        <v>0</v>
      </c>
      <c r="Y492" s="30">
        <v>0</v>
      </c>
      <c r="Z492" s="30">
        <v>0</v>
      </c>
      <c r="AA492" s="30">
        <v>0</v>
      </c>
      <c r="AB492" s="30">
        <v>0</v>
      </c>
      <c r="AC492" s="30" t="s">
        <v>407</v>
      </c>
      <c r="AD492" s="30"/>
      <c r="AE492" s="30">
        <v>0</v>
      </c>
    </row>
    <row r="493" spans="1:31" x14ac:dyDescent="0.25">
      <c r="A493">
        <v>9295</v>
      </c>
      <c r="B493" t="s">
        <v>333</v>
      </c>
      <c r="C493" t="s">
        <v>115</v>
      </c>
      <c r="D493" s="33">
        <v>106012.42</v>
      </c>
      <c r="E493">
        <v>1246274877</v>
      </c>
      <c r="F493" s="222">
        <v>46185</v>
      </c>
      <c r="G493" s="222"/>
      <c r="H493" t="s">
        <v>23</v>
      </c>
      <c r="I493" t="s">
        <v>24</v>
      </c>
      <c r="J493">
        <v>11384</v>
      </c>
      <c r="K493" s="222">
        <v>46155</v>
      </c>
      <c r="L493">
        <v>1010200</v>
      </c>
      <c r="M493" t="s">
        <v>113</v>
      </c>
      <c r="N493">
        <v>-12</v>
      </c>
      <c r="O493" s="30">
        <v>0</v>
      </c>
      <c r="P493" s="30">
        <v>0</v>
      </c>
      <c r="Q493" s="30">
        <v>106012.42</v>
      </c>
      <c r="R493" s="30">
        <v>0</v>
      </c>
      <c r="S493" s="30">
        <v>0</v>
      </c>
      <c r="T493" s="30">
        <v>0</v>
      </c>
      <c r="U493" s="30">
        <v>0</v>
      </c>
      <c r="V493" s="30">
        <v>0</v>
      </c>
      <c r="W493" s="30">
        <v>0</v>
      </c>
      <c r="X493" s="30">
        <v>0</v>
      </c>
      <c r="Y493" s="30">
        <v>0</v>
      </c>
      <c r="Z493" s="30">
        <v>0</v>
      </c>
      <c r="AA493" s="30">
        <v>0</v>
      </c>
      <c r="AB493" s="30">
        <v>0</v>
      </c>
      <c r="AC493" s="30" t="s">
        <v>407</v>
      </c>
      <c r="AD493" s="30"/>
      <c r="AE493" s="30">
        <v>0</v>
      </c>
    </row>
    <row r="494" spans="1:31" x14ac:dyDescent="0.25">
      <c r="A494">
        <v>9298</v>
      </c>
      <c r="B494" t="s">
        <v>170</v>
      </c>
      <c r="C494" t="s">
        <v>171</v>
      </c>
      <c r="D494" s="33">
        <v>111799</v>
      </c>
      <c r="E494">
        <v>1246070436</v>
      </c>
      <c r="F494" s="222">
        <v>45555</v>
      </c>
      <c r="G494" s="222"/>
      <c r="H494" t="s">
        <v>156</v>
      </c>
      <c r="I494" t="s">
        <v>157</v>
      </c>
      <c r="J494">
        <v>20815</v>
      </c>
      <c r="K494" s="222">
        <v>44991</v>
      </c>
      <c r="L494">
        <v>1010100</v>
      </c>
      <c r="M494" t="s">
        <v>29</v>
      </c>
      <c r="N494">
        <v>618</v>
      </c>
      <c r="O494" s="30">
        <v>0</v>
      </c>
      <c r="P494" s="30">
        <v>0</v>
      </c>
      <c r="Q494" s="30">
        <v>0</v>
      </c>
      <c r="R494" s="30">
        <v>0</v>
      </c>
      <c r="S494" s="30">
        <v>0</v>
      </c>
      <c r="T494" s="30">
        <v>0</v>
      </c>
      <c r="U494" s="30">
        <v>111799</v>
      </c>
      <c r="V494" s="30">
        <v>0</v>
      </c>
      <c r="W494" s="30">
        <v>3353.97</v>
      </c>
      <c r="X494" s="30">
        <v>108445.03</v>
      </c>
      <c r="Y494" s="30">
        <v>108445.03</v>
      </c>
      <c r="Z494" s="30">
        <v>0</v>
      </c>
      <c r="AA494" s="30">
        <v>-111799</v>
      </c>
      <c r="AB494" s="30">
        <v>0</v>
      </c>
      <c r="AC494" s="30" t="s">
        <v>407</v>
      </c>
      <c r="AD494" s="30"/>
      <c r="AE494" s="30">
        <v>0</v>
      </c>
    </row>
    <row r="495" spans="1:31" x14ac:dyDescent="0.25">
      <c r="A495">
        <v>9298</v>
      </c>
      <c r="B495" t="s">
        <v>170</v>
      </c>
      <c r="C495" t="s">
        <v>171</v>
      </c>
      <c r="D495" s="33">
        <v>65548</v>
      </c>
      <c r="E495">
        <v>1246070905</v>
      </c>
      <c r="F495" s="222">
        <v>45555</v>
      </c>
      <c r="G495" s="222"/>
      <c r="H495" t="s">
        <v>156</v>
      </c>
      <c r="I495" t="s">
        <v>157</v>
      </c>
      <c r="J495">
        <v>20839</v>
      </c>
      <c r="K495" s="222">
        <v>44994</v>
      </c>
      <c r="L495">
        <v>1010100</v>
      </c>
      <c r="M495" t="s">
        <v>29</v>
      </c>
      <c r="N495">
        <v>618</v>
      </c>
      <c r="O495" s="30">
        <v>0</v>
      </c>
      <c r="P495" s="30">
        <v>0</v>
      </c>
      <c r="Q495" s="30">
        <v>0</v>
      </c>
      <c r="R495" s="30">
        <v>0</v>
      </c>
      <c r="S495" s="30">
        <v>0</v>
      </c>
      <c r="T495" s="30">
        <v>0</v>
      </c>
      <c r="U495" s="30">
        <v>65548</v>
      </c>
      <c r="V495" s="30">
        <v>0</v>
      </c>
      <c r="W495" s="30">
        <v>1966.4399999999998</v>
      </c>
      <c r="X495" s="30">
        <v>63581.56</v>
      </c>
      <c r="Y495" s="30">
        <v>63581.56</v>
      </c>
      <c r="Z495" s="30">
        <v>0</v>
      </c>
      <c r="AA495" s="30">
        <v>-65548</v>
      </c>
      <c r="AB495" s="30">
        <v>0</v>
      </c>
      <c r="AC495" s="30" t="s">
        <v>407</v>
      </c>
      <c r="AD495" s="30"/>
      <c r="AE495" s="30">
        <v>0</v>
      </c>
    </row>
    <row r="496" spans="1:31" x14ac:dyDescent="0.25">
      <c r="A496">
        <v>9298</v>
      </c>
      <c r="B496" t="s">
        <v>170</v>
      </c>
      <c r="C496" t="s">
        <v>171</v>
      </c>
      <c r="D496" s="33">
        <v>112475</v>
      </c>
      <c r="E496">
        <v>1246068948</v>
      </c>
      <c r="F496" s="222">
        <v>45555</v>
      </c>
      <c r="G496" s="222"/>
      <c r="H496" t="s">
        <v>156</v>
      </c>
      <c r="I496" t="s">
        <v>157</v>
      </c>
      <c r="J496">
        <v>20763</v>
      </c>
      <c r="K496" s="222">
        <v>44984</v>
      </c>
      <c r="L496">
        <v>1010100</v>
      </c>
      <c r="M496" t="s">
        <v>29</v>
      </c>
      <c r="N496">
        <v>618</v>
      </c>
      <c r="O496" s="30">
        <v>0</v>
      </c>
      <c r="P496" s="30">
        <v>0</v>
      </c>
      <c r="Q496" s="30">
        <v>0</v>
      </c>
      <c r="R496" s="30">
        <v>0</v>
      </c>
      <c r="S496" s="30">
        <v>0</v>
      </c>
      <c r="T496" s="30">
        <v>0</v>
      </c>
      <c r="U496" s="30">
        <v>112475</v>
      </c>
      <c r="V496" s="30">
        <v>0</v>
      </c>
      <c r="W496" s="30">
        <v>3374.25</v>
      </c>
      <c r="X496" s="30">
        <v>109100.75</v>
      </c>
      <c r="Y496" s="30">
        <v>109100.75</v>
      </c>
      <c r="Z496" s="30">
        <v>0</v>
      </c>
      <c r="AA496" s="30">
        <v>-112475</v>
      </c>
      <c r="AB496" s="30">
        <v>0</v>
      </c>
      <c r="AC496" s="30" t="s">
        <v>407</v>
      </c>
      <c r="AD496" s="30"/>
      <c r="AE496" s="30">
        <v>0</v>
      </c>
    </row>
    <row r="497" spans="1:31" x14ac:dyDescent="0.25">
      <c r="A497">
        <v>9298</v>
      </c>
      <c r="B497" t="s">
        <v>170</v>
      </c>
      <c r="C497" t="s">
        <v>171</v>
      </c>
      <c r="D497" s="33">
        <v>149824</v>
      </c>
      <c r="E497">
        <v>1246068778</v>
      </c>
      <c r="F497" s="222">
        <v>45555</v>
      </c>
      <c r="G497" s="222"/>
      <c r="H497" t="s">
        <v>156</v>
      </c>
      <c r="I497" t="s">
        <v>157</v>
      </c>
      <c r="J497">
        <v>20750</v>
      </c>
      <c r="K497" s="222">
        <v>44981</v>
      </c>
      <c r="L497">
        <v>1010100</v>
      </c>
      <c r="M497" t="s">
        <v>29</v>
      </c>
      <c r="N497">
        <v>618</v>
      </c>
      <c r="O497" s="30">
        <v>0</v>
      </c>
      <c r="P497" s="30">
        <v>0</v>
      </c>
      <c r="Q497" s="30">
        <v>0</v>
      </c>
      <c r="R497" s="30">
        <v>0</v>
      </c>
      <c r="S497" s="30">
        <v>0</v>
      </c>
      <c r="T497" s="30">
        <v>0</v>
      </c>
      <c r="U497" s="30">
        <v>149824</v>
      </c>
      <c r="V497" s="30">
        <v>0</v>
      </c>
      <c r="W497" s="30">
        <v>4494.72</v>
      </c>
      <c r="X497" s="30">
        <v>145329.28</v>
      </c>
      <c r="Y497" s="30">
        <v>145329.28</v>
      </c>
      <c r="Z497" s="30">
        <v>0</v>
      </c>
      <c r="AA497" s="30">
        <v>-149824</v>
      </c>
      <c r="AB497" s="30">
        <v>0</v>
      </c>
      <c r="AC497" s="30" t="s">
        <v>407</v>
      </c>
      <c r="AD497" s="30"/>
      <c r="AE497" s="30">
        <v>0</v>
      </c>
    </row>
    <row r="498" spans="1:31" x14ac:dyDescent="0.25">
      <c r="A498">
        <v>9298</v>
      </c>
      <c r="B498" t="s">
        <v>170</v>
      </c>
      <c r="C498" t="s">
        <v>171</v>
      </c>
      <c r="D498" s="33">
        <v>131203</v>
      </c>
      <c r="E498">
        <v>1246070820</v>
      </c>
      <c r="F498" s="222">
        <v>45555</v>
      </c>
      <c r="G498" s="222"/>
      <c r="H498" t="s">
        <v>156</v>
      </c>
      <c r="I498" t="s">
        <v>157</v>
      </c>
      <c r="J498">
        <v>20836</v>
      </c>
      <c r="K498" s="222">
        <v>44993</v>
      </c>
      <c r="L498">
        <v>1010100</v>
      </c>
      <c r="M498" t="s">
        <v>29</v>
      </c>
      <c r="N498">
        <v>618</v>
      </c>
      <c r="O498" s="30">
        <v>0</v>
      </c>
      <c r="P498" s="30">
        <v>0</v>
      </c>
      <c r="Q498" s="30">
        <v>0</v>
      </c>
      <c r="R498" s="30">
        <v>0</v>
      </c>
      <c r="S498" s="30">
        <v>0</v>
      </c>
      <c r="T498" s="30">
        <v>0</v>
      </c>
      <c r="U498" s="30">
        <v>131203</v>
      </c>
      <c r="V498" s="30">
        <v>0</v>
      </c>
      <c r="W498" s="30">
        <v>3936.0899999999997</v>
      </c>
      <c r="X498" s="30">
        <v>127266.91</v>
      </c>
      <c r="Y498" s="30">
        <v>127266.91</v>
      </c>
      <c r="Z498" s="30">
        <v>0</v>
      </c>
      <c r="AA498" s="30">
        <v>-131203</v>
      </c>
      <c r="AB498" s="30">
        <v>0</v>
      </c>
      <c r="AC498" s="30" t="s">
        <v>407</v>
      </c>
      <c r="AD498" s="30"/>
      <c r="AE498" s="30">
        <v>0</v>
      </c>
    </row>
    <row r="499" spans="1:31" x14ac:dyDescent="0.25">
      <c r="A499">
        <v>9298</v>
      </c>
      <c r="B499" t="s">
        <v>170</v>
      </c>
      <c r="C499" t="s">
        <v>171</v>
      </c>
      <c r="D499" s="33">
        <v>119356.2</v>
      </c>
      <c r="E499">
        <v>1246068614</v>
      </c>
      <c r="F499" s="222">
        <v>45555</v>
      </c>
      <c r="G499" s="222"/>
      <c r="H499" t="s">
        <v>156</v>
      </c>
      <c r="I499" t="s">
        <v>157</v>
      </c>
      <c r="J499">
        <v>20734</v>
      </c>
      <c r="K499" s="222">
        <v>44980</v>
      </c>
      <c r="L499">
        <v>1010100</v>
      </c>
      <c r="M499" t="s">
        <v>29</v>
      </c>
      <c r="N499">
        <v>618</v>
      </c>
      <c r="O499" s="30">
        <v>0</v>
      </c>
      <c r="P499" s="30">
        <v>0</v>
      </c>
      <c r="Q499" s="30">
        <v>0</v>
      </c>
      <c r="R499" s="30">
        <v>0</v>
      </c>
      <c r="S499" s="30">
        <v>0</v>
      </c>
      <c r="T499" s="30">
        <v>0</v>
      </c>
      <c r="U499" s="30">
        <v>119356.2</v>
      </c>
      <c r="V499" s="30">
        <v>0</v>
      </c>
      <c r="W499" s="30">
        <v>3580.6859999999997</v>
      </c>
      <c r="X499" s="30">
        <v>115775.514</v>
      </c>
      <c r="Y499" s="30">
        <v>115775.514</v>
      </c>
      <c r="Z499" s="30">
        <v>0</v>
      </c>
      <c r="AA499" s="30">
        <v>-119356.2</v>
      </c>
      <c r="AB499" s="30">
        <v>0</v>
      </c>
      <c r="AC499" s="30" t="s">
        <v>407</v>
      </c>
      <c r="AD499" s="30"/>
      <c r="AE499" s="30">
        <v>0</v>
      </c>
    </row>
    <row r="500" spans="1:31" x14ac:dyDescent="0.25">
      <c r="A500">
        <v>9298</v>
      </c>
      <c r="B500" t="s">
        <v>170</v>
      </c>
      <c r="C500" t="s">
        <v>171</v>
      </c>
      <c r="D500" s="33">
        <v>122521</v>
      </c>
      <c r="E500">
        <v>1246068997</v>
      </c>
      <c r="F500" s="222">
        <v>45555</v>
      </c>
      <c r="G500" s="222"/>
      <c r="H500" t="s">
        <v>156</v>
      </c>
      <c r="I500" t="s">
        <v>157</v>
      </c>
      <c r="J500">
        <v>20767</v>
      </c>
      <c r="K500" s="222">
        <v>44984</v>
      </c>
      <c r="L500">
        <v>1010100</v>
      </c>
      <c r="M500" t="s">
        <v>29</v>
      </c>
      <c r="N500">
        <v>618</v>
      </c>
      <c r="O500" s="30">
        <v>0</v>
      </c>
      <c r="P500" s="30">
        <v>0</v>
      </c>
      <c r="Q500" s="30">
        <v>0</v>
      </c>
      <c r="R500" s="30">
        <v>0</v>
      </c>
      <c r="S500" s="30">
        <v>0</v>
      </c>
      <c r="T500" s="30">
        <v>0</v>
      </c>
      <c r="U500" s="30">
        <v>122521</v>
      </c>
      <c r="V500" s="30">
        <v>0</v>
      </c>
      <c r="W500" s="30">
        <v>3675.6299999999997</v>
      </c>
      <c r="X500" s="30">
        <v>118845.37</v>
      </c>
      <c r="Y500" s="30">
        <v>118845.37</v>
      </c>
      <c r="Z500" s="30">
        <v>0</v>
      </c>
      <c r="AA500" s="30">
        <v>-122521</v>
      </c>
      <c r="AB500" s="30">
        <v>0</v>
      </c>
      <c r="AC500" s="30" t="s">
        <v>407</v>
      </c>
      <c r="AD500" s="30"/>
      <c r="AE500" s="30">
        <v>0</v>
      </c>
    </row>
    <row r="501" spans="1:31" x14ac:dyDescent="0.25">
      <c r="A501">
        <v>9298</v>
      </c>
      <c r="B501" t="s">
        <v>170</v>
      </c>
      <c r="C501" t="s">
        <v>171</v>
      </c>
      <c r="D501" s="33">
        <v>118731.49</v>
      </c>
      <c r="E501">
        <v>1246083500</v>
      </c>
      <c r="F501" s="222">
        <v>45555</v>
      </c>
      <c r="G501" s="222"/>
      <c r="H501" t="s">
        <v>156</v>
      </c>
      <c r="I501" t="s">
        <v>157</v>
      </c>
      <c r="J501">
        <v>21456</v>
      </c>
      <c r="K501" s="222">
        <v>45070</v>
      </c>
      <c r="L501">
        <v>1010100</v>
      </c>
      <c r="M501" t="s">
        <v>29</v>
      </c>
      <c r="N501">
        <v>618</v>
      </c>
      <c r="O501" s="30">
        <v>0</v>
      </c>
      <c r="P501" s="30">
        <v>0</v>
      </c>
      <c r="Q501" s="30">
        <v>0</v>
      </c>
      <c r="R501" s="30">
        <v>0</v>
      </c>
      <c r="S501" s="30">
        <v>0</v>
      </c>
      <c r="T501" s="30">
        <v>0</v>
      </c>
      <c r="U501" s="30">
        <v>118731.49</v>
      </c>
      <c r="V501" s="30">
        <v>0</v>
      </c>
      <c r="W501" s="30">
        <v>3561.9447</v>
      </c>
      <c r="X501" s="30">
        <v>115169.5453</v>
      </c>
      <c r="Y501" s="30">
        <v>115169.5453</v>
      </c>
      <c r="Z501" s="30">
        <v>0</v>
      </c>
      <c r="AA501" s="30">
        <v>-118731.49</v>
      </c>
      <c r="AB501" s="30">
        <v>0</v>
      </c>
      <c r="AC501" s="30" t="s">
        <v>407</v>
      </c>
      <c r="AD501" s="30"/>
      <c r="AE501" s="30">
        <v>0</v>
      </c>
    </row>
    <row r="502" spans="1:31" x14ac:dyDescent="0.25">
      <c r="A502">
        <v>9298</v>
      </c>
      <c r="B502" t="s">
        <v>170</v>
      </c>
      <c r="C502" t="s">
        <v>171</v>
      </c>
      <c r="D502" s="33">
        <v>52557.4</v>
      </c>
      <c r="E502">
        <v>1246083593</v>
      </c>
      <c r="F502" s="222">
        <v>45555</v>
      </c>
      <c r="G502" s="222"/>
      <c r="H502" t="s">
        <v>156</v>
      </c>
      <c r="I502" t="s">
        <v>157</v>
      </c>
      <c r="J502">
        <v>21460</v>
      </c>
      <c r="K502" s="222">
        <v>45070</v>
      </c>
      <c r="L502">
        <v>1010100</v>
      </c>
      <c r="M502" t="s">
        <v>29</v>
      </c>
      <c r="N502">
        <v>618</v>
      </c>
      <c r="O502" s="30">
        <v>0</v>
      </c>
      <c r="P502" s="30">
        <v>0</v>
      </c>
      <c r="Q502" s="30">
        <v>0</v>
      </c>
      <c r="R502" s="30">
        <v>0</v>
      </c>
      <c r="S502" s="30">
        <v>0</v>
      </c>
      <c r="T502" s="30">
        <v>0</v>
      </c>
      <c r="U502" s="30">
        <v>52557.4</v>
      </c>
      <c r="V502" s="30">
        <v>0</v>
      </c>
      <c r="W502" s="30">
        <v>1576.722</v>
      </c>
      <c r="X502" s="30">
        <v>50980.678</v>
      </c>
      <c r="Y502" s="30">
        <v>50980.678</v>
      </c>
      <c r="Z502" s="30">
        <v>0</v>
      </c>
      <c r="AA502" s="30">
        <v>-52557.4</v>
      </c>
      <c r="AB502" s="30">
        <v>0</v>
      </c>
      <c r="AC502" s="30" t="s">
        <v>407</v>
      </c>
      <c r="AD502" s="30"/>
      <c r="AE502" s="30">
        <v>0</v>
      </c>
    </row>
    <row r="503" spans="1:31" x14ac:dyDescent="0.25">
      <c r="A503">
        <v>9298</v>
      </c>
      <c r="B503" t="s">
        <v>170</v>
      </c>
      <c r="C503" t="s">
        <v>171</v>
      </c>
      <c r="D503" s="33">
        <v>52557.4</v>
      </c>
      <c r="E503">
        <v>1246083373</v>
      </c>
      <c r="F503" s="222">
        <v>45555</v>
      </c>
      <c r="G503" s="222"/>
      <c r="H503" t="s">
        <v>156</v>
      </c>
      <c r="I503" t="s">
        <v>157</v>
      </c>
      <c r="J503">
        <v>21444</v>
      </c>
      <c r="K503" s="222">
        <v>45069</v>
      </c>
      <c r="L503">
        <v>1010100</v>
      </c>
      <c r="M503" t="s">
        <v>29</v>
      </c>
      <c r="N503">
        <v>618</v>
      </c>
      <c r="O503" s="30">
        <v>0</v>
      </c>
      <c r="P503" s="30">
        <v>0</v>
      </c>
      <c r="Q503" s="30">
        <v>0</v>
      </c>
      <c r="R503" s="30">
        <v>0</v>
      </c>
      <c r="S503" s="30">
        <v>0</v>
      </c>
      <c r="T503" s="30">
        <v>0</v>
      </c>
      <c r="U503" s="30">
        <v>52557.4</v>
      </c>
      <c r="V503" s="30">
        <v>0</v>
      </c>
      <c r="W503" s="30">
        <v>1576.722</v>
      </c>
      <c r="X503" s="30">
        <v>50980.678</v>
      </c>
      <c r="Y503" s="30">
        <v>50980.678</v>
      </c>
      <c r="Z503" s="30">
        <v>0</v>
      </c>
      <c r="AA503" s="30">
        <v>-52557.4</v>
      </c>
      <c r="AB503" s="30">
        <v>0</v>
      </c>
      <c r="AC503" s="30" t="s">
        <v>407</v>
      </c>
      <c r="AD503" s="30"/>
      <c r="AE503" s="30">
        <v>0</v>
      </c>
    </row>
    <row r="504" spans="1:31" x14ac:dyDescent="0.25">
      <c r="A504">
        <v>9298</v>
      </c>
      <c r="B504" t="s">
        <v>170</v>
      </c>
      <c r="C504" t="s">
        <v>171</v>
      </c>
      <c r="D504" s="33">
        <v>13957.5</v>
      </c>
      <c r="E504">
        <v>1246084673</v>
      </c>
      <c r="F504" s="222">
        <v>45555</v>
      </c>
      <c r="G504" s="222"/>
      <c r="H504" t="s">
        <v>156</v>
      </c>
      <c r="I504" t="s">
        <v>157</v>
      </c>
      <c r="J504">
        <v>21538</v>
      </c>
      <c r="K504" s="222">
        <v>45077</v>
      </c>
      <c r="L504">
        <v>1010100</v>
      </c>
      <c r="M504" t="s">
        <v>29</v>
      </c>
      <c r="N504">
        <v>618</v>
      </c>
      <c r="O504" s="30">
        <v>0</v>
      </c>
      <c r="P504" s="30">
        <v>0</v>
      </c>
      <c r="Q504" s="30">
        <v>0</v>
      </c>
      <c r="R504" s="30">
        <v>0</v>
      </c>
      <c r="S504" s="30">
        <v>0</v>
      </c>
      <c r="T504" s="30">
        <v>0</v>
      </c>
      <c r="U504" s="30">
        <v>13957.5</v>
      </c>
      <c r="V504" s="30">
        <v>0</v>
      </c>
      <c r="W504" s="30">
        <v>418.72499999999997</v>
      </c>
      <c r="X504" s="30">
        <v>13538.775</v>
      </c>
      <c r="Y504" s="30">
        <v>13538.775</v>
      </c>
      <c r="Z504" s="30">
        <v>13957.5</v>
      </c>
      <c r="AA504" s="30">
        <v>-13957.5</v>
      </c>
      <c r="AB504" s="30">
        <v>0</v>
      </c>
      <c r="AC504" s="30" t="s">
        <v>407</v>
      </c>
      <c r="AD504" s="30"/>
      <c r="AE504" s="30">
        <v>0</v>
      </c>
    </row>
    <row r="505" spans="1:31" x14ac:dyDescent="0.25">
      <c r="A505">
        <v>9298</v>
      </c>
      <c r="B505" t="s">
        <v>170</v>
      </c>
      <c r="C505" t="s">
        <v>171</v>
      </c>
      <c r="D505" s="33">
        <v>40756.75</v>
      </c>
      <c r="E505">
        <v>1246084671</v>
      </c>
      <c r="F505" s="222">
        <v>45555</v>
      </c>
      <c r="G505" s="222"/>
      <c r="H505" t="s">
        <v>156</v>
      </c>
      <c r="I505" t="s">
        <v>157</v>
      </c>
      <c r="J505">
        <v>21537</v>
      </c>
      <c r="K505" s="222">
        <v>45077</v>
      </c>
      <c r="L505">
        <v>1010100</v>
      </c>
      <c r="M505" t="s">
        <v>29</v>
      </c>
      <c r="N505">
        <v>618</v>
      </c>
      <c r="O505" s="30">
        <v>0</v>
      </c>
      <c r="P505" s="30">
        <v>0</v>
      </c>
      <c r="Q505" s="30">
        <v>0</v>
      </c>
      <c r="R505" s="30">
        <v>0</v>
      </c>
      <c r="S505" s="30">
        <v>0</v>
      </c>
      <c r="T505" s="30">
        <v>0</v>
      </c>
      <c r="U505" s="30">
        <v>40756.75</v>
      </c>
      <c r="V505" s="30">
        <v>0</v>
      </c>
      <c r="W505" s="30">
        <v>1222.7024999999999</v>
      </c>
      <c r="X505" s="30">
        <v>39534.047500000001</v>
      </c>
      <c r="Y505" s="30">
        <v>39534.047500000001</v>
      </c>
      <c r="Z505" s="30">
        <v>0</v>
      </c>
      <c r="AA505" s="30">
        <v>-40756.75</v>
      </c>
      <c r="AB505" s="30">
        <v>0</v>
      </c>
      <c r="AC505" s="30" t="s">
        <v>407</v>
      </c>
      <c r="AD505" s="30"/>
      <c r="AE505" s="30">
        <v>0</v>
      </c>
    </row>
    <row r="506" spans="1:31" x14ac:dyDescent="0.25">
      <c r="A506">
        <v>9298</v>
      </c>
      <c r="B506" t="s">
        <v>170</v>
      </c>
      <c r="C506" t="s">
        <v>171</v>
      </c>
      <c r="D506" s="33">
        <v>13238.05</v>
      </c>
      <c r="E506">
        <v>1246088994</v>
      </c>
      <c r="F506" s="222">
        <v>45555</v>
      </c>
      <c r="G506" s="222"/>
      <c r="H506" t="s">
        <v>156</v>
      </c>
      <c r="I506" t="s">
        <v>157</v>
      </c>
      <c r="J506">
        <v>20723</v>
      </c>
      <c r="K506" s="222">
        <v>44979</v>
      </c>
      <c r="L506">
        <v>1010100</v>
      </c>
      <c r="M506" t="s">
        <v>29</v>
      </c>
      <c r="N506">
        <v>618</v>
      </c>
      <c r="O506" s="30">
        <v>0</v>
      </c>
      <c r="P506" s="30">
        <v>0</v>
      </c>
      <c r="Q506" s="30">
        <v>0</v>
      </c>
      <c r="R506" s="30">
        <v>0</v>
      </c>
      <c r="S506" s="30">
        <v>0</v>
      </c>
      <c r="T506" s="30">
        <v>0</v>
      </c>
      <c r="U506" s="30">
        <v>13238.05</v>
      </c>
      <c r="V506" s="30">
        <v>0</v>
      </c>
      <c r="W506" s="30">
        <v>397.14149999999995</v>
      </c>
      <c r="X506" s="30">
        <v>12840.9085</v>
      </c>
      <c r="Y506" s="30">
        <v>12840.9085</v>
      </c>
      <c r="Z506" s="30">
        <v>13238.05</v>
      </c>
      <c r="AA506" s="30">
        <v>-13238.05</v>
      </c>
      <c r="AB506" s="30">
        <v>0</v>
      </c>
      <c r="AC506" s="30" t="s">
        <v>407</v>
      </c>
      <c r="AD506" s="30"/>
      <c r="AE506" s="30">
        <v>0</v>
      </c>
    </row>
    <row r="507" spans="1:31" x14ac:dyDescent="0.25">
      <c r="A507">
        <v>9298</v>
      </c>
      <c r="B507" t="s">
        <v>170</v>
      </c>
      <c r="C507" t="s">
        <v>171</v>
      </c>
      <c r="D507" s="33">
        <v>118788.8</v>
      </c>
      <c r="E507">
        <v>1246099199</v>
      </c>
      <c r="F507" s="222">
        <v>45562</v>
      </c>
      <c r="G507" s="222"/>
      <c r="H507" t="s">
        <v>156</v>
      </c>
      <c r="I507" t="s">
        <v>157</v>
      </c>
      <c r="J507">
        <v>768</v>
      </c>
      <c r="K507" s="222">
        <v>45159</v>
      </c>
      <c r="L507">
        <v>1010100</v>
      </c>
      <c r="M507" t="s">
        <v>29</v>
      </c>
      <c r="N507">
        <v>611</v>
      </c>
      <c r="O507" s="30">
        <v>0</v>
      </c>
      <c r="P507" s="30">
        <v>0</v>
      </c>
      <c r="Q507" s="30">
        <v>0</v>
      </c>
      <c r="R507" s="30">
        <v>0</v>
      </c>
      <c r="S507" s="30">
        <v>0</v>
      </c>
      <c r="T507" s="30">
        <v>0</v>
      </c>
      <c r="U507" s="30">
        <v>118788.8</v>
      </c>
      <c r="V507" s="30">
        <v>0</v>
      </c>
      <c r="W507" s="30">
        <v>3563.6639999999998</v>
      </c>
      <c r="X507" s="30">
        <v>115225.136</v>
      </c>
      <c r="Y507" s="30">
        <v>115225.136</v>
      </c>
      <c r="Z507" s="30">
        <v>0</v>
      </c>
      <c r="AA507" s="30">
        <v>-118788.8</v>
      </c>
      <c r="AB507" s="30">
        <v>0</v>
      </c>
      <c r="AC507" s="30" t="s">
        <v>407</v>
      </c>
      <c r="AD507" s="30"/>
      <c r="AE507" s="30">
        <v>0</v>
      </c>
    </row>
    <row r="508" spans="1:31" x14ac:dyDescent="0.25">
      <c r="A508">
        <v>9298</v>
      </c>
      <c r="B508" t="s">
        <v>170</v>
      </c>
      <c r="C508" t="s">
        <v>171</v>
      </c>
      <c r="D508" s="33">
        <v>118788.8</v>
      </c>
      <c r="E508">
        <v>1246099294</v>
      </c>
      <c r="F508" s="222">
        <v>45562</v>
      </c>
      <c r="G508" s="222"/>
      <c r="H508" t="s">
        <v>156</v>
      </c>
      <c r="I508" t="s">
        <v>157</v>
      </c>
      <c r="J508">
        <v>777</v>
      </c>
      <c r="K508" s="222">
        <v>45159</v>
      </c>
      <c r="L508">
        <v>1010100</v>
      </c>
      <c r="M508" t="s">
        <v>29</v>
      </c>
      <c r="N508">
        <v>611</v>
      </c>
      <c r="O508" s="30">
        <v>0</v>
      </c>
      <c r="P508" s="30">
        <v>0</v>
      </c>
      <c r="Q508" s="30">
        <v>0</v>
      </c>
      <c r="R508" s="30">
        <v>0</v>
      </c>
      <c r="S508" s="30">
        <v>0</v>
      </c>
      <c r="T508" s="30">
        <v>0</v>
      </c>
      <c r="U508" s="30">
        <v>118788.8</v>
      </c>
      <c r="V508" s="30">
        <v>0</v>
      </c>
      <c r="W508" s="30">
        <v>3563.6639999999998</v>
      </c>
      <c r="X508" s="30">
        <v>115225.136</v>
      </c>
      <c r="Y508" s="30">
        <v>115225.136</v>
      </c>
      <c r="Z508" s="30">
        <v>0</v>
      </c>
      <c r="AA508" s="30">
        <v>-118788.8</v>
      </c>
      <c r="AB508" s="30">
        <v>0</v>
      </c>
      <c r="AC508" s="30" t="s">
        <v>407</v>
      </c>
      <c r="AD508" s="30"/>
      <c r="AE508" s="30">
        <v>0</v>
      </c>
    </row>
    <row r="509" spans="1:31" x14ac:dyDescent="0.25">
      <c r="A509">
        <v>9298</v>
      </c>
      <c r="B509" t="s">
        <v>170</v>
      </c>
      <c r="C509" t="s">
        <v>171</v>
      </c>
      <c r="D509" s="33">
        <v>148492.1</v>
      </c>
      <c r="E509">
        <v>1246105304</v>
      </c>
      <c r="F509" s="222">
        <v>45555</v>
      </c>
      <c r="G509" s="222"/>
      <c r="H509" t="s">
        <v>156</v>
      </c>
      <c r="I509" t="s">
        <v>157</v>
      </c>
      <c r="J509">
        <v>1270</v>
      </c>
      <c r="K509" s="222">
        <v>45190</v>
      </c>
      <c r="L509">
        <v>1010100</v>
      </c>
      <c r="M509" t="s">
        <v>29</v>
      </c>
      <c r="N509">
        <v>618</v>
      </c>
      <c r="O509" s="30">
        <v>0</v>
      </c>
      <c r="P509" s="30">
        <v>0</v>
      </c>
      <c r="Q509" s="30">
        <v>0</v>
      </c>
      <c r="R509" s="30">
        <v>0</v>
      </c>
      <c r="S509" s="30">
        <v>0</v>
      </c>
      <c r="T509" s="30">
        <v>0</v>
      </c>
      <c r="U509" s="30">
        <v>148492.1</v>
      </c>
      <c r="V509" s="30">
        <v>0</v>
      </c>
      <c r="W509" s="30">
        <v>4454.7629999999999</v>
      </c>
      <c r="X509" s="30">
        <v>144037.337</v>
      </c>
      <c r="Y509" s="30">
        <v>144037.337</v>
      </c>
      <c r="Z509" s="30">
        <v>0</v>
      </c>
      <c r="AA509" s="30">
        <v>-148492.1</v>
      </c>
      <c r="AB509" s="30">
        <v>0</v>
      </c>
      <c r="AC509" s="30" t="s">
        <v>407</v>
      </c>
      <c r="AD509" s="30"/>
      <c r="AE509" s="30">
        <v>0</v>
      </c>
    </row>
    <row r="510" spans="1:31" x14ac:dyDescent="0.25">
      <c r="A510">
        <v>9298</v>
      </c>
      <c r="B510" t="s">
        <v>170</v>
      </c>
      <c r="C510" t="s">
        <v>171</v>
      </c>
      <c r="D510" s="33">
        <v>79894</v>
      </c>
      <c r="E510">
        <v>1246114860</v>
      </c>
      <c r="F510" s="222">
        <v>45555</v>
      </c>
      <c r="G510" s="222"/>
      <c r="H510" t="s">
        <v>156</v>
      </c>
      <c r="I510" t="s">
        <v>157</v>
      </c>
      <c r="J510">
        <v>1951</v>
      </c>
      <c r="K510" s="222">
        <v>45243</v>
      </c>
      <c r="L510">
        <v>1010100</v>
      </c>
      <c r="M510" t="s">
        <v>29</v>
      </c>
      <c r="N510">
        <v>618</v>
      </c>
      <c r="O510" s="30">
        <v>0</v>
      </c>
      <c r="P510" s="30">
        <v>0</v>
      </c>
      <c r="Q510" s="30">
        <v>0</v>
      </c>
      <c r="R510" s="30">
        <v>0</v>
      </c>
      <c r="S510" s="30">
        <v>0</v>
      </c>
      <c r="T510" s="30">
        <v>0</v>
      </c>
      <c r="U510" s="30">
        <v>79894</v>
      </c>
      <c r="V510" s="30">
        <v>0</v>
      </c>
      <c r="W510" s="30">
        <v>2396.8199999999997</v>
      </c>
      <c r="X510" s="30">
        <v>77497.179999999993</v>
      </c>
      <c r="Y510" s="30">
        <v>77497.179999999993</v>
      </c>
      <c r="Z510" s="30">
        <v>0</v>
      </c>
      <c r="AA510" s="30">
        <v>-79894</v>
      </c>
      <c r="AB510" s="30">
        <v>0</v>
      </c>
      <c r="AC510" s="30" t="s">
        <v>407</v>
      </c>
      <c r="AD510" s="30"/>
      <c r="AE510" s="30">
        <v>0</v>
      </c>
    </row>
    <row r="511" spans="1:31" x14ac:dyDescent="0.25">
      <c r="A511">
        <v>9298</v>
      </c>
      <c r="B511" t="s">
        <v>170</v>
      </c>
      <c r="C511" t="s">
        <v>171</v>
      </c>
      <c r="D511" s="33">
        <v>123567.8</v>
      </c>
      <c r="E511">
        <v>1246103672</v>
      </c>
      <c r="F511" s="222">
        <v>45567</v>
      </c>
      <c r="G511" s="222"/>
      <c r="H511" t="s">
        <v>156</v>
      </c>
      <c r="I511" t="s">
        <v>157</v>
      </c>
      <c r="J511">
        <v>1150</v>
      </c>
      <c r="K511" s="222">
        <v>45182</v>
      </c>
      <c r="L511">
        <v>1010100</v>
      </c>
      <c r="M511" t="s">
        <v>29</v>
      </c>
      <c r="N511">
        <v>606</v>
      </c>
      <c r="O511" s="30">
        <v>0</v>
      </c>
      <c r="P511" s="30">
        <v>0</v>
      </c>
      <c r="Q511" s="30">
        <v>0</v>
      </c>
      <c r="R511" s="30">
        <v>0</v>
      </c>
      <c r="S511" s="30">
        <v>0</v>
      </c>
      <c r="T511" s="30">
        <v>0</v>
      </c>
      <c r="U511" s="30">
        <v>123567.8</v>
      </c>
      <c r="V511" s="30">
        <v>0</v>
      </c>
      <c r="W511" s="30">
        <v>3707.0340000000001</v>
      </c>
      <c r="X511" s="30">
        <v>119860.766</v>
      </c>
      <c r="Y511" s="30">
        <v>119860.766</v>
      </c>
      <c r="Z511" s="30">
        <v>0</v>
      </c>
      <c r="AA511" s="30">
        <v>-123567.8</v>
      </c>
      <c r="AB511" s="30">
        <v>0</v>
      </c>
      <c r="AC511" s="30" t="s">
        <v>407</v>
      </c>
      <c r="AD511" s="30"/>
      <c r="AE511" s="30">
        <v>0</v>
      </c>
    </row>
    <row r="512" spans="1:31" x14ac:dyDescent="0.25">
      <c r="A512">
        <v>9298</v>
      </c>
      <c r="B512" t="s">
        <v>170</v>
      </c>
      <c r="C512" t="s">
        <v>171</v>
      </c>
      <c r="D512" s="33">
        <v>113355.6</v>
      </c>
      <c r="E512">
        <v>1246116199</v>
      </c>
      <c r="F512" s="222">
        <v>45561</v>
      </c>
      <c r="G512" s="222"/>
      <c r="H512" t="s">
        <v>156</v>
      </c>
      <c r="I512" t="s">
        <v>157</v>
      </c>
      <c r="J512">
        <v>2054</v>
      </c>
      <c r="K512" s="222">
        <v>45252</v>
      </c>
      <c r="L512">
        <v>1010100</v>
      </c>
      <c r="M512" t="s">
        <v>29</v>
      </c>
      <c r="N512">
        <v>612</v>
      </c>
      <c r="O512" s="30">
        <v>0</v>
      </c>
      <c r="P512" s="30">
        <v>0</v>
      </c>
      <c r="Q512" s="30">
        <v>0</v>
      </c>
      <c r="R512" s="30">
        <v>0</v>
      </c>
      <c r="S512" s="30">
        <v>0</v>
      </c>
      <c r="T512" s="30">
        <v>0</v>
      </c>
      <c r="U512" s="30">
        <v>113355.6</v>
      </c>
      <c r="V512" s="30">
        <v>0</v>
      </c>
      <c r="W512" s="30">
        <v>3400.6680000000001</v>
      </c>
      <c r="X512" s="30">
        <v>109954.932</v>
      </c>
      <c r="Y512" s="30">
        <v>109954.932</v>
      </c>
      <c r="Z512" s="30">
        <v>0</v>
      </c>
      <c r="AA512" s="30">
        <v>-113355.6</v>
      </c>
      <c r="AB512" s="30">
        <v>0</v>
      </c>
      <c r="AC512" s="30" t="s">
        <v>407</v>
      </c>
      <c r="AD512" s="30"/>
      <c r="AE512" s="30">
        <v>0</v>
      </c>
    </row>
    <row r="513" spans="1:31" x14ac:dyDescent="0.25">
      <c r="A513">
        <v>9298</v>
      </c>
      <c r="B513" t="s">
        <v>170</v>
      </c>
      <c r="C513" t="s">
        <v>171</v>
      </c>
      <c r="D513" s="33">
        <v>143583.76</v>
      </c>
      <c r="E513">
        <v>1246106222</v>
      </c>
      <c r="F513" s="222">
        <v>45560</v>
      </c>
      <c r="G513" s="222"/>
      <c r="H513" t="s">
        <v>156</v>
      </c>
      <c r="I513" t="s">
        <v>157</v>
      </c>
      <c r="J513">
        <v>1341</v>
      </c>
      <c r="K513" s="222">
        <v>45195</v>
      </c>
      <c r="L513">
        <v>1010100</v>
      </c>
      <c r="M513" t="s">
        <v>29</v>
      </c>
      <c r="N513">
        <v>613</v>
      </c>
      <c r="O513" s="30">
        <v>0</v>
      </c>
      <c r="P513" s="30">
        <v>0</v>
      </c>
      <c r="Q513" s="30">
        <v>0</v>
      </c>
      <c r="R513" s="30">
        <v>0</v>
      </c>
      <c r="S513" s="30">
        <v>0</v>
      </c>
      <c r="T513" s="30">
        <v>0</v>
      </c>
      <c r="U513" s="30">
        <v>143583.76</v>
      </c>
      <c r="V513" s="30">
        <v>0</v>
      </c>
      <c r="W513" s="30">
        <v>4307.5128000000004</v>
      </c>
      <c r="X513" s="30">
        <v>139276.24720000001</v>
      </c>
      <c r="Y513" s="30">
        <v>139276.24720000001</v>
      </c>
      <c r="Z513" s="30">
        <v>0</v>
      </c>
      <c r="AA513" s="30">
        <v>-143583.76</v>
      </c>
      <c r="AB513" s="30">
        <v>0</v>
      </c>
      <c r="AC513" s="30" t="s">
        <v>407</v>
      </c>
      <c r="AD513" s="30"/>
      <c r="AE513" s="30">
        <v>0</v>
      </c>
    </row>
    <row r="514" spans="1:31" x14ac:dyDescent="0.25">
      <c r="A514">
        <v>9298</v>
      </c>
      <c r="B514" t="s">
        <v>170</v>
      </c>
      <c r="C514" t="s">
        <v>171</v>
      </c>
      <c r="D514" s="33">
        <v>55612.2</v>
      </c>
      <c r="E514">
        <v>1246104999</v>
      </c>
      <c r="F514" s="222">
        <v>45555</v>
      </c>
      <c r="G514" s="222"/>
      <c r="H514" t="s">
        <v>156</v>
      </c>
      <c r="I514" t="s">
        <v>157</v>
      </c>
      <c r="J514">
        <v>1249</v>
      </c>
      <c r="K514" s="222">
        <v>45189</v>
      </c>
      <c r="L514">
        <v>1010100</v>
      </c>
      <c r="M514" t="s">
        <v>29</v>
      </c>
      <c r="N514">
        <v>618</v>
      </c>
      <c r="O514" s="30">
        <v>0</v>
      </c>
      <c r="P514" s="30">
        <v>0</v>
      </c>
      <c r="Q514" s="30">
        <v>0</v>
      </c>
      <c r="R514" s="30">
        <v>0</v>
      </c>
      <c r="S514" s="30">
        <v>0</v>
      </c>
      <c r="T514" s="30">
        <v>0</v>
      </c>
      <c r="U514" s="30">
        <v>55612.2</v>
      </c>
      <c r="V514" s="30">
        <v>0</v>
      </c>
      <c r="W514" s="30">
        <v>1668.3659999999998</v>
      </c>
      <c r="X514" s="30">
        <v>53943.833999999995</v>
      </c>
      <c r="Y514" s="30">
        <v>53943.833999999995</v>
      </c>
      <c r="Z514" s="30">
        <v>0</v>
      </c>
      <c r="AA514" s="30">
        <v>-55612.2</v>
      </c>
      <c r="AB514" s="30">
        <v>0</v>
      </c>
      <c r="AC514" s="30" t="s">
        <v>407</v>
      </c>
      <c r="AD514" s="30"/>
      <c r="AE514" s="30">
        <v>0</v>
      </c>
    </row>
    <row r="515" spans="1:31" x14ac:dyDescent="0.25">
      <c r="A515">
        <v>9298</v>
      </c>
      <c r="B515" t="s">
        <v>170</v>
      </c>
      <c r="C515" t="s">
        <v>171</v>
      </c>
      <c r="D515" s="33">
        <v>64234.84</v>
      </c>
      <c r="E515">
        <v>1246115394</v>
      </c>
      <c r="F515" s="222">
        <v>45555</v>
      </c>
      <c r="G515" s="222"/>
      <c r="H515" t="s">
        <v>156</v>
      </c>
      <c r="I515" t="s">
        <v>157</v>
      </c>
      <c r="J515">
        <v>1991</v>
      </c>
      <c r="K515" s="222">
        <v>45246</v>
      </c>
      <c r="L515">
        <v>1010100</v>
      </c>
      <c r="M515" t="s">
        <v>29</v>
      </c>
      <c r="N515">
        <v>618</v>
      </c>
      <c r="O515" s="30">
        <v>0</v>
      </c>
      <c r="P515" s="30">
        <v>0</v>
      </c>
      <c r="Q515" s="30">
        <v>0</v>
      </c>
      <c r="R515" s="30">
        <v>0</v>
      </c>
      <c r="S515" s="30">
        <v>0</v>
      </c>
      <c r="T515" s="30">
        <v>0</v>
      </c>
      <c r="U515" s="30">
        <v>64234.84</v>
      </c>
      <c r="V515" s="30">
        <v>0</v>
      </c>
      <c r="W515" s="30">
        <v>1927.0451999999998</v>
      </c>
      <c r="X515" s="30">
        <v>62307.794799999996</v>
      </c>
      <c r="Y515" s="30">
        <v>62307.794799999996</v>
      </c>
      <c r="Z515" s="30">
        <v>0</v>
      </c>
      <c r="AA515" s="30">
        <v>-64234.84</v>
      </c>
      <c r="AB515" s="30">
        <v>0</v>
      </c>
      <c r="AC515" s="30" t="s">
        <v>407</v>
      </c>
      <c r="AD515" s="30"/>
      <c r="AE515" s="30">
        <v>0</v>
      </c>
    </row>
    <row r="516" spans="1:31" x14ac:dyDescent="0.25">
      <c r="A516">
        <v>9298</v>
      </c>
      <c r="B516" t="s">
        <v>170</v>
      </c>
      <c r="C516" t="s">
        <v>171</v>
      </c>
      <c r="D516" s="33">
        <v>54534.2</v>
      </c>
      <c r="E516">
        <v>1246115392</v>
      </c>
      <c r="F516" s="222">
        <v>45555</v>
      </c>
      <c r="G516" s="222"/>
      <c r="H516" t="s">
        <v>156</v>
      </c>
      <c r="I516" t="s">
        <v>157</v>
      </c>
      <c r="J516">
        <v>1990</v>
      </c>
      <c r="K516" s="222">
        <v>45246</v>
      </c>
      <c r="L516">
        <v>1010100</v>
      </c>
      <c r="M516" t="s">
        <v>29</v>
      </c>
      <c r="N516">
        <v>618</v>
      </c>
      <c r="O516" s="30">
        <v>0</v>
      </c>
      <c r="P516" s="30">
        <v>0</v>
      </c>
      <c r="Q516" s="30">
        <v>0</v>
      </c>
      <c r="R516" s="30">
        <v>0</v>
      </c>
      <c r="S516" s="30">
        <v>0</v>
      </c>
      <c r="T516" s="30">
        <v>0</v>
      </c>
      <c r="U516" s="30">
        <v>54534.2</v>
      </c>
      <c r="V516" s="30">
        <v>0</v>
      </c>
      <c r="W516" s="30">
        <v>1636.0259999999998</v>
      </c>
      <c r="X516" s="30">
        <v>52898.173999999999</v>
      </c>
      <c r="Y516" s="30">
        <v>52898.173999999999</v>
      </c>
      <c r="Z516" s="30">
        <v>0</v>
      </c>
      <c r="AA516" s="30">
        <v>-54534.2</v>
      </c>
      <c r="AB516" s="30">
        <v>0</v>
      </c>
      <c r="AC516" s="30" t="s">
        <v>407</v>
      </c>
      <c r="AD516" s="30"/>
      <c r="AE516" s="30">
        <v>0</v>
      </c>
    </row>
    <row r="517" spans="1:31" x14ac:dyDescent="0.25">
      <c r="A517">
        <v>9298</v>
      </c>
      <c r="B517" t="s">
        <v>170</v>
      </c>
      <c r="C517" t="s">
        <v>171</v>
      </c>
      <c r="D517" s="33">
        <v>139293.64000000001</v>
      </c>
      <c r="E517">
        <v>1246105902</v>
      </c>
      <c r="F517" s="222">
        <v>45559</v>
      </c>
      <c r="G517" s="222"/>
      <c r="H517" t="s">
        <v>156</v>
      </c>
      <c r="I517" t="s">
        <v>157</v>
      </c>
      <c r="J517">
        <v>1319</v>
      </c>
      <c r="K517" s="222">
        <v>45194</v>
      </c>
      <c r="L517">
        <v>1010100</v>
      </c>
      <c r="M517" t="s">
        <v>29</v>
      </c>
      <c r="N517">
        <v>614</v>
      </c>
      <c r="O517" s="30">
        <v>0</v>
      </c>
      <c r="P517" s="30">
        <v>0</v>
      </c>
      <c r="Q517" s="30">
        <v>0</v>
      </c>
      <c r="R517" s="30">
        <v>0</v>
      </c>
      <c r="S517" s="30">
        <v>0</v>
      </c>
      <c r="T517" s="30">
        <v>0</v>
      </c>
      <c r="U517" s="30">
        <v>139293.64000000001</v>
      </c>
      <c r="V517" s="30">
        <v>0</v>
      </c>
      <c r="W517" s="30">
        <v>4178.8092000000006</v>
      </c>
      <c r="X517" s="30">
        <v>135114.8308</v>
      </c>
      <c r="Y517" s="30">
        <v>135114.8308</v>
      </c>
      <c r="Z517" s="30">
        <v>0</v>
      </c>
      <c r="AA517" s="30">
        <v>-139293.64000000001</v>
      </c>
      <c r="AB517" s="30">
        <v>0</v>
      </c>
      <c r="AC517" s="30" t="s">
        <v>407</v>
      </c>
      <c r="AD517" s="30"/>
      <c r="AE517" s="30">
        <v>0</v>
      </c>
    </row>
    <row r="518" spans="1:31" x14ac:dyDescent="0.25">
      <c r="A518">
        <v>9298</v>
      </c>
      <c r="B518" t="s">
        <v>170</v>
      </c>
      <c r="C518" t="s">
        <v>171</v>
      </c>
      <c r="D518" s="33">
        <v>68013.36</v>
      </c>
      <c r="E518">
        <v>1246114866</v>
      </c>
      <c r="F518" s="222">
        <v>45555</v>
      </c>
      <c r="G518" s="222"/>
      <c r="H518" t="s">
        <v>156</v>
      </c>
      <c r="I518" t="s">
        <v>157</v>
      </c>
      <c r="J518">
        <v>1952</v>
      </c>
      <c r="K518" s="222">
        <v>45243</v>
      </c>
      <c r="L518">
        <v>1010100</v>
      </c>
      <c r="M518" t="s">
        <v>29</v>
      </c>
      <c r="N518">
        <v>618</v>
      </c>
      <c r="O518" s="30">
        <v>0</v>
      </c>
      <c r="P518" s="30">
        <v>0</v>
      </c>
      <c r="Q518" s="30">
        <v>0</v>
      </c>
      <c r="R518" s="30">
        <v>0</v>
      </c>
      <c r="S518" s="30">
        <v>0</v>
      </c>
      <c r="T518" s="30">
        <v>0</v>
      </c>
      <c r="U518" s="30">
        <v>68013.36</v>
      </c>
      <c r="V518" s="30">
        <v>0</v>
      </c>
      <c r="W518" s="30">
        <v>2040.4007999999999</v>
      </c>
      <c r="X518" s="30">
        <v>65972.959199999998</v>
      </c>
      <c r="Y518" s="30">
        <v>65972.959199999998</v>
      </c>
      <c r="Z518" s="30">
        <v>0</v>
      </c>
      <c r="AA518" s="30">
        <v>-68013.36</v>
      </c>
      <c r="AB518" s="30">
        <v>0</v>
      </c>
      <c r="AC518" s="30" t="s">
        <v>407</v>
      </c>
      <c r="AD518" s="30"/>
      <c r="AE518" s="30">
        <v>0</v>
      </c>
    </row>
    <row r="519" spans="1:31" x14ac:dyDescent="0.25">
      <c r="A519">
        <v>9298</v>
      </c>
      <c r="B519" t="s">
        <v>170</v>
      </c>
      <c r="C519" t="s">
        <v>171</v>
      </c>
      <c r="D519" s="33">
        <v>55611.199999999997</v>
      </c>
      <c r="E519">
        <v>1246167304</v>
      </c>
      <c r="F519" s="222">
        <v>45555</v>
      </c>
      <c r="G519" s="222"/>
      <c r="H519" t="s">
        <v>156</v>
      </c>
      <c r="I519" t="s">
        <v>157</v>
      </c>
      <c r="J519">
        <v>1244</v>
      </c>
      <c r="K519" s="222">
        <v>45189</v>
      </c>
      <c r="L519">
        <v>1010100</v>
      </c>
      <c r="M519" t="s">
        <v>29</v>
      </c>
      <c r="N519">
        <v>618</v>
      </c>
      <c r="O519" s="30">
        <v>0</v>
      </c>
      <c r="P519" s="30">
        <v>0</v>
      </c>
      <c r="Q519" s="30">
        <v>0</v>
      </c>
      <c r="R519" s="30">
        <v>0</v>
      </c>
      <c r="S519" s="30">
        <v>0</v>
      </c>
      <c r="T519" s="30">
        <v>0</v>
      </c>
      <c r="U519" s="30">
        <v>55611.199999999997</v>
      </c>
      <c r="V519" s="30">
        <v>0</v>
      </c>
      <c r="W519" s="30">
        <v>1668.3359999999998</v>
      </c>
      <c r="X519" s="30">
        <v>53942.863999999994</v>
      </c>
      <c r="Y519" s="30">
        <v>53942.863999999994</v>
      </c>
      <c r="Z519" s="30">
        <v>0</v>
      </c>
      <c r="AA519" s="30">
        <v>-55611.199999999997</v>
      </c>
      <c r="AB519" s="30">
        <v>0</v>
      </c>
      <c r="AC519" s="30" t="s">
        <v>407</v>
      </c>
      <c r="AD519" s="30"/>
      <c r="AE519" s="30">
        <v>0</v>
      </c>
    </row>
    <row r="520" spans="1:31" x14ac:dyDescent="0.25">
      <c r="A520">
        <v>9298</v>
      </c>
      <c r="B520" t="s">
        <v>170</v>
      </c>
      <c r="C520" t="s">
        <v>171</v>
      </c>
      <c r="D520" s="33">
        <v>104546.96</v>
      </c>
      <c r="E520">
        <v>1246244742</v>
      </c>
      <c r="F520" s="222">
        <v>45555</v>
      </c>
      <c r="G520" s="222"/>
      <c r="H520" t="s">
        <v>156</v>
      </c>
      <c r="I520" t="s">
        <v>157</v>
      </c>
      <c r="J520">
        <v>20726</v>
      </c>
      <c r="K520" s="222">
        <v>44979</v>
      </c>
      <c r="L520">
        <v>1010100</v>
      </c>
      <c r="M520" t="s">
        <v>29</v>
      </c>
      <c r="N520">
        <v>618</v>
      </c>
      <c r="O520" s="30">
        <v>0</v>
      </c>
      <c r="P520" s="30">
        <v>0</v>
      </c>
      <c r="Q520" s="30">
        <v>0</v>
      </c>
      <c r="R520" s="30">
        <v>0</v>
      </c>
      <c r="S520" s="30">
        <v>0</v>
      </c>
      <c r="T520" s="30">
        <v>0</v>
      </c>
      <c r="U520" s="30">
        <v>104546.96</v>
      </c>
      <c r="V520" s="30">
        <v>0</v>
      </c>
      <c r="W520" s="30">
        <v>3136.4088000000002</v>
      </c>
      <c r="X520" s="30">
        <v>101410.5512</v>
      </c>
      <c r="Y520" s="30">
        <v>101410.5512</v>
      </c>
      <c r="Z520" s="30">
        <v>0</v>
      </c>
      <c r="AA520" s="30">
        <v>-104546.96</v>
      </c>
      <c r="AB520" s="30">
        <v>0</v>
      </c>
      <c r="AC520" s="30" t="s">
        <v>407</v>
      </c>
      <c r="AD520" s="30"/>
      <c r="AE520" s="30">
        <v>0</v>
      </c>
    </row>
    <row r="521" spans="1:31" x14ac:dyDescent="0.25">
      <c r="A521">
        <v>9355</v>
      </c>
      <c r="B521" t="s">
        <v>302</v>
      </c>
      <c r="C521" t="s">
        <v>26</v>
      </c>
      <c r="D521" s="33">
        <v>1211001.23</v>
      </c>
      <c r="E521">
        <v>1246277386</v>
      </c>
      <c r="F521" s="222">
        <v>46261</v>
      </c>
      <c r="G521" s="222"/>
      <c r="H521" t="s">
        <v>23</v>
      </c>
      <c r="I521" t="s">
        <v>24</v>
      </c>
      <c r="J521">
        <v>2980</v>
      </c>
      <c r="K521" s="222">
        <v>46171</v>
      </c>
      <c r="L521">
        <v>1010200</v>
      </c>
      <c r="M521" t="s">
        <v>113</v>
      </c>
      <c r="N521">
        <v>-88</v>
      </c>
      <c r="O521" s="30">
        <v>0</v>
      </c>
      <c r="P521" s="30">
        <v>0</v>
      </c>
      <c r="Q521" s="30">
        <v>1211001.23</v>
      </c>
      <c r="R521" s="30">
        <v>0</v>
      </c>
      <c r="S521" s="30">
        <v>0</v>
      </c>
      <c r="T521" s="30">
        <v>0</v>
      </c>
      <c r="U521" s="30">
        <v>0</v>
      </c>
      <c r="V521" s="30">
        <v>0</v>
      </c>
      <c r="W521" s="30">
        <v>0</v>
      </c>
      <c r="X521" s="30">
        <v>0</v>
      </c>
      <c r="Y521" s="30">
        <v>0</v>
      </c>
      <c r="Z521" s="30">
        <v>0</v>
      </c>
      <c r="AA521" s="30">
        <v>0</v>
      </c>
      <c r="AB521" s="30">
        <v>0</v>
      </c>
      <c r="AC521" s="30" t="s">
        <v>407</v>
      </c>
      <c r="AD521" s="30"/>
      <c r="AE521" s="30">
        <v>0</v>
      </c>
    </row>
    <row r="522" spans="1:31" x14ac:dyDescent="0.25">
      <c r="A522">
        <v>9355</v>
      </c>
      <c r="B522" t="s">
        <v>302</v>
      </c>
      <c r="C522" t="s">
        <v>26</v>
      </c>
      <c r="D522" s="33">
        <v>337183.81</v>
      </c>
      <c r="E522">
        <v>1246273399</v>
      </c>
      <c r="F522" s="222">
        <v>46236</v>
      </c>
      <c r="G522" s="222"/>
      <c r="H522" t="s">
        <v>23</v>
      </c>
      <c r="I522" t="s">
        <v>24</v>
      </c>
      <c r="J522">
        <v>11285</v>
      </c>
      <c r="K522" s="222">
        <v>46146</v>
      </c>
      <c r="L522">
        <v>1010200</v>
      </c>
      <c r="M522" t="s">
        <v>113</v>
      </c>
      <c r="N522">
        <v>-63</v>
      </c>
      <c r="O522" s="30">
        <v>0</v>
      </c>
      <c r="P522" s="30">
        <v>0</v>
      </c>
      <c r="Q522" s="30">
        <v>337183.81</v>
      </c>
      <c r="R522" s="30">
        <v>0</v>
      </c>
      <c r="S522" s="30">
        <v>0</v>
      </c>
      <c r="T522" s="30">
        <v>0</v>
      </c>
      <c r="U522" s="30">
        <v>0</v>
      </c>
      <c r="V522" s="30">
        <v>0</v>
      </c>
      <c r="W522" s="30">
        <v>0</v>
      </c>
      <c r="X522" s="30">
        <v>0</v>
      </c>
      <c r="Y522" s="30">
        <v>0</v>
      </c>
      <c r="Z522" s="30">
        <v>0</v>
      </c>
      <c r="AA522" s="30">
        <v>0</v>
      </c>
      <c r="AB522" s="30">
        <v>0</v>
      </c>
      <c r="AC522" s="30" t="s">
        <v>407</v>
      </c>
      <c r="AD522" s="30"/>
      <c r="AE522" s="30">
        <v>0</v>
      </c>
    </row>
    <row r="523" spans="1:31" x14ac:dyDescent="0.25">
      <c r="A523">
        <v>9355</v>
      </c>
      <c r="B523" t="s">
        <v>302</v>
      </c>
      <c r="C523" t="s">
        <v>26</v>
      </c>
      <c r="D523" s="33">
        <v>1211001.23</v>
      </c>
      <c r="E523">
        <v>1246277365</v>
      </c>
      <c r="F523" s="222">
        <v>46261</v>
      </c>
      <c r="G523" s="222"/>
      <c r="H523" t="s">
        <v>23</v>
      </c>
      <c r="I523" t="s">
        <v>24</v>
      </c>
      <c r="J523">
        <v>2978</v>
      </c>
      <c r="K523" s="222">
        <v>46171</v>
      </c>
      <c r="L523">
        <v>1010200</v>
      </c>
      <c r="M523" t="s">
        <v>113</v>
      </c>
      <c r="N523">
        <v>-88</v>
      </c>
      <c r="O523" s="30">
        <v>0</v>
      </c>
      <c r="P523" s="30">
        <v>0</v>
      </c>
      <c r="Q523" s="30">
        <v>1211001.23</v>
      </c>
      <c r="R523" s="30">
        <v>0</v>
      </c>
      <c r="S523" s="30">
        <v>0</v>
      </c>
      <c r="T523" s="30">
        <v>0</v>
      </c>
      <c r="U523" s="30">
        <v>0</v>
      </c>
      <c r="V523" s="30">
        <v>0</v>
      </c>
      <c r="W523" s="30">
        <v>0</v>
      </c>
      <c r="X523" s="30">
        <v>0</v>
      </c>
      <c r="Y523" s="30">
        <v>0</v>
      </c>
      <c r="Z523" s="30">
        <v>0</v>
      </c>
      <c r="AA523" s="30">
        <v>0</v>
      </c>
      <c r="AB523" s="30">
        <v>0</v>
      </c>
      <c r="AC523" s="30" t="s">
        <v>407</v>
      </c>
      <c r="AD523" s="30"/>
      <c r="AE523" s="30">
        <v>0</v>
      </c>
    </row>
    <row r="524" spans="1:31" x14ac:dyDescent="0.25">
      <c r="A524">
        <v>9355</v>
      </c>
      <c r="B524" t="s">
        <v>302</v>
      </c>
      <c r="C524" t="s">
        <v>26</v>
      </c>
      <c r="D524" s="33">
        <v>331187.78000000003</v>
      </c>
      <c r="E524">
        <v>1246274319</v>
      </c>
      <c r="F524" s="222">
        <v>46243</v>
      </c>
      <c r="G524" s="222"/>
      <c r="H524" t="s">
        <v>23</v>
      </c>
      <c r="I524" t="s">
        <v>24</v>
      </c>
      <c r="J524">
        <v>11346</v>
      </c>
      <c r="K524" s="222">
        <v>46153</v>
      </c>
      <c r="L524">
        <v>1010200</v>
      </c>
      <c r="M524" t="s">
        <v>113</v>
      </c>
      <c r="N524">
        <v>-70</v>
      </c>
      <c r="O524" s="30">
        <v>0</v>
      </c>
      <c r="P524" s="30">
        <v>0</v>
      </c>
      <c r="Q524" s="30">
        <v>331187.78000000003</v>
      </c>
      <c r="R524" s="30">
        <v>0</v>
      </c>
      <c r="S524" s="30">
        <v>0</v>
      </c>
      <c r="T524" s="30">
        <v>0</v>
      </c>
      <c r="U524" s="30">
        <v>0</v>
      </c>
      <c r="V524" s="30">
        <v>0</v>
      </c>
      <c r="W524" s="30">
        <v>0</v>
      </c>
      <c r="X524" s="30">
        <v>0</v>
      </c>
      <c r="Y524" s="30">
        <v>0</v>
      </c>
      <c r="Z524" s="30">
        <v>0</v>
      </c>
      <c r="AA524" s="30">
        <v>0</v>
      </c>
      <c r="AB524" s="30">
        <v>0</v>
      </c>
      <c r="AC524" s="30" t="s">
        <v>407</v>
      </c>
      <c r="AD524" s="30"/>
      <c r="AE524" s="30">
        <v>0</v>
      </c>
    </row>
    <row r="525" spans="1:31" x14ac:dyDescent="0.25">
      <c r="A525">
        <v>10413</v>
      </c>
      <c r="B525" t="s">
        <v>265</v>
      </c>
      <c r="C525" t="s">
        <v>15420</v>
      </c>
      <c r="D525" s="33">
        <v>78835.8</v>
      </c>
      <c r="E525">
        <v>1246275825</v>
      </c>
      <c r="F525" s="222">
        <v>46188</v>
      </c>
      <c r="G525" s="222"/>
      <c r="H525" t="s">
        <v>23</v>
      </c>
      <c r="I525" t="s">
        <v>24</v>
      </c>
      <c r="J525">
        <v>11444</v>
      </c>
      <c r="K525" s="222">
        <v>46161</v>
      </c>
      <c r="L525">
        <v>1010100</v>
      </c>
      <c r="M525" t="s">
        <v>29</v>
      </c>
      <c r="N525">
        <v>-15</v>
      </c>
      <c r="O525" s="30">
        <v>0</v>
      </c>
      <c r="P525" s="30">
        <v>0</v>
      </c>
      <c r="Q525" s="30">
        <v>78835.8</v>
      </c>
      <c r="R525" s="30">
        <v>0</v>
      </c>
      <c r="S525" s="30">
        <v>0</v>
      </c>
      <c r="T525" s="30">
        <v>0</v>
      </c>
      <c r="U525" s="30">
        <v>0</v>
      </c>
      <c r="V525" s="30">
        <v>0</v>
      </c>
      <c r="W525" s="30">
        <v>0</v>
      </c>
      <c r="X525" s="30">
        <v>0</v>
      </c>
      <c r="Y525" s="30">
        <v>0</v>
      </c>
      <c r="Z525" s="30">
        <v>0</v>
      </c>
      <c r="AA525" s="30">
        <v>0</v>
      </c>
      <c r="AB525" s="30">
        <v>0</v>
      </c>
      <c r="AC525" s="30" t="s">
        <v>407</v>
      </c>
      <c r="AD525" s="30"/>
      <c r="AE525" s="30">
        <v>0</v>
      </c>
    </row>
    <row r="526" spans="1:31" x14ac:dyDescent="0.25">
      <c r="A526">
        <v>10677</v>
      </c>
      <c r="B526" t="s">
        <v>770</v>
      </c>
      <c r="C526" t="s">
        <v>771</v>
      </c>
      <c r="D526" s="33">
        <v>581</v>
      </c>
      <c r="E526">
        <v>1246272911</v>
      </c>
      <c r="F526" s="222">
        <v>46175</v>
      </c>
      <c r="G526" s="222"/>
      <c r="I526" t="s">
        <v>326</v>
      </c>
      <c r="J526">
        <v>11244</v>
      </c>
      <c r="K526" s="222">
        <v>46140</v>
      </c>
      <c r="L526">
        <v>4011600</v>
      </c>
      <c r="M526" t="s">
        <v>597</v>
      </c>
      <c r="N526">
        <v>-2</v>
      </c>
      <c r="O526" s="30">
        <v>0</v>
      </c>
      <c r="P526" s="30">
        <v>0</v>
      </c>
      <c r="Q526" s="30">
        <v>581</v>
      </c>
      <c r="R526" s="30">
        <v>0</v>
      </c>
      <c r="S526" s="30">
        <v>0</v>
      </c>
      <c r="T526" s="30">
        <v>0</v>
      </c>
      <c r="U526" s="30">
        <v>0</v>
      </c>
      <c r="V526" s="30">
        <v>0</v>
      </c>
      <c r="W526" s="30">
        <v>0</v>
      </c>
      <c r="X526" s="30">
        <v>0</v>
      </c>
      <c r="Y526" s="30">
        <v>0</v>
      </c>
      <c r="Z526" s="30">
        <v>0</v>
      </c>
      <c r="AA526" s="30">
        <v>0</v>
      </c>
      <c r="AB526" s="30">
        <v>0</v>
      </c>
      <c r="AC526" s="30" t="s">
        <v>407</v>
      </c>
      <c r="AD526" s="30"/>
      <c r="AE526" s="30">
        <v>0</v>
      </c>
    </row>
    <row r="527" spans="1:31" x14ac:dyDescent="0.25">
      <c r="A527">
        <v>10677</v>
      </c>
      <c r="B527" t="s">
        <v>770</v>
      </c>
      <c r="C527" t="s">
        <v>771</v>
      </c>
      <c r="D527" s="33">
        <v>581</v>
      </c>
      <c r="E527">
        <v>1246272912</v>
      </c>
      <c r="F527" s="222">
        <v>46200</v>
      </c>
      <c r="G527" s="222"/>
      <c r="I527" t="s">
        <v>326</v>
      </c>
      <c r="J527">
        <v>11244</v>
      </c>
      <c r="K527" s="222">
        <v>46140</v>
      </c>
      <c r="L527">
        <v>4011600</v>
      </c>
      <c r="M527" t="s">
        <v>597</v>
      </c>
      <c r="N527">
        <v>-27</v>
      </c>
      <c r="O527" s="30">
        <v>0</v>
      </c>
      <c r="P527" s="30">
        <v>0</v>
      </c>
      <c r="Q527" s="30">
        <v>581</v>
      </c>
      <c r="R527" s="30">
        <v>0</v>
      </c>
      <c r="S527" s="30">
        <v>0</v>
      </c>
      <c r="T527" s="30">
        <v>0</v>
      </c>
      <c r="U527" s="30">
        <v>0</v>
      </c>
      <c r="V527" s="30">
        <v>0</v>
      </c>
      <c r="W527" s="30">
        <v>0</v>
      </c>
      <c r="X527" s="30">
        <v>0</v>
      </c>
      <c r="Y527" s="30">
        <v>0</v>
      </c>
      <c r="Z527" s="30">
        <v>0</v>
      </c>
      <c r="AA527" s="30">
        <v>0</v>
      </c>
      <c r="AB527" s="30">
        <v>0</v>
      </c>
      <c r="AC527" s="30" t="s">
        <v>407</v>
      </c>
      <c r="AD527" s="30"/>
      <c r="AE527" s="30">
        <v>0</v>
      </c>
    </row>
    <row r="528" spans="1:31" x14ac:dyDescent="0.25">
      <c r="A528">
        <v>10677</v>
      </c>
      <c r="B528" t="s">
        <v>770</v>
      </c>
      <c r="C528" t="s">
        <v>771</v>
      </c>
      <c r="D528" s="33">
        <v>581</v>
      </c>
      <c r="E528">
        <v>1246272913</v>
      </c>
      <c r="F528" s="222">
        <v>46230</v>
      </c>
      <c r="G528" s="222"/>
      <c r="I528" t="s">
        <v>326</v>
      </c>
      <c r="J528">
        <v>11244</v>
      </c>
      <c r="K528" s="222">
        <v>46140</v>
      </c>
      <c r="L528">
        <v>4011600</v>
      </c>
      <c r="M528" t="s">
        <v>597</v>
      </c>
      <c r="N528">
        <v>-57</v>
      </c>
      <c r="O528" s="30">
        <v>0</v>
      </c>
      <c r="P528" s="30">
        <v>0</v>
      </c>
      <c r="Q528" s="30">
        <v>581</v>
      </c>
      <c r="R528" s="30">
        <v>0</v>
      </c>
      <c r="S528" s="30">
        <v>0</v>
      </c>
      <c r="T528" s="30">
        <v>0</v>
      </c>
      <c r="U528" s="30">
        <v>0</v>
      </c>
      <c r="V528" s="30">
        <v>0</v>
      </c>
      <c r="W528" s="30">
        <v>0</v>
      </c>
      <c r="X528" s="30">
        <v>0</v>
      </c>
      <c r="Y528" s="30">
        <v>0</v>
      </c>
      <c r="Z528" s="30">
        <v>0</v>
      </c>
      <c r="AA528" s="30">
        <v>0</v>
      </c>
      <c r="AB528" s="30">
        <v>0</v>
      </c>
      <c r="AC528" s="30" t="s">
        <v>407</v>
      </c>
      <c r="AD528" s="30"/>
      <c r="AE528" s="30">
        <v>0</v>
      </c>
    </row>
    <row r="529" spans="1:31" x14ac:dyDescent="0.25">
      <c r="A529">
        <v>11768</v>
      </c>
      <c r="B529" t="s">
        <v>274</v>
      </c>
      <c r="C529" t="s">
        <v>26</v>
      </c>
      <c r="D529" s="33">
        <v>86689.1</v>
      </c>
      <c r="E529">
        <v>1246264534</v>
      </c>
      <c r="F529" s="222">
        <v>46158</v>
      </c>
      <c r="G529" s="222"/>
      <c r="H529" t="s">
        <v>23</v>
      </c>
      <c r="I529" t="s">
        <v>24</v>
      </c>
      <c r="J529">
        <v>10744</v>
      </c>
      <c r="K529" s="222">
        <v>46076</v>
      </c>
      <c r="L529">
        <v>1010200</v>
      </c>
      <c r="M529" t="s">
        <v>113</v>
      </c>
      <c r="N529">
        <v>15</v>
      </c>
      <c r="O529" s="30">
        <v>0</v>
      </c>
      <c r="P529" s="30">
        <v>0</v>
      </c>
      <c r="Q529" s="30">
        <v>0</v>
      </c>
      <c r="R529" s="30">
        <v>86689.1</v>
      </c>
      <c r="S529" s="30">
        <v>0</v>
      </c>
      <c r="T529" s="30">
        <v>0</v>
      </c>
      <c r="U529" s="30">
        <v>0</v>
      </c>
      <c r="V529" s="30">
        <v>0</v>
      </c>
      <c r="W529" s="30">
        <v>0</v>
      </c>
      <c r="X529" s="30">
        <v>0</v>
      </c>
      <c r="Y529" s="30">
        <v>0</v>
      </c>
      <c r="Z529" s="30">
        <v>0</v>
      </c>
      <c r="AA529" s="30">
        <v>0</v>
      </c>
      <c r="AB529" s="30">
        <v>0</v>
      </c>
      <c r="AC529" s="30" t="s">
        <v>407</v>
      </c>
      <c r="AD529" s="30"/>
      <c r="AE529" s="30">
        <v>0</v>
      </c>
    </row>
    <row r="530" spans="1:31" x14ac:dyDescent="0.25">
      <c r="A530">
        <v>11770</v>
      </c>
      <c r="B530" t="s">
        <v>376</v>
      </c>
      <c r="C530" t="s">
        <v>26</v>
      </c>
      <c r="D530" s="33">
        <v>14548.35</v>
      </c>
      <c r="E530">
        <v>1246263524</v>
      </c>
      <c r="F530" s="222">
        <v>46039</v>
      </c>
      <c r="G530" s="222"/>
      <c r="H530" t="s">
        <v>23</v>
      </c>
      <c r="I530" t="s">
        <v>24</v>
      </c>
      <c r="J530">
        <v>9853</v>
      </c>
      <c r="K530" s="222">
        <v>45959</v>
      </c>
      <c r="L530">
        <v>1010200</v>
      </c>
      <c r="M530" t="s">
        <v>113</v>
      </c>
      <c r="N530">
        <v>134</v>
      </c>
      <c r="O530" s="30">
        <v>0</v>
      </c>
      <c r="P530" s="30">
        <v>436.45049999999998</v>
      </c>
      <c r="Q530" s="30">
        <v>0</v>
      </c>
      <c r="R530" s="30">
        <v>0</v>
      </c>
      <c r="S530" s="30">
        <v>14548.35</v>
      </c>
      <c r="T530" s="30">
        <v>0</v>
      </c>
      <c r="U530" s="30">
        <v>0</v>
      </c>
      <c r="V530" s="30">
        <v>0</v>
      </c>
      <c r="W530" s="30">
        <v>436.45049999999998</v>
      </c>
      <c r="X530" s="30">
        <v>0</v>
      </c>
      <c r="Y530" s="30">
        <v>0</v>
      </c>
      <c r="Z530" s="30">
        <v>0</v>
      </c>
      <c r="AA530" s="30">
        <v>0</v>
      </c>
      <c r="AB530" s="30">
        <v>436.45049999999998</v>
      </c>
      <c r="AC530" s="30" t="s">
        <v>407</v>
      </c>
      <c r="AD530" s="30"/>
      <c r="AE530" s="30">
        <v>0</v>
      </c>
    </row>
    <row r="531" spans="1:31" x14ac:dyDescent="0.25">
      <c r="A531">
        <v>10454</v>
      </c>
      <c r="B531" t="s">
        <v>177</v>
      </c>
      <c r="C531" t="s">
        <v>178</v>
      </c>
      <c r="D531" s="33">
        <v>144418.20000000001</v>
      </c>
      <c r="E531">
        <v>1246051128</v>
      </c>
      <c r="F531" s="222">
        <v>45229</v>
      </c>
      <c r="G531" s="222"/>
      <c r="H531" t="s">
        <v>156</v>
      </c>
      <c r="I531" t="s">
        <v>157</v>
      </c>
      <c r="J531">
        <v>19700</v>
      </c>
      <c r="K531" s="222">
        <v>44860</v>
      </c>
      <c r="L531">
        <v>1010100</v>
      </c>
      <c r="M531" t="s">
        <v>29</v>
      </c>
      <c r="N531">
        <v>944</v>
      </c>
      <c r="O531" s="30">
        <v>0</v>
      </c>
      <c r="P531" s="30">
        <v>144418.20000000001</v>
      </c>
      <c r="Q531" s="30">
        <v>0</v>
      </c>
      <c r="R531" s="30">
        <v>0</v>
      </c>
      <c r="S531" s="30">
        <v>0</v>
      </c>
      <c r="T531" s="30">
        <v>0</v>
      </c>
      <c r="U531" s="30">
        <v>144418.20000000001</v>
      </c>
      <c r="V531" s="30">
        <v>0</v>
      </c>
      <c r="W531" s="30">
        <v>4332.5460000000003</v>
      </c>
      <c r="X531" s="30">
        <v>140085.65400000001</v>
      </c>
      <c r="Y531" s="30">
        <v>140085.65400000001</v>
      </c>
      <c r="Z531" s="30">
        <v>0</v>
      </c>
      <c r="AA531" s="30">
        <v>0</v>
      </c>
      <c r="AB531" s="30">
        <v>144418.20000000001</v>
      </c>
      <c r="AC531" s="30" t="s">
        <v>407</v>
      </c>
      <c r="AD531" s="30"/>
      <c r="AE531" s="30">
        <v>0</v>
      </c>
    </row>
    <row r="532" spans="1:31" x14ac:dyDescent="0.25">
      <c r="A532">
        <v>10454</v>
      </c>
      <c r="B532" t="s">
        <v>177</v>
      </c>
      <c r="C532" t="s">
        <v>178</v>
      </c>
      <c r="D532" s="33">
        <v>144418.20000000001</v>
      </c>
      <c r="E532">
        <v>1246049220</v>
      </c>
      <c r="F532" s="222">
        <v>45229</v>
      </c>
      <c r="G532" s="222"/>
      <c r="H532" t="s">
        <v>156</v>
      </c>
      <c r="I532" t="s">
        <v>157</v>
      </c>
      <c r="J532">
        <v>19589</v>
      </c>
      <c r="K532" s="222">
        <v>44852</v>
      </c>
      <c r="L532">
        <v>1010100</v>
      </c>
      <c r="M532" t="s">
        <v>29</v>
      </c>
      <c r="N532">
        <v>944</v>
      </c>
      <c r="O532" s="30">
        <v>0</v>
      </c>
      <c r="P532" s="30">
        <v>144418.20000000001</v>
      </c>
      <c r="Q532" s="30">
        <v>0</v>
      </c>
      <c r="R532" s="30">
        <v>0</v>
      </c>
      <c r="S532" s="30">
        <v>0</v>
      </c>
      <c r="T532" s="30">
        <v>0</v>
      </c>
      <c r="U532" s="30">
        <v>144418.20000000001</v>
      </c>
      <c r="V532" s="30">
        <v>0</v>
      </c>
      <c r="W532" s="30">
        <v>4332.5460000000003</v>
      </c>
      <c r="X532" s="30">
        <v>140085.65400000001</v>
      </c>
      <c r="Y532" s="30">
        <v>140085.65400000001</v>
      </c>
      <c r="Z532" s="30">
        <v>0</v>
      </c>
      <c r="AA532" s="30">
        <v>0</v>
      </c>
      <c r="AB532" s="30">
        <v>144418.20000000001</v>
      </c>
      <c r="AC532" s="30" t="s">
        <v>407</v>
      </c>
      <c r="AD532" s="30"/>
      <c r="AE532" s="30">
        <v>0</v>
      </c>
    </row>
    <row r="533" spans="1:31" x14ac:dyDescent="0.25">
      <c r="A533">
        <v>10454</v>
      </c>
      <c r="B533" t="s">
        <v>177</v>
      </c>
      <c r="C533" t="s">
        <v>178</v>
      </c>
      <c r="D533" s="33">
        <v>149099.07999999999</v>
      </c>
      <c r="E533">
        <v>1246058414</v>
      </c>
      <c r="F533" s="222">
        <v>45229</v>
      </c>
      <c r="G533" s="222"/>
      <c r="H533" t="s">
        <v>156</v>
      </c>
      <c r="I533" t="s">
        <v>157</v>
      </c>
      <c r="J533">
        <v>20191</v>
      </c>
      <c r="K533" s="222">
        <v>44909</v>
      </c>
      <c r="L533">
        <v>1010100</v>
      </c>
      <c r="M533" t="s">
        <v>29</v>
      </c>
      <c r="N533">
        <v>944</v>
      </c>
      <c r="O533" s="30">
        <v>0</v>
      </c>
      <c r="P533" s="30">
        <v>149099.07999999999</v>
      </c>
      <c r="Q533" s="30">
        <v>0</v>
      </c>
      <c r="R533" s="30">
        <v>0</v>
      </c>
      <c r="S533" s="30">
        <v>0</v>
      </c>
      <c r="T533" s="30">
        <v>0</v>
      </c>
      <c r="U533" s="30">
        <v>149099.07999999999</v>
      </c>
      <c r="V533" s="30">
        <v>0</v>
      </c>
      <c r="W533" s="30">
        <v>4472.9723999999997</v>
      </c>
      <c r="X533" s="30">
        <v>144626.10759999999</v>
      </c>
      <c r="Y533" s="30">
        <v>144626.10759999999</v>
      </c>
      <c r="Z533" s="30">
        <v>0</v>
      </c>
      <c r="AA533" s="30">
        <v>0</v>
      </c>
      <c r="AB533" s="30">
        <v>149099.07999999999</v>
      </c>
      <c r="AC533" s="30" t="s">
        <v>407</v>
      </c>
      <c r="AD533" s="30"/>
      <c r="AE533" s="30">
        <v>0</v>
      </c>
    </row>
    <row r="534" spans="1:31" x14ac:dyDescent="0.25">
      <c r="A534">
        <v>10454</v>
      </c>
      <c r="B534" t="s">
        <v>177</v>
      </c>
      <c r="C534" t="s">
        <v>178</v>
      </c>
      <c r="D534" s="33">
        <v>151022.07999999999</v>
      </c>
      <c r="E534">
        <v>1246066481</v>
      </c>
      <c r="F534" s="222">
        <v>45229</v>
      </c>
      <c r="G534" s="222"/>
      <c r="H534" t="s">
        <v>156</v>
      </c>
      <c r="I534" t="s">
        <v>157</v>
      </c>
      <c r="J534">
        <v>20644</v>
      </c>
      <c r="K534" s="222">
        <v>44965</v>
      </c>
      <c r="L534">
        <v>1010100</v>
      </c>
      <c r="M534" t="s">
        <v>29</v>
      </c>
      <c r="N534">
        <v>944</v>
      </c>
      <c r="O534" s="30">
        <v>0</v>
      </c>
      <c r="P534" s="30">
        <v>151022.07999999999</v>
      </c>
      <c r="Q534" s="30">
        <v>0</v>
      </c>
      <c r="R534" s="30">
        <v>0</v>
      </c>
      <c r="S534" s="30">
        <v>0</v>
      </c>
      <c r="T534" s="30">
        <v>0</v>
      </c>
      <c r="U534" s="30">
        <v>151022.07999999999</v>
      </c>
      <c r="V534" s="30">
        <v>0</v>
      </c>
      <c r="W534" s="30">
        <v>4530.6623999999993</v>
      </c>
      <c r="X534" s="30">
        <v>146491.41759999999</v>
      </c>
      <c r="Y534" s="30">
        <v>146491.41759999999</v>
      </c>
      <c r="Z534" s="30">
        <v>0</v>
      </c>
      <c r="AA534" s="30">
        <v>0</v>
      </c>
      <c r="AB534" s="30">
        <v>151022.07999999999</v>
      </c>
      <c r="AC534" s="30" t="s">
        <v>407</v>
      </c>
      <c r="AD534" s="30"/>
      <c r="AE534" s="30">
        <v>0</v>
      </c>
    </row>
    <row r="535" spans="1:31" x14ac:dyDescent="0.25">
      <c r="A535">
        <v>10454</v>
      </c>
      <c r="B535" t="s">
        <v>177</v>
      </c>
      <c r="C535" t="s">
        <v>178</v>
      </c>
      <c r="D535" s="33">
        <v>248498.47</v>
      </c>
      <c r="E535">
        <v>1246058556</v>
      </c>
      <c r="F535" s="222">
        <v>45229</v>
      </c>
      <c r="G535" s="222"/>
      <c r="H535" t="s">
        <v>156</v>
      </c>
      <c r="I535" t="s">
        <v>157</v>
      </c>
      <c r="J535">
        <v>20197</v>
      </c>
      <c r="K535" s="222">
        <v>44909</v>
      </c>
      <c r="L535">
        <v>1010100</v>
      </c>
      <c r="M535" t="s">
        <v>29</v>
      </c>
      <c r="N535">
        <v>944</v>
      </c>
      <c r="O535" s="30">
        <v>0</v>
      </c>
      <c r="P535" s="30">
        <v>248498.47</v>
      </c>
      <c r="Q535" s="30">
        <v>0</v>
      </c>
      <c r="R535" s="30">
        <v>0</v>
      </c>
      <c r="S535" s="30">
        <v>0</v>
      </c>
      <c r="T535" s="30">
        <v>0</v>
      </c>
      <c r="U535" s="30">
        <v>248498.47</v>
      </c>
      <c r="V535" s="30">
        <v>0</v>
      </c>
      <c r="W535" s="30">
        <v>7454.9540999999999</v>
      </c>
      <c r="X535" s="30">
        <v>241043.5159</v>
      </c>
      <c r="Y535" s="30">
        <v>241043.5159</v>
      </c>
      <c r="Z535" s="30">
        <v>0</v>
      </c>
      <c r="AA535" s="30">
        <v>0</v>
      </c>
      <c r="AB535" s="30">
        <v>248498.47</v>
      </c>
      <c r="AC535" s="30" t="s">
        <v>407</v>
      </c>
      <c r="AD535" s="30"/>
      <c r="AE535" s="30">
        <v>0</v>
      </c>
    </row>
    <row r="536" spans="1:31" x14ac:dyDescent="0.25">
      <c r="A536">
        <v>10454</v>
      </c>
      <c r="B536" t="s">
        <v>177</v>
      </c>
      <c r="C536" t="s">
        <v>178</v>
      </c>
      <c r="D536" s="33">
        <v>122816.13</v>
      </c>
      <c r="E536">
        <v>1246065495</v>
      </c>
      <c r="F536" s="222">
        <v>45229</v>
      </c>
      <c r="G536" s="222"/>
      <c r="H536" t="s">
        <v>156</v>
      </c>
      <c r="I536" t="s">
        <v>157</v>
      </c>
      <c r="J536">
        <v>20599</v>
      </c>
      <c r="K536" s="222">
        <v>44958</v>
      </c>
      <c r="L536">
        <v>1010100</v>
      </c>
      <c r="M536" t="s">
        <v>29</v>
      </c>
      <c r="N536">
        <v>944</v>
      </c>
      <c r="O536" s="30">
        <v>0</v>
      </c>
      <c r="P536" s="30">
        <v>122816.13</v>
      </c>
      <c r="Q536" s="30">
        <v>0</v>
      </c>
      <c r="R536" s="30">
        <v>0</v>
      </c>
      <c r="S536" s="30">
        <v>0</v>
      </c>
      <c r="T536" s="30">
        <v>0</v>
      </c>
      <c r="U536" s="30">
        <v>122816.13</v>
      </c>
      <c r="V536" s="30">
        <v>0</v>
      </c>
      <c r="W536" s="30">
        <v>3684.4839000000002</v>
      </c>
      <c r="X536" s="30">
        <v>119131.6461</v>
      </c>
      <c r="Y536" s="30">
        <v>119131.6461</v>
      </c>
      <c r="Z536" s="30">
        <v>0</v>
      </c>
      <c r="AA536" s="30">
        <v>0</v>
      </c>
      <c r="AB536" s="30">
        <v>122816.13</v>
      </c>
      <c r="AC536" s="30" t="s">
        <v>407</v>
      </c>
      <c r="AD536" s="30"/>
      <c r="AE536" s="30">
        <v>0</v>
      </c>
    </row>
    <row r="537" spans="1:31" x14ac:dyDescent="0.25">
      <c r="A537">
        <v>10454</v>
      </c>
      <c r="B537" t="s">
        <v>177</v>
      </c>
      <c r="C537" t="s">
        <v>178</v>
      </c>
      <c r="D537" s="33">
        <v>145199.79999999999</v>
      </c>
      <c r="E537">
        <v>1246057926</v>
      </c>
      <c r="F537" s="222">
        <v>45229</v>
      </c>
      <c r="G537" s="222"/>
      <c r="H537" t="s">
        <v>156</v>
      </c>
      <c r="I537" t="s">
        <v>157</v>
      </c>
      <c r="J537">
        <v>20177</v>
      </c>
      <c r="K537" s="222">
        <v>44907</v>
      </c>
      <c r="L537">
        <v>1010100</v>
      </c>
      <c r="M537" t="s">
        <v>29</v>
      </c>
      <c r="N537">
        <v>944</v>
      </c>
      <c r="O537" s="30">
        <v>0</v>
      </c>
      <c r="P537" s="30">
        <v>145199.79999999999</v>
      </c>
      <c r="Q537" s="30">
        <v>0</v>
      </c>
      <c r="R537" s="30">
        <v>0</v>
      </c>
      <c r="S537" s="30">
        <v>0</v>
      </c>
      <c r="T537" s="30">
        <v>0</v>
      </c>
      <c r="U537" s="30">
        <v>145199.79999999999</v>
      </c>
      <c r="V537" s="30">
        <v>0</v>
      </c>
      <c r="W537" s="30">
        <v>4355.9939999999997</v>
      </c>
      <c r="X537" s="30">
        <v>140843.80599999998</v>
      </c>
      <c r="Y537" s="30">
        <v>140843.80599999998</v>
      </c>
      <c r="Z537" s="30">
        <v>0</v>
      </c>
      <c r="AA537" s="30">
        <v>0</v>
      </c>
      <c r="AB537" s="30">
        <v>145199.79999999999</v>
      </c>
      <c r="AC537" s="30" t="s">
        <v>407</v>
      </c>
      <c r="AD537" s="30"/>
      <c r="AE537" s="30">
        <v>0</v>
      </c>
    </row>
    <row r="538" spans="1:31" x14ac:dyDescent="0.25">
      <c r="A538">
        <v>10454</v>
      </c>
      <c r="B538" t="s">
        <v>177</v>
      </c>
      <c r="C538" t="s">
        <v>178</v>
      </c>
      <c r="D538" s="33">
        <v>85824.21</v>
      </c>
      <c r="E538">
        <v>1246058924</v>
      </c>
      <c r="F538" s="222">
        <v>45229</v>
      </c>
      <c r="G538" s="222"/>
      <c r="H538" t="s">
        <v>156</v>
      </c>
      <c r="I538" t="s">
        <v>157</v>
      </c>
      <c r="J538">
        <v>20209</v>
      </c>
      <c r="K538" s="222">
        <v>44910</v>
      </c>
      <c r="L538">
        <v>1010100</v>
      </c>
      <c r="M538" t="s">
        <v>29</v>
      </c>
      <c r="N538">
        <v>944</v>
      </c>
      <c r="O538" s="30">
        <v>0</v>
      </c>
      <c r="P538" s="30">
        <v>85824.209999999992</v>
      </c>
      <c r="Q538" s="30">
        <v>0</v>
      </c>
      <c r="R538" s="30">
        <v>0</v>
      </c>
      <c r="S538" s="30">
        <v>0</v>
      </c>
      <c r="T538" s="30">
        <v>0</v>
      </c>
      <c r="U538" s="30">
        <v>85824.21</v>
      </c>
      <c r="V538" s="30">
        <v>0</v>
      </c>
      <c r="W538" s="30">
        <v>2574.7263000000003</v>
      </c>
      <c r="X538" s="30">
        <v>83249.483699999997</v>
      </c>
      <c r="Y538" s="30">
        <v>83249.483699999997</v>
      </c>
      <c r="Z538" s="30">
        <v>0</v>
      </c>
      <c r="AA538" s="30">
        <v>0</v>
      </c>
      <c r="AB538" s="30">
        <v>85824.209999999992</v>
      </c>
      <c r="AC538" s="30" t="s">
        <v>407</v>
      </c>
      <c r="AD538" s="30"/>
      <c r="AE538" s="30">
        <v>0</v>
      </c>
    </row>
    <row r="539" spans="1:31" x14ac:dyDescent="0.25">
      <c r="A539">
        <v>10454</v>
      </c>
      <c r="B539" t="s">
        <v>177</v>
      </c>
      <c r="C539" t="s">
        <v>178</v>
      </c>
      <c r="D539" s="33">
        <v>154779.14000000001</v>
      </c>
      <c r="E539">
        <v>1246058289</v>
      </c>
      <c r="F539" s="222">
        <v>45229</v>
      </c>
      <c r="G539" s="222"/>
      <c r="H539" t="s">
        <v>156</v>
      </c>
      <c r="I539" t="s">
        <v>157</v>
      </c>
      <c r="J539">
        <v>20187</v>
      </c>
      <c r="K539" s="222">
        <v>44908</v>
      </c>
      <c r="L539">
        <v>1010100</v>
      </c>
      <c r="M539" t="s">
        <v>29</v>
      </c>
      <c r="N539">
        <v>944</v>
      </c>
      <c r="O539" s="30">
        <v>0</v>
      </c>
      <c r="P539" s="30">
        <v>154779.14000000001</v>
      </c>
      <c r="Q539" s="30">
        <v>0</v>
      </c>
      <c r="R539" s="30">
        <v>0</v>
      </c>
      <c r="S539" s="30">
        <v>0</v>
      </c>
      <c r="T539" s="30">
        <v>0</v>
      </c>
      <c r="U539" s="30">
        <v>154779.14000000001</v>
      </c>
      <c r="V539" s="30">
        <v>0</v>
      </c>
      <c r="W539" s="30">
        <v>4643.3742000000002</v>
      </c>
      <c r="X539" s="30">
        <v>150135.76580000002</v>
      </c>
      <c r="Y539" s="30">
        <v>150135.76580000002</v>
      </c>
      <c r="Z539" s="30">
        <v>0</v>
      </c>
      <c r="AA539" s="30">
        <v>0</v>
      </c>
      <c r="AB539" s="30">
        <v>154779.14000000001</v>
      </c>
      <c r="AC539" s="30" t="s">
        <v>407</v>
      </c>
      <c r="AD539" s="30"/>
      <c r="AE539" s="30">
        <v>0</v>
      </c>
    </row>
    <row r="540" spans="1:31" x14ac:dyDescent="0.25">
      <c r="A540">
        <v>10454</v>
      </c>
      <c r="B540" t="s">
        <v>177</v>
      </c>
      <c r="C540" t="s">
        <v>178</v>
      </c>
      <c r="D540" s="33">
        <v>166124.28999999998</v>
      </c>
      <c r="E540">
        <v>1246066059</v>
      </c>
      <c r="F540" s="222">
        <v>45229</v>
      </c>
      <c r="G540" s="222"/>
      <c r="H540" t="s">
        <v>156</v>
      </c>
      <c r="I540" t="s">
        <v>157</v>
      </c>
      <c r="J540">
        <v>20622</v>
      </c>
      <c r="K540" s="222">
        <v>44963</v>
      </c>
      <c r="L540">
        <v>1010100</v>
      </c>
      <c r="M540" t="s">
        <v>29</v>
      </c>
      <c r="N540">
        <v>944</v>
      </c>
      <c r="O540" s="30">
        <v>0</v>
      </c>
      <c r="P540" s="30">
        <v>166124.28999999998</v>
      </c>
      <c r="Q540" s="30">
        <v>0</v>
      </c>
      <c r="R540" s="30">
        <v>0</v>
      </c>
      <c r="S540" s="30">
        <v>0</v>
      </c>
      <c r="T540" s="30">
        <v>0</v>
      </c>
      <c r="U540" s="30">
        <v>166124.28999999998</v>
      </c>
      <c r="V540" s="30">
        <v>0</v>
      </c>
      <c r="W540" s="30">
        <v>4983.7286999999988</v>
      </c>
      <c r="X540" s="30">
        <v>161140.56129999997</v>
      </c>
      <c r="Y540" s="30">
        <v>161140.56129999997</v>
      </c>
      <c r="Z540" s="30">
        <v>0</v>
      </c>
      <c r="AA540" s="30">
        <v>0</v>
      </c>
      <c r="AB540" s="30">
        <v>166124.28999999998</v>
      </c>
      <c r="AC540" s="30" t="s">
        <v>407</v>
      </c>
      <c r="AD540" s="30"/>
      <c r="AE540" s="30">
        <v>0</v>
      </c>
    </row>
    <row r="541" spans="1:31" x14ac:dyDescent="0.25">
      <c r="A541">
        <v>10454</v>
      </c>
      <c r="B541" t="s">
        <v>177</v>
      </c>
      <c r="C541" t="s">
        <v>178</v>
      </c>
      <c r="D541" s="33">
        <v>151240.47</v>
      </c>
      <c r="E541">
        <v>1246059634</v>
      </c>
      <c r="F541" s="222">
        <v>45229</v>
      </c>
      <c r="G541" s="222"/>
      <c r="H541" t="s">
        <v>156</v>
      </c>
      <c r="I541" t="s">
        <v>157</v>
      </c>
      <c r="J541">
        <v>20268</v>
      </c>
      <c r="K541" s="222">
        <v>44916</v>
      </c>
      <c r="L541">
        <v>1010100</v>
      </c>
      <c r="M541" t="s">
        <v>29</v>
      </c>
      <c r="N541">
        <v>944</v>
      </c>
      <c r="O541" s="30">
        <v>0</v>
      </c>
      <c r="P541" s="30">
        <v>151240.47</v>
      </c>
      <c r="Q541" s="30">
        <v>0</v>
      </c>
      <c r="R541" s="30">
        <v>0</v>
      </c>
      <c r="S541" s="30">
        <v>0</v>
      </c>
      <c r="T541" s="30">
        <v>0</v>
      </c>
      <c r="U541" s="30">
        <v>151240.47</v>
      </c>
      <c r="V541" s="30">
        <v>0</v>
      </c>
      <c r="W541" s="30">
        <v>4537.2141000000001</v>
      </c>
      <c r="X541" s="30">
        <v>146703.25589999999</v>
      </c>
      <c r="Y541" s="30">
        <v>146703.25589999999</v>
      </c>
      <c r="Z541" s="30">
        <v>0</v>
      </c>
      <c r="AA541" s="30">
        <v>0</v>
      </c>
      <c r="AB541" s="30">
        <v>151240.47</v>
      </c>
      <c r="AC541" s="30" t="s">
        <v>407</v>
      </c>
      <c r="AD541" s="30"/>
      <c r="AE541" s="30">
        <v>0</v>
      </c>
    </row>
    <row r="542" spans="1:31" x14ac:dyDescent="0.25">
      <c r="A542">
        <v>10454</v>
      </c>
      <c r="B542" t="s">
        <v>177</v>
      </c>
      <c r="C542" t="s">
        <v>178</v>
      </c>
      <c r="D542" s="33">
        <v>102193.68</v>
      </c>
      <c r="E542">
        <v>1246216830</v>
      </c>
      <c r="F542" s="222">
        <v>45168</v>
      </c>
      <c r="G542" s="222"/>
      <c r="H542" t="s">
        <v>156</v>
      </c>
      <c r="I542" t="s">
        <v>157</v>
      </c>
      <c r="J542">
        <v>19263</v>
      </c>
      <c r="K542" s="222">
        <v>44824</v>
      </c>
      <c r="L542">
        <v>1010100</v>
      </c>
      <c r="M542" t="s">
        <v>29</v>
      </c>
      <c r="N542">
        <v>1005</v>
      </c>
      <c r="O542" s="30">
        <v>0</v>
      </c>
      <c r="P542" s="30">
        <v>102193.68</v>
      </c>
      <c r="Q542" s="30">
        <v>0</v>
      </c>
      <c r="R542" s="30">
        <v>0</v>
      </c>
      <c r="S542" s="30">
        <v>0</v>
      </c>
      <c r="T542" s="30">
        <v>0</v>
      </c>
      <c r="U542" s="30">
        <v>102193.68</v>
      </c>
      <c r="V542" s="30">
        <v>0</v>
      </c>
      <c r="W542" s="30">
        <v>3065.8103999999998</v>
      </c>
      <c r="X542" s="30">
        <v>99127.869599999991</v>
      </c>
      <c r="Y542" s="30">
        <v>99127.869599999991</v>
      </c>
      <c r="Z542" s="30">
        <v>0</v>
      </c>
      <c r="AA542" s="30">
        <v>0</v>
      </c>
      <c r="AB542" s="30">
        <v>102193.68</v>
      </c>
      <c r="AC542" s="30" t="s">
        <v>407</v>
      </c>
      <c r="AD542" s="30"/>
      <c r="AE542" s="30">
        <v>0</v>
      </c>
    </row>
    <row r="543" spans="1:31" x14ac:dyDescent="0.25">
      <c r="A543">
        <v>10454</v>
      </c>
      <c r="B543" t="s">
        <v>177</v>
      </c>
      <c r="C543" t="s">
        <v>178</v>
      </c>
      <c r="D543" s="33">
        <v>97567.15</v>
      </c>
      <c r="E543">
        <v>1246059110</v>
      </c>
      <c r="F543" s="222">
        <v>45229</v>
      </c>
      <c r="G543" s="222"/>
      <c r="H543" t="s">
        <v>156</v>
      </c>
      <c r="I543" t="s">
        <v>157</v>
      </c>
      <c r="J543">
        <v>20229</v>
      </c>
      <c r="K543" s="222">
        <v>44911</v>
      </c>
      <c r="L543">
        <v>1010100</v>
      </c>
      <c r="M543" t="s">
        <v>29</v>
      </c>
      <c r="N543">
        <v>944</v>
      </c>
      <c r="O543" s="30">
        <v>0</v>
      </c>
      <c r="P543" s="30">
        <v>97567.15</v>
      </c>
      <c r="Q543" s="30">
        <v>0</v>
      </c>
      <c r="R543" s="30">
        <v>0</v>
      </c>
      <c r="S543" s="30">
        <v>0</v>
      </c>
      <c r="T543" s="30">
        <v>0</v>
      </c>
      <c r="U543" s="30">
        <v>97567.15</v>
      </c>
      <c r="V543" s="30">
        <v>0</v>
      </c>
      <c r="W543" s="30">
        <v>2927.0144999999998</v>
      </c>
      <c r="X543" s="30">
        <v>94640.135499999989</v>
      </c>
      <c r="Y543" s="30">
        <v>94640.135499999989</v>
      </c>
      <c r="Z543" s="30">
        <v>0</v>
      </c>
      <c r="AA543" s="30">
        <v>0</v>
      </c>
      <c r="AB543" s="30">
        <v>97567.15</v>
      </c>
      <c r="AC543" s="30" t="s">
        <v>407</v>
      </c>
      <c r="AD543" s="30"/>
      <c r="AE543" s="30">
        <v>0</v>
      </c>
    </row>
    <row r="544" spans="1:31" x14ac:dyDescent="0.25">
      <c r="A544">
        <v>11326</v>
      </c>
      <c r="B544" t="s">
        <v>179</v>
      </c>
      <c r="C544" t="s">
        <v>180</v>
      </c>
      <c r="D544" s="33">
        <v>131680</v>
      </c>
      <c r="E544">
        <v>1246234342</v>
      </c>
      <c r="F544" s="222">
        <v>46264</v>
      </c>
      <c r="G544" s="222"/>
      <c r="H544" t="s">
        <v>156</v>
      </c>
      <c r="I544" t="s">
        <v>157</v>
      </c>
      <c r="J544">
        <v>9141</v>
      </c>
      <c r="K544" s="222">
        <v>45901</v>
      </c>
      <c r="L544">
        <v>1010100</v>
      </c>
      <c r="M544" t="s">
        <v>29</v>
      </c>
      <c r="N544">
        <v>-91</v>
      </c>
      <c r="O544" s="30">
        <v>0</v>
      </c>
      <c r="P544" s="30">
        <v>0</v>
      </c>
      <c r="Q544" s="30">
        <v>131680</v>
      </c>
      <c r="R544" s="30">
        <v>0</v>
      </c>
      <c r="S544" s="30">
        <v>0</v>
      </c>
      <c r="T544" s="30">
        <v>0</v>
      </c>
      <c r="U544" s="30">
        <v>0</v>
      </c>
      <c r="V544" s="30">
        <v>0</v>
      </c>
      <c r="W544" s="30">
        <v>0</v>
      </c>
      <c r="X544" s="30">
        <v>0</v>
      </c>
      <c r="Y544" s="30">
        <v>0</v>
      </c>
      <c r="Z544" s="30">
        <v>0</v>
      </c>
      <c r="AA544" s="30">
        <v>0</v>
      </c>
      <c r="AB544" s="30">
        <v>0</v>
      </c>
      <c r="AC544" s="30" t="s">
        <v>407</v>
      </c>
      <c r="AD544" s="30"/>
      <c r="AE544" s="30">
        <v>0</v>
      </c>
    </row>
    <row r="545" spans="1:31" x14ac:dyDescent="0.25">
      <c r="A545">
        <v>11580</v>
      </c>
      <c r="B545" t="s">
        <v>424</v>
      </c>
      <c r="C545" t="s">
        <v>26</v>
      </c>
      <c r="D545" s="33">
        <v>76480.23</v>
      </c>
      <c r="E545">
        <v>1246268734</v>
      </c>
      <c r="F545" s="222">
        <v>46440</v>
      </c>
      <c r="G545" s="222"/>
      <c r="H545" t="s">
        <v>23</v>
      </c>
      <c r="I545" t="s">
        <v>24</v>
      </c>
      <c r="J545">
        <v>2837</v>
      </c>
      <c r="K545" s="222">
        <v>46105</v>
      </c>
      <c r="L545">
        <v>1010200</v>
      </c>
      <c r="M545" t="s">
        <v>113</v>
      </c>
      <c r="N545">
        <v>-267</v>
      </c>
      <c r="O545" s="30">
        <v>0</v>
      </c>
      <c r="P545" s="30">
        <v>0</v>
      </c>
      <c r="Q545" s="30">
        <v>76480.23</v>
      </c>
      <c r="R545" s="30">
        <v>0</v>
      </c>
      <c r="S545" s="30">
        <v>0</v>
      </c>
      <c r="T545" s="30">
        <v>0</v>
      </c>
      <c r="U545" s="30">
        <v>0</v>
      </c>
      <c r="V545" s="30">
        <v>0</v>
      </c>
      <c r="W545" s="30">
        <v>0</v>
      </c>
      <c r="X545" s="30">
        <v>0</v>
      </c>
      <c r="Y545" s="30">
        <v>0</v>
      </c>
      <c r="Z545" s="30">
        <v>0</v>
      </c>
      <c r="AA545" s="30">
        <v>0</v>
      </c>
      <c r="AB545" s="30">
        <v>0</v>
      </c>
      <c r="AC545" s="30" t="s">
        <v>407</v>
      </c>
      <c r="AD545" s="30"/>
      <c r="AE545" s="30">
        <v>0</v>
      </c>
    </row>
    <row r="546" spans="1:31" x14ac:dyDescent="0.25">
      <c r="A546">
        <v>10456</v>
      </c>
      <c r="B546" t="s">
        <v>181</v>
      </c>
      <c r="C546" t="s">
        <v>182</v>
      </c>
      <c r="D546" s="33">
        <v>111322.27</v>
      </c>
      <c r="E546">
        <v>1246093334</v>
      </c>
      <c r="F546" s="222">
        <v>45537</v>
      </c>
      <c r="G546" s="222"/>
      <c r="H546" t="s">
        <v>156</v>
      </c>
      <c r="I546" t="s">
        <v>157</v>
      </c>
      <c r="J546">
        <v>251</v>
      </c>
      <c r="K546" s="222">
        <v>45127</v>
      </c>
      <c r="L546">
        <v>1010100</v>
      </c>
      <c r="M546" t="s">
        <v>29</v>
      </c>
      <c r="N546">
        <v>636</v>
      </c>
      <c r="O546" s="30">
        <v>0</v>
      </c>
      <c r="P546" s="30">
        <v>111322.27</v>
      </c>
      <c r="Q546" s="30">
        <v>0</v>
      </c>
      <c r="R546" s="30">
        <v>0</v>
      </c>
      <c r="S546" s="30">
        <v>0</v>
      </c>
      <c r="T546" s="30">
        <v>0</v>
      </c>
      <c r="U546" s="30">
        <v>111322.27</v>
      </c>
      <c r="V546" s="30">
        <v>0</v>
      </c>
      <c r="W546" s="30">
        <v>0</v>
      </c>
      <c r="X546" s="30">
        <v>0</v>
      </c>
      <c r="Y546" s="30">
        <v>0</v>
      </c>
      <c r="Z546" s="30">
        <v>111322.27</v>
      </c>
      <c r="AA546" s="30">
        <v>111322.27</v>
      </c>
      <c r="AB546" s="30">
        <v>111322.27</v>
      </c>
      <c r="AC546" s="30" t="s">
        <v>458</v>
      </c>
      <c r="AD546" s="30"/>
      <c r="AE546" s="30">
        <v>111322.27</v>
      </c>
    </row>
    <row r="547" spans="1:31" x14ac:dyDescent="0.25">
      <c r="A547">
        <v>10456</v>
      </c>
      <c r="B547" t="s">
        <v>181</v>
      </c>
      <c r="C547" t="s">
        <v>182</v>
      </c>
      <c r="D547" s="33">
        <v>118491.86</v>
      </c>
      <c r="E547">
        <v>1246097861</v>
      </c>
      <c r="F547" s="222">
        <v>45565</v>
      </c>
      <c r="G547" s="222"/>
      <c r="H547" t="s">
        <v>156</v>
      </c>
      <c r="I547" t="s">
        <v>157</v>
      </c>
      <c r="J547">
        <v>683</v>
      </c>
      <c r="K547" s="222">
        <v>45152</v>
      </c>
      <c r="L547">
        <v>1010100</v>
      </c>
      <c r="M547" t="s">
        <v>29</v>
      </c>
      <c r="N547">
        <v>608</v>
      </c>
      <c r="O547" s="30">
        <v>0</v>
      </c>
      <c r="P547" s="30">
        <v>118491.86</v>
      </c>
      <c r="Q547" s="30">
        <v>0</v>
      </c>
      <c r="R547" s="30">
        <v>0</v>
      </c>
      <c r="S547" s="30">
        <v>0</v>
      </c>
      <c r="T547" s="30">
        <v>0</v>
      </c>
      <c r="U547" s="30">
        <v>118491.86</v>
      </c>
      <c r="V547" s="30">
        <v>0</v>
      </c>
      <c r="W547" s="30">
        <v>0</v>
      </c>
      <c r="X547" s="30">
        <v>0</v>
      </c>
      <c r="Y547" s="30">
        <v>0</v>
      </c>
      <c r="Z547" s="30">
        <v>118491.86</v>
      </c>
      <c r="AA547" s="30">
        <v>118491.86</v>
      </c>
      <c r="AB547" s="30">
        <v>118491.86</v>
      </c>
      <c r="AC547" s="30" t="s">
        <v>458</v>
      </c>
      <c r="AD547" s="30"/>
      <c r="AE547" s="30">
        <v>118491.86</v>
      </c>
    </row>
    <row r="548" spans="1:31" x14ac:dyDescent="0.25">
      <c r="A548">
        <v>10456</v>
      </c>
      <c r="B548" t="s">
        <v>181</v>
      </c>
      <c r="C548" t="s">
        <v>182</v>
      </c>
      <c r="D548" s="33">
        <v>117498.04</v>
      </c>
      <c r="E548">
        <v>1246099432</v>
      </c>
      <c r="F548" s="222">
        <v>45545</v>
      </c>
      <c r="G548" s="222"/>
      <c r="H548" t="s">
        <v>156</v>
      </c>
      <c r="I548" t="s">
        <v>157</v>
      </c>
      <c r="J548">
        <v>787</v>
      </c>
      <c r="K548" s="222">
        <v>45160</v>
      </c>
      <c r="L548">
        <v>1010100</v>
      </c>
      <c r="M548" t="s">
        <v>29</v>
      </c>
      <c r="N548">
        <v>628</v>
      </c>
      <c r="O548" s="30">
        <v>0</v>
      </c>
      <c r="P548" s="30">
        <v>117498.04</v>
      </c>
      <c r="Q548" s="30">
        <v>0</v>
      </c>
      <c r="R548" s="30">
        <v>0</v>
      </c>
      <c r="S548" s="30">
        <v>0</v>
      </c>
      <c r="T548" s="30">
        <v>0</v>
      </c>
      <c r="U548" s="30">
        <v>117498.04</v>
      </c>
      <c r="V548" s="30">
        <v>0</v>
      </c>
      <c r="W548" s="30">
        <v>0</v>
      </c>
      <c r="X548" s="30">
        <v>0</v>
      </c>
      <c r="Y548" s="30">
        <v>0</v>
      </c>
      <c r="Z548" s="30">
        <v>117498.04</v>
      </c>
      <c r="AA548" s="30">
        <v>117498.04</v>
      </c>
      <c r="AB548" s="30">
        <v>117498.04</v>
      </c>
      <c r="AC548" s="30" t="s">
        <v>458</v>
      </c>
      <c r="AD548" s="30"/>
      <c r="AE548" s="30">
        <v>117498.04</v>
      </c>
    </row>
    <row r="549" spans="1:31" x14ac:dyDescent="0.25">
      <c r="A549">
        <v>10456</v>
      </c>
      <c r="B549" t="s">
        <v>181</v>
      </c>
      <c r="C549" t="s">
        <v>182</v>
      </c>
      <c r="D549" s="33">
        <v>100560.82</v>
      </c>
      <c r="E549">
        <v>1246100417</v>
      </c>
      <c r="F549" s="222">
        <v>45548</v>
      </c>
      <c r="G549" s="222"/>
      <c r="H549" t="s">
        <v>156</v>
      </c>
      <c r="I549" t="s">
        <v>157</v>
      </c>
      <c r="J549">
        <v>183</v>
      </c>
      <c r="K549" s="222">
        <v>45163</v>
      </c>
      <c r="L549">
        <v>1010100</v>
      </c>
      <c r="M549" t="s">
        <v>29</v>
      </c>
      <c r="N549">
        <v>625</v>
      </c>
      <c r="O549" s="30">
        <v>0</v>
      </c>
      <c r="P549" s="30">
        <v>100560.82</v>
      </c>
      <c r="Q549" s="30">
        <v>0</v>
      </c>
      <c r="R549" s="30">
        <v>0</v>
      </c>
      <c r="S549" s="30">
        <v>0</v>
      </c>
      <c r="T549" s="30">
        <v>0</v>
      </c>
      <c r="U549" s="30">
        <v>100560.82</v>
      </c>
      <c r="V549" s="30">
        <v>0</v>
      </c>
      <c r="W549" s="30">
        <v>0</v>
      </c>
      <c r="X549" s="30">
        <v>0</v>
      </c>
      <c r="Y549" s="30">
        <v>0</v>
      </c>
      <c r="Z549" s="30">
        <v>100560.82</v>
      </c>
      <c r="AA549" s="30">
        <v>100560.82</v>
      </c>
      <c r="AB549" s="30">
        <v>100560.82</v>
      </c>
      <c r="AC549" s="30" t="s">
        <v>458</v>
      </c>
      <c r="AD549" s="30"/>
      <c r="AE549" s="30">
        <v>100560.82</v>
      </c>
    </row>
    <row r="550" spans="1:31" x14ac:dyDescent="0.25">
      <c r="A550">
        <v>10456</v>
      </c>
      <c r="B550" t="s">
        <v>181</v>
      </c>
      <c r="C550" t="s">
        <v>182</v>
      </c>
      <c r="D550" s="33">
        <v>61416.78</v>
      </c>
      <c r="E550">
        <v>1246065449</v>
      </c>
      <c r="F550" s="222">
        <v>45199</v>
      </c>
      <c r="G550" s="222"/>
      <c r="H550" t="s">
        <v>156</v>
      </c>
      <c r="I550" t="s">
        <v>157</v>
      </c>
      <c r="J550">
        <v>20596</v>
      </c>
      <c r="K550" s="222">
        <v>44958</v>
      </c>
      <c r="L550">
        <v>1010100</v>
      </c>
      <c r="M550" t="s">
        <v>29</v>
      </c>
      <c r="N550">
        <v>974</v>
      </c>
      <c r="O550" s="30">
        <v>0</v>
      </c>
      <c r="P550" s="30">
        <v>61416.78</v>
      </c>
      <c r="Q550" s="30">
        <v>0</v>
      </c>
      <c r="R550" s="30">
        <v>0</v>
      </c>
      <c r="S550" s="30">
        <v>0</v>
      </c>
      <c r="T550" s="30">
        <v>0</v>
      </c>
      <c r="U550" s="30">
        <v>61416.78</v>
      </c>
      <c r="V550" s="30">
        <v>0</v>
      </c>
      <c r="W550" s="30">
        <v>0</v>
      </c>
      <c r="X550" s="30">
        <v>0</v>
      </c>
      <c r="Y550" s="30">
        <v>0</v>
      </c>
      <c r="Z550" s="30">
        <v>61416.78</v>
      </c>
      <c r="AA550" s="30">
        <v>61416.78</v>
      </c>
      <c r="AB550" s="30">
        <v>61416.78</v>
      </c>
      <c r="AC550" s="30" t="s">
        <v>458</v>
      </c>
      <c r="AD550" s="30"/>
      <c r="AE550" s="30">
        <v>61416.78</v>
      </c>
    </row>
    <row r="551" spans="1:31" x14ac:dyDescent="0.25">
      <c r="A551">
        <v>10456</v>
      </c>
      <c r="B551" t="s">
        <v>181</v>
      </c>
      <c r="C551" t="s">
        <v>182</v>
      </c>
      <c r="D551" s="33">
        <v>106537.82</v>
      </c>
      <c r="E551">
        <v>1246110763</v>
      </c>
      <c r="F551" s="222">
        <v>45534</v>
      </c>
      <c r="G551" s="222"/>
      <c r="H551" t="s">
        <v>156</v>
      </c>
      <c r="I551" t="s">
        <v>157</v>
      </c>
      <c r="J551">
        <v>1702</v>
      </c>
      <c r="K551" s="222">
        <v>45222</v>
      </c>
      <c r="L551">
        <v>1010100</v>
      </c>
      <c r="M551" t="s">
        <v>29</v>
      </c>
      <c r="N551">
        <v>639</v>
      </c>
      <c r="O551" s="30">
        <v>0</v>
      </c>
      <c r="P551" s="30">
        <v>106537.82</v>
      </c>
      <c r="Q551" s="30">
        <v>0</v>
      </c>
      <c r="R551" s="30">
        <v>0</v>
      </c>
      <c r="S551" s="30">
        <v>0</v>
      </c>
      <c r="T551" s="30">
        <v>0</v>
      </c>
      <c r="U551" s="30">
        <v>106537.82</v>
      </c>
      <c r="V551" s="30">
        <v>0</v>
      </c>
      <c r="W551" s="30">
        <v>0</v>
      </c>
      <c r="X551" s="30">
        <v>0</v>
      </c>
      <c r="Y551" s="30">
        <v>0</v>
      </c>
      <c r="Z551" s="30">
        <v>106537.82</v>
      </c>
      <c r="AA551" s="30">
        <v>106537.82</v>
      </c>
      <c r="AB551" s="30">
        <v>106537.82</v>
      </c>
      <c r="AC551" s="30" t="s">
        <v>458</v>
      </c>
      <c r="AD551" s="30"/>
      <c r="AE551" s="30">
        <v>106537.82</v>
      </c>
    </row>
    <row r="552" spans="1:31" x14ac:dyDescent="0.25">
      <c r="A552">
        <v>10456</v>
      </c>
      <c r="B552" t="s">
        <v>181</v>
      </c>
      <c r="C552" t="s">
        <v>182</v>
      </c>
      <c r="D552" s="33">
        <v>110173.77</v>
      </c>
      <c r="E552">
        <v>1246067444</v>
      </c>
      <c r="F552" s="222">
        <v>45199</v>
      </c>
      <c r="G552" s="222"/>
      <c r="H552" t="s">
        <v>156</v>
      </c>
      <c r="I552" t="s">
        <v>157</v>
      </c>
      <c r="J552">
        <v>20680</v>
      </c>
      <c r="K552" s="222">
        <v>44971</v>
      </c>
      <c r="L552">
        <v>1010100</v>
      </c>
      <c r="M552" t="s">
        <v>29</v>
      </c>
      <c r="N552">
        <v>974</v>
      </c>
      <c r="O552" s="30">
        <v>0</v>
      </c>
      <c r="P552" s="30">
        <v>110173.77</v>
      </c>
      <c r="Q552" s="30">
        <v>0</v>
      </c>
      <c r="R552" s="30">
        <v>0</v>
      </c>
      <c r="S552" s="30">
        <v>0</v>
      </c>
      <c r="T552" s="30">
        <v>0</v>
      </c>
      <c r="U552" s="30">
        <v>110173.77</v>
      </c>
      <c r="V552" s="30">
        <v>0</v>
      </c>
      <c r="W552" s="30">
        <v>0</v>
      </c>
      <c r="X552" s="30">
        <v>0</v>
      </c>
      <c r="Y552" s="30">
        <v>0</v>
      </c>
      <c r="Z552" s="30">
        <v>110173.77</v>
      </c>
      <c r="AA552" s="30">
        <v>110173.77</v>
      </c>
      <c r="AB552" s="30">
        <v>110173.77</v>
      </c>
      <c r="AC552" s="30" t="s">
        <v>458</v>
      </c>
      <c r="AD552" s="30"/>
      <c r="AE552" s="30">
        <v>110173.77</v>
      </c>
    </row>
    <row r="553" spans="1:31" x14ac:dyDescent="0.25">
      <c r="A553">
        <v>10456</v>
      </c>
      <c r="B553" t="s">
        <v>181</v>
      </c>
      <c r="C553" t="s">
        <v>182</v>
      </c>
      <c r="D553" s="33">
        <v>153644.62</v>
      </c>
      <c r="E553">
        <v>1246066037</v>
      </c>
      <c r="F553" s="222">
        <v>45199</v>
      </c>
      <c r="G553" s="222"/>
      <c r="H553" t="s">
        <v>156</v>
      </c>
      <c r="I553" t="s">
        <v>157</v>
      </c>
      <c r="J553">
        <v>20619</v>
      </c>
      <c r="K553" s="222">
        <v>44963</v>
      </c>
      <c r="L553">
        <v>1010100</v>
      </c>
      <c r="M553" t="s">
        <v>29</v>
      </c>
      <c r="N553">
        <v>974</v>
      </c>
      <c r="O553" s="30">
        <v>0</v>
      </c>
      <c r="P553" s="30">
        <v>153644.62</v>
      </c>
      <c r="Q553" s="30">
        <v>0</v>
      </c>
      <c r="R553" s="30">
        <v>0</v>
      </c>
      <c r="S553" s="30">
        <v>0</v>
      </c>
      <c r="T553" s="30">
        <v>0</v>
      </c>
      <c r="U553" s="30">
        <v>153644.62</v>
      </c>
      <c r="V553" s="30">
        <v>0</v>
      </c>
      <c r="W553" s="30">
        <v>0</v>
      </c>
      <c r="X553" s="30">
        <v>0</v>
      </c>
      <c r="Y553" s="30">
        <v>0</v>
      </c>
      <c r="Z553" s="30">
        <v>153644.62</v>
      </c>
      <c r="AA553" s="30">
        <v>153644.62</v>
      </c>
      <c r="AB553" s="30">
        <v>153644.62</v>
      </c>
      <c r="AC553" s="30" t="s">
        <v>458</v>
      </c>
      <c r="AD553" s="30"/>
      <c r="AE553" s="30">
        <v>153644.62</v>
      </c>
    </row>
    <row r="554" spans="1:31" x14ac:dyDescent="0.25">
      <c r="A554">
        <v>10456</v>
      </c>
      <c r="B554" t="s">
        <v>181</v>
      </c>
      <c r="C554" t="s">
        <v>182</v>
      </c>
      <c r="D554" s="33">
        <v>121627.64</v>
      </c>
      <c r="E554">
        <v>1246061337</v>
      </c>
      <c r="F554" s="222">
        <v>45199</v>
      </c>
      <c r="G554" s="222"/>
      <c r="H554" t="s">
        <v>156</v>
      </c>
      <c r="I554" t="s">
        <v>157</v>
      </c>
      <c r="J554">
        <v>20371</v>
      </c>
      <c r="K554" s="222">
        <v>44930</v>
      </c>
      <c r="L554">
        <v>1010100</v>
      </c>
      <c r="M554" t="s">
        <v>29</v>
      </c>
      <c r="N554">
        <v>974</v>
      </c>
      <c r="O554" s="30">
        <v>0</v>
      </c>
      <c r="P554" s="30">
        <v>121627.64</v>
      </c>
      <c r="Q554" s="30">
        <v>0</v>
      </c>
      <c r="R554" s="30">
        <v>0</v>
      </c>
      <c r="S554" s="30">
        <v>0</v>
      </c>
      <c r="T554" s="30">
        <v>0</v>
      </c>
      <c r="U554" s="30">
        <v>121627.64</v>
      </c>
      <c r="V554" s="30">
        <v>0</v>
      </c>
      <c r="W554" s="30">
        <v>0</v>
      </c>
      <c r="X554" s="30">
        <v>0</v>
      </c>
      <c r="Y554" s="30">
        <v>0</v>
      </c>
      <c r="Z554" s="30">
        <v>121627.64</v>
      </c>
      <c r="AA554" s="30">
        <v>121627.64</v>
      </c>
      <c r="AB554" s="30">
        <v>121627.64</v>
      </c>
      <c r="AC554" s="30" t="s">
        <v>458</v>
      </c>
      <c r="AD554" s="30"/>
      <c r="AE554" s="30">
        <v>121627.64</v>
      </c>
    </row>
    <row r="555" spans="1:31" x14ac:dyDescent="0.25">
      <c r="A555">
        <v>10456</v>
      </c>
      <c r="B555" t="s">
        <v>181</v>
      </c>
      <c r="C555" t="s">
        <v>182</v>
      </c>
      <c r="D555" s="33">
        <v>119763.56</v>
      </c>
      <c r="E555">
        <v>1246107272</v>
      </c>
      <c r="F555" s="222">
        <v>45536</v>
      </c>
      <c r="G555" s="222"/>
      <c r="H555" t="s">
        <v>156</v>
      </c>
      <c r="I555" t="s">
        <v>157</v>
      </c>
      <c r="J555">
        <v>1444</v>
      </c>
      <c r="K555" s="222">
        <v>45201</v>
      </c>
      <c r="L555">
        <v>1010100</v>
      </c>
      <c r="M555" t="s">
        <v>29</v>
      </c>
      <c r="N555">
        <v>637</v>
      </c>
      <c r="O555" s="30">
        <v>0</v>
      </c>
      <c r="P555" s="30">
        <v>119763.56</v>
      </c>
      <c r="Q555" s="30">
        <v>0</v>
      </c>
      <c r="R555" s="30">
        <v>0</v>
      </c>
      <c r="S555" s="30">
        <v>0</v>
      </c>
      <c r="T555" s="30">
        <v>0</v>
      </c>
      <c r="U555" s="30">
        <v>119763.56</v>
      </c>
      <c r="V555" s="30">
        <v>0</v>
      </c>
      <c r="W555" s="30">
        <v>0</v>
      </c>
      <c r="X555" s="30">
        <v>0</v>
      </c>
      <c r="Y555" s="30">
        <v>0</v>
      </c>
      <c r="Z555" s="30">
        <v>119763.56</v>
      </c>
      <c r="AA555" s="30">
        <v>119763.56</v>
      </c>
      <c r="AB555" s="30">
        <v>119763.56</v>
      </c>
      <c r="AC555" s="30" t="s">
        <v>458</v>
      </c>
      <c r="AD555" s="30"/>
      <c r="AE555" s="30">
        <v>119763.56</v>
      </c>
    </row>
    <row r="556" spans="1:31" x14ac:dyDescent="0.25">
      <c r="A556">
        <v>10456</v>
      </c>
      <c r="B556" t="s">
        <v>181</v>
      </c>
      <c r="C556" t="s">
        <v>182</v>
      </c>
      <c r="D556" s="33">
        <v>129996.55</v>
      </c>
      <c r="E556">
        <v>1246063009</v>
      </c>
      <c r="F556" s="222">
        <v>45199</v>
      </c>
      <c r="G556" s="222"/>
      <c r="H556" t="s">
        <v>156</v>
      </c>
      <c r="I556" t="s">
        <v>157</v>
      </c>
      <c r="J556">
        <v>20458</v>
      </c>
      <c r="K556" s="222">
        <v>44943</v>
      </c>
      <c r="L556">
        <v>1010100</v>
      </c>
      <c r="M556" t="s">
        <v>29</v>
      </c>
      <c r="N556">
        <v>974</v>
      </c>
      <c r="O556" s="30">
        <v>0</v>
      </c>
      <c r="P556" s="30">
        <v>129996.55</v>
      </c>
      <c r="Q556" s="30">
        <v>0</v>
      </c>
      <c r="R556" s="30">
        <v>0</v>
      </c>
      <c r="S556" s="30">
        <v>0</v>
      </c>
      <c r="T556" s="30">
        <v>0</v>
      </c>
      <c r="U556" s="30">
        <v>129996.55</v>
      </c>
      <c r="V556" s="30">
        <v>0</v>
      </c>
      <c r="W556" s="30">
        <v>0</v>
      </c>
      <c r="X556" s="30">
        <v>0</v>
      </c>
      <c r="Y556" s="30">
        <v>0</v>
      </c>
      <c r="Z556" s="30">
        <v>129996.55</v>
      </c>
      <c r="AA556" s="30">
        <v>129996.55</v>
      </c>
      <c r="AB556" s="30">
        <v>129996.55</v>
      </c>
      <c r="AC556" s="30" t="s">
        <v>458</v>
      </c>
      <c r="AD556" s="30"/>
      <c r="AE556" s="30">
        <v>129996.55</v>
      </c>
    </row>
    <row r="557" spans="1:31" x14ac:dyDescent="0.25">
      <c r="A557">
        <v>10456</v>
      </c>
      <c r="B557" t="s">
        <v>181</v>
      </c>
      <c r="C557" t="s">
        <v>182</v>
      </c>
      <c r="D557" s="33">
        <v>61021.61</v>
      </c>
      <c r="E557">
        <v>1246063058</v>
      </c>
      <c r="F557" s="222">
        <v>45199</v>
      </c>
      <c r="G557" s="222"/>
      <c r="H557" t="s">
        <v>156</v>
      </c>
      <c r="I557" t="s">
        <v>157</v>
      </c>
      <c r="J557">
        <v>20480</v>
      </c>
      <c r="K557" s="222">
        <v>44943</v>
      </c>
      <c r="L557">
        <v>1010100</v>
      </c>
      <c r="M557" t="s">
        <v>29</v>
      </c>
      <c r="N557">
        <v>974</v>
      </c>
      <c r="O557" s="30">
        <v>0</v>
      </c>
      <c r="P557" s="30">
        <v>61021.61</v>
      </c>
      <c r="Q557" s="30">
        <v>0</v>
      </c>
      <c r="R557" s="30">
        <v>0</v>
      </c>
      <c r="S557" s="30">
        <v>0</v>
      </c>
      <c r="T557" s="30">
        <v>0</v>
      </c>
      <c r="U557" s="30">
        <v>61021.61</v>
      </c>
      <c r="V557" s="30">
        <v>0</v>
      </c>
      <c r="W557" s="30">
        <v>0</v>
      </c>
      <c r="X557" s="30">
        <v>0</v>
      </c>
      <c r="Y557" s="30">
        <v>0</v>
      </c>
      <c r="Z557" s="30">
        <v>61021.61</v>
      </c>
      <c r="AA557" s="30">
        <v>61021.61</v>
      </c>
      <c r="AB557" s="30">
        <v>61021.61</v>
      </c>
      <c r="AC557" s="30" t="s">
        <v>458</v>
      </c>
      <c r="AD557" s="30"/>
      <c r="AE557" s="30">
        <v>61021.61</v>
      </c>
    </row>
    <row r="558" spans="1:31" x14ac:dyDescent="0.25">
      <c r="A558">
        <v>10456</v>
      </c>
      <c r="B558" t="s">
        <v>181</v>
      </c>
      <c r="C558" t="s">
        <v>182</v>
      </c>
      <c r="D558" s="33">
        <v>111090.76</v>
      </c>
      <c r="E558">
        <v>1246063995</v>
      </c>
      <c r="F558" s="222">
        <v>45199</v>
      </c>
      <c r="G558" s="222"/>
      <c r="H558" t="s">
        <v>156</v>
      </c>
      <c r="I558" t="s">
        <v>157</v>
      </c>
      <c r="J558">
        <v>20513</v>
      </c>
      <c r="K558" s="222">
        <v>44949</v>
      </c>
      <c r="L558">
        <v>1010100</v>
      </c>
      <c r="M558" t="s">
        <v>29</v>
      </c>
      <c r="N558">
        <v>974</v>
      </c>
      <c r="O558" s="30">
        <v>0</v>
      </c>
      <c r="P558" s="30">
        <v>111090.76</v>
      </c>
      <c r="Q558" s="30">
        <v>0</v>
      </c>
      <c r="R558" s="30">
        <v>0</v>
      </c>
      <c r="S558" s="30">
        <v>0</v>
      </c>
      <c r="T558" s="30">
        <v>0</v>
      </c>
      <c r="U558" s="30">
        <v>111090.76</v>
      </c>
      <c r="V558" s="30">
        <v>0</v>
      </c>
      <c r="W558" s="30">
        <v>0</v>
      </c>
      <c r="X558" s="30">
        <v>0</v>
      </c>
      <c r="Y558" s="30">
        <v>0</v>
      </c>
      <c r="Z558" s="30">
        <v>111090.76</v>
      </c>
      <c r="AA558" s="30">
        <v>111090.76</v>
      </c>
      <c r="AB558" s="30">
        <v>111090.76</v>
      </c>
      <c r="AC558" s="30" t="s">
        <v>458</v>
      </c>
      <c r="AD558" s="30"/>
      <c r="AE558" s="30">
        <v>111090.76</v>
      </c>
    </row>
    <row r="559" spans="1:31" x14ac:dyDescent="0.25">
      <c r="A559">
        <v>10456</v>
      </c>
      <c r="B559" t="s">
        <v>181</v>
      </c>
      <c r="C559" t="s">
        <v>182</v>
      </c>
      <c r="D559" s="33">
        <v>110522.5</v>
      </c>
      <c r="E559">
        <v>1246106689</v>
      </c>
      <c r="F559" s="222">
        <v>45557</v>
      </c>
      <c r="G559" s="222"/>
      <c r="H559" t="s">
        <v>156</v>
      </c>
      <c r="I559" t="s">
        <v>157</v>
      </c>
      <c r="J559">
        <v>1400</v>
      </c>
      <c r="K559" s="222">
        <v>45197</v>
      </c>
      <c r="L559">
        <v>1010100</v>
      </c>
      <c r="M559" t="s">
        <v>29</v>
      </c>
      <c r="N559">
        <v>616</v>
      </c>
      <c r="O559" s="30">
        <v>0</v>
      </c>
      <c r="P559" s="30">
        <v>110522.5</v>
      </c>
      <c r="Q559" s="30">
        <v>0</v>
      </c>
      <c r="R559" s="30">
        <v>0</v>
      </c>
      <c r="S559" s="30">
        <v>0</v>
      </c>
      <c r="T559" s="30">
        <v>0</v>
      </c>
      <c r="U559" s="30">
        <v>110522.5</v>
      </c>
      <c r="V559" s="30">
        <v>0</v>
      </c>
      <c r="W559" s="30">
        <v>0</v>
      </c>
      <c r="X559" s="30">
        <v>0</v>
      </c>
      <c r="Y559" s="30">
        <v>0</v>
      </c>
      <c r="Z559" s="30">
        <v>110522.5</v>
      </c>
      <c r="AA559" s="30">
        <v>110522.5</v>
      </c>
      <c r="AB559" s="30">
        <v>110522.5</v>
      </c>
      <c r="AC559" s="30" t="s">
        <v>458</v>
      </c>
      <c r="AD559" s="30"/>
      <c r="AE559" s="30">
        <v>110522.5</v>
      </c>
    </row>
    <row r="560" spans="1:31" x14ac:dyDescent="0.25">
      <c r="A560">
        <v>10456</v>
      </c>
      <c r="B560" t="s">
        <v>181</v>
      </c>
      <c r="C560" t="s">
        <v>182</v>
      </c>
      <c r="D560" s="33">
        <v>94275.76</v>
      </c>
      <c r="E560">
        <v>1246103838</v>
      </c>
      <c r="F560" s="222">
        <v>45543</v>
      </c>
      <c r="G560" s="222"/>
      <c r="H560" t="s">
        <v>156</v>
      </c>
      <c r="I560" t="s">
        <v>157</v>
      </c>
      <c r="J560">
        <v>1159</v>
      </c>
      <c r="K560" s="222">
        <v>45183</v>
      </c>
      <c r="L560">
        <v>1010100</v>
      </c>
      <c r="M560" t="s">
        <v>29</v>
      </c>
      <c r="N560">
        <v>630</v>
      </c>
      <c r="O560" s="30">
        <v>0</v>
      </c>
      <c r="P560" s="30">
        <v>94275.76</v>
      </c>
      <c r="Q560" s="30">
        <v>0</v>
      </c>
      <c r="R560" s="30">
        <v>0</v>
      </c>
      <c r="S560" s="30">
        <v>0</v>
      </c>
      <c r="T560" s="30">
        <v>0</v>
      </c>
      <c r="U560" s="30">
        <v>94275.76</v>
      </c>
      <c r="V560" s="30">
        <v>0</v>
      </c>
      <c r="W560" s="30">
        <v>0</v>
      </c>
      <c r="X560" s="30">
        <v>0</v>
      </c>
      <c r="Y560" s="30">
        <v>0</v>
      </c>
      <c r="Z560" s="30">
        <v>94275.76</v>
      </c>
      <c r="AA560" s="30">
        <v>94275.76</v>
      </c>
      <c r="AB560" s="30">
        <v>94275.76</v>
      </c>
      <c r="AC560" s="30" t="s">
        <v>458</v>
      </c>
      <c r="AD560" s="30"/>
      <c r="AE560" s="30">
        <v>94275.76</v>
      </c>
    </row>
    <row r="561" spans="1:31" x14ac:dyDescent="0.25">
      <c r="A561">
        <v>10456</v>
      </c>
      <c r="B561" t="s">
        <v>181</v>
      </c>
      <c r="C561" t="s">
        <v>182</v>
      </c>
      <c r="D561" s="33">
        <v>74904.38</v>
      </c>
      <c r="E561">
        <v>1246269261</v>
      </c>
      <c r="F561" s="222">
        <v>45199</v>
      </c>
      <c r="G561" s="222"/>
      <c r="H561" t="s">
        <v>156</v>
      </c>
      <c r="I561" t="s">
        <v>157</v>
      </c>
      <c r="J561">
        <v>20898</v>
      </c>
      <c r="K561" s="222">
        <v>45000</v>
      </c>
      <c r="L561">
        <v>1010100</v>
      </c>
      <c r="M561" t="s">
        <v>29</v>
      </c>
      <c r="N561">
        <v>974</v>
      </c>
      <c r="O561" s="30">
        <v>0</v>
      </c>
      <c r="P561" s="30">
        <v>74904.38</v>
      </c>
      <c r="Q561" s="30">
        <v>0</v>
      </c>
      <c r="R561" s="30">
        <v>0</v>
      </c>
      <c r="S561" s="30">
        <v>0</v>
      </c>
      <c r="T561" s="30">
        <v>0</v>
      </c>
      <c r="U561" s="30">
        <v>74904.38</v>
      </c>
      <c r="V561" s="30">
        <v>0</v>
      </c>
      <c r="W561" s="30">
        <v>2247.1314000000002</v>
      </c>
      <c r="X561" s="30">
        <v>72657.248600000006</v>
      </c>
      <c r="Y561" s="30">
        <v>72657.248600000006</v>
      </c>
      <c r="Z561" s="30">
        <v>74904.38</v>
      </c>
      <c r="AA561" s="30">
        <v>0</v>
      </c>
      <c r="AB561" s="30">
        <v>74904.38</v>
      </c>
      <c r="AC561" s="30" t="s">
        <v>458</v>
      </c>
      <c r="AD561" s="30"/>
      <c r="AE561" s="30">
        <v>74904.38</v>
      </c>
    </row>
    <row r="562" spans="1:31" x14ac:dyDescent="0.25">
      <c r="A562">
        <v>12943</v>
      </c>
      <c r="B562" t="s">
        <v>263</v>
      </c>
      <c r="C562" t="s">
        <v>348</v>
      </c>
      <c r="D562" s="33">
        <v>82290</v>
      </c>
      <c r="E562">
        <v>1246187828</v>
      </c>
      <c r="F562" s="222">
        <v>45667</v>
      </c>
      <c r="G562" s="222"/>
      <c r="H562" t="s">
        <v>23</v>
      </c>
      <c r="I562" t="s">
        <v>24</v>
      </c>
      <c r="J562">
        <v>1585</v>
      </c>
      <c r="K562" s="222">
        <v>45639</v>
      </c>
      <c r="L562">
        <v>1010100</v>
      </c>
      <c r="M562" t="s">
        <v>29</v>
      </c>
      <c r="N562">
        <v>506</v>
      </c>
      <c r="O562" s="30">
        <v>0</v>
      </c>
      <c r="P562" s="30">
        <v>82290</v>
      </c>
      <c r="Q562" s="30">
        <v>0</v>
      </c>
      <c r="R562" s="30">
        <v>0</v>
      </c>
      <c r="S562" s="30">
        <v>0</v>
      </c>
      <c r="T562" s="30">
        <v>0</v>
      </c>
      <c r="U562" s="30">
        <v>82290</v>
      </c>
      <c r="V562" s="30">
        <v>0</v>
      </c>
      <c r="W562" s="30">
        <v>2468.6999999999998</v>
      </c>
      <c r="X562" s="30">
        <v>79821.3</v>
      </c>
      <c r="Y562" s="30">
        <v>79821.3</v>
      </c>
      <c r="Z562" s="30">
        <v>82290</v>
      </c>
      <c r="AA562" s="30">
        <v>0</v>
      </c>
      <c r="AB562" s="30">
        <v>82290</v>
      </c>
      <c r="AC562" s="30" t="s">
        <v>457</v>
      </c>
      <c r="AD562" s="30"/>
      <c r="AE562" s="30">
        <v>82290</v>
      </c>
    </row>
    <row r="563" spans="1:31" x14ac:dyDescent="0.25">
      <c r="A563">
        <v>12943</v>
      </c>
      <c r="B563" t="s">
        <v>263</v>
      </c>
      <c r="C563" t="s">
        <v>348</v>
      </c>
      <c r="D563" s="33">
        <v>82290</v>
      </c>
      <c r="E563">
        <v>1246187829</v>
      </c>
      <c r="F563" s="222">
        <v>45695</v>
      </c>
      <c r="G563" s="222"/>
      <c r="H563" t="s">
        <v>23</v>
      </c>
      <c r="I563" t="s">
        <v>24</v>
      </c>
      <c r="J563">
        <v>1585</v>
      </c>
      <c r="K563" s="222">
        <v>45639</v>
      </c>
      <c r="L563">
        <v>1010100</v>
      </c>
      <c r="M563" t="s">
        <v>29</v>
      </c>
      <c r="N563">
        <v>478</v>
      </c>
      <c r="O563" s="30">
        <v>0</v>
      </c>
      <c r="P563" s="30">
        <v>82290</v>
      </c>
      <c r="Q563" s="30">
        <v>0</v>
      </c>
      <c r="R563" s="30">
        <v>0</v>
      </c>
      <c r="S563" s="30">
        <v>0</v>
      </c>
      <c r="T563" s="30">
        <v>0</v>
      </c>
      <c r="U563" s="30">
        <v>82290</v>
      </c>
      <c r="V563" s="30">
        <v>0</v>
      </c>
      <c r="W563" s="30">
        <v>2468.6999999999998</v>
      </c>
      <c r="X563" s="30">
        <v>79821.3</v>
      </c>
      <c r="Y563" s="30">
        <v>79821.3</v>
      </c>
      <c r="Z563" s="30">
        <v>82290</v>
      </c>
      <c r="AA563" s="30">
        <v>0</v>
      </c>
      <c r="AB563" s="30">
        <v>82290</v>
      </c>
      <c r="AC563" s="30" t="s">
        <v>457</v>
      </c>
      <c r="AD563" s="30"/>
      <c r="AE563" s="30">
        <v>82290</v>
      </c>
    </row>
    <row r="564" spans="1:31" x14ac:dyDescent="0.25">
      <c r="A564">
        <v>12943</v>
      </c>
      <c r="B564" t="s">
        <v>263</v>
      </c>
      <c r="C564" t="s">
        <v>348</v>
      </c>
      <c r="D564" s="33">
        <v>49170</v>
      </c>
      <c r="E564">
        <v>1246183176</v>
      </c>
      <c r="F564" s="222">
        <v>45642</v>
      </c>
      <c r="G564" s="222"/>
      <c r="H564" t="s">
        <v>23</v>
      </c>
      <c r="I564" t="s">
        <v>24</v>
      </c>
      <c r="J564">
        <v>6129</v>
      </c>
      <c r="K564" s="222">
        <v>45614</v>
      </c>
      <c r="L564">
        <v>1010100</v>
      </c>
      <c r="M564" t="s">
        <v>29</v>
      </c>
      <c r="N564">
        <v>531</v>
      </c>
      <c r="O564" s="30">
        <v>0</v>
      </c>
      <c r="P564" s="30">
        <v>49170</v>
      </c>
      <c r="Q564" s="30">
        <v>0</v>
      </c>
      <c r="R564" s="30">
        <v>0</v>
      </c>
      <c r="S564" s="30">
        <v>0</v>
      </c>
      <c r="T564" s="30">
        <v>0</v>
      </c>
      <c r="U564" s="30">
        <v>49170</v>
      </c>
      <c r="V564" s="30">
        <v>0</v>
      </c>
      <c r="W564" s="30">
        <v>1475.1</v>
      </c>
      <c r="X564" s="30">
        <v>47694.9</v>
      </c>
      <c r="Y564" s="30">
        <v>47694.9</v>
      </c>
      <c r="Z564" s="30">
        <v>49170</v>
      </c>
      <c r="AA564" s="30">
        <v>0</v>
      </c>
      <c r="AB564" s="30">
        <v>49170</v>
      </c>
      <c r="AC564" s="30" t="s">
        <v>457</v>
      </c>
      <c r="AD564" s="30"/>
      <c r="AE564" s="30">
        <v>49170</v>
      </c>
    </row>
    <row r="565" spans="1:31" x14ac:dyDescent="0.25">
      <c r="A565">
        <v>12031</v>
      </c>
      <c r="B565" t="s">
        <v>296</v>
      </c>
      <c r="C565" t="s">
        <v>26</v>
      </c>
      <c r="D565" s="33">
        <v>164297.04999999999</v>
      </c>
      <c r="E565">
        <v>1246275610</v>
      </c>
      <c r="F565" s="222">
        <v>46220</v>
      </c>
      <c r="G565" s="222"/>
      <c r="H565" t="s">
        <v>23</v>
      </c>
      <c r="I565" t="s">
        <v>24</v>
      </c>
      <c r="J565">
        <v>2948</v>
      </c>
      <c r="K565" s="222">
        <v>46160</v>
      </c>
      <c r="L565">
        <v>1010200</v>
      </c>
      <c r="M565" t="s">
        <v>113</v>
      </c>
      <c r="N565">
        <v>-47</v>
      </c>
      <c r="O565" s="30">
        <v>0</v>
      </c>
      <c r="P565" s="30">
        <v>0</v>
      </c>
      <c r="Q565" s="30">
        <v>164297.04999999999</v>
      </c>
      <c r="R565" s="30">
        <v>0</v>
      </c>
      <c r="S565" s="30">
        <v>0</v>
      </c>
      <c r="T565" s="30">
        <v>0</v>
      </c>
      <c r="U565" s="30">
        <v>0</v>
      </c>
      <c r="V565" s="30">
        <v>0</v>
      </c>
      <c r="W565" s="30">
        <v>0</v>
      </c>
      <c r="X565" s="30">
        <v>0</v>
      </c>
      <c r="Y565" s="30">
        <v>0</v>
      </c>
      <c r="Z565" s="30">
        <v>0</v>
      </c>
      <c r="AA565" s="30">
        <v>0</v>
      </c>
      <c r="AB565" s="30">
        <v>0</v>
      </c>
      <c r="AC565" s="30" t="s">
        <v>407</v>
      </c>
      <c r="AD565" s="30"/>
      <c r="AE565" s="30">
        <v>0</v>
      </c>
    </row>
    <row r="566" spans="1:31" x14ac:dyDescent="0.25">
      <c r="A566">
        <v>12629</v>
      </c>
      <c r="B566" t="s">
        <v>109</v>
      </c>
      <c r="C566" t="s">
        <v>406</v>
      </c>
      <c r="D566" s="33">
        <v>161488.20000000001</v>
      </c>
      <c r="E566">
        <v>1246275947</v>
      </c>
      <c r="F566" s="222">
        <v>46222</v>
      </c>
      <c r="G566" s="222"/>
      <c r="H566" t="s">
        <v>23</v>
      </c>
      <c r="I566" t="s">
        <v>24</v>
      </c>
      <c r="J566">
        <v>11452</v>
      </c>
      <c r="K566" s="222">
        <v>46162</v>
      </c>
      <c r="L566">
        <v>1010100</v>
      </c>
      <c r="M566" t="s">
        <v>29</v>
      </c>
      <c r="N566">
        <v>-49</v>
      </c>
      <c r="O566" s="30">
        <v>0</v>
      </c>
      <c r="P566" s="30">
        <v>0</v>
      </c>
      <c r="Q566" s="30">
        <v>161488.20000000001</v>
      </c>
      <c r="R566" s="30">
        <v>0</v>
      </c>
      <c r="S566" s="30">
        <v>0</v>
      </c>
      <c r="T566" s="30">
        <v>0</v>
      </c>
      <c r="U566" s="30">
        <v>0</v>
      </c>
      <c r="V566" s="30">
        <v>0</v>
      </c>
      <c r="W566" s="30">
        <v>0</v>
      </c>
      <c r="X566" s="30">
        <v>0</v>
      </c>
      <c r="Y566" s="30">
        <v>0</v>
      </c>
      <c r="Z566" s="30">
        <v>0</v>
      </c>
      <c r="AA566" s="30">
        <v>0</v>
      </c>
      <c r="AB566" s="30">
        <v>0</v>
      </c>
      <c r="AC566" s="30" t="s">
        <v>407</v>
      </c>
      <c r="AD566" s="30"/>
      <c r="AE566" s="30">
        <v>0</v>
      </c>
    </row>
    <row r="567" spans="1:31" x14ac:dyDescent="0.25">
      <c r="A567">
        <v>12629</v>
      </c>
      <c r="B567" t="s">
        <v>109</v>
      </c>
      <c r="C567" t="s">
        <v>406</v>
      </c>
      <c r="D567" s="33">
        <v>173685.50000000003</v>
      </c>
      <c r="E567">
        <v>1246276919</v>
      </c>
      <c r="F567" s="222">
        <v>46228</v>
      </c>
      <c r="G567" s="222"/>
      <c r="H567" t="s">
        <v>23</v>
      </c>
      <c r="I567" t="s">
        <v>24</v>
      </c>
      <c r="J567">
        <v>11501</v>
      </c>
      <c r="K567" s="222">
        <v>46168</v>
      </c>
      <c r="L567">
        <v>1010100</v>
      </c>
      <c r="M567" t="s">
        <v>29</v>
      </c>
      <c r="N567">
        <v>-55</v>
      </c>
      <c r="O567" s="30">
        <v>0</v>
      </c>
      <c r="P567" s="30">
        <v>0</v>
      </c>
      <c r="Q567" s="30">
        <v>173685.50000000003</v>
      </c>
      <c r="R567" s="30">
        <v>0</v>
      </c>
      <c r="S567" s="30">
        <v>0</v>
      </c>
      <c r="T567" s="30">
        <v>0</v>
      </c>
      <c r="U567" s="30">
        <v>0</v>
      </c>
      <c r="V567" s="30">
        <v>0</v>
      </c>
      <c r="W567" s="30">
        <v>0</v>
      </c>
      <c r="X567" s="30">
        <v>0</v>
      </c>
      <c r="Y567" s="30">
        <v>0</v>
      </c>
      <c r="Z567" s="30">
        <v>0</v>
      </c>
      <c r="AA567" s="30">
        <v>0</v>
      </c>
      <c r="AB567" s="30">
        <v>0</v>
      </c>
      <c r="AC567" s="30" t="s">
        <v>407</v>
      </c>
      <c r="AD567" s="30"/>
      <c r="AE567" s="30">
        <v>0</v>
      </c>
    </row>
    <row r="568" spans="1:31" x14ac:dyDescent="0.25">
      <c r="A568">
        <v>12629</v>
      </c>
      <c r="B568" t="s">
        <v>109</v>
      </c>
      <c r="C568" t="s">
        <v>406</v>
      </c>
      <c r="D568" s="33">
        <v>151877.1</v>
      </c>
      <c r="E568">
        <v>1246274160</v>
      </c>
      <c r="F568" s="222">
        <v>46180</v>
      </c>
      <c r="G568" s="222"/>
      <c r="H568" t="s">
        <v>23</v>
      </c>
      <c r="I568" t="s">
        <v>24</v>
      </c>
      <c r="J568">
        <v>11334</v>
      </c>
      <c r="K568" s="222">
        <v>46150</v>
      </c>
      <c r="L568">
        <v>1010100</v>
      </c>
      <c r="M568" t="s">
        <v>29</v>
      </c>
      <c r="N568">
        <v>-7</v>
      </c>
      <c r="O568" s="30">
        <v>0</v>
      </c>
      <c r="P568" s="30">
        <v>0</v>
      </c>
      <c r="Q568" s="30">
        <v>151877.1</v>
      </c>
      <c r="R568" s="30">
        <v>0</v>
      </c>
      <c r="S568" s="30">
        <v>0</v>
      </c>
      <c r="T568" s="30">
        <v>0</v>
      </c>
      <c r="U568" s="30">
        <v>0</v>
      </c>
      <c r="V568" s="30">
        <v>0</v>
      </c>
      <c r="W568" s="30">
        <v>0</v>
      </c>
      <c r="X568" s="30">
        <v>0</v>
      </c>
      <c r="Y568" s="30">
        <v>0</v>
      </c>
      <c r="Z568" s="30">
        <v>0</v>
      </c>
      <c r="AA568" s="30">
        <v>0</v>
      </c>
      <c r="AB568" s="30">
        <v>0</v>
      </c>
      <c r="AC568" s="30" t="s">
        <v>407</v>
      </c>
      <c r="AD568" s="30"/>
      <c r="AE568" s="30">
        <v>0</v>
      </c>
    </row>
    <row r="569" spans="1:31" x14ac:dyDescent="0.25">
      <c r="A569">
        <v>12629</v>
      </c>
      <c r="B569" t="s">
        <v>109</v>
      </c>
      <c r="C569" t="s">
        <v>406</v>
      </c>
      <c r="D569" s="33">
        <v>185285.1</v>
      </c>
      <c r="E569">
        <v>1246277480</v>
      </c>
      <c r="F569" s="222">
        <v>46231</v>
      </c>
      <c r="G569" s="222"/>
      <c r="H569" t="s">
        <v>23</v>
      </c>
      <c r="I569" t="s">
        <v>24</v>
      </c>
      <c r="J569">
        <v>11559</v>
      </c>
      <c r="K569" s="222">
        <v>46171</v>
      </c>
      <c r="L569">
        <v>1010100</v>
      </c>
      <c r="M569" t="s">
        <v>29</v>
      </c>
      <c r="N569">
        <v>-58</v>
      </c>
      <c r="O569" s="30">
        <v>0</v>
      </c>
      <c r="P569" s="30">
        <v>0</v>
      </c>
      <c r="Q569" s="30">
        <v>185285.1</v>
      </c>
      <c r="R569" s="30">
        <v>0</v>
      </c>
      <c r="S569" s="30">
        <v>0</v>
      </c>
      <c r="T569" s="30">
        <v>0</v>
      </c>
      <c r="U569" s="30">
        <v>0</v>
      </c>
      <c r="V569" s="30">
        <v>0</v>
      </c>
      <c r="W569" s="30">
        <v>0</v>
      </c>
      <c r="X569" s="30">
        <v>0</v>
      </c>
      <c r="Y569" s="30">
        <v>0</v>
      </c>
      <c r="Z569" s="30">
        <v>0</v>
      </c>
      <c r="AA569" s="30">
        <v>0</v>
      </c>
      <c r="AB569" s="30">
        <v>0</v>
      </c>
      <c r="AC569" s="30" t="s">
        <v>407</v>
      </c>
      <c r="AD569" s="30"/>
      <c r="AE569" s="30">
        <v>0</v>
      </c>
    </row>
    <row r="570" spans="1:31" x14ac:dyDescent="0.25">
      <c r="A570">
        <v>12629</v>
      </c>
      <c r="B570" t="s">
        <v>109</v>
      </c>
      <c r="C570" t="s">
        <v>406</v>
      </c>
      <c r="D570" s="33">
        <v>162031.20000000001</v>
      </c>
      <c r="E570">
        <v>1246271940</v>
      </c>
      <c r="F570" s="222">
        <v>46192</v>
      </c>
      <c r="G570" s="222"/>
      <c r="H570" t="s">
        <v>23</v>
      </c>
      <c r="I570" t="s">
        <v>24</v>
      </c>
      <c r="J570">
        <v>11184</v>
      </c>
      <c r="K570" s="222">
        <v>46132</v>
      </c>
      <c r="L570">
        <v>1010100</v>
      </c>
      <c r="M570" t="s">
        <v>29</v>
      </c>
      <c r="N570">
        <v>-19</v>
      </c>
      <c r="O570" s="30">
        <v>0</v>
      </c>
      <c r="P570" s="30">
        <v>0</v>
      </c>
      <c r="Q570" s="30">
        <v>162031.20000000001</v>
      </c>
      <c r="R570" s="30">
        <v>0</v>
      </c>
      <c r="S570" s="30">
        <v>0</v>
      </c>
      <c r="T570" s="30">
        <v>0</v>
      </c>
      <c r="U570" s="30">
        <v>0</v>
      </c>
      <c r="V570" s="30">
        <v>0</v>
      </c>
      <c r="W570" s="30">
        <v>0</v>
      </c>
      <c r="X570" s="30">
        <v>0</v>
      </c>
      <c r="Y570" s="30">
        <v>0</v>
      </c>
      <c r="Z570" s="30">
        <v>0</v>
      </c>
      <c r="AA570" s="30">
        <v>0</v>
      </c>
      <c r="AB570" s="30">
        <v>0</v>
      </c>
      <c r="AC570" s="30" t="s">
        <v>407</v>
      </c>
      <c r="AD570" s="30"/>
      <c r="AE570" s="30">
        <v>0</v>
      </c>
    </row>
    <row r="571" spans="1:31" x14ac:dyDescent="0.25">
      <c r="A571">
        <v>13330</v>
      </c>
      <c r="B571" t="s">
        <v>579</v>
      </c>
      <c r="C571" t="s">
        <v>580</v>
      </c>
      <c r="D571" s="33">
        <v>853.24</v>
      </c>
      <c r="E571">
        <v>1246272264</v>
      </c>
      <c r="F571" s="222">
        <v>46148</v>
      </c>
      <c r="G571" s="222"/>
      <c r="I571" t="s">
        <v>326</v>
      </c>
      <c r="J571">
        <v>11057</v>
      </c>
      <c r="K571" s="222">
        <v>46118</v>
      </c>
      <c r="L571">
        <v>1010200</v>
      </c>
      <c r="M571" t="s">
        <v>113</v>
      </c>
      <c r="N571">
        <v>25</v>
      </c>
      <c r="O571" s="30">
        <v>0</v>
      </c>
      <c r="P571" s="30">
        <v>0</v>
      </c>
      <c r="Q571" s="30">
        <v>0</v>
      </c>
      <c r="R571" s="30">
        <v>853.24</v>
      </c>
      <c r="S571" s="30">
        <v>0</v>
      </c>
      <c r="T571" s="30">
        <v>0</v>
      </c>
      <c r="U571" s="30">
        <v>0</v>
      </c>
      <c r="V571" s="30">
        <v>0</v>
      </c>
      <c r="W571" s="30">
        <v>0</v>
      </c>
      <c r="X571" s="30">
        <v>0</v>
      </c>
      <c r="Y571" s="30">
        <v>0</v>
      </c>
      <c r="Z571" s="30">
        <v>0</v>
      </c>
      <c r="AA571" s="30">
        <v>0</v>
      </c>
      <c r="AB571" s="30">
        <v>0</v>
      </c>
      <c r="AC571" s="30" t="s">
        <v>407</v>
      </c>
      <c r="AD571" s="30"/>
      <c r="AE571" s="30">
        <v>0</v>
      </c>
    </row>
    <row r="572" spans="1:31" x14ac:dyDescent="0.25">
      <c r="A572">
        <v>13330</v>
      </c>
      <c r="B572" t="s">
        <v>579</v>
      </c>
      <c r="C572" t="s">
        <v>580</v>
      </c>
      <c r="D572" s="33">
        <v>527.28</v>
      </c>
      <c r="E572">
        <v>1246238356</v>
      </c>
      <c r="F572" s="222">
        <v>45927</v>
      </c>
      <c r="G572" s="222"/>
      <c r="I572" t="s">
        <v>326</v>
      </c>
      <c r="J572">
        <v>9092</v>
      </c>
      <c r="K572" s="222">
        <v>45897</v>
      </c>
      <c r="L572">
        <v>1010200</v>
      </c>
      <c r="M572" t="s">
        <v>113</v>
      </c>
      <c r="N572">
        <v>246</v>
      </c>
      <c r="O572" s="30">
        <v>0</v>
      </c>
      <c r="P572" s="30">
        <v>15.818399999999999</v>
      </c>
      <c r="Q572" s="30">
        <v>0</v>
      </c>
      <c r="R572" s="30">
        <v>0</v>
      </c>
      <c r="S572" s="30">
        <v>0</v>
      </c>
      <c r="T572" s="30">
        <v>527.28</v>
      </c>
      <c r="U572" s="30">
        <v>0</v>
      </c>
      <c r="V572" s="30">
        <v>0</v>
      </c>
      <c r="W572" s="30">
        <v>15.818399999999999</v>
      </c>
      <c r="X572" s="30">
        <v>0</v>
      </c>
      <c r="Y572" s="30">
        <v>0</v>
      </c>
      <c r="Z572" s="30">
        <v>527.28</v>
      </c>
      <c r="AA572" s="30">
        <v>0</v>
      </c>
      <c r="AB572" s="30">
        <v>15.818399999999999</v>
      </c>
      <c r="AC572" s="30" t="s">
        <v>407</v>
      </c>
      <c r="AD572" s="30"/>
      <c r="AE572" s="30">
        <v>15.818399999999999</v>
      </c>
    </row>
    <row r="573" spans="1:31" x14ac:dyDescent="0.25">
      <c r="A573">
        <v>12295</v>
      </c>
      <c r="B573" t="s">
        <v>189</v>
      </c>
      <c r="C573" t="s">
        <v>190</v>
      </c>
      <c r="D573" s="33">
        <v>129728</v>
      </c>
      <c r="E573">
        <v>1246100036</v>
      </c>
      <c r="F573" s="222">
        <v>45547</v>
      </c>
      <c r="G573" s="222"/>
      <c r="H573" t="s">
        <v>156</v>
      </c>
      <c r="I573" t="s">
        <v>157</v>
      </c>
      <c r="J573">
        <v>843</v>
      </c>
      <c r="K573" s="222">
        <v>45162</v>
      </c>
      <c r="L573">
        <v>1010100</v>
      </c>
      <c r="M573" t="s">
        <v>29</v>
      </c>
      <c r="N573">
        <v>626</v>
      </c>
      <c r="O573" s="30">
        <v>0</v>
      </c>
      <c r="P573" s="30">
        <v>0</v>
      </c>
      <c r="Q573" s="30">
        <v>0</v>
      </c>
      <c r="R573" s="30">
        <v>0</v>
      </c>
      <c r="S573" s="30">
        <v>0</v>
      </c>
      <c r="T573" s="30">
        <v>0</v>
      </c>
      <c r="U573" s="30">
        <v>129728</v>
      </c>
      <c r="V573" s="30">
        <v>0</v>
      </c>
      <c r="W573" s="30">
        <v>3891.8399999999997</v>
      </c>
      <c r="X573" s="30">
        <v>125836.16</v>
      </c>
      <c r="Y573" s="30">
        <v>125836.16</v>
      </c>
      <c r="Z573" s="30">
        <v>129728</v>
      </c>
      <c r="AA573" s="30">
        <v>-129728</v>
      </c>
      <c r="AB573" s="30">
        <v>0</v>
      </c>
      <c r="AC573" s="30" t="s">
        <v>458</v>
      </c>
      <c r="AD573" s="30"/>
      <c r="AE573" s="30">
        <v>0</v>
      </c>
    </row>
    <row r="574" spans="1:31" x14ac:dyDescent="0.25">
      <c r="A574">
        <v>12295</v>
      </c>
      <c r="B574" t="s">
        <v>189</v>
      </c>
      <c r="C574" t="s">
        <v>190</v>
      </c>
      <c r="D574" s="33">
        <v>126208</v>
      </c>
      <c r="E574">
        <v>1246106003</v>
      </c>
      <c r="F574" s="222">
        <v>45559</v>
      </c>
      <c r="G574" s="222"/>
      <c r="H574" t="s">
        <v>156</v>
      </c>
      <c r="I574" t="s">
        <v>157</v>
      </c>
      <c r="J574">
        <v>1328</v>
      </c>
      <c r="K574" s="222">
        <v>45194</v>
      </c>
      <c r="L574">
        <v>1010100</v>
      </c>
      <c r="M574" t="s">
        <v>29</v>
      </c>
      <c r="N574">
        <v>614</v>
      </c>
      <c r="O574" s="30">
        <v>0</v>
      </c>
      <c r="P574" s="30">
        <v>0</v>
      </c>
      <c r="Q574" s="30">
        <v>0</v>
      </c>
      <c r="R574" s="30">
        <v>0</v>
      </c>
      <c r="S574" s="30">
        <v>0</v>
      </c>
      <c r="T574" s="30">
        <v>0</v>
      </c>
      <c r="U574" s="30">
        <v>126208</v>
      </c>
      <c r="V574" s="30">
        <v>0</v>
      </c>
      <c r="W574" s="30">
        <v>3786.24</v>
      </c>
      <c r="X574" s="30">
        <v>122421.75999999999</v>
      </c>
      <c r="Y574" s="30">
        <v>122421.75999999999</v>
      </c>
      <c r="Z574" s="30">
        <v>126208</v>
      </c>
      <c r="AA574" s="30">
        <v>-126208</v>
      </c>
      <c r="AB574" s="30">
        <v>0</v>
      </c>
      <c r="AC574" s="30" t="s">
        <v>458</v>
      </c>
      <c r="AD574" s="30"/>
      <c r="AE574" s="30">
        <v>0</v>
      </c>
    </row>
    <row r="575" spans="1:31" x14ac:dyDescent="0.25">
      <c r="A575">
        <v>12295</v>
      </c>
      <c r="B575" t="s">
        <v>189</v>
      </c>
      <c r="C575" t="s">
        <v>190</v>
      </c>
      <c r="D575" s="33">
        <v>19965</v>
      </c>
      <c r="E575">
        <v>1246100409</v>
      </c>
      <c r="F575" s="222">
        <v>45548</v>
      </c>
      <c r="G575" s="222"/>
      <c r="H575" t="s">
        <v>156</v>
      </c>
      <c r="I575" t="s">
        <v>157</v>
      </c>
      <c r="J575">
        <v>864</v>
      </c>
      <c r="K575" s="222">
        <v>45163</v>
      </c>
      <c r="L575">
        <v>1010100</v>
      </c>
      <c r="M575" t="s">
        <v>29</v>
      </c>
      <c r="N575">
        <v>625</v>
      </c>
      <c r="O575" s="30">
        <v>0</v>
      </c>
      <c r="P575" s="30">
        <v>0</v>
      </c>
      <c r="Q575" s="30">
        <v>0</v>
      </c>
      <c r="R575" s="30">
        <v>0</v>
      </c>
      <c r="S575" s="30">
        <v>0</v>
      </c>
      <c r="T575" s="30">
        <v>0</v>
      </c>
      <c r="U575" s="30">
        <v>19965</v>
      </c>
      <c r="V575" s="30">
        <v>0</v>
      </c>
      <c r="W575" s="30">
        <v>598.94999999999993</v>
      </c>
      <c r="X575" s="30">
        <v>19366.05</v>
      </c>
      <c r="Y575" s="30">
        <v>19366.05</v>
      </c>
      <c r="Z575" s="30">
        <v>19965</v>
      </c>
      <c r="AA575" s="30">
        <v>-19965</v>
      </c>
      <c r="AB575" s="30">
        <v>0</v>
      </c>
      <c r="AC575" s="30" t="s">
        <v>458</v>
      </c>
      <c r="AD575" s="30"/>
      <c r="AE575" s="30">
        <v>0</v>
      </c>
    </row>
    <row r="576" spans="1:31" x14ac:dyDescent="0.25">
      <c r="A576">
        <v>12295</v>
      </c>
      <c r="B576" t="s">
        <v>189</v>
      </c>
      <c r="C576" t="s">
        <v>190</v>
      </c>
      <c r="D576" s="33">
        <v>102625</v>
      </c>
      <c r="E576">
        <v>1246100411</v>
      </c>
      <c r="F576" s="222">
        <v>45548</v>
      </c>
      <c r="G576" s="222"/>
      <c r="H576" t="s">
        <v>156</v>
      </c>
      <c r="I576" t="s">
        <v>157</v>
      </c>
      <c r="J576">
        <v>865</v>
      </c>
      <c r="K576" s="222">
        <v>45163</v>
      </c>
      <c r="L576">
        <v>1010100</v>
      </c>
      <c r="M576" t="s">
        <v>29</v>
      </c>
      <c r="N576">
        <v>625</v>
      </c>
      <c r="O576" s="30">
        <v>0</v>
      </c>
      <c r="P576" s="30">
        <v>0</v>
      </c>
      <c r="Q576" s="30">
        <v>0</v>
      </c>
      <c r="R576" s="30">
        <v>0</v>
      </c>
      <c r="S576" s="30">
        <v>0</v>
      </c>
      <c r="T576" s="30">
        <v>0</v>
      </c>
      <c r="U576" s="30">
        <v>102625</v>
      </c>
      <c r="V576" s="30">
        <v>0</v>
      </c>
      <c r="W576" s="30">
        <v>3078.75</v>
      </c>
      <c r="X576" s="30">
        <v>99546.25</v>
      </c>
      <c r="Y576" s="30">
        <v>99546.25</v>
      </c>
      <c r="Z576" s="30">
        <v>102625</v>
      </c>
      <c r="AA576" s="30">
        <v>-102625</v>
      </c>
      <c r="AB576" s="30">
        <v>0</v>
      </c>
      <c r="AC576" s="30" t="s">
        <v>458</v>
      </c>
      <c r="AD576" s="30"/>
      <c r="AE576" s="30">
        <v>0</v>
      </c>
    </row>
    <row r="577" spans="1:31" x14ac:dyDescent="0.25">
      <c r="A577">
        <v>12295</v>
      </c>
      <c r="B577" t="s">
        <v>189</v>
      </c>
      <c r="C577" t="s">
        <v>190</v>
      </c>
      <c r="D577" s="33">
        <v>23664</v>
      </c>
      <c r="E577">
        <v>1246100034</v>
      </c>
      <c r="F577" s="222">
        <v>45547</v>
      </c>
      <c r="G577" s="222"/>
      <c r="H577" t="s">
        <v>156</v>
      </c>
      <c r="I577" t="s">
        <v>157</v>
      </c>
      <c r="J577">
        <v>842</v>
      </c>
      <c r="K577" s="222">
        <v>45162</v>
      </c>
      <c r="L577">
        <v>1010100</v>
      </c>
      <c r="M577" t="s">
        <v>29</v>
      </c>
      <c r="N577">
        <v>626</v>
      </c>
      <c r="O577" s="30">
        <v>0</v>
      </c>
      <c r="P577" s="30">
        <v>0</v>
      </c>
      <c r="Q577" s="30">
        <v>0</v>
      </c>
      <c r="R577" s="30">
        <v>0</v>
      </c>
      <c r="S577" s="30">
        <v>0</v>
      </c>
      <c r="T577" s="30">
        <v>0</v>
      </c>
      <c r="U577" s="30">
        <v>23664</v>
      </c>
      <c r="V577" s="30">
        <v>0</v>
      </c>
      <c r="W577" s="30">
        <v>709.92</v>
      </c>
      <c r="X577" s="30">
        <v>22954.079999999998</v>
      </c>
      <c r="Y577" s="30">
        <v>22954.079999999998</v>
      </c>
      <c r="Z577" s="30">
        <v>23664</v>
      </c>
      <c r="AA577" s="30">
        <v>-23664</v>
      </c>
      <c r="AB577" s="30">
        <v>0</v>
      </c>
      <c r="AC577" s="30" t="s">
        <v>458</v>
      </c>
      <c r="AD577" s="30"/>
      <c r="AE577" s="30">
        <v>0</v>
      </c>
    </row>
    <row r="578" spans="1:31" x14ac:dyDescent="0.25">
      <c r="A578">
        <v>12295</v>
      </c>
      <c r="B578" t="s">
        <v>189</v>
      </c>
      <c r="C578" t="s">
        <v>190</v>
      </c>
      <c r="D578" s="33">
        <v>119790</v>
      </c>
      <c r="E578">
        <v>1246100311</v>
      </c>
      <c r="F578" s="222">
        <v>45548</v>
      </c>
      <c r="G578" s="222"/>
      <c r="H578" t="s">
        <v>156</v>
      </c>
      <c r="I578" t="s">
        <v>157</v>
      </c>
      <c r="J578">
        <v>851</v>
      </c>
      <c r="K578" s="222">
        <v>45163</v>
      </c>
      <c r="L578">
        <v>1010100</v>
      </c>
      <c r="M578" t="s">
        <v>29</v>
      </c>
      <c r="N578">
        <v>625</v>
      </c>
      <c r="O578" s="30">
        <v>0</v>
      </c>
      <c r="P578" s="30">
        <v>0</v>
      </c>
      <c r="Q578" s="30">
        <v>0</v>
      </c>
      <c r="R578" s="30">
        <v>0</v>
      </c>
      <c r="S578" s="30">
        <v>0</v>
      </c>
      <c r="T578" s="30">
        <v>0</v>
      </c>
      <c r="U578" s="30">
        <v>119790</v>
      </c>
      <c r="V578" s="30">
        <v>0</v>
      </c>
      <c r="W578" s="30">
        <v>3593.7</v>
      </c>
      <c r="X578" s="30">
        <v>116196.3</v>
      </c>
      <c r="Y578" s="30">
        <v>116196.3</v>
      </c>
      <c r="Z578" s="30">
        <v>119790</v>
      </c>
      <c r="AA578" s="30">
        <v>-119790</v>
      </c>
      <c r="AB578" s="30">
        <v>0</v>
      </c>
      <c r="AC578" s="30" t="s">
        <v>458</v>
      </c>
      <c r="AD578" s="30"/>
      <c r="AE578" s="30">
        <v>0</v>
      </c>
    </row>
    <row r="579" spans="1:31" x14ac:dyDescent="0.25">
      <c r="A579">
        <v>12295</v>
      </c>
      <c r="B579" t="s">
        <v>189</v>
      </c>
      <c r="C579" t="s">
        <v>190</v>
      </c>
      <c r="D579" s="33">
        <v>127776</v>
      </c>
      <c r="E579">
        <v>1246102654</v>
      </c>
      <c r="F579" s="222">
        <v>45560</v>
      </c>
      <c r="G579" s="222"/>
      <c r="H579" t="s">
        <v>156</v>
      </c>
      <c r="I579" t="s">
        <v>157</v>
      </c>
      <c r="J579">
        <v>1053</v>
      </c>
      <c r="K579" s="222">
        <v>45175</v>
      </c>
      <c r="L579">
        <v>1010100</v>
      </c>
      <c r="M579" t="s">
        <v>29</v>
      </c>
      <c r="N579">
        <v>613</v>
      </c>
      <c r="O579" s="30">
        <v>0</v>
      </c>
      <c r="P579" s="30">
        <v>0</v>
      </c>
      <c r="Q579" s="30">
        <v>0</v>
      </c>
      <c r="R579" s="30">
        <v>0</v>
      </c>
      <c r="S579" s="30">
        <v>0</v>
      </c>
      <c r="T579" s="30">
        <v>0</v>
      </c>
      <c r="U579" s="30">
        <v>127776</v>
      </c>
      <c r="V579" s="30">
        <v>0</v>
      </c>
      <c r="W579" s="30">
        <v>3833.2799999999997</v>
      </c>
      <c r="X579" s="30">
        <v>123942.72</v>
      </c>
      <c r="Y579" s="30">
        <v>123942.72</v>
      </c>
      <c r="Z579" s="30">
        <v>127776</v>
      </c>
      <c r="AA579" s="30">
        <v>-127776</v>
      </c>
      <c r="AB579" s="30">
        <v>0</v>
      </c>
      <c r="AC579" s="30" t="s">
        <v>458</v>
      </c>
      <c r="AD579" s="30"/>
      <c r="AE579" s="30">
        <v>0</v>
      </c>
    </row>
    <row r="580" spans="1:31" x14ac:dyDescent="0.25">
      <c r="A580">
        <v>12295</v>
      </c>
      <c r="B580" t="s">
        <v>189</v>
      </c>
      <c r="C580" t="s">
        <v>190</v>
      </c>
      <c r="D580" s="33">
        <v>99410.750000000015</v>
      </c>
      <c r="E580">
        <v>1246240412</v>
      </c>
      <c r="F580" s="222">
        <v>45546</v>
      </c>
      <c r="G580" s="222"/>
      <c r="H580" t="s">
        <v>156</v>
      </c>
      <c r="I580" t="s">
        <v>157</v>
      </c>
      <c r="J580">
        <v>176</v>
      </c>
      <c r="K580" s="222">
        <v>45161</v>
      </c>
      <c r="L580">
        <v>1010100</v>
      </c>
      <c r="M580" t="s">
        <v>29</v>
      </c>
      <c r="N580">
        <v>627</v>
      </c>
      <c r="O580" s="30">
        <v>0</v>
      </c>
      <c r="P580" s="30">
        <v>0</v>
      </c>
      <c r="Q580" s="30">
        <v>0</v>
      </c>
      <c r="R580" s="30">
        <v>0</v>
      </c>
      <c r="S580" s="30">
        <v>0</v>
      </c>
      <c r="T580" s="30">
        <v>0</v>
      </c>
      <c r="U580" s="30">
        <v>99410.750000000015</v>
      </c>
      <c r="V580" s="30">
        <v>0</v>
      </c>
      <c r="W580" s="30">
        <v>2982.3225000000002</v>
      </c>
      <c r="X580" s="30">
        <v>96428.427500000005</v>
      </c>
      <c r="Y580" s="30">
        <v>96428.427500000005</v>
      </c>
      <c r="Z580" s="30">
        <v>99410.750000000015</v>
      </c>
      <c r="AA580" s="30">
        <v>-99410.750000000015</v>
      </c>
      <c r="AB580" s="30">
        <v>0</v>
      </c>
      <c r="AC580" s="30" t="s">
        <v>458</v>
      </c>
      <c r="AD580" s="30"/>
      <c r="AE580" s="30">
        <v>0</v>
      </c>
    </row>
    <row r="581" spans="1:31" x14ac:dyDescent="0.25">
      <c r="A581">
        <v>12295</v>
      </c>
      <c r="B581" t="s">
        <v>189</v>
      </c>
      <c r="C581" t="s">
        <v>190</v>
      </c>
      <c r="D581" s="33">
        <v>126845</v>
      </c>
      <c r="E581">
        <v>1246102685</v>
      </c>
      <c r="F581" s="222">
        <v>45560</v>
      </c>
      <c r="G581" s="222"/>
      <c r="H581" t="s">
        <v>156</v>
      </c>
      <c r="I581" t="s">
        <v>157</v>
      </c>
      <c r="J581">
        <v>1060</v>
      </c>
      <c r="K581" s="222">
        <v>45175</v>
      </c>
      <c r="L581">
        <v>1010100</v>
      </c>
      <c r="M581" t="s">
        <v>29</v>
      </c>
      <c r="N581">
        <v>613</v>
      </c>
      <c r="O581" s="30">
        <v>0</v>
      </c>
      <c r="P581" s="30">
        <v>0</v>
      </c>
      <c r="Q581" s="30">
        <v>0</v>
      </c>
      <c r="R581" s="30">
        <v>0</v>
      </c>
      <c r="S581" s="30">
        <v>0</v>
      </c>
      <c r="T581" s="30">
        <v>0</v>
      </c>
      <c r="U581" s="30">
        <v>126845</v>
      </c>
      <c r="V581" s="30">
        <v>0</v>
      </c>
      <c r="W581" s="30">
        <v>3805.35</v>
      </c>
      <c r="X581" s="30">
        <v>123039.65</v>
      </c>
      <c r="Y581" s="30">
        <v>123039.65</v>
      </c>
      <c r="Z581" s="30">
        <v>126845</v>
      </c>
      <c r="AA581" s="30">
        <v>-126845</v>
      </c>
      <c r="AB581" s="30">
        <v>0</v>
      </c>
      <c r="AC581" s="30" t="s">
        <v>458</v>
      </c>
      <c r="AD581" s="30"/>
      <c r="AE581" s="30">
        <v>0</v>
      </c>
    </row>
    <row r="582" spans="1:31" x14ac:dyDescent="0.25">
      <c r="A582">
        <v>13193</v>
      </c>
      <c r="B582" t="s">
        <v>192</v>
      </c>
      <c r="C582" t="s">
        <v>193</v>
      </c>
      <c r="D582" s="33">
        <v>39218.19</v>
      </c>
      <c r="E582">
        <v>1246129675</v>
      </c>
      <c r="F582" s="222">
        <v>45598</v>
      </c>
      <c r="G582" s="222"/>
      <c r="H582" t="s">
        <v>156</v>
      </c>
      <c r="I582" t="s">
        <v>157</v>
      </c>
      <c r="J582">
        <v>2817</v>
      </c>
      <c r="K582" s="222">
        <v>45338</v>
      </c>
      <c r="L582">
        <v>1010100</v>
      </c>
      <c r="M582" t="s">
        <v>29</v>
      </c>
      <c r="N582">
        <v>575</v>
      </c>
      <c r="O582" s="30">
        <v>0</v>
      </c>
      <c r="P582" s="30">
        <v>39218.19</v>
      </c>
      <c r="Q582" s="30">
        <v>0</v>
      </c>
      <c r="R582" s="30">
        <v>0</v>
      </c>
      <c r="S582" s="30">
        <v>0</v>
      </c>
      <c r="T582" s="30">
        <v>0</v>
      </c>
      <c r="U582" s="30">
        <v>39218.19</v>
      </c>
      <c r="V582" s="30">
        <v>0</v>
      </c>
      <c r="W582" s="30">
        <v>1176.5457000000001</v>
      </c>
      <c r="X582" s="30">
        <v>38041.6443</v>
      </c>
      <c r="Y582" s="30">
        <v>38041.6443</v>
      </c>
      <c r="Z582" s="30">
        <v>39218.19</v>
      </c>
      <c r="AA582" s="30">
        <v>0</v>
      </c>
      <c r="AB582" s="30">
        <v>39218.19</v>
      </c>
      <c r="AC582" s="30" t="s">
        <v>458</v>
      </c>
      <c r="AD582" s="30"/>
      <c r="AE582" s="30">
        <v>39218.19</v>
      </c>
    </row>
    <row r="583" spans="1:31" x14ac:dyDescent="0.25">
      <c r="A583">
        <v>13193</v>
      </c>
      <c r="B583" t="s">
        <v>192</v>
      </c>
      <c r="C583" t="s">
        <v>193</v>
      </c>
      <c r="D583" s="33">
        <v>96537.1</v>
      </c>
      <c r="E583">
        <v>1246128994</v>
      </c>
      <c r="F583" s="222">
        <v>45599</v>
      </c>
      <c r="G583" s="222"/>
      <c r="H583" t="s">
        <v>156</v>
      </c>
      <c r="I583" t="s">
        <v>157</v>
      </c>
      <c r="J583">
        <v>2765</v>
      </c>
      <c r="K583" s="222">
        <v>45331</v>
      </c>
      <c r="L583">
        <v>1010100</v>
      </c>
      <c r="M583" t="s">
        <v>29</v>
      </c>
      <c r="N583">
        <v>574</v>
      </c>
      <c r="O583" s="30">
        <v>0</v>
      </c>
      <c r="P583" s="30">
        <v>96537.1</v>
      </c>
      <c r="Q583" s="30">
        <v>0</v>
      </c>
      <c r="R583" s="30">
        <v>0</v>
      </c>
      <c r="S583" s="30">
        <v>0</v>
      </c>
      <c r="T583" s="30">
        <v>0</v>
      </c>
      <c r="U583" s="30">
        <v>96537.1</v>
      </c>
      <c r="V583" s="30">
        <v>0</v>
      </c>
      <c r="W583" s="30">
        <v>2896.1130000000003</v>
      </c>
      <c r="X583" s="30">
        <v>93640.987000000008</v>
      </c>
      <c r="Y583" s="30">
        <v>93640.987000000008</v>
      </c>
      <c r="Z583" s="30">
        <v>96537.1</v>
      </c>
      <c r="AA583" s="30">
        <v>0</v>
      </c>
      <c r="AB583" s="30">
        <v>96537.1</v>
      </c>
      <c r="AC583" s="30" t="s">
        <v>458</v>
      </c>
      <c r="AD583" s="30"/>
      <c r="AE583" s="30">
        <v>96537.1</v>
      </c>
    </row>
    <row r="584" spans="1:31" x14ac:dyDescent="0.25">
      <c r="A584">
        <v>13193</v>
      </c>
      <c r="B584" t="s">
        <v>192</v>
      </c>
      <c r="C584" t="s">
        <v>193</v>
      </c>
      <c r="D584" s="33">
        <v>14369.79</v>
      </c>
      <c r="E584">
        <v>1246129687</v>
      </c>
      <c r="F584" s="222">
        <v>45594</v>
      </c>
      <c r="G584" s="222"/>
      <c r="H584" t="s">
        <v>156</v>
      </c>
      <c r="I584" t="s">
        <v>157</v>
      </c>
      <c r="J584">
        <v>2824</v>
      </c>
      <c r="K584" s="222">
        <v>45338</v>
      </c>
      <c r="L584">
        <v>1010100</v>
      </c>
      <c r="M584" t="s">
        <v>29</v>
      </c>
      <c r="N584">
        <v>579</v>
      </c>
      <c r="O584" s="30">
        <v>0</v>
      </c>
      <c r="P584" s="30">
        <v>14369.789999999999</v>
      </c>
      <c r="Q584" s="30">
        <v>0</v>
      </c>
      <c r="R584" s="30">
        <v>0</v>
      </c>
      <c r="S584" s="30">
        <v>0</v>
      </c>
      <c r="T584" s="30">
        <v>0</v>
      </c>
      <c r="U584" s="30">
        <v>14369.79</v>
      </c>
      <c r="V584" s="30">
        <v>0</v>
      </c>
      <c r="W584" s="30">
        <v>431.09370000000001</v>
      </c>
      <c r="X584" s="30">
        <v>13938.6963</v>
      </c>
      <c r="Y584" s="30">
        <v>13938.6963</v>
      </c>
      <c r="Z584" s="30">
        <v>14369.79</v>
      </c>
      <c r="AA584" s="30">
        <v>0</v>
      </c>
      <c r="AB584" s="30">
        <v>14369.789999999999</v>
      </c>
      <c r="AC584" s="30" t="s">
        <v>458</v>
      </c>
      <c r="AD584" s="30"/>
      <c r="AE584" s="30">
        <v>14369.789999999999</v>
      </c>
    </row>
    <row r="585" spans="1:31" x14ac:dyDescent="0.25">
      <c r="A585">
        <v>13193</v>
      </c>
      <c r="B585" t="s">
        <v>192</v>
      </c>
      <c r="C585" t="s">
        <v>193</v>
      </c>
      <c r="D585" s="33">
        <v>102482.69</v>
      </c>
      <c r="E585">
        <v>1246129689</v>
      </c>
      <c r="F585" s="222">
        <v>45594</v>
      </c>
      <c r="G585" s="222"/>
      <c r="H585" t="s">
        <v>156</v>
      </c>
      <c r="I585" t="s">
        <v>157</v>
      </c>
      <c r="J585">
        <v>2825</v>
      </c>
      <c r="K585" s="222">
        <v>45338</v>
      </c>
      <c r="L585">
        <v>1010100</v>
      </c>
      <c r="M585" t="s">
        <v>29</v>
      </c>
      <c r="N585">
        <v>579</v>
      </c>
      <c r="O585" s="30">
        <v>0</v>
      </c>
      <c r="P585" s="30">
        <v>102482.69</v>
      </c>
      <c r="Q585" s="30">
        <v>0</v>
      </c>
      <c r="R585" s="30">
        <v>0</v>
      </c>
      <c r="S585" s="30">
        <v>0</v>
      </c>
      <c r="T585" s="30">
        <v>0</v>
      </c>
      <c r="U585" s="30">
        <v>102482.69</v>
      </c>
      <c r="V585" s="30">
        <v>0</v>
      </c>
      <c r="W585" s="30">
        <v>3074.4807000000001</v>
      </c>
      <c r="X585" s="30">
        <v>99408.209300000002</v>
      </c>
      <c r="Y585" s="30">
        <v>99408.209300000002</v>
      </c>
      <c r="Z585" s="30">
        <v>102482.69</v>
      </c>
      <c r="AA585" s="30">
        <v>0</v>
      </c>
      <c r="AB585" s="30">
        <v>102482.69</v>
      </c>
      <c r="AC585" s="30" t="s">
        <v>458</v>
      </c>
      <c r="AD585" s="30"/>
      <c r="AE585" s="30">
        <v>102482.69</v>
      </c>
    </row>
    <row r="586" spans="1:31" x14ac:dyDescent="0.25">
      <c r="A586">
        <v>13193</v>
      </c>
      <c r="B586" t="s">
        <v>192</v>
      </c>
      <c r="C586" t="s">
        <v>193</v>
      </c>
      <c r="D586" s="33">
        <v>96537.1</v>
      </c>
      <c r="E586">
        <v>1246128030</v>
      </c>
      <c r="F586" s="222">
        <v>45604</v>
      </c>
      <c r="G586" s="222"/>
      <c r="H586" t="s">
        <v>156</v>
      </c>
      <c r="I586" t="s">
        <v>157</v>
      </c>
      <c r="J586">
        <v>2691</v>
      </c>
      <c r="K586" s="222">
        <v>45324</v>
      </c>
      <c r="L586">
        <v>1010100</v>
      </c>
      <c r="M586" t="s">
        <v>29</v>
      </c>
      <c r="N586">
        <v>569</v>
      </c>
      <c r="O586" s="30">
        <v>0</v>
      </c>
      <c r="P586" s="30">
        <v>96537.1</v>
      </c>
      <c r="Q586" s="30">
        <v>0</v>
      </c>
      <c r="R586" s="30">
        <v>0</v>
      </c>
      <c r="S586" s="30">
        <v>0</v>
      </c>
      <c r="T586" s="30">
        <v>0</v>
      </c>
      <c r="U586" s="30">
        <v>96537.1</v>
      </c>
      <c r="V586" s="30">
        <v>0</v>
      </c>
      <c r="W586" s="30">
        <v>2896.1130000000003</v>
      </c>
      <c r="X586" s="30">
        <v>93640.987000000008</v>
      </c>
      <c r="Y586" s="30">
        <v>93640.987000000008</v>
      </c>
      <c r="Z586" s="30">
        <v>96537.1</v>
      </c>
      <c r="AA586" s="30">
        <v>0</v>
      </c>
      <c r="AB586" s="30">
        <v>96537.1</v>
      </c>
      <c r="AC586" s="30" t="s">
        <v>458</v>
      </c>
      <c r="AD586" s="30"/>
      <c r="AE586" s="30">
        <v>96537.1</v>
      </c>
    </row>
    <row r="587" spans="1:31" x14ac:dyDescent="0.25">
      <c r="A587">
        <v>13193</v>
      </c>
      <c r="B587" t="s">
        <v>192</v>
      </c>
      <c r="C587" t="s">
        <v>193</v>
      </c>
      <c r="D587" s="33">
        <v>96537.1</v>
      </c>
      <c r="E587">
        <v>1246129535</v>
      </c>
      <c r="F587" s="222">
        <v>45597</v>
      </c>
      <c r="G587" s="222"/>
      <c r="H587" t="s">
        <v>156</v>
      </c>
      <c r="I587" t="s">
        <v>157</v>
      </c>
      <c r="J587">
        <v>2797</v>
      </c>
      <c r="K587" s="222">
        <v>45337</v>
      </c>
      <c r="L587">
        <v>1010100</v>
      </c>
      <c r="M587" t="s">
        <v>29</v>
      </c>
      <c r="N587">
        <v>576</v>
      </c>
      <c r="O587" s="30">
        <v>0</v>
      </c>
      <c r="P587" s="30">
        <v>96537.1</v>
      </c>
      <c r="Q587" s="30">
        <v>0</v>
      </c>
      <c r="R587" s="30">
        <v>0</v>
      </c>
      <c r="S587" s="30">
        <v>0</v>
      </c>
      <c r="T587" s="30">
        <v>0</v>
      </c>
      <c r="U587" s="30">
        <v>96537.1</v>
      </c>
      <c r="V587" s="30">
        <v>0</v>
      </c>
      <c r="W587" s="30">
        <v>2896.1130000000003</v>
      </c>
      <c r="X587" s="30">
        <v>93640.987000000008</v>
      </c>
      <c r="Y587" s="30">
        <v>93640.987000000008</v>
      </c>
      <c r="Z587" s="30">
        <v>96537.1</v>
      </c>
      <c r="AA587" s="30">
        <v>0</v>
      </c>
      <c r="AB587" s="30">
        <v>96537.1</v>
      </c>
      <c r="AC587" s="30" t="s">
        <v>458</v>
      </c>
      <c r="AD587" s="30"/>
      <c r="AE587" s="30">
        <v>96537.1</v>
      </c>
    </row>
    <row r="588" spans="1:31" x14ac:dyDescent="0.25">
      <c r="A588">
        <v>13193</v>
      </c>
      <c r="B588" t="s">
        <v>192</v>
      </c>
      <c r="C588" t="s">
        <v>193</v>
      </c>
      <c r="D588" s="33">
        <v>12586.97</v>
      </c>
      <c r="E588">
        <v>1246129615</v>
      </c>
      <c r="F588" s="222">
        <v>45594</v>
      </c>
      <c r="G588" s="222"/>
      <c r="H588" t="s">
        <v>156</v>
      </c>
      <c r="I588" t="s">
        <v>157</v>
      </c>
      <c r="J588">
        <v>2804</v>
      </c>
      <c r="K588" s="222">
        <v>45338</v>
      </c>
      <c r="L588">
        <v>1010100</v>
      </c>
      <c r="M588" t="s">
        <v>29</v>
      </c>
      <c r="N588">
        <v>579</v>
      </c>
      <c r="O588" s="30">
        <v>0</v>
      </c>
      <c r="P588" s="30">
        <v>12586.97</v>
      </c>
      <c r="Q588" s="30">
        <v>0</v>
      </c>
      <c r="R588" s="30">
        <v>0</v>
      </c>
      <c r="S588" s="30">
        <v>0</v>
      </c>
      <c r="T588" s="30">
        <v>0</v>
      </c>
      <c r="U588" s="30">
        <v>12586.97</v>
      </c>
      <c r="V588" s="30">
        <v>0</v>
      </c>
      <c r="W588" s="30">
        <v>377.60909999999996</v>
      </c>
      <c r="X588" s="30">
        <v>12209.3609</v>
      </c>
      <c r="Y588" s="30">
        <v>12209.3609</v>
      </c>
      <c r="Z588" s="30">
        <v>12586.97</v>
      </c>
      <c r="AA588" s="30">
        <v>0</v>
      </c>
      <c r="AB588" s="30">
        <v>12586.97</v>
      </c>
      <c r="AC588" s="30" t="s">
        <v>458</v>
      </c>
      <c r="AD588" s="30"/>
      <c r="AE588" s="30">
        <v>12586.97</v>
      </c>
    </row>
    <row r="589" spans="1:31" x14ac:dyDescent="0.25">
      <c r="A589">
        <v>13193</v>
      </c>
      <c r="B589" t="s">
        <v>192</v>
      </c>
      <c r="C589" t="s">
        <v>193</v>
      </c>
      <c r="D589" s="33">
        <v>96537.1</v>
      </c>
      <c r="E589">
        <v>1246129423</v>
      </c>
      <c r="F589" s="222">
        <v>45597</v>
      </c>
      <c r="G589" s="222"/>
      <c r="H589" t="s">
        <v>156</v>
      </c>
      <c r="I589" t="s">
        <v>157</v>
      </c>
      <c r="J589">
        <v>2793</v>
      </c>
      <c r="K589" s="222">
        <v>45337</v>
      </c>
      <c r="L589">
        <v>1010100</v>
      </c>
      <c r="M589" t="s">
        <v>29</v>
      </c>
      <c r="N589">
        <v>576</v>
      </c>
      <c r="O589" s="30">
        <v>0</v>
      </c>
      <c r="P589" s="30">
        <v>96537.1</v>
      </c>
      <c r="Q589" s="30">
        <v>0</v>
      </c>
      <c r="R589" s="30">
        <v>0</v>
      </c>
      <c r="S589" s="30">
        <v>0</v>
      </c>
      <c r="T589" s="30">
        <v>0</v>
      </c>
      <c r="U589" s="30">
        <v>96537.1</v>
      </c>
      <c r="V589" s="30">
        <v>0</v>
      </c>
      <c r="W589" s="30">
        <v>2896.1130000000003</v>
      </c>
      <c r="X589" s="30">
        <v>93640.987000000008</v>
      </c>
      <c r="Y589" s="30">
        <v>93640.987000000008</v>
      </c>
      <c r="Z589" s="30">
        <v>96537.1</v>
      </c>
      <c r="AA589" s="30">
        <v>0</v>
      </c>
      <c r="AB589" s="30">
        <v>96537.1</v>
      </c>
      <c r="AC589" s="30" t="s">
        <v>458</v>
      </c>
      <c r="AD589" s="30"/>
      <c r="AE589" s="30">
        <v>96537.1</v>
      </c>
    </row>
    <row r="590" spans="1:31" x14ac:dyDescent="0.25">
      <c r="A590">
        <v>13193</v>
      </c>
      <c r="B590" t="s">
        <v>192</v>
      </c>
      <c r="C590" t="s">
        <v>193</v>
      </c>
      <c r="D590" s="33">
        <v>96537.1</v>
      </c>
      <c r="E590">
        <v>1246129513</v>
      </c>
      <c r="F590" s="222">
        <v>45605</v>
      </c>
      <c r="G590" s="222"/>
      <c r="H590" t="s">
        <v>156</v>
      </c>
      <c r="I590" t="s">
        <v>157</v>
      </c>
      <c r="J590">
        <v>2795</v>
      </c>
      <c r="K590" s="222">
        <v>45337</v>
      </c>
      <c r="L590">
        <v>1010100</v>
      </c>
      <c r="M590" t="s">
        <v>29</v>
      </c>
      <c r="N590">
        <v>568</v>
      </c>
      <c r="O590" s="30">
        <v>0</v>
      </c>
      <c r="P590" s="30">
        <v>96537.1</v>
      </c>
      <c r="Q590" s="30">
        <v>0</v>
      </c>
      <c r="R590" s="30">
        <v>0</v>
      </c>
      <c r="S590" s="30">
        <v>0</v>
      </c>
      <c r="T590" s="30">
        <v>0</v>
      </c>
      <c r="U590" s="30">
        <v>96537.1</v>
      </c>
      <c r="V590" s="30">
        <v>0</v>
      </c>
      <c r="W590" s="30">
        <v>2896.1130000000003</v>
      </c>
      <c r="X590" s="30">
        <v>93640.987000000008</v>
      </c>
      <c r="Y590" s="30">
        <v>93640.987000000008</v>
      </c>
      <c r="Z590" s="30">
        <v>96537.1</v>
      </c>
      <c r="AA590" s="30">
        <v>0</v>
      </c>
      <c r="AB590" s="30">
        <v>96537.1</v>
      </c>
      <c r="AC590" s="30" t="s">
        <v>458</v>
      </c>
      <c r="AD590" s="30"/>
      <c r="AE590" s="30">
        <v>96537.1</v>
      </c>
    </row>
    <row r="591" spans="1:31" x14ac:dyDescent="0.25">
      <c r="A591">
        <v>13193</v>
      </c>
      <c r="B591" t="s">
        <v>192</v>
      </c>
      <c r="C591" t="s">
        <v>193</v>
      </c>
      <c r="D591" s="33">
        <v>100695.77</v>
      </c>
      <c r="E591">
        <v>1246129348</v>
      </c>
      <c r="F591" s="222">
        <v>45592</v>
      </c>
      <c r="G591" s="222"/>
      <c r="H591" t="s">
        <v>156</v>
      </c>
      <c r="I591" t="s">
        <v>157</v>
      </c>
      <c r="J591">
        <v>2788</v>
      </c>
      <c r="K591" s="222">
        <v>45336</v>
      </c>
      <c r="L591">
        <v>1010100</v>
      </c>
      <c r="M591" t="s">
        <v>29</v>
      </c>
      <c r="N591">
        <v>581</v>
      </c>
      <c r="O591" s="30">
        <v>0</v>
      </c>
      <c r="P591" s="30">
        <v>100695.77</v>
      </c>
      <c r="Q591" s="30">
        <v>0</v>
      </c>
      <c r="R591" s="30">
        <v>0</v>
      </c>
      <c r="S591" s="30">
        <v>0</v>
      </c>
      <c r="T591" s="30">
        <v>0</v>
      </c>
      <c r="U591" s="30">
        <v>100695.77</v>
      </c>
      <c r="V591" s="30">
        <v>0</v>
      </c>
      <c r="W591" s="30">
        <v>3020.8730999999998</v>
      </c>
      <c r="X591" s="30">
        <v>97674.896900000007</v>
      </c>
      <c r="Y591" s="30">
        <v>97674.896900000007</v>
      </c>
      <c r="Z591" s="30">
        <v>100695.77</v>
      </c>
      <c r="AA591" s="30">
        <v>0</v>
      </c>
      <c r="AB591" s="30">
        <v>100695.77</v>
      </c>
      <c r="AC591" s="30" t="s">
        <v>458</v>
      </c>
      <c r="AD591" s="30"/>
      <c r="AE591" s="30">
        <v>100695.77</v>
      </c>
    </row>
    <row r="592" spans="1:31" x14ac:dyDescent="0.25">
      <c r="A592">
        <v>13193</v>
      </c>
      <c r="B592" t="s">
        <v>192</v>
      </c>
      <c r="C592" t="s">
        <v>193</v>
      </c>
      <c r="D592" s="33">
        <v>96537.12</v>
      </c>
      <c r="E592">
        <v>1246129613</v>
      </c>
      <c r="F592" s="222">
        <v>45598</v>
      </c>
      <c r="G592" s="222"/>
      <c r="H592" t="s">
        <v>156</v>
      </c>
      <c r="I592" t="s">
        <v>157</v>
      </c>
      <c r="J592">
        <v>2803</v>
      </c>
      <c r="K592" s="222">
        <v>45338</v>
      </c>
      <c r="L592">
        <v>1010100</v>
      </c>
      <c r="M592" t="s">
        <v>29</v>
      </c>
      <c r="N592">
        <v>575</v>
      </c>
      <c r="O592" s="30">
        <v>0</v>
      </c>
      <c r="P592" s="30">
        <v>96537.12</v>
      </c>
      <c r="Q592" s="30">
        <v>0</v>
      </c>
      <c r="R592" s="30">
        <v>0</v>
      </c>
      <c r="S592" s="30">
        <v>0</v>
      </c>
      <c r="T592" s="30">
        <v>0</v>
      </c>
      <c r="U592" s="30">
        <v>96537.12</v>
      </c>
      <c r="V592" s="30">
        <v>0</v>
      </c>
      <c r="W592" s="30">
        <v>2896.1135999999997</v>
      </c>
      <c r="X592" s="30">
        <v>93641.006399999998</v>
      </c>
      <c r="Y592" s="30">
        <v>93641.006399999998</v>
      </c>
      <c r="Z592" s="30">
        <v>96537.12</v>
      </c>
      <c r="AA592" s="30">
        <v>0</v>
      </c>
      <c r="AB592" s="30">
        <v>96537.12</v>
      </c>
      <c r="AC592" s="30" t="s">
        <v>458</v>
      </c>
      <c r="AD592" s="30"/>
      <c r="AE592" s="30">
        <v>96537.12</v>
      </c>
    </row>
    <row r="593" spans="1:31" x14ac:dyDescent="0.25">
      <c r="A593">
        <v>13193</v>
      </c>
      <c r="B593" t="s">
        <v>192</v>
      </c>
      <c r="C593" t="s">
        <v>193</v>
      </c>
      <c r="D593" s="33">
        <v>114958.38999999998</v>
      </c>
      <c r="E593">
        <v>1246126152</v>
      </c>
      <c r="F593" s="222">
        <v>45594</v>
      </c>
      <c r="G593" s="222"/>
      <c r="H593" t="s">
        <v>156</v>
      </c>
      <c r="I593" t="s">
        <v>157</v>
      </c>
      <c r="J593">
        <v>2568</v>
      </c>
      <c r="K593" s="222">
        <v>45314</v>
      </c>
      <c r="L593">
        <v>1010100</v>
      </c>
      <c r="M593" t="s">
        <v>29</v>
      </c>
      <c r="N593">
        <v>579</v>
      </c>
      <c r="O593" s="30">
        <v>0</v>
      </c>
      <c r="P593" s="30">
        <v>114958.38999999997</v>
      </c>
      <c r="Q593" s="30">
        <v>0</v>
      </c>
      <c r="R593" s="30">
        <v>0</v>
      </c>
      <c r="S593" s="30">
        <v>0</v>
      </c>
      <c r="T593" s="30">
        <v>0</v>
      </c>
      <c r="U593" s="30">
        <v>114958.38999999998</v>
      </c>
      <c r="V593" s="30">
        <v>0</v>
      </c>
      <c r="W593" s="30">
        <v>3448.7516999999993</v>
      </c>
      <c r="X593" s="30">
        <v>111509.63829999998</v>
      </c>
      <c r="Y593" s="30">
        <v>111509.63829999998</v>
      </c>
      <c r="Z593" s="30">
        <v>114958.38999999998</v>
      </c>
      <c r="AA593" s="30">
        <v>0</v>
      </c>
      <c r="AB593" s="30">
        <v>114958.38999999997</v>
      </c>
      <c r="AC593" s="30" t="s">
        <v>458</v>
      </c>
      <c r="AD593" s="30"/>
      <c r="AE593" s="30">
        <v>114958.38999999997</v>
      </c>
    </row>
    <row r="594" spans="1:31" x14ac:dyDescent="0.25">
      <c r="A594">
        <v>13193</v>
      </c>
      <c r="B594" t="s">
        <v>192</v>
      </c>
      <c r="C594" t="s">
        <v>193</v>
      </c>
      <c r="D594" s="33">
        <v>111898.75000000001</v>
      </c>
      <c r="E594">
        <v>1246126325</v>
      </c>
      <c r="F594" s="222">
        <v>45595</v>
      </c>
      <c r="G594" s="222"/>
      <c r="H594" t="s">
        <v>156</v>
      </c>
      <c r="I594" t="s">
        <v>157</v>
      </c>
      <c r="J594">
        <v>2581</v>
      </c>
      <c r="K594" s="222">
        <v>45315</v>
      </c>
      <c r="L594">
        <v>1010100</v>
      </c>
      <c r="M594" t="s">
        <v>29</v>
      </c>
      <c r="N594">
        <v>578</v>
      </c>
      <c r="O594" s="30">
        <v>0</v>
      </c>
      <c r="P594" s="30">
        <v>111898.75</v>
      </c>
      <c r="Q594" s="30">
        <v>0</v>
      </c>
      <c r="R594" s="30">
        <v>0</v>
      </c>
      <c r="S594" s="30">
        <v>0</v>
      </c>
      <c r="T594" s="30">
        <v>0</v>
      </c>
      <c r="U594" s="30">
        <v>111898.75000000001</v>
      </c>
      <c r="V594" s="30">
        <v>0</v>
      </c>
      <c r="W594" s="30">
        <v>3356.9625000000001</v>
      </c>
      <c r="X594" s="30">
        <v>108541.78750000001</v>
      </c>
      <c r="Y594" s="30">
        <v>108541.78750000001</v>
      </c>
      <c r="Z594" s="30">
        <v>111898.75000000001</v>
      </c>
      <c r="AA594" s="30">
        <v>0</v>
      </c>
      <c r="AB594" s="30">
        <v>111898.75</v>
      </c>
      <c r="AC594" s="30" t="s">
        <v>458</v>
      </c>
      <c r="AD594" s="30"/>
      <c r="AE594" s="30">
        <v>111898.75</v>
      </c>
    </row>
    <row r="595" spans="1:31" x14ac:dyDescent="0.25">
      <c r="A595">
        <v>13193</v>
      </c>
      <c r="B595" t="s">
        <v>192</v>
      </c>
      <c r="C595" t="s">
        <v>193</v>
      </c>
      <c r="D595" s="33">
        <v>108604.24</v>
      </c>
      <c r="E595">
        <v>1246126878</v>
      </c>
      <c r="F595" s="222">
        <v>45597</v>
      </c>
      <c r="G595" s="222"/>
      <c r="H595" t="s">
        <v>156</v>
      </c>
      <c r="I595" t="s">
        <v>157</v>
      </c>
      <c r="J595">
        <v>2614</v>
      </c>
      <c r="K595" s="222">
        <v>45317</v>
      </c>
      <c r="L595">
        <v>1010100</v>
      </c>
      <c r="M595" t="s">
        <v>29</v>
      </c>
      <c r="N595">
        <v>576</v>
      </c>
      <c r="O595" s="30">
        <v>0</v>
      </c>
      <c r="P595" s="30">
        <v>108604.24</v>
      </c>
      <c r="Q595" s="30">
        <v>0</v>
      </c>
      <c r="R595" s="30">
        <v>0</v>
      </c>
      <c r="S595" s="30">
        <v>0</v>
      </c>
      <c r="T595" s="30">
        <v>0</v>
      </c>
      <c r="U595" s="30">
        <v>108604.24</v>
      </c>
      <c r="V595" s="30">
        <v>0</v>
      </c>
      <c r="W595" s="30">
        <v>3258.1271999999999</v>
      </c>
      <c r="X595" s="30">
        <v>105346.1128</v>
      </c>
      <c r="Y595" s="30">
        <v>105346.1128</v>
      </c>
      <c r="Z595" s="30">
        <v>108604.24</v>
      </c>
      <c r="AA595" s="30">
        <v>0</v>
      </c>
      <c r="AB595" s="30">
        <v>108604.24</v>
      </c>
      <c r="AC595" s="30" t="s">
        <v>458</v>
      </c>
      <c r="AD595" s="30"/>
      <c r="AE595" s="30">
        <v>108604.24</v>
      </c>
    </row>
    <row r="596" spans="1:31" x14ac:dyDescent="0.25">
      <c r="A596">
        <v>13193</v>
      </c>
      <c r="B596" t="s">
        <v>192</v>
      </c>
      <c r="C596" t="s">
        <v>193</v>
      </c>
      <c r="D596" s="33">
        <v>110524.44</v>
      </c>
      <c r="E596">
        <v>1246126771</v>
      </c>
      <c r="F596" s="222">
        <v>45597</v>
      </c>
      <c r="G596" s="222"/>
      <c r="H596" t="s">
        <v>156</v>
      </c>
      <c r="I596" t="s">
        <v>157</v>
      </c>
      <c r="J596">
        <v>2605</v>
      </c>
      <c r="K596" s="222">
        <v>45317</v>
      </c>
      <c r="L596">
        <v>1010100</v>
      </c>
      <c r="M596" t="s">
        <v>29</v>
      </c>
      <c r="N596">
        <v>576</v>
      </c>
      <c r="O596" s="30">
        <v>0</v>
      </c>
      <c r="P596" s="30">
        <v>110524.44</v>
      </c>
      <c r="Q596" s="30">
        <v>0</v>
      </c>
      <c r="R596" s="30">
        <v>0</v>
      </c>
      <c r="S596" s="30">
        <v>0</v>
      </c>
      <c r="T596" s="30">
        <v>0</v>
      </c>
      <c r="U596" s="30">
        <v>110524.44</v>
      </c>
      <c r="V596" s="30">
        <v>0</v>
      </c>
      <c r="W596" s="30">
        <v>3315.7332000000001</v>
      </c>
      <c r="X596" s="30">
        <v>107208.7068</v>
      </c>
      <c r="Y596" s="30">
        <v>107208.7068</v>
      </c>
      <c r="Z596" s="30">
        <v>110524.44</v>
      </c>
      <c r="AA596" s="30">
        <v>0</v>
      </c>
      <c r="AB596" s="30">
        <v>110524.44</v>
      </c>
      <c r="AC596" s="30" t="s">
        <v>458</v>
      </c>
      <c r="AD596" s="30"/>
      <c r="AE596" s="30">
        <v>110524.44</v>
      </c>
    </row>
    <row r="597" spans="1:31" x14ac:dyDescent="0.25">
      <c r="A597">
        <v>13193</v>
      </c>
      <c r="B597" t="s">
        <v>192</v>
      </c>
      <c r="C597" t="s">
        <v>193</v>
      </c>
      <c r="D597" s="33">
        <v>81453.179999999993</v>
      </c>
      <c r="E597">
        <v>1246126682</v>
      </c>
      <c r="F597" s="222">
        <v>45596</v>
      </c>
      <c r="G597" s="222"/>
      <c r="H597" t="s">
        <v>156</v>
      </c>
      <c r="I597" t="s">
        <v>157</v>
      </c>
      <c r="J597">
        <v>2598</v>
      </c>
      <c r="K597" s="222">
        <v>45316</v>
      </c>
      <c r="L597">
        <v>1010100</v>
      </c>
      <c r="M597" t="s">
        <v>29</v>
      </c>
      <c r="N597">
        <v>577</v>
      </c>
      <c r="O597" s="30">
        <v>0</v>
      </c>
      <c r="P597" s="30">
        <v>81453.179999999993</v>
      </c>
      <c r="Q597" s="30">
        <v>0</v>
      </c>
      <c r="R597" s="30">
        <v>0</v>
      </c>
      <c r="S597" s="30">
        <v>0</v>
      </c>
      <c r="T597" s="30">
        <v>0</v>
      </c>
      <c r="U597" s="30">
        <v>81453.179999999993</v>
      </c>
      <c r="V597" s="30">
        <v>0</v>
      </c>
      <c r="W597" s="30">
        <v>2443.5953999999997</v>
      </c>
      <c r="X597" s="30">
        <v>79009.584599999987</v>
      </c>
      <c r="Y597" s="30">
        <v>79009.584599999987</v>
      </c>
      <c r="Z597" s="30">
        <v>81453.179999999993</v>
      </c>
      <c r="AA597" s="30">
        <v>0</v>
      </c>
      <c r="AB597" s="30">
        <v>81453.179999999993</v>
      </c>
      <c r="AC597" s="30" t="s">
        <v>458</v>
      </c>
      <c r="AD597" s="30"/>
      <c r="AE597" s="30">
        <v>81453.179999999993</v>
      </c>
    </row>
    <row r="598" spans="1:31" x14ac:dyDescent="0.25">
      <c r="A598">
        <v>13193</v>
      </c>
      <c r="B598" t="s">
        <v>192</v>
      </c>
      <c r="C598" t="s">
        <v>193</v>
      </c>
      <c r="D598" s="33">
        <v>97994.5</v>
      </c>
      <c r="E598">
        <v>1246124699</v>
      </c>
      <c r="F598" s="222">
        <v>45593</v>
      </c>
      <c r="G598" s="222"/>
      <c r="H598" t="s">
        <v>156</v>
      </c>
      <c r="I598" t="s">
        <v>157</v>
      </c>
      <c r="J598">
        <v>2485</v>
      </c>
      <c r="K598" s="222">
        <v>45303</v>
      </c>
      <c r="L598">
        <v>1010100</v>
      </c>
      <c r="M598" t="s">
        <v>29</v>
      </c>
      <c r="N598">
        <v>580</v>
      </c>
      <c r="O598" s="30">
        <v>0</v>
      </c>
      <c r="P598" s="30">
        <v>97994.5</v>
      </c>
      <c r="Q598" s="30">
        <v>0</v>
      </c>
      <c r="R598" s="30">
        <v>0</v>
      </c>
      <c r="S598" s="30">
        <v>0</v>
      </c>
      <c r="T598" s="30">
        <v>0</v>
      </c>
      <c r="U598" s="30">
        <v>97994.5</v>
      </c>
      <c r="V598" s="30">
        <v>0</v>
      </c>
      <c r="W598" s="30">
        <v>2939.835</v>
      </c>
      <c r="X598" s="30">
        <v>95054.664999999994</v>
      </c>
      <c r="Y598" s="30">
        <v>95054.664999999994</v>
      </c>
      <c r="Z598" s="30">
        <v>97994.5</v>
      </c>
      <c r="AA598" s="30">
        <v>0</v>
      </c>
      <c r="AB598" s="30">
        <v>97994.5</v>
      </c>
      <c r="AC598" s="30" t="s">
        <v>458</v>
      </c>
      <c r="AD598" s="30"/>
      <c r="AE598" s="30">
        <v>97994.5</v>
      </c>
    </row>
    <row r="599" spans="1:31" x14ac:dyDescent="0.25">
      <c r="A599">
        <v>13193</v>
      </c>
      <c r="B599" t="s">
        <v>192</v>
      </c>
      <c r="C599" t="s">
        <v>193</v>
      </c>
      <c r="D599" s="33">
        <v>102482.69</v>
      </c>
      <c r="E599">
        <v>1246129677</v>
      </c>
      <c r="F599" s="222">
        <v>45594</v>
      </c>
      <c r="G599" s="222"/>
      <c r="H599" t="s">
        <v>156</v>
      </c>
      <c r="I599" t="s">
        <v>157</v>
      </c>
      <c r="J599">
        <v>2818</v>
      </c>
      <c r="K599" s="222">
        <v>45338</v>
      </c>
      <c r="L599">
        <v>1010100</v>
      </c>
      <c r="M599" t="s">
        <v>29</v>
      </c>
      <c r="N599">
        <v>579</v>
      </c>
      <c r="O599" s="30">
        <v>0</v>
      </c>
      <c r="P599" s="30">
        <v>102482.69</v>
      </c>
      <c r="Q599" s="30">
        <v>0</v>
      </c>
      <c r="R599" s="30">
        <v>0</v>
      </c>
      <c r="S599" s="30">
        <v>0</v>
      </c>
      <c r="T599" s="30">
        <v>0</v>
      </c>
      <c r="U599" s="30">
        <v>102482.69</v>
      </c>
      <c r="V599" s="30">
        <v>0</v>
      </c>
      <c r="W599" s="30">
        <v>3074.4807000000001</v>
      </c>
      <c r="X599" s="30">
        <v>99408.209300000002</v>
      </c>
      <c r="Y599" s="30">
        <v>99408.209300000002</v>
      </c>
      <c r="Z599" s="30">
        <v>102482.69</v>
      </c>
      <c r="AA599" s="30">
        <v>0</v>
      </c>
      <c r="AB599" s="30">
        <v>102482.69</v>
      </c>
      <c r="AC599" s="30" t="s">
        <v>458</v>
      </c>
      <c r="AD599" s="30"/>
      <c r="AE599" s="30">
        <v>102482.69</v>
      </c>
    </row>
    <row r="600" spans="1:31" x14ac:dyDescent="0.25">
      <c r="A600">
        <v>13193</v>
      </c>
      <c r="B600" t="s">
        <v>192</v>
      </c>
      <c r="C600" t="s">
        <v>193</v>
      </c>
      <c r="D600" s="33">
        <v>140175.09</v>
      </c>
      <c r="E600">
        <v>1246130332</v>
      </c>
      <c r="F600" s="222">
        <v>45599</v>
      </c>
      <c r="H600" t="s">
        <v>156</v>
      </c>
      <c r="I600" t="s">
        <v>157</v>
      </c>
      <c r="J600">
        <v>2873</v>
      </c>
      <c r="K600" s="222">
        <v>45343</v>
      </c>
      <c r="L600">
        <v>1010100</v>
      </c>
      <c r="M600" t="s">
        <v>29</v>
      </c>
      <c r="N600">
        <v>574</v>
      </c>
      <c r="O600" s="30">
        <v>0</v>
      </c>
      <c r="P600" s="30">
        <v>140175.09</v>
      </c>
      <c r="Q600" s="30">
        <v>0</v>
      </c>
      <c r="R600" s="30">
        <v>0</v>
      </c>
      <c r="S600" s="30">
        <v>0</v>
      </c>
      <c r="T600" s="30">
        <v>0</v>
      </c>
      <c r="U600" s="30">
        <v>140175.09</v>
      </c>
      <c r="V600" s="30">
        <v>1</v>
      </c>
      <c r="W600" s="30">
        <v>4205.2527</v>
      </c>
      <c r="X600" s="30">
        <v>135969.83729999998</v>
      </c>
      <c r="Y600" s="30">
        <v>135969.83729999998</v>
      </c>
      <c r="Z600" s="30">
        <v>140175.09</v>
      </c>
      <c r="AA600" s="30">
        <v>0</v>
      </c>
      <c r="AB600" s="30">
        <v>140175.09</v>
      </c>
      <c r="AC600" s="30" t="s">
        <v>458</v>
      </c>
      <c r="AD600" s="30"/>
      <c r="AE600" s="30">
        <v>140175.09</v>
      </c>
    </row>
    <row r="601" spans="1:31" x14ac:dyDescent="0.25">
      <c r="A601">
        <v>13193</v>
      </c>
      <c r="B601" t="s">
        <v>192</v>
      </c>
      <c r="C601" t="s">
        <v>193</v>
      </c>
      <c r="D601" s="33">
        <v>112140.07</v>
      </c>
      <c r="E601">
        <v>1246130309</v>
      </c>
      <c r="F601" s="222">
        <v>45599</v>
      </c>
      <c r="H601" t="s">
        <v>156</v>
      </c>
      <c r="I601" t="s">
        <v>157</v>
      </c>
      <c r="J601">
        <v>2867</v>
      </c>
      <c r="K601" s="222">
        <v>45343</v>
      </c>
      <c r="L601">
        <v>1010100</v>
      </c>
      <c r="M601" t="s">
        <v>29</v>
      </c>
      <c r="N601">
        <v>574</v>
      </c>
      <c r="O601" s="30">
        <v>0</v>
      </c>
      <c r="P601" s="30">
        <v>112140.06999999999</v>
      </c>
      <c r="Q601" s="30">
        <v>0</v>
      </c>
      <c r="R601" s="30">
        <v>0</v>
      </c>
      <c r="S601" s="30">
        <v>0</v>
      </c>
      <c r="T601" s="30">
        <v>0</v>
      </c>
      <c r="U601" s="30">
        <v>112140.07</v>
      </c>
      <c r="V601" s="30">
        <v>2</v>
      </c>
      <c r="W601" s="30">
        <v>3364.2021</v>
      </c>
      <c r="X601" s="30">
        <v>108775.8679</v>
      </c>
      <c r="Y601" s="30">
        <v>108775.8679</v>
      </c>
      <c r="Z601" s="30">
        <v>112140.07</v>
      </c>
      <c r="AA601" s="30">
        <v>0</v>
      </c>
      <c r="AB601" s="30">
        <v>112140.06999999999</v>
      </c>
      <c r="AC601" s="30" t="s">
        <v>458</v>
      </c>
      <c r="AD601" s="30"/>
      <c r="AE601" s="30">
        <v>112140.06999999999</v>
      </c>
    </row>
    <row r="602" spans="1:31" x14ac:dyDescent="0.25">
      <c r="A602">
        <v>13193</v>
      </c>
      <c r="B602" t="s">
        <v>192</v>
      </c>
      <c r="C602" t="s">
        <v>193</v>
      </c>
      <c r="D602" s="33">
        <v>105131.31</v>
      </c>
      <c r="E602">
        <v>1246132575</v>
      </c>
      <c r="F602" s="222">
        <v>45597</v>
      </c>
      <c r="H602" t="s">
        <v>156</v>
      </c>
      <c r="I602" t="s">
        <v>157</v>
      </c>
      <c r="J602">
        <v>2994</v>
      </c>
      <c r="K602" s="222">
        <v>45357</v>
      </c>
      <c r="L602">
        <v>1010100</v>
      </c>
      <c r="M602" t="s">
        <v>29</v>
      </c>
      <c r="N602">
        <v>576</v>
      </c>
      <c r="O602" s="30">
        <v>0</v>
      </c>
      <c r="P602" s="30">
        <v>105131.31</v>
      </c>
      <c r="Q602" s="30">
        <v>0</v>
      </c>
      <c r="R602" s="30">
        <v>0</v>
      </c>
      <c r="S602" s="30">
        <v>0</v>
      </c>
      <c r="T602" s="30">
        <v>0</v>
      </c>
      <c r="U602" s="30">
        <v>105131.31</v>
      </c>
      <c r="V602" s="30">
        <v>3</v>
      </c>
      <c r="W602" s="30">
        <v>3153.9393</v>
      </c>
      <c r="X602" s="30">
        <v>101977.3707</v>
      </c>
      <c r="Y602" s="30">
        <v>101977.3707</v>
      </c>
      <c r="Z602" s="30">
        <v>105131.31</v>
      </c>
      <c r="AA602" s="30">
        <v>0</v>
      </c>
      <c r="AB602" s="30">
        <v>105131.31</v>
      </c>
      <c r="AC602" s="30" t="s">
        <v>458</v>
      </c>
      <c r="AD602" s="30"/>
      <c r="AE602" s="30">
        <v>105131.31</v>
      </c>
    </row>
    <row r="603" spans="1:31" x14ac:dyDescent="0.25">
      <c r="A603">
        <v>13193</v>
      </c>
      <c r="B603" t="s">
        <v>192</v>
      </c>
      <c r="C603" t="s">
        <v>193</v>
      </c>
      <c r="D603" s="33">
        <v>97257.29</v>
      </c>
      <c r="E603">
        <v>1246139180</v>
      </c>
      <c r="F603" s="222">
        <v>45573</v>
      </c>
      <c r="H603" t="s">
        <v>156</v>
      </c>
      <c r="I603" t="s">
        <v>157</v>
      </c>
      <c r="J603">
        <v>3265</v>
      </c>
      <c r="K603" s="222">
        <v>45393</v>
      </c>
      <c r="L603">
        <v>1010100</v>
      </c>
      <c r="M603" t="s">
        <v>29</v>
      </c>
      <c r="N603">
        <v>600</v>
      </c>
      <c r="O603" s="30">
        <v>0</v>
      </c>
      <c r="P603" s="30">
        <v>97257.29</v>
      </c>
      <c r="Q603" s="30">
        <v>0</v>
      </c>
      <c r="R603" s="30">
        <v>0</v>
      </c>
      <c r="S603" s="30">
        <v>0</v>
      </c>
      <c r="T603" s="30">
        <v>0</v>
      </c>
      <c r="U603" s="30">
        <v>97257.29</v>
      </c>
      <c r="V603" s="30">
        <v>4</v>
      </c>
      <c r="W603" s="30">
        <v>2917.7186999999999</v>
      </c>
      <c r="X603" s="30">
        <v>94339.571299999996</v>
      </c>
      <c r="Y603" s="30">
        <v>94339.571299999996</v>
      </c>
      <c r="Z603" s="30">
        <v>97257.29</v>
      </c>
      <c r="AA603" s="30">
        <v>0</v>
      </c>
      <c r="AB603" s="30">
        <v>97257.29</v>
      </c>
      <c r="AC603" s="30" t="s">
        <v>458</v>
      </c>
      <c r="AD603" s="30"/>
      <c r="AE603" s="30">
        <v>97257.29</v>
      </c>
    </row>
    <row r="604" spans="1:31" x14ac:dyDescent="0.25">
      <c r="A604">
        <v>13193</v>
      </c>
      <c r="B604" t="s">
        <v>192</v>
      </c>
      <c r="C604" t="s">
        <v>193</v>
      </c>
      <c r="D604" s="33">
        <v>104293.46</v>
      </c>
      <c r="E604">
        <v>1246135519</v>
      </c>
      <c r="F604" s="222">
        <v>45600</v>
      </c>
      <c r="H604" t="s">
        <v>156</v>
      </c>
      <c r="I604" t="s">
        <v>157</v>
      </c>
      <c r="J604">
        <v>3146</v>
      </c>
      <c r="K604" s="222">
        <v>45373</v>
      </c>
      <c r="L604">
        <v>1010100</v>
      </c>
      <c r="M604" t="s">
        <v>29</v>
      </c>
      <c r="N604">
        <v>573</v>
      </c>
      <c r="O604" s="30">
        <v>0</v>
      </c>
      <c r="P604" s="30">
        <v>104293.45999999999</v>
      </c>
      <c r="Q604" s="30">
        <v>0</v>
      </c>
      <c r="R604" s="30">
        <v>0</v>
      </c>
      <c r="S604" s="30">
        <v>0</v>
      </c>
      <c r="T604" s="30">
        <v>0</v>
      </c>
      <c r="U604" s="30">
        <v>104293.46</v>
      </c>
      <c r="V604" s="30">
        <v>5</v>
      </c>
      <c r="W604" s="30">
        <v>3128.8038000000001</v>
      </c>
      <c r="X604" s="30">
        <v>101164.6562</v>
      </c>
      <c r="Y604" s="30">
        <v>101164.6562</v>
      </c>
      <c r="Z604" s="30">
        <v>104293.46</v>
      </c>
      <c r="AA604" s="30">
        <v>0</v>
      </c>
      <c r="AB604" s="30">
        <v>104293.45999999999</v>
      </c>
      <c r="AC604" s="30" t="s">
        <v>458</v>
      </c>
      <c r="AD604" s="30"/>
      <c r="AE604" s="30">
        <v>104293.45999999999</v>
      </c>
    </row>
    <row r="605" spans="1:31" x14ac:dyDescent="0.25">
      <c r="A605">
        <v>13193</v>
      </c>
      <c r="B605" t="s">
        <v>192</v>
      </c>
      <c r="C605" t="s">
        <v>193</v>
      </c>
      <c r="D605" s="33">
        <v>120980.73</v>
      </c>
      <c r="E605">
        <v>1246138904</v>
      </c>
      <c r="F605" s="222">
        <v>45572</v>
      </c>
      <c r="H605" t="s">
        <v>156</v>
      </c>
      <c r="I605" t="s">
        <v>157</v>
      </c>
      <c r="J605">
        <v>3260</v>
      </c>
      <c r="K605" s="222">
        <v>45392</v>
      </c>
      <c r="L605">
        <v>1010100</v>
      </c>
      <c r="M605" t="s">
        <v>29</v>
      </c>
      <c r="N605">
        <v>601</v>
      </c>
      <c r="O605" s="30">
        <v>0</v>
      </c>
      <c r="P605" s="30">
        <v>120980.73</v>
      </c>
      <c r="Q605" s="30">
        <v>0</v>
      </c>
      <c r="R605" s="30">
        <v>0</v>
      </c>
      <c r="S605" s="30">
        <v>0</v>
      </c>
      <c r="T605" s="30">
        <v>0</v>
      </c>
      <c r="U605" s="30">
        <v>120980.73</v>
      </c>
      <c r="V605" s="30">
        <v>6</v>
      </c>
      <c r="W605" s="30">
        <v>3629.4218999999998</v>
      </c>
      <c r="X605" s="30">
        <v>117351.30809999999</v>
      </c>
      <c r="Y605" s="30">
        <v>117351.30809999999</v>
      </c>
      <c r="Z605" s="30">
        <v>120980.73</v>
      </c>
      <c r="AA605" s="30">
        <v>0</v>
      </c>
      <c r="AB605" s="30">
        <v>120980.73</v>
      </c>
      <c r="AC605" s="30" t="s">
        <v>458</v>
      </c>
      <c r="AD605" s="30"/>
      <c r="AE605" s="30">
        <v>120980.73</v>
      </c>
    </row>
    <row r="606" spans="1:31" x14ac:dyDescent="0.25">
      <c r="A606">
        <v>13193</v>
      </c>
      <c r="B606" t="s">
        <v>192</v>
      </c>
      <c r="C606" t="s">
        <v>193</v>
      </c>
      <c r="D606" s="33">
        <v>142145.26999999999</v>
      </c>
      <c r="E606">
        <v>1246138695</v>
      </c>
      <c r="F606" s="222">
        <v>45571</v>
      </c>
      <c r="H606" t="s">
        <v>156</v>
      </c>
      <c r="I606" t="s">
        <v>157</v>
      </c>
      <c r="J606">
        <v>3255</v>
      </c>
      <c r="K606" s="222">
        <v>45391</v>
      </c>
      <c r="L606">
        <v>1010100</v>
      </c>
      <c r="M606" t="s">
        <v>29</v>
      </c>
      <c r="N606">
        <v>602</v>
      </c>
      <c r="O606" s="30">
        <v>0</v>
      </c>
      <c r="P606" s="30">
        <v>142145.26999999999</v>
      </c>
      <c r="Q606" s="30">
        <v>0</v>
      </c>
      <c r="R606" s="30">
        <v>0</v>
      </c>
      <c r="S606" s="30">
        <v>0</v>
      </c>
      <c r="T606" s="30">
        <v>0</v>
      </c>
      <c r="U606" s="30">
        <v>142145.26999999999</v>
      </c>
      <c r="V606" s="30">
        <v>7</v>
      </c>
      <c r="W606" s="30">
        <v>4264.3580999999995</v>
      </c>
      <c r="X606" s="30">
        <v>137880.91189999998</v>
      </c>
      <c r="Y606" s="30">
        <v>137880.91189999998</v>
      </c>
      <c r="Z606" s="30">
        <v>142145.26999999999</v>
      </c>
      <c r="AA606" s="30">
        <v>0</v>
      </c>
      <c r="AB606" s="30">
        <v>142145.26999999999</v>
      </c>
      <c r="AC606" s="30" t="s">
        <v>458</v>
      </c>
      <c r="AD606" s="30"/>
      <c r="AE606" s="30">
        <v>142145.26999999999</v>
      </c>
    </row>
    <row r="607" spans="1:31" x14ac:dyDescent="0.25">
      <c r="A607">
        <v>13193</v>
      </c>
      <c r="B607" t="s">
        <v>192</v>
      </c>
      <c r="C607" t="s">
        <v>193</v>
      </c>
      <c r="D607" s="33">
        <v>30167.84</v>
      </c>
      <c r="E607">
        <v>1246134824</v>
      </c>
      <c r="F607" s="222">
        <v>45597</v>
      </c>
      <c r="H607" t="s">
        <v>156</v>
      </c>
      <c r="I607" t="s">
        <v>157</v>
      </c>
      <c r="J607">
        <v>3122</v>
      </c>
      <c r="K607" s="222">
        <v>45370</v>
      </c>
      <c r="L607">
        <v>1010100</v>
      </c>
      <c r="M607" t="s">
        <v>29</v>
      </c>
      <c r="N607">
        <v>576</v>
      </c>
      <c r="O607" s="30">
        <v>0</v>
      </c>
      <c r="P607" s="30">
        <v>30167.839999999997</v>
      </c>
      <c r="Q607" s="30">
        <v>0</v>
      </c>
      <c r="R607" s="30">
        <v>0</v>
      </c>
      <c r="S607" s="30">
        <v>0</v>
      </c>
      <c r="T607" s="30">
        <v>0</v>
      </c>
      <c r="U607" s="30">
        <v>30167.84</v>
      </c>
      <c r="V607" s="30">
        <v>8</v>
      </c>
      <c r="W607" s="30">
        <v>905.03519999999992</v>
      </c>
      <c r="X607" s="30">
        <v>29262.804799999998</v>
      </c>
      <c r="Y607" s="30">
        <v>29262.804799999998</v>
      </c>
      <c r="Z607" s="30">
        <v>30167.84</v>
      </c>
      <c r="AA607" s="30">
        <v>0</v>
      </c>
      <c r="AB607" s="30">
        <v>30167.839999999997</v>
      </c>
      <c r="AC607" s="30" t="s">
        <v>458</v>
      </c>
      <c r="AD607" s="30"/>
      <c r="AE607" s="30">
        <v>30167.839999999997</v>
      </c>
    </row>
    <row r="608" spans="1:31" x14ac:dyDescent="0.25">
      <c r="A608">
        <v>13193</v>
      </c>
      <c r="B608" t="s">
        <v>192</v>
      </c>
      <c r="C608" t="s">
        <v>193</v>
      </c>
      <c r="D608" s="33">
        <v>96077.53</v>
      </c>
      <c r="E608">
        <v>1246134935</v>
      </c>
      <c r="F608" s="222">
        <v>45598</v>
      </c>
      <c r="H608" t="s">
        <v>156</v>
      </c>
      <c r="I608" t="s">
        <v>157</v>
      </c>
      <c r="J608">
        <v>3128</v>
      </c>
      <c r="K608" s="222">
        <v>45371</v>
      </c>
      <c r="L608">
        <v>1010100</v>
      </c>
      <c r="M608" t="s">
        <v>29</v>
      </c>
      <c r="N608">
        <v>575</v>
      </c>
      <c r="O608" s="30">
        <v>0</v>
      </c>
      <c r="P608" s="30">
        <v>96077.53</v>
      </c>
      <c r="Q608" s="30">
        <v>0</v>
      </c>
      <c r="R608" s="30">
        <v>0</v>
      </c>
      <c r="S608" s="30">
        <v>0</v>
      </c>
      <c r="T608" s="30">
        <v>0</v>
      </c>
      <c r="U608" s="30">
        <v>96077.53</v>
      </c>
      <c r="V608" s="30">
        <v>9</v>
      </c>
      <c r="W608" s="30">
        <v>2882.3258999999998</v>
      </c>
      <c r="X608" s="30">
        <v>93195.204100000003</v>
      </c>
      <c r="Y608" s="30">
        <v>93195.204100000003</v>
      </c>
      <c r="Z608" s="30">
        <v>96077.53</v>
      </c>
      <c r="AA608" s="30">
        <v>0</v>
      </c>
      <c r="AB608" s="30">
        <v>96077.53</v>
      </c>
      <c r="AC608" s="30" t="s">
        <v>458</v>
      </c>
      <c r="AD608" s="30"/>
      <c r="AE608" s="30">
        <v>96077.53</v>
      </c>
    </row>
    <row r="609" spans="1:31" x14ac:dyDescent="0.25">
      <c r="A609">
        <v>13193</v>
      </c>
      <c r="B609" t="s">
        <v>192</v>
      </c>
      <c r="C609" t="s">
        <v>193</v>
      </c>
      <c r="D609" s="33">
        <v>90503.54</v>
      </c>
      <c r="E609">
        <v>1246134807</v>
      </c>
      <c r="F609" s="222">
        <v>45597</v>
      </c>
      <c r="H609" t="s">
        <v>156</v>
      </c>
      <c r="I609" t="s">
        <v>157</v>
      </c>
      <c r="J609">
        <v>3119</v>
      </c>
      <c r="K609" s="222">
        <v>45370</v>
      </c>
      <c r="L609">
        <v>1010100</v>
      </c>
      <c r="M609" t="s">
        <v>29</v>
      </c>
      <c r="N609">
        <v>576</v>
      </c>
      <c r="O609" s="30">
        <v>0</v>
      </c>
      <c r="P609" s="30">
        <v>90503.539999999979</v>
      </c>
      <c r="Q609" s="30">
        <v>0</v>
      </c>
      <c r="R609" s="30">
        <v>0</v>
      </c>
      <c r="S609" s="30">
        <v>0</v>
      </c>
      <c r="T609" s="30">
        <v>0</v>
      </c>
      <c r="U609" s="30">
        <v>90503.54</v>
      </c>
      <c r="V609" s="30">
        <v>10</v>
      </c>
      <c r="W609" s="30">
        <v>2715.1061999999997</v>
      </c>
      <c r="X609" s="30">
        <v>87788.433799999984</v>
      </c>
      <c r="Y609" s="30">
        <v>87788.433799999984</v>
      </c>
      <c r="Z609" s="30">
        <v>90503.54</v>
      </c>
      <c r="AA609" s="30">
        <v>0</v>
      </c>
      <c r="AB609" s="30">
        <v>90503.539999999979</v>
      </c>
      <c r="AC609" s="30" t="s">
        <v>458</v>
      </c>
      <c r="AD609" s="30"/>
      <c r="AE609" s="30">
        <v>90503.539999999979</v>
      </c>
    </row>
    <row r="610" spans="1:31" x14ac:dyDescent="0.25">
      <c r="A610">
        <v>13193</v>
      </c>
      <c r="B610" t="s">
        <v>192</v>
      </c>
      <c r="C610" t="s">
        <v>193</v>
      </c>
      <c r="D610" s="33">
        <v>90503.54</v>
      </c>
      <c r="E610">
        <v>1246134540</v>
      </c>
      <c r="F610" s="222">
        <v>45596</v>
      </c>
      <c r="H610" t="s">
        <v>156</v>
      </c>
      <c r="I610" t="s">
        <v>157</v>
      </c>
      <c r="J610">
        <v>3110</v>
      </c>
      <c r="K610" s="222">
        <v>45369</v>
      </c>
      <c r="L610">
        <v>1010100</v>
      </c>
      <c r="M610" t="s">
        <v>29</v>
      </c>
      <c r="N610">
        <v>577</v>
      </c>
      <c r="O610" s="30">
        <v>0</v>
      </c>
      <c r="P610" s="30">
        <v>90503.539999999979</v>
      </c>
      <c r="Q610" s="30">
        <v>0</v>
      </c>
      <c r="R610" s="30">
        <v>0</v>
      </c>
      <c r="S610" s="30">
        <v>0</v>
      </c>
      <c r="T610" s="30">
        <v>0</v>
      </c>
      <c r="U610" s="30">
        <v>90503.54</v>
      </c>
      <c r="V610" s="30">
        <v>11</v>
      </c>
      <c r="W610" s="30">
        <v>2715.1061999999997</v>
      </c>
      <c r="X610" s="30">
        <v>87788.433799999984</v>
      </c>
      <c r="Y610" s="30">
        <v>87788.433799999984</v>
      </c>
      <c r="Z610" s="30">
        <v>90503.54</v>
      </c>
      <c r="AA610" s="30">
        <v>0</v>
      </c>
      <c r="AB610" s="30">
        <v>90503.539999999979</v>
      </c>
      <c r="AC610" s="30" t="s">
        <v>458</v>
      </c>
      <c r="AD610" s="30"/>
      <c r="AE610" s="30">
        <v>90503.539999999979</v>
      </c>
    </row>
    <row r="611" spans="1:31" x14ac:dyDescent="0.25">
      <c r="A611">
        <v>13193</v>
      </c>
      <c r="B611" t="s">
        <v>192</v>
      </c>
      <c r="C611" t="s">
        <v>193</v>
      </c>
      <c r="D611" s="33">
        <v>82776.289999999994</v>
      </c>
      <c r="E611">
        <v>1246139327</v>
      </c>
      <c r="F611" s="222">
        <v>45573</v>
      </c>
      <c r="H611" t="s">
        <v>156</v>
      </c>
      <c r="I611" t="s">
        <v>157</v>
      </c>
      <c r="J611">
        <v>3272</v>
      </c>
      <c r="K611" s="222">
        <v>45393</v>
      </c>
      <c r="L611">
        <v>1010100</v>
      </c>
      <c r="M611" t="s">
        <v>29</v>
      </c>
      <c r="N611">
        <v>600</v>
      </c>
      <c r="O611" s="30">
        <v>0</v>
      </c>
      <c r="P611" s="30">
        <v>82776.289999999994</v>
      </c>
      <c r="Q611" s="30">
        <v>0</v>
      </c>
      <c r="R611" s="30">
        <v>0</v>
      </c>
      <c r="S611" s="30">
        <v>0</v>
      </c>
      <c r="T611" s="30">
        <v>0</v>
      </c>
      <c r="U611" s="30">
        <v>82776.289999999994</v>
      </c>
      <c r="V611" s="30">
        <v>12</v>
      </c>
      <c r="W611" s="30">
        <v>2483.2886999999996</v>
      </c>
      <c r="X611" s="30">
        <v>80293.001299999989</v>
      </c>
      <c r="Y611" s="30">
        <v>80293.001299999989</v>
      </c>
      <c r="Z611" s="30">
        <v>82776.289999999994</v>
      </c>
      <c r="AA611" s="30">
        <v>0</v>
      </c>
      <c r="AB611" s="30">
        <v>82776.289999999994</v>
      </c>
      <c r="AC611" s="30" t="s">
        <v>458</v>
      </c>
      <c r="AD611" s="30"/>
      <c r="AE611" s="30">
        <v>82776.289999999994</v>
      </c>
    </row>
    <row r="612" spans="1:31" x14ac:dyDescent="0.25">
      <c r="A612">
        <v>13193</v>
      </c>
      <c r="B612" t="s">
        <v>192</v>
      </c>
      <c r="C612" t="s">
        <v>193</v>
      </c>
      <c r="D612" s="33">
        <v>64051.68</v>
      </c>
      <c r="E612">
        <v>1246134828</v>
      </c>
      <c r="F612" s="222">
        <v>45597</v>
      </c>
      <c r="H612" t="s">
        <v>156</v>
      </c>
      <c r="I612" t="s">
        <v>157</v>
      </c>
      <c r="J612">
        <v>3123</v>
      </c>
      <c r="K612" s="222">
        <v>45370</v>
      </c>
      <c r="L612">
        <v>1010100</v>
      </c>
      <c r="M612" t="s">
        <v>29</v>
      </c>
      <c r="N612">
        <v>576</v>
      </c>
      <c r="O612" s="30">
        <v>0</v>
      </c>
      <c r="P612" s="30">
        <v>64051.68</v>
      </c>
      <c r="Q612" s="30">
        <v>0</v>
      </c>
      <c r="R612" s="30">
        <v>0</v>
      </c>
      <c r="S612" s="30">
        <v>0</v>
      </c>
      <c r="T612" s="30">
        <v>0</v>
      </c>
      <c r="U612" s="30">
        <v>64051.68</v>
      </c>
      <c r="V612" s="30">
        <v>13</v>
      </c>
      <c r="W612" s="30">
        <v>1921.5503999999999</v>
      </c>
      <c r="X612" s="30">
        <v>62130.1296</v>
      </c>
      <c r="Y612" s="30">
        <v>62130.1296</v>
      </c>
      <c r="Z612" s="30">
        <v>64051.68</v>
      </c>
      <c r="AA612" s="30">
        <v>0</v>
      </c>
      <c r="AB612" s="30">
        <v>64051.68</v>
      </c>
      <c r="AC612" s="30" t="s">
        <v>458</v>
      </c>
      <c r="AD612" s="30"/>
      <c r="AE612" s="30">
        <v>64051.68</v>
      </c>
    </row>
    <row r="613" spans="1:31" x14ac:dyDescent="0.25">
      <c r="A613">
        <v>13193</v>
      </c>
      <c r="B613" t="s">
        <v>192</v>
      </c>
      <c r="C613" t="s">
        <v>193</v>
      </c>
      <c r="D613" s="33">
        <v>96077.53</v>
      </c>
      <c r="E613">
        <v>1246134926</v>
      </c>
      <c r="F613">
        <v>45598</v>
      </c>
      <c r="H613" t="s">
        <v>156</v>
      </c>
      <c r="I613" t="s">
        <v>157</v>
      </c>
      <c r="J613">
        <v>3126</v>
      </c>
      <c r="K613">
        <v>45371</v>
      </c>
      <c r="L613">
        <v>1010100</v>
      </c>
      <c r="M613" t="s">
        <v>29</v>
      </c>
      <c r="N613">
        <v>575</v>
      </c>
      <c r="O613" s="30">
        <v>0</v>
      </c>
      <c r="P613">
        <v>96077.53</v>
      </c>
      <c r="Q613">
        <v>0</v>
      </c>
      <c r="R613">
        <v>0</v>
      </c>
      <c r="S613">
        <v>0</v>
      </c>
      <c r="T613">
        <v>0</v>
      </c>
      <c r="U613">
        <v>96077.53</v>
      </c>
      <c r="V613">
        <v>14</v>
      </c>
      <c r="W613">
        <v>2882.3258999999998</v>
      </c>
      <c r="X613">
        <v>93195.204100000003</v>
      </c>
      <c r="Y613">
        <v>93195.204100000003</v>
      </c>
      <c r="Z613">
        <v>96077.53</v>
      </c>
      <c r="AA613" s="30">
        <v>0</v>
      </c>
      <c r="AB613" s="30">
        <v>96077.53</v>
      </c>
      <c r="AC613" t="s">
        <v>458</v>
      </c>
      <c r="AE613">
        <v>96077.53</v>
      </c>
    </row>
    <row r="614" spans="1:31" x14ac:dyDescent="0.25">
      <c r="A614">
        <v>13193</v>
      </c>
      <c r="B614" t="s">
        <v>192</v>
      </c>
      <c r="C614" t="s">
        <v>193</v>
      </c>
      <c r="D614" s="33">
        <v>96077.53</v>
      </c>
      <c r="E614">
        <v>1246135475</v>
      </c>
      <c r="F614">
        <v>45600</v>
      </c>
      <c r="H614" t="s">
        <v>156</v>
      </c>
      <c r="I614" t="s">
        <v>157</v>
      </c>
      <c r="J614">
        <v>3143</v>
      </c>
      <c r="K614">
        <v>45373</v>
      </c>
      <c r="L614">
        <v>1010100</v>
      </c>
      <c r="M614" t="s">
        <v>29</v>
      </c>
      <c r="N614">
        <v>573</v>
      </c>
      <c r="O614" s="30">
        <v>0</v>
      </c>
      <c r="P614">
        <v>96077.53</v>
      </c>
      <c r="Q614">
        <v>0</v>
      </c>
      <c r="R614">
        <v>0</v>
      </c>
      <c r="S614">
        <v>0</v>
      </c>
      <c r="T614">
        <v>0</v>
      </c>
      <c r="U614">
        <v>96077.53</v>
      </c>
      <c r="V614">
        <v>15</v>
      </c>
      <c r="W614">
        <v>2882.3258999999998</v>
      </c>
      <c r="X614">
        <v>93195.204100000003</v>
      </c>
      <c r="Y614">
        <v>93195.204100000003</v>
      </c>
      <c r="Z614">
        <v>96077.53</v>
      </c>
      <c r="AA614" s="30">
        <v>0</v>
      </c>
      <c r="AB614" s="30">
        <v>96077.53</v>
      </c>
      <c r="AC614" t="s">
        <v>458</v>
      </c>
      <c r="AE614">
        <v>96077.53</v>
      </c>
    </row>
    <row r="615" spans="1:31" x14ac:dyDescent="0.25">
      <c r="A615">
        <v>14094</v>
      </c>
      <c r="B615" t="s">
        <v>237</v>
      </c>
      <c r="C615" t="s">
        <v>238</v>
      </c>
      <c r="D615" s="33">
        <v>100</v>
      </c>
      <c r="E615">
        <v>1246154530</v>
      </c>
      <c r="F615">
        <v>45474</v>
      </c>
      <c r="I615" t="s">
        <v>326</v>
      </c>
      <c r="J615">
        <v>4088</v>
      </c>
      <c r="K615">
        <v>45474</v>
      </c>
      <c r="L615">
        <v>4010300</v>
      </c>
      <c r="M615" t="s">
        <v>128</v>
      </c>
      <c r="N615">
        <v>699</v>
      </c>
      <c r="O615" s="30">
        <v>0</v>
      </c>
      <c r="P615">
        <v>100</v>
      </c>
      <c r="Q615">
        <v>0</v>
      </c>
      <c r="R615">
        <v>0</v>
      </c>
      <c r="S615">
        <v>0</v>
      </c>
      <c r="T615">
        <v>0</v>
      </c>
      <c r="U615">
        <v>100</v>
      </c>
      <c r="V615">
        <v>16</v>
      </c>
      <c r="W615">
        <v>3</v>
      </c>
      <c r="X615">
        <v>97</v>
      </c>
      <c r="Y615">
        <v>97</v>
      </c>
      <c r="Z615">
        <v>100</v>
      </c>
      <c r="AA615" s="30">
        <v>0</v>
      </c>
      <c r="AB615" s="30">
        <v>100</v>
      </c>
      <c r="AC615" t="s">
        <v>599</v>
      </c>
      <c r="AE615">
        <v>100</v>
      </c>
    </row>
    <row r="616" spans="1:31" x14ac:dyDescent="0.25">
      <c r="A616">
        <v>13873</v>
      </c>
      <c r="B616" t="s">
        <v>278</v>
      </c>
      <c r="C616" t="s">
        <v>279</v>
      </c>
      <c r="D616" s="33">
        <v>50</v>
      </c>
      <c r="E616">
        <v>1246166396</v>
      </c>
      <c r="F616">
        <v>45525</v>
      </c>
      <c r="I616" t="s">
        <v>326</v>
      </c>
      <c r="J616">
        <v>4854</v>
      </c>
      <c r="K616">
        <v>45525</v>
      </c>
      <c r="L616">
        <v>4010300</v>
      </c>
      <c r="M616" t="s">
        <v>128</v>
      </c>
      <c r="N616">
        <v>648</v>
      </c>
      <c r="O616" s="30">
        <v>0</v>
      </c>
      <c r="P616">
        <v>50</v>
      </c>
      <c r="Q616">
        <v>0</v>
      </c>
      <c r="R616">
        <v>0</v>
      </c>
      <c r="S616">
        <v>0</v>
      </c>
      <c r="T616">
        <v>0</v>
      </c>
      <c r="U616">
        <v>50</v>
      </c>
      <c r="V616">
        <v>17</v>
      </c>
      <c r="W616">
        <v>1.5</v>
      </c>
      <c r="X616">
        <v>48.5</v>
      </c>
      <c r="Y616">
        <v>48.5</v>
      </c>
      <c r="Z616">
        <v>50</v>
      </c>
      <c r="AA616" s="30">
        <v>0</v>
      </c>
      <c r="AB616" s="30">
        <v>50</v>
      </c>
      <c r="AC616" t="s">
        <v>599</v>
      </c>
      <c r="AE616">
        <v>50</v>
      </c>
    </row>
    <row r="617" spans="1:31" x14ac:dyDescent="0.25">
      <c r="A617">
        <v>13836</v>
      </c>
      <c r="B617" t="s">
        <v>349</v>
      </c>
      <c r="C617" t="s">
        <v>802</v>
      </c>
      <c r="D617" s="33">
        <v>17125</v>
      </c>
      <c r="E617">
        <v>1246273811</v>
      </c>
      <c r="F617">
        <v>46178</v>
      </c>
      <c r="H617" t="s">
        <v>23</v>
      </c>
      <c r="I617" t="s">
        <v>24</v>
      </c>
      <c r="J617">
        <v>11313</v>
      </c>
      <c r="K617">
        <v>46148</v>
      </c>
      <c r="L617">
        <v>1010100</v>
      </c>
      <c r="M617" t="s">
        <v>29</v>
      </c>
      <c r="N617">
        <v>-5</v>
      </c>
      <c r="O617" s="30">
        <v>0</v>
      </c>
      <c r="P617">
        <v>0</v>
      </c>
      <c r="Q617">
        <v>17125</v>
      </c>
      <c r="R617">
        <v>0</v>
      </c>
      <c r="S617">
        <v>0</v>
      </c>
      <c r="T617">
        <v>0</v>
      </c>
      <c r="U617">
        <v>0</v>
      </c>
      <c r="V617">
        <v>18</v>
      </c>
      <c r="W617">
        <v>0</v>
      </c>
      <c r="X617">
        <v>0</v>
      </c>
      <c r="Y617">
        <v>0</v>
      </c>
      <c r="Z617">
        <v>0</v>
      </c>
      <c r="AA617" s="30">
        <v>0</v>
      </c>
      <c r="AB617" s="30">
        <v>0</v>
      </c>
      <c r="AC617" t="s">
        <v>407</v>
      </c>
      <c r="AE617">
        <v>0</v>
      </c>
    </row>
    <row r="618" spans="1:31" x14ac:dyDescent="0.25">
      <c r="A618">
        <v>13836</v>
      </c>
      <c r="B618" t="s">
        <v>349</v>
      </c>
      <c r="C618" t="s">
        <v>802</v>
      </c>
      <c r="D618" s="33">
        <v>17125</v>
      </c>
      <c r="E618">
        <v>1246273812</v>
      </c>
      <c r="F618">
        <v>46208</v>
      </c>
      <c r="H618" t="s">
        <v>23</v>
      </c>
      <c r="I618" t="s">
        <v>24</v>
      </c>
      <c r="J618">
        <v>11313</v>
      </c>
      <c r="K618">
        <v>46148</v>
      </c>
      <c r="L618">
        <v>1010100</v>
      </c>
      <c r="M618" t="s">
        <v>29</v>
      </c>
      <c r="N618">
        <v>-35</v>
      </c>
      <c r="O618" s="30">
        <v>0</v>
      </c>
      <c r="P618">
        <v>0</v>
      </c>
      <c r="Q618">
        <v>17125</v>
      </c>
      <c r="R618">
        <v>0</v>
      </c>
      <c r="S618">
        <v>0</v>
      </c>
      <c r="T618">
        <v>0</v>
      </c>
      <c r="U618">
        <v>0</v>
      </c>
      <c r="V618">
        <v>19</v>
      </c>
      <c r="W618">
        <v>0</v>
      </c>
      <c r="X618">
        <v>0</v>
      </c>
      <c r="Y618">
        <v>0</v>
      </c>
      <c r="Z618">
        <v>0</v>
      </c>
      <c r="AA618" s="30">
        <v>0</v>
      </c>
      <c r="AB618" s="30">
        <v>0</v>
      </c>
      <c r="AC618" t="s">
        <v>407</v>
      </c>
      <c r="AE618">
        <v>0</v>
      </c>
    </row>
    <row r="619" spans="1:31" x14ac:dyDescent="0.25">
      <c r="A619">
        <v>14106</v>
      </c>
      <c r="B619" t="s">
        <v>334</v>
      </c>
      <c r="C619" t="s">
        <v>335</v>
      </c>
      <c r="D619" s="33">
        <v>300</v>
      </c>
      <c r="E619">
        <v>1246182736</v>
      </c>
      <c r="F619">
        <v>45625</v>
      </c>
      <c r="I619" t="s">
        <v>326</v>
      </c>
      <c r="J619">
        <v>6092</v>
      </c>
      <c r="K619">
        <v>45610</v>
      </c>
      <c r="L619">
        <v>1020400</v>
      </c>
      <c r="M619" t="s">
        <v>130</v>
      </c>
      <c r="N619">
        <v>548</v>
      </c>
      <c r="O619" s="30">
        <v>0</v>
      </c>
      <c r="P619">
        <v>300</v>
      </c>
      <c r="Q619">
        <v>0</v>
      </c>
      <c r="R619">
        <v>0</v>
      </c>
      <c r="S619">
        <v>0</v>
      </c>
      <c r="T619">
        <v>0</v>
      </c>
      <c r="U619">
        <v>300</v>
      </c>
      <c r="V619">
        <v>20</v>
      </c>
      <c r="W619">
        <v>9</v>
      </c>
      <c r="X619">
        <v>291</v>
      </c>
      <c r="Y619">
        <v>291</v>
      </c>
      <c r="Z619">
        <v>300</v>
      </c>
      <c r="AA619" s="30">
        <v>0</v>
      </c>
      <c r="AB619" s="30">
        <v>300</v>
      </c>
      <c r="AC619" t="s">
        <v>457</v>
      </c>
      <c r="AE619">
        <v>300</v>
      </c>
    </row>
    <row r="620" spans="1:31" x14ac:dyDescent="0.25">
      <c r="A620">
        <v>14848</v>
      </c>
      <c r="B620" t="s">
        <v>330</v>
      </c>
      <c r="C620" t="s">
        <v>561</v>
      </c>
      <c r="D620" s="33">
        <v>207773.56999999998</v>
      </c>
      <c r="E620">
        <v>1246230064</v>
      </c>
      <c r="F620">
        <v>46162</v>
      </c>
      <c r="H620" t="s">
        <v>156</v>
      </c>
      <c r="I620" t="s">
        <v>157</v>
      </c>
      <c r="J620">
        <v>8811</v>
      </c>
      <c r="K620">
        <v>45877</v>
      </c>
      <c r="L620">
        <v>1010100</v>
      </c>
      <c r="M620" t="s">
        <v>29</v>
      </c>
      <c r="N620">
        <v>11</v>
      </c>
      <c r="O620" s="30">
        <v>0</v>
      </c>
      <c r="P620">
        <v>0</v>
      </c>
      <c r="Q620">
        <v>0</v>
      </c>
      <c r="R620">
        <v>207773.56999999998</v>
      </c>
      <c r="S620">
        <v>0</v>
      </c>
      <c r="T620">
        <v>0</v>
      </c>
      <c r="U620">
        <v>0</v>
      </c>
      <c r="V620">
        <v>21</v>
      </c>
      <c r="W620">
        <v>0</v>
      </c>
      <c r="X620">
        <v>0</v>
      </c>
      <c r="Y620">
        <v>0</v>
      </c>
      <c r="Z620">
        <v>0</v>
      </c>
      <c r="AA620" s="30">
        <v>0</v>
      </c>
      <c r="AB620" s="30">
        <v>0</v>
      </c>
      <c r="AC620" t="s">
        <v>407</v>
      </c>
      <c r="AE620">
        <v>0</v>
      </c>
    </row>
    <row r="621" spans="1:31" x14ac:dyDescent="0.25">
      <c r="A621">
        <v>14848</v>
      </c>
      <c r="B621" t="s">
        <v>330</v>
      </c>
      <c r="C621" t="s">
        <v>561</v>
      </c>
      <c r="D621" s="33">
        <v>121554.34</v>
      </c>
      <c r="E621">
        <v>1246230701</v>
      </c>
      <c r="F621">
        <v>46164</v>
      </c>
      <c r="H621" t="s">
        <v>156</v>
      </c>
      <c r="I621" t="s">
        <v>157</v>
      </c>
      <c r="J621">
        <v>8856</v>
      </c>
      <c r="K621">
        <v>45881</v>
      </c>
      <c r="L621">
        <v>1010100</v>
      </c>
      <c r="M621" t="s">
        <v>29</v>
      </c>
      <c r="N621">
        <v>9</v>
      </c>
      <c r="O621" s="30">
        <v>0</v>
      </c>
      <c r="P621">
        <v>0</v>
      </c>
      <c r="Q621">
        <v>0</v>
      </c>
      <c r="R621">
        <v>121554.34</v>
      </c>
      <c r="S621">
        <v>0</v>
      </c>
      <c r="T621">
        <v>0</v>
      </c>
      <c r="U621">
        <v>0</v>
      </c>
      <c r="V621">
        <v>22</v>
      </c>
      <c r="W621">
        <v>0</v>
      </c>
      <c r="X621">
        <v>0</v>
      </c>
      <c r="Y621">
        <v>0</v>
      </c>
      <c r="Z621">
        <v>0</v>
      </c>
      <c r="AA621" s="30">
        <v>0</v>
      </c>
      <c r="AB621" s="30">
        <v>0</v>
      </c>
      <c r="AC621" t="s">
        <v>407</v>
      </c>
      <c r="AE621">
        <v>0</v>
      </c>
    </row>
    <row r="622" spans="1:31" x14ac:dyDescent="0.25">
      <c r="A622">
        <v>14632</v>
      </c>
      <c r="B622" t="s">
        <v>399</v>
      </c>
      <c r="C622" t="s">
        <v>15466</v>
      </c>
      <c r="D622" s="33">
        <v>96686.49</v>
      </c>
      <c r="E622">
        <v>1246277240</v>
      </c>
      <c r="F622">
        <v>46220</v>
      </c>
      <c r="H622" t="s">
        <v>23</v>
      </c>
      <c r="I622" t="s">
        <v>24</v>
      </c>
      <c r="J622">
        <v>11532</v>
      </c>
      <c r="K622">
        <v>46170</v>
      </c>
      <c r="L622">
        <v>1010100</v>
      </c>
      <c r="M622" t="s">
        <v>29</v>
      </c>
      <c r="N622">
        <v>-47</v>
      </c>
      <c r="O622" s="30">
        <v>0</v>
      </c>
      <c r="P622">
        <v>0</v>
      </c>
      <c r="Q622">
        <v>96686.49</v>
      </c>
      <c r="R622">
        <v>0</v>
      </c>
      <c r="S622">
        <v>0</v>
      </c>
      <c r="T622">
        <v>0</v>
      </c>
      <c r="U622">
        <v>0</v>
      </c>
      <c r="V622">
        <v>23</v>
      </c>
      <c r="W622">
        <v>0</v>
      </c>
      <c r="X622">
        <v>0</v>
      </c>
      <c r="Y622">
        <v>0</v>
      </c>
      <c r="Z622">
        <v>0</v>
      </c>
      <c r="AA622" s="30">
        <v>0</v>
      </c>
      <c r="AB622" s="30">
        <v>0</v>
      </c>
      <c r="AC622" t="s">
        <v>407</v>
      </c>
      <c r="AE622">
        <v>0</v>
      </c>
    </row>
    <row r="623" spans="1:31" x14ac:dyDescent="0.25">
      <c r="A623">
        <v>14632</v>
      </c>
      <c r="B623" t="s">
        <v>399</v>
      </c>
      <c r="C623" t="s">
        <v>15466</v>
      </c>
      <c r="D623" s="33">
        <v>96686.49</v>
      </c>
      <c r="E623">
        <v>1246277241</v>
      </c>
      <c r="F623">
        <v>46240</v>
      </c>
      <c r="H623" t="s">
        <v>23</v>
      </c>
      <c r="I623" t="s">
        <v>24</v>
      </c>
      <c r="J623">
        <v>11532</v>
      </c>
      <c r="K623">
        <v>46170</v>
      </c>
      <c r="L623">
        <v>1010100</v>
      </c>
      <c r="M623" t="s">
        <v>29</v>
      </c>
      <c r="N623">
        <v>-67</v>
      </c>
      <c r="O623" s="30">
        <v>0</v>
      </c>
      <c r="P623">
        <v>0</v>
      </c>
      <c r="Q623">
        <v>96686.49</v>
      </c>
      <c r="R623">
        <v>0</v>
      </c>
      <c r="S623">
        <v>0</v>
      </c>
      <c r="T623">
        <v>0</v>
      </c>
      <c r="U623">
        <v>0</v>
      </c>
      <c r="V623">
        <v>24</v>
      </c>
      <c r="W623">
        <v>0</v>
      </c>
      <c r="X623">
        <v>0</v>
      </c>
      <c r="Y623">
        <v>0</v>
      </c>
      <c r="Z623">
        <v>0</v>
      </c>
      <c r="AA623" s="30">
        <v>0</v>
      </c>
      <c r="AB623" s="30">
        <v>0</v>
      </c>
      <c r="AC623" t="s">
        <v>407</v>
      </c>
      <c r="AE623">
        <v>0</v>
      </c>
    </row>
    <row r="624" spans="1:31" x14ac:dyDescent="0.25">
      <c r="A624">
        <v>14632</v>
      </c>
      <c r="B624" t="s">
        <v>399</v>
      </c>
      <c r="C624" t="s">
        <v>15466</v>
      </c>
      <c r="D624" s="33">
        <v>24596.45</v>
      </c>
      <c r="E624">
        <v>1246277244</v>
      </c>
      <c r="F624">
        <v>46220</v>
      </c>
      <c r="H624" t="s">
        <v>23</v>
      </c>
      <c r="I624" t="s">
        <v>24</v>
      </c>
      <c r="J624">
        <v>11533</v>
      </c>
      <c r="K624">
        <v>46170</v>
      </c>
      <c r="L624">
        <v>1010100</v>
      </c>
      <c r="M624" t="s">
        <v>29</v>
      </c>
      <c r="N624">
        <v>-47</v>
      </c>
      <c r="O624" s="30">
        <v>0</v>
      </c>
      <c r="P624">
        <v>0</v>
      </c>
      <c r="Q624">
        <v>24596.45</v>
      </c>
      <c r="R624">
        <v>0</v>
      </c>
      <c r="S624">
        <v>0</v>
      </c>
      <c r="T624">
        <v>0</v>
      </c>
      <c r="U624">
        <v>0</v>
      </c>
      <c r="V624">
        <v>25</v>
      </c>
      <c r="W624">
        <v>0</v>
      </c>
      <c r="X624">
        <v>0</v>
      </c>
      <c r="Y624">
        <v>0</v>
      </c>
      <c r="Z624">
        <v>0</v>
      </c>
      <c r="AA624" s="30">
        <v>0</v>
      </c>
      <c r="AB624" s="30">
        <v>0</v>
      </c>
      <c r="AC624" t="s">
        <v>407</v>
      </c>
      <c r="AE624">
        <v>0</v>
      </c>
    </row>
    <row r="625" spans="1:31" x14ac:dyDescent="0.25">
      <c r="A625">
        <v>14632</v>
      </c>
      <c r="B625" t="s">
        <v>399</v>
      </c>
      <c r="C625" t="s">
        <v>15466</v>
      </c>
      <c r="D625" s="33">
        <v>24596.45</v>
      </c>
      <c r="E625">
        <v>1246277245</v>
      </c>
      <c r="F625">
        <v>46240</v>
      </c>
      <c r="H625" t="s">
        <v>23</v>
      </c>
      <c r="I625" t="s">
        <v>24</v>
      </c>
      <c r="J625">
        <v>11533</v>
      </c>
      <c r="K625">
        <v>46170</v>
      </c>
      <c r="L625">
        <v>1010100</v>
      </c>
      <c r="M625" t="s">
        <v>29</v>
      </c>
      <c r="N625">
        <v>-67</v>
      </c>
      <c r="O625" s="30">
        <v>0</v>
      </c>
      <c r="P625">
        <v>0</v>
      </c>
      <c r="Q625">
        <v>24596.45</v>
      </c>
      <c r="R625">
        <v>0</v>
      </c>
      <c r="S625">
        <v>0</v>
      </c>
      <c r="T625">
        <v>0</v>
      </c>
      <c r="U625">
        <v>0</v>
      </c>
      <c r="V625">
        <v>26</v>
      </c>
      <c r="W625">
        <v>0</v>
      </c>
      <c r="X625">
        <v>0</v>
      </c>
      <c r="Y625">
        <v>0</v>
      </c>
      <c r="Z625">
        <v>0</v>
      </c>
      <c r="AA625" s="30">
        <v>0</v>
      </c>
      <c r="AB625" s="30">
        <v>0</v>
      </c>
      <c r="AC625" t="s">
        <v>407</v>
      </c>
      <c r="AE625">
        <v>0</v>
      </c>
    </row>
    <row r="626" spans="1:31" x14ac:dyDescent="0.25">
      <c r="A626">
        <v>14396</v>
      </c>
      <c r="B626" t="s">
        <v>242</v>
      </c>
      <c r="C626" t="s">
        <v>243</v>
      </c>
      <c r="D626" s="33">
        <v>137598</v>
      </c>
      <c r="E626">
        <v>1246163527</v>
      </c>
      <c r="F626">
        <v>45779</v>
      </c>
      <c r="H626" t="s">
        <v>156</v>
      </c>
      <c r="I626" t="s">
        <v>157</v>
      </c>
      <c r="J626">
        <v>4649</v>
      </c>
      <c r="K626">
        <v>45511</v>
      </c>
      <c r="L626">
        <v>1010100</v>
      </c>
      <c r="M626" t="s">
        <v>29</v>
      </c>
      <c r="N626">
        <v>394</v>
      </c>
      <c r="O626" s="30">
        <v>0</v>
      </c>
      <c r="P626">
        <v>137598</v>
      </c>
      <c r="Q626">
        <v>0</v>
      </c>
      <c r="R626">
        <v>0</v>
      </c>
      <c r="S626">
        <v>0</v>
      </c>
      <c r="T626">
        <v>0</v>
      </c>
      <c r="U626">
        <v>137598</v>
      </c>
      <c r="V626">
        <v>27</v>
      </c>
      <c r="W626">
        <v>4127.9399999999996</v>
      </c>
      <c r="X626">
        <v>133470.06</v>
      </c>
      <c r="Y626">
        <v>133470.06</v>
      </c>
      <c r="Z626">
        <v>0</v>
      </c>
      <c r="AA626" s="30">
        <v>0</v>
      </c>
      <c r="AB626" s="30">
        <v>137598</v>
      </c>
      <c r="AC626" t="s">
        <v>457</v>
      </c>
      <c r="AE626">
        <v>0</v>
      </c>
    </row>
    <row r="627" spans="1:31" x14ac:dyDescent="0.25">
      <c r="A627">
        <v>14396</v>
      </c>
      <c r="B627" t="s">
        <v>242</v>
      </c>
      <c r="C627" t="s">
        <v>243</v>
      </c>
      <c r="D627" s="33">
        <v>121086.24</v>
      </c>
      <c r="E627">
        <v>1246160799</v>
      </c>
      <c r="F627">
        <v>45779</v>
      </c>
      <c r="H627" t="s">
        <v>156</v>
      </c>
      <c r="I627" t="s">
        <v>157</v>
      </c>
      <c r="J627">
        <v>4489</v>
      </c>
      <c r="K627">
        <v>45499</v>
      </c>
      <c r="L627">
        <v>1010100</v>
      </c>
      <c r="M627" t="s">
        <v>29</v>
      </c>
      <c r="N627">
        <v>394</v>
      </c>
      <c r="O627" s="30">
        <v>0</v>
      </c>
      <c r="P627">
        <v>121086.23999999999</v>
      </c>
      <c r="Q627">
        <v>0</v>
      </c>
      <c r="R627">
        <v>0</v>
      </c>
      <c r="S627">
        <v>0</v>
      </c>
      <c r="T627">
        <v>0</v>
      </c>
      <c r="U627">
        <v>121086.24</v>
      </c>
      <c r="V627">
        <v>28</v>
      </c>
      <c r="W627">
        <v>3632.5871999999999</v>
      </c>
      <c r="X627">
        <v>117453.6528</v>
      </c>
      <c r="Y627">
        <v>117453.6528</v>
      </c>
      <c r="Z627">
        <v>0</v>
      </c>
      <c r="AA627" s="30">
        <v>0</v>
      </c>
      <c r="AB627" s="30">
        <v>121086.23999999999</v>
      </c>
      <c r="AC627" t="s">
        <v>457</v>
      </c>
      <c r="AE627">
        <v>0</v>
      </c>
    </row>
    <row r="628" spans="1:31" x14ac:dyDescent="0.25">
      <c r="A628">
        <v>14396</v>
      </c>
      <c r="B628" t="s">
        <v>242</v>
      </c>
      <c r="C628" t="s">
        <v>243</v>
      </c>
      <c r="D628" s="33">
        <v>145692</v>
      </c>
      <c r="E628">
        <v>1246160793</v>
      </c>
      <c r="F628">
        <v>45779</v>
      </c>
      <c r="H628" t="s">
        <v>156</v>
      </c>
      <c r="I628" t="s">
        <v>157</v>
      </c>
      <c r="J628">
        <v>4485</v>
      </c>
      <c r="K628">
        <v>45499</v>
      </c>
      <c r="L628">
        <v>1010100</v>
      </c>
      <c r="M628" t="s">
        <v>29</v>
      </c>
      <c r="N628">
        <v>394</v>
      </c>
      <c r="O628" s="30">
        <v>0</v>
      </c>
      <c r="P628">
        <v>145692</v>
      </c>
      <c r="Q628">
        <v>0</v>
      </c>
      <c r="R628">
        <v>0</v>
      </c>
      <c r="S628">
        <v>0</v>
      </c>
      <c r="T628">
        <v>0</v>
      </c>
      <c r="U628">
        <v>145692</v>
      </c>
      <c r="V628">
        <v>29</v>
      </c>
      <c r="W628">
        <v>4370.76</v>
      </c>
      <c r="X628">
        <v>141321.24</v>
      </c>
      <c r="Y628">
        <v>141321.24</v>
      </c>
      <c r="Z628">
        <v>0</v>
      </c>
      <c r="AA628" s="30">
        <v>0</v>
      </c>
      <c r="AB628" s="30">
        <v>145692</v>
      </c>
      <c r="AC628" t="s">
        <v>457</v>
      </c>
      <c r="AE628">
        <v>0</v>
      </c>
    </row>
    <row r="629" spans="1:31" x14ac:dyDescent="0.25">
      <c r="A629">
        <v>14396</v>
      </c>
      <c r="B629" t="s">
        <v>242</v>
      </c>
      <c r="C629" t="s">
        <v>243</v>
      </c>
      <c r="D629" s="33">
        <v>121410</v>
      </c>
      <c r="E629">
        <v>1246180565</v>
      </c>
      <c r="F629">
        <v>45776</v>
      </c>
      <c r="H629" t="s">
        <v>156</v>
      </c>
      <c r="I629" t="s">
        <v>157</v>
      </c>
      <c r="J629">
        <v>5953</v>
      </c>
      <c r="K629">
        <v>45600</v>
      </c>
      <c r="L629">
        <v>1010100</v>
      </c>
      <c r="M629" t="s">
        <v>29</v>
      </c>
      <c r="N629">
        <v>397</v>
      </c>
      <c r="O629" s="30">
        <v>0</v>
      </c>
      <c r="P629">
        <v>121410</v>
      </c>
      <c r="Q629">
        <v>0</v>
      </c>
      <c r="R629">
        <v>0</v>
      </c>
      <c r="S629">
        <v>0</v>
      </c>
      <c r="T629">
        <v>0</v>
      </c>
      <c r="U629">
        <v>121410</v>
      </c>
      <c r="V629">
        <v>30</v>
      </c>
      <c r="W629">
        <v>3642.2999999999997</v>
      </c>
      <c r="X629">
        <v>117767.7</v>
      </c>
      <c r="Y629">
        <v>117767.7</v>
      </c>
      <c r="Z629">
        <v>0</v>
      </c>
      <c r="AA629" s="30">
        <v>0</v>
      </c>
      <c r="AB629" s="30">
        <v>121410</v>
      </c>
      <c r="AC629" t="s">
        <v>457</v>
      </c>
      <c r="AE629">
        <v>0</v>
      </c>
    </row>
    <row r="630" spans="1:31" x14ac:dyDescent="0.25">
      <c r="A630">
        <v>14396</v>
      </c>
      <c r="B630" t="s">
        <v>242</v>
      </c>
      <c r="C630" t="s">
        <v>243</v>
      </c>
      <c r="D630" s="33">
        <v>171360</v>
      </c>
      <c r="E630">
        <v>1246202562</v>
      </c>
      <c r="F630">
        <v>45930</v>
      </c>
      <c r="H630" t="s">
        <v>156</v>
      </c>
      <c r="I630" t="s">
        <v>157</v>
      </c>
      <c r="J630">
        <v>7204</v>
      </c>
      <c r="K630">
        <v>45728</v>
      </c>
      <c r="L630">
        <v>1010100</v>
      </c>
      <c r="M630" t="s">
        <v>29</v>
      </c>
      <c r="N630">
        <v>243</v>
      </c>
      <c r="O630" s="30">
        <v>0</v>
      </c>
      <c r="P630">
        <v>5140.8</v>
      </c>
      <c r="Q630">
        <v>0</v>
      </c>
      <c r="R630">
        <v>0</v>
      </c>
      <c r="S630">
        <v>0</v>
      </c>
      <c r="T630">
        <v>171360</v>
      </c>
      <c r="U630">
        <v>0</v>
      </c>
      <c r="V630">
        <v>31</v>
      </c>
      <c r="W630">
        <v>5140.8</v>
      </c>
      <c r="X630">
        <v>0</v>
      </c>
      <c r="Y630">
        <v>0</v>
      </c>
      <c r="Z630">
        <v>0</v>
      </c>
      <c r="AA630" s="30">
        <v>0</v>
      </c>
      <c r="AB630" s="30">
        <v>5140.8</v>
      </c>
      <c r="AC630" t="s">
        <v>457</v>
      </c>
      <c r="AE630">
        <v>0</v>
      </c>
    </row>
    <row r="631" spans="1:31" x14ac:dyDescent="0.25">
      <c r="A631">
        <v>14396</v>
      </c>
      <c r="B631" t="s">
        <v>242</v>
      </c>
      <c r="C631" t="s">
        <v>243</v>
      </c>
      <c r="D631" s="33">
        <v>4000</v>
      </c>
      <c r="E631">
        <v>1246203613</v>
      </c>
      <c r="F631">
        <v>45920</v>
      </c>
      <c r="H631" t="s">
        <v>156</v>
      </c>
      <c r="I631" t="s">
        <v>157</v>
      </c>
      <c r="J631">
        <v>7286</v>
      </c>
      <c r="K631">
        <v>45735</v>
      </c>
      <c r="L631">
        <v>1010100</v>
      </c>
      <c r="M631" t="s">
        <v>29</v>
      </c>
      <c r="N631">
        <v>253</v>
      </c>
      <c r="O631" s="30">
        <v>0</v>
      </c>
      <c r="P631">
        <v>120</v>
      </c>
      <c r="Q631">
        <v>0</v>
      </c>
      <c r="R631">
        <v>0</v>
      </c>
      <c r="S631">
        <v>0</v>
      </c>
      <c r="T631">
        <v>4000</v>
      </c>
      <c r="U631">
        <v>0</v>
      </c>
      <c r="V631">
        <v>32</v>
      </c>
      <c r="W631">
        <v>120</v>
      </c>
      <c r="X631">
        <v>0</v>
      </c>
      <c r="Y631">
        <v>0</v>
      </c>
      <c r="Z631">
        <v>4000</v>
      </c>
      <c r="AA631" s="30">
        <v>0</v>
      </c>
      <c r="AB631" s="30">
        <v>120</v>
      </c>
      <c r="AC631" t="s">
        <v>457</v>
      </c>
      <c r="AE631">
        <v>120</v>
      </c>
    </row>
    <row r="632" spans="1:31" x14ac:dyDescent="0.25">
      <c r="A632">
        <v>14396</v>
      </c>
      <c r="B632" t="s">
        <v>242</v>
      </c>
      <c r="C632" t="s">
        <v>243</v>
      </c>
      <c r="D632" s="33">
        <v>139680</v>
      </c>
      <c r="E632">
        <v>1246199147</v>
      </c>
      <c r="F632">
        <v>45889</v>
      </c>
      <c r="H632" t="s">
        <v>156</v>
      </c>
      <c r="I632" t="s">
        <v>157</v>
      </c>
      <c r="J632">
        <v>6996</v>
      </c>
      <c r="K632">
        <v>45706</v>
      </c>
      <c r="L632">
        <v>1010100</v>
      </c>
      <c r="M632" t="s">
        <v>29</v>
      </c>
      <c r="N632">
        <v>284</v>
      </c>
      <c r="O632" s="30">
        <v>0</v>
      </c>
      <c r="P632">
        <v>4190.3999999999996</v>
      </c>
      <c r="Q632">
        <v>0</v>
      </c>
      <c r="R632">
        <v>0</v>
      </c>
      <c r="S632">
        <v>0</v>
      </c>
      <c r="T632">
        <v>139680</v>
      </c>
      <c r="U632">
        <v>0</v>
      </c>
      <c r="V632">
        <v>33</v>
      </c>
      <c r="W632">
        <v>4190.3999999999996</v>
      </c>
      <c r="X632">
        <v>0</v>
      </c>
      <c r="Y632">
        <v>0</v>
      </c>
      <c r="Z632">
        <v>0</v>
      </c>
      <c r="AA632" s="30">
        <v>0</v>
      </c>
      <c r="AB632" s="30">
        <v>4190.3999999999996</v>
      </c>
      <c r="AC632" t="s">
        <v>457</v>
      </c>
      <c r="AE632">
        <v>0</v>
      </c>
    </row>
    <row r="633" spans="1:31" x14ac:dyDescent="0.25">
      <c r="A633">
        <v>14396</v>
      </c>
      <c r="B633" t="s">
        <v>242</v>
      </c>
      <c r="C633" t="s">
        <v>243</v>
      </c>
      <c r="D633" s="33">
        <v>139680</v>
      </c>
      <c r="E633">
        <v>1246199209</v>
      </c>
      <c r="F633">
        <v>45889</v>
      </c>
      <c r="H633" t="s">
        <v>156</v>
      </c>
      <c r="I633" t="s">
        <v>157</v>
      </c>
      <c r="J633">
        <v>7005</v>
      </c>
      <c r="K633">
        <v>45706</v>
      </c>
      <c r="L633">
        <v>1010100</v>
      </c>
      <c r="M633" t="s">
        <v>29</v>
      </c>
      <c r="N633">
        <v>284</v>
      </c>
      <c r="O633" s="30">
        <v>0</v>
      </c>
      <c r="P633">
        <v>4190.3999999999996</v>
      </c>
      <c r="Q633">
        <v>0</v>
      </c>
      <c r="R633">
        <v>0</v>
      </c>
      <c r="S633">
        <v>0</v>
      </c>
      <c r="T633">
        <v>139680</v>
      </c>
      <c r="U633">
        <v>0</v>
      </c>
      <c r="V633">
        <v>34</v>
      </c>
      <c r="W633">
        <v>4190.3999999999996</v>
      </c>
      <c r="X633">
        <v>0</v>
      </c>
      <c r="Y633">
        <v>0</v>
      </c>
      <c r="Z633">
        <v>0</v>
      </c>
      <c r="AA633" s="30">
        <v>0</v>
      </c>
      <c r="AB633" s="30">
        <v>4190.3999999999996</v>
      </c>
      <c r="AC633" t="s">
        <v>457</v>
      </c>
      <c r="AE633">
        <v>0</v>
      </c>
    </row>
    <row r="634" spans="1:31" x14ac:dyDescent="0.25">
      <c r="A634">
        <v>14396</v>
      </c>
      <c r="B634" t="s">
        <v>242</v>
      </c>
      <c r="C634" t="s">
        <v>243</v>
      </c>
      <c r="D634" s="33">
        <v>8000</v>
      </c>
      <c r="E634">
        <v>1246205781</v>
      </c>
      <c r="F634">
        <v>45920</v>
      </c>
      <c r="H634" t="s">
        <v>156</v>
      </c>
      <c r="I634" t="s">
        <v>157</v>
      </c>
      <c r="J634">
        <v>7423</v>
      </c>
      <c r="K634">
        <v>45744</v>
      </c>
      <c r="L634">
        <v>1010100</v>
      </c>
      <c r="M634" t="s">
        <v>29</v>
      </c>
      <c r="N634">
        <v>253</v>
      </c>
      <c r="O634" s="30">
        <v>0</v>
      </c>
      <c r="P634">
        <v>240</v>
      </c>
      <c r="Q634">
        <v>0</v>
      </c>
      <c r="R634">
        <v>0</v>
      </c>
      <c r="S634">
        <v>0</v>
      </c>
      <c r="T634">
        <v>8000</v>
      </c>
      <c r="U634">
        <v>0</v>
      </c>
      <c r="V634">
        <v>35</v>
      </c>
      <c r="W634">
        <v>240</v>
      </c>
      <c r="X634">
        <v>0</v>
      </c>
      <c r="Y634">
        <v>0</v>
      </c>
      <c r="Z634">
        <v>8000</v>
      </c>
      <c r="AA634" s="30">
        <v>0</v>
      </c>
      <c r="AB634" s="30">
        <v>240</v>
      </c>
      <c r="AC634" t="s">
        <v>457</v>
      </c>
      <c r="AE634">
        <v>240</v>
      </c>
    </row>
    <row r="635" spans="1:31" x14ac:dyDescent="0.25">
      <c r="A635">
        <v>15543</v>
      </c>
      <c r="B635" t="s">
        <v>716</v>
      </c>
      <c r="C635" t="s">
        <v>717</v>
      </c>
      <c r="D635" s="33">
        <v>45718.46</v>
      </c>
      <c r="E635">
        <v>1246264533</v>
      </c>
      <c r="F635">
        <v>46181</v>
      </c>
      <c r="H635" t="s">
        <v>23</v>
      </c>
      <c r="I635" t="s">
        <v>24</v>
      </c>
      <c r="J635">
        <v>10745</v>
      </c>
      <c r="K635">
        <v>46076</v>
      </c>
      <c r="L635">
        <v>1010200</v>
      </c>
      <c r="M635" t="s">
        <v>113</v>
      </c>
      <c r="N635">
        <v>-8</v>
      </c>
      <c r="O635" s="30">
        <v>0</v>
      </c>
      <c r="P635">
        <v>0</v>
      </c>
      <c r="Q635">
        <v>45718.46</v>
      </c>
      <c r="R635">
        <v>0</v>
      </c>
      <c r="S635">
        <v>0</v>
      </c>
      <c r="T635">
        <v>0</v>
      </c>
      <c r="U635">
        <v>0</v>
      </c>
      <c r="V635">
        <v>36</v>
      </c>
      <c r="W635">
        <v>0</v>
      </c>
      <c r="X635">
        <v>0</v>
      </c>
      <c r="Y635">
        <v>0</v>
      </c>
      <c r="Z635">
        <v>0</v>
      </c>
      <c r="AA635" s="30">
        <v>0</v>
      </c>
      <c r="AB635" s="30">
        <v>0</v>
      </c>
      <c r="AC635" t="s">
        <v>407</v>
      </c>
      <c r="AE635">
        <v>0</v>
      </c>
    </row>
    <row r="636" spans="1:31" x14ac:dyDescent="0.25">
      <c r="A636">
        <v>15543</v>
      </c>
      <c r="B636" t="s">
        <v>716</v>
      </c>
      <c r="C636" t="s">
        <v>717</v>
      </c>
      <c r="D636" s="33">
        <v>133756.12</v>
      </c>
      <c r="E636">
        <v>1246277124</v>
      </c>
      <c r="F636">
        <v>46259</v>
      </c>
      <c r="H636" t="s">
        <v>23</v>
      </c>
      <c r="I636" t="s">
        <v>24</v>
      </c>
      <c r="J636">
        <v>11522</v>
      </c>
      <c r="K636">
        <v>46169</v>
      </c>
      <c r="L636">
        <v>1010200</v>
      </c>
      <c r="M636" t="s">
        <v>113</v>
      </c>
      <c r="N636">
        <v>-86</v>
      </c>
      <c r="O636" s="30">
        <v>0</v>
      </c>
      <c r="P636">
        <v>0</v>
      </c>
      <c r="Q636">
        <v>133756.12</v>
      </c>
      <c r="R636">
        <v>0</v>
      </c>
      <c r="S636">
        <v>0</v>
      </c>
      <c r="T636">
        <v>0</v>
      </c>
      <c r="U636">
        <v>0</v>
      </c>
      <c r="V636">
        <v>37</v>
      </c>
      <c r="W636">
        <v>0</v>
      </c>
      <c r="X636">
        <v>0</v>
      </c>
      <c r="Y636">
        <v>0</v>
      </c>
      <c r="Z636">
        <v>0</v>
      </c>
      <c r="AA636" s="30">
        <v>0</v>
      </c>
      <c r="AB636" s="30">
        <v>0</v>
      </c>
      <c r="AC636" t="s">
        <v>407</v>
      </c>
      <c r="AE636">
        <v>0</v>
      </c>
    </row>
    <row r="637" spans="1:31" x14ac:dyDescent="0.25">
      <c r="A637">
        <v>17415</v>
      </c>
      <c r="B637" t="s">
        <v>805</v>
      </c>
      <c r="C637" t="s">
        <v>806</v>
      </c>
      <c r="D637" s="33">
        <v>585</v>
      </c>
      <c r="E637">
        <v>1246275737</v>
      </c>
      <c r="F637">
        <v>46191</v>
      </c>
      <c r="I637" t="s">
        <v>326</v>
      </c>
      <c r="J637">
        <v>2949</v>
      </c>
      <c r="K637">
        <v>46161</v>
      </c>
      <c r="L637">
        <v>1010100</v>
      </c>
      <c r="M637" t="s">
        <v>29</v>
      </c>
      <c r="N637">
        <v>-18</v>
      </c>
      <c r="O637" s="30">
        <v>0</v>
      </c>
      <c r="P637">
        <v>0</v>
      </c>
      <c r="Q637">
        <v>585</v>
      </c>
      <c r="R637">
        <v>0</v>
      </c>
      <c r="S637">
        <v>0</v>
      </c>
      <c r="T637">
        <v>0</v>
      </c>
      <c r="U637">
        <v>0</v>
      </c>
      <c r="V637">
        <v>38</v>
      </c>
      <c r="W637">
        <v>0</v>
      </c>
      <c r="X637">
        <v>0</v>
      </c>
      <c r="Y637">
        <v>0</v>
      </c>
      <c r="Z637">
        <v>0</v>
      </c>
      <c r="AA637" s="30">
        <v>0</v>
      </c>
      <c r="AB637" s="30">
        <v>0</v>
      </c>
      <c r="AC637" t="s">
        <v>407</v>
      </c>
      <c r="AE637">
        <v>0</v>
      </c>
    </row>
    <row r="638" spans="1:31" x14ac:dyDescent="0.25">
      <c r="A638">
        <v>17415</v>
      </c>
      <c r="B638" t="s">
        <v>805</v>
      </c>
      <c r="C638" t="s">
        <v>806</v>
      </c>
      <c r="D638" s="33">
        <v>1448.4</v>
      </c>
      <c r="E638">
        <v>1246274536</v>
      </c>
      <c r="F638">
        <v>46184</v>
      </c>
      <c r="I638" t="s">
        <v>326</v>
      </c>
      <c r="J638">
        <v>11358</v>
      </c>
      <c r="K638">
        <v>46154</v>
      </c>
      <c r="L638">
        <v>1010100</v>
      </c>
      <c r="M638" t="s">
        <v>29</v>
      </c>
      <c r="N638">
        <v>-11</v>
      </c>
      <c r="O638" s="30">
        <v>0</v>
      </c>
      <c r="P638">
        <v>0</v>
      </c>
      <c r="Q638">
        <v>1448.4</v>
      </c>
      <c r="R638">
        <v>0</v>
      </c>
      <c r="S638">
        <v>0</v>
      </c>
      <c r="T638">
        <v>0</v>
      </c>
      <c r="U638">
        <v>0</v>
      </c>
      <c r="V638">
        <v>39</v>
      </c>
      <c r="W638">
        <v>0</v>
      </c>
      <c r="X638">
        <v>0</v>
      </c>
      <c r="Y638">
        <v>0</v>
      </c>
      <c r="Z638">
        <v>0</v>
      </c>
      <c r="AA638" s="30">
        <v>0</v>
      </c>
      <c r="AB638" s="30">
        <v>0</v>
      </c>
      <c r="AC638" t="s">
        <v>407</v>
      </c>
      <c r="AE638">
        <v>0</v>
      </c>
    </row>
    <row r="639" spans="1:31" x14ac:dyDescent="0.25">
      <c r="A639">
        <v>17415</v>
      </c>
      <c r="B639" t="s">
        <v>805</v>
      </c>
      <c r="C639" t="s">
        <v>806</v>
      </c>
      <c r="D639" s="33">
        <v>210</v>
      </c>
      <c r="E639">
        <v>1246274535</v>
      </c>
      <c r="F639">
        <v>46184</v>
      </c>
      <c r="I639" t="s">
        <v>326</v>
      </c>
      <c r="J639">
        <v>2934</v>
      </c>
      <c r="K639">
        <v>46154</v>
      </c>
      <c r="L639">
        <v>1010100</v>
      </c>
      <c r="M639" t="s">
        <v>29</v>
      </c>
      <c r="N639">
        <v>-11</v>
      </c>
      <c r="O639" s="30">
        <v>0</v>
      </c>
      <c r="P639">
        <v>0</v>
      </c>
      <c r="Q639">
        <v>210</v>
      </c>
      <c r="R639">
        <v>0</v>
      </c>
      <c r="S639">
        <v>0</v>
      </c>
      <c r="T639">
        <v>0</v>
      </c>
      <c r="U639">
        <v>0</v>
      </c>
      <c r="V639">
        <v>40</v>
      </c>
      <c r="W639">
        <v>0</v>
      </c>
      <c r="X639">
        <v>0</v>
      </c>
      <c r="Y639">
        <v>0</v>
      </c>
      <c r="Z639">
        <v>0</v>
      </c>
      <c r="AA639" s="30">
        <v>0</v>
      </c>
      <c r="AB639" s="30">
        <v>0</v>
      </c>
      <c r="AC639" t="s">
        <v>407</v>
      </c>
      <c r="AE639">
        <v>0</v>
      </c>
    </row>
    <row r="640" spans="1:31" x14ac:dyDescent="0.25">
      <c r="A640">
        <v>16107</v>
      </c>
      <c r="B640" t="s">
        <v>494</v>
      </c>
      <c r="C640" t="s">
        <v>495</v>
      </c>
      <c r="D640" s="33">
        <v>58579.74</v>
      </c>
      <c r="E640">
        <v>1246235692</v>
      </c>
      <c r="F640">
        <v>46265</v>
      </c>
      <c r="H640" t="s">
        <v>156</v>
      </c>
      <c r="I640" t="s">
        <v>157</v>
      </c>
      <c r="J640">
        <v>9246</v>
      </c>
      <c r="K640">
        <v>45908</v>
      </c>
      <c r="L640">
        <v>1010100</v>
      </c>
      <c r="M640" t="s">
        <v>29</v>
      </c>
      <c r="N640">
        <v>-92</v>
      </c>
      <c r="O640" s="30">
        <v>0</v>
      </c>
      <c r="P640">
        <v>0</v>
      </c>
      <c r="Q640">
        <v>58579.74</v>
      </c>
      <c r="R640">
        <v>0</v>
      </c>
      <c r="S640">
        <v>0</v>
      </c>
      <c r="T640">
        <v>0</v>
      </c>
      <c r="U640">
        <v>0</v>
      </c>
      <c r="V640">
        <v>41</v>
      </c>
      <c r="W640">
        <v>0</v>
      </c>
      <c r="X640">
        <v>0</v>
      </c>
      <c r="Y640">
        <v>0</v>
      </c>
      <c r="Z640">
        <v>0</v>
      </c>
      <c r="AA640" s="30">
        <v>0</v>
      </c>
      <c r="AB640" s="30">
        <v>0</v>
      </c>
      <c r="AC640" t="s">
        <v>407</v>
      </c>
      <c r="AE640">
        <v>0</v>
      </c>
    </row>
    <row r="641" spans="1:31" x14ac:dyDescent="0.25">
      <c r="A641">
        <v>16107</v>
      </c>
      <c r="B641" t="s">
        <v>494</v>
      </c>
      <c r="C641" t="s">
        <v>495</v>
      </c>
      <c r="D641" s="33">
        <v>120293.94</v>
      </c>
      <c r="E641">
        <v>1246234013</v>
      </c>
      <c r="F641">
        <v>46265</v>
      </c>
      <c r="H641" t="s">
        <v>156</v>
      </c>
      <c r="I641" t="s">
        <v>157</v>
      </c>
      <c r="J641">
        <v>9130</v>
      </c>
      <c r="K641">
        <v>45898</v>
      </c>
      <c r="L641">
        <v>1010100</v>
      </c>
      <c r="M641" t="s">
        <v>29</v>
      </c>
      <c r="N641">
        <v>-92</v>
      </c>
      <c r="O641" s="30">
        <v>0</v>
      </c>
      <c r="P641">
        <v>0</v>
      </c>
      <c r="Q641">
        <v>120293.94</v>
      </c>
      <c r="R641">
        <v>0</v>
      </c>
      <c r="S641">
        <v>0</v>
      </c>
      <c r="T641">
        <v>0</v>
      </c>
      <c r="U641">
        <v>0</v>
      </c>
      <c r="V641">
        <v>42</v>
      </c>
      <c r="W641">
        <v>0</v>
      </c>
      <c r="X641">
        <v>0</v>
      </c>
      <c r="Y641">
        <v>0</v>
      </c>
      <c r="Z641">
        <v>0</v>
      </c>
      <c r="AA641" s="30">
        <v>0</v>
      </c>
      <c r="AB641" s="30">
        <v>0</v>
      </c>
      <c r="AC641" t="s">
        <v>407</v>
      </c>
      <c r="AE641">
        <v>0</v>
      </c>
    </row>
    <row r="642" spans="1:31" x14ac:dyDescent="0.25">
      <c r="A642">
        <v>16107</v>
      </c>
      <c r="B642" t="s">
        <v>494</v>
      </c>
      <c r="C642" t="s">
        <v>495</v>
      </c>
      <c r="D642" s="33">
        <v>52795.360000000001</v>
      </c>
      <c r="E642">
        <v>1246231811</v>
      </c>
      <c r="F642">
        <v>46265</v>
      </c>
      <c r="H642" t="s">
        <v>156</v>
      </c>
      <c r="I642" t="s">
        <v>157</v>
      </c>
      <c r="J642">
        <v>8929</v>
      </c>
      <c r="K642">
        <v>45888</v>
      </c>
      <c r="L642">
        <v>1010100</v>
      </c>
      <c r="M642" t="s">
        <v>29</v>
      </c>
      <c r="N642">
        <v>-92</v>
      </c>
      <c r="O642" s="30">
        <v>0</v>
      </c>
      <c r="P642">
        <v>0</v>
      </c>
      <c r="Q642">
        <v>52795.360000000001</v>
      </c>
      <c r="R642">
        <v>0</v>
      </c>
      <c r="S642">
        <v>0</v>
      </c>
      <c r="T642">
        <v>0</v>
      </c>
      <c r="U642">
        <v>0</v>
      </c>
      <c r="V642">
        <v>43</v>
      </c>
      <c r="W642">
        <v>0</v>
      </c>
      <c r="X642">
        <v>0</v>
      </c>
      <c r="Y642">
        <v>0</v>
      </c>
      <c r="Z642">
        <v>0</v>
      </c>
      <c r="AA642" s="30">
        <v>0</v>
      </c>
      <c r="AB642" s="30">
        <v>0</v>
      </c>
      <c r="AC642" t="s">
        <v>407</v>
      </c>
      <c r="AE642">
        <v>0</v>
      </c>
    </row>
    <row r="643" spans="1:31" x14ac:dyDescent="0.25">
      <c r="A643">
        <v>16107</v>
      </c>
      <c r="B643" t="s">
        <v>494</v>
      </c>
      <c r="C643" t="s">
        <v>495</v>
      </c>
      <c r="D643" s="33">
        <v>92391.88</v>
      </c>
      <c r="E643">
        <v>1246232362</v>
      </c>
      <c r="F643">
        <v>46265</v>
      </c>
      <c r="H643" t="s">
        <v>156</v>
      </c>
      <c r="I643" t="s">
        <v>157</v>
      </c>
      <c r="J643">
        <v>8978</v>
      </c>
      <c r="K643">
        <v>45890</v>
      </c>
      <c r="L643">
        <v>1010100</v>
      </c>
      <c r="M643" t="s">
        <v>29</v>
      </c>
      <c r="N643">
        <v>-92</v>
      </c>
      <c r="O643" s="30">
        <v>0</v>
      </c>
      <c r="P643">
        <v>0</v>
      </c>
      <c r="Q643">
        <v>92391.88</v>
      </c>
      <c r="R643">
        <v>0</v>
      </c>
      <c r="S643">
        <v>0</v>
      </c>
      <c r="T643">
        <v>0</v>
      </c>
      <c r="U643">
        <v>0</v>
      </c>
      <c r="V643">
        <v>44</v>
      </c>
      <c r="W643">
        <v>0</v>
      </c>
      <c r="X643">
        <v>0</v>
      </c>
      <c r="Y643">
        <v>0</v>
      </c>
      <c r="Z643">
        <v>0</v>
      </c>
      <c r="AA643" s="30">
        <v>0</v>
      </c>
      <c r="AB643" s="30">
        <v>0</v>
      </c>
      <c r="AC643" t="s">
        <v>407</v>
      </c>
      <c r="AE643">
        <v>0</v>
      </c>
    </row>
    <row r="644" spans="1:31" x14ac:dyDescent="0.25">
      <c r="A644">
        <v>16107</v>
      </c>
      <c r="B644" t="s">
        <v>494</v>
      </c>
      <c r="C644" t="s">
        <v>495</v>
      </c>
      <c r="D644" s="33">
        <v>94968.9</v>
      </c>
      <c r="E644">
        <v>1246234271</v>
      </c>
      <c r="F644">
        <v>46265</v>
      </c>
      <c r="H644" t="s">
        <v>156</v>
      </c>
      <c r="I644" t="s">
        <v>157</v>
      </c>
      <c r="J644">
        <v>9136</v>
      </c>
      <c r="K644">
        <v>45901</v>
      </c>
      <c r="L644">
        <v>1010100</v>
      </c>
      <c r="M644" t="s">
        <v>29</v>
      </c>
      <c r="N644">
        <v>-92</v>
      </c>
      <c r="O644" s="30">
        <v>0</v>
      </c>
      <c r="P644">
        <v>0</v>
      </c>
      <c r="Q644">
        <v>94968.9</v>
      </c>
      <c r="R644">
        <v>0</v>
      </c>
      <c r="S644">
        <v>0</v>
      </c>
      <c r="T644">
        <v>0</v>
      </c>
      <c r="U644">
        <v>0</v>
      </c>
      <c r="V644">
        <v>45</v>
      </c>
      <c r="W644">
        <v>0</v>
      </c>
      <c r="X644">
        <v>0</v>
      </c>
      <c r="Y644">
        <v>0</v>
      </c>
      <c r="Z644">
        <v>0</v>
      </c>
      <c r="AA644" s="30">
        <v>0</v>
      </c>
      <c r="AB644" s="30">
        <v>0</v>
      </c>
      <c r="AC644" t="s">
        <v>407</v>
      </c>
      <c r="AE644">
        <v>0</v>
      </c>
    </row>
    <row r="645" spans="1:31" x14ac:dyDescent="0.25">
      <c r="A645">
        <v>16107</v>
      </c>
      <c r="B645" t="s">
        <v>494</v>
      </c>
      <c r="C645" t="s">
        <v>495</v>
      </c>
      <c r="D645" s="33">
        <v>101300.16</v>
      </c>
      <c r="E645">
        <v>1246233237</v>
      </c>
      <c r="F645">
        <v>46265</v>
      </c>
      <c r="H645" t="s">
        <v>156</v>
      </c>
      <c r="I645" t="s">
        <v>157</v>
      </c>
      <c r="J645">
        <v>9072</v>
      </c>
      <c r="K645">
        <v>45896</v>
      </c>
      <c r="L645">
        <v>1010100</v>
      </c>
      <c r="M645" t="s">
        <v>29</v>
      </c>
      <c r="N645">
        <v>-92</v>
      </c>
      <c r="O645" s="30">
        <v>0</v>
      </c>
      <c r="P645">
        <v>0</v>
      </c>
      <c r="Q645">
        <v>101300.16</v>
      </c>
      <c r="R645">
        <v>0</v>
      </c>
      <c r="S645">
        <v>0</v>
      </c>
      <c r="T645">
        <v>0</v>
      </c>
      <c r="U645">
        <v>0</v>
      </c>
      <c r="V645">
        <v>46</v>
      </c>
      <c r="W645">
        <v>0</v>
      </c>
      <c r="X645">
        <v>0</v>
      </c>
      <c r="Y645">
        <v>0</v>
      </c>
      <c r="Z645">
        <v>0</v>
      </c>
      <c r="AA645" s="30">
        <v>0</v>
      </c>
      <c r="AB645" s="30">
        <v>0</v>
      </c>
      <c r="AC645" t="s">
        <v>407</v>
      </c>
      <c r="AE645">
        <v>0</v>
      </c>
    </row>
    <row r="646" spans="1:31" x14ac:dyDescent="0.25">
      <c r="A646">
        <v>16107</v>
      </c>
      <c r="B646" t="s">
        <v>494</v>
      </c>
      <c r="C646" t="s">
        <v>495</v>
      </c>
      <c r="D646" s="33">
        <v>27054.5</v>
      </c>
      <c r="E646">
        <v>1246235694</v>
      </c>
      <c r="F646">
        <v>46265</v>
      </c>
      <c r="H646" t="s">
        <v>156</v>
      </c>
      <c r="I646" t="s">
        <v>157</v>
      </c>
      <c r="J646">
        <v>9247</v>
      </c>
      <c r="K646">
        <v>45908</v>
      </c>
      <c r="L646">
        <v>1010100</v>
      </c>
      <c r="M646" t="s">
        <v>29</v>
      </c>
      <c r="N646">
        <v>-92</v>
      </c>
      <c r="O646" s="30">
        <v>0</v>
      </c>
      <c r="P646">
        <v>0</v>
      </c>
      <c r="Q646">
        <v>27054.5</v>
      </c>
      <c r="R646">
        <v>0</v>
      </c>
      <c r="S646">
        <v>0</v>
      </c>
      <c r="T646">
        <v>0</v>
      </c>
      <c r="U646">
        <v>0</v>
      </c>
      <c r="V646">
        <v>47</v>
      </c>
      <c r="W646">
        <v>0</v>
      </c>
      <c r="X646">
        <v>0</v>
      </c>
      <c r="Y646">
        <v>0</v>
      </c>
      <c r="Z646">
        <v>0</v>
      </c>
      <c r="AA646" s="30">
        <v>0</v>
      </c>
      <c r="AB646" s="30">
        <v>0</v>
      </c>
      <c r="AC646" t="s">
        <v>407</v>
      </c>
      <c r="AE646">
        <v>0</v>
      </c>
    </row>
    <row r="647" spans="1:31" x14ac:dyDescent="0.25">
      <c r="A647">
        <v>16107</v>
      </c>
      <c r="B647" t="s">
        <v>494</v>
      </c>
      <c r="C647" t="s">
        <v>495</v>
      </c>
      <c r="D647" s="33">
        <v>94968.9</v>
      </c>
      <c r="E647">
        <v>1246233894</v>
      </c>
      <c r="F647">
        <v>46265</v>
      </c>
      <c r="H647" t="s">
        <v>156</v>
      </c>
      <c r="I647" t="s">
        <v>157</v>
      </c>
      <c r="J647">
        <v>9120</v>
      </c>
      <c r="K647">
        <v>45898</v>
      </c>
      <c r="L647">
        <v>1010100</v>
      </c>
      <c r="M647" t="s">
        <v>29</v>
      </c>
      <c r="N647">
        <v>-92</v>
      </c>
      <c r="O647" s="30">
        <v>0</v>
      </c>
      <c r="P647">
        <v>0</v>
      </c>
      <c r="Q647">
        <v>94968.9</v>
      </c>
      <c r="R647">
        <v>0</v>
      </c>
      <c r="S647">
        <v>0</v>
      </c>
      <c r="T647">
        <v>0</v>
      </c>
      <c r="U647">
        <v>0</v>
      </c>
      <c r="V647">
        <v>48</v>
      </c>
      <c r="W647">
        <v>0</v>
      </c>
      <c r="X647">
        <v>0</v>
      </c>
      <c r="Y647">
        <v>0</v>
      </c>
      <c r="Z647">
        <v>0</v>
      </c>
      <c r="AA647" s="30">
        <v>0</v>
      </c>
      <c r="AB647" s="30">
        <v>0</v>
      </c>
      <c r="AC647" t="s">
        <v>407</v>
      </c>
      <c r="AE647">
        <v>0</v>
      </c>
    </row>
    <row r="648" spans="1:31" x14ac:dyDescent="0.25">
      <c r="A648">
        <v>16107</v>
      </c>
      <c r="B648" t="s">
        <v>494</v>
      </c>
      <c r="C648" t="s">
        <v>495</v>
      </c>
      <c r="D648" s="33">
        <v>94968.9</v>
      </c>
      <c r="E648">
        <v>1246238555</v>
      </c>
      <c r="F648">
        <v>46265</v>
      </c>
      <c r="H648" t="s">
        <v>156</v>
      </c>
      <c r="I648" t="s">
        <v>157</v>
      </c>
      <c r="J648">
        <v>9444</v>
      </c>
      <c r="K648">
        <v>45924</v>
      </c>
      <c r="L648">
        <v>1010100</v>
      </c>
      <c r="M648" t="s">
        <v>29</v>
      </c>
      <c r="N648">
        <v>-92</v>
      </c>
      <c r="O648" s="30">
        <v>0</v>
      </c>
      <c r="P648">
        <v>0</v>
      </c>
      <c r="Q648">
        <v>94968.9</v>
      </c>
      <c r="R648">
        <v>0</v>
      </c>
      <c r="S648">
        <v>0</v>
      </c>
      <c r="T648">
        <v>0</v>
      </c>
      <c r="U648">
        <v>0</v>
      </c>
      <c r="V648">
        <v>49</v>
      </c>
      <c r="W648">
        <v>0</v>
      </c>
      <c r="X648">
        <v>0</v>
      </c>
      <c r="Y648">
        <v>0</v>
      </c>
      <c r="Z648">
        <v>0</v>
      </c>
      <c r="AA648" s="30">
        <v>0</v>
      </c>
      <c r="AB648" s="30">
        <v>0</v>
      </c>
      <c r="AC648" t="s">
        <v>407</v>
      </c>
      <c r="AE648">
        <v>0</v>
      </c>
    </row>
    <row r="649" spans="1:31" x14ac:dyDescent="0.25">
      <c r="A649">
        <v>16107</v>
      </c>
      <c r="B649" t="s">
        <v>494</v>
      </c>
      <c r="C649" t="s">
        <v>495</v>
      </c>
      <c r="D649" s="33">
        <v>2217.7800000000002</v>
      </c>
      <c r="E649">
        <v>1246235696</v>
      </c>
      <c r="F649">
        <v>46265</v>
      </c>
      <c r="H649" t="s">
        <v>156</v>
      </c>
      <c r="I649" t="s">
        <v>157</v>
      </c>
      <c r="J649">
        <v>9248</v>
      </c>
      <c r="K649">
        <v>45908</v>
      </c>
      <c r="L649">
        <v>1010100</v>
      </c>
      <c r="M649" t="s">
        <v>29</v>
      </c>
      <c r="N649">
        <v>-92</v>
      </c>
      <c r="O649" s="30">
        <v>0</v>
      </c>
      <c r="P649">
        <v>0</v>
      </c>
      <c r="Q649">
        <v>2217.7800000000002</v>
      </c>
      <c r="R649">
        <v>0</v>
      </c>
      <c r="S649">
        <v>0</v>
      </c>
      <c r="T649">
        <v>0</v>
      </c>
      <c r="U649">
        <v>0</v>
      </c>
      <c r="V649">
        <v>50</v>
      </c>
      <c r="W649">
        <v>0</v>
      </c>
      <c r="X649">
        <v>0</v>
      </c>
      <c r="Y649">
        <v>0</v>
      </c>
      <c r="Z649">
        <v>0</v>
      </c>
      <c r="AA649" s="30">
        <v>0</v>
      </c>
      <c r="AB649" s="30">
        <v>0</v>
      </c>
      <c r="AC649" t="s">
        <v>407</v>
      </c>
      <c r="AE649">
        <v>0</v>
      </c>
    </row>
    <row r="650" spans="1:31" x14ac:dyDescent="0.25">
      <c r="A650">
        <v>16189</v>
      </c>
      <c r="B650" t="s">
        <v>709</v>
      </c>
      <c r="C650" t="s">
        <v>710</v>
      </c>
      <c r="D650" s="33">
        <v>49440</v>
      </c>
      <c r="E650">
        <v>1246261824</v>
      </c>
      <c r="F650">
        <v>46087</v>
      </c>
      <c r="I650" t="s">
        <v>326</v>
      </c>
      <c r="J650">
        <v>1246261824</v>
      </c>
      <c r="K650">
        <v>46055</v>
      </c>
      <c r="L650">
        <v>7240000</v>
      </c>
      <c r="M650" t="s">
        <v>711</v>
      </c>
      <c r="N650">
        <v>86</v>
      </c>
      <c r="O650" s="30">
        <v>0</v>
      </c>
      <c r="P650">
        <v>0</v>
      </c>
      <c r="Q650">
        <v>0</v>
      </c>
      <c r="R650">
        <v>49440</v>
      </c>
      <c r="S650">
        <v>0</v>
      </c>
      <c r="T650">
        <v>0</v>
      </c>
      <c r="U650">
        <v>0</v>
      </c>
      <c r="V650">
        <v>51</v>
      </c>
      <c r="W650">
        <v>0</v>
      </c>
      <c r="X650">
        <v>0</v>
      </c>
      <c r="Y650">
        <v>0</v>
      </c>
      <c r="Z650">
        <v>0</v>
      </c>
      <c r="AA650" s="30">
        <v>0</v>
      </c>
      <c r="AB650" s="30">
        <v>0</v>
      </c>
      <c r="AC650" t="s">
        <v>407</v>
      </c>
      <c r="AE650">
        <v>0</v>
      </c>
    </row>
    <row r="651" spans="1:31" x14ac:dyDescent="0.25">
      <c r="A651">
        <v>16802</v>
      </c>
      <c r="B651" t="s">
        <v>675</v>
      </c>
      <c r="C651" t="s">
        <v>15468</v>
      </c>
      <c r="D651" s="33">
        <v>287.27999999999997</v>
      </c>
      <c r="E651">
        <v>1246277125</v>
      </c>
      <c r="F651">
        <v>46177</v>
      </c>
      <c r="I651" t="s">
        <v>326</v>
      </c>
      <c r="J651">
        <v>904</v>
      </c>
      <c r="K651">
        <v>46169</v>
      </c>
      <c r="L651">
        <v>3012100</v>
      </c>
      <c r="M651" t="s">
        <v>15469</v>
      </c>
      <c r="N651">
        <v>-4</v>
      </c>
      <c r="O651" s="30">
        <v>0</v>
      </c>
      <c r="P651">
        <v>0</v>
      </c>
      <c r="Q651">
        <v>287.27999999999997</v>
      </c>
      <c r="R651">
        <v>0</v>
      </c>
      <c r="S651">
        <v>0</v>
      </c>
      <c r="T651">
        <v>0</v>
      </c>
      <c r="U651">
        <v>0</v>
      </c>
      <c r="V651">
        <v>52</v>
      </c>
      <c r="W651">
        <v>0</v>
      </c>
      <c r="X651">
        <v>0</v>
      </c>
      <c r="Y651">
        <v>0</v>
      </c>
      <c r="Z651">
        <v>0</v>
      </c>
      <c r="AA651" s="30">
        <v>0</v>
      </c>
      <c r="AB651" s="30">
        <v>0</v>
      </c>
      <c r="AC651" t="s">
        <v>407</v>
      </c>
      <c r="AE651">
        <v>0</v>
      </c>
    </row>
  </sheetData>
  <autoFilter ref="A3:AE607" xr:uid="{7FBE46A5-8BCE-4E4D-8CBB-A7B44C539DC2}"/>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K49"/>
  <sheetViews>
    <sheetView showGridLines="0" zoomScale="85" zoomScaleNormal="85" workbookViewId="0">
      <pane xSplit="14" ySplit="3" topLeftCell="O20" activePane="bottomRight" state="frozen"/>
      <selection activeCell="B4" sqref="B4:AA145"/>
      <selection pane="topRight" activeCell="B4" sqref="B4:AA145"/>
      <selection pane="bottomLeft" activeCell="B4" sqref="B4:AA145"/>
      <selection pane="bottomRight" activeCell="B4" sqref="B4:AA145"/>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7" customWidth="1"/>
    <col min="34" max="34" width="1.6640625" customWidth="1"/>
    <col min="35" max="35" width="23.5546875" customWidth="1"/>
    <col min="36" max="36" width="11.44140625" customWidth="1"/>
    <col min="37" max="37" width="9.6640625" customWidth="1"/>
  </cols>
  <sheetData>
    <row r="1" spans="1:37" s="9" customFormat="1" ht="12" x14ac:dyDescent="0.25">
      <c r="B1" s="46">
        <v>46154</v>
      </c>
      <c r="C1" s="11"/>
      <c r="D1" s="11"/>
      <c r="E1" s="11"/>
      <c r="F1" s="11"/>
      <c r="G1" s="9">
        <f t="shared" ref="G1:P1" si="0">SUBTOTAL(9,G4:G103)</f>
        <v>7575529.9999999991</v>
      </c>
      <c r="H1" s="9">
        <f t="shared" si="0"/>
        <v>546504.87999999989</v>
      </c>
      <c r="I1" s="9">
        <f t="shared" si="0"/>
        <v>87542.340000000011</v>
      </c>
      <c r="J1" s="9">
        <f t="shared" si="0"/>
        <v>0</v>
      </c>
      <c r="K1" s="9">
        <f t="shared" si="0"/>
        <v>0</v>
      </c>
      <c r="L1" s="9">
        <f t="shared" si="0"/>
        <v>0</v>
      </c>
      <c r="M1" s="9">
        <f t="shared" si="0"/>
        <v>527.28</v>
      </c>
      <c r="N1" s="9">
        <f t="shared" si="0"/>
        <v>0</v>
      </c>
      <c r="O1" s="9">
        <f t="shared" si="0"/>
        <v>634574.49999999988</v>
      </c>
      <c r="P1" s="9">
        <f t="shared" si="0"/>
        <v>6940955.5</v>
      </c>
      <c r="Q1" s="9">
        <f t="shared" ref="Q1:W1" si="1">SUM(Q4:Q104)</f>
        <v>2154853.75</v>
      </c>
      <c r="R1" s="9">
        <f t="shared" si="1"/>
        <v>1023748.2000000001</v>
      </c>
      <c r="S1" s="9">
        <f t="shared" si="1"/>
        <v>3685873.3200000003</v>
      </c>
      <c r="T1" s="9">
        <f t="shared" si="1"/>
        <v>0</v>
      </c>
      <c r="U1" s="9">
        <f t="shared" si="1"/>
        <v>0</v>
      </c>
      <c r="V1" s="9">
        <f t="shared" si="1"/>
        <v>76480.23</v>
      </c>
      <c r="W1" s="9">
        <f t="shared" si="1"/>
        <v>0</v>
      </c>
      <c r="X1" s="9">
        <f>SUBTOTAL(9,X4:X103)</f>
        <v>452.26889999999997</v>
      </c>
      <c r="Y1" s="10"/>
      <c r="Z1" s="10"/>
      <c r="AA1" s="9">
        <f>SUBTOTAL(9,AA4:AA204)</f>
        <v>28435000</v>
      </c>
      <c r="AD1" s="10"/>
      <c r="AE1" s="14"/>
      <c r="AF1" s="10"/>
      <c r="AG1" s="25">
        <f>SUBTOTAL(9,AG4:AG207)</f>
        <v>20859470</v>
      </c>
      <c r="AH1" s="10"/>
      <c r="AI1" s="160">
        <f>O1/G1</f>
        <v>8.3766350341164239E-2</v>
      </c>
    </row>
    <row r="2" spans="1:37" ht="18.600000000000001" customHeight="1" thickBot="1" x14ac:dyDescent="0.3">
      <c r="B2" s="8"/>
      <c r="C2" s="8"/>
      <c r="D2" s="8"/>
      <c r="E2" s="8"/>
      <c r="F2" s="8"/>
      <c r="G2" s="8"/>
      <c r="H2" s="40" t="s">
        <v>21</v>
      </c>
      <c r="I2" s="40"/>
      <c r="J2" s="40"/>
      <c r="K2" s="40"/>
      <c r="L2" s="40"/>
      <c r="M2" s="40"/>
      <c r="N2" s="40"/>
      <c r="O2" s="31"/>
      <c r="P2" s="31"/>
      <c r="Q2" s="40" t="s">
        <v>15</v>
      </c>
      <c r="R2" s="40"/>
      <c r="S2" s="40"/>
      <c r="T2" s="40"/>
      <c r="U2" s="40"/>
      <c r="V2" s="40"/>
      <c r="W2" s="40"/>
      <c r="X2" s="8"/>
      <c r="Y2" s="6"/>
      <c r="Z2" s="6"/>
      <c r="AA2" s="41"/>
      <c r="AB2" s="41"/>
      <c r="AC2" s="41"/>
      <c r="AD2" s="41"/>
      <c r="AE2" s="41"/>
      <c r="AF2" s="6"/>
      <c r="AG2" s="35"/>
      <c r="AH2" s="6"/>
      <c r="AI2" s="36" t="s">
        <v>414</v>
      </c>
      <c r="AJ2" s="36"/>
      <c r="AK2" s="36"/>
    </row>
    <row r="3" spans="1:37" ht="15" thickTop="1" thickBot="1" x14ac:dyDescent="0.3">
      <c r="A3" t="s">
        <v>207</v>
      </c>
      <c r="B3" s="8" t="s">
        <v>19</v>
      </c>
      <c r="C3" s="45" t="s">
        <v>375</v>
      </c>
      <c r="D3" s="45" t="s">
        <v>426</v>
      </c>
      <c r="E3" s="52" t="s">
        <v>410</v>
      </c>
      <c r="F3" s="45" t="s">
        <v>411</v>
      </c>
      <c r="G3" s="12" t="s">
        <v>16</v>
      </c>
      <c r="H3" s="38" t="s">
        <v>8</v>
      </c>
      <c r="I3" s="38" t="s">
        <v>9</v>
      </c>
      <c r="J3" s="38" t="s">
        <v>10</v>
      </c>
      <c r="K3" s="38" t="s">
        <v>11</v>
      </c>
      <c r="L3" s="38" t="s">
        <v>12</v>
      </c>
      <c r="M3" s="38" t="s">
        <v>13</v>
      </c>
      <c r="N3" s="39" t="s">
        <v>14</v>
      </c>
      <c r="O3" s="12" t="s">
        <v>22</v>
      </c>
      <c r="P3" s="12" t="s">
        <v>7</v>
      </c>
      <c r="Q3" s="38" t="s">
        <v>8</v>
      </c>
      <c r="R3" s="38" t="s">
        <v>9</v>
      </c>
      <c r="S3" s="38" t="s">
        <v>10</v>
      </c>
      <c r="T3" s="38" t="s">
        <v>11</v>
      </c>
      <c r="U3" s="38" t="s">
        <v>12</v>
      </c>
      <c r="V3" s="38" t="s">
        <v>13</v>
      </c>
      <c r="W3" s="39" t="s">
        <v>14</v>
      </c>
      <c r="X3" s="12" t="s">
        <v>267</v>
      </c>
      <c r="Y3" s="6" t="s">
        <v>207</v>
      </c>
      <c r="Z3" s="6" t="s">
        <v>207</v>
      </c>
      <c r="AA3" s="12" t="s">
        <v>412</v>
      </c>
      <c r="AB3" s="12" t="s">
        <v>418</v>
      </c>
      <c r="AC3" s="13" t="s">
        <v>18</v>
      </c>
      <c r="AD3" s="13" t="s">
        <v>17</v>
      </c>
      <c r="AE3" s="15" t="s">
        <v>20</v>
      </c>
      <c r="AF3" s="6" t="s">
        <v>207</v>
      </c>
      <c r="AG3" s="35" t="s">
        <v>413</v>
      </c>
      <c r="AH3" s="6" t="s">
        <v>207</v>
      </c>
      <c r="AI3" s="55" t="s">
        <v>415</v>
      </c>
      <c r="AJ3" s="56" t="s">
        <v>416</v>
      </c>
      <c r="AK3" s="56" t="s">
        <v>417</v>
      </c>
    </row>
    <row r="4" spans="1:37" ht="13.8" thickTop="1" x14ac:dyDescent="0.25">
      <c r="B4" s="37" t="s">
        <v>419</v>
      </c>
      <c r="C4" s="19" t="str">
        <f>IFERROR(_xlfn.XLOOKUP(B4,'Limite de crédito'!C:C,'Limite de crédito'!L:L,),0)</f>
        <v>A</v>
      </c>
      <c r="D4" s="19"/>
      <c r="E4" s="53">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2">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2">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1"/>
      <c r="AE4" s="21"/>
      <c r="AF4" s="5"/>
      <c r="AG4" s="26">
        <f>AA4-G4</f>
        <v>1375000</v>
      </c>
    </row>
    <row r="5" spans="1:37" x14ac:dyDescent="0.25">
      <c r="B5" s="37" t="s">
        <v>346</v>
      </c>
      <c r="C5" s="19" t="str">
        <f>IFERROR(_xlfn.XLOOKUP(B5,'Limite de crédito'!C:C,'Limite de crédito'!L:L,),0)</f>
        <v>B</v>
      </c>
      <c r="D5" s="19"/>
      <c r="E5" s="53">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2">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2">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1"/>
      <c r="AE5" s="21"/>
      <c r="AF5" s="5"/>
      <c r="AG5" s="26">
        <f t="shared" ref="AG5:AG41" si="5">AA5-G5</f>
        <v>1100000</v>
      </c>
    </row>
    <row r="6" spans="1:37" x14ac:dyDescent="0.25">
      <c r="B6" s="17" t="s">
        <v>114</v>
      </c>
      <c r="C6" s="19" t="str">
        <f>IFERROR(_xlfn.XLOOKUP(B6,'Limite de crédito'!C:C,'Limite de crédito'!L:L,),0)</f>
        <v>B</v>
      </c>
      <c r="D6" s="53"/>
      <c r="E6" s="53">
        <f>_xlfn.XLOOKUP(B6,'Limite de crédito'!C:C,'Limite de crédito'!G:G,0)</f>
        <v>1650000</v>
      </c>
      <c r="F6" s="18">
        <f t="shared" si="3"/>
        <v>1342559.35</v>
      </c>
      <c r="G6" s="18">
        <f t="shared" si="2"/>
        <v>307440.64999999997</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2">
        <f>SUMIFS('Data International'!$D:$D,'Data International'!$P:$P,'Painel International'!$B6,'Data International'!$Q:$Q,"&gt;360")</f>
        <v>0</v>
      </c>
      <c r="O6" s="19">
        <f>SUMIFS('Data International'!$D:$D,'Data International'!$P:$P,'Painel International'!$B6,'Data International'!$Q:$Q,"&gt;0")</f>
        <v>0</v>
      </c>
      <c r="P6" s="19">
        <f t="shared" si="4"/>
        <v>307440.64999999997</v>
      </c>
      <c r="Q6" s="19">
        <f>SUMIFS('Data International'!$D:$D,'Data International'!$P:$P,'Painel International'!$B6,'Data International'!$Q:$Q,"&lt;=0",'Data International'!$Q:$Q,"&gt;=-30")</f>
        <v>307440.64999999997</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2">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1650000</v>
      </c>
      <c r="AB6" s="19"/>
      <c r="AC6" s="20"/>
      <c r="AD6" s="21"/>
      <c r="AE6" s="21"/>
      <c r="AF6" s="5"/>
      <c r="AG6" s="26">
        <f t="shared" si="5"/>
        <v>1342559.35</v>
      </c>
      <c r="AH6" s="5"/>
    </row>
    <row r="7" spans="1:37" x14ac:dyDescent="0.25">
      <c r="B7" s="37" t="s">
        <v>264</v>
      </c>
      <c r="C7" s="19" t="str">
        <f>IFERROR(_xlfn.XLOOKUP(B7,'Limite de crédito'!C:C,'Limite de crédito'!L:L,),0)</f>
        <v>B</v>
      </c>
      <c r="D7" s="53"/>
      <c r="E7" s="53">
        <f>_xlfn.XLOOKUP(B7,'Limite de crédito'!C:C,'Limite de crédito'!G:G,0)</f>
        <v>750000</v>
      </c>
      <c r="F7" s="18">
        <f t="shared" si="3"/>
        <v>104359.17000000004</v>
      </c>
      <c r="G7" s="18">
        <f t="shared" si="2"/>
        <v>645640.82999999996</v>
      </c>
      <c r="H7" s="19">
        <f>SUMIFS('Data International'!$D:$D,'Data International'!$P:$P,'Painel International'!$B7,'Data International'!$Q:$Q,"&gt;0",'Data International'!$Q:$Q,"&lt;=30")</f>
        <v>191959.21</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2">
        <f>SUMIFS('Data International'!$D:$D,'Data International'!$P:$P,'Painel International'!$B7,'Data International'!$Q:$Q,"&gt;360")</f>
        <v>0</v>
      </c>
      <c r="O7" s="19">
        <f>SUMIFS('Data International'!$D:$D,'Data International'!$P:$P,'Painel International'!$B7,'Data International'!$Q:$Q,"&gt;0")</f>
        <v>191959.21</v>
      </c>
      <c r="P7" s="19">
        <f t="shared" si="4"/>
        <v>453681.62</v>
      </c>
      <c r="Q7" s="19">
        <f>SUMIFS('Data International'!$D:$D,'Data International'!$P:$P,'Painel International'!$B7,'Data International'!$Q:$Q,"&lt;=0",'Data International'!$Q:$Q,"&gt;=-30")</f>
        <v>453681.62</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2">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1"/>
      <c r="AE7" s="21"/>
      <c r="AF7" s="5"/>
      <c r="AG7" s="26">
        <f>AA7-G7</f>
        <v>-95640.829999999958</v>
      </c>
    </row>
    <row r="8" spans="1:37" x14ac:dyDescent="0.25">
      <c r="B8" s="17" t="s">
        <v>118</v>
      </c>
      <c r="C8" s="19" t="str">
        <f>IFERROR(_xlfn.XLOOKUP(B8,'Limite de crédito'!C:C,'Limite de crédito'!L:L,),0)</f>
        <v>A</v>
      </c>
      <c r="D8" s="53"/>
      <c r="E8" s="53">
        <f>_xlfn.XLOOKUP(B8,'Limite de crédito'!C:C,'Limite de crédito'!G:G,0)</f>
        <v>1375000</v>
      </c>
      <c r="F8" s="18">
        <f t="shared" si="3"/>
        <v>769948.96</v>
      </c>
      <c r="G8" s="18">
        <f t="shared" si="2"/>
        <v>605051.04</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2">
        <f>SUMIFS('Data International'!$D:$D,'Data International'!$P:$P,'Painel International'!$B8,'Data International'!$Q:$Q,"&gt;360")</f>
        <v>0</v>
      </c>
      <c r="O8" s="19">
        <f>SUMIFS('Data International'!$D:$D,'Data International'!$P:$P,'Painel International'!$B8,'Data International'!$Q:$Q,"&gt;0")</f>
        <v>0</v>
      </c>
      <c r="P8" s="19">
        <f t="shared" si="4"/>
        <v>605051.04</v>
      </c>
      <c r="Q8" s="19">
        <f>SUMIFS('Data International'!$D:$D,'Data International'!$P:$P,'Painel International'!$B8,'Data International'!$Q:$Q,"&lt;=0",'Data International'!$Q:$Q,"&gt;=-30")</f>
        <v>605051.04</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2">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1375000</v>
      </c>
      <c r="AB8" s="19"/>
      <c r="AC8" s="20"/>
      <c r="AD8" s="21"/>
      <c r="AE8" s="21"/>
      <c r="AF8" s="5"/>
      <c r="AG8" s="26">
        <f t="shared" si="5"/>
        <v>769948.96</v>
      </c>
      <c r="AH8" s="5"/>
    </row>
    <row r="9" spans="1:37" x14ac:dyDescent="0.25">
      <c r="B9" s="37" t="s">
        <v>423</v>
      </c>
      <c r="C9" s="19" t="str">
        <f>IFERROR(_xlfn.XLOOKUP(B9,'Limite de crédito'!C:C,'Limite de crédito'!L:L,),0)</f>
        <v>B</v>
      </c>
      <c r="D9" s="19"/>
      <c r="E9" s="53">
        <f>_xlfn.XLOOKUP(B9,'Limite de crédito'!C:C,'Limite de crédito'!G:G,0)</f>
        <v>550000</v>
      </c>
      <c r="F9" s="18">
        <f t="shared" si="3"/>
        <v>550000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2">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2">
        <f>SUMIFS('Data International'!$D:$D,'Data International'!$P:$P,'Painel International'!$B9,'Data International'!$Q:$Q,"&lt;-360")</f>
        <v>0</v>
      </c>
      <c r="X9" s="19">
        <f>SUMIFS('Bad Debt Provision'!AB:AB,'Bad Debt Provision'!B:B,'Painel International'!B9)</f>
        <v>0</v>
      </c>
      <c r="Z9" s="5"/>
      <c r="AA9" s="19">
        <f>_xlfn.XLOOKUP(B9,'Limite de crédito'!C:C,'Limite de crédito'!O:O,0)</f>
        <v>550000</v>
      </c>
      <c r="AB9" s="19"/>
      <c r="AC9" s="20"/>
      <c r="AD9" s="21"/>
      <c r="AE9" s="21"/>
      <c r="AF9" s="5"/>
      <c r="AG9" s="26">
        <f t="shared" si="5"/>
        <v>550000</v>
      </c>
    </row>
    <row r="10" spans="1:37" x14ac:dyDescent="0.25">
      <c r="B10" s="37" t="s">
        <v>424</v>
      </c>
      <c r="C10" s="19" t="str">
        <f>IFERROR(_xlfn.XLOOKUP(B10,'Limite de crédito'!C:C,'Limite de crédito'!L:L,),0)</f>
        <v>A</v>
      </c>
      <c r="D10" s="19"/>
      <c r="E10" s="53">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2">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2">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1"/>
      <c r="AE10" s="21"/>
      <c r="AF10" s="5"/>
      <c r="AG10" s="26">
        <f t="shared" si="5"/>
        <v>226019.77000000002</v>
      </c>
    </row>
    <row r="11" spans="1:37" x14ac:dyDescent="0.25">
      <c r="B11" s="37" t="s">
        <v>376</v>
      </c>
      <c r="C11" s="19" t="str">
        <f>IFERROR(_xlfn.XLOOKUP(B11,'Limite de crédito'!C:C,'Limite de crédito'!L:L,),0)</f>
        <v>B</v>
      </c>
      <c r="D11" s="19"/>
      <c r="E11" s="53">
        <f>_xlfn.XLOOKUP(B11,'Limite de crédito'!C:C,'Limite de crédito'!G:G,0)</f>
        <v>275000</v>
      </c>
      <c r="F11" s="18">
        <f t="shared" si="3"/>
        <v>275000</v>
      </c>
      <c r="G11" s="18">
        <f t="shared" si="2"/>
        <v>0</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0</v>
      </c>
      <c r="K11" s="19">
        <f>SUMIFS('Data International'!$D:$D,'Data International'!$P:$P,'Painel International'!$B11,'Data International'!$Q:$Q,"&gt;90",'Data International'!$Q:$Q,"&lt;=120")</f>
        <v>0</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2">
        <f>SUMIFS('Data International'!$D:$D,'Data International'!$P:$P,'Painel International'!$B11,'Data International'!$Q:$Q,"&gt;360")</f>
        <v>0</v>
      </c>
      <c r="O11" s="19">
        <f>SUMIFS('Data International'!$D:$D,'Data International'!$P:$P,'Painel International'!$B11,'Data International'!$Q:$Q,"&gt;0")</f>
        <v>0</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2">
        <f>SUMIFS('Data International'!$D:$D,'Data International'!$P:$P,'Painel International'!$B11,'Data International'!$Q:$Q,"&lt;-360")</f>
        <v>0</v>
      </c>
      <c r="X11" s="19">
        <f>SUMIFS('Bad Debt Provision'!AB:AB,'Bad Debt Provision'!B:B,'Painel International'!B11)</f>
        <v>436.45049999999998</v>
      </c>
      <c r="Z11" s="5"/>
      <c r="AA11" s="19">
        <f>_xlfn.XLOOKUP(B11,'Limite de crédito'!C:C,'Limite de crédito'!O:O,0)</f>
        <v>275000</v>
      </c>
      <c r="AB11" s="19"/>
      <c r="AC11" s="20"/>
      <c r="AD11" s="21"/>
      <c r="AE11" s="21"/>
      <c r="AF11" s="5"/>
      <c r="AG11" s="26">
        <f t="shared" si="5"/>
        <v>275000</v>
      </c>
    </row>
    <row r="12" spans="1:37" x14ac:dyDescent="0.25">
      <c r="B12" s="37" t="s">
        <v>350</v>
      </c>
      <c r="C12" s="19" t="str">
        <f>IFERROR(_xlfn.XLOOKUP(B12,'Limite de crédito'!C:C,'Limite de crédito'!L:L,),0)</f>
        <v>A</v>
      </c>
      <c r="D12" s="19"/>
      <c r="E12" s="53">
        <f>_xlfn.XLOOKUP(B12,'Limite de crédito'!C:C,'Limite de crédito'!G:G,0)</f>
        <v>660000</v>
      </c>
      <c r="F12" s="18">
        <f t="shared" si="3"/>
        <v>660000</v>
      </c>
      <c r="G12" s="18">
        <f t="shared" si="2"/>
        <v>0</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2">
        <f>SUMIFS('Data International'!$D:$D,'Data International'!$P:$P,'Painel International'!$B12,'Data International'!$Q:$Q,"&gt;360")</f>
        <v>0</v>
      </c>
      <c r="O12" s="19">
        <f>SUMIFS('Data International'!$D:$D,'Data International'!$P:$P,'Painel International'!$B12,'Data International'!$Q:$Q,"&gt;0")</f>
        <v>0</v>
      </c>
      <c r="P12" s="19">
        <f t="shared" si="4"/>
        <v>0</v>
      </c>
      <c r="Q12" s="19">
        <f>SUMIFS('Data International'!$D:$D,'Data International'!$P:$P,'Painel International'!$B12,'Data International'!$Q:$Q,"&lt;=0",'Data International'!$Q:$Q,"&gt;=-30")</f>
        <v>0</v>
      </c>
      <c r="R12" s="19">
        <f>SUMIFS('Data International'!$D:$D,'Data International'!$P:$P,'Painel International'!$B12,'Data International'!$Q:$Q,"&lt;=-31",'Data International'!$Q:$Q,"&gt;=-60")</f>
        <v>0</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2">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1"/>
      <c r="AE12" s="21"/>
      <c r="AF12" s="5"/>
      <c r="AG12" s="26">
        <f t="shared" si="5"/>
        <v>660000</v>
      </c>
    </row>
    <row r="13" spans="1:37" x14ac:dyDescent="0.25">
      <c r="B13" s="37" t="s">
        <v>302</v>
      </c>
      <c r="C13" s="19">
        <f>IFERROR(_xlfn.XLOOKUP(B13,'Limite de crédito'!C:C,'Limite de crédito'!L:L,),0)</f>
        <v>0</v>
      </c>
      <c r="D13" s="19"/>
      <c r="E13" s="53">
        <f>_xlfn.XLOOKUP(B13,'Limite de crédito'!C:C,'Limite de crédito'!G:G,0)</f>
        <v>5000000</v>
      </c>
      <c r="F13" s="18">
        <f t="shared" si="3"/>
        <v>1225424.5999999996</v>
      </c>
      <c r="G13" s="18">
        <f t="shared" si="2"/>
        <v>3774575.4000000004</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2">
        <f>SUMIFS('Data International'!$D:$D,'Data International'!$P:$P,'Painel International'!$B13,'Data International'!$Q:$Q,"&gt;360")</f>
        <v>0</v>
      </c>
      <c r="O13" s="19">
        <f>SUMIFS('Data International'!$D:$D,'Data International'!$P:$P,'Painel International'!$B13,'Data International'!$Q:$Q,"&gt;0")</f>
        <v>0</v>
      </c>
      <c r="P13" s="19">
        <f t="shared" si="4"/>
        <v>3774575.4000000004</v>
      </c>
      <c r="Q13" s="19">
        <f>SUMIFS('Data International'!$D:$D,'Data International'!$P:$P,'Painel International'!$B13,'Data International'!$Q:$Q,"&lt;=0",'Data International'!$Q:$Q,"&gt;=-30")</f>
        <v>0</v>
      </c>
      <c r="R13" s="19">
        <f>SUMIFS('Data International'!$D:$D,'Data International'!$P:$P,'Painel International'!$B13,'Data International'!$Q:$Q,"&lt;=-31",'Data International'!$Q:$Q,"&gt;=-60")</f>
        <v>668371.59000000008</v>
      </c>
      <c r="S13" s="19">
        <f>SUMIFS('Data International'!$D:$D,'Data International'!$P:$P,'Painel International'!$B13,'Data International'!$Q:$Q,"&lt;=-61",'Data International'!$Q:$Q,"&gt;=-90")</f>
        <v>3106203.81</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2">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1"/>
      <c r="AE13" s="21"/>
      <c r="AF13" s="5"/>
      <c r="AG13" s="26">
        <f>AA13-G13</f>
        <v>-3774575.4000000004</v>
      </c>
    </row>
    <row r="14" spans="1:37" x14ac:dyDescent="0.25">
      <c r="B14" s="37" t="s">
        <v>327</v>
      </c>
      <c r="C14" s="19" t="str">
        <f>IFERROR(_xlfn.XLOOKUP(B14,'Limite de crédito'!C:C,'Limite de crédito'!L:L,),0)</f>
        <v>D</v>
      </c>
      <c r="D14" s="19"/>
      <c r="E14" s="53">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2">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2">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1"/>
      <c r="AE14" s="21"/>
      <c r="AF14" s="5"/>
      <c r="AG14" s="26">
        <f t="shared" si="5"/>
        <v>550000</v>
      </c>
    </row>
    <row r="15" spans="1:37" x14ac:dyDescent="0.25">
      <c r="B15" s="37" t="s">
        <v>319</v>
      </c>
      <c r="C15" s="19">
        <f>IFERROR(_xlfn.XLOOKUP(B15,'Limite de crédito'!C:C,'Limite de crédito'!L:L,),0)</f>
        <v>0</v>
      </c>
      <c r="D15" s="19"/>
      <c r="E15" s="53">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2">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2">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1"/>
      <c r="AE15" s="21"/>
      <c r="AF15" s="5"/>
      <c r="AG15" s="26">
        <f t="shared" si="5"/>
        <v>1375000</v>
      </c>
    </row>
    <row r="16" spans="1:37" x14ac:dyDescent="0.25">
      <c r="B16" s="17" t="s">
        <v>120</v>
      </c>
      <c r="C16" s="19" t="str">
        <f>IFERROR(_xlfn.XLOOKUP(B16,'Limite de crédito'!C:C,'Limite de crédito'!L:L,),0)</f>
        <v>D</v>
      </c>
      <c r="D16" s="53"/>
      <c r="E16" s="53">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2">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2">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1"/>
      <c r="AE16" s="21"/>
      <c r="AF16" s="5"/>
      <c r="AG16" s="26">
        <f t="shared" si="5"/>
        <v>550000</v>
      </c>
      <c r="AH16" s="5"/>
    </row>
    <row r="17" spans="2:34" x14ac:dyDescent="0.25">
      <c r="B17" s="37" t="s">
        <v>333</v>
      </c>
      <c r="C17" s="19" t="str">
        <f>IFERROR(_xlfn.XLOOKUP(B17,'Limite de crédito'!C:C,'Limite de crédito'!L:L,),0)</f>
        <v>B</v>
      </c>
      <c r="D17" s="19"/>
      <c r="E17" s="53">
        <f>_xlfn.XLOOKUP(B17,'Limite de crédito'!C:C,'Limite de crédito'!G:G,0)</f>
        <v>990000</v>
      </c>
      <c r="F17" s="18">
        <f t="shared" si="3"/>
        <v>724957.42</v>
      </c>
      <c r="G17" s="18">
        <f t="shared" si="2"/>
        <v>265042.57999999996</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2">
        <f>SUMIFS('Data International'!$D:$D,'Data International'!$P:$P,'Painel International'!$B17,'Data International'!$Q:$Q,"&gt;360")</f>
        <v>0</v>
      </c>
      <c r="O17" s="19">
        <f>SUMIFS('Data International'!$D:$D,'Data International'!$P:$P,'Painel International'!$B17,'Data International'!$Q:$Q,"&gt;0")</f>
        <v>0</v>
      </c>
      <c r="P17" s="19">
        <f t="shared" si="4"/>
        <v>265042.57999999996</v>
      </c>
      <c r="Q17" s="19">
        <f>SUMIFS('Data International'!$D:$D,'Data International'!$P:$P,'Painel International'!$B17,'Data International'!$Q:$Q,"&lt;=0",'Data International'!$Q:$Q,"&gt;=-30")</f>
        <v>265042.57999999996</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2">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1"/>
      <c r="AE17" s="21"/>
      <c r="AF17" s="5"/>
      <c r="AG17" s="26">
        <f t="shared" si="5"/>
        <v>724957.42</v>
      </c>
    </row>
    <row r="18" spans="2:34" x14ac:dyDescent="0.25">
      <c r="B18" s="17" t="s">
        <v>119</v>
      </c>
      <c r="C18" s="19" t="str">
        <f>IFERROR(_xlfn.XLOOKUP(B18,'Limite de crédito'!C:C,'Limite de crédito'!L:L,),0)</f>
        <v>B</v>
      </c>
      <c r="D18" s="54"/>
      <c r="E18" s="53">
        <f>_xlfn.XLOOKUP(B18,'Limite de crédito'!C:C,'Limite de crédito'!G:G,0)</f>
        <v>660000</v>
      </c>
      <c r="F18" s="18">
        <f t="shared" si="3"/>
        <v>122302.19999999995</v>
      </c>
      <c r="G18" s="18">
        <f t="shared" si="2"/>
        <v>537697.80000000005</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2">
        <f>SUMIFS('Data International'!$D:$D,'Data International'!$P:$P,'Painel International'!$B18,'Data International'!$Q:$Q,"&gt;360")</f>
        <v>0</v>
      </c>
      <c r="O18" s="19">
        <f>SUMIFS('Data International'!$D:$D,'Data International'!$P:$P,'Painel International'!$B18,'Data International'!$Q:$Q,"&gt;0")</f>
        <v>0</v>
      </c>
      <c r="P18" s="19">
        <f t="shared" si="4"/>
        <v>537697.80000000005</v>
      </c>
      <c r="Q18" s="19">
        <f>SUMIFS('Data International'!$D:$D,'Data International'!$P:$P,'Painel International'!$B18,'Data International'!$Q:$Q,"&lt;=0",'Data International'!$Q:$Q,"&gt;=-30")</f>
        <v>0</v>
      </c>
      <c r="R18" s="19">
        <f>SUMIFS('Data International'!$D:$D,'Data International'!$P:$P,'Painel International'!$B18,'Data International'!$Q:$Q,"&lt;=-31",'Data International'!$Q:$Q,"&gt;=-60")</f>
        <v>91784.41</v>
      </c>
      <c r="S18" s="19">
        <f>SUMIFS('Data International'!$D:$D,'Data International'!$P:$P,'Painel International'!$B18,'Data International'!$Q:$Q,"&lt;=-61",'Data International'!$Q:$Q,"&gt;=-90")</f>
        <v>445913.39</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2">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1"/>
      <c r="AE18" s="21"/>
      <c r="AF18" s="5"/>
      <c r="AG18" s="26">
        <f t="shared" si="5"/>
        <v>122302.19999999995</v>
      </c>
      <c r="AH18" s="5"/>
    </row>
    <row r="19" spans="2:34" x14ac:dyDescent="0.25">
      <c r="B19" s="37" t="s">
        <v>429</v>
      </c>
      <c r="C19" s="19" t="str">
        <f>IFERROR(_xlfn.XLOOKUP(B19,'Limite de crédito'!C:C,'Limite de crédito'!L:L,),0)</f>
        <v>D</v>
      </c>
      <c r="D19" s="19"/>
      <c r="E19" s="53">
        <f>_xlfn.XLOOKUP(B19,'Limite de crédito'!C:C,'Limite de crédito'!G:G,0)</f>
        <v>275000</v>
      </c>
      <c r="F19" s="18">
        <f t="shared" si="3"/>
        <v>275000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2">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2">
        <f>SUMIFS('Data International'!$D:$D,'Data International'!$P:$P,'Painel International'!$B19,'Data International'!$Q:$Q,"&lt;-360")</f>
        <v>0</v>
      </c>
      <c r="X19" s="19">
        <f>SUMIFS('Bad Debt Provision'!AB:AB,'Bad Debt Provision'!B:B,'Painel International'!B19)</f>
        <v>0</v>
      </c>
      <c r="Z19" s="5"/>
      <c r="AA19" s="19">
        <f>_xlfn.XLOOKUP(B19,'Limite de crédito'!C:C,'Limite de crédito'!O:O,0)</f>
        <v>275000</v>
      </c>
      <c r="AB19" s="19"/>
      <c r="AC19" s="20"/>
      <c r="AD19" s="21"/>
      <c r="AE19" s="21"/>
      <c r="AF19" s="5"/>
      <c r="AG19" s="26">
        <f t="shared" si="5"/>
        <v>275000</v>
      </c>
    </row>
    <row r="20" spans="2:34" ht="13.95" customHeight="1" x14ac:dyDescent="0.25">
      <c r="B20" s="37" t="s">
        <v>313</v>
      </c>
      <c r="C20" s="19" t="str">
        <f>IFERROR(_xlfn.XLOOKUP(B20,'Limite de crédito'!C:C,'Limite de crédito'!L:L,),0)</f>
        <v>A</v>
      </c>
      <c r="D20" s="19"/>
      <c r="E20" s="53">
        <f>_xlfn.XLOOKUP(B20,'Limite de crédito'!C:C,'Limite de crédito'!G:G,0)</f>
        <v>770000</v>
      </c>
      <c r="F20" s="18">
        <f t="shared" si="3"/>
        <v>594724.76</v>
      </c>
      <c r="G20" s="18">
        <f t="shared" si="2"/>
        <v>175275.24</v>
      </c>
      <c r="H20" s="19">
        <f>SUMIFS('Data International'!$D:$D,'Data International'!$P:$P,'Painel International'!$B20,'Data International'!$Q:$Q,"&gt;0",'Data International'!$Q:$Q,"&lt;=30")</f>
        <v>175275.24</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2">
        <f>SUMIFS('Data International'!$D:$D,'Data International'!$P:$P,'Painel International'!$B20,'Data International'!$Q:$Q,"&gt;360")</f>
        <v>0</v>
      </c>
      <c r="O20" s="19">
        <f>SUMIFS('Data International'!$D:$D,'Data International'!$P:$P,'Painel International'!$B20,'Data International'!$Q:$Q,"&gt;0")</f>
        <v>175275.24</v>
      </c>
      <c r="P20" s="19">
        <f t="shared" si="4"/>
        <v>0</v>
      </c>
      <c r="Q20" s="19">
        <f>SUMIFS('Data International'!$D:$D,'Data International'!$P:$P,'Painel International'!$B20,'Data International'!$Q:$Q,"&lt;=0",'Data International'!$Q:$Q,"&gt;=-30")</f>
        <v>0</v>
      </c>
      <c r="R20" s="19">
        <f>SUMIFS('Data International'!$D:$D,'Data International'!$P:$P,'Painel International'!$B20,'Data International'!$Q:$Q,"&lt;=-31",'Data International'!$Q:$Q,"&gt;=-60")</f>
        <v>0</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2">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1"/>
      <c r="AE20" s="21"/>
      <c r="AF20" s="5"/>
      <c r="AG20" s="26">
        <f t="shared" si="5"/>
        <v>594724.76</v>
      </c>
    </row>
    <row r="21" spans="2:34" x14ac:dyDescent="0.25">
      <c r="B21" s="37" t="s">
        <v>162</v>
      </c>
      <c r="C21" s="19" t="str">
        <f>IFERROR(_xlfn.XLOOKUP(B21,'Limite de crédito'!C:C,'Limite de crédito'!L:L,),0)</f>
        <v>B</v>
      </c>
      <c r="D21" s="19"/>
      <c r="E21" s="53">
        <f>_xlfn.XLOOKUP(B21,'Limite de crédito'!C:C,'Limite de crédito'!G:G,0)</f>
        <v>275000</v>
      </c>
      <c r="F21" s="18">
        <f t="shared" si="3"/>
        <v>10165.160000000033</v>
      </c>
      <c r="G21" s="18">
        <f t="shared" si="2"/>
        <v>264834.83999999997</v>
      </c>
      <c r="H21" s="19">
        <f>SUMIFS('Data International'!$D:$D,'Data International'!$P:$P,'Painel International'!$B21,'Data International'!$Q:$Q,"&gt;0",'Data International'!$Q:$Q,"&lt;=30")</f>
        <v>133551.97</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2">
        <f>SUMIFS('Data International'!$D:$D,'Data International'!$P:$P,'Painel International'!$B21,'Data International'!$Q:$Q,"&gt;360")</f>
        <v>0</v>
      </c>
      <c r="O21" s="19">
        <f>SUMIFS('Data International'!$D:$D,'Data International'!$P:$P,'Painel International'!$B21,'Data International'!$Q:$Q,"&gt;0")</f>
        <v>133551.97</v>
      </c>
      <c r="P21" s="19">
        <f t="shared" si="4"/>
        <v>131282.87</v>
      </c>
      <c r="Q21" s="19">
        <f>SUMIFS('Data International'!$D:$D,'Data International'!$P:$P,'Painel International'!$B21,'Data International'!$Q:$Q,"&lt;=0",'Data International'!$Q:$Q,"&gt;=-30")</f>
        <v>0</v>
      </c>
      <c r="R21" s="19">
        <f>SUMIFS('Data International'!$D:$D,'Data International'!$P:$P,'Painel International'!$B21,'Data International'!$Q:$Q,"&lt;=-31",'Data International'!$Q:$Q,"&gt;=-60")</f>
        <v>131282.87</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2">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1"/>
      <c r="AE21" s="21"/>
      <c r="AF21" s="5"/>
      <c r="AG21" s="26">
        <f t="shared" si="5"/>
        <v>10165.160000000033</v>
      </c>
    </row>
    <row r="22" spans="2:34" x14ac:dyDescent="0.25">
      <c r="B22" s="37" t="s">
        <v>452</v>
      </c>
      <c r="C22" s="19" t="str">
        <f>IFERROR(_xlfn.XLOOKUP(B22,'Limite de crédito'!C:C,'Limite de crédito'!L:L,),0)</f>
        <v>AA</v>
      </c>
      <c r="D22" s="19"/>
      <c r="E22" s="53">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2">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2">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1"/>
      <c r="AE22" s="21"/>
      <c r="AF22" s="5"/>
      <c r="AG22" s="26">
        <f t="shared" si="5"/>
        <v>1375000</v>
      </c>
    </row>
    <row r="23" spans="2:34" x14ac:dyDescent="0.25">
      <c r="B23" s="37" t="s">
        <v>453</v>
      </c>
      <c r="C23" s="19" t="str">
        <f>IFERROR(_xlfn.XLOOKUP(B23,'Limite de crédito'!C:C,'Limite de crédito'!L:L,),0)</f>
        <v>B</v>
      </c>
      <c r="D23" s="19"/>
      <c r="E23" s="53">
        <f>_xlfn.XLOOKUP(B23,'Limite de crédito'!C:C,'Limite de crédito'!G:G,0)</f>
        <v>550000</v>
      </c>
      <c r="F23" s="18">
        <f t="shared" si="3"/>
        <v>550000</v>
      </c>
      <c r="G23" s="18">
        <f t="shared" si="2"/>
        <v>0</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2">
        <f>SUMIFS('Data International'!$D:$D,'Data International'!$P:$P,'Painel International'!$B23,'Data International'!$Q:$Q,"&gt;360")</f>
        <v>0</v>
      </c>
      <c r="O23" s="19">
        <f>SUMIFS('Data International'!$D:$D,'Data International'!$P:$P,'Painel International'!$B23,'Data International'!$Q:$Q,"&gt;0")</f>
        <v>0</v>
      </c>
      <c r="P23" s="19">
        <f t="shared" si="4"/>
        <v>0</v>
      </c>
      <c r="Q23" s="19">
        <f>SUMIFS('Data International'!$D:$D,'Data International'!$P:$P,'Painel International'!$B23,'Data International'!$Q:$Q,"&lt;=0",'Data International'!$Q:$Q,"&gt;=-30")</f>
        <v>0</v>
      </c>
      <c r="R23" s="19">
        <f>SUMIFS('Data International'!$D:$D,'Data International'!$P:$P,'Painel International'!$B23,'Data International'!$Q:$Q,"&lt;=-31",'Data International'!$Q:$Q,"&gt;=-60")</f>
        <v>0</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2">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1"/>
      <c r="AE23" s="21"/>
      <c r="AF23" s="5"/>
      <c r="AG23" s="26">
        <f>AA23-G23</f>
        <v>550000</v>
      </c>
    </row>
    <row r="24" spans="2:34" x14ac:dyDescent="0.25">
      <c r="B24" s="37" t="s">
        <v>296</v>
      </c>
      <c r="C24" s="19">
        <f>IFERROR(_xlfn.XLOOKUP(B24,'Limite de crédito'!C:C,'Limite de crédito'!L:L,),0)</f>
        <v>0</v>
      </c>
      <c r="D24" s="19"/>
      <c r="E24" s="53">
        <f>_xlfn.XLOOKUP(B24,'Limite de crédito'!C:C,'Limite de crédito'!G:G,0)</f>
        <v>200000</v>
      </c>
      <c r="F24" s="18">
        <f t="shared" si="3"/>
        <v>35702.950000000012</v>
      </c>
      <c r="G24" s="18">
        <f t="shared" si="2"/>
        <v>164297.04999999999</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2">
        <f>SUMIFS('Data International'!$D:$D,'Data International'!$P:$P,'Painel International'!$B24,'Data International'!$Q:$Q,"&gt;360")</f>
        <v>0</v>
      </c>
      <c r="O24" s="19">
        <f>SUMIFS('Data International'!$D:$D,'Data International'!$P:$P,'Painel International'!$B24,'Data International'!$Q:$Q,"&gt;0")</f>
        <v>0</v>
      </c>
      <c r="P24" s="19">
        <f t="shared" si="4"/>
        <v>164297.04999999999</v>
      </c>
      <c r="Q24" s="19">
        <f>SUMIFS('Data International'!$D:$D,'Data International'!$P:$P,'Painel International'!$B24,'Data International'!$Q:$Q,"&lt;=0",'Data International'!$Q:$Q,"&gt;=-30")</f>
        <v>164297.04999999999</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2">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1"/>
      <c r="AE24" s="21"/>
      <c r="AF24" s="5"/>
      <c r="AG24" s="26">
        <f>AA24-G24</f>
        <v>-164297.04999999999</v>
      </c>
    </row>
    <row r="25" spans="2:34" x14ac:dyDescent="0.25">
      <c r="B25" s="37" t="s">
        <v>318</v>
      </c>
      <c r="C25" s="19" t="str">
        <f>IFERROR(_xlfn.XLOOKUP(B25,'Limite de crédito'!C:C,'Limite de crédito'!L:L,),0)</f>
        <v>B</v>
      </c>
      <c r="D25" s="19"/>
      <c r="E25" s="53">
        <f>_xlfn.XLOOKUP(B25,'Limite de crédito'!C:C,'Limite de crédito'!G:G,0)</f>
        <v>1100000</v>
      </c>
      <c r="F25" s="18">
        <f t="shared" si="3"/>
        <v>1100000</v>
      </c>
      <c r="G25" s="18">
        <f t="shared" si="2"/>
        <v>0</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2">
        <f>SUMIFS('Data International'!$D:$D,'Data International'!$P:$P,'Painel International'!$B25,'Data International'!$Q:$Q,"&gt;360")</f>
        <v>0</v>
      </c>
      <c r="O25" s="19">
        <f>SUMIFS('Data International'!$D:$D,'Data International'!$P:$P,'Painel International'!$B25,'Data International'!$Q:$Q,"&gt;0")</f>
        <v>0</v>
      </c>
      <c r="P25" s="19">
        <f t="shared" si="4"/>
        <v>0</v>
      </c>
      <c r="Q25" s="19">
        <f>SUMIFS('Data International'!$D:$D,'Data International'!$P:$P,'Painel International'!$B25,'Data International'!$Q:$Q,"&lt;=0",'Data International'!$Q:$Q,"&gt;=-30")</f>
        <v>0</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2">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1"/>
      <c r="AE25" s="21"/>
      <c r="AF25" s="5"/>
      <c r="AG25" s="26">
        <f t="shared" si="5"/>
        <v>1100000</v>
      </c>
    </row>
    <row r="26" spans="2:34" ht="13.95" customHeight="1" x14ac:dyDescent="0.25">
      <c r="B26" s="37" t="s">
        <v>341</v>
      </c>
      <c r="C26" s="19" t="str">
        <f>IFERROR(_xlfn.XLOOKUP(B26,'Limite de crédito'!C:C,'Limite de crédito'!L:L,),0)</f>
        <v>B</v>
      </c>
      <c r="D26" s="19"/>
      <c r="E26" s="53">
        <f>_xlfn.XLOOKUP(B26,'Limite de crédito'!C:C,'Limite de crédito'!G:G,0)</f>
        <v>605000</v>
      </c>
      <c r="F26" s="18">
        <f t="shared" si="3"/>
        <v>605000</v>
      </c>
      <c r="G26" s="18">
        <f t="shared" si="2"/>
        <v>0</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2">
        <f>SUMIFS('Data International'!$D:$D,'Data International'!$P:$P,'Painel International'!$B26,'Data International'!$Q:$Q,"&gt;360")</f>
        <v>0</v>
      </c>
      <c r="O26" s="19">
        <f>SUMIFS('Data International'!$D:$D,'Data International'!$P:$P,'Painel International'!$B26,'Data International'!$Q:$Q,"&gt;0")</f>
        <v>0</v>
      </c>
      <c r="P26" s="19">
        <f t="shared" si="4"/>
        <v>0</v>
      </c>
      <c r="Q26" s="19">
        <f>SUMIFS('Data International'!$D:$D,'Data International'!$P:$P,'Painel International'!$B26,'Data International'!$Q:$Q,"&lt;=0",'Data International'!$Q:$Q,"&gt;=-30")</f>
        <v>0</v>
      </c>
      <c r="R26" s="19">
        <f>SUMIFS('Data International'!$D:$D,'Data International'!$P:$P,'Painel International'!$B26,'Data International'!$Q:$Q,"&lt;=-31",'Data International'!$Q:$Q,"&gt;=-60")</f>
        <v>0</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2">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1"/>
      <c r="AE26" s="21"/>
      <c r="AF26" s="5"/>
      <c r="AG26" s="26">
        <f t="shared" si="5"/>
        <v>605000</v>
      </c>
    </row>
    <row r="27" spans="2:34" x14ac:dyDescent="0.25">
      <c r="B27" s="37" t="s">
        <v>116</v>
      </c>
      <c r="C27" s="19">
        <f>IFERROR(_xlfn.XLOOKUP(B27,'Limite de crédito'!C:C,'Limite de crédito'!L:L,),0)</f>
        <v>0</v>
      </c>
      <c r="D27" s="19"/>
      <c r="E27" s="53">
        <f>_xlfn.XLOOKUP(B27,'Limite de crédito'!C:C,'Limite de crédito'!G:G,0)</f>
        <v>320000</v>
      </c>
      <c r="F27" s="18">
        <f t="shared" si="3"/>
        <v>187690.67</v>
      </c>
      <c r="G27" s="18">
        <f t="shared" si="2"/>
        <v>132309.32999999999</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0</v>
      </c>
      <c r="M27" s="19">
        <f>SUMIFS('Data International'!$D:$D,'Data International'!$P:$P,'Painel International'!$B27,'Data International'!$Q:$Q,"&gt;180",'Data International'!$Q:$Q,"&lt;=360")</f>
        <v>0</v>
      </c>
      <c r="N27" s="22">
        <f>SUMIFS('Data International'!$D:$D,'Data International'!$P:$P,'Painel International'!$B27,'Data International'!$Q:$Q,"&gt;360")</f>
        <v>0</v>
      </c>
      <c r="O27" s="19">
        <f>SUMIFS('Data International'!$D:$D,'Data International'!$P:$P,'Painel International'!$B27,'Data International'!$Q:$Q,"&gt;0")</f>
        <v>0</v>
      </c>
      <c r="P27" s="19">
        <f t="shared" si="4"/>
        <v>132309.32999999999</v>
      </c>
      <c r="Q27" s="19">
        <f>SUMIFS('Data International'!$D:$D,'Data International'!$P:$P,'Painel International'!$B27,'Data International'!$Q:$Q,"&lt;=0",'Data International'!$Q:$Q,"&gt;=-30")</f>
        <v>0</v>
      </c>
      <c r="R27" s="19">
        <f>SUMIFS('Data International'!$D:$D,'Data International'!$P:$P,'Painel International'!$B27,'Data International'!$Q:$Q,"&lt;=-31",'Data International'!$Q:$Q,"&gt;=-60")</f>
        <v>132309.32999999999</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2">
        <f>SUMIFS('Data International'!$D:$D,'Data International'!$P:$P,'Painel International'!$B27,'Data International'!$Q:$Q,"&lt;-360")</f>
        <v>0</v>
      </c>
      <c r="X27" s="19">
        <f>SUMIFS('Bad Debt Provision'!AB:AB,'Bad Debt Provision'!B:B,'Painel International'!B27)</f>
        <v>0</v>
      </c>
      <c r="Z27" s="5"/>
      <c r="AA27" s="19">
        <f>_xlfn.XLOOKUP(B27,'Limite de crédito'!C:C,'Limite de crédito'!O:O,0)</f>
        <v>0</v>
      </c>
      <c r="AB27" s="19"/>
      <c r="AC27" s="20"/>
      <c r="AD27" s="21"/>
      <c r="AE27" s="21"/>
      <c r="AF27" s="5"/>
      <c r="AG27" s="26">
        <f>AA27-G27</f>
        <v>-132309.32999999999</v>
      </c>
    </row>
    <row r="28" spans="2:34" x14ac:dyDescent="0.25">
      <c r="B28" s="37" t="s">
        <v>484</v>
      </c>
      <c r="C28" s="19">
        <f>IFERROR(_xlfn.XLOOKUP(B28,'Limite de crédito'!C:C,'Limite de crédito'!L:L,),0)</f>
        <v>0</v>
      </c>
      <c r="D28" s="19"/>
      <c r="E28" s="53">
        <f>_xlfn.XLOOKUP(B28,'Limite de crédito'!C:C,'Limite de crédito'!G:G,0)</f>
        <v>0</v>
      </c>
      <c r="F28" s="18">
        <f t="shared" si="3"/>
        <v>0</v>
      </c>
      <c r="G28" s="18">
        <f t="shared" si="2"/>
        <v>0</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2">
        <f>SUMIFS('Data International'!$D:$D,'Data International'!$P:$P,'Painel International'!$B28,'Data International'!$Q:$Q,"&gt;360")</f>
        <v>0</v>
      </c>
      <c r="O28" s="19">
        <f>SUMIFS('Data International'!$D:$D,'Data International'!$P:$P,'Painel International'!$B28,'Data International'!$Q:$Q,"&gt;0")</f>
        <v>0</v>
      </c>
      <c r="P28" s="19">
        <f t="shared" si="4"/>
        <v>0</v>
      </c>
      <c r="Q28" s="19">
        <f>SUMIFS('Data International'!$D:$D,'Data International'!$P:$P,'Painel International'!$B28,'Data International'!$Q:$Q,"&lt;=0",'Data International'!$Q:$Q,"&gt;=-30")</f>
        <v>0</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2">
        <f>SUMIFS('Data International'!$D:$D,'Data International'!$P:$P,'Painel International'!$B28,'Data International'!$Q:$Q,"&lt;-360")</f>
        <v>0</v>
      </c>
      <c r="X28" s="19">
        <f>SUMIFS('Bad Debt Provision'!AB:AB,'Bad Debt Provision'!B:B,'Painel International'!B28)</f>
        <v>0</v>
      </c>
      <c r="Z28" s="5"/>
      <c r="AA28" s="19">
        <f>_xlfn.XLOOKUP(B28,'Limite de crédito'!C:C,'Limite de crédito'!O:O,0)</f>
        <v>0</v>
      </c>
      <c r="AB28" s="19"/>
      <c r="AC28" s="20"/>
      <c r="AD28" s="21"/>
      <c r="AE28" s="21"/>
      <c r="AF28" s="5"/>
      <c r="AG28" s="26">
        <f t="shared" si="5"/>
        <v>0</v>
      </c>
    </row>
    <row r="29" spans="2:34" x14ac:dyDescent="0.25">
      <c r="B29" s="37" t="s">
        <v>504</v>
      </c>
      <c r="C29" s="19" t="str">
        <f>IFERROR(_xlfn.XLOOKUP(B29,'Limite de crédito'!C:C,'Limite de crédito'!L:L,),0)</f>
        <v>A</v>
      </c>
      <c r="D29" s="19"/>
      <c r="E29" s="53">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2">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2">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1"/>
      <c r="AE29" s="21"/>
      <c r="AF29" s="5"/>
      <c r="AG29" s="26">
        <f t="shared" si="5"/>
        <v>660000</v>
      </c>
    </row>
    <row r="30" spans="2:34" x14ac:dyDescent="0.25">
      <c r="B30" s="37" t="s">
        <v>550</v>
      </c>
      <c r="C30" s="19" t="str">
        <f>IFERROR(_xlfn.XLOOKUP(B30,'Limite de crédito'!C:C,'Limite de crédito'!L:L,),0)</f>
        <v>B</v>
      </c>
      <c r="D30" s="19"/>
      <c r="E30" s="53">
        <f>_xlfn.XLOOKUP(B30,'Limite de crédito'!C:C,'Limite de crédito'!G:G,0)</f>
        <v>990000</v>
      </c>
      <c r="F30" s="18">
        <f t="shared" ref="F30" si="9">E30-G30</f>
        <v>940043.32</v>
      </c>
      <c r="G30" s="18">
        <f t="shared" ref="G30" si="10">P30+O30</f>
        <v>49956.68</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2">
        <f>SUMIFS('Data International'!$D:$D,'Data International'!$P:$P,'Painel International'!$B30,'Data International'!$Q:$Q,"&gt;360")</f>
        <v>0</v>
      </c>
      <c r="O30" s="19">
        <f>SUMIFS('Data International'!$D:$D,'Data International'!$P:$P,'Painel International'!$B30,'Data International'!$Q:$Q,"&gt;0")</f>
        <v>0</v>
      </c>
      <c r="P30" s="19">
        <f t="shared" ref="P30" si="11">SUM(Q30:W30)</f>
        <v>49956.68</v>
      </c>
      <c r="Q30" s="19">
        <f>SUMIFS('Data International'!$D:$D,'Data International'!$P:$P,'Painel International'!$B30,'Data International'!$Q:$Q,"&lt;=0",'Data International'!$Q:$Q,"&gt;=-30")</f>
        <v>49956.68</v>
      </c>
      <c r="R30" s="19">
        <f>SUMIFS('Data International'!$D:$D,'Data International'!$P:$P,'Painel International'!$B30,'Data International'!$Q:$Q,"&lt;=-31",'Data International'!$Q:$Q,"&gt;=-60")</f>
        <v>0</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2">
        <f>SUMIFS('Data International'!$D:$D,'Data International'!$P:$P,'Painel International'!$B30,'Data International'!$Q:$Q,"&lt;-360")</f>
        <v>0</v>
      </c>
      <c r="X30" s="19">
        <f>SUMIFS('Bad Debt Provision'!AB:AB,'Bad Debt Provision'!B:B,'Painel International'!B30)</f>
        <v>0</v>
      </c>
      <c r="Z30" s="5"/>
      <c r="AA30" s="19">
        <f>_xlfn.XLOOKUP(B30,'Limite de crédito'!C:C,'Limite de crédito'!O:O,0)</f>
        <v>990000</v>
      </c>
      <c r="AB30" s="19"/>
      <c r="AC30" s="20"/>
      <c r="AD30" s="21"/>
      <c r="AE30" s="21"/>
      <c r="AF30" s="5"/>
      <c r="AG30" s="26">
        <f t="shared" si="5"/>
        <v>940043.32</v>
      </c>
    </row>
    <row r="31" spans="2:34" x14ac:dyDescent="0.25">
      <c r="B31" s="37" t="s">
        <v>274</v>
      </c>
      <c r="C31" s="19" t="str">
        <f>IFERROR(_xlfn.XLOOKUP(B31,'Limite de crédito'!C:C,'Limite de crédito'!L:L,),0)</f>
        <v>A</v>
      </c>
      <c r="D31" s="19"/>
      <c r="E31" s="53">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86689.1</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2">
        <f>SUMIFS('Data International'!$D:$D,'Data International'!$P:$P,'Painel International'!$B31,'Data International'!$Q:$Q,"&gt;360")</f>
        <v>0</v>
      </c>
      <c r="O31" s="19">
        <f>SUMIFS('Data International'!$D:$D,'Data International'!$P:$P,'Painel International'!$B31,'Data International'!$Q:$Q,"&gt;0")</f>
        <v>86689.1</v>
      </c>
      <c r="P31" s="19">
        <f t="shared" ref="P31" si="14">SUM(Q31:W31)</f>
        <v>0</v>
      </c>
      <c r="Q31" s="19">
        <f>SUMIFS('Data International'!$D:$D,'Data International'!$P:$P,'Painel International'!$B31,'Data International'!$Q:$Q,"&lt;=0",'Data International'!$Q:$Q,"&gt;=-30")</f>
        <v>0</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2">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1"/>
      <c r="AE31" s="21"/>
      <c r="AF31" s="5"/>
      <c r="AG31" s="26">
        <f t="shared" si="5"/>
        <v>463310.9</v>
      </c>
    </row>
    <row r="32" spans="2:34" x14ac:dyDescent="0.25">
      <c r="B32" s="37" t="s">
        <v>557</v>
      </c>
      <c r="C32" s="19" t="str">
        <f>IFERROR(_xlfn.XLOOKUP(B32,'Limite de crédito'!C:C,'Limite de crédito'!L:L,),0)</f>
        <v>B</v>
      </c>
      <c r="D32" s="19"/>
      <c r="E32" s="53">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2">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2">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1"/>
      <c r="AE32" s="21"/>
      <c r="AF32" s="5"/>
      <c r="AG32" s="26">
        <f t="shared" si="5"/>
        <v>330000</v>
      </c>
    </row>
    <row r="33" spans="2:33" x14ac:dyDescent="0.25">
      <c r="B33" s="37" t="s">
        <v>340</v>
      </c>
      <c r="C33" s="19" t="str">
        <f>IFERROR(_xlfn.XLOOKUP(B33,'Limite de crédito'!C:C,'Limite de crédito'!L:L,),0)</f>
        <v>B</v>
      </c>
      <c r="D33" s="19"/>
      <c r="E33" s="53">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2">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2">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1"/>
      <c r="AE33" s="21"/>
      <c r="AF33" s="5"/>
      <c r="AG33" s="26">
        <f>AA33-G33</f>
        <v>412500</v>
      </c>
    </row>
    <row r="34" spans="2:33" x14ac:dyDescent="0.25">
      <c r="B34" s="37" t="s">
        <v>579</v>
      </c>
      <c r="C34" s="19" t="str">
        <f>IFERROR(_xlfn.XLOOKUP(B34,'Limite de crédito'!C:C,'Limite de crédito'!L:L,),0)</f>
        <v>B</v>
      </c>
      <c r="D34" s="19"/>
      <c r="E34" s="53">
        <f>_xlfn.XLOOKUP(B34,'Limite de crédito'!C:C,'Limite de crédito'!G:G,0)</f>
        <v>330000</v>
      </c>
      <c r="F34" s="18">
        <f>E34-G34</f>
        <v>328619.48</v>
      </c>
      <c r="G34" s="18">
        <f>P34+O34</f>
        <v>1380.52</v>
      </c>
      <c r="H34" s="19">
        <f>SUMIFS('Data International'!$D:$D,'Data International'!$P:$P,'Painel International'!$B34,'Data International'!$Q:$Q,"&gt;0",'Data International'!$Q:$Q,"&lt;=30")</f>
        <v>0</v>
      </c>
      <c r="I34" s="19">
        <f>SUMIFS('Data International'!$D:$D,'Data International'!$P:$P,'Painel International'!$B34,'Data International'!$Q:$Q,"&gt;30",'Data International'!$Q:$Q,"&lt;=60")</f>
        <v>853.24</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2">
        <f>SUMIFS('Data International'!$D:$D,'Data International'!$P:$P,'Painel International'!$B34,'Data International'!$Q:$Q,"&gt;360")</f>
        <v>0</v>
      </c>
      <c r="O34" s="19">
        <f>SUMIFS('Data International'!$D:$D,'Data International'!$P:$P,'Painel International'!$B34,'Data International'!$Q:$Q,"&gt;0")</f>
        <v>1380.52</v>
      </c>
      <c r="P34" s="19">
        <f t="shared" ref="P34" si="21">SUM(Q34:W34)</f>
        <v>0</v>
      </c>
      <c r="Q34" s="19">
        <f>SUMIFS('Data International'!$D:$D,'Data International'!$P:$P,'Painel International'!$B34,'Data International'!$Q:$Q,"&lt;=0",'Data International'!$Q:$Q,"&gt;=-30")</f>
        <v>0</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2">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330000</v>
      </c>
      <c r="AB34" s="19"/>
      <c r="AC34" s="20"/>
      <c r="AD34" s="21"/>
      <c r="AE34" s="21"/>
      <c r="AF34" s="5"/>
      <c r="AG34" s="26">
        <f>AA34-G34</f>
        <v>328619.48</v>
      </c>
    </row>
    <row r="35" spans="2:33" x14ac:dyDescent="0.25">
      <c r="B35" s="37" t="s">
        <v>566</v>
      </c>
      <c r="C35" s="19" t="str">
        <f>IFERROR(_xlfn.XLOOKUP(B35,'Limite de crédito'!C:C,'Limite de crédito'!L:L,),0)</f>
        <v>B</v>
      </c>
      <c r="D35" s="19"/>
      <c r="E35" s="53">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2">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2">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1"/>
      <c r="AE35" s="21"/>
      <c r="AF35" s="5"/>
      <c r="AG35" s="26">
        <f t="shared" si="5"/>
        <v>275000</v>
      </c>
    </row>
    <row r="36" spans="2:33" x14ac:dyDescent="0.25">
      <c r="B36" s="37" t="s">
        <v>587</v>
      </c>
      <c r="C36" s="19">
        <f>IFERROR(_xlfn.XLOOKUP(B36,'Limite de crédito'!C:C,'Limite de crédito'!L:L,),0)</f>
        <v>0</v>
      </c>
      <c r="D36" s="19"/>
      <c r="E36" s="53">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2">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2">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1"/>
      <c r="AE36" s="21"/>
      <c r="AF36" s="5"/>
      <c r="AG36" s="26">
        <f t="shared" si="5"/>
        <v>0</v>
      </c>
    </row>
    <row r="37" spans="2:33" x14ac:dyDescent="0.25">
      <c r="B37" s="37" t="s">
        <v>581</v>
      </c>
      <c r="C37" s="19" t="str">
        <f>IFERROR(_xlfn.XLOOKUP(B37,'Limite de crédito'!C:C,'Limite de crédito'!L:L,),0)</f>
        <v>B</v>
      </c>
      <c r="D37" s="19"/>
      <c r="E37" s="53">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2">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2">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1"/>
      <c r="AE37" s="21"/>
      <c r="AF37" s="5"/>
      <c r="AG37" s="26">
        <f t="shared" si="5"/>
        <v>275000</v>
      </c>
    </row>
    <row r="38" spans="2:33" x14ac:dyDescent="0.25">
      <c r="B38" s="37" t="s">
        <v>234</v>
      </c>
      <c r="C38" s="19" t="str">
        <f>IFERROR(_xlfn.XLOOKUP(B38,'Limite de crédito'!C:C,'Limite de crédito'!L:L,),0)</f>
        <v>B</v>
      </c>
      <c r="D38" s="19"/>
      <c r="E38" s="53">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2">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2">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1"/>
      <c r="AE38" s="21"/>
      <c r="AF38" s="5"/>
      <c r="AG38" s="26">
        <f t="shared" si="5"/>
        <v>1375000</v>
      </c>
    </row>
    <row r="39" spans="2:33" x14ac:dyDescent="0.25">
      <c r="B39" s="37" t="s">
        <v>593</v>
      </c>
      <c r="C39" s="19" t="str">
        <f>IFERROR(_xlfn.XLOOKUP(B39,'Limite de crédito'!C:C,'Limite de crédito'!L:L,),0)</f>
        <v>C</v>
      </c>
      <c r="D39" s="19"/>
      <c r="E39" s="53">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2">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2">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1"/>
      <c r="AE39" s="21"/>
      <c r="AF39" s="5"/>
      <c r="AG39" s="26">
        <f t="shared" si="5"/>
        <v>550000</v>
      </c>
    </row>
    <row r="40" spans="2:33" x14ac:dyDescent="0.25">
      <c r="B40" s="37" t="s">
        <v>342</v>
      </c>
      <c r="C40" s="19" t="str">
        <f>IFERROR(_xlfn.XLOOKUP(B40,'Limite de crédito'!C:C,'Limite de crédito'!L:L,),0)</f>
        <v>A</v>
      </c>
      <c r="D40" s="19"/>
      <c r="E40" s="53">
        <f>_xlfn.XLOOKUP(B40,'Limite de crédito'!C:C,'Limite de crédito'!G:G,0)</f>
        <v>825000</v>
      </c>
      <c r="F40" s="18">
        <f t="shared" si="28"/>
        <v>681777.26</v>
      </c>
      <c r="G40" s="18">
        <f t="shared" ref="G40" si="35">P40+O40</f>
        <v>143222.74</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2">
        <f>SUMIFS('Data International'!$D:$D,'Data International'!$P:$P,'Painel International'!$B40,'Data International'!$Q:$Q,"&gt;360")</f>
        <v>0</v>
      </c>
      <c r="O40" s="19">
        <f>SUMIFS('Data International'!$D:$D,'Data International'!$P:$P,'Painel International'!$B40,'Data International'!$Q:$Q,"&gt;0")</f>
        <v>0</v>
      </c>
      <c r="P40" s="19">
        <f t="shared" ref="P40" si="36">SUM(Q40:W40)</f>
        <v>143222.74</v>
      </c>
      <c r="Q40" s="19">
        <f>SUMIFS('Data International'!$D:$D,'Data International'!$P:$P,'Painel International'!$B40,'Data International'!$Q:$Q,"&lt;=0",'Data International'!$Q:$Q,"&gt;=-30")</f>
        <v>143222.74</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2">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1"/>
      <c r="AE40" s="21"/>
      <c r="AF40" s="5"/>
      <c r="AG40" s="26">
        <f t="shared" si="5"/>
        <v>681777.26</v>
      </c>
    </row>
    <row r="41" spans="2:33" x14ac:dyDescent="0.25">
      <c r="B41" s="37" t="s">
        <v>595</v>
      </c>
      <c r="C41" s="19" t="str">
        <f>IFERROR(_xlfn.XLOOKUP(B41,'Limite de crédito'!C:C,'Limite de crédito'!L:L,),0)</f>
        <v>B</v>
      </c>
      <c r="D41" s="19"/>
      <c r="E41" s="53">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2">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2">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1"/>
      <c r="AE41" s="21"/>
      <c r="AF41" s="5"/>
      <c r="AG41" s="26">
        <f t="shared" si="5"/>
        <v>825000</v>
      </c>
    </row>
    <row r="42" spans="2:33" x14ac:dyDescent="0.25">
      <c r="B42" s="37" t="s">
        <v>594</v>
      </c>
      <c r="C42" s="19">
        <f>IFERROR(_xlfn.XLOOKUP(B42,'Limite de crédito'!C:C,'Limite de crédito'!L:L,),0)</f>
        <v>0</v>
      </c>
      <c r="D42" s="19"/>
      <c r="E42" s="53">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2">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2">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1"/>
      <c r="AE42" s="21"/>
      <c r="AF42" s="5"/>
      <c r="AG42" s="26">
        <f t="shared" ref="AG42" si="41">AA42-G42</f>
        <v>1375000</v>
      </c>
    </row>
    <row r="43" spans="2:33" x14ac:dyDescent="0.25">
      <c r="B43" s="37" t="s">
        <v>117</v>
      </c>
      <c r="C43" s="19" t="str">
        <f>IFERROR(_xlfn.XLOOKUP(B43,'Limite de crédito'!C:C,'Limite de crédito'!L:L,),0)</f>
        <v>A</v>
      </c>
      <c r="D43" s="19"/>
      <c r="E43" s="53">
        <f>_xlfn.XLOOKUP(B43,'Limite de crédito'!C:C,'Limite de crédito'!G:G,0)</f>
        <v>1375000</v>
      </c>
      <c r="F43" s="18">
        <f t="shared" ref="F43" si="42">E43-G43</f>
        <v>1208838.6099999999</v>
      </c>
      <c r="G43" s="18">
        <f t="shared" si="39"/>
        <v>166161.39000000001</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2">
        <f>SUMIFS('Data International'!$D:$D,'Data International'!$P:$P,'Painel International'!$B43,'Data International'!$Q:$Q,"&gt;360")</f>
        <v>0</v>
      </c>
      <c r="O43" s="19">
        <f>SUMIFS('Data International'!$D:$D,'Data International'!$P:$P,'Painel International'!$B43,'Data International'!$Q:$Q,"&gt;0")</f>
        <v>0</v>
      </c>
      <c r="P43" s="19">
        <f t="shared" ref="P43" si="43">SUM(Q43:W43)</f>
        <v>166161.39000000001</v>
      </c>
      <c r="Q43" s="19">
        <f>SUMIFS('Data International'!$D:$D,'Data International'!$P:$P,'Painel International'!$B43,'Data International'!$Q:$Q,"&lt;=0",'Data International'!$Q:$Q,"&gt;=-30")</f>
        <v>166161.39000000001</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2">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1"/>
      <c r="AE43" s="21"/>
      <c r="AF43" s="5"/>
      <c r="AG43" s="26">
        <f t="shared" ref="AG43" si="44">AA43-G43</f>
        <v>1208838.6099999999</v>
      </c>
    </row>
    <row r="44" spans="2:33" x14ac:dyDescent="0.25">
      <c r="B44" s="37" t="s">
        <v>538</v>
      </c>
      <c r="C44" s="19" t="str">
        <f>IFERROR(_xlfn.XLOOKUP(B44,'Limite de crédito'!C:C,'Limite de crédito'!L:L,),0)</f>
        <v>A</v>
      </c>
      <c r="D44" s="19"/>
      <c r="E44" s="53">
        <f>_xlfn.XLOOKUP(B44,'Limite de crédito'!C:C,'Limite de crédito'!G:G,0)</f>
        <v>1100000</v>
      </c>
      <c r="F44" s="18">
        <f t="shared" ref="F44" si="45">E44-G44</f>
        <v>1100000</v>
      </c>
      <c r="G44" s="18">
        <f t="shared" si="39"/>
        <v>0</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2">
        <f>SUMIFS('Data International'!$D:$D,'Data International'!$P:$P,'Painel International'!$B44,'Data International'!$Q:$Q,"&gt;360")</f>
        <v>0</v>
      </c>
      <c r="O44" s="19">
        <f>SUMIFS('Data International'!$D:$D,'Data International'!$P:$P,'Painel International'!$B44,'Data International'!$Q:$Q,"&gt;0")</f>
        <v>0</v>
      </c>
      <c r="P44" s="19">
        <f t="shared" ref="P44" si="46">SUM(Q44:W44)</f>
        <v>0</v>
      </c>
      <c r="Q44" s="19">
        <f>SUMIFS('Data International'!$D:$D,'Data International'!$P:$P,'Painel International'!$B44,'Data International'!$Q:$Q,"&lt;=0",'Data International'!$Q:$Q,"&gt;=-30")</f>
        <v>0</v>
      </c>
      <c r="R44" s="19">
        <f>SUMIFS('Data International'!$D:$D,'Data International'!$P:$P,'Painel International'!$B44,'Data International'!$Q:$Q,"&lt;=-31",'Data International'!$Q:$Q,"&gt;=-60")</f>
        <v>0</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2">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1"/>
      <c r="AE44" s="21"/>
      <c r="AF44" s="5"/>
      <c r="AG44" s="26">
        <f t="shared" ref="AG44" si="47">AA44-G44</f>
        <v>1100000</v>
      </c>
    </row>
    <row r="45" spans="2:33" x14ac:dyDescent="0.25">
      <c r="B45" s="37" t="s">
        <v>529</v>
      </c>
      <c r="C45" s="19">
        <f>IFERROR(_xlfn.XLOOKUP(B45,'Limite de crédito'!C:C,'Limite de crédito'!L:L,),0)</f>
        <v>0</v>
      </c>
      <c r="D45" s="19"/>
      <c r="E45" s="53">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2">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2">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1"/>
      <c r="AE45" s="21"/>
      <c r="AF45" s="5"/>
      <c r="AG45" s="26">
        <f t="shared" ref="AG45" si="50">AA45-G45</f>
        <v>0</v>
      </c>
    </row>
    <row r="46" spans="2:33" x14ac:dyDescent="0.25">
      <c r="B46" s="37" t="s">
        <v>646</v>
      </c>
      <c r="C46" s="19">
        <f>IFERROR(_xlfn.XLOOKUP(B46,'Limite de crédito'!C:C,'Limite de crédito'!L:L,),0)</f>
        <v>0</v>
      </c>
      <c r="D46" s="19"/>
      <c r="E46" s="53">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2">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2">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1"/>
      <c r="AE46" s="21"/>
      <c r="AF46" s="5"/>
      <c r="AG46" s="26">
        <f t="shared" ref="AG46" si="53">AA46-G46</f>
        <v>275000</v>
      </c>
    </row>
    <row r="47" spans="2:33" x14ac:dyDescent="0.25">
      <c r="B47" s="37" t="s">
        <v>712</v>
      </c>
      <c r="C47" s="19">
        <f>IFERROR(_xlfn.XLOOKUP(B47,'Limite de crédito'!C:C,'Limite de crédito'!L:L,),0)</f>
        <v>0</v>
      </c>
      <c r="D47" s="19"/>
      <c r="E47" s="53">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2">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2">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1"/>
      <c r="AE47" s="21"/>
      <c r="AF47" s="5"/>
      <c r="AG47" s="26">
        <f t="shared" ref="AG47" si="56">AA47-G47</f>
        <v>0</v>
      </c>
    </row>
    <row r="48" spans="2:33" x14ac:dyDescent="0.25">
      <c r="B48" s="37" t="s">
        <v>716</v>
      </c>
      <c r="C48" s="19">
        <f>IFERROR(_xlfn.XLOOKUP(B48,'Limite de crédito'!C:C,'Limite de crédito'!L:L,),0)</f>
        <v>0</v>
      </c>
      <c r="D48" s="19"/>
      <c r="E48" s="53">
        <f>_xlfn.XLOOKUP(B48,'Limite de crédito'!C:C,'Limite de crédito'!G:G,0)</f>
        <v>200000</v>
      </c>
      <c r="F48" s="18">
        <f t="shared" ref="F48" si="57">E48-G48</f>
        <v>20525.420000000013</v>
      </c>
      <c r="G48" s="18">
        <f t="shared" ref="G48" si="58">P48+O48</f>
        <v>179474.58</v>
      </c>
      <c r="H48" s="19">
        <f>SUMIFS('Data International'!$D:$D,'Data International'!$P:$P,'Painel International'!$B48,'Data International'!$Q:$Q,"&gt;0",'Data International'!$Q:$Q,"&lt;=30")</f>
        <v>45718.46</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2">
        <f>SUMIFS('Data International'!$D:$D,'Data International'!$P:$P,'Painel International'!$B48,'Data International'!$Q:$Q,"&gt;360")</f>
        <v>0</v>
      </c>
      <c r="O48" s="19">
        <f>SUMIFS('Data International'!$D:$D,'Data International'!$P:$P,'Painel International'!$B48,'Data International'!$Q:$Q,"&gt;0")</f>
        <v>45718.46</v>
      </c>
      <c r="P48" s="19">
        <f t="shared" ref="P48" si="59">SUM(Q48:W48)</f>
        <v>133756.12</v>
      </c>
      <c r="Q48" s="19">
        <f>SUMIFS('Data International'!$D:$D,'Data International'!$P:$P,'Painel International'!$B48,'Data International'!$Q:$Q,"&lt;=0",'Data International'!$Q:$Q,"&gt;=-30")</f>
        <v>0</v>
      </c>
      <c r="R48" s="19">
        <f>SUMIFS('Data International'!$D:$D,'Data International'!$P:$P,'Painel International'!$B48,'Data International'!$Q:$Q,"&lt;=-31",'Data International'!$Q:$Q,"&gt;=-60")</f>
        <v>0</v>
      </c>
      <c r="S48" s="19">
        <f>SUMIFS('Data International'!$D:$D,'Data International'!$P:$P,'Painel International'!$B48,'Data International'!$Q:$Q,"&lt;=-61",'Data International'!$Q:$Q,"&gt;=-90")</f>
        <v>133756.12</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2">
        <f>SUMIFS('Data International'!$D:$D,'Data International'!$P:$P,'Painel International'!$B48,'Data International'!$Q:$Q,"&lt;-360")</f>
        <v>0</v>
      </c>
      <c r="X48" s="19">
        <f>SUMIFS('Bad Debt Provision'!AB:AB,'Bad Debt Provision'!B:B,'Painel International'!B48)</f>
        <v>0</v>
      </c>
      <c r="Z48" s="5"/>
      <c r="AA48" s="19">
        <f>_xlfn.XLOOKUP(B48,'Limite de crédito'!C:C,'Limite de crédito'!O:O,0)</f>
        <v>0</v>
      </c>
      <c r="AB48" s="19"/>
      <c r="AC48" s="20"/>
      <c r="AD48" s="21"/>
      <c r="AE48" s="21"/>
      <c r="AF48" s="5"/>
      <c r="AG48" s="26">
        <f t="shared" ref="AG48" si="60">AA48-G48</f>
        <v>-179474.58</v>
      </c>
    </row>
    <row r="49" spans="2:33" x14ac:dyDescent="0.25">
      <c r="B49" s="37" t="s">
        <v>756</v>
      </c>
      <c r="C49" s="19">
        <f>IFERROR(_xlfn.XLOOKUP(B49,'Limite de crédito'!C:C,'Limite de crédito'!L:L,),0)</f>
        <v>0</v>
      </c>
      <c r="D49" s="19"/>
      <c r="E49" s="53">
        <f>_xlfn.XLOOKUP(B49,'Limite de crédito'!C:C,'Limite de crédito'!G:G,0)</f>
        <v>0</v>
      </c>
      <c r="F49" s="18">
        <f t="shared" ref="F49" si="61">E49-G49</f>
        <v>0</v>
      </c>
      <c r="G49" s="18">
        <f t="shared" ref="G49" si="62">P49+O49</f>
        <v>0</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2">
        <f>SUMIFS('Data International'!$D:$D,'Data International'!$P:$P,'Painel International'!$B49,'Data International'!$Q:$Q,"&gt;360")</f>
        <v>0</v>
      </c>
      <c r="O49" s="19">
        <f>SUMIFS('Data International'!$D:$D,'Data International'!$P:$P,'Painel International'!$B49,'Data International'!$Q:$Q,"&gt;0")</f>
        <v>0</v>
      </c>
      <c r="P49" s="19">
        <f t="shared" ref="P49" si="63">SUM(Q49:W49)</f>
        <v>0</v>
      </c>
      <c r="Q49" s="19">
        <f>SUMIFS('Data International'!$D:$D,'Data International'!$P:$P,'Painel International'!$B49,'Data International'!$Q:$Q,"&lt;=0",'Data International'!$Q:$Q,"&gt;=-30")</f>
        <v>0</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2">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1"/>
      <c r="AE49" s="21"/>
      <c r="AF49" s="5"/>
      <c r="AG49" s="26">
        <f t="shared" ref="AG49" si="64">AA49-G49</f>
        <v>0</v>
      </c>
    </row>
  </sheetData>
  <autoFilter ref="A3:AK28" xr:uid="{8425CF93-5C5C-4FF0-82A9-E94788869630}"/>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3EFB-BA25-4110-B43F-73E1353AC39C}">
  <dimension ref="A1:D316"/>
  <sheetViews>
    <sheetView showGridLines="0" topLeftCell="A297" workbookViewId="0">
      <selection activeCell="C325" sqref="C325"/>
    </sheetView>
  </sheetViews>
  <sheetFormatPr defaultRowHeight="13.2" x14ac:dyDescent="0.25"/>
  <cols>
    <col min="1" max="1" width="49.88671875" style="266" customWidth="1"/>
    <col min="2" max="2" width="17" style="266" customWidth="1"/>
    <col min="3" max="3" width="51.21875" style="237" bestFit="1" customWidth="1"/>
    <col min="4" max="4" width="23.6640625" style="267" customWidth="1"/>
    <col min="5" max="16384" width="8.88671875" style="237"/>
  </cols>
  <sheetData>
    <row r="1" spans="1:4" x14ac:dyDescent="0.25">
      <c r="A1" s="268" t="s">
        <v>782</v>
      </c>
      <c r="B1" s="268" t="s">
        <v>304</v>
      </c>
      <c r="C1" s="269" t="s">
        <v>785</v>
      </c>
      <c r="D1" s="270" t="s">
        <v>15386</v>
      </c>
    </row>
    <row r="2" spans="1:4" x14ac:dyDescent="0.25">
      <c r="A2" s="271" t="s">
        <v>431</v>
      </c>
      <c r="B2" s="271" t="s">
        <v>460</v>
      </c>
      <c r="C2" s="272" t="str">
        <f>_xlfn.LET(
_xlpm.cliente,TRIM(UPPER(A2)),
_xlpm.bu,TRIM(UPPER(B2)),
_xlpm.limite,_xlfn.XLOOKUP(A2,'Limite de crédito'!C:C,'Limite de crédito'!G:G,""),
_xlpm.seguro,_xlfn.XLOOKUP(A2,'Limite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 s="273"/>
    </row>
    <row r="3" spans="1:4" x14ac:dyDescent="0.25">
      <c r="A3" s="271" t="s">
        <v>355</v>
      </c>
      <c r="B3" s="271" t="s">
        <v>460</v>
      </c>
      <c r="C3" s="272" t="str">
        <f>_xlfn.LET(
_xlpm.cliente,TRIM(UPPER(A3)),
_xlpm.bu,TRIM(UPPER(B3)),
_xlpm.limite,_xlfn.XLOOKUP(A3,'Limite de crédito'!C:C,'Limite de crédito'!G:G,""),
_xlpm.seguro,_xlfn.XLOOKUP(A3,'Limite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3" s="273"/>
    </row>
    <row r="4" spans="1:4" x14ac:dyDescent="0.25">
      <c r="A4" s="271" t="s">
        <v>359</v>
      </c>
      <c r="B4" s="271" t="s">
        <v>460</v>
      </c>
      <c r="C4" s="272" t="str">
        <f>_xlfn.LET(
_xlpm.cliente,TRIM(UPPER(A4)),
_xlpm.bu,TRIM(UPPER(B4)),
_xlpm.limite,_xlfn.XLOOKUP(A4,'Limite de crédito'!C:C,'Limite de crédito'!G:G,""),
_xlpm.seguro,_xlfn.XLOOKUP(A4,'Limite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4" s="273"/>
    </row>
    <row r="5" spans="1:4" x14ac:dyDescent="0.25">
      <c r="A5" s="271" t="s">
        <v>358</v>
      </c>
      <c r="B5" s="271" t="s">
        <v>460</v>
      </c>
      <c r="C5" s="272" t="str">
        <f>_xlfn.LET(
_xlpm.cliente,TRIM(UPPER(A5)),
_xlpm.bu,TRIM(UPPER(B5)),
_xlpm.limite,_xlfn.XLOOKUP(A5,'Limite de crédito'!C:C,'Limite de crédito'!G:G,""),
_xlpm.seguro,_xlfn.XLOOKUP(A5,'Limite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 s="273"/>
    </row>
    <row r="6" spans="1:4" x14ac:dyDescent="0.25">
      <c r="A6" s="271" t="s">
        <v>353</v>
      </c>
      <c r="B6" s="271" t="s">
        <v>460</v>
      </c>
      <c r="C6" s="272" t="str">
        <f>_xlfn.LET(
_xlpm.cliente,TRIM(UPPER(A6)),
_xlpm.bu,TRIM(UPPER(B6)),
_xlpm.limite,_xlfn.XLOOKUP(A6,'Limite de crédito'!C:C,'Limite de crédito'!G:G,""),
_xlpm.seguro,_xlfn.XLOOKUP(A6,'Limite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 s="273"/>
    </row>
    <row r="7" spans="1:4" x14ac:dyDescent="0.25">
      <c r="A7" s="271" t="s">
        <v>356</v>
      </c>
      <c r="B7" s="271" t="s">
        <v>460</v>
      </c>
      <c r="C7" s="272" t="str">
        <f>_xlfn.LET(
_xlpm.cliente,TRIM(UPPER(A7)),
_xlpm.bu,TRIM(UPPER(B7)),
_xlpm.limite,_xlfn.XLOOKUP(A7,'Limite de crédito'!C:C,'Limite de crédito'!G:G,""),
_xlpm.seguro,_xlfn.XLOOKUP(A7,'Limite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 s="273"/>
    </row>
    <row r="8" spans="1:4" ht="66" x14ac:dyDescent="0.25">
      <c r="A8" s="271" t="s">
        <v>367</v>
      </c>
      <c r="B8" s="271" t="s">
        <v>460</v>
      </c>
      <c r="C8" s="272" t="str">
        <f>_xlfn.LET(
_xlpm.cliente,TRIM(UPPER(A8)),
_xlpm.bu,TRIM(UPPER(B8)),
_xlpm.limite,_xlfn.XLOOKUP(A8,'Limite de crédito'!C:C,'Limite de crédito'!G:G,""),
_xlpm.seguro,_xlfn.XLOOKUP(A8,'Limite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 s="273" t="s">
        <v>15389</v>
      </c>
    </row>
    <row r="9" spans="1:4" x14ac:dyDescent="0.25">
      <c r="A9" s="271" t="s">
        <v>67</v>
      </c>
      <c r="B9" s="271" t="s">
        <v>460</v>
      </c>
      <c r="C9" s="272" t="str">
        <f>_xlfn.LET(
_xlpm.cliente,TRIM(UPPER(A9)),
_xlpm.bu,TRIM(UPPER(B9)),
_xlpm.limite,_xlfn.XLOOKUP(A9,'Limite de crédito'!C:C,'Limite de crédito'!G:G,""),
_xlpm.seguro,_xlfn.XLOOKUP(A9,'Limite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 s="273"/>
    </row>
    <row r="10" spans="1:4" x14ac:dyDescent="0.25">
      <c r="A10" s="271" t="s">
        <v>370</v>
      </c>
      <c r="B10" s="271" t="s">
        <v>460</v>
      </c>
      <c r="C10" s="272" t="str">
        <f>_xlfn.LET(
_xlpm.cliente,TRIM(UPPER(A10)),
_xlpm.bu,TRIM(UPPER(B10)),
_xlpm.limite,_xlfn.XLOOKUP(A10,'Limite de crédito'!C:C,'Limite de crédito'!G:G,""),
_xlpm.seguro,_xlfn.XLOOKUP(A10,'Limite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0" s="273"/>
    </row>
    <row r="11" spans="1:4" x14ac:dyDescent="0.25">
      <c r="A11" s="271" t="s">
        <v>25</v>
      </c>
      <c r="B11" s="271" t="s">
        <v>460</v>
      </c>
      <c r="C11" s="272" t="str">
        <f>_xlfn.LET(
_xlpm.cliente,TRIM(UPPER(A11)),
_xlpm.bu,TRIM(UPPER(B11)),
_xlpm.limite,_xlfn.XLOOKUP(A11,'Limite de crédito'!C:C,'Limite de crédito'!G:G,""),
_xlpm.seguro,_xlfn.XLOOKUP(A11,'Limite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1" s="273"/>
    </row>
    <row r="12" spans="1:4" x14ac:dyDescent="0.25">
      <c r="A12" s="271" t="s">
        <v>73</v>
      </c>
      <c r="B12" s="271" t="s">
        <v>460</v>
      </c>
      <c r="C12" s="272" t="str">
        <f>_xlfn.LET(
_xlpm.cliente,TRIM(UPPER(A12)),
_xlpm.bu,TRIM(UPPER(B12)),
_xlpm.limite,_xlfn.XLOOKUP(A12,'Limite de crédito'!C:C,'Limite de crédito'!G:G,""),
_xlpm.seguro,_xlfn.XLOOKUP(A12,'Limite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 s="273"/>
    </row>
    <row r="13" spans="1:4" ht="145.19999999999999" x14ac:dyDescent="0.25">
      <c r="A13" s="271" t="s">
        <v>55</v>
      </c>
      <c r="B13" s="271" t="s">
        <v>460</v>
      </c>
      <c r="C13" s="272" t="str">
        <f>_xlfn.LET(
_xlpm.cliente,TRIM(UPPER(A13)),
_xlpm.bu,TRIM(UPPER(B13)),
_xlpm.limite,_xlfn.XLOOKUP(A13,'Limite de crédito'!C:C,'Limite de crédito'!G:G,""),
_xlpm.seguro,_xlfn.XLOOKUP(A13,'Limite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13" s="273" t="s">
        <v>15392</v>
      </c>
    </row>
    <row r="14" spans="1:4" x14ac:dyDescent="0.25">
      <c r="A14" s="271" t="s">
        <v>420</v>
      </c>
      <c r="B14" s="271" t="s">
        <v>460</v>
      </c>
      <c r="C14" s="272" t="str">
        <f>_xlfn.LET(
_xlpm.cliente,TRIM(UPPER(A14)),
_xlpm.bu,TRIM(UPPER(B14)),
_xlpm.limite,_xlfn.XLOOKUP(A14,'Limite de crédito'!C:C,'Limite de crédito'!G:G,""),
_xlpm.seguro,_xlfn.XLOOKUP(A14,'Limite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4" s="273"/>
    </row>
    <row r="15" spans="1:4" x14ac:dyDescent="0.25">
      <c r="A15" s="271" t="s">
        <v>44</v>
      </c>
      <c r="B15" s="272" t="s">
        <v>767</v>
      </c>
      <c r="C15" s="272" t="str">
        <f>_xlfn.LET(
_xlpm.cliente,TRIM(UPPER(A15)),
_xlpm.bu,TRIM(UPPER(B15)),
_xlpm.limite,_xlfn.XLOOKUP(A15,'Limite de crédito'!C:C,'Limite de crédito'!G:G,""),
_xlpm.seguro,_xlfn.XLOOKUP(A15,'Limite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5" s="273"/>
    </row>
    <row r="16" spans="1:4" x14ac:dyDescent="0.25">
      <c r="A16" s="271" t="s">
        <v>263</v>
      </c>
      <c r="B16" s="272" t="s">
        <v>767</v>
      </c>
      <c r="C16" s="272" t="str">
        <f>_xlfn.LET(
_xlpm.cliente,TRIM(UPPER(A16)),
_xlpm.bu,TRIM(UPPER(B16)),
_xlpm.limite,_xlfn.XLOOKUP(A16,'Limite de crédito'!C:C,'Limite de crédito'!G:G,""),
_xlpm.seguro,_xlfn.XLOOKUP(A16,'Limite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6" s="273"/>
    </row>
    <row r="17" spans="1:4" x14ac:dyDescent="0.25">
      <c r="A17" s="271" t="s">
        <v>360</v>
      </c>
      <c r="B17" s="272" t="s">
        <v>460</v>
      </c>
      <c r="C17" s="272" t="str">
        <f>_xlfn.LET(
_xlpm.cliente,TRIM(UPPER(A17)),
_xlpm.bu,TRIM(UPPER(B17)),
_xlpm.limite,_xlfn.XLOOKUP(A17,'Limite de crédito'!C:C,'Limite de crédito'!G:G,""),
_xlpm.seguro,_xlfn.XLOOKUP(A17,'Limite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 s="273"/>
    </row>
    <row r="18" spans="1:4" x14ac:dyDescent="0.25">
      <c r="A18" s="271" t="s">
        <v>364</v>
      </c>
      <c r="B18" s="272" t="s">
        <v>460</v>
      </c>
      <c r="C18" s="272" t="str">
        <f>_xlfn.LET(
_xlpm.cliente,TRIM(UPPER(A18)),
_xlpm.bu,TRIM(UPPER(B18)),
_xlpm.limite,_xlfn.XLOOKUP(A18,'Limite de crédito'!C:C,'Limite de crédito'!G:G,""),
_xlpm.seguro,_xlfn.XLOOKUP(A18,'Limite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 s="273"/>
    </row>
    <row r="19" spans="1:4" x14ac:dyDescent="0.25">
      <c r="A19" s="271" t="s">
        <v>79</v>
      </c>
      <c r="B19" s="272" t="s">
        <v>460</v>
      </c>
      <c r="C19" s="272" t="str">
        <f>_xlfn.LET(
_xlpm.cliente,TRIM(UPPER(A19)),
_xlpm.bu,TRIM(UPPER(B19)),
_xlpm.limite,_xlfn.XLOOKUP(A19,'Limite de crédito'!C:C,'Limite de crédito'!G:G,""),
_xlpm.seguro,_xlfn.XLOOKUP(A19,'Limite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 s="273"/>
    </row>
    <row r="20" spans="1:4" x14ac:dyDescent="0.25">
      <c r="A20" s="271" t="s">
        <v>152</v>
      </c>
      <c r="B20" s="272" t="s">
        <v>460</v>
      </c>
      <c r="C20" s="272" t="str">
        <f>_xlfn.LET(
_xlpm.cliente,TRIM(UPPER(A20)),
_xlpm.bu,TRIM(UPPER(B20)),
_xlpm.limite,_xlfn.XLOOKUP(A20,'Limite de crédito'!C:C,'Limite de crédito'!G:G,""),
_xlpm.seguro,_xlfn.XLOOKUP(A20,'Limite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 s="273"/>
    </row>
    <row r="21" spans="1:4" x14ac:dyDescent="0.25">
      <c r="A21" s="271" t="s">
        <v>142</v>
      </c>
      <c r="B21" s="272" t="s">
        <v>460</v>
      </c>
      <c r="C21" s="272" t="str">
        <f>_xlfn.LET(
_xlpm.cliente,TRIM(UPPER(A21)),
_xlpm.bu,TRIM(UPPER(B21)),
_xlpm.limite,_xlfn.XLOOKUP(A21,'Limite de crédito'!C:C,'Limite de crédito'!G:G,""),
_xlpm.seguro,_xlfn.XLOOKUP(A21,'Limite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1" s="273"/>
    </row>
    <row r="22" spans="1:4" x14ac:dyDescent="0.25">
      <c r="A22" s="271" t="s">
        <v>261</v>
      </c>
      <c r="B22" s="272" t="s">
        <v>460</v>
      </c>
      <c r="C22" s="272" t="str">
        <f>_xlfn.LET(
_xlpm.cliente,TRIM(UPPER(A22)),
_xlpm.bu,TRIM(UPPER(B22)),
_xlpm.limite,_xlfn.XLOOKUP(A22,'Limite de crédito'!C:C,'Limite de crédito'!G:G,""),
_xlpm.seguro,_xlfn.XLOOKUP(A22,'Limite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 s="273"/>
    </row>
    <row r="23" spans="1:4" x14ac:dyDescent="0.25">
      <c r="A23" s="271" t="s">
        <v>361</v>
      </c>
      <c r="B23" s="272" t="s">
        <v>460</v>
      </c>
      <c r="C23" s="272" t="str">
        <f>_xlfn.LET(
_xlpm.cliente,TRIM(UPPER(A23)),
_xlpm.bu,TRIM(UPPER(B23)),
_xlpm.limite,_xlfn.XLOOKUP(A23,'Limite de crédito'!C:C,'Limite de crédito'!G:G,""),
_xlpm.seguro,_xlfn.XLOOKUP(A23,'Limite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3" s="273"/>
    </row>
    <row r="24" spans="1:4" x14ac:dyDescent="0.25">
      <c r="A24" s="271" t="s">
        <v>479</v>
      </c>
      <c r="B24" s="272" t="s">
        <v>460</v>
      </c>
      <c r="C24" s="272" t="str">
        <f>_xlfn.LET(
_xlpm.cliente,TRIM(UPPER(A24)),
_xlpm.bu,TRIM(UPPER(B24)),
_xlpm.limite,_xlfn.XLOOKUP(A24,'Limite de crédito'!C:C,'Limite de crédito'!G:G,""),
_xlpm.seguro,_xlfn.XLOOKUP(A24,'Limite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 s="273"/>
    </row>
    <row r="25" spans="1:4" x14ac:dyDescent="0.25">
      <c r="A25" s="271" t="s">
        <v>421</v>
      </c>
      <c r="B25" s="272" t="s">
        <v>460</v>
      </c>
      <c r="C25" s="272" t="str">
        <f>_xlfn.LET(
_xlpm.cliente,TRIM(UPPER(A25)),
_xlpm.bu,TRIM(UPPER(B25)),
_xlpm.limite,_xlfn.XLOOKUP(A25,'Limite de crédito'!C:C,'Limite de crédito'!G:G,""),
_xlpm.seguro,_xlfn.XLOOKUP(A25,'Limite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 s="273"/>
    </row>
    <row r="26" spans="1:4" x14ac:dyDescent="0.25">
      <c r="A26" s="271" t="s">
        <v>357</v>
      </c>
      <c r="B26" s="272" t="s">
        <v>460</v>
      </c>
      <c r="C26" s="272" t="str">
        <f>_xlfn.LET(
_xlpm.cliente,TRIM(UPPER(A26)),
_xlpm.bu,TRIM(UPPER(B26)),
_xlpm.limite,_xlfn.XLOOKUP(A26,'Limite de crédito'!C:C,'Limite de crédito'!G:G,""),
_xlpm.seguro,_xlfn.XLOOKUP(A26,'Limite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 s="273"/>
    </row>
    <row r="27" spans="1:4" x14ac:dyDescent="0.25">
      <c r="A27" s="271" t="s">
        <v>139</v>
      </c>
      <c r="B27" s="272" t="s">
        <v>460</v>
      </c>
      <c r="C27" s="272" t="str">
        <f>_xlfn.LET(
_xlpm.cliente,TRIM(UPPER(A27)),
_xlpm.bu,TRIM(UPPER(B27)),
_xlpm.limite,_xlfn.XLOOKUP(A27,'Limite de crédito'!C:C,'Limite de crédito'!G:G,""),
_xlpm.seguro,_xlfn.XLOOKUP(A27,'Limite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 s="273"/>
    </row>
    <row r="28" spans="1:4" x14ac:dyDescent="0.25">
      <c r="A28" s="271" t="s">
        <v>140</v>
      </c>
      <c r="B28" s="272" t="s">
        <v>460</v>
      </c>
      <c r="C28" s="272" t="str">
        <f>_xlfn.LET(
_xlpm.cliente,TRIM(UPPER(A28)),
_xlpm.bu,TRIM(UPPER(B28)),
_xlpm.limite,_xlfn.XLOOKUP(A28,'Limite de crédito'!C:C,'Limite de crédito'!G:G,""),
_xlpm.seguro,_xlfn.XLOOKUP(A28,'Limite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 s="273"/>
    </row>
    <row r="29" spans="1:4" ht="66" x14ac:dyDescent="0.25">
      <c r="A29" s="271" t="s">
        <v>425</v>
      </c>
      <c r="B29" s="272" t="s">
        <v>460</v>
      </c>
      <c r="C29" s="272" t="str">
        <f>_xlfn.LET(
_xlpm.cliente,TRIM(UPPER(A29)),
_xlpm.bu,TRIM(UPPER(B29)),
_xlpm.limite,_xlfn.XLOOKUP(A29,'Limite de crédito'!C:C,'Limite de crédito'!G:G,""),
_xlpm.seguro,_xlfn.XLOOKUP(A29,'Limite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29" s="273" t="s">
        <v>15389</v>
      </c>
    </row>
    <row r="30" spans="1:4" x14ac:dyDescent="0.25">
      <c r="A30" s="271" t="s">
        <v>80</v>
      </c>
      <c r="B30" s="272" t="s">
        <v>767</v>
      </c>
      <c r="C30" s="272" t="str">
        <f>_xlfn.LET(
_xlpm.cliente,TRIM(UPPER(A30)),
_xlpm.bu,TRIM(UPPER(B30)),
_xlpm.limite,_xlfn.XLOOKUP(A30,'Limite de crédito'!C:C,'Limite de crédito'!G:G,""),
_xlpm.seguro,_xlfn.XLOOKUP(A30,'Limite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30" s="273"/>
    </row>
    <row r="31" spans="1:4" x14ac:dyDescent="0.25">
      <c r="A31" s="271" t="s">
        <v>132</v>
      </c>
      <c r="B31" s="272" t="s">
        <v>460</v>
      </c>
      <c r="C31" s="272" t="str">
        <f>_xlfn.LET(
_xlpm.cliente,TRIM(UPPER(A31)),
_xlpm.bu,TRIM(UPPER(B31)),
_xlpm.limite,_xlfn.XLOOKUP(A31,'Limite de crédito'!C:C,'Limite de crédito'!G:G,""),
_xlpm.seguro,_xlfn.XLOOKUP(A31,'Limite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 s="273"/>
    </row>
    <row r="32" spans="1:4" x14ac:dyDescent="0.25">
      <c r="A32" s="271" t="s">
        <v>129</v>
      </c>
      <c r="B32" s="272" t="s">
        <v>460</v>
      </c>
      <c r="C32" s="272" t="str">
        <f>_xlfn.LET(
_xlpm.cliente,TRIM(UPPER(A32)),
_xlpm.bu,TRIM(UPPER(B32)),
_xlpm.limite,_xlfn.XLOOKUP(A32,'Limite de crédito'!C:C,'Limite de crédito'!G:G,""),
_xlpm.seguro,_xlfn.XLOOKUP(A32,'Limite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2" s="273"/>
    </row>
    <row r="33" spans="1:4" x14ac:dyDescent="0.25">
      <c r="A33" s="271" t="s">
        <v>138</v>
      </c>
      <c r="B33" s="272" t="s">
        <v>460</v>
      </c>
      <c r="C33" s="272" t="str">
        <f>_xlfn.LET(
_xlpm.cliente,TRIM(UPPER(A33)),
_xlpm.bu,TRIM(UPPER(B33)),
_xlpm.limite,_xlfn.XLOOKUP(A33,'Limite de crédito'!C:C,'Limite de crédito'!G:G,""),
_xlpm.seguro,_xlfn.XLOOKUP(A33,'Limite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3" s="273"/>
    </row>
    <row r="34" spans="1:4" x14ac:dyDescent="0.25">
      <c r="A34" s="271" t="s">
        <v>135</v>
      </c>
      <c r="B34" s="272" t="s">
        <v>460</v>
      </c>
      <c r="C34" s="272" t="str">
        <f>_xlfn.LET(
_xlpm.cliente,TRIM(UPPER(A34)),
_xlpm.bu,TRIM(UPPER(B34)),
_xlpm.limite,_xlfn.XLOOKUP(A34,'Limite de crédito'!C:C,'Limite de crédito'!G:G,""),
_xlpm.seguro,_xlfn.XLOOKUP(A34,'Limite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4" s="273"/>
    </row>
    <row r="35" spans="1:4" x14ac:dyDescent="0.25">
      <c r="A35" s="271" t="s">
        <v>144</v>
      </c>
      <c r="B35" s="272" t="s">
        <v>460</v>
      </c>
      <c r="C35" s="272" t="str">
        <f>_xlfn.LET(
_xlpm.cliente,TRIM(UPPER(A35)),
_xlpm.bu,TRIM(UPPER(B35)),
_xlpm.limite,_xlfn.XLOOKUP(A35,'Limite de crédito'!C:C,'Limite de crédito'!G:G,""),
_xlpm.seguro,_xlfn.XLOOKUP(A35,'Limite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5" s="273"/>
    </row>
    <row r="36" spans="1:4" x14ac:dyDescent="0.25">
      <c r="A36" s="271" t="s">
        <v>141</v>
      </c>
      <c r="B36" s="272" t="s">
        <v>460</v>
      </c>
      <c r="C36" s="272" t="str">
        <f>_xlfn.LET(
_xlpm.cliente,TRIM(UPPER(A36)),
_xlpm.bu,TRIM(UPPER(B36)),
_xlpm.limite,_xlfn.XLOOKUP(A36,'Limite de crédito'!C:C,'Limite de crédito'!G:G,""),
_xlpm.seguro,_xlfn.XLOOKUP(A36,'Limite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6" s="273"/>
    </row>
    <row r="37" spans="1:4" x14ac:dyDescent="0.25">
      <c r="A37" s="271" t="s">
        <v>131</v>
      </c>
      <c r="B37" s="272" t="s">
        <v>460</v>
      </c>
      <c r="C37" s="272" t="str">
        <f>_xlfn.LET(
_xlpm.cliente,TRIM(UPPER(A37)),
_xlpm.bu,TRIM(UPPER(B37)),
_xlpm.limite,_xlfn.XLOOKUP(A37,'Limite de crédito'!C:C,'Limite de crédito'!G:G,""),
_xlpm.seguro,_xlfn.XLOOKUP(A37,'Limite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7" s="273"/>
    </row>
    <row r="38" spans="1:4" x14ac:dyDescent="0.25">
      <c r="A38" s="271" t="s">
        <v>158</v>
      </c>
      <c r="B38" s="272" t="s">
        <v>460</v>
      </c>
      <c r="C38" s="272" t="str">
        <f>_xlfn.LET(
_xlpm.cliente,TRIM(UPPER(A38)),
_xlpm.bu,TRIM(UPPER(B38)),
_xlpm.limite,_xlfn.XLOOKUP(A38,'Limite de crédito'!C:C,'Limite de crédito'!G:G,""),
_xlpm.seguro,_xlfn.XLOOKUP(A38,'Limite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8" s="273"/>
    </row>
    <row r="39" spans="1:4" x14ac:dyDescent="0.25">
      <c r="A39" s="271" t="s">
        <v>245</v>
      </c>
      <c r="B39" s="272" t="s">
        <v>460</v>
      </c>
      <c r="C39" s="272" t="str">
        <f>_xlfn.LET(
_xlpm.cliente,TRIM(UPPER(A39)),
_xlpm.bu,TRIM(UPPER(B39)),
_xlpm.limite,_xlfn.XLOOKUP(A39,'Limite de crédito'!C:C,'Limite de crédito'!G:G,""),
_xlpm.seguro,_xlfn.XLOOKUP(A39,'Limite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9" s="273"/>
    </row>
    <row r="40" spans="1:4" ht="26.4" x14ac:dyDescent="0.25">
      <c r="A40" s="271" t="s">
        <v>334</v>
      </c>
      <c r="B40" s="272" t="s">
        <v>460</v>
      </c>
      <c r="C40" s="272" t="str">
        <f>_xlfn.LET(
_xlpm.cliente,TRIM(UPPER(A40)),
_xlpm.bu,TRIM(UPPER(B40)),
_xlpm.limite,_xlfn.XLOOKUP(A40,'Limite de crédito'!C:C,'Limite de crédito'!G:G,""),
_xlpm.seguro,_xlfn.XLOOKUP(A40,'Limite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40" s="273" t="s">
        <v>15397</v>
      </c>
    </row>
    <row r="41" spans="1:4" x14ac:dyDescent="0.25">
      <c r="A41" s="271" t="s">
        <v>123</v>
      </c>
      <c r="B41" s="272" t="s">
        <v>460</v>
      </c>
      <c r="C41" s="272" t="str">
        <f>_xlfn.LET(
_xlpm.cliente,TRIM(UPPER(A41)),
_xlpm.bu,TRIM(UPPER(B41)),
_xlpm.limite,_xlfn.XLOOKUP(A41,'Limite de crédito'!C:C,'Limite de crédito'!G:G,""),
_xlpm.seguro,_xlfn.XLOOKUP(A41,'Limite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41" s="273"/>
    </row>
    <row r="42" spans="1:4" x14ac:dyDescent="0.25">
      <c r="A42" s="271" t="s">
        <v>237</v>
      </c>
      <c r="B42" s="272" t="s">
        <v>460</v>
      </c>
      <c r="C42" s="272" t="str">
        <f>_xlfn.LET(
_xlpm.cliente,TRIM(UPPER(A42)),
_xlpm.bu,TRIM(UPPER(B42)),
_xlpm.limite,_xlfn.XLOOKUP(A42,'Limite de crédito'!C:C,'Limite de crédito'!G:G,""),
_xlpm.seguro,_xlfn.XLOOKUP(A42,'Limite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42" s="273"/>
    </row>
    <row r="43" spans="1:4" x14ac:dyDescent="0.25">
      <c r="A43" s="271" t="s">
        <v>278</v>
      </c>
      <c r="B43" s="272" t="s">
        <v>460</v>
      </c>
      <c r="C43" s="272" t="str">
        <f>_xlfn.LET(
_xlpm.cliente,TRIM(UPPER(A43)),
_xlpm.bu,TRIM(UPPER(B43)),
_xlpm.limite,_xlfn.XLOOKUP(A43,'Limite de crédito'!C:C,'Limite de crédito'!G:G,""),
_xlpm.seguro,_xlfn.XLOOKUP(A43,'Limite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43" s="273"/>
    </row>
    <row r="44" spans="1:4" x14ac:dyDescent="0.25">
      <c r="A44" s="271" t="s">
        <v>32</v>
      </c>
      <c r="B44" s="272" t="s">
        <v>460</v>
      </c>
      <c r="C44" s="272" t="str">
        <f>_xlfn.LET(
_xlpm.cliente,TRIM(UPPER(A44)),
_xlpm.bu,TRIM(UPPER(B44)),
_xlpm.limite,_xlfn.XLOOKUP(A44,'Limite de crédito'!C:C,'Limite de crédito'!G:G,""),
_xlpm.seguro,_xlfn.XLOOKUP(A44,'Limite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44" s="273"/>
    </row>
    <row r="45" spans="1:4" x14ac:dyDescent="0.25">
      <c r="A45" s="271" t="s">
        <v>109</v>
      </c>
      <c r="B45" s="272" t="s">
        <v>460</v>
      </c>
      <c r="C45" s="272" t="str">
        <f>_xlfn.LET(
_xlpm.cliente,TRIM(UPPER(A45)),
_xlpm.bu,TRIM(UPPER(B45)),
_xlpm.limite,_xlfn.XLOOKUP(A45,'Limite de crédito'!C:C,'Limite de crédito'!G:G,""),
_xlpm.seguro,_xlfn.XLOOKUP(A45,'Limite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45" s="273"/>
    </row>
    <row r="46" spans="1:4" x14ac:dyDescent="0.25">
      <c r="A46" s="271" t="s">
        <v>422</v>
      </c>
      <c r="B46" s="272" t="s">
        <v>460</v>
      </c>
      <c r="C46" s="272" t="str">
        <f>_xlfn.LET(
_xlpm.cliente,TRIM(UPPER(A46)),
_xlpm.bu,TRIM(UPPER(B46)),
_xlpm.limite,_xlfn.XLOOKUP(A46,'Limite de crédito'!C:C,'Limite de crédito'!G:G,""),
_xlpm.seguro,_xlfn.XLOOKUP(A46,'Limite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46" s="273"/>
    </row>
    <row r="47" spans="1:4" x14ac:dyDescent="0.25">
      <c r="A47" s="271" t="s">
        <v>428</v>
      </c>
      <c r="B47" s="272" t="s">
        <v>460</v>
      </c>
      <c r="C47" s="272" t="str">
        <f>_xlfn.LET(
_xlpm.cliente,TRIM(UPPER(A47)),
_xlpm.bu,TRIM(UPPER(B47)),
_xlpm.limite,_xlfn.XLOOKUP(A47,'Limite de crédito'!C:C,'Limite de crédito'!G:G,""),
_xlpm.seguro,_xlfn.XLOOKUP(A47,'Limite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47" s="273"/>
    </row>
    <row r="48" spans="1:4" x14ac:dyDescent="0.25">
      <c r="A48" s="271" t="s">
        <v>89</v>
      </c>
      <c r="B48" s="272" t="s">
        <v>460</v>
      </c>
      <c r="C48" s="272" t="str">
        <f>_xlfn.LET(
_xlpm.cliente,TRIM(UPPER(A48)),
_xlpm.bu,TRIM(UPPER(B48)),
_xlpm.limite,_xlfn.XLOOKUP(A48,'Limite de crédito'!C:C,'Limite de crédito'!G:G,""),
_xlpm.seguro,_xlfn.XLOOKUP(A48,'Limite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48" s="273"/>
    </row>
    <row r="49" spans="1:4" x14ac:dyDescent="0.25">
      <c r="A49" s="271" t="s">
        <v>450</v>
      </c>
      <c r="B49" s="272" t="s">
        <v>460</v>
      </c>
      <c r="C49" s="272" t="str">
        <f>_xlfn.LET(
_xlpm.cliente,TRIM(UPPER(A49)),
_xlpm.bu,TRIM(UPPER(B49)),
_xlpm.limite,_xlfn.XLOOKUP(A49,'Limite de crédito'!C:C,'Limite de crédito'!G:G,""),
_xlpm.seguro,_xlfn.XLOOKUP(A49,'Limite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49" s="273"/>
    </row>
    <row r="50" spans="1:4" x14ac:dyDescent="0.25">
      <c r="A50" s="271" t="s">
        <v>448</v>
      </c>
      <c r="B50" s="272" t="s">
        <v>460</v>
      </c>
      <c r="C50" s="272" t="str">
        <f>_xlfn.LET(
_xlpm.cliente,TRIM(UPPER(A50)),
_xlpm.bu,TRIM(UPPER(B50)),
_xlpm.limite,_xlfn.XLOOKUP(A50,'Limite de crédito'!C:C,'Limite de crédito'!G:G,""),
_xlpm.seguro,_xlfn.XLOOKUP(A50,'Limite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50" s="273"/>
    </row>
    <row r="51" spans="1:4" x14ac:dyDescent="0.25">
      <c r="A51" s="271" t="s">
        <v>449</v>
      </c>
      <c r="B51" s="272" t="s">
        <v>460</v>
      </c>
      <c r="C51" s="272" t="str">
        <f>_xlfn.LET(
_xlpm.cliente,TRIM(UPPER(A51)),
_xlpm.bu,TRIM(UPPER(B51)),
_xlpm.limite,_xlfn.XLOOKUP(A51,'Limite de crédito'!C:C,'Limite de crédito'!G:G,""),
_xlpm.seguro,_xlfn.XLOOKUP(A51,'Limite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1" s="273"/>
    </row>
    <row r="52" spans="1:4" x14ac:dyDescent="0.25">
      <c r="A52" s="271" t="s">
        <v>78</v>
      </c>
      <c r="B52" s="272" t="s">
        <v>460</v>
      </c>
      <c r="C52" s="272" t="str">
        <f>_xlfn.LET(
_xlpm.cliente,TRIM(UPPER(A52)),
_xlpm.bu,TRIM(UPPER(B52)),
_xlpm.limite,_xlfn.XLOOKUP(A52,'Limite de crédito'!C:C,'Limite de crédito'!G:G,""),
_xlpm.seguro,_xlfn.XLOOKUP(A52,'Limite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2" s="273"/>
    </row>
    <row r="53" spans="1:4" x14ac:dyDescent="0.25">
      <c r="A53" s="271" t="s">
        <v>150</v>
      </c>
      <c r="B53" s="272" t="s">
        <v>460</v>
      </c>
      <c r="C53" s="272" t="str">
        <f>_xlfn.LET(
_xlpm.cliente,TRIM(UPPER(A53)),
_xlpm.bu,TRIM(UPPER(B53)),
_xlpm.limite,_xlfn.XLOOKUP(A53,'Limite de crédito'!C:C,'Limite de crédito'!G:G,""),
_xlpm.seguro,_xlfn.XLOOKUP(A53,'Limite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53" s="273"/>
    </row>
    <row r="54" spans="1:4" x14ac:dyDescent="0.25">
      <c r="A54" s="271" t="s">
        <v>272</v>
      </c>
      <c r="B54" s="272" t="s">
        <v>460</v>
      </c>
      <c r="C54" s="272" t="str">
        <f>_xlfn.LET(
_xlpm.cliente,TRIM(UPPER(A54)),
_xlpm.bu,TRIM(UPPER(B54)),
_xlpm.limite,_xlfn.XLOOKUP(A54,'Limite de crédito'!C:C,'Limite de crédito'!G:G,""),
_xlpm.seguro,_xlfn.XLOOKUP(A54,'Limite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4" s="273"/>
    </row>
    <row r="55" spans="1:4" x14ac:dyDescent="0.25">
      <c r="A55" s="271" t="s">
        <v>224</v>
      </c>
      <c r="B55" s="272" t="s">
        <v>460</v>
      </c>
      <c r="C55" s="272" t="str">
        <f>_xlfn.LET(
_xlpm.cliente,TRIM(UPPER(A55)),
_xlpm.bu,TRIM(UPPER(B55)),
_xlpm.limite,_xlfn.XLOOKUP(A55,'Limite de crédito'!C:C,'Limite de crédito'!G:G,""),
_xlpm.seguro,_xlfn.XLOOKUP(A55,'Limite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55" s="273"/>
    </row>
    <row r="56" spans="1:4" x14ac:dyDescent="0.25">
      <c r="A56" s="271" t="s">
        <v>454</v>
      </c>
      <c r="B56" s="272" t="s">
        <v>460</v>
      </c>
      <c r="C56" s="272" t="str">
        <f>_xlfn.LET(
_xlpm.cliente,TRIM(UPPER(A56)),
_xlpm.bu,TRIM(UPPER(B56)),
_xlpm.limite,_xlfn.XLOOKUP(A56,'Limite de crédito'!C:C,'Limite de crédito'!G:G,""),
_xlpm.seguro,_xlfn.XLOOKUP(A56,'Limite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56" s="273"/>
    </row>
    <row r="57" spans="1:4" ht="52.8" x14ac:dyDescent="0.25">
      <c r="A57" s="271" t="s">
        <v>463</v>
      </c>
      <c r="B57" s="272" t="s">
        <v>460</v>
      </c>
      <c r="C57" s="272" t="str">
        <f>_xlfn.LET(
_xlpm.cliente,TRIM(UPPER(A57)),
_xlpm.bu,TRIM(UPPER(B57)),
_xlpm.limite,_xlfn.XLOOKUP(A57,'Limite de crédito'!C:C,'Limite de crédito'!G:G,""),
_xlpm.seguro,_xlfn.XLOOKUP(A57,'Limite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7" s="273" t="s">
        <v>15398</v>
      </c>
    </row>
    <row r="58" spans="1:4" x14ac:dyDescent="0.25">
      <c r="A58" s="271" t="s">
        <v>95</v>
      </c>
      <c r="B58" s="272" t="s">
        <v>460</v>
      </c>
      <c r="C58" s="272" t="str">
        <f>_xlfn.LET(
_xlpm.cliente,TRIM(UPPER(A58)),
_xlpm.bu,TRIM(UPPER(B58)),
_xlpm.limite,_xlfn.XLOOKUP(A58,'Limite de crédito'!C:C,'Limite de crédito'!G:G,""),
_xlpm.seguro,_xlfn.XLOOKUP(A58,'Limite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58" s="273"/>
    </row>
    <row r="59" spans="1:4" x14ac:dyDescent="0.25">
      <c r="A59" s="271" t="s">
        <v>271</v>
      </c>
      <c r="B59" s="272" t="s">
        <v>460</v>
      </c>
      <c r="C59" s="272" t="str">
        <f>_xlfn.LET(
_xlpm.cliente,TRIM(UPPER(A59)),
_xlpm.bu,TRIM(UPPER(B59)),
_xlpm.limite,_xlfn.XLOOKUP(A59,'Limite de crédito'!C:C,'Limite de crédito'!G:G,""),
_xlpm.seguro,_xlfn.XLOOKUP(A59,'Limite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59" s="273"/>
    </row>
    <row r="60" spans="1:4" x14ac:dyDescent="0.25">
      <c r="A60" s="271" t="s">
        <v>244</v>
      </c>
      <c r="B60" s="272" t="s">
        <v>460</v>
      </c>
      <c r="C60" s="272" t="str">
        <f>_xlfn.LET(
_xlpm.cliente,TRIM(UPPER(A60)),
_xlpm.bu,TRIM(UPPER(B60)),
_xlpm.limite,_xlfn.XLOOKUP(A60,'Limite de crédito'!C:C,'Limite de crédito'!G:G,""),
_xlpm.seguro,_xlfn.XLOOKUP(A60,'Limite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0" s="273"/>
    </row>
    <row r="61" spans="1:4" x14ac:dyDescent="0.25">
      <c r="A61" s="271" t="s">
        <v>468</v>
      </c>
      <c r="B61" s="272" t="s">
        <v>460</v>
      </c>
      <c r="C61" s="272" t="str">
        <f>_xlfn.LET(
_xlpm.cliente,TRIM(UPPER(A61)),
_xlpm.bu,TRIM(UPPER(B61)),
_xlpm.limite,_xlfn.XLOOKUP(A61,'Limite de crédito'!C:C,'Limite de crédito'!G:G,""),
_xlpm.seguro,_xlfn.XLOOKUP(A61,'Limite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1" s="273"/>
    </row>
    <row r="62" spans="1:4" x14ac:dyDescent="0.25">
      <c r="A62" s="271" t="s">
        <v>159</v>
      </c>
      <c r="B62" s="272" t="s">
        <v>460</v>
      </c>
      <c r="C62" s="272" t="str">
        <f>_xlfn.LET(
_xlpm.cliente,TRIM(UPPER(A62)),
_xlpm.bu,TRIM(UPPER(B62)),
_xlpm.limite,_xlfn.XLOOKUP(A62,'Limite de crédito'!C:C,'Limite de crédito'!G:G,""),
_xlpm.seguro,_xlfn.XLOOKUP(A62,'Limite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2" s="273"/>
    </row>
    <row r="63" spans="1:4" x14ac:dyDescent="0.25">
      <c r="A63" s="271" t="s">
        <v>481</v>
      </c>
      <c r="B63" s="272" t="s">
        <v>460</v>
      </c>
      <c r="C63" s="272" t="str">
        <f>_xlfn.LET(
_xlpm.cliente,TRIM(UPPER(A63)),
_xlpm.bu,TRIM(UPPER(B63)),
_xlpm.limite,_xlfn.XLOOKUP(A63,'Limite de crédito'!C:C,'Limite de crédito'!G:G,""),
_xlpm.seguro,_xlfn.XLOOKUP(A63,'Limite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63" s="273"/>
    </row>
    <row r="64" spans="1:4" x14ac:dyDescent="0.25">
      <c r="A64" s="271" t="s">
        <v>485</v>
      </c>
      <c r="B64" s="272" t="s">
        <v>460</v>
      </c>
      <c r="C64" s="272" t="str">
        <f>_xlfn.LET(
_xlpm.cliente,TRIM(UPPER(A64)),
_xlpm.bu,TRIM(UPPER(B64)),
_xlpm.limite,_xlfn.XLOOKUP(A64,'Limite de crédito'!C:C,'Limite de crédito'!G:G,""),
_xlpm.seguro,_xlfn.XLOOKUP(A64,'Limite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4" s="273"/>
    </row>
    <row r="65" spans="1:4" x14ac:dyDescent="0.25">
      <c r="A65" s="271" t="s">
        <v>486</v>
      </c>
      <c r="B65" s="272" t="s">
        <v>460</v>
      </c>
      <c r="C65" s="272" t="str">
        <f>_xlfn.LET(
_xlpm.cliente,TRIM(UPPER(A65)),
_xlpm.bu,TRIM(UPPER(B65)),
_xlpm.limite,_xlfn.XLOOKUP(A65,'Limite de crédito'!C:C,'Limite de crédito'!G:G,""),
_xlpm.seguro,_xlfn.XLOOKUP(A65,'Limite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65" s="273"/>
    </row>
    <row r="66" spans="1:4" x14ac:dyDescent="0.25">
      <c r="A66" s="271" t="s">
        <v>490</v>
      </c>
      <c r="B66" s="272" t="s">
        <v>460</v>
      </c>
      <c r="C66" s="272" t="str">
        <f>_xlfn.LET(
_xlpm.cliente,TRIM(UPPER(A66)),
_xlpm.bu,TRIM(UPPER(B66)),
_xlpm.limite,_xlfn.XLOOKUP(A66,'Limite de crédito'!C:C,'Limite de crédito'!G:G,""),
_xlpm.seguro,_xlfn.XLOOKUP(A66,'Limite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6" s="273"/>
    </row>
    <row r="67" spans="1:4" x14ac:dyDescent="0.25">
      <c r="A67" s="271" t="s">
        <v>489</v>
      </c>
      <c r="B67" s="272" t="s">
        <v>460</v>
      </c>
      <c r="C67" s="272" t="str">
        <f>_xlfn.LET(
_xlpm.cliente,TRIM(UPPER(A67)),
_xlpm.bu,TRIM(UPPER(B67)),
_xlpm.limite,_xlfn.XLOOKUP(A67,'Limite de crédito'!C:C,'Limite de crédito'!G:G,""),
_xlpm.seguro,_xlfn.XLOOKUP(A67,'Limite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7" s="273"/>
    </row>
    <row r="68" spans="1:4" x14ac:dyDescent="0.25">
      <c r="A68" s="271" t="s">
        <v>491</v>
      </c>
      <c r="B68" s="272" t="s">
        <v>460</v>
      </c>
      <c r="C68" s="272" t="str">
        <f>_xlfn.LET(
_xlpm.cliente,TRIM(UPPER(A68)),
_xlpm.bu,TRIM(UPPER(B68)),
_xlpm.limite,_xlfn.XLOOKUP(A68,'Limite de crédito'!C:C,'Limite de crédito'!G:G,""),
_xlpm.seguro,_xlfn.XLOOKUP(A68,'Limite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8" s="273"/>
    </row>
    <row r="69" spans="1:4" x14ac:dyDescent="0.25">
      <c r="A69" s="271" t="s">
        <v>492</v>
      </c>
      <c r="B69" s="272" t="s">
        <v>460</v>
      </c>
      <c r="C69" s="272" t="str">
        <f>_xlfn.LET(
_xlpm.cliente,TRIM(UPPER(A69)),
_xlpm.bu,TRIM(UPPER(B69)),
_xlpm.limite,_xlfn.XLOOKUP(A69,'Limite de crédito'!C:C,'Limite de crédito'!G:G,""),
_xlpm.seguro,_xlfn.XLOOKUP(A69,'Limite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69" s="273"/>
    </row>
    <row r="70" spans="1:4" x14ac:dyDescent="0.25">
      <c r="A70" s="271" t="s">
        <v>493</v>
      </c>
      <c r="B70" s="272" t="s">
        <v>460</v>
      </c>
      <c r="C70" s="272" t="str">
        <f>_xlfn.LET(
_xlpm.cliente,TRIM(UPPER(A70)),
_xlpm.bu,TRIM(UPPER(B70)),
_xlpm.limite,_xlfn.XLOOKUP(A70,'Limite de crédito'!C:C,'Limite de crédito'!G:G,""),
_xlpm.seguro,_xlfn.XLOOKUP(A70,'Limite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0" s="273"/>
    </row>
    <row r="71" spans="1:4" x14ac:dyDescent="0.25">
      <c r="A71" s="271" t="s">
        <v>727</v>
      </c>
      <c r="B71" s="272" t="s">
        <v>460</v>
      </c>
      <c r="C71" s="272" t="str">
        <f>_xlfn.LET(
_xlpm.cliente,TRIM(UPPER(A71)),
_xlpm.bu,TRIM(UPPER(B71)),
_xlpm.limite,_xlfn.XLOOKUP(A71,'Limite de crédito'!C:C,'Limite de crédito'!G:G,""),
_xlpm.seguro,_xlfn.XLOOKUP(A71,'Limite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71" s="273"/>
    </row>
    <row r="72" spans="1:4" x14ac:dyDescent="0.25">
      <c r="A72" s="271" t="s">
        <v>230</v>
      </c>
      <c r="B72" s="272" t="s">
        <v>460</v>
      </c>
      <c r="C72" s="272" t="str">
        <f>_xlfn.LET(
_xlpm.cliente,TRIM(UPPER(A72)),
_xlpm.bu,TRIM(UPPER(B72)),
_xlpm.limite,_xlfn.XLOOKUP(A72,'Limite de crédito'!C:C,'Limite de crédito'!G:G,""),
_xlpm.seguro,_xlfn.XLOOKUP(A72,'Limite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2" s="273"/>
    </row>
    <row r="73" spans="1:4" x14ac:dyDescent="0.25">
      <c r="A73" s="271" t="s">
        <v>526</v>
      </c>
      <c r="B73" s="272" t="s">
        <v>460</v>
      </c>
      <c r="C73" s="272" t="str">
        <f>_xlfn.LET(
_xlpm.cliente,TRIM(UPPER(A73)),
_xlpm.bu,TRIM(UPPER(B73)),
_xlpm.limite,_xlfn.XLOOKUP(A73,'Limite de crédito'!C:C,'Limite de crédito'!G:G,""),
_xlpm.seguro,_xlfn.XLOOKUP(A73,'Limite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3" s="273"/>
    </row>
    <row r="74" spans="1:4" x14ac:dyDescent="0.25">
      <c r="A74" s="271" t="s">
        <v>514</v>
      </c>
      <c r="B74" s="272" t="s">
        <v>460</v>
      </c>
      <c r="C74" s="272" t="str">
        <f>_xlfn.LET(
_xlpm.cliente,TRIM(UPPER(A74)),
_xlpm.bu,TRIM(UPPER(B74)),
_xlpm.limite,_xlfn.XLOOKUP(A74,'Limite de crédito'!C:C,'Limite de crédito'!G:G,""),
_xlpm.seguro,_xlfn.XLOOKUP(A74,'Limite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4" s="273"/>
    </row>
    <row r="75" spans="1:4" x14ac:dyDescent="0.25">
      <c r="A75" s="271" t="s">
        <v>265</v>
      </c>
      <c r="B75" s="272" t="s">
        <v>460</v>
      </c>
      <c r="C75" s="272" t="str">
        <f>_xlfn.LET(
_xlpm.cliente,TRIM(UPPER(A75)),
_xlpm.bu,TRIM(UPPER(B75)),
_xlpm.limite,_xlfn.XLOOKUP(A75,'Limite de crédito'!C:C,'Limite de crédito'!G:G,""),
_xlpm.seguro,_xlfn.XLOOKUP(A75,'Limite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5" s="273"/>
    </row>
    <row r="76" spans="1:4" x14ac:dyDescent="0.25">
      <c r="A76" s="271" t="s">
        <v>527</v>
      </c>
      <c r="B76" s="272" t="s">
        <v>460</v>
      </c>
      <c r="C76" s="272" t="str">
        <f>_xlfn.LET(
_xlpm.cliente,TRIM(UPPER(A76)),
_xlpm.bu,TRIM(UPPER(B76)),
_xlpm.limite,_xlfn.XLOOKUP(A76,'Limite de crédito'!C:C,'Limite de crédito'!G:G,""),
_xlpm.seguro,_xlfn.XLOOKUP(A76,'Limite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6" s="273"/>
    </row>
    <row r="77" spans="1:4" x14ac:dyDescent="0.25">
      <c r="A77" s="271" t="s">
        <v>528</v>
      </c>
      <c r="B77" s="272" t="s">
        <v>460</v>
      </c>
      <c r="C77" s="272" t="str">
        <f>_xlfn.LET(
_xlpm.cliente,TRIM(UPPER(A77)),
_xlpm.bu,TRIM(UPPER(B77)),
_xlpm.limite,_xlfn.XLOOKUP(A77,'Limite de crédito'!C:C,'Limite de crédito'!G:G,""),
_xlpm.seguro,_xlfn.XLOOKUP(A77,'Limite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7" s="273"/>
    </row>
    <row r="78" spans="1:4" x14ac:dyDescent="0.25">
      <c r="A78" s="271" t="s">
        <v>369</v>
      </c>
      <c r="B78" s="272" t="s">
        <v>460</v>
      </c>
      <c r="C78" s="272" t="str">
        <f>_xlfn.LET(
_xlpm.cliente,TRIM(UPPER(A78)),
_xlpm.bu,TRIM(UPPER(B78)),
_xlpm.limite,_xlfn.XLOOKUP(A78,'Limite de crédito'!C:C,'Limite de crédito'!G:G,""),
_xlpm.seguro,_xlfn.XLOOKUP(A78,'Limite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8" s="273"/>
    </row>
    <row r="79" spans="1:4" x14ac:dyDescent="0.25">
      <c r="A79" s="271" t="s">
        <v>399</v>
      </c>
      <c r="B79" s="272" t="s">
        <v>460</v>
      </c>
      <c r="C79" s="272" t="str">
        <f>_xlfn.LET(
_xlpm.cliente,TRIM(UPPER(A79)),
_xlpm.bu,TRIM(UPPER(B79)),
_xlpm.limite,_xlfn.XLOOKUP(A79,'Limite de crédito'!C:C,'Limite de crédito'!G:G,""),
_xlpm.seguro,_xlfn.XLOOKUP(A79,'Limite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79" s="273"/>
    </row>
    <row r="80" spans="1:4" x14ac:dyDescent="0.25">
      <c r="A80" s="271" t="s">
        <v>558</v>
      </c>
      <c r="B80" s="272" t="s">
        <v>460</v>
      </c>
      <c r="C80" s="272" t="str">
        <f>_xlfn.LET(
_xlpm.cliente,TRIM(UPPER(A80)),
_xlpm.bu,TRIM(UPPER(B80)),
_xlpm.limite,_xlfn.XLOOKUP(A80,'Limite de crédito'!C:C,'Limite de crédito'!G:G,""),
_xlpm.seguro,_xlfn.XLOOKUP(A80,'Limite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0" s="273"/>
    </row>
    <row r="81" spans="1:4" x14ac:dyDescent="0.25">
      <c r="A81" s="271" t="s">
        <v>560</v>
      </c>
      <c r="B81" s="272" t="s">
        <v>460</v>
      </c>
      <c r="C81" s="272" t="str">
        <f>_xlfn.LET(
_xlpm.cliente,TRIM(UPPER(A81)),
_xlpm.bu,TRIM(UPPER(B81)),
_xlpm.limite,_xlfn.XLOOKUP(A81,'Limite de crédito'!C:C,'Limite de crédito'!G:G,""),
_xlpm.seguro,_xlfn.XLOOKUP(A81,'Limite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1" s="273"/>
    </row>
    <row r="82" spans="1:4" x14ac:dyDescent="0.25">
      <c r="A82" s="271" t="s">
        <v>83</v>
      </c>
      <c r="B82" s="272" t="s">
        <v>460</v>
      </c>
      <c r="C82" s="272" t="str">
        <f>_xlfn.LET(
_xlpm.cliente,TRIM(UPPER(A82)),
_xlpm.bu,TRIM(UPPER(B82)),
_xlpm.limite,_xlfn.XLOOKUP(A82,'Limite de crédito'!C:C,'Limite de crédito'!G:G,""),
_xlpm.seguro,_xlfn.XLOOKUP(A82,'Limite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2" s="273"/>
    </row>
    <row r="83" spans="1:4" x14ac:dyDescent="0.25">
      <c r="A83" s="271" t="s">
        <v>559</v>
      </c>
      <c r="B83" s="272" t="s">
        <v>460</v>
      </c>
      <c r="C83" s="272" t="str">
        <f>_xlfn.LET(
_xlpm.cliente,TRIM(UPPER(A83)),
_xlpm.bu,TRIM(UPPER(B83)),
_xlpm.limite,_xlfn.XLOOKUP(A83,'Limite de crédito'!C:C,'Limite de crédito'!G:G,""),
_xlpm.seguro,_xlfn.XLOOKUP(A83,'Limite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3" s="273"/>
    </row>
    <row r="84" spans="1:4" x14ac:dyDescent="0.25">
      <c r="A84" s="271" t="s">
        <v>84</v>
      </c>
      <c r="B84" s="272" t="s">
        <v>460</v>
      </c>
      <c r="C84" s="272" t="str">
        <f>_xlfn.LET(
_xlpm.cliente,TRIM(UPPER(A84)),
_xlpm.bu,TRIM(UPPER(B84)),
_xlpm.limite,_xlfn.XLOOKUP(A84,'Limite de crédito'!C:C,'Limite de crédito'!G:G,""),
_xlpm.seguro,_xlfn.XLOOKUP(A84,'Limite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84" s="273"/>
    </row>
    <row r="85" spans="1:4" x14ac:dyDescent="0.25">
      <c r="A85" s="271" t="s">
        <v>515</v>
      </c>
      <c r="B85" s="272" t="s">
        <v>460</v>
      </c>
      <c r="C85" s="272" t="str">
        <f>_xlfn.LET(
_xlpm.cliente,TRIM(UPPER(A85)),
_xlpm.bu,TRIM(UPPER(B85)),
_xlpm.limite,_xlfn.XLOOKUP(A85,'Limite de crédito'!C:C,'Limite de crédito'!G:G,""),
_xlpm.seguro,_xlfn.XLOOKUP(A85,'Limite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5" s="273"/>
    </row>
    <row r="86" spans="1:4" x14ac:dyDescent="0.25">
      <c r="A86" s="271" t="s">
        <v>508</v>
      </c>
      <c r="B86" s="272" t="s">
        <v>460</v>
      </c>
      <c r="C86" s="272" t="str">
        <f>_xlfn.LET(
_xlpm.cliente,TRIM(UPPER(A86)),
_xlpm.bu,TRIM(UPPER(B86)),
_xlpm.limite,_xlfn.XLOOKUP(A86,'Limite de crédito'!C:C,'Limite de crédito'!G:G,""),
_xlpm.seguro,_xlfn.XLOOKUP(A86,'Limite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6" s="273"/>
    </row>
    <row r="87" spans="1:4" x14ac:dyDescent="0.25">
      <c r="A87" s="271" t="s">
        <v>583</v>
      </c>
      <c r="B87" s="272" t="s">
        <v>460</v>
      </c>
      <c r="C87" s="272" t="str">
        <f>_xlfn.LET(
_xlpm.cliente,TRIM(UPPER(A87)),
_xlpm.bu,TRIM(UPPER(B87)),
_xlpm.limite,_xlfn.XLOOKUP(A87,'Limite de crédito'!C:C,'Limite de crédito'!G:G,""),
_xlpm.seguro,_xlfn.XLOOKUP(A87,'Limite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7" s="273"/>
    </row>
    <row r="88" spans="1:4" x14ac:dyDescent="0.25">
      <c r="A88" s="271" t="s">
        <v>588</v>
      </c>
      <c r="B88" s="272" t="s">
        <v>460</v>
      </c>
      <c r="C88" s="272" t="str">
        <f>_xlfn.LET(
_xlpm.cliente,TRIM(UPPER(A88)),
_xlpm.bu,TRIM(UPPER(B88)),
_xlpm.limite,_xlfn.XLOOKUP(A88,'Limite de crédito'!C:C,'Limite de crédito'!G:G,""),
_xlpm.seguro,_xlfn.XLOOKUP(A88,'Limite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8" s="273"/>
    </row>
    <row r="89" spans="1:4" x14ac:dyDescent="0.25">
      <c r="A89" s="271" t="s">
        <v>289</v>
      </c>
      <c r="B89" s="272" t="s">
        <v>460</v>
      </c>
      <c r="C89" s="272" t="str">
        <f>_xlfn.LET(
_xlpm.cliente,TRIM(UPPER(A89)),
_xlpm.bu,TRIM(UPPER(B89)),
_xlpm.limite,_xlfn.XLOOKUP(A89,'Limite de crédito'!C:C,'Limite de crédito'!G:G,""),
_xlpm.seguro,_xlfn.XLOOKUP(A89,'Limite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9" s="273"/>
    </row>
    <row r="90" spans="1:4" x14ac:dyDescent="0.25">
      <c r="A90" s="271" t="s">
        <v>299</v>
      </c>
      <c r="B90" s="272" t="s">
        <v>460</v>
      </c>
      <c r="C90" s="272" t="str">
        <f>_xlfn.LET(
_xlpm.cliente,TRIM(UPPER(A90)),
_xlpm.bu,TRIM(UPPER(B90)),
_xlpm.limite,_xlfn.XLOOKUP(A90,'Limite de crédito'!C:C,'Limite de crédito'!G:G,""),
_xlpm.seguro,_xlfn.XLOOKUP(A90,'Limite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90" s="273"/>
    </row>
    <row r="91" spans="1:4" x14ac:dyDescent="0.25">
      <c r="A91" s="271" t="s">
        <v>596</v>
      </c>
      <c r="B91" s="272" t="s">
        <v>460</v>
      </c>
      <c r="C91" s="272" t="str">
        <f>_xlfn.LET(
_xlpm.cliente,TRIM(UPPER(A91)),
_xlpm.bu,TRIM(UPPER(B91)),
_xlpm.limite,_xlfn.XLOOKUP(A91,'Limite de crédito'!C:C,'Limite de crédito'!G:G,""),
_xlpm.seguro,_xlfn.XLOOKUP(A91,'Limite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1" s="273"/>
    </row>
    <row r="92" spans="1:4" x14ac:dyDescent="0.25">
      <c r="A92" s="271" t="s">
        <v>598</v>
      </c>
      <c r="B92" s="272" t="s">
        <v>460</v>
      </c>
      <c r="C92" s="272" t="str">
        <f>_xlfn.LET(
_xlpm.cliente,TRIM(UPPER(A92)),
_xlpm.bu,TRIM(UPPER(B92)),
_xlpm.limite,_xlfn.XLOOKUP(A92,'Limite de crédito'!C:C,'Limite de crédito'!G:G,""),
_xlpm.seguro,_xlfn.XLOOKUP(A92,'Limite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2" s="273"/>
    </row>
    <row r="93" spans="1:4" x14ac:dyDescent="0.25">
      <c r="A93" s="271" t="s">
        <v>354</v>
      </c>
      <c r="B93" s="272" t="s">
        <v>460</v>
      </c>
      <c r="C93" s="272" t="str">
        <f>_xlfn.LET(
_xlpm.cliente,TRIM(UPPER(A93)),
_xlpm.bu,TRIM(UPPER(B93)),
_xlpm.limite,_xlfn.XLOOKUP(A93,'Limite de crédito'!C:C,'Limite de crédito'!G:G,""),
_xlpm.seguro,_xlfn.XLOOKUP(A93,'Limite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3" s="273"/>
    </row>
    <row r="94" spans="1:4" x14ac:dyDescent="0.25">
      <c r="A94" s="271" t="s">
        <v>317</v>
      </c>
      <c r="B94" s="272" t="s">
        <v>460</v>
      </c>
      <c r="C94" s="272" t="str">
        <f>_xlfn.LET(
_xlpm.cliente,TRIM(UPPER(A94)),
_xlpm.bu,TRIM(UPPER(B94)),
_xlpm.limite,_xlfn.XLOOKUP(A94,'Limite de crédito'!C:C,'Limite de crédito'!G:G,""),
_xlpm.seguro,_xlfn.XLOOKUP(A94,'Limite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94" s="273"/>
    </row>
    <row r="95" spans="1:4" x14ac:dyDescent="0.25">
      <c r="A95" s="271" t="s">
        <v>106</v>
      </c>
      <c r="B95" s="272" t="s">
        <v>460</v>
      </c>
      <c r="C95" s="272" t="str">
        <f>_xlfn.LET(
_xlpm.cliente,TRIM(UPPER(A95)),
_xlpm.bu,TRIM(UPPER(B95)),
_xlpm.limite,_xlfn.XLOOKUP(A95,'Limite de crédito'!C:C,'Limite de crédito'!G:G,""),
_xlpm.seguro,_xlfn.XLOOKUP(A95,'Limite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5" s="273"/>
    </row>
    <row r="96" spans="1:4" x14ac:dyDescent="0.25">
      <c r="A96" s="271" t="s">
        <v>607</v>
      </c>
      <c r="B96" s="272" t="s">
        <v>460</v>
      </c>
      <c r="C96" s="272" t="str">
        <f>_xlfn.LET(
_xlpm.cliente,TRIM(UPPER(A96)),
_xlpm.bu,TRIM(UPPER(B96)),
_xlpm.limite,_xlfn.XLOOKUP(A96,'Limite de crédito'!C:C,'Limite de crédito'!G:G,""),
_xlpm.seguro,_xlfn.XLOOKUP(A96,'Limite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96" s="273"/>
    </row>
    <row r="97" spans="1:4" x14ac:dyDescent="0.25">
      <c r="A97" s="271" t="s">
        <v>609</v>
      </c>
      <c r="B97" s="272" t="s">
        <v>460</v>
      </c>
      <c r="C97" s="272" t="str">
        <f>_xlfn.LET(
_xlpm.cliente,TRIM(UPPER(A97)),
_xlpm.bu,TRIM(UPPER(B97)),
_xlpm.limite,_xlfn.XLOOKUP(A97,'Limite de crédito'!C:C,'Limite de crédito'!G:G,""),
_xlpm.seguro,_xlfn.XLOOKUP(A97,'Limite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7" s="273"/>
    </row>
    <row r="98" spans="1:4" x14ac:dyDescent="0.25">
      <c r="A98" s="271" t="s">
        <v>616</v>
      </c>
      <c r="B98" s="272" t="s">
        <v>460</v>
      </c>
      <c r="C98" s="272" t="str">
        <f>_xlfn.LET(
_xlpm.cliente,TRIM(UPPER(A98)),
_xlpm.bu,TRIM(UPPER(B98)),
_xlpm.limite,_xlfn.XLOOKUP(A98,'Limite de crédito'!C:C,'Limite de crédito'!G:G,""),
_xlpm.seguro,_xlfn.XLOOKUP(A98,'Limite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98" s="273"/>
    </row>
    <row r="99" spans="1:4" x14ac:dyDescent="0.25">
      <c r="A99" s="271" t="s">
        <v>617</v>
      </c>
      <c r="B99" s="272" t="s">
        <v>460</v>
      </c>
      <c r="C99" s="272" t="str">
        <f>_xlfn.LET(
_xlpm.cliente,TRIM(UPPER(A99)),
_xlpm.bu,TRIM(UPPER(B99)),
_xlpm.limite,_xlfn.XLOOKUP(A99,'Limite de crédito'!C:C,'Limite de crédito'!G:G,""),
_xlpm.seguro,_xlfn.XLOOKUP(A99,'Limite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9" s="273"/>
    </row>
    <row r="100" spans="1:4" x14ac:dyDescent="0.25">
      <c r="A100" s="271" t="s">
        <v>41</v>
      </c>
      <c r="B100" s="272" t="s">
        <v>460</v>
      </c>
      <c r="C100" s="272" t="str">
        <f>_xlfn.LET(
_xlpm.cliente,TRIM(UPPER(A100)),
_xlpm.bu,TRIM(UPPER(B100)),
_xlpm.limite,_xlfn.XLOOKUP(A100,'Limite de crédito'!C:C,'Limite de crédito'!G:G,""),
_xlpm.seguro,_xlfn.XLOOKUP(A100,'Limite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00" s="273"/>
    </row>
    <row r="101" spans="1:4" x14ac:dyDescent="0.25">
      <c r="A101" s="271" t="s">
        <v>620</v>
      </c>
      <c r="B101" s="272" t="s">
        <v>460</v>
      </c>
      <c r="C101" s="272" t="str">
        <f>_xlfn.LET(
_xlpm.cliente,TRIM(UPPER(A101)),
_xlpm.bu,TRIM(UPPER(B101)),
_xlpm.limite,_xlfn.XLOOKUP(A101,'Limite de crédito'!C:C,'Limite de crédito'!G:G,""),
_xlpm.seguro,_xlfn.XLOOKUP(A101,'Limite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1" s="273"/>
    </row>
    <row r="102" spans="1:4" ht="66" x14ac:dyDescent="0.25">
      <c r="A102" s="271" t="s">
        <v>625</v>
      </c>
      <c r="B102" s="272" t="s">
        <v>460</v>
      </c>
      <c r="C102" s="272" t="str">
        <f>_xlfn.LET(
_xlpm.cliente,TRIM(UPPER(A102)),
_xlpm.bu,TRIM(UPPER(B102)),
_xlpm.limite,_xlfn.XLOOKUP(A102,'Limite de crédito'!C:C,'Limite de crédito'!G:G,""),
_xlpm.seguro,_xlfn.XLOOKUP(A102,'Limite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2" s="273" t="s">
        <v>15389</v>
      </c>
    </row>
    <row r="103" spans="1:4" x14ac:dyDescent="0.25">
      <c r="A103" s="271" t="s">
        <v>621</v>
      </c>
      <c r="B103" s="272" t="s">
        <v>460</v>
      </c>
      <c r="C103" s="272" t="str">
        <f>_xlfn.LET(
_xlpm.cliente,TRIM(UPPER(A103)),
_xlpm.bu,TRIM(UPPER(B103)),
_xlpm.limite,_xlfn.XLOOKUP(A103,'Limite de crédito'!C:C,'Limite de crédito'!G:G,""),
_xlpm.seguro,_xlfn.XLOOKUP(A103,'Limite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3" s="273"/>
    </row>
    <row r="104" spans="1:4" x14ac:dyDescent="0.25">
      <c r="A104" s="271" t="s">
        <v>624</v>
      </c>
      <c r="B104" s="272" t="s">
        <v>460</v>
      </c>
      <c r="C104" s="272" t="str">
        <f>_xlfn.LET(
_xlpm.cliente,TRIM(UPPER(A104)),
_xlpm.bu,TRIM(UPPER(B104)),
_xlpm.limite,_xlfn.XLOOKUP(A104,'Limite de crédito'!C:C,'Limite de crédito'!G:G,""),
_xlpm.seguro,_xlfn.XLOOKUP(A104,'Limite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4" s="273"/>
    </row>
    <row r="105" spans="1:4" x14ac:dyDescent="0.25">
      <c r="A105" s="271" t="s">
        <v>626</v>
      </c>
      <c r="B105" s="272" t="s">
        <v>460</v>
      </c>
      <c r="C105" s="272" t="str">
        <f>_xlfn.LET(
_xlpm.cliente,TRIM(UPPER(A105)),
_xlpm.bu,TRIM(UPPER(B105)),
_xlpm.limite,_xlfn.XLOOKUP(A105,'Limite de crédito'!C:C,'Limite de crédito'!G:G,""),
_xlpm.seguro,_xlfn.XLOOKUP(A105,'Limite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5" s="273"/>
    </row>
    <row r="106" spans="1:4" x14ac:dyDescent="0.25">
      <c r="A106" s="271" t="s">
        <v>627</v>
      </c>
      <c r="B106" s="272" t="s">
        <v>460</v>
      </c>
      <c r="C106" s="272" t="str">
        <f>_xlfn.LET(
_xlpm.cliente,TRIM(UPPER(A106)),
_xlpm.bu,TRIM(UPPER(B106)),
_xlpm.limite,_xlfn.XLOOKUP(A106,'Limite de crédito'!C:C,'Limite de crédito'!G:G,""),
_xlpm.seguro,_xlfn.XLOOKUP(A106,'Limite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6" s="273"/>
    </row>
    <row r="107" spans="1:4" x14ac:dyDescent="0.25">
      <c r="A107" s="271" t="s">
        <v>629</v>
      </c>
      <c r="B107" s="272" t="s">
        <v>460</v>
      </c>
      <c r="C107" s="272" t="str">
        <f>_xlfn.LET(
_xlpm.cliente,TRIM(UPPER(A107)),
_xlpm.bu,TRIM(UPPER(B107)),
_xlpm.limite,_xlfn.XLOOKUP(A107,'Limite de crédito'!C:C,'Limite de crédito'!G:G,""),
_xlpm.seguro,_xlfn.XLOOKUP(A107,'Limite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7" s="273"/>
    </row>
    <row r="108" spans="1:4" x14ac:dyDescent="0.25">
      <c r="A108" s="271" t="s">
        <v>632</v>
      </c>
      <c r="B108" s="272" t="s">
        <v>460</v>
      </c>
      <c r="C108" s="272" t="str">
        <f>_xlfn.LET(
_xlpm.cliente,TRIM(UPPER(A108)),
_xlpm.bu,TRIM(UPPER(B108)),
_xlpm.limite,_xlfn.XLOOKUP(A108,'Limite de crédito'!C:C,'Limite de crédito'!G:G,""),
_xlpm.seguro,_xlfn.XLOOKUP(A108,'Limite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8" s="273"/>
    </row>
    <row r="109" spans="1:4" x14ac:dyDescent="0.25">
      <c r="A109" s="271" t="s">
        <v>633</v>
      </c>
      <c r="B109" s="272" t="s">
        <v>460</v>
      </c>
      <c r="C109" s="272" t="str">
        <f>_xlfn.LET(
_xlpm.cliente,TRIM(UPPER(A109)),
_xlpm.bu,TRIM(UPPER(B109)),
_xlpm.limite,_xlfn.XLOOKUP(A109,'Limite de crédito'!C:C,'Limite de crédito'!G:G,""),
_xlpm.seguro,_xlfn.XLOOKUP(A109,'Limite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09" s="273"/>
    </row>
    <row r="110" spans="1:4" x14ac:dyDescent="0.25">
      <c r="A110" s="271" t="s">
        <v>630</v>
      </c>
      <c r="B110" s="272" t="s">
        <v>460</v>
      </c>
      <c r="C110" s="272" t="str">
        <f>_xlfn.LET(
_xlpm.cliente,TRIM(UPPER(A110)),
_xlpm.bu,TRIM(UPPER(B110)),
_xlpm.limite,_xlfn.XLOOKUP(A110,'Limite de crédito'!C:C,'Limite de crédito'!G:G,""),
_xlpm.seguro,_xlfn.XLOOKUP(A110,'Limite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0" s="273"/>
    </row>
    <row r="111" spans="1:4" x14ac:dyDescent="0.25">
      <c r="A111" s="271" t="s">
        <v>636</v>
      </c>
      <c r="B111" s="272" t="s">
        <v>460</v>
      </c>
      <c r="C111" s="272" t="str">
        <f>_xlfn.LET(
_xlpm.cliente,TRIM(UPPER(A111)),
_xlpm.bu,TRIM(UPPER(B111)),
_xlpm.limite,_xlfn.XLOOKUP(A111,'Limite de crédito'!C:C,'Limite de crédito'!G:G,""),
_xlpm.seguro,_xlfn.XLOOKUP(A111,'Limite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11" s="273"/>
    </row>
    <row r="112" spans="1:4" x14ac:dyDescent="0.25">
      <c r="A112" s="271" t="s">
        <v>631</v>
      </c>
      <c r="B112" s="272" t="s">
        <v>460</v>
      </c>
      <c r="C112" s="272" t="str">
        <f>_xlfn.LET(
_xlpm.cliente,TRIM(UPPER(A112)),
_xlpm.bu,TRIM(UPPER(B112)),
_xlpm.limite,_xlfn.XLOOKUP(A112,'Limite de crédito'!C:C,'Limite de crédito'!G:G,""),
_xlpm.seguro,_xlfn.XLOOKUP(A112,'Limite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2" s="273"/>
    </row>
    <row r="113" spans="1:4" x14ac:dyDescent="0.25">
      <c r="A113" s="271" t="s">
        <v>15419</v>
      </c>
      <c r="B113" s="272" t="s">
        <v>460</v>
      </c>
      <c r="C113" s="272" t="str">
        <f>_xlfn.LET(
_xlpm.cliente,TRIM(UPPER(A113)),
_xlpm.bu,TRIM(UPPER(B113)),
_xlpm.limite,_xlfn.XLOOKUP(A113,'Limite de crédito'!C:C,'Limite de crédito'!G:G,""),
_xlpm.seguro,_xlfn.XLOOKUP(A113,'Limite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13" s="273"/>
    </row>
    <row r="114" spans="1:4" x14ac:dyDescent="0.25">
      <c r="A114" s="271" t="s">
        <v>675</v>
      </c>
      <c r="B114" s="272" t="s">
        <v>460</v>
      </c>
      <c r="C114" s="272" t="str">
        <f>_xlfn.LET(
_xlpm.cliente,TRIM(UPPER(A114)),
_xlpm.bu,TRIM(UPPER(B114)),
_xlpm.limite,_xlfn.XLOOKUP(A114,'Limite de crédito'!C:C,'Limite de crédito'!G:G,""),
_xlpm.seguro,_xlfn.XLOOKUP(A114,'Limite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4" s="273"/>
    </row>
    <row r="115" spans="1:4" x14ac:dyDescent="0.25">
      <c r="A115" s="271" t="s">
        <v>677</v>
      </c>
      <c r="B115" s="272" t="s">
        <v>460</v>
      </c>
      <c r="C115" s="272" t="str">
        <f>_xlfn.LET(
_xlpm.cliente,TRIM(UPPER(A115)),
_xlpm.bu,TRIM(UPPER(B115)),
_xlpm.limite,_xlfn.XLOOKUP(A115,'Limite de crédito'!C:C,'Limite de crédito'!G:G,""),
_xlpm.seguro,_xlfn.XLOOKUP(A115,'Limite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15" s="273"/>
    </row>
    <row r="116" spans="1:4" x14ac:dyDescent="0.25">
      <c r="A116" s="271" t="s">
        <v>679</v>
      </c>
      <c r="B116" s="272" t="s">
        <v>460</v>
      </c>
      <c r="C116" s="272" t="str">
        <f>_xlfn.LET(
_xlpm.cliente,TRIM(UPPER(A116)),
_xlpm.bu,TRIM(UPPER(B116)),
_xlpm.limite,_xlfn.XLOOKUP(A116,'Limite de crédito'!C:C,'Limite de crédito'!G:G,""),
_xlpm.seguro,_xlfn.XLOOKUP(A116,'Limite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6" s="273"/>
    </row>
    <row r="117" spans="1:4" x14ac:dyDescent="0.25">
      <c r="A117" s="271" t="s">
        <v>678</v>
      </c>
      <c r="B117" s="272" t="s">
        <v>460</v>
      </c>
      <c r="C117" s="272" t="str">
        <f>_xlfn.LET(
_xlpm.cliente,TRIM(UPPER(A117)),
_xlpm.bu,TRIM(UPPER(B117)),
_xlpm.limite,_xlfn.XLOOKUP(A117,'Limite de crédito'!C:C,'Limite de crédito'!G:G,""),
_xlpm.seguro,_xlfn.XLOOKUP(A117,'Limite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7" s="273"/>
    </row>
    <row r="118" spans="1:4" x14ac:dyDescent="0.25">
      <c r="A118" s="271" t="s">
        <v>687</v>
      </c>
      <c r="B118" s="272" t="s">
        <v>460</v>
      </c>
      <c r="C118" s="272" t="str">
        <f>_xlfn.LET(
_xlpm.cliente,TRIM(UPPER(A118)),
_xlpm.bu,TRIM(UPPER(B118)),
_xlpm.limite,_xlfn.XLOOKUP(A118,'Limite de crédito'!C:C,'Limite de crédito'!G:G,""),
_xlpm.seguro,_xlfn.XLOOKUP(A118,'Limite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118" s="273"/>
    </row>
    <row r="119" spans="1:4" x14ac:dyDescent="0.25">
      <c r="A119" s="271" t="s">
        <v>688</v>
      </c>
      <c r="B119" s="272" t="s">
        <v>460</v>
      </c>
      <c r="C119" s="272" t="str">
        <f>_xlfn.LET(
_xlpm.cliente,TRIM(UPPER(A119)),
_xlpm.bu,TRIM(UPPER(B119)),
_xlpm.limite,_xlfn.XLOOKUP(A119,'Limite de crédito'!C:C,'Limite de crédito'!G:G,""),
_xlpm.seguro,_xlfn.XLOOKUP(A119,'Limite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9" s="273"/>
    </row>
    <row r="120" spans="1:4" x14ac:dyDescent="0.25">
      <c r="A120" s="271" t="s">
        <v>689</v>
      </c>
      <c r="B120" s="272" t="s">
        <v>460</v>
      </c>
      <c r="C120" s="272" t="str">
        <f>_xlfn.LET(
_xlpm.cliente,TRIM(UPPER(A120)),
_xlpm.bu,TRIM(UPPER(B120)),
_xlpm.limite,_xlfn.XLOOKUP(A120,'Limite de crédito'!C:C,'Limite de crédito'!G:G,""),
_xlpm.seguro,_xlfn.XLOOKUP(A120,'Limite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0" s="273"/>
    </row>
    <row r="121" spans="1:4" x14ac:dyDescent="0.25">
      <c r="A121" s="271" t="s">
        <v>122</v>
      </c>
      <c r="B121" s="272" t="s">
        <v>460</v>
      </c>
      <c r="C121" s="272" t="str">
        <f>_xlfn.LET(
_xlpm.cliente,TRIM(UPPER(A121)),
_xlpm.bu,TRIM(UPPER(B121)),
_xlpm.limite,_xlfn.XLOOKUP(A121,'Limite de crédito'!C:C,'Limite de crédito'!G:G,""),
_xlpm.seguro,_xlfn.XLOOKUP(A121,'Limite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1" s="273"/>
    </row>
    <row r="122" spans="1:4" x14ac:dyDescent="0.25">
      <c r="A122" s="271" t="s">
        <v>690</v>
      </c>
      <c r="B122" s="272" t="s">
        <v>460</v>
      </c>
      <c r="C122" s="272" t="str">
        <f>_xlfn.LET(
_xlpm.cliente,TRIM(UPPER(A122)),
_xlpm.bu,TRIM(UPPER(B122)),
_xlpm.limite,_xlfn.XLOOKUP(A122,'Limite de crédito'!C:C,'Limite de crédito'!G:G,""),
_xlpm.seguro,_xlfn.XLOOKUP(A122,'Limite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2" s="273"/>
    </row>
    <row r="123" spans="1:4" x14ac:dyDescent="0.25">
      <c r="A123" s="271" t="s">
        <v>68</v>
      </c>
      <c r="B123" s="272" t="s">
        <v>460</v>
      </c>
      <c r="C123" s="272" t="str">
        <f>_xlfn.LET(
_xlpm.cliente,TRIM(UPPER(A123)),
_xlpm.bu,TRIM(UPPER(B123)),
_xlpm.limite,_xlfn.XLOOKUP(A123,'Limite de crédito'!C:C,'Limite de crédito'!G:G,""),
_xlpm.seguro,_xlfn.XLOOKUP(A123,'Limite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3" s="273"/>
    </row>
    <row r="124" spans="1:4" x14ac:dyDescent="0.25">
      <c r="A124" s="271" t="s">
        <v>691</v>
      </c>
      <c r="B124" s="272" t="s">
        <v>460</v>
      </c>
      <c r="C124" s="272" t="str">
        <f>_xlfn.LET(
_xlpm.cliente,TRIM(UPPER(A124)),
_xlpm.bu,TRIM(UPPER(B124)),
_xlpm.limite,_xlfn.XLOOKUP(A124,'Limite de crédito'!C:C,'Limite de crédito'!G:G,""),
_xlpm.seguro,_xlfn.XLOOKUP(A124,'Limite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4" s="273"/>
    </row>
    <row r="125" spans="1:4" x14ac:dyDescent="0.25">
      <c r="A125" s="271" t="s">
        <v>693</v>
      </c>
      <c r="B125" s="272" t="s">
        <v>460</v>
      </c>
      <c r="C125" s="272" t="str">
        <f>_xlfn.LET(
_xlpm.cliente,TRIM(UPPER(A125)),
_xlpm.bu,TRIM(UPPER(B125)),
_xlpm.limite,_xlfn.XLOOKUP(A125,'Limite de crédito'!C:C,'Limite de crédito'!G:G,""),
_xlpm.seguro,_xlfn.XLOOKUP(A125,'Limite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5" s="273"/>
    </row>
    <row r="126" spans="1:4" x14ac:dyDescent="0.25">
      <c r="A126" s="271" t="s">
        <v>694</v>
      </c>
      <c r="B126" s="272" t="s">
        <v>460</v>
      </c>
      <c r="C126" s="272" t="str">
        <f>_xlfn.LET(
_xlpm.cliente,TRIM(UPPER(A126)),
_xlpm.bu,TRIM(UPPER(B126)),
_xlpm.limite,_xlfn.XLOOKUP(A126,'Limite de crédito'!C:C,'Limite de crédito'!G:G,""),
_xlpm.seguro,_xlfn.XLOOKUP(A126,'Limite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6" s="273"/>
    </row>
    <row r="127" spans="1:4" x14ac:dyDescent="0.25">
      <c r="A127" s="271" t="s">
        <v>592</v>
      </c>
      <c r="B127" s="272" t="s">
        <v>460</v>
      </c>
      <c r="C127" s="272" t="str">
        <f>_xlfn.LET(
_xlpm.cliente,TRIM(UPPER(A127)),
_xlpm.bu,TRIM(UPPER(B127)),
_xlpm.limite,_xlfn.XLOOKUP(A127,'Limite de crédito'!C:C,'Limite de crédito'!G:G,""),
_xlpm.seguro,_xlfn.XLOOKUP(A127,'Limite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7" s="273"/>
    </row>
    <row r="128" spans="1:4" ht="79.2" x14ac:dyDescent="0.25">
      <c r="A128" s="271" t="s">
        <v>709</v>
      </c>
      <c r="B128" s="272" t="s">
        <v>460</v>
      </c>
      <c r="C128" s="272" t="str">
        <f>_xlfn.LET(
_xlpm.cliente,TRIM(UPPER(A128)),
_xlpm.bu,TRIM(UPPER(B128)),
_xlpm.limite,_xlfn.XLOOKUP(A128,'Limite de crédito'!C:C,'Limite de crédito'!G:G,""),
_xlpm.seguro,_xlfn.XLOOKUP(A128,'Limite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8" s="273" t="s">
        <v>15394</v>
      </c>
    </row>
    <row r="129" spans="1:4" x14ac:dyDescent="0.25">
      <c r="A129" s="271" t="s">
        <v>713</v>
      </c>
      <c r="B129" s="272" t="s">
        <v>460</v>
      </c>
      <c r="C129" s="272" t="str">
        <f>_xlfn.LET(
_xlpm.cliente,TRIM(UPPER(A129)),
_xlpm.bu,TRIM(UPPER(B129)),
_xlpm.limite,_xlfn.XLOOKUP(A129,'Limite de crédito'!C:C,'Limite de crédito'!G:G,""),
_xlpm.seguro,_xlfn.XLOOKUP(A129,'Limite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9" s="273"/>
    </row>
    <row r="130" spans="1:4" x14ac:dyDescent="0.25">
      <c r="A130" s="271" t="s">
        <v>231</v>
      </c>
      <c r="B130" s="272" t="s">
        <v>460</v>
      </c>
      <c r="C130" s="272" t="str">
        <f>_xlfn.LET(
_xlpm.cliente,TRIM(UPPER(A130)),
_xlpm.bu,TRIM(UPPER(B130)),
_xlpm.limite,_xlfn.XLOOKUP(A130,'Limite de crédito'!C:C,'Limite de crédito'!G:G,""),
_xlpm.seguro,_xlfn.XLOOKUP(A130,'Limite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30" s="273"/>
    </row>
    <row r="131" spans="1:4" x14ac:dyDescent="0.25">
      <c r="A131" s="271" t="s">
        <v>718</v>
      </c>
      <c r="B131" s="272" t="s">
        <v>460</v>
      </c>
      <c r="C131" s="272" t="str">
        <f>_xlfn.LET(
_xlpm.cliente,TRIM(UPPER(A131)),
_xlpm.bu,TRIM(UPPER(B131)),
_xlpm.limite,_xlfn.XLOOKUP(A131,'Limite de crédito'!C:C,'Limite de crédito'!G:G,""),
_xlpm.seguro,_xlfn.XLOOKUP(A131,'Limite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131" s="273"/>
    </row>
    <row r="132" spans="1:4" x14ac:dyDescent="0.25">
      <c r="A132" s="271" t="s">
        <v>733</v>
      </c>
      <c r="B132" s="272" t="s">
        <v>460</v>
      </c>
      <c r="C132" s="272" t="str">
        <f>_xlfn.LET(
_xlpm.cliente,TRIM(UPPER(A132)),
_xlpm.bu,TRIM(UPPER(B132)),
_xlpm.limite,_xlfn.XLOOKUP(A132,'Limite de crédito'!C:C,'Limite de crédito'!G:G,""),
_xlpm.seguro,_xlfn.XLOOKUP(A132,'Limite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132" s="273"/>
    </row>
    <row r="133" spans="1:4" x14ac:dyDescent="0.25">
      <c r="A133" s="271" t="s">
        <v>734</v>
      </c>
      <c r="B133" s="272" t="s">
        <v>460</v>
      </c>
      <c r="C133" s="272" t="str">
        <f>_xlfn.LET(
_xlpm.cliente,TRIM(UPPER(A133)),
_xlpm.bu,TRIM(UPPER(B133)),
_xlpm.limite,_xlfn.XLOOKUP(A133,'Limite de crédito'!C:C,'Limite de crédito'!G:G,""),
_xlpm.seguro,_xlfn.XLOOKUP(A133,'Limite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33" s="273"/>
    </row>
    <row r="134" spans="1:4" x14ac:dyDescent="0.25">
      <c r="A134" s="271" t="s">
        <v>766</v>
      </c>
      <c r="B134" s="272" t="s">
        <v>460</v>
      </c>
      <c r="C134" s="272" t="str">
        <f>_xlfn.LET(
_xlpm.cliente,TRIM(UPPER(A134)),
_xlpm.bu,TRIM(UPPER(B134)),
_xlpm.limite,_xlfn.XLOOKUP(A134,'Limite de crédito'!C:C,'Limite de crédito'!G:G,""),
_xlpm.seguro,_xlfn.XLOOKUP(A134,'Limite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34" s="273"/>
    </row>
    <row r="135" spans="1:4" x14ac:dyDescent="0.25">
      <c r="A135" s="271" t="s">
        <v>770</v>
      </c>
      <c r="B135" s="272" t="s">
        <v>460</v>
      </c>
      <c r="C135" s="272" t="str">
        <f>_xlfn.LET(
_xlpm.cliente,TRIM(UPPER(A135)),
_xlpm.bu,TRIM(UPPER(B135)),
_xlpm.limite,_xlfn.XLOOKUP(A135,'Limite de crédito'!C:C,'Limite de crédito'!G:G,""),
_xlpm.seguro,_xlfn.XLOOKUP(A135,'Limite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135" s="273"/>
    </row>
    <row r="136" spans="1:4" x14ac:dyDescent="0.25">
      <c r="A136" s="271" t="s">
        <v>160</v>
      </c>
      <c r="B136" s="272" t="s">
        <v>589</v>
      </c>
      <c r="C136" s="272" t="str">
        <f>_xlfn.LET(
_xlpm.cliente,TRIM(UPPER(A136)),
_xlpm.bu,TRIM(UPPER(B136)),
_xlpm.limite,_xlfn.XLOOKUP(A136,'Limite de crédito'!C:C,'Limite de crédito'!G:G,""),
_xlpm.seguro,_xlfn.XLOOKUP(A136,'Limite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36" s="273"/>
    </row>
    <row r="137" spans="1:4" x14ac:dyDescent="0.25">
      <c r="A137" s="271" t="s">
        <v>368</v>
      </c>
      <c r="B137" s="272" t="s">
        <v>589</v>
      </c>
      <c r="C137" s="272" t="str">
        <f>_xlfn.LET(
_xlpm.cliente,TRIM(UPPER(A137)),
_xlpm.bu,TRIM(UPPER(B137)),
_xlpm.limite,_xlfn.XLOOKUP(A137,'Limite de crédito'!C:C,'Limite de crédito'!G:G,""),
_xlpm.seguro,_xlfn.XLOOKUP(A137,'Limite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37" s="273"/>
    </row>
    <row r="138" spans="1:4" x14ac:dyDescent="0.25">
      <c r="A138" s="271" t="s">
        <v>192</v>
      </c>
      <c r="B138" s="272" t="s">
        <v>589</v>
      </c>
      <c r="C138" s="272" t="str">
        <f>_xlfn.LET(
_xlpm.cliente,TRIM(UPPER(A138)),
_xlpm.bu,TRIM(UPPER(B138)),
_xlpm.limite,_xlfn.XLOOKUP(A138,'Limite de crédito'!C:C,'Limite de crédito'!G:G,""),
_xlpm.seguro,_xlfn.XLOOKUP(A138,'Limite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38" s="273"/>
    </row>
    <row r="139" spans="1:4" x14ac:dyDescent="0.25">
      <c r="A139" s="271" t="s">
        <v>170</v>
      </c>
      <c r="B139" s="272" t="s">
        <v>589</v>
      </c>
      <c r="C139" s="272" t="str">
        <f>_xlfn.LET(
_xlpm.cliente,TRIM(UPPER(A139)),
_xlpm.bu,TRIM(UPPER(B139)),
_xlpm.limite,_xlfn.XLOOKUP(A139,'Limite de crédito'!C:C,'Limite de crédito'!G:G,""),
_xlpm.seguro,_xlfn.XLOOKUP(A139,'Limite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39" s="273"/>
    </row>
    <row r="140" spans="1:4" x14ac:dyDescent="0.25">
      <c r="A140" s="271" t="s">
        <v>177</v>
      </c>
      <c r="B140" s="272" t="s">
        <v>589</v>
      </c>
      <c r="C140" s="272" t="str">
        <f>_xlfn.LET(
_xlpm.cliente,TRIM(UPPER(A140)),
_xlpm.bu,TRIM(UPPER(B140)),
_xlpm.limite,_xlfn.XLOOKUP(A140,'Limite de crédito'!C:C,'Limite de crédito'!G:G,""),
_xlpm.seguro,_xlfn.XLOOKUP(A140,'Limite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40" s="273"/>
    </row>
    <row r="141" spans="1:4" x14ac:dyDescent="0.25">
      <c r="A141" s="271" t="s">
        <v>181</v>
      </c>
      <c r="B141" s="272" t="s">
        <v>589</v>
      </c>
      <c r="C141" s="272" t="str">
        <f>_xlfn.LET(
_xlpm.cliente,TRIM(UPPER(A141)),
_xlpm.bu,TRIM(UPPER(B141)),
_xlpm.limite,_xlfn.XLOOKUP(A141,'Limite de crédito'!C:C,'Limite de crédito'!G:G,""),
_xlpm.seguro,_xlfn.XLOOKUP(A141,'Limite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41" s="273"/>
    </row>
    <row r="142" spans="1:4" x14ac:dyDescent="0.25">
      <c r="A142" s="271" t="s">
        <v>189</v>
      </c>
      <c r="B142" s="272" t="s">
        <v>589</v>
      </c>
      <c r="C142" s="272" t="str">
        <f>_xlfn.LET(
_xlpm.cliente,TRIM(UPPER(A142)),
_xlpm.bu,TRIM(UPPER(B142)),
_xlpm.limite,_xlfn.XLOOKUP(A142,'Limite de crédito'!C:C,'Limite de crédito'!G:G,""),
_xlpm.seguro,_xlfn.XLOOKUP(A142,'Limite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42" s="273"/>
    </row>
    <row r="143" spans="1:4" x14ac:dyDescent="0.25">
      <c r="A143" s="271" t="s">
        <v>143</v>
      </c>
      <c r="B143" s="272" t="s">
        <v>306</v>
      </c>
      <c r="C143" s="272" t="str">
        <f>_xlfn.LET(
_xlpm.cliente,TRIM(UPPER(A143)),
_xlpm.bu,TRIM(UPPER(B143)),
_xlpm.limite,_xlfn.XLOOKUP(A143,'Limite de crédito'!C:C,'Limite de crédito'!G:G,""),
_xlpm.seguro,_xlfn.XLOOKUP(A143,'Limite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43" s="273"/>
    </row>
    <row r="144" spans="1:4" x14ac:dyDescent="0.25">
      <c r="A144" s="271" t="s">
        <v>371</v>
      </c>
      <c r="B144" s="272" t="s">
        <v>306</v>
      </c>
      <c r="C144" s="272" t="str">
        <f>_xlfn.LET(
_xlpm.cliente,TRIM(UPPER(A144)),
_xlpm.bu,TRIM(UPPER(B144)),
_xlpm.limite,_xlfn.XLOOKUP(A144,'Limite de crédito'!C:C,'Limite de crédito'!G:G,""),
_xlpm.seguro,_xlfn.XLOOKUP(A144,'Limite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44" s="273"/>
    </row>
    <row r="145" spans="1:4" x14ac:dyDescent="0.25">
      <c r="A145" s="271" t="s">
        <v>179</v>
      </c>
      <c r="B145" s="272" t="s">
        <v>306</v>
      </c>
      <c r="C145" s="272" t="str">
        <f>_xlfn.LET(
_xlpm.cliente,TRIM(UPPER(A145)),
_xlpm.bu,TRIM(UPPER(B145)),
_xlpm.limite,_xlfn.XLOOKUP(A145,'Limite de crédito'!C:C,'Limite de crédito'!G:G,""),
_xlpm.seguro,_xlfn.XLOOKUP(A145,'Limite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45" s="273"/>
    </row>
    <row r="146" spans="1:4" x14ac:dyDescent="0.25">
      <c r="A146" s="271" t="s">
        <v>188</v>
      </c>
      <c r="B146" s="272" t="s">
        <v>306</v>
      </c>
      <c r="C146" s="272" t="str">
        <f>_xlfn.LET(
_xlpm.cliente,TRIM(UPPER(A146)),
_xlpm.bu,TRIM(UPPER(B146)),
_xlpm.limite,_xlfn.XLOOKUP(A146,'Limite de crédito'!C:C,'Limite de crédito'!G:G,""),
_xlpm.seguro,_xlfn.XLOOKUP(A146,'Limite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46" s="273"/>
    </row>
    <row r="147" spans="1:4" x14ac:dyDescent="0.25">
      <c r="A147" s="271" t="s">
        <v>301</v>
      </c>
      <c r="B147" s="272" t="s">
        <v>306</v>
      </c>
      <c r="C147" s="272" t="str">
        <f>_xlfn.LET(
_xlpm.cliente,TRIM(UPPER(A147)),
_xlpm.bu,TRIM(UPPER(B147)),
_xlpm.limite,_xlfn.XLOOKUP(A147,'Limite de crédito'!C:C,'Limite de crédito'!G:G,""),
_xlpm.seguro,_xlfn.XLOOKUP(A147,'Limite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47" s="273"/>
    </row>
    <row r="148" spans="1:4" ht="66" x14ac:dyDescent="0.25">
      <c r="A148" s="271" t="s">
        <v>165</v>
      </c>
      <c r="B148" s="272" t="s">
        <v>306</v>
      </c>
      <c r="C148" s="272" t="str">
        <f>_xlfn.LET(
_xlpm.cliente,TRIM(UPPER(A148)),
_xlpm.bu,TRIM(UPPER(B148)),
_xlpm.limite,_xlfn.XLOOKUP(A148,'Limite de crédito'!C:C,'Limite de crédito'!G:G,""),
_xlpm.seguro,_xlfn.XLOOKUP(A148,'Limite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48" s="273" t="s">
        <v>15399</v>
      </c>
    </row>
    <row r="149" spans="1:4" x14ac:dyDescent="0.25">
      <c r="A149" s="271" t="s">
        <v>195</v>
      </c>
      <c r="B149" s="272" t="s">
        <v>306</v>
      </c>
      <c r="C149" s="272" t="str">
        <f>_xlfn.LET(
_xlpm.cliente,TRIM(UPPER(A149)),
_xlpm.bu,TRIM(UPPER(B149)),
_xlpm.limite,_xlfn.XLOOKUP(A149,'Limite de crédito'!C:C,'Limite de crédito'!G:G,""),
_xlpm.seguro,_xlfn.XLOOKUP(A149,'Limite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49" s="273"/>
    </row>
    <row r="150" spans="1:4" x14ac:dyDescent="0.25">
      <c r="A150" s="271" t="s">
        <v>363</v>
      </c>
      <c r="B150" s="272" t="s">
        <v>306</v>
      </c>
      <c r="C150" s="272" t="str">
        <f>_xlfn.LET(
_xlpm.cliente,TRIM(UPPER(A150)),
_xlpm.bu,TRIM(UPPER(B150)),
_xlpm.limite,_xlfn.XLOOKUP(A150,'Limite de crédito'!C:C,'Limite de crédito'!G:G,""),
_xlpm.seguro,_xlfn.XLOOKUP(A150,'Limite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0" s="273"/>
    </row>
    <row r="151" spans="1:4" x14ac:dyDescent="0.25">
      <c r="A151" s="271" t="s">
        <v>372</v>
      </c>
      <c r="B151" s="272" t="s">
        <v>306</v>
      </c>
      <c r="C151" s="272" t="str">
        <f>_xlfn.LET(
_xlpm.cliente,TRIM(UPPER(A151)),
_xlpm.bu,TRIM(UPPER(B151)),
_xlpm.limite,_xlfn.XLOOKUP(A151,'Limite de crédito'!C:C,'Limite de crédito'!G:G,""),
_xlpm.seguro,_xlfn.XLOOKUP(A151,'Limite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51" s="273"/>
    </row>
    <row r="152" spans="1:4" x14ac:dyDescent="0.25">
      <c r="A152" s="271" t="s">
        <v>242</v>
      </c>
      <c r="B152" s="272" t="s">
        <v>589</v>
      </c>
      <c r="C152" s="272" t="str">
        <f>_xlfn.LET(
_xlpm.cliente,TRIM(UPPER(A152)),
_xlpm.bu,TRIM(UPPER(B152)),
_xlpm.limite,_xlfn.XLOOKUP(A152,'Limite de crédito'!C:C,'Limite de crédito'!G:G,""),
_xlpm.seguro,_xlfn.XLOOKUP(A152,'Limite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52" s="273"/>
    </row>
    <row r="153" spans="1:4" x14ac:dyDescent="0.25">
      <c r="A153" s="271" t="s">
        <v>194</v>
      </c>
      <c r="B153" s="272" t="s">
        <v>306</v>
      </c>
      <c r="C153" s="272" t="str">
        <f>_xlfn.LET(
_xlpm.cliente,TRIM(UPPER(A153)),
_xlpm.bu,TRIM(UPPER(B153)),
_xlpm.limite,_xlfn.XLOOKUP(A153,'Limite de crédito'!C:C,'Limite de crédito'!G:G,""),
_xlpm.seguro,_xlfn.XLOOKUP(A153,'Limite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3" s="273"/>
    </row>
    <row r="154" spans="1:4" x14ac:dyDescent="0.25">
      <c r="A154" s="271" t="s">
        <v>283</v>
      </c>
      <c r="B154" s="272" t="s">
        <v>306</v>
      </c>
      <c r="C154" s="272" t="str">
        <f>_xlfn.LET(
_xlpm.cliente,TRIM(UPPER(A154)),
_xlpm.bu,TRIM(UPPER(B154)),
_xlpm.limite,_xlfn.XLOOKUP(A154,'Limite de crédito'!C:C,'Limite de crédito'!G:G,""),
_xlpm.seguro,_xlfn.XLOOKUP(A154,'Limite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4" s="273"/>
    </row>
    <row r="155" spans="1:4" x14ac:dyDescent="0.25">
      <c r="A155" s="271" t="s">
        <v>366</v>
      </c>
      <c r="B155" s="272" t="s">
        <v>589</v>
      </c>
      <c r="C155" s="272" t="str">
        <f>_xlfn.LET(
_xlpm.cliente,TRIM(UPPER(A155)),
_xlpm.bu,TRIM(UPPER(B155)),
_xlpm.limite,_xlfn.XLOOKUP(A155,'Limite de crédito'!C:C,'Limite de crédito'!G:G,""),
_xlpm.seguro,_xlfn.XLOOKUP(A155,'Limite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55" s="273"/>
    </row>
    <row r="156" spans="1:4" x14ac:dyDescent="0.25">
      <c r="A156" s="271" t="s">
        <v>315</v>
      </c>
      <c r="B156" s="272" t="s">
        <v>306</v>
      </c>
      <c r="C156" s="272" t="str">
        <f>_xlfn.LET(
_xlpm.cliente,TRIM(UPPER(A156)),
_xlpm.bu,TRIM(UPPER(B156)),
_xlpm.limite,_xlfn.XLOOKUP(A156,'Limite de crédito'!C:C,'Limite de crédito'!G:G,""),
_xlpm.seguro,_xlfn.XLOOKUP(A156,'Limite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6" s="273"/>
    </row>
    <row r="157" spans="1:4" x14ac:dyDescent="0.25">
      <c r="A157" s="271" t="s">
        <v>329</v>
      </c>
      <c r="B157" s="272" t="s">
        <v>306</v>
      </c>
      <c r="C157" s="272" t="str">
        <f>_xlfn.LET(
_xlpm.cliente,TRIM(UPPER(A157)),
_xlpm.bu,TRIM(UPPER(B157)),
_xlpm.limite,_xlfn.XLOOKUP(A157,'Limite de crédito'!C:C,'Limite de crédito'!G:G,""),
_xlpm.seguro,_xlfn.XLOOKUP(A157,'Limite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7" s="273"/>
    </row>
    <row r="158" spans="1:4" x14ac:dyDescent="0.25">
      <c r="A158" s="271" t="s">
        <v>232</v>
      </c>
      <c r="B158" s="271" t="s">
        <v>306</v>
      </c>
      <c r="C158" s="272" t="str">
        <f>_xlfn.LET(
_xlpm.cliente,TRIM(UPPER(A158)),
_xlpm.bu,TRIM(UPPER(B158)),
_xlpm.limite,_xlfn.XLOOKUP(A158,'Limite de crédito'!C:C,'Limite de crédito'!G:G,""),
_xlpm.seguro,_xlfn.XLOOKUP(A158,'Limite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58" s="273"/>
    </row>
    <row r="159" spans="1:4" x14ac:dyDescent="0.25">
      <c r="A159" s="271" t="s">
        <v>365</v>
      </c>
      <c r="B159" s="271" t="s">
        <v>306</v>
      </c>
      <c r="C159" s="272" t="str">
        <f>_xlfn.LET(
_xlpm.cliente,TRIM(UPPER(A159)),
_xlpm.bu,TRIM(UPPER(B159)),
_xlpm.limite,_xlfn.XLOOKUP(A159,'Limite de crédito'!C:C,'Limite de crédito'!G:G,""),
_xlpm.seguro,_xlfn.XLOOKUP(A159,'Limite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59" s="273"/>
    </row>
    <row r="160" spans="1:4" x14ac:dyDescent="0.25">
      <c r="A160" s="271" t="s">
        <v>111</v>
      </c>
      <c r="B160" s="271" t="s">
        <v>306</v>
      </c>
      <c r="C160" s="272" t="str">
        <f>_xlfn.LET(
_xlpm.cliente,TRIM(UPPER(A160)),
_xlpm.bu,TRIM(UPPER(B160)),
_xlpm.limite,_xlfn.XLOOKUP(A160,'Limite de crédito'!C:C,'Limite de crédito'!G:G,""),
_xlpm.seguro,_xlfn.XLOOKUP(A160,'Limite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0" s="273"/>
    </row>
    <row r="161" spans="1:4" ht="52.8" x14ac:dyDescent="0.25">
      <c r="A161" s="271" t="s">
        <v>330</v>
      </c>
      <c r="B161" s="271" t="s">
        <v>306</v>
      </c>
      <c r="C161" s="272" t="str">
        <f>_xlfn.LET(
_xlpm.cliente,TRIM(UPPER(A161)),
_xlpm.bu,TRIM(UPPER(B161)),
_xlpm.limite,_xlfn.XLOOKUP(A161,'Limite de crédito'!C:C,'Limite de crédito'!G:G,""),
_xlpm.seguro,_xlfn.XLOOKUP(A161,'Limite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1" s="273" t="s">
        <v>15391</v>
      </c>
    </row>
    <row r="162" spans="1:4" x14ac:dyDescent="0.25">
      <c r="A162" s="271" t="s">
        <v>137</v>
      </c>
      <c r="B162" s="271" t="s">
        <v>306</v>
      </c>
      <c r="C162" s="272" t="str">
        <f>_xlfn.LET(
_xlpm.cliente,TRIM(UPPER(A162)),
_xlpm.bu,TRIM(UPPER(B162)),
_xlpm.limite,_xlfn.XLOOKUP(A162,'Limite de crédito'!C:C,'Limite de crédito'!G:G,""),
_xlpm.seguro,_xlfn.XLOOKUP(A162,'Limite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2" s="273"/>
    </row>
    <row r="163" spans="1:4" x14ac:dyDescent="0.25">
      <c r="A163" s="271" t="s">
        <v>328</v>
      </c>
      <c r="B163" s="271" t="s">
        <v>306</v>
      </c>
      <c r="C163" s="272" t="str">
        <f>_xlfn.LET(
_xlpm.cliente,TRIM(UPPER(A163)),
_xlpm.bu,TRIM(UPPER(B163)),
_xlpm.limite,_xlfn.XLOOKUP(A163,'Limite de crédito'!C:C,'Limite de crédito'!G:G,""),
_xlpm.seguro,_xlfn.XLOOKUP(A163,'Limite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3" s="273"/>
    </row>
    <row r="164" spans="1:4" x14ac:dyDescent="0.25">
      <c r="A164" s="271" t="s">
        <v>185</v>
      </c>
      <c r="B164" s="271" t="s">
        <v>306</v>
      </c>
      <c r="C164" s="272" t="str">
        <f>_xlfn.LET(
_xlpm.cliente,TRIM(UPPER(A164)),
_xlpm.bu,TRIM(UPPER(B164)),
_xlpm.limite,_xlfn.XLOOKUP(A164,'Limite de crédito'!C:C,'Limite de crédito'!G:G,""),
_xlpm.seguro,_xlfn.XLOOKUP(A164,'Limite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4" s="273"/>
    </row>
    <row r="165" spans="1:4" x14ac:dyDescent="0.25">
      <c r="A165" s="271" t="s">
        <v>175</v>
      </c>
      <c r="B165" s="271" t="s">
        <v>306</v>
      </c>
      <c r="C165" s="272" t="str">
        <f>_xlfn.LET(
_xlpm.cliente,TRIM(UPPER(A165)),
_xlpm.bu,TRIM(UPPER(B165)),
_xlpm.limite,_xlfn.XLOOKUP(A165,'Limite de crédito'!C:C,'Limite de crédito'!G:G,""),
_xlpm.seguro,_xlfn.XLOOKUP(A165,'Limite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5" s="273"/>
    </row>
    <row r="166" spans="1:4" x14ac:dyDescent="0.25">
      <c r="A166" s="271" t="s">
        <v>266</v>
      </c>
      <c r="B166" s="271" t="s">
        <v>306</v>
      </c>
      <c r="C166" s="272" t="str">
        <f>_xlfn.LET(
_xlpm.cliente,TRIM(UPPER(A166)),
_xlpm.bu,TRIM(UPPER(B166)),
_xlpm.limite,_xlfn.XLOOKUP(A166,'Limite de crédito'!C:C,'Limite de crédito'!G:G,""),
_xlpm.seguro,_xlfn.XLOOKUP(A166,'Limite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6" s="273"/>
    </row>
    <row r="167" spans="1:4" x14ac:dyDescent="0.25">
      <c r="A167" s="271" t="s">
        <v>427</v>
      </c>
      <c r="B167" s="271" t="s">
        <v>306</v>
      </c>
      <c r="C167" s="272" t="str">
        <f>_xlfn.LET(
_xlpm.cliente,TRIM(UPPER(A167)),
_xlpm.bu,TRIM(UPPER(B167)),
_xlpm.limite,_xlfn.XLOOKUP(A167,'Limite de crédito'!C:C,'Limite de crédito'!G:G,""),
_xlpm.seguro,_xlfn.XLOOKUP(A167,'Limite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7" s="273"/>
    </row>
    <row r="168" spans="1:4" x14ac:dyDescent="0.25">
      <c r="A168" s="271" t="s">
        <v>168</v>
      </c>
      <c r="B168" s="271" t="s">
        <v>306</v>
      </c>
      <c r="C168" s="272" t="str">
        <f>_xlfn.LET(
_xlpm.cliente,TRIM(UPPER(A168)),
_xlpm.bu,TRIM(UPPER(B168)),
_xlpm.limite,_xlfn.XLOOKUP(A168,'Limite de crédito'!C:C,'Limite de crédito'!G:G,""),
_xlpm.seguro,_xlfn.XLOOKUP(A168,'Limite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8" s="273"/>
    </row>
    <row r="169" spans="1:4" x14ac:dyDescent="0.25">
      <c r="A169" s="271" t="s">
        <v>241</v>
      </c>
      <c r="B169" s="271" t="s">
        <v>306</v>
      </c>
      <c r="C169" s="272" t="str">
        <f>_xlfn.LET(
_xlpm.cliente,TRIM(UPPER(A169)),
_xlpm.bu,TRIM(UPPER(B169)),
_xlpm.limite,_xlfn.XLOOKUP(A169,'Limite de crédito'!C:C,'Limite de crédito'!G:G,""),
_xlpm.seguro,_xlfn.XLOOKUP(A169,'Limite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9" s="273"/>
    </row>
    <row r="170" spans="1:4" x14ac:dyDescent="0.25">
      <c r="A170" s="271" t="s">
        <v>294</v>
      </c>
      <c r="B170" s="271" t="s">
        <v>306</v>
      </c>
      <c r="C170" s="272" t="str">
        <f>_xlfn.LET(
_xlpm.cliente,TRIM(UPPER(A170)),
_xlpm.bu,TRIM(UPPER(B170)),
_xlpm.limite,_xlfn.XLOOKUP(A170,'Limite de crédito'!C:C,'Limite de crédito'!G:G,""),
_xlpm.seguro,_xlfn.XLOOKUP(A170,'Limite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0" s="273"/>
    </row>
    <row r="171" spans="1:4" x14ac:dyDescent="0.25">
      <c r="A171" s="271" t="s">
        <v>344</v>
      </c>
      <c r="B171" s="271" t="s">
        <v>306</v>
      </c>
      <c r="C171" s="272" t="str">
        <f>_xlfn.LET(
_xlpm.cliente,TRIM(UPPER(A171)),
_xlpm.bu,TRIM(UPPER(B171)),
_xlpm.limite,_xlfn.XLOOKUP(A171,'Limite de crédito'!C:C,'Limite de crédito'!G:G,""),
_xlpm.seguro,_xlfn.XLOOKUP(A171,'Limite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1" s="273"/>
    </row>
    <row r="172" spans="1:4" x14ac:dyDescent="0.25">
      <c r="A172" s="271" t="s">
        <v>290</v>
      </c>
      <c r="B172" s="271" t="s">
        <v>306</v>
      </c>
      <c r="C172" s="272" t="str">
        <f>_xlfn.LET(
_xlpm.cliente,TRIM(UPPER(A172)),
_xlpm.bu,TRIM(UPPER(B172)),
_xlpm.limite,_xlfn.XLOOKUP(A172,'Limite de crédito'!C:C,'Limite de crédito'!G:G,""),
_xlpm.seguro,_xlfn.XLOOKUP(A172,'Limite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2" s="273"/>
    </row>
    <row r="173" spans="1:4" x14ac:dyDescent="0.25">
      <c r="A173" s="271" t="s">
        <v>390</v>
      </c>
      <c r="B173" s="271" t="s">
        <v>306</v>
      </c>
      <c r="C173" s="272" t="str">
        <f>_xlfn.LET(
_xlpm.cliente,TRIM(UPPER(A173)),
_xlpm.bu,TRIM(UPPER(B173)),
_xlpm.limite,_xlfn.XLOOKUP(A173,'Limite de crédito'!C:C,'Limite de crédito'!G:G,""),
_xlpm.seguro,_xlfn.XLOOKUP(A173,'Limite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3" s="273"/>
    </row>
    <row r="174" spans="1:4" x14ac:dyDescent="0.25">
      <c r="A174" s="271" t="s">
        <v>432</v>
      </c>
      <c r="B174" s="271" t="s">
        <v>306</v>
      </c>
      <c r="C174" s="272" t="str">
        <f>_xlfn.LET(
_xlpm.cliente,TRIM(UPPER(A174)),
_xlpm.bu,TRIM(UPPER(B174)),
_xlpm.limite,_xlfn.XLOOKUP(A174,'Limite de crédito'!C:C,'Limite de crédito'!G:G,""),
_xlpm.seguro,_xlfn.XLOOKUP(A174,'Limite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4" s="273"/>
    </row>
    <row r="175" spans="1:4" x14ac:dyDescent="0.25">
      <c r="A175" s="271" t="s">
        <v>388</v>
      </c>
      <c r="B175" s="271" t="s">
        <v>306</v>
      </c>
      <c r="C175" s="272" t="str">
        <f>_xlfn.LET(
_xlpm.cliente,TRIM(UPPER(A175)),
_xlpm.bu,TRIM(UPPER(B175)),
_xlpm.limite,_xlfn.XLOOKUP(A175,'Limite de crédito'!C:C,'Limite de crédito'!G:G,""),
_xlpm.seguro,_xlfn.XLOOKUP(A175,'Limite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5" s="273"/>
    </row>
    <row r="176" spans="1:4" x14ac:dyDescent="0.25">
      <c r="A176" s="271" t="s">
        <v>466</v>
      </c>
      <c r="B176" s="271" t="s">
        <v>306</v>
      </c>
      <c r="C176" s="272" t="str">
        <f>_xlfn.LET(
_xlpm.cliente,TRIM(UPPER(A176)),
_xlpm.bu,TRIM(UPPER(B176)),
_xlpm.limite,_xlfn.XLOOKUP(A176,'Limite de crédito'!C:C,'Limite de crédito'!G:G,""),
_xlpm.seguro,_xlfn.XLOOKUP(A176,'Limite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6" s="273"/>
    </row>
    <row r="177" spans="1:4" x14ac:dyDescent="0.25">
      <c r="A177" s="271" t="s">
        <v>331</v>
      </c>
      <c r="B177" s="271" t="s">
        <v>306</v>
      </c>
      <c r="C177" s="272" t="str">
        <f>_xlfn.LET(
_xlpm.cliente,TRIM(UPPER(A177)),
_xlpm.bu,TRIM(UPPER(B177)),
_xlpm.limite,_xlfn.XLOOKUP(A177,'Limite de crédito'!C:C,'Limite de crédito'!G:G,""),
_xlpm.seguro,_xlfn.XLOOKUP(A177,'Limite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7" s="273"/>
    </row>
    <row r="178" spans="1:4" ht="105.6" x14ac:dyDescent="0.25">
      <c r="A178" s="271" t="s">
        <v>332</v>
      </c>
      <c r="B178" s="271" t="s">
        <v>306</v>
      </c>
      <c r="C178" s="272" t="str">
        <f>_xlfn.LET(
_xlpm.cliente,TRIM(UPPER(A178)),
_xlpm.bu,TRIM(UPPER(B178)),
_xlpm.limite,_xlfn.XLOOKUP(A178,'Limite de crédito'!C:C,'Limite de crédito'!G:G,""),
_xlpm.seguro,_xlfn.XLOOKUP(A178,'Limite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8" s="273" t="s">
        <v>15393</v>
      </c>
    </row>
    <row r="179" spans="1:4" ht="39.6" x14ac:dyDescent="0.25">
      <c r="A179" s="271" t="s">
        <v>494</v>
      </c>
      <c r="B179" s="271" t="s">
        <v>306</v>
      </c>
      <c r="C179" s="272" t="str">
        <f>_xlfn.LET(
_xlpm.cliente,TRIM(UPPER(A179)),
_xlpm.bu,TRIM(UPPER(B179)),
_xlpm.limite,_xlfn.XLOOKUP(A179,'Limite de crédito'!C:C,'Limite de crédito'!G:G,""),
_xlpm.seguro,_xlfn.XLOOKUP(A179,'Limite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9" s="273" t="s">
        <v>15388</v>
      </c>
    </row>
    <row r="180" spans="1:4" x14ac:dyDescent="0.25">
      <c r="A180" s="271" t="s">
        <v>549</v>
      </c>
      <c r="B180" s="271" t="s">
        <v>306</v>
      </c>
      <c r="C180" s="272" t="str">
        <f>_xlfn.LET(
_xlpm.cliente,TRIM(UPPER(A180)),
_xlpm.bu,TRIM(UPPER(B180)),
_xlpm.limite,_xlfn.XLOOKUP(A180,'Limite de crédito'!C:C,'Limite de crédito'!G:G,""),
_xlpm.seguro,_xlfn.XLOOKUP(A180,'Limite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0" s="273"/>
    </row>
    <row r="181" spans="1:4" x14ac:dyDescent="0.25">
      <c r="A181" s="271" t="s">
        <v>534</v>
      </c>
      <c r="B181" s="271" t="s">
        <v>306</v>
      </c>
      <c r="C181" s="272" t="str">
        <f>_xlfn.LET(
_xlpm.cliente,TRIM(UPPER(A181)),
_xlpm.bu,TRIM(UPPER(B181)),
_xlpm.limite,_xlfn.XLOOKUP(A181,'Limite de crédito'!C:C,'Limite de crédito'!G:G,""),
_xlpm.seguro,_xlfn.XLOOKUP(A181,'Limite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1" s="273"/>
    </row>
    <row r="182" spans="1:4" x14ac:dyDescent="0.25">
      <c r="A182" s="271" t="s">
        <v>555</v>
      </c>
      <c r="B182" s="271" t="s">
        <v>306</v>
      </c>
      <c r="C182" s="272" t="str">
        <f>_xlfn.LET(
_xlpm.cliente,TRIM(UPPER(A182)),
_xlpm.bu,TRIM(UPPER(B182)),
_xlpm.limite,_xlfn.XLOOKUP(A182,'Limite de crédito'!C:C,'Limite de crédito'!G:G,""),
_xlpm.seguro,_xlfn.XLOOKUP(A182,'Limite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2" s="273"/>
    </row>
    <row r="183" spans="1:4" x14ac:dyDescent="0.25">
      <c r="A183" s="271" t="s">
        <v>562</v>
      </c>
      <c r="B183" s="271" t="s">
        <v>306</v>
      </c>
      <c r="C183" s="272" t="str">
        <f>_xlfn.LET(
_xlpm.cliente,TRIM(UPPER(A183)),
_xlpm.bu,TRIM(UPPER(B183)),
_xlpm.limite,_xlfn.XLOOKUP(A183,'Limite de crédito'!C:C,'Limite de crédito'!G:G,""),
_xlpm.seguro,_xlfn.XLOOKUP(A183,'Limite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3" s="273"/>
    </row>
    <row r="184" spans="1:4" x14ac:dyDescent="0.25">
      <c r="A184" s="271" t="s">
        <v>576</v>
      </c>
      <c r="B184" s="271" t="s">
        <v>306</v>
      </c>
      <c r="C184" s="272" t="str">
        <f>_xlfn.LET(
_xlpm.cliente,TRIM(UPPER(A184)),
_xlpm.bu,TRIM(UPPER(B184)),
_xlpm.limite,_xlfn.XLOOKUP(A184,'Limite de crédito'!C:C,'Limite de crédito'!G:G,""),
_xlpm.seguro,_xlfn.XLOOKUP(A184,'Limite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4" s="273"/>
    </row>
    <row r="185" spans="1:4" x14ac:dyDescent="0.25">
      <c r="A185" s="271" t="s">
        <v>571</v>
      </c>
      <c r="B185" s="271" t="s">
        <v>306</v>
      </c>
      <c r="C185" s="272" t="str">
        <f>_xlfn.LET(
_xlpm.cliente,TRIM(UPPER(A185)),
_xlpm.bu,TRIM(UPPER(B185)),
_xlpm.limite,_xlfn.XLOOKUP(A185,'Limite de crédito'!C:C,'Limite de crédito'!G:G,""),
_xlpm.seguro,_xlfn.XLOOKUP(A185,'Limite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5" s="273"/>
    </row>
    <row r="186" spans="1:4" x14ac:dyDescent="0.25">
      <c r="A186" s="271" t="s">
        <v>73</v>
      </c>
      <c r="B186" s="271" t="s">
        <v>306</v>
      </c>
      <c r="C186" s="272" t="str">
        <f>_xlfn.LET(
_xlpm.cliente,TRIM(UPPER(A186)),
_xlpm.bu,TRIM(UPPER(B186)),
_xlpm.limite,_xlfn.XLOOKUP(A186,'Limite de crédito'!C:C,'Limite de crédito'!G:G,""),
_xlpm.seguro,_xlfn.XLOOKUP(A186,'Limite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6" s="273"/>
    </row>
    <row r="187" spans="1:4" x14ac:dyDescent="0.25">
      <c r="A187" s="271" t="s">
        <v>610</v>
      </c>
      <c r="B187" s="271" t="s">
        <v>306</v>
      </c>
      <c r="C187" s="272" t="str">
        <f>_xlfn.LET(
_xlpm.cliente,TRIM(UPPER(A187)),
_xlpm.bu,TRIM(UPPER(B187)),
_xlpm.limite,_xlfn.XLOOKUP(A187,'Limite de crédito'!C:C,'Limite de crédito'!G:G,""),
_xlpm.seguro,_xlfn.XLOOKUP(A187,'Limite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7" s="273"/>
    </row>
    <row r="188" spans="1:4" x14ac:dyDescent="0.25">
      <c r="A188" s="271" t="s">
        <v>622</v>
      </c>
      <c r="B188" s="271" t="s">
        <v>306</v>
      </c>
      <c r="C188" s="272" t="str">
        <f>_xlfn.LET(
_xlpm.cliente,TRIM(UPPER(A188)),
_xlpm.bu,TRIM(UPPER(B188)),
_xlpm.limite,_xlfn.XLOOKUP(A188,'Limite de crédito'!C:C,'Limite de crédito'!G:G,""),
_xlpm.seguro,_xlfn.XLOOKUP(A188,'Limite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8" s="273"/>
    </row>
    <row r="189" spans="1:4" x14ac:dyDescent="0.25">
      <c r="A189" s="271" t="s">
        <v>428</v>
      </c>
      <c r="B189" s="271" t="s">
        <v>306</v>
      </c>
      <c r="C189" s="272" t="str">
        <f>_xlfn.LET(
_xlpm.cliente,TRIM(UPPER(A189)),
_xlpm.bu,TRIM(UPPER(B189)),
_xlpm.limite,_xlfn.XLOOKUP(A189,'Limite de crédito'!C:C,'Limite de crédito'!G:G,""),
_xlpm.seguro,_xlfn.XLOOKUP(A189,'Limite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9" s="273"/>
    </row>
    <row r="190" spans="1:4" x14ac:dyDescent="0.25">
      <c r="A190" s="271" t="s">
        <v>623</v>
      </c>
      <c r="B190" s="271" t="s">
        <v>306</v>
      </c>
      <c r="C190" s="272" t="str">
        <f>_xlfn.LET(
_xlpm.cliente,TRIM(UPPER(A190)),
_xlpm.bu,TRIM(UPPER(B190)),
_xlpm.limite,_xlfn.XLOOKUP(A190,'Limite de crédito'!C:C,'Limite de crédito'!G:G,""),
_xlpm.seguro,_xlfn.XLOOKUP(A190,'Limite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90" s="273"/>
    </row>
    <row r="191" spans="1:4" x14ac:dyDescent="0.25">
      <c r="A191" s="271" t="s">
        <v>268</v>
      </c>
      <c r="B191" s="271" t="s">
        <v>306</v>
      </c>
      <c r="C191" s="272" t="str">
        <f>_xlfn.LET(
_xlpm.cliente,TRIM(UPPER(A191)),
_xlpm.bu,TRIM(UPPER(B191)),
_xlpm.limite,_xlfn.XLOOKUP(A191,'Limite de crédito'!C:C,'Limite de crédito'!G:G,""),
_xlpm.seguro,_xlfn.XLOOKUP(A191,'Limite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1" s="273"/>
    </row>
    <row r="192" spans="1:4" x14ac:dyDescent="0.25">
      <c r="A192" s="271" t="s">
        <v>654</v>
      </c>
      <c r="B192" s="271" t="s">
        <v>306</v>
      </c>
      <c r="C192" s="272" t="str">
        <f>_xlfn.LET(
_xlpm.cliente,TRIM(UPPER(A192)),
_xlpm.bu,TRIM(UPPER(B192)),
_xlpm.limite,_xlfn.XLOOKUP(A192,'Limite de crédito'!C:C,'Limite de crédito'!G:G,""),
_xlpm.seguro,_xlfn.XLOOKUP(A192,'Limite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2" s="273"/>
    </row>
    <row r="193" spans="1:4" x14ac:dyDescent="0.25">
      <c r="A193" s="271" t="s">
        <v>723</v>
      </c>
      <c r="B193" s="271" t="s">
        <v>306</v>
      </c>
      <c r="C193" s="272" t="str">
        <f>_xlfn.LET(
_xlpm.cliente,TRIM(UPPER(A193)),
_xlpm.bu,TRIM(UPPER(B193)),
_xlpm.limite,_xlfn.XLOOKUP(A193,'Limite de crédito'!C:C,'Limite de crédito'!G:G,""),
_xlpm.seguro,_xlfn.XLOOKUP(A193,'Limite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3" s="273"/>
    </row>
    <row r="194" spans="1:4" x14ac:dyDescent="0.25">
      <c r="A194" s="271" t="s">
        <v>419</v>
      </c>
      <c r="B194" s="271" t="s">
        <v>764</v>
      </c>
      <c r="C194" s="272" t="str">
        <f>_xlfn.LET(
_xlpm.cliente,TRIM(UPPER(A194)),
_xlpm.bu,TRIM(UPPER(B194)),
_xlpm.limite,_xlfn.XLOOKUP(A194,'Limite de crédito'!C:C,'Limite de crédito'!G:G,""),
_xlpm.seguro,_xlfn.XLOOKUP(A194,'Limite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4" s="273"/>
    </row>
    <row r="195" spans="1:4" x14ac:dyDescent="0.25">
      <c r="A195" s="271" t="s">
        <v>346</v>
      </c>
      <c r="B195" s="271" t="s">
        <v>764</v>
      </c>
      <c r="C195" s="272" t="str">
        <f>_xlfn.LET(
_xlpm.cliente,TRIM(UPPER(A195)),
_xlpm.bu,TRIM(UPPER(B195)),
_xlpm.limite,_xlfn.XLOOKUP(A195,'Limite de crédito'!C:C,'Limite de crédito'!G:G,""),
_xlpm.seguro,_xlfn.XLOOKUP(A195,'Limite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5" s="273"/>
    </row>
    <row r="196" spans="1:4" x14ac:dyDescent="0.25">
      <c r="A196" s="271" t="s">
        <v>114</v>
      </c>
      <c r="B196" s="271" t="s">
        <v>764</v>
      </c>
      <c r="C196" s="272" t="str">
        <f>_xlfn.LET(
_xlpm.cliente,TRIM(UPPER(A196)),
_xlpm.bu,TRIM(UPPER(B196)),
_xlpm.limite,_xlfn.XLOOKUP(A196,'Limite de crédito'!C:C,'Limite de crédito'!G:G,""),
_xlpm.seguro,_xlfn.XLOOKUP(A196,'Limite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6" s="273"/>
    </row>
    <row r="197" spans="1:4" x14ac:dyDescent="0.25">
      <c r="A197" s="271" t="s">
        <v>264</v>
      </c>
      <c r="B197" s="271" t="s">
        <v>764</v>
      </c>
      <c r="C197" s="272" t="str">
        <f>_xlfn.LET(
_xlpm.cliente,TRIM(UPPER(A197)),
_xlpm.bu,TRIM(UPPER(B197)),
_xlpm.limite,_xlfn.XLOOKUP(A197,'Limite de crédito'!C:C,'Limite de crédito'!G:G,""),
_xlpm.seguro,_xlfn.XLOOKUP(A197,'Limite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c r="D197" s="273"/>
    </row>
    <row r="198" spans="1:4" x14ac:dyDescent="0.25">
      <c r="A198" s="271" t="s">
        <v>118</v>
      </c>
      <c r="B198" s="271" t="s">
        <v>764</v>
      </c>
      <c r="C198" s="272" t="str">
        <f>_xlfn.LET(
_xlpm.cliente,TRIM(UPPER(A198)),
_xlpm.bu,TRIM(UPPER(B198)),
_xlpm.limite,_xlfn.XLOOKUP(A198,'Limite de crédito'!C:C,'Limite de crédito'!G:G,""),
_xlpm.seguro,_xlfn.XLOOKUP(A198,'Limite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8" s="273"/>
    </row>
    <row r="199" spans="1:4" x14ac:dyDescent="0.25">
      <c r="A199" s="271" t="s">
        <v>423</v>
      </c>
      <c r="B199" s="271" t="s">
        <v>764</v>
      </c>
      <c r="C199" s="272" t="str">
        <f>_xlfn.LET(
_xlpm.cliente,TRIM(UPPER(A199)),
_xlpm.bu,TRIM(UPPER(B199)),
_xlpm.limite,_xlfn.XLOOKUP(A199,'Limite de crédito'!C:C,'Limite de crédito'!G:G,""),
_xlpm.seguro,_xlfn.XLOOKUP(A199,'Limite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9" s="273"/>
    </row>
    <row r="200" spans="1:4" x14ac:dyDescent="0.25">
      <c r="A200" s="271" t="s">
        <v>424</v>
      </c>
      <c r="B200" s="271" t="s">
        <v>764</v>
      </c>
      <c r="C200" s="272" t="str">
        <f>_xlfn.LET(
_xlpm.cliente,TRIM(UPPER(A200)),
_xlpm.bu,TRIM(UPPER(B200)),
_xlpm.limite,_xlfn.XLOOKUP(A200,'Limite de crédito'!C:C,'Limite de crédito'!G:G,""),
_xlpm.seguro,_xlfn.XLOOKUP(A200,'Limite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0" s="273"/>
    </row>
    <row r="201" spans="1:4" x14ac:dyDescent="0.25">
      <c r="A201" s="271" t="s">
        <v>376</v>
      </c>
      <c r="B201" s="271" t="s">
        <v>764</v>
      </c>
      <c r="C201" s="272" t="str">
        <f>_xlfn.LET(
_xlpm.cliente,TRIM(UPPER(A201)),
_xlpm.bu,TRIM(UPPER(B201)),
_xlpm.limite,_xlfn.XLOOKUP(A201,'Limite de crédito'!C:C,'Limite de crédito'!G:G,""),
_xlpm.seguro,_xlfn.XLOOKUP(A201,'Limite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1" s="273"/>
    </row>
    <row r="202" spans="1:4" x14ac:dyDescent="0.25">
      <c r="A202" s="271" t="s">
        <v>350</v>
      </c>
      <c r="B202" s="271" t="s">
        <v>764</v>
      </c>
      <c r="C202" s="272" t="str">
        <f>_xlfn.LET(
_xlpm.cliente,TRIM(UPPER(A202)),
_xlpm.bu,TRIM(UPPER(B202)),
_xlpm.limite,_xlfn.XLOOKUP(A202,'Limite de crédito'!C:C,'Limite de crédito'!G:G,""),
_xlpm.seguro,_xlfn.XLOOKUP(A202,'Limite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2" s="273"/>
    </row>
    <row r="203" spans="1:4" ht="39.6" x14ac:dyDescent="0.25">
      <c r="A203" s="271" t="s">
        <v>302</v>
      </c>
      <c r="B203" s="271" t="s">
        <v>764</v>
      </c>
      <c r="C203" s="272" t="str">
        <f>_xlfn.LET(
_xlpm.cliente,TRIM(UPPER(A203)),
_xlpm.bu,TRIM(UPPER(B203)),
_xlpm.limite,_xlfn.XLOOKUP(A203,'Limite de crédito'!C:C,'Limite de crédito'!G:G,""),
_xlpm.seguro,_xlfn.XLOOKUP(A203,'Limite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203" s="273" t="s">
        <v>15387</v>
      </c>
    </row>
    <row r="204" spans="1:4" x14ac:dyDescent="0.25">
      <c r="A204" s="271" t="s">
        <v>327</v>
      </c>
      <c r="B204" s="271" t="s">
        <v>764</v>
      </c>
      <c r="C204" s="272" t="str">
        <f>_xlfn.LET(
_xlpm.cliente,TRIM(UPPER(A204)),
_xlpm.bu,TRIM(UPPER(B204)),
_xlpm.limite,_xlfn.XLOOKUP(A204,'Limite de crédito'!C:C,'Limite de crédito'!G:G,""),
_xlpm.seguro,_xlfn.XLOOKUP(A204,'Limite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4" s="273"/>
    </row>
    <row r="205" spans="1:4" x14ac:dyDescent="0.25">
      <c r="A205" s="271" t="s">
        <v>319</v>
      </c>
      <c r="B205" s="271" t="s">
        <v>764</v>
      </c>
      <c r="C205" s="272" t="str">
        <f>_xlfn.LET(
_xlpm.cliente,TRIM(UPPER(A205)),
_xlpm.bu,TRIM(UPPER(B205)),
_xlpm.limite,_xlfn.XLOOKUP(A205,'Limite de crédito'!C:C,'Limite de crédito'!G:G,""),
_xlpm.seguro,_xlfn.XLOOKUP(A205,'Limite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5" s="273"/>
    </row>
    <row r="206" spans="1:4" x14ac:dyDescent="0.25">
      <c r="A206" s="271" t="s">
        <v>120</v>
      </c>
      <c r="B206" s="271" t="s">
        <v>764</v>
      </c>
      <c r="C206" s="272" t="str">
        <f>_xlfn.LET(
_xlpm.cliente,TRIM(UPPER(A206)),
_xlpm.bu,TRIM(UPPER(B206)),
_xlpm.limite,_xlfn.XLOOKUP(A206,'Limite de crédito'!C:C,'Limite de crédito'!G:G,""),
_xlpm.seguro,_xlfn.XLOOKUP(A206,'Limite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6" s="273"/>
    </row>
    <row r="207" spans="1:4" x14ac:dyDescent="0.25">
      <c r="A207" s="271" t="s">
        <v>333</v>
      </c>
      <c r="B207" s="271" t="s">
        <v>764</v>
      </c>
      <c r="C207" s="272" t="str">
        <f>_xlfn.LET(
_xlpm.cliente,TRIM(UPPER(A207)),
_xlpm.bu,TRIM(UPPER(B207)),
_xlpm.limite,_xlfn.XLOOKUP(A207,'Limite de crédito'!C:C,'Limite de crédito'!G:G,""),
_xlpm.seguro,_xlfn.XLOOKUP(A207,'Limite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7" s="273"/>
    </row>
    <row r="208" spans="1:4" x14ac:dyDescent="0.25">
      <c r="A208" s="271" t="s">
        <v>119</v>
      </c>
      <c r="B208" s="271" t="s">
        <v>764</v>
      </c>
      <c r="C208" s="272" t="str">
        <f>_xlfn.LET(
_xlpm.cliente,TRIM(UPPER(A208)),
_xlpm.bu,TRIM(UPPER(B208)),
_xlpm.limite,_xlfn.XLOOKUP(A208,'Limite de crédito'!C:C,'Limite de crédito'!G:G,""),
_xlpm.seguro,_xlfn.XLOOKUP(A208,'Limite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8" s="273"/>
    </row>
    <row r="209" spans="1:4" x14ac:dyDescent="0.25">
      <c r="A209" s="271" t="s">
        <v>429</v>
      </c>
      <c r="B209" s="271" t="s">
        <v>764</v>
      </c>
      <c r="C209" s="272" t="str">
        <f>_xlfn.LET(
_xlpm.cliente,TRIM(UPPER(A209)),
_xlpm.bu,TRIM(UPPER(B209)),
_xlpm.limite,_xlfn.XLOOKUP(A209,'Limite de crédito'!C:C,'Limite de crédito'!G:G,""),
_xlpm.seguro,_xlfn.XLOOKUP(A209,'Limite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9" s="273"/>
    </row>
    <row r="210" spans="1:4" x14ac:dyDescent="0.25">
      <c r="A210" s="271" t="s">
        <v>313</v>
      </c>
      <c r="B210" s="271" t="s">
        <v>764</v>
      </c>
      <c r="C210" s="272" t="str">
        <f>_xlfn.LET(
_xlpm.cliente,TRIM(UPPER(A210)),
_xlpm.bu,TRIM(UPPER(B210)),
_xlpm.limite,_xlfn.XLOOKUP(A210,'Limite de crédito'!C:C,'Limite de crédito'!G:G,""),
_xlpm.seguro,_xlfn.XLOOKUP(A210,'Limite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0" s="273"/>
    </row>
    <row r="211" spans="1:4" x14ac:dyDescent="0.25">
      <c r="A211" s="271" t="s">
        <v>162</v>
      </c>
      <c r="B211" s="271" t="s">
        <v>764</v>
      </c>
      <c r="C211" s="272" t="str">
        <f>_xlfn.LET(
_xlpm.cliente,TRIM(UPPER(A211)),
_xlpm.bu,TRIM(UPPER(B211)),
_xlpm.limite,_xlfn.XLOOKUP(A211,'Limite de crédito'!C:C,'Limite de crédito'!G:G,""),
_xlpm.seguro,_xlfn.XLOOKUP(A211,'Limite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1" s="273"/>
    </row>
    <row r="212" spans="1:4" x14ac:dyDescent="0.25">
      <c r="A212" s="271" t="s">
        <v>452</v>
      </c>
      <c r="B212" s="271" t="s">
        <v>764</v>
      </c>
      <c r="C212" s="272" t="str">
        <f>_xlfn.LET(
_xlpm.cliente,TRIM(UPPER(A212)),
_xlpm.bu,TRIM(UPPER(B212)),
_xlpm.limite,_xlfn.XLOOKUP(A212,'Limite de crédito'!C:C,'Limite de crédito'!G:G,""),
_xlpm.seguro,_xlfn.XLOOKUP(A212,'Limite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2" s="273"/>
    </row>
    <row r="213" spans="1:4" x14ac:dyDescent="0.25">
      <c r="A213" s="271" t="s">
        <v>453</v>
      </c>
      <c r="B213" s="271" t="s">
        <v>764</v>
      </c>
      <c r="C213" s="272" t="str">
        <f>_xlfn.LET(
_xlpm.cliente,TRIM(UPPER(A213)),
_xlpm.bu,TRIM(UPPER(B213)),
_xlpm.limite,_xlfn.XLOOKUP(A213,'Limite de crédito'!C:C,'Limite de crédito'!G:G,""),
_xlpm.seguro,_xlfn.XLOOKUP(A213,'Limite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3" s="273"/>
    </row>
    <row r="214" spans="1:4" x14ac:dyDescent="0.25">
      <c r="A214" s="271" t="s">
        <v>296</v>
      </c>
      <c r="B214" s="271" t="s">
        <v>764</v>
      </c>
      <c r="C214" s="272" t="str">
        <f>_xlfn.LET(
_xlpm.cliente,TRIM(UPPER(A214)),
_xlpm.bu,TRIM(UPPER(B214)),
_xlpm.limite,_xlfn.XLOOKUP(A214,'Limite de crédito'!C:C,'Limite de crédito'!G:G,""),
_xlpm.seguro,_xlfn.XLOOKUP(A214,'Limite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214" s="273"/>
    </row>
    <row r="215" spans="1:4" x14ac:dyDescent="0.25">
      <c r="A215" s="271" t="s">
        <v>318</v>
      </c>
      <c r="B215" s="271" t="s">
        <v>764</v>
      </c>
      <c r="C215" s="272" t="str">
        <f>_xlfn.LET(
_xlpm.cliente,TRIM(UPPER(A215)),
_xlpm.bu,TRIM(UPPER(B215)),
_xlpm.limite,_xlfn.XLOOKUP(A215,'Limite de crédito'!C:C,'Limite de crédito'!G:G,""),
_xlpm.seguro,_xlfn.XLOOKUP(A215,'Limite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5" s="273"/>
    </row>
    <row r="216" spans="1:4" x14ac:dyDescent="0.25">
      <c r="A216" s="271" t="s">
        <v>341</v>
      </c>
      <c r="B216" s="271" t="s">
        <v>764</v>
      </c>
      <c r="C216" s="272" t="str">
        <f>_xlfn.LET(
_xlpm.cliente,TRIM(UPPER(A216)),
_xlpm.bu,TRIM(UPPER(B216)),
_xlpm.limite,_xlfn.XLOOKUP(A216,'Limite de crédito'!C:C,'Limite de crédito'!G:G,""),
_xlpm.seguro,_xlfn.XLOOKUP(A216,'Limite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6" s="273"/>
    </row>
    <row r="217" spans="1:4" ht="92.4" x14ac:dyDescent="0.25">
      <c r="A217" s="271" t="s">
        <v>116</v>
      </c>
      <c r="B217" s="271" t="s">
        <v>764</v>
      </c>
      <c r="C217" s="272" t="str">
        <f>_xlfn.LET(
_xlpm.cliente,TRIM(UPPER(A217)),
_xlpm.bu,TRIM(UPPER(B217)),
_xlpm.limite,_xlfn.XLOOKUP(A217,'Limite de crédito'!C:C,'Limite de crédito'!G:G,""),
_xlpm.seguro,_xlfn.XLOOKUP(A217,'Limite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217" s="273" t="s">
        <v>15390</v>
      </c>
    </row>
    <row r="218" spans="1:4" x14ac:dyDescent="0.25">
      <c r="A218" s="271" t="s">
        <v>484</v>
      </c>
      <c r="B218" s="271" t="s">
        <v>764</v>
      </c>
      <c r="C218" s="272" t="str">
        <f>_xlfn.LET(
_xlpm.cliente,TRIM(UPPER(A218)),
_xlpm.bu,TRIM(UPPER(B218)),
_xlpm.limite,_xlfn.XLOOKUP(A218,'Limite de crédito'!C:C,'Limite de crédito'!G:G,""),
_xlpm.seguro,_xlfn.XLOOKUP(A218,'Limite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18" s="273"/>
    </row>
    <row r="219" spans="1:4" x14ac:dyDescent="0.25">
      <c r="A219" s="271" t="s">
        <v>504</v>
      </c>
      <c r="B219" s="271" t="s">
        <v>764</v>
      </c>
      <c r="C219" s="272" t="str">
        <f>_xlfn.LET(
_xlpm.cliente,TRIM(UPPER(A219)),
_xlpm.bu,TRIM(UPPER(B219)),
_xlpm.limite,_xlfn.XLOOKUP(A219,'Limite de crédito'!C:C,'Limite de crédito'!G:G,""),
_xlpm.seguro,_xlfn.XLOOKUP(A219,'Limite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9" s="273"/>
    </row>
    <row r="220" spans="1:4" x14ac:dyDescent="0.25">
      <c r="A220" s="271" t="s">
        <v>550</v>
      </c>
      <c r="B220" s="271" t="s">
        <v>764</v>
      </c>
      <c r="C220" s="272" t="str">
        <f>_xlfn.LET(
_xlpm.cliente,TRIM(UPPER(A220)),
_xlpm.bu,TRIM(UPPER(B220)),
_xlpm.limite,_xlfn.XLOOKUP(A220,'Limite de crédito'!C:C,'Limite de crédito'!G:G,""),
_xlpm.seguro,_xlfn.XLOOKUP(A220,'Limite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0" s="273"/>
    </row>
    <row r="221" spans="1:4" x14ac:dyDescent="0.25">
      <c r="A221" s="271" t="s">
        <v>274</v>
      </c>
      <c r="B221" s="271" t="s">
        <v>764</v>
      </c>
      <c r="C221" s="272" t="str">
        <f>_xlfn.LET(
_xlpm.cliente,TRIM(UPPER(A221)),
_xlpm.bu,TRIM(UPPER(B221)),
_xlpm.limite,_xlfn.XLOOKUP(A221,'Limite de crédito'!C:C,'Limite de crédito'!G:G,""),
_xlpm.seguro,_xlfn.XLOOKUP(A221,'Limite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1" s="273"/>
    </row>
    <row r="222" spans="1:4" x14ac:dyDescent="0.25">
      <c r="A222" s="271" t="s">
        <v>557</v>
      </c>
      <c r="B222" s="271" t="s">
        <v>764</v>
      </c>
      <c r="C222" s="272" t="str">
        <f>_xlfn.LET(
_xlpm.cliente,TRIM(UPPER(A222)),
_xlpm.bu,TRIM(UPPER(B222)),
_xlpm.limite,_xlfn.XLOOKUP(A222,'Limite de crédito'!C:C,'Limite de crédito'!G:G,""),
_xlpm.seguro,_xlfn.XLOOKUP(A222,'Limite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2" s="273"/>
    </row>
    <row r="223" spans="1:4" x14ac:dyDescent="0.25">
      <c r="A223" s="271" t="s">
        <v>340</v>
      </c>
      <c r="B223" s="271" t="s">
        <v>764</v>
      </c>
      <c r="C223" s="272" t="str">
        <f>_xlfn.LET(
_xlpm.cliente,TRIM(UPPER(A223)),
_xlpm.bu,TRIM(UPPER(B223)),
_xlpm.limite,_xlfn.XLOOKUP(A223,'Limite de crédito'!C:C,'Limite de crédito'!G:G,""),
_xlpm.seguro,_xlfn.XLOOKUP(A223,'Limite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3" s="273"/>
    </row>
    <row r="224" spans="1:4" ht="66" x14ac:dyDescent="0.25">
      <c r="A224" s="271" t="s">
        <v>579</v>
      </c>
      <c r="B224" s="271" t="s">
        <v>764</v>
      </c>
      <c r="C224" s="272" t="str">
        <f>_xlfn.LET(
_xlpm.cliente,TRIM(UPPER(A224)),
_xlpm.bu,TRIM(UPPER(B224)),
_xlpm.limite,_xlfn.XLOOKUP(A224,'Limite de crédito'!C:C,'Limite de crédito'!G:G,""),
_xlpm.seguro,_xlfn.XLOOKUP(A224,'Limite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4" s="273" t="s">
        <v>15396</v>
      </c>
    </row>
    <row r="225" spans="1:4" x14ac:dyDescent="0.25">
      <c r="A225" s="271" t="s">
        <v>566</v>
      </c>
      <c r="B225" s="271" t="s">
        <v>764</v>
      </c>
      <c r="C225" s="272" t="str">
        <f>_xlfn.LET(
_xlpm.cliente,TRIM(UPPER(A225)),
_xlpm.bu,TRIM(UPPER(B225)),
_xlpm.limite,_xlfn.XLOOKUP(A225,'Limite de crédito'!C:C,'Limite de crédito'!G:G,""),
_xlpm.seguro,_xlfn.XLOOKUP(A225,'Limite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5" s="273"/>
    </row>
    <row r="226" spans="1:4" x14ac:dyDescent="0.25">
      <c r="A226" s="271" t="s">
        <v>587</v>
      </c>
      <c r="B226" s="271" t="s">
        <v>764</v>
      </c>
      <c r="C226" s="272" t="str">
        <f>_xlfn.LET(
_xlpm.cliente,TRIM(UPPER(A226)),
_xlpm.bu,TRIM(UPPER(B226)),
_xlpm.limite,_xlfn.XLOOKUP(A226,'Limite de crédito'!C:C,'Limite de crédito'!G:G,""),
_xlpm.seguro,_xlfn.XLOOKUP(A226,'Limite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26" s="273"/>
    </row>
    <row r="227" spans="1:4" x14ac:dyDescent="0.25">
      <c r="A227" s="271" t="s">
        <v>581</v>
      </c>
      <c r="B227" s="271" t="s">
        <v>764</v>
      </c>
      <c r="C227" s="272" t="str">
        <f>_xlfn.LET(
_xlpm.cliente,TRIM(UPPER(A227)),
_xlpm.bu,TRIM(UPPER(B227)),
_xlpm.limite,_xlfn.XLOOKUP(A227,'Limite de crédito'!C:C,'Limite de crédito'!G:G,""),
_xlpm.seguro,_xlfn.XLOOKUP(A227,'Limite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7" s="273"/>
    </row>
    <row r="228" spans="1:4" x14ac:dyDescent="0.25">
      <c r="A228" s="271" t="s">
        <v>234</v>
      </c>
      <c r="B228" s="271" t="s">
        <v>764</v>
      </c>
      <c r="C228" s="272" t="str">
        <f>_xlfn.LET(
_xlpm.cliente,TRIM(UPPER(A228)),
_xlpm.bu,TRIM(UPPER(B228)),
_xlpm.limite,_xlfn.XLOOKUP(A228,'Limite de crédito'!C:C,'Limite de crédito'!G:G,""),
_xlpm.seguro,_xlfn.XLOOKUP(A228,'Limite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8" s="273"/>
    </row>
    <row r="229" spans="1:4" x14ac:dyDescent="0.25">
      <c r="A229" s="271" t="s">
        <v>593</v>
      </c>
      <c r="B229" s="271" t="s">
        <v>764</v>
      </c>
      <c r="C229" s="272" t="str">
        <f>_xlfn.LET(
_xlpm.cliente,TRIM(UPPER(A229)),
_xlpm.bu,TRIM(UPPER(B229)),
_xlpm.limite,_xlfn.XLOOKUP(A229,'Limite de crédito'!C:C,'Limite de crédito'!G:G,""),
_xlpm.seguro,_xlfn.XLOOKUP(A229,'Limite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9" s="273"/>
    </row>
    <row r="230" spans="1:4" x14ac:dyDescent="0.25">
      <c r="A230" s="271" t="s">
        <v>342</v>
      </c>
      <c r="B230" s="271" t="s">
        <v>764</v>
      </c>
      <c r="C230" s="272" t="str">
        <f>_xlfn.LET(
_xlpm.cliente,TRIM(UPPER(A230)),
_xlpm.bu,TRIM(UPPER(B230)),
_xlpm.limite,_xlfn.XLOOKUP(A230,'Limite de crédito'!C:C,'Limite de crédito'!G:G,""),
_xlpm.seguro,_xlfn.XLOOKUP(A230,'Limite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0" s="273"/>
    </row>
    <row r="231" spans="1:4" x14ac:dyDescent="0.25">
      <c r="A231" s="271" t="s">
        <v>595</v>
      </c>
      <c r="B231" s="271" t="s">
        <v>764</v>
      </c>
      <c r="C231" s="272" t="str">
        <f>_xlfn.LET(
_xlpm.cliente,TRIM(UPPER(A231)),
_xlpm.bu,TRIM(UPPER(B231)),
_xlpm.limite,_xlfn.XLOOKUP(A231,'Limite de crédito'!C:C,'Limite de crédito'!G:G,""),
_xlpm.seguro,_xlfn.XLOOKUP(A231,'Limite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1" s="273"/>
    </row>
    <row r="232" spans="1:4" x14ac:dyDescent="0.25">
      <c r="A232" s="271" t="s">
        <v>594</v>
      </c>
      <c r="B232" s="271" t="s">
        <v>764</v>
      </c>
      <c r="C232" s="272" t="str">
        <f>_xlfn.LET(
_xlpm.cliente,TRIM(UPPER(A232)),
_xlpm.bu,TRIM(UPPER(B232)),
_xlpm.limite,_xlfn.XLOOKUP(A232,'Limite de crédito'!C:C,'Limite de crédito'!G:G,""),
_xlpm.seguro,_xlfn.XLOOKUP(A232,'Limite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2" s="273"/>
    </row>
    <row r="233" spans="1:4" x14ac:dyDescent="0.25">
      <c r="A233" s="271" t="s">
        <v>117</v>
      </c>
      <c r="B233" s="271" t="s">
        <v>764</v>
      </c>
      <c r="C233" s="272" t="str">
        <f>_xlfn.LET(
_xlpm.cliente,TRIM(UPPER(A233)),
_xlpm.bu,TRIM(UPPER(B233)),
_xlpm.limite,_xlfn.XLOOKUP(A233,'Limite de crédito'!C:C,'Limite de crédito'!G:G,""),
_xlpm.seguro,_xlfn.XLOOKUP(A233,'Limite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3" s="273"/>
    </row>
    <row r="234" spans="1:4" x14ac:dyDescent="0.25">
      <c r="A234" s="271" t="s">
        <v>538</v>
      </c>
      <c r="B234" s="271" t="s">
        <v>764</v>
      </c>
      <c r="C234" s="272" t="str">
        <f>_xlfn.LET(
_xlpm.cliente,TRIM(UPPER(A234)),
_xlpm.bu,TRIM(UPPER(B234)),
_xlpm.limite,_xlfn.XLOOKUP(A234,'Limite de crédito'!C:C,'Limite de crédito'!G:G,""),
_xlpm.seguro,_xlfn.XLOOKUP(A234,'Limite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4" s="273"/>
    </row>
    <row r="235" spans="1:4" x14ac:dyDescent="0.25">
      <c r="A235" s="271" t="s">
        <v>529</v>
      </c>
      <c r="B235" s="271" t="s">
        <v>764</v>
      </c>
      <c r="C235" s="272" t="str">
        <f>_xlfn.LET(
_xlpm.cliente,TRIM(UPPER(A235)),
_xlpm.bu,TRIM(UPPER(B235)),
_xlpm.limite,_xlfn.XLOOKUP(A235,'Limite de crédito'!C:C,'Limite de crédito'!G:G,""),
_xlpm.seguro,_xlfn.XLOOKUP(A235,'Limite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35" s="273"/>
    </row>
    <row r="236" spans="1:4" x14ac:dyDescent="0.25">
      <c r="A236" s="271" t="s">
        <v>646</v>
      </c>
      <c r="B236" s="271" t="s">
        <v>764</v>
      </c>
      <c r="C236" s="272" t="str">
        <f>_xlfn.LET(
_xlpm.cliente,TRIM(UPPER(A236)),
_xlpm.bu,TRIM(UPPER(B236)),
_xlpm.limite,_xlfn.XLOOKUP(A236,'Limite de crédito'!C:C,'Limite de crédito'!G:G,""),
_xlpm.seguro,_xlfn.XLOOKUP(A236,'Limite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6" s="273"/>
    </row>
    <row r="237" spans="1:4" x14ac:dyDescent="0.25">
      <c r="A237" s="271" t="s">
        <v>712</v>
      </c>
      <c r="B237" s="271" t="s">
        <v>764</v>
      </c>
      <c r="C237" s="272" t="str">
        <f>_xlfn.LET(
_xlpm.cliente,TRIM(UPPER(A237)),
_xlpm.bu,TRIM(UPPER(B237)),
_xlpm.limite,_xlfn.XLOOKUP(A237,'Limite de crédito'!C:C,'Limite de crédito'!G:G,""),
_xlpm.seguro,_xlfn.XLOOKUP(A237,'Limite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37" s="273"/>
    </row>
    <row r="238" spans="1:4" ht="118.8" x14ac:dyDescent="0.25">
      <c r="A238" s="271" t="s">
        <v>716</v>
      </c>
      <c r="B238" s="271" t="s">
        <v>764</v>
      </c>
      <c r="C238" s="272" t="str">
        <f>_xlfn.LET(
_xlpm.cliente,TRIM(UPPER(A238)),
_xlpm.bu,TRIM(UPPER(B238)),
_xlpm.limite,_xlfn.XLOOKUP(A238,'Limite de crédito'!C:C,'Limite de crédito'!G:G,""),
_xlpm.seguro,_xlfn.XLOOKUP(A238,'Limite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238" s="273" t="s">
        <v>15395</v>
      </c>
    </row>
    <row r="239" spans="1:4" x14ac:dyDescent="0.25">
      <c r="A239" s="271" t="s">
        <v>756</v>
      </c>
      <c r="B239" s="271" t="s">
        <v>764</v>
      </c>
      <c r="C239" s="272" t="str">
        <f>_xlfn.LET(
_xlpm.cliente,TRIM(UPPER(A239)),
_xlpm.bu,TRIM(UPPER(B239)),
_xlpm.limite,_xlfn.XLOOKUP(A239,'Limite de crédito'!C:C,'Limite de crédito'!G:G,""),
_xlpm.seguro,_xlfn.XLOOKUP(A239,'Limite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39" s="273"/>
    </row>
    <row r="240" spans="1:4" x14ac:dyDescent="0.25">
      <c r="A240" s="271" t="s">
        <v>784</v>
      </c>
      <c r="B240" s="271" t="s">
        <v>306</v>
      </c>
      <c r="C240" s="272" t="str">
        <f>_xlfn.LET(
_xlpm.cliente,TRIM(UPPER(A240)),
_xlpm.bu,TRIM(UPPER(B240)),
_xlpm.limite,_xlfn.XLOOKUP(A240,'Limite de crédito'!C:C,'Limite de crédito'!G:G,""),
_xlpm.seguro,_xlfn.XLOOKUP(A240,'Limite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0" s="273"/>
    </row>
    <row r="241" spans="1:4" x14ac:dyDescent="0.25">
      <c r="A241" s="271" t="s">
        <v>349</v>
      </c>
      <c r="B241" s="271" t="s">
        <v>460</v>
      </c>
      <c r="C241" s="272" t="str">
        <f>_xlfn.LET(
_xlpm.cliente,TRIM(UPPER(A241)),
_xlpm.bu,TRIM(UPPER(B241)),
_xlpm.limite,_xlfn.XLOOKUP(A241,'Limite de crédito'!C:C,'Limite de crédito'!G:G,""),
_xlpm.seguro,_xlfn.XLOOKUP(A241,'Limite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1" s="273"/>
    </row>
    <row r="242" spans="1:4" x14ac:dyDescent="0.25">
      <c r="A242" s="271" t="s">
        <v>805</v>
      </c>
      <c r="B242" s="271" t="s">
        <v>460</v>
      </c>
      <c r="C242" s="272" t="str">
        <f>_xlfn.LET(
_xlpm.cliente,TRIM(UPPER(A242)),
_xlpm.bu,TRIM(UPPER(B242)),
_xlpm.limite,_xlfn.XLOOKUP(A242,'Limite de crédito'!C:C,'Limite de crédito'!G:G,""),
_xlpm.seguro,_xlfn.XLOOKUP(A242,'Limite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2" s="273"/>
    </row>
    <row r="243" spans="1:4" x14ac:dyDescent="0.25">
      <c r="A243" s="271" t="s">
        <v>515</v>
      </c>
      <c r="B243" s="271" t="s">
        <v>460</v>
      </c>
      <c r="C243" s="272" t="str">
        <f>_xlfn.LET(
_xlpm.cliente,TRIM(UPPER(A243)),
_xlpm.bu,TRIM(UPPER(B243)),
_xlpm.limite,_xlfn.XLOOKUP(A243,'Limite de crédito'!C:C,'Limite de crédito'!G:G,""),
_xlpm.seguro,_xlfn.XLOOKUP(A243,'Limite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3" s="273"/>
    </row>
    <row r="244" spans="1:4" x14ac:dyDescent="0.25">
      <c r="A244" s="306" t="s">
        <v>578</v>
      </c>
      <c r="B244" s="306" t="s">
        <v>460</v>
      </c>
      <c r="C244" s="307" t="str">
        <f>_xlfn.LET(
_xlpm.cliente,TRIM(UPPER(A244)),
_xlpm.bu,TRIM(UPPER(B244)),
_xlpm.limite,_xlfn.XLOOKUP(A244,'Limite de crédito'!C:C,'Limite de crédito'!G:G,""),
_xlpm.seguro,_xlfn.XLOOKUP(A244,'Limite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4" s="308"/>
    </row>
    <row r="245" spans="1:4" x14ac:dyDescent="0.25">
      <c r="A245" s="306" t="s">
        <v>15425</v>
      </c>
      <c r="B245" s="306" t="s">
        <v>306</v>
      </c>
      <c r="C245" s="307" t="str">
        <f>_xlfn.LET(
_xlpm.cliente,TRIM(UPPER(A245)),
_xlpm.bu,TRIM(UPPER(B245)),
_xlpm.limite,_xlfn.XLOOKUP(A245,'Limite de crédito'!C:C,'Limite de crédito'!G:G,""),
_xlpm.seguro,_xlfn.XLOOKUP(A245,'Limite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5" s="308"/>
    </row>
    <row r="246" spans="1:4" x14ac:dyDescent="0.25">
      <c r="A246" s="306" t="s">
        <v>15426</v>
      </c>
      <c r="B246" s="306" t="s">
        <v>306</v>
      </c>
      <c r="C246" s="307" t="str">
        <f>_xlfn.LET(
_xlpm.cliente,TRIM(UPPER(A246)),
_xlpm.bu,TRIM(UPPER(B246)),
_xlpm.limite,_xlfn.XLOOKUP(A246,'Limite de crédito'!C:C,'Limite de crédito'!G:G,""),
_xlpm.seguro,_xlfn.XLOOKUP(A246,'Limite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6" s="308"/>
    </row>
    <row r="247" spans="1:4" x14ac:dyDescent="0.25">
      <c r="A247" s="306" t="s">
        <v>339</v>
      </c>
      <c r="B247" s="306" t="s">
        <v>306</v>
      </c>
      <c r="C247" s="307" t="str">
        <f>_xlfn.LET(
_xlpm.cliente,TRIM(UPPER(A247)),
_xlpm.bu,TRIM(UPPER(B247)),
_xlpm.limite,_xlfn.XLOOKUP(A247,'Limite de crédito'!C:C,'Limite de crédito'!G:G,""),
_xlpm.seguro,_xlfn.XLOOKUP(A247,'Limite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7" s="308"/>
    </row>
    <row r="248" spans="1:4" x14ac:dyDescent="0.25">
      <c r="A248" s="306" t="s">
        <v>12623</v>
      </c>
      <c r="B248" s="306" t="s">
        <v>306</v>
      </c>
      <c r="C248" s="307" t="str">
        <f>_xlfn.LET(
_xlpm.cliente,TRIM(UPPER(A248)),
_xlpm.bu,TRIM(UPPER(B248)),
_xlpm.limite,_xlfn.XLOOKUP(A248,'Limite de crédito'!C:C,'Limite de crédito'!G:G,""),
_xlpm.seguro,_xlfn.XLOOKUP(A248,'Limite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8" s="308"/>
    </row>
    <row r="249" spans="1:4" x14ac:dyDescent="0.25">
      <c r="A249" s="306" t="s">
        <v>15427</v>
      </c>
      <c r="B249" s="306" t="s">
        <v>306</v>
      </c>
      <c r="C249" s="307" t="str">
        <f>_xlfn.LET(
_xlpm.cliente,TRIM(UPPER(A249)),
_xlpm.bu,TRIM(UPPER(B249)),
_xlpm.limite,_xlfn.XLOOKUP(A249,'Limite de crédito'!C:C,'Limite de crédito'!G:G,""),
_xlpm.seguro,_xlfn.XLOOKUP(A249,'Limite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9" s="308"/>
    </row>
    <row r="250" spans="1:4" x14ac:dyDescent="0.25">
      <c r="A250" s="306" t="s">
        <v>15428</v>
      </c>
      <c r="B250" s="306" t="s">
        <v>306</v>
      </c>
      <c r="C250" s="307" t="str">
        <f>_xlfn.LET(
_xlpm.cliente,TRIM(UPPER(A250)),
_xlpm.bu,TRIM(UPPER(B250)),
_xlpm.limite,_xlfn.XLOOKUP(A250,'Limite de crédito'!C:C,'Limite de crédito'!G:G,""),
_xlpm.seguro,_xlfn.XLOOKUP(A250,'Limite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0" s="308"/>
    </row>
    <row r="251" spans="1:4" x14ac:dyDescent="0.25">
      <c r="A251" s="306" t="s">
        <v>9569</v>
      </c>
      <c r="B251" s="306" t="s">
        <v>306</v>
      </c>
      <c r="C251" s="307" t="str">
        <f>_xlfn.LET(
_xlpm.cliente,TRIM(UPPER(A251)),
_xlpm.bu,TRIM(UPPER(B251)),
_xlpm.limite,_xlfn.XLOOKUP(A251,'Limite de crédito'!C:C,'Limite de crédito'!G:G,""),
_xlpm.seguro,_xlfn.XLOOKUP(A251,'Limite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1" s="308"/>
    </row>
    <row r="252" spans="1:4" x14ac:dyDescent="0.25">
      <c r="A252" s="306" t="s">
        <v>9538</v>
      </c>
      <c r="B252" s="306" t="s">
        <v>306</v>
      </c>
      <c r="C252" s="307" t="str">
        <f>_xlfn.LET(
_xlpm.cliente,TRIM(UPPER(A252)),
_xlpm.bu,TRIM(UPPER(B252)),
_xlpm.limite,_xlfn.XLOOKUP(A252,'Limite de crédito'!C:C,'Limite de crédito'!G:G,""),
_xlpm.seguro,_xlfn.XLOOKUP(A252,'Limite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2" s="308"/>
    </row>
    <row r="253" spans="1:4" x14ac:dyDescent="0.25">
      <c r="A253" s="306" t="s">
        <v>551</v>
      </c>
      <c r="B253" s="306" t="s">
        <v>306</v>
      </c>
      <c r="C253" s="307" t="str">
        <f>_xlfn.LET(
_xlpm.cliente,TRIM(UPPER(A253)),
_xlpm.bu,TRIM(UPPER(B253)),
_xlpm.limite,_xlfn.XLOOKUP(A253,'Limite de crédito'!C:C,'Limite de crédito'!G:G,""),
_xlpm.seguro,_xlfn.XLOOKUP(A253,'Limite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53" s="308"/>
    </row>
    <row r="254" spans="1:4" x14ac:dyDescent="0.25">
      <c r="A254" s="306" t="s">
        <v>15429</v>
      </c>
      <c r="B254" s="306" t="s">
        <v>306</v>
      </c>
      <c r="C254" s="307" t="str">
        <f>_xlfn.LET(
_xlpm.cliente,TRIM(UPPER(A254)),
_xlpm.bu,TRIM(UPPER(B254)),
_xlpm.limite,_xlfn.XLOOKUP(A254,'Limite de crédito'!C:C,'Limite de crédito'!G:G,""),
_xlpm.seguro,_xlfn.XLOOKUP(A254,'Limite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4" s="308"/>
    </row>
    <row r="255" spans="1:4" x14ac:dyDescent="0.25">
      <c r="A255" s="306" t="s">
        <v>15430</v>
      </c>
      <c r="B255" s="306" t="s">
        <v>306</v>
      </c>
      <c r="C255" s="307" t="str">
        <f>_xlfn.LET(
_xlpm.cliente,TRIM(UPPER(A255)),
_xlpm.bu,TRIM(UPPER(B255)),
_xlpm.limite,_xlfn.XLOOKUP(A255,'Limite de crédito'!C:C,'Limite de crédito'!G:G,""),
_xlpm.seguro,_xlfn.XLOOKUP(A255,'Limite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5" s="308"/>
    </row>
    <row r="256" spans="1:4" x14ac:dyDescent="0.25">
      <c r="A256" s="306" t="s">
        <v>15431</v>
      </c>
      <c r="B256" s="306" t="s">
        <v>306</v>
      </c>
      <c r="C256" s="307" t="str">
        <f>_xlfn.LET(
_xlpm.cliente,TRIM(UPPER(A256)),
_xlpm.bu,TRIM(UPPER(B256)),
_xlpm.limite,_xlfn.XLOOKUP(A256,'Limite de crédito'!C:C,'Limite de crédito'!G:G,""),
_xlpm.seguro,_xlfn.XLOOKUP(A256,'Limite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6" s="308"/>
    </row>
    <row r="257" spans="1:4" x14ac:dyDescent="0.25">
      <c r="A257" s="306" t="s">
        <v>15432</v>
      </c>
      <c r="B257" s="306" t="s">
        <v>306</v>
      </c>
      <c r="C257" s="307" t="str">
        <f>_xlfn.LET(
_xlpm.cliente,TRIM(UPPER(A257)),
_xlpm.bu,TRIM(UPPER(B257)),
_xlpm.limite,_xlfn.XLOOKUP(A257,'Limite de crédito'!C:C,'Limite de crédito'!G:G,""),
_xlpm.seguro,_xlfn.XLOOKUP(A257,'Limite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7" s="308"/>
    </row>
    <row r="258" spans="1:4" x14ac:dyDescent="0.25">
      <c r="A258" s="306" t="s">
        <v>15433</v>
      </c>
      <c r="B258" s="306" t="s">
        <v>306</v>
      </c>
      <c r="C258" s="307" t="str">
        <f>_xlfn.LET(
_xlpm.cliente,TRIM(UPPER(A258)),
_xlpm.bu,TRIM(UPPER(B258)),
_xlpm.limite,_xlfn.XLOOKUP(A258,'Limite de crédito'!C:C,'Limite de crédito'!G:G,""),
_xlpm.seguro,_xlfn.XLOOKUP(A258,'Limite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8" s="308"/>
    </row>
    <row r="259" spans="1:4" x14ac:dyDescent="0.25">
      <c r="A259" s="306" t="s">
        <v>15434</v>
      </c>
      <c r="B259" s="306" t="s">
        <v>306</v>
      </c>
      <c r="C259" s="307" t="str">
        <f>_xlfn.LET(
_xlpm.cliente,TRIM(UPPER(A259)),
_xlpm.bu,TRIM(UPPER(B259)),
_xlpm.limite,_xlfn.XLOOKUP(A259,'Limite de crédito'!C:C,'Limite de crédito'!G:G,""),
_xlpm.seguro,_xlfn.XLOOKUP(A259,'Limite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9" s="308"/>
    </row>
    <row r="260" spans="1:4" x14ac:dyDescent="0.25">
      <c r="A260" s="306" t="s">
        <v>15435</v>
      </c>
      <c r="B260" s="306" t="s">
        <v>306</v>
      </c>
      <c r="C260" s="307" t="str">
        <f>_xlfn.LET(
_xlpm.cliente,TRIM(UPPER(A260)),
_xlpm.bu,TRIM(UPPER(B260)),
_xlpm.limite,_xlfn.XLOOKUP(A260,'Limite de crédito'!C:C,'Limite de crédito'!G:G,""),
_xlpm.seguro,_xlfn.XLOOKUP(A260,'Limite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60" s="308"/>
    </row>
    <row r="261" spans="1:4" x14ac:dyDescent="0.25">
      <c r="A261" s="306" t="s">
        <v>8911</v>
      </c>
      <c r="B261" s="306" t="s">
        <v>306</v>
      </c>
      <c r="C261" s="307" t="str">
        <f>_xlfn.LET(
_xlpm.cliente,TRIM(UPPER(A261)),
_xlpm.bu,TRIM(UPPER(B261)),
_xlpm.limite,_xlfn.XLOOKUP(A261,'Limite de crédito'!C:C,'Limite de crédito'!G:G,""),
_xlpm.seguro,_xlfn.XLOOKUP(A261,'Limite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61" s="308"/>
    </row>
    <row r="262" spans="1:4" x14ac:dyDescent="0.25">
      <c r="A262" s="306" t="s">
        <v>565</v>
      </c>
      <c r="B262" s="306" t="s">
        <v>306</v>
      </c>
      <c r="C262" s="307" t="str">
        <f>_xlfn.LET(
_xlpm.cliente,TRIM(UPPER(A262)),
_xlpm.bu,TRIM(UPPER(B262)),
_xlpm.limite,_xlfn.XLOOKUP(A262,'Limite de crédito'!C:C,'Limite de crédito'!G:G,""),
_xlpm.seguro,_xlfn.XLOOKUP(A262,'Limite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2" s="308"/>
    </row>
    <row r="263" spans="1:4" x14ac:dyDescent="0.25">
      <c r="A263" s="306" t="s">
        <v>389</v>
      </c>
      <c r="B263" s="306" t="s">
        <v>306</v>
      </c>
      <c r="C263" s="307" t="str">
        <f>_xlfn.LET(
_xlpm.cliente,TRIM(UPPER(A263)),
_xlpm.bu,TRIM(UPPER(B263)),
_xlpm.limite,_xlfn.XLOOKUP(A263,'Limite de crédito'!C:C,'Limite de crédito'!G:G,""),
_xlpm.seguro,_xlfn.XLOOKUP(A263,'Limite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3" s="308"/>
    </row>
    <row r="264" spans="1:4" x14ac:dyDescent="0.25">
      <c r="A264" s="306" t="s">
        <v>574</v>
      </c>
      <c r="B264" s="306" t="s">
        <v>306</v>
      </c>
      <c r="C264" s="307" t="str">
        <f>_xlfn.LET(
_xlpm.cliente,TRIM(UPPER(A264)),
_xlpm.bu,TRIM(UPPER(B264)),
_xlpm.limite,_xlfn.XLOOKUP(A264,'Limite de crédito'!C:C,'Limite de crédito'!G:G,""),
_xlpm.seguro,_xlfn.XLOOKUP(A264,'Limite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4" s="308"/>
    </row>
    <row r="265" spans="1:4" x14ac:dyDescent="0.25">
      <c r="A265" s="306" t="s">
        <v>699</v>
      </c>
      <c r="B265" s="306" t="s">
        <v>306</v>
      </c>
      <c r="C265" s="307" t="str">
        <f>_xlfn.LET(
_xlpm.cliente,TRIM(UPPER(A265)),
_xlpm.bu,TRIM(UPPER(B265)),
_xlpm.limite,_xlfn.XLOOKUP(A265,'Limite de crédito'!C:C,'Limite de crédito'!G:G,""),
_xlpm.seguro,_xlfn.XLOOKUP(A265,'Limite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5" s="308"/>
    </row>
    <row r="266" spans="1:4" x14ac:dyDescent="0.25">
      <c r="A266" s="306" t="s">
        <v>573</v>
      </c>
      <c r="B266" s="306" t="s">
        <v>306</v>
      </c>
      <c r="C266" s="307" t="str">
        <f>_xlfn.LET(
_xlpm.cliente,TRIM(UPPER(A266)),
_xlpm.bu,TRIM(UPPER(B266)),
_xlpm.limite,_xlfn.XLOOKUP(A266,'Limite de crédito'!C:C,'Limite de crédito'!G:G,""),
_xlpm.seguro,_xlfn.XLOOKUP(A266,'Limite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6" s="308"/>
    </row>
    <row r="267" spans="1:4" x14ac:dyDescent="0.25">
      <c r="A267" s="306" t="s">
        <v>8960</v>
      </c>
      <c r="B267" s="306" t="s">
        <v>306</v>
      </c>
      <c r="C267" s="307" t="str">
        <f>_xlfn.LET(
_xlpm.cliente,TRIM(UPPER(A267)),
_xlpm.bu,TRIM(UPPER(B267)),
_xlpm.limite,_xlfn.XLOOKUP(A267,'Limite de crédito'!C:C,'Limite de crédito'!G:G,""),
_xlpm.seguro,_xlfn.XLOOKUP(A267,'Limite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67" s="308"/>
    </row>
    <row r="268" spans="1:4" x14ac:dyDescent="0.25">
      <c r="A268" s="306" t="s">
        <v>684</v>
      </c>
      <c r="B268" s="306" t="s">
        <v>306</v>
      </c>
      <c r="C268" s="307" t="str">
        <f>_xlfn.LET(
_xlpm.cliente,TRIM(UPPER(A268)),
_xlpm.bu,TRIM(UPPER(B268)),
_xlpm.limite,_xlfn.XLOOKUP(A268,'Limite de crédito'!C:C,'Limite de crédito'!G:G,""),
_xlpm.seguro,_xlfn.XLOOKUP(A268,'Limite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8" s="308"/>
    </row>
    <row r="269" spans="1:4" x14ac:dyDescent="0.25">
      <c r="A269" s="306" t="s">
        <v>660</v>
      </c>
      <c r="B269" s="306" t="s">
        <v>306</v>
      </c>
      <c r="C269" s="307" t="str">
        <f>_xlfn.LET(
_xlpm.cliente,TRIM(UPPER(A269)),
_xlpm.bu,TRIM(UPPER(B269)),
_xlpm.limite,_xlfn.XLOOKUP(A269,'Limite de crédito'!C:C,'Limite de crédito'!G:G,""),
_xlpm.seguro,_xlfn.XLOOKUP(A269,'Limite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9" s="308"/>
    </row>
    <row r="270" spans="1:4" x14ac:dyDescent="0.25">
      <c r="A270" s="306" t="s">
        <v>729</v>
      </c>
      <c r="B270" s="306" t="s">
        <v>306</v>
      </c>
      <c r="C270" s="307" t="str">
        <f>_xlfn.LET(
_xlpm.cliente,TRIM(UPPER(A270)),
_xlpm.bu,TRIM(UPPER(B270)),
_xlpm.limite,_xlfn.XLOOKUP(A270,'Limite de crédito'!C:C,'Limite de crédito'!G:G,""),
_xlpm.seguro,_xlfn.XLOOKUP(A270,'Limite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70" s="308"/>
    </row>
    <row r="271" spans="1:4" x14ac:dyDescent="0.25">
      <c r="A271" s="306" t="s">
        <v>741</v>
      </c>
      <c r="B271" s="306" t="s">
        <v>306</v>
      </c>
      <c r="C271" s="307" t="str">
        <f>_xlfn.LET(
_xlpm.cliente,TRIM(UPPER(A271)),
_xlpm.bu,TRIM(UPPER(B271)),
_xlpm.limite,_xlfn.XLOOKUP(A271,'Limite de crédito'!C:C,'Limite de crédito'!G:G,""),
_xlpm.seguro,_xlfn.XLOOKUP(A271,'Limite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71" s="308"/>
    </row>
    <row r="272" spans="1:4" x14ac:dyDescent="0.25">
      <c r="A272" s="306" t="s">
        <v>15436</v>
      </c>
      <c r="B272" s="306" t="s">
        <v>306</v>
      </c>
      <c r="C272" s="307" t="str">
        <f>_xlfn.LET(
_xlpm.cliente,TRIM(UPPER(A272)),
_xlpm.bu,TRIM(UPPER(B272)),
_xlpm.limite,_xlfn.XLOOKUP(A272,'Limite de crédito'!C:C,'Limite de crédito'!G:G,""),
_xlpm.seguro,_xlfn.XLOOKUP(A272,'Limite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2" s="308"/>
    </row>
    <row r="273" spans="1:4" x14ac:dyDescent="0.25">
      <c r="A273" s="306" t="s">
        <v>10839</v>
      </c>
      <c r="B273" s="306" t="s">
        <v>306</v>
      </c>
      <c r="C273" s="307" t="str">
        <f>_xlfn.LET(
_xlpm.cliente,TRIM(UPPER(A273)),
_xlpm.bu,TRIM(UPPER(B273)),
_xlpm.limite,_xlfn.XLOOKUP(A273,'Limite de crédito'!C:C,'Limite de crédito'!G:G,""),
_xlpm.seguro,_xlfn.XLOOKUP(A273,'Limite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3" s="308"/>
    </row>
    <row r="274" spans="1:4" x14ac:dyDescent="0.25">
      <c r="A274" s="306" t="s">
        <v>15437</v>
      </c>
      <c r="B274" s="306" t="s">
        <v>306</v>
      </c>
      <c r="C274" s="307" t="str">
        <f>_xlfn.LET(
_xlpm.cliente,TRIM(UPPER(A274)),
_xlpm.bu,TRIM(UPPER(B274)),
_xlpm.limite,_xlfn.XLOOKUP(A274,'Limite de crédito'!C:C,'Limite de crédito'!G:G,""),
_xlpm.seguro,_xlfn.XLOOKUP(A274,'Limite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4" s="308"/>
    </row>
    <row r="275" spans="1:4" x14ac:dyDescent="0.25">
      <c r="A275" s="306" t="s">
        <v>15438</v>
      </c>
      <c r="B275" s="306" t="s">
        <v>306</v>
      </c>
      <c r="C275" s="307" t="str">
        <f>_xlfn.LET(
_xlpm.cliente,TRIM(UPPER(A275)),
_xlpm.bu,TRIM(UPPER(B275)),
_xlpm.limite,_xlfn.XLOOKUP(A275,'Limite de crédito'!C:C,'Limite de crédito'!G:G,""),
_xlpm.seguro,_xlfn.XLOOKUP(A275,'Limite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5" s="308"/>
    </row>
    <row r="276" spans="1:4" x14ac:dyDescent="0.25">
      <c r="A276" s="306" t="s">
        <v>15439</v>
      </c>
      <c r="B276" s="306" t="s">
        <v>306</v>
      </c>
      <c r="C276" s="307" t="str">
        <f>_xlfn.LET(
_xlpm.cliente,TRIM(UPPER(A276)),
_xlpm.bu,TRIM(UPPER(B276)),
_xlpm.limite,_xlfn.XLOOKUP(A276,'Limite de crédito'!C:C,'Limite de crédito'!G:G,""),
_xlpm.seguro,_xlfn.XLOOKUP(A276,'Limite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6" s="308"/>
    </row>
    <row r="277" spans="1:4" x14ac:dyDescent="0.25">
      <c r="A277" s="306" t="s">
        <v>11660</v>
      </c>
      <c r="B277" s="306" t="s">
        <v>306</v>
      </c>
      <c r="C277" s="307" t="str">
        <f>_xlfn.LET(
_xlpm.cliente,TRIM(UPPER(A277)),
_xlpm.bu,TRIM(UPPER(B277)),
_xlpm.limite,_xlfn.XLOOKUP(A277,'Limite de crédito'!C:C,'Limite de crédito'!G:G,""),
_xlpm.seguro,_xlfn.XLOOKUP(A277,'Limite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7" s="308"/>
    </row>
    <row r="278" spans="1:4" x14ac:dyDescent="0.25">
      <c r="A278" s="306" t="s">
        <v>15440</v>
      </c>
      <c r="B278" s="306" t="s">
        <v>306</v>
      </c>
      <c r="C278" s="307" t="str">
        <f>_xlfn.LET(
_xlpm.cliente,TRIM(UPPER(A278)),
_xlpm.bu,TRIM(UPPER(B278)),
_xlpm.limite,_xlfn.XLOOKUP(A278,'Limite de crédito'!C:C,'Limite de crédito'!G:G,""),
_xlpm.seguro,_xlfn.XLOOKUP(A278,'Limite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8" s="308"/>
    </row>
    <row r="279" spans="1:4" x14ac:dyDescent="0.25">
      <c r="A279" s="306" t="s">
        <v>15441</v>
      </c>
      <c r="B279" s="306" t="s">
        <v>306</v>
      </c>
      <c r="C279" s="307" t="str">
        <f>_xlfn.LET(
_xlpm.cliente,TRIM(UPPER(A279)),
_xlpm.bu,TRIM(UPPER(B279)),
_xlpm.limite,_xlfn.XLOOKUP(A279,'Limite de crédito'!C:C,'Limite de crédito'!G:G,""),
_xlpm.seguro,_xlfn.XLOOKUP(A279,'Limite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9" s="308"/>
    </row>
    <row r="280" spans="1:4" x14ac:dyDescent="0.25">
      <c r="A280" s="306" t="s">
        <v>15442</v>
      </c>
      <c r="B280" s="306" t="s">
        <v>306</v>
      </c>
      <c r="C280" s="307" t="str">
        <f>_xlfn.LET(
_xlpm.cliente,TRIM(UPPER(A280)),
_xlpm.bu,TRIM(UPPER(B280)),
_xlpm.limite,_xlfn.XLOOKUP(A280,'Limite de crédito'!C:C,'Limite de crédito'!G:G,""),
_xlpm.seguro,_xlfn.XLOOKUP(A280,'Limite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0" s="308"/>
    </row>
    <row r="281" spans="1:4" x14ac:dyDescent="0.25">
      <c r="A281" s="306" t="s">
        <v>15443</v>
      </c>
      <c r="B281" s="306" t="s">
        <v>306</v>
      </c>
      <c r="C281" s="307" t="str">
        <f>_xlfn.LET(
_xlpm.cliente,TRIM(UPPER(A281)),
_xlpm.bu,TRIM(UPPER(B281)),
_xlpm.limite,_xlfn.XLOOKUP(A281,'Limite de crédito'!C:C,'Limite de crédito'!G:G,""),
_xlpm.seguro,_xlfn.XLOOKUP(A281,'Limite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1" s="308"/>
    </row>
    <row r="282" spans="1:4" x14ac:dyDescent="0.25">
      <c r="A282" s="306" t="s">
        <v>15444</v>
      </c>
      <c r="B282" s="306" t="s">
        <v>306</v>
      </c>
      <c r="C282" s="307" t="str">
        <f>_xlfn.LET(
_xlpm.cliente,TRIM(UPPER(A282)),
_xlpm.bu,TRIM(UPPER(B282)),
_xlpm.limite,_xlfn.XLOOKUP(A282,'Limite de crédito'!C:C,'Limite de crédito'!G:G,""),
_xlpm.seguro,_xlfn.XLOOKUP(A282,'Limite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2" s="308"/>
    </row>
    <row r="283" spans="1:4" x14ac:dyDescent="0.25">
      <c r="A283" s="306" t="s">
        <v>15445</v>
      </c>
      <c r="B283" s="306" t="s">
        <v>306</v>
      </c>
      <c r="C283" s="307" t="str">
        <f>_xlfn.LET(
_xlpm.cliente,TRIM(UPPER(A283)),
_xlpm.bu,TRIM(UPPER(B283)),
_xlpm.limite,_xlfn.XLOOKUP(A283,'Limite de crédito'!C:C,'Limite de crédito'!G:G,""),
_xlpm.seguro,_xlfn.XLOOKUP(A283,'Limite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3" s="308"/>
    </row>
    <row r="284" spans="1:4" x14ac:dyDescent="0.25">
      <c r="A284" s="306" t="s">
        <v>5311</v>
      </c>
      <c r="B284" s="306" t="s">
        <v>306</v>
      </c>
      <c r="C284" s="307" t="str">
        <f>_xlfn.LET(
_xlpm.cliente,TRIM(UPPER(A284)),
_xlpm.bu,TRIM(UPPER(B284)),
_xlpm.limite,_xlfn.XLOOKUP(A284,'Limite de crédito'!C:C,'Limite de crédito'!G:G,""),
_xlpm.seguro,_xlfn.XLOOKUP(A284,'Limite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4" s="308"/>
    </row>
    <row r="285" spans="1:4" x14ac:dyDescent="0.25">
      <c r="A285" s="306" t="s">
        <v>15446</v>
      </c>
      <c r="B285" s="306" t="s">
        <v>306</v>
      </c>
      <c r="C285" s="307" t="str">
        <f>_xlfn.LET(
_xlpm.cliente,TRIM(UPPER(A285)),
_xlpm.bu,TRIM(UPPER(B285)),
_xlpm.limite,_xlfn.XLOOKUP(A285,'Limite de crédito'!C:C,'Limite de crédito'!G:G,""),
_xlpm.seguro,_xlfn.XLOOKUP(A285,'Limite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5" s="308"/>
    </row>
    <row r="286" spans="1:4" x14ac:dyDescent="0.25">
      <c r="A286" s="306" t="s">
        <v>15447</v>
      </c>
      <c r="B286" s="306" t="s">
        <v>306</v>
      </c>
      <c r="C286" s="307" t="str">
        <f>_xlfn.LET(
_xlpm.cliente,TRIM(UPPER(A286)),
_xlpm.bu,TRIM(UPPER(B286)),
_xlpm.limite,_xlfn.XLOOKUP(A286,'Limite de crédito'!C:C,'Limite de crédito'!G:G,""),
_xlpm.seguro,_xlfn.XLOOKUP(A286,'Limite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6" s="308"/>
    </row>
    <row r="287" spans="1:4" x14ac:dyDescent="0.25">
      <c r="A287" s="306" t="s">
        <v>15448</v>
      </c>
      <c r="B287" s="306" t="s">
        <v>306</v>
      </c>
      <c r="C287" s="307" t="str">
        <f>_xlfn.LET(
_xlpm.cliente,TRIM(UPPER(A287)),
_xlpm.bu,TRIM(UPPER(B287)),
_xlpm.limite,_xlfn.XLOOKUP(A287,'Limite de crédito'!C:C,'Limite de crédito'!G:G,""),
_xlpm.seguro,_xlfn.XLOOKUP(A287,'Limite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7" s="308"/>
    </row>
    <row r="288" spans="1:4" x14ac:dyDescent="0.25">
      <c r="A288" s="306" t="s">
        <v>3319</v>
      </c>
      <c r="B288" s="306" t="s">
        <v>306</v>
      </c>
      <c r="C288" s="307" t="str">
        <f>_xlfn.LET(
_xlpm.cliente,TRIM(UPPER(A288)),
_xlpm.bu,TRIM(UPPER(B288)),
_xlpm.limite,_xlfn.XLOOKUP(A288,'Limite de crédito'!C:C,'Limite de crédito'!G:G,""),
_xlpm.seguro,_xlfn.XLOOKUP(A288,'Limite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8" s="308"/>
    </row>
    <row r="289" spans="1:4" x14ac:dyDescent="0.25">
      <c r="A289" s="306" t="s">
        <v>5329</v>
      </c>
      <c r="B289" s="306" t="s">
        <v>306</v>
      </c>
      <c r="C289" s="307" t="str">
        <f>_xlfn.LET(
_xlpm.cliente,TRIM(UPPER(A289)),
_xlpm.bu,TRIM(UPPER(B289)),
_xlpm.limite,_xlfn.XLOOKUP(A289,'Limite de crédito'!C:C,'Limite de crédito'!G:G,""),
_xlpm.seguro,_xlfn.XLOOKUP(A289,'Limite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9" s="308"/>
    </row>
    <row r="290" spans="1:4" x14ac:dyDescent="0.25">
      <c r="A290" s="306" t="s">
        <v>15449</v>
      </c>
      <c r="B290" s="306" t="s">
        <v>306</v>
      </c>
      <c r="C290" s="307" t="str">
        <f>_xlfn.LET(
_xlpm.cliente,TRIM(UPPER(A290)),
_xlpm.bu,TRIM(UPPER(B290)),
_xlpm.limite,_xlfn.XLOOKUP(A290,'Limite de crédito'!C:C,'Limite de crédito'!G:G,""),
_xlpm.seguro,_xlfn.XLOOKUP(A290,'Limite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0" s="308"/>
    </row>
    <row r="291" spans="1:4" x14ac:dyDescent="0.25">
      <c r="A291" s="306" t="s">
        <v>15450</v>
      </c>
      <c r="B291" s="306" t="s">
        <v>306</v>
      </c>
      <c r="C291" s="307" t="str">
        <f>_xlfn.LET(
_xlpm.cliente,TRIM(UPPER(A291)),
_xlpm.bu,TRIM(UPPER(B291)),
_xlpm.limite,_xlfn.XLOOKUP(A291,'Limite de crédito'!C:C,'Limite de crédito'!G:G,""),
_xlpm.seguro,_xlfn.XLOOKUP(A291,'Limite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1" s="308"/>
    </row>
    <row r="292" spans="1:4" x14ac:dyDescent="0.25">
      <c r="A292" s="306" t="s">
        <v>11106</v>
      </c>
      <c r="B292" s="306" t="s">
        <v>306</v>
      </c>
      <c r="C292" s="307" t="str">
        <f>_xlfn.LET(
_xlpm.cliente,TRIM(UPPER(A292)),
_xlpm.bu,TRIM(UPPER(B292)),
_xlpm.limite,_xlfn.XLOOKUP(A292,'Limite de crédito'!C:C,'Limite de crédito'!G:G,""),
_xlpm.seguro,_xlfn.XLOOKUP(A292,'Limite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2" s="308"/>
    </row>
    <row r="293" spans="1:4" x14ac:dyDescent="0.25">
      <c r="A293" s="306" t="s">
        <v>15451</v>
      </c>
      <c r="B293" s="306" t="s">
        <v>306</v>
      </c>
      <c r="C293" s="307" t="str">
        <f>_xlfn.LET(
_xlpm.cliente,TRIM(UPPER(A293)),
_xlpm.bu,TRIM(UPPER(B293)),
_xlpm.limite,_xlfn.XLOOKUP(A293,'Limite de crédito'!C:C,'Limite de crédito'!G:G,""),
_xlpm.seguro,_xlfn.XLOOKUP(A293,'Limite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3" s="308"/>
    </row>
    <row r="294" spans="1:4" x14ac:dyDescent="0.25">
      <c r="A294" s="306" t="s">
        <v>15452</v>
      </c>
      <c r="B294" s="306" t="s">
        <v>306</v>
      </c>
      <c r="C294" s="307" t="str">
        <f>_xlfn.LET(
_xlpm.cliente,TRIM(UPPER(A294)),
_xlpm.bu,TRIM(UPPER(B294)),
_xlpm.limite,_xlfn.XLOOKUP(A294,'Limite de crédito'!C:C,'Limite de crédito'!G:G,""),
_xlpm.seguro,_xlfn.XLOOKUP(A294,'Limite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4" s="308"/>
    </row>
    <row r="295" spans="1:4" x14ac:dyDescent="0.25">
      <c r="A295" s="306" t="s">
        <v>15453</v>
      </c>
      <c r="B295" s="306" t="s">
        <v>306</v>
      </c>
      <c r="C295" s="307" t="str">
        <f>_xlfn.LET(
_xlpm.cliente,TRIM(UPPER(A295)),
_xlpm.bu,TRIM(UPPER(B295)),
_xlpm.limite,_xlfn.XLOOKUP(A295,'Limite de crédito'!C:C,'Limite de crédito'!G:G,""),
_xlpm.seguro,_xlfn.XLOOKUP(A295,'Limite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5" s="308"/>
    </row>
    <row r="296" spans="1:4" x14ac:dyDescent="0.25">
      <c r="A296" s="306" t="s">
        <v>15454</v>
      </c>
      <c r="B296" s="306" t="s">
        <v>306</v>
      </c>
      <c r="C296" s="307" t="str">
        <f>_xlfn.LET(
_xlpm.cliente,TRIM(UPPER(A296)),
_xlpm.bu,TRIM(UPPER(B296)),
_xlpm.limite,_xlfn.XLOOKUP(A296,'Limite de crédito'!C:C,'Limite de crédito'!G:G,""),
_xlpm.seguro,_xlfn.XLOOKUP(A296,'Limite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6" s="308"/>
    </row>
    <row r="297" spans="1:4" x14ac:dyDescent="0.25">
      <c r="A297" s="306" t="s">
        <v>11932</v>
      </c>
      <c r="B297" s="306" t="s">
        <v>306</v>
      </c>
      <c r="C297" s="307" t="str">
        <f>_xlfn.LET(
_xlpm.cliente,TRIM(UPPER(A297)),
_xlpm.bu,TRIM(UPPER(B297)),
_xlpm.limite,_xlfn.XLOOKUP(A297,'Limite de crédito'!C:C,'Limite de crédito'!G:G,""),
_xlpm.seguro,_xlfn.XLOOKUP(A297,'Limite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7" s="308"/>
    </row>
    <row r="298" spans="1:4" x14ac:dyDescent="0.25">
      <c r="A298" s="306" t="s">
        <v>5189</v>
      </c>
      <c r="B298" s="306" t="s">
        <v>306</v>
      </c>
      <c r="C298" s="307" t="str">
        <f>_xlfn.LET(
_xlpm.cliente,TRIM(UPPER(A298)),
_xlpm.bu,TRIM(UPPER(B298)),
_xlpm.limite,_xlfn.XLOOKUP(A298,'Limite de crédito'!C:C,'Limite de crédito'!G:G,""),
_xlpm.seguro,_xlfn.XLOOKUP(A298,'Limite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8" s="308"/>
    </row>
    <row r="299" spans="1:4" x14ac:dyDescent="0.25">
      <c r="A299" s="306" t="s">
        <v>5189</v>
      </c>
      <c r="B299" s="306" t="s">
        <v>306</v>
      </c>
      <c r="C299" s="307" t="str">
        <f>_xlfn.LET(
_xlpm.cliente,TRIM(UPPER(A299)),
_xlpm.bu,TRIM(UPPER(B299)),
_xlpm.limite,_xlfn.XLOOKUP(A299,'Limite de crédito'!C:C,'Limite de crédito'!G:G,""),
_xlpm.seguro,_xlfn.XLOOKUP(A299,'Limite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9" s="308"/>
    </row>
    <row r="300" spans="1:4" x14ac:dyDescent="0.25">
      <c r="A300" s="306" t="s">
        <v>15455</v>
      </c>
      <c r="B300" s="306" t="s">
        <v>306</v>
      </c>
      <c r="C300" s="307" t="str">
        <f>_xlfn.LET(
_xlpm.cliente,TRIM(UPPER(A300)),
_xlpm.bu,TRIM(UPPER(B300)),
_xlpm.limite,_xlfn.XLOOKUP(A300,'Limite de crédito'!C:C,'Limite de crédito'!G:G,""),
_xlpm.seguro,_xlfn.XLOOKUP(A300,'Limite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0" s="308"/>
    </row>
    <row r="301" spans="1:4" x14ac:dyDescent="0.25">
      <c r="A301" s="306" t="s">
        <v>6912</v>
      </c>
      <c r="B301" s="306" t="s">
        <v>306</v>
      </c>
      <c r="C301" s="307" t="str">
        <f>_xlfn.LET(
_xlpm.cliente,TRIM(UPPER(A301)),
_xlpm.bu,TRIM(UPPER(B301)),
_xlpm.limite,_xlfn.XLOOKUP(A301,'Limite de crédito'!C:C,'Limite de crédito'!G:G,""),
_xlpm.seguro,_xlfn.XLOOKUP(A301,'Limite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1" s="308"/>
    </row>
    <row r="302" spans="1:4" x14ac:dyDescent="0.25">
      <c r="A302" s="306" t="s">
        <v>5700</v>
      </c>
      <c r="B302" s="306" t="s">
        <v>306</v>
      </c>
      <c r="C302" s="307" t="str">
        <f>_xlfn.LET(
_xlpm.cliente,TRIM(UPPER(A302)),
_xlpm.bu,TRIM(UPPER(B302)),
_xlpm.limite,_xlfn.XLOOKUP(A302,'Limite de crédito'!C:C,'Limite de crédito'!G:G,""),
_xlpm.seguro,_xlfn.XLOOKUP(A302,'Limite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2" s="308"/>
    </row>
    <row r="303" spans="1:4" x14ac:dyDescent="0.25">
      <c r="A303" s="306" t="s">
        <v>15456</v>
      </c>
      <c r="B303" s="306" t="s">
        <v>306</v>
      </c>
      <c r="C303" s="307" t="str">
        <f>_xlfn.LET(
_xlpm.cliente,TRIM(UPPER(A303)),
_xlpm.bu,TRIM(UPPER(B303)),
_xlpm.limite,_xlfn.XLOOKUP(A303,'Limite de crédito'!C:C,'Limite de crédito'!G:G,""),
_xlpm.seguro,_xlfn.XLOOKUP(A303,'Limite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3" s="308"/>
    </row>
    <row r="304" spans="1:4" x14ac:dyDescent="0.25">
      <c r="A304" s="306" t="s">
        <v>6309</v>
      </c>
      <c r="B304" s="306" t="s">
        <v>306</v>
      </c>
      <c r="C304" s="307" t="str">
        <f>_xlfn.LET(
_xlpm.cliente,TRIM(UPPER(A304)),
_xlpm.bu,TRIM(UPPER(B304)),
_xlpm.limite,_xlfn.XLOOKUP(A304,'Limite de crédito'!C:C,'Limite de crédito'!G:G,""),
_xlpm.seguro,_xlfn.XLOOKUP(A304,'Limite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4" s="308"/>
    </row>
    <row r="305" spans="1:4" x14ac:dyDescent="0.25">
      <c r="A305" s="306" t="s">
        <v>5636</v>
      </c>
      <c r="B305" s="306" t="s">
        <v>306</v>
      </c>
      <c r="C305" s="307" t="str">
        <f>_xlfn.LET(
_xlpm.cliente,TRIM(UPPER(A305)),
_xlpm.bu,TRIM(UPPER(B305)),
_xlpm.limite,_xlfn.XLOOKUP(A305,'Limite de crédito'!C:C,'Limite de crédito'!G:G,""),
_xlpm.seguro,_xlfn.XLOOKUP(A305,'Limite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5" s="308"/>
    </row>
    <row r="306" spans="1:4" x14ac:dyDescent="0.25">
      <c r="A306" s="306" t="s">
        <v>15457</v>
      </c>
      <c r="B306" s="306" t="s">
        <v>306</v>
      </c>
      <c r="C306" s="307" t="str">
        <f>_xlfn.LET(
_xlpm.cliente,TRIM(UPPER(A306)),
_xlpm.bu,TRIM(UPPER(B306)),
_xlpm.limite,_xlfn.XLOOKUP(A306,'Limite de crédito'!C:C,'Limite de crédito'!G:G,""),
_xlpm.seguro,_xlfn.XLOOKUP(A306,'Limite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6" s="308"/>
    </row>
    <row r="307" spans="1:4" x14ac:dyDescent="0.25">
      <c r="A307" s="306" t="s">
        <v>15458</v>
      </c>
      <c r="B307" s="306" t="s">
        <v>306</v>
      </c>
      <c r="C307" s="307" t="str">
        <f>_xlfn.LET(
_xlpm.cliente,TRIM(UPPER(A307)),
_xlpm.bu,TRIM(UPPER(B307)),
_xlpm.limite,_xlfn.XLOOKUP(A307,'Limite de crédito'!C:C,'Limite de crédito'!G:G,""),
_xlpm.seguro,_xlfn.XLOOKUP(A307,'Limite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7" s="308"/>
    </row>
    <row r="308" spans="1:4" x14ac:dyDescent="0.25">
      <c r="A308" s="306" t="s">
        <v>5324</v>
      </c>
      <c r="B308" s="306" t="s">
        <v>306</v>
      </c>
      <c r="C308" s="307" t="str">
        <f>_xlfn.LET(
_xlpm.cliente,TRIM(UPPER(A308)),
_xlpm.bu,TRIM(UPPER(B308)),
_xlpm.limite,_xlfn.XLOOKUP(A308,'Limite de crédito'!C:C,'Limite de crédito'!G:G,""),
_xlpm.seguro,_xlfn.XLOOKUP(A308,'Limite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8" s="308"/>
    </row>
    <row r="309" spans="1:4" x14ac:dyDescent="0.25">
      <c r="A309" s="306" t="s">
        <v>15459</v>
      </c>
      <c r="B309" s="306" t="s">
        <v>306</v>
      </c>
      <c r="C309" s="307" t="str">
        <f>_xlfn.LET(
_xlpm.cliente,TRIM(UPPER(A309)),
_xlpm.bu,TRIM(UPPER(B309)),
_xlpm.limite,_xlfn.XLOOKUP(A309,'Limite de crédito'!C:C,'Limite de crédito'!G:G,""),
_xlpm.seguro,_xlfn.XLOOKUP(A309,'Limite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9" s="308"/>
    </row>
    <row r="310" spans="1:4" x14ac:dyDescent="0.25">
      <c r="A310" s="306" t="s">
        <v>15460</v>
      </c>
      <c r="B310" s="306" t="s">
        <v>306</v>
      </c>
      <c r="C310" s="307" t="str">
        <f>_xlfn.LET(
_xlpm.cliente,TRIM(UPPER(A310)),
_xlpm.bu,TRIM(UPPER(B310)),
_xlpm.limite,_xlfn.XLOOKUP(A310,'Limite de crédito'!C:C,'Limite de crédito'!G:G,""),
_xlpm.seguro,_xlfn.XLOOKUP(A310,'Limite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0" s="308"/>
    </row>
    <row r="311" spans="1:4" x14ac:dyDescent="0.25">
      <c r="A311" s="306" t="s">
        <v>15461</v>
      </c>
      <c r="B311" s="306" t="s">
        <v>306</v>
      </c>
      <c r="C311" s="307" t="str">
        <f>_xlfn.LET(
_xlpm.cliente,TRIM(UPPER(A311)),
_xlpm.bu,TRIM(UPPER(B311)),
_xlpm.limite,_xlfn.XLOOKUP(A311,'Limite de crédito'!C:C,'Limite de crédito'!G:G,""),
_xlpm.seguro,_xlfn.XLOOKUP(A311,'Limite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1" s="308"/>
    </row>
    <row r="312" spans="1:4" x14ac:dyDescent="0.25">
      <c r="A312" s="306" t="s">
        <v>15462</v>
      </c>
      <c r="B312" s="306" t="s">
        <v>306</v>
      </c>
      <c r="C312" s="307" t="str">
        <f>_xlfn.LET(
_xlpm.cliente,TRIM(UPPER(A312)),
_xlpm.bu,TRIM(UPPER(B312)),
_xlpm.limite,_xlfn.XLOOKUP(A312,'Limite de crédito'!C:C,'Limite de crédito'!G:G,""),
_xlpm.seguro,_xlfn.XLOOKUP(A312,'Limite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2" s="308"/>
    </row>
    <row r="313" spans="1:4" x14ac:dyDescent="0.25">
      <c r="A313" s="306" t="s">
        <v>15463</v>
      </c>
      <c r="B313" s="306" t="s">
        <v>306</v>
      </c>
      <c r="C313" s="307" t="str">
        <f>_xlfn.LET(
_xlpm.cliente,TRIM(UPPER(A313)),
_xlpm.bu,TRIM(UPPER(B313)),
_xlpm.limite,_xlfn.XLOOKUP(A313,'Limite de crédito'!C:C,'Limite de crédito'!G:G,""),
_xlpm.seguro,_xlfn.XLOOKUP(A313,'Limite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3" s="308"/>
    </row>
    <row r="314" spans="1:4" x14ac:dyDescent="0.25">
      <c r="A314" s="306" t="s">
        <v>15465</v>
      </c>
      <c r="B314" s="306" t="s">
        <v>460</v>
      </c>
      <c r="C314" s="307" t="str">
        <f>_xlfn.LET(
_xlpm.cliente,TRIM(UPPER(A314)),
_xlpm.bu,TRIM(UPPER(B314)),
_xlpm.limite,_xlfn.XLOOKUP(A314,'Limite de crédito'!C:C,'Limite de crédito'!G:G,""),
_xlpm.seguro,_xlfn.XLOOKUP(A314,'Limite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314" s="308"/>
    </row>
    <row r="315" spans="1:4" x14ac:dyDescent="0.25">
      <c r="A315" s="306" t="s">
        <v>15612</v>
      </c>
      <c r="B315" s="306" t="s">
        <v>460</v>
      </c>
      <c r="C315" s="307" t="str">
        <f>_xlfn.LET(
_xlpm.cliente,TRIM(UPPER(A315)),
_xlpm.bu,TRIM(UPPER(B315)),
_xlpm.limite,_xlfn.XLOOKUP(A315,'Limite de crédito'!C:C,'Limite de crédito'!G:G,""),
_xlpm.seguro,_xlfn.XLOOKUP(A315,'Limite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5" s="308"/>
    </row>
    <row r="316" spans="1:4" x14ac:dyDescent="0.25">
      <c r="A316" s="271" t="s">
        <v>42</v>
      </c>
      <c r="B316" s="306" t="s">
        <v>460</v>
      </c>
      <c r="C316" s="307" t="str">
        <f>_xlfn.LET(
_xlpm.cliente,TRIM(UPPER(A316)),
_xlpm.bu,TRIM(UPPER(B316)),
_xlpm.limite,_xlfn.XLOOKUP(A316,'Limite de crédito'!C:C,'Limite de crédito'!G:G,""),
_xlpm.seguro,_xlfn.XLOOKUP(A316,'Limite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316" s="273"/>
    </row>
  </sheetData>
  <autoFilter ref="A1:D313" xr:uid="{80553EFB-BA25-4110-B43F-73E1353AC39C}"/>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5028-6240-43FD-8969-874BF339C18B}">
  <dimension ref="A1:AT1571"/>
  <sheetViews>
    <sheetView zoomScale="85" zoomScaleNormal="85" workbookViewId="0">
      <selection activeCell="H4" sqref="H4"/>
    </sheetView>
  </sheetViews>
  <sheetFormatPr defaultRowHeight="13.2" x14ac:dyDescent="0.25"/>
  <cols>
    <col min="1" max="1" width="11.5546875" bestFit="1" customWidth="1"/>
    <col min="2" max="2" width="11.88671875" bestFit="1" customWidth="1"/>
    <col min="3" max="3" width="12.44140625" customWidth="1"/>
    <col min="4" max="4" width="46.6640625" bestFit="1" customWidth="1"/>
    <col min="5" max="5" width="46.6640625" customWidth="1"/>
    <col min="6" max="6" width="12.88671875" bestFit="1" customWidth="1"/>
    <col min="7" max="7" width="6.44140625" bestFit="1" customWidth="1"/>
    <col min="8" max="8" width="96.33203125" bestFit="1" customWidth="1"/>
    <col min="9" max="9" width="18.109375" bestFit="1" customWidth="1"/>
    <col min="10" max="10" width="12.33203125" bestFit="1" customWidth="1"/>
    <col min="11" max="11" width="18.44140625" bestFit="1" customWidth="1"/>
    <col min="12" max="12" width="13.109375" bestFit="1" customWidth="1"/>
    <col min="13" max="13" width="16.6640625" bestFit="1" customWidth="1"/>
    <col min="14" max="14" width="16.6640625" customWidth="1"/>
    <col min="15" max="15" width="20.6640625" bestFit="1" customWidth="1"/>
    <col min="16" max="16" width="27" bestFit="1" customWidth="1"/>
    <col min="17" max="17" width="9.44140625" bestFit="1" customWidth="1"/>
    <col min="18" max="18" width="9.44140625" customWidth="1"/>
    <col min="19" max="19" width="15" bestFit="1" customWidth="1"/>
    <col min="20" max="20" width="19.6640625" bestFit="1" customWidth="1"/>
    <col min="21" max="21" width="19.44140625" bestFit="1" customWidth="1"/>
    <col min="22" max="22" width="23.44140625" bestFit="1" customWidth="1"/>
    <col min="23" max="23" width="29" bestFit="1" customWidth="1"/>
    <col min="24" max="24" width="10.6640625" bestFit="1" customWidth="1"/>
    <col min="25" max="25" width="14.109375" bestFit="1" customWidth="1"/>
    <col min="26" max="26" width="11.88671875" bestFit="1" customWidth="1"/>
    <col min="27" max="27" width="8" bestFit="1" customWidth="1"/>
    <col min="33" max="33" width="21.88671875" bestFit="1" customWidth="1"/>
    <col min="34" max="34" width="18.88671875" bestFit="1" customWidth="1"/>
    <col min="35" max="45" width="14.33203125" bestFit="1" customWidth="1"/>
    <col min="46" max="46" width="15.44140625" bestFit="1" customWidth="1"/>
    <col min="258" max="258" width="11.5546875" bestFit="1" customWidth="1"/>
    <col min="259" max="259" width="11.88671875" bestFit="1" customWidth="1"/>
    <col min="260" max="260" width="12.33203125" bestFit="1" customWidth="1"/>
    <col min="261" max="261" width="46.6640625" bestFit="1" customWidth="1"/>
    <col min="262" max="262" width="12.88671875" bestFit="1" customWidth="1"/>
    <col min="263" max="263" width="6.44140625" bestFit="1" customWidth="1"/>
    <col min="264" max="264" width="96.33203125" bestFit="1" customWidth="1"/>
    <col min="265" max="265" width="18.109375" bestFit="1" customWidth="1"/>
    <col min="266" max="266" width="12.33203125" bestFit="1" customWidth="1"/>
    <col min="267" max="267" width="18.44140625" bestFit="1" customWidth="1"/>
    <col min="268" max="268" width="13.109375" bestFit="1" customWidth="1"/>
    <col min="269" max="269" width="16.6640625" bestFit="1" customWidth="1"/>
    <col min="270" max="270" width="16.6640625" customWidth="1"/>
    <col min="271" max="271" width="20.6640625" bestFit="1" customWidth="1"/>
    <col min="272" max="272" width="27" bestFit="1" customWidth="1"/>
    <col min="273" max="273" width="9.44140625" bestFit="1" customWidth="1"/>
    <col min="274" max="274" width="9.44140625" customWidth="1"/>
    <col min="275" max="275" width="15" bestFit="1" customWidth="1"/>
    <col min="276" max="276" width="19.6640625" bestFit="1" customWidth="1"/>
    <col min="277" max="277" width="19.44140625" bestFit="1" customWidth="1"/>
    <col min="278" max="278" width="23.44140625" bestFit="1" customWidth="1"/>
    <col min="279" max="279" width="29" bestFit="1" customWidth="1"/>
    <col min="280" max="280" width="10.6640625" bestFit="1" customWidth="1"/>
    <col min="281" max="281" width="14.109375" bestFit="1" customWidth="1"/>
    <col min="282" max="282" width="11.88671875" bestFit="1" customWidth="1"/>
    <col min="283" max="283" width="8" bestFit="1" customWidth="1"/>
    <col min="289" max="289" width="21.88671875" bestFit="1" customWidth="1"/>
    <col min="290" max="290" width="18.88671875" bestFit="1" customWidth="1"/>
    <col min="291" max="301" width="14.33203125" bestFit="1" customWidth="1"/>
    <col min="302" max="302" width="15.44140625" bestFit="1" customWidth="1"/>
    <col min="514" max="514" width="11.5546875" bestFit="1" customWidth="1"/>
    <col min="515" max="515" width="11.88671875" bestFit="1" customWidth="1"/>
    <col min="516" max="516" width="12.33203125" bestFit="1" customWidth="1"/>
    <col min="517" max="517" width="46.6640625" bestFit="1" customWidth="1"/>
    <col min="518" max="518" width="12.88671875" bestFit="1" customWidth="1"/>
    <col min="519" max="519" width="6.44140625" bestFit="1" customWidth="1"/>
    <col min="520" max="520" width="96.33203125" bestFit="1" customWidth="1"/>
    <col min="521" max="521" width="18.109375" bestFit="1" customWidth="1"/>
    <col min="522" max="522" width="12.33203125" bestFit="1" customWidth="1"/>
    <col min="523" max="523" width="18.44140625" bestFit="1" customWidth="1"/>
    <col min="524" max="524" width="13.109375" bestFit="1" customWidth="1"/>
    <col min="525" max="525" width="16.6640625" bestFit="1" customWidth="1"/>
    <col min="526" max="526" width="16.6640625" customWidth="1"/>
    <col min="527" max="527" width="20.6640625" bestFit="1" customWidth="1"/>
    <col min="528" max="528" width="27" bestFit="1" customWidth="1"/>
    <col min="529" max="529" width="9.44140625" bestFit="1" customWidth="1"/>
    <col min="530" max="530" width="9.44140625" customWidth="1"/>
    <col min="531" max="531" width="15" bestFit="1" customWidth="1"/>
    <col min="532" max="532" width="19.6640625" bestFit="1" customWidth="1"/>
    <col min="533" max="533" width="19.44140625" bestFit="1" customWidth="1"/>
    <col min="534" max="534" width="23.44140625" bestFit="1" customWidth="1"/>
    <col min="535" max="535" width="29" bestFit="1" customWidth="1"/>
    <col min="536" max="536" width="10.6640625" bestFit="1" customWidth="1"/>
    <col min="537" max="537" width="14.109375" bestFit="1" customWidth="1"/>
    <col min="538" max="538" width="11.88671875" bestFit="1" customWidth="1"/>
    <col min="539" max="539" width="8" bestFit="1" customWidth="1"/>
    <col min="545" max="545" width="21.88671875" bestFit="1" customWidth="1"/>
    <col min="546" max="546" width="18.88671875" bestFit="1" customWidth="1"/>
    <col min="547" max="557" width="14.33203125" bestFit="1" customWidth="1"/>
    <col min="558" max="558" width="15.44140625" bestFit="1" customWidth="1"/>
    <col min="770" max="770" width="11.5546875" bestFit="1" customWidth="1"/>
    <col min="771" max="771" width="11.88671875" bestFit="1" customWidth="1"/>
    <col min="772" max="772" width="12.33203125" bestFit="1" customWidth="1"/>
    <col min="773" max="773" width="46.6640625" bestFit="1" customWidth="1"/>
    <col min="774" max="774" width="12.88671875" bestFit="1" customWidth="1"/>
    <col min="775" max="775" width="6.44140625" bestFit="1" customWidth="1"/>
    <col min="776" max="776" width="96.33203125" bestFit="1" customWidth="1"/>
    <col min="777" max="777" width="18.109375" bestFit="1" customWidth="1"/>
    <col min="778" max="778" width="12.33203125" bestFit="1" customWidth="1"/>
    <col min="779" max="779" width="18.44140625" bestFit="1" customWidth="1"/>
    <col min="780" max="780" width="13.109375" bestFit="1" customWidth="1"/>
    <col min="781" max="781" width="16.6640625" bestFit="1" customWidth="1"/>
    <col min="782" max="782" width="16.6640625" customWidth="1"/>
    <col min="783" max="783" width="20.6640625" bestFit="1" customWidth="1"/>
    <col min="784" max="784" width="27" bestFit="1" customWidth="1"/>
    <col min="785" max="785" width="9.44140625" bestFit="1" customWidth="1"/>
    <col min="786" max="786" width="9.44140625" customWidth="1"/>
    <col min="787" max="787" width="15" bestFit="1" customWidth="1"/>
    <col min="788" max="788" width="19.6640625" bestFit="1" customWidth="1"/>
    <col min="789" max="789" width="19.44140625" bestFit="1" customWidth="1"/>
    <col min="790" max="790" width="23.44140625" bestFit="1" customWidth="1"/>
    <col min="791" max="791" width="29" bestFit="1" customWidth="1"/>
    <col min="792" max="792" width="10.6640625" bestFit="1" customWidth="1"/>
    <col min="793" max="793" width="14.109375" bestFit="1" customWidth="1"/>
    <col min="794" max="794" width="11.88671875" bestFit="1" customWidth="1"/>
    <col min="795" max="795" width="8" bestFit="1" customWidth="1"/>
    <col min="801" max="801" width="21.88671875" bestFit="1" customWidth="1"/>
    <col min="802" max="802" width="18.88671875" bestFit="1" customWidth="1"/>
    <col min="803" max="813" width="14.33203125" bestFit="1" customWidth="1"/>
    <col min="814" max="814" width="15.44140625" bestFit="1" customWidth="1"/>
    <col min="1026" max="1026" width="11.5546875" bestFit="1" customWidth="1"/>
    <col min="1027" max="1027" width="11.88671875" bestFit="1" customWidth="1"/>
    <col min="1028" max="1028" width="12.33203125" bestFit="1" customWidth="1"/>
    <col min="1029" max="1029" width="46.6640625" bestFit="1" customWidth="1"/>
    <col min="1030" max="1030" width="12.88671875" bestFit="1" customWidth="1"/>
    <col min="1031" max="1031" width="6.44140625" bestFit="1" customWidth="1"/>
    <col min="1032" max="1032" width="96.33203125" bestFit="1" customWidth="1"/>
    <col min="1033" max="1033" width="18.109375" bestFit="1" customWidth="1"/>
    <col min="1034" max="1034" width="12.33203125" bestFit="1" customWidth="1"/>
    <col min="1035" max="1035" width="18.44140625" bestFit="1" customWidth="1"/>
    <col min="1036" max="1036" width="13.109375" bestFit="1" customWidth="1"/>
    <col min="1037" max="1037" width="16.6640625" bestFit="1" customWidth="1"/>
    <col min="1038" max="1038" width="16.6640625" customWidth="1"/>
    <col min="1039" max="1039" width="20.6640625" bestFit="1" customWidth="1"/>
    <col min="1040" max="1040" width="27" bestFit="1" customWidth="1"/>
    <col min="1041" max="1041" width="9.44140625" bestFit="1" customWidth="1"/>
    <col min="1042" max="1042" width="9.44140625" customWidth="1"/>
    <col min="1043" max="1043" width="15" bestFit="1" customWidth="1"/>
    <col min="1044" max="1044" width="19.6640625" bestFit="1" customWidth="1"/>
    <col min="1045" max="1045" width="19.44140625" bestFit="1" customWidth="1"/>
    <col min="1046" max="1046" width="23.44140625" bestFit="1" customWidth="1"/>
    <col min="1047" max="1047" width="29" bestFit="1" customWidth="1"/>
    <col min="1048" max="1048" width="10.6640625" bestFit="1" customWidth="1"/>
    <col min="1049" max="1049" width="14.109375" bestFit="1" customWidth="1"/>
    <col min="1050" max="1050" width="11.88671875" bestFit="1" customWidth="1"/>
    <col min="1051" max="1051" width="8" bestFit="1" customWidth="1"/>
    <col min="1057" max="1057" width="21.88671875" bestFit="1" customWidth="1"/>
    <col min="1058" max="1058" width="18.88671875" bestFit="1" customWidth="1"/>
    <col min="1059" max="1069" width="14.33203125" bestFit="1" customWidth="1"/>
    <col min="1070" max="1070" width="15.44140625" bestFit="1" customWidth="1"/>
    <col min="1282" max="1282" width="11.5546875" bestFit="1" customWidth="1"/>
    <col min="1283" max="1283" width="11.88671875" bestFit="1" customWidth="1"/>
    <col min="1284" max="1284" width="12.33203125" bestFit="1" customWidth="1"/>
    <col min="1285" max="1285" width="46.6640625" bestFit="1" customWidth="1"/>
    <col min="1286" max="1286" width="12.88671875" bestFit="1" customWidth="1"/>
    <col min="1287" max="1287" width="6.44140625" bestFit="1" customWidth="1"/>
    <col min="1288" max="1288" width="96.33203125" bestFit="1" customWidth="1"/>
    <col min="1289" max="1289" width="18.109375" bestFit="1" customWidth="1"/>
    <col min="1290" max="1290" width="12.33203125" bestFit="1" customWidth="1"/>
    <col min="1291" max="1291" width="18.44140625" bestFit="1" customWidth="1"/>
    <col min="1292" max="1292" width="13.109375" bestFit="1" customWidth="1"/>
    <col min="1293" max="1293" width="16.6640625" bestFit="1" customWidth="1"/>
    <col min="1294" max="1294" width="16.6640625" customWidth="1"/>
    <col min="1295" max="1295" width="20.6640625" bestFit="1" customWidth="1"/>
    <col min="1296" max="1296" width="27" bestFit="1" customWidth="1"/>
    <col min="1297" max="1297" width="9.44140625" bestFit="1" customWidth="1"/>
    <col min="1298" max="1298" width="9.44140625" customWidth="1"/>
    <col min="1299" max="1299" width="15" bestFit="1" customWidth="1"/>
    <col min="1300" max="1300" width="19.6640625" bestFit="1" customWidth="1"/>
    <col min="1301" max="1301" width="19.44140625" bestFit="1" customWidth="1"/>
    <col min="1302" max="1302" width="23.44140625" bestFit="1" customWidth="1"/>
    <col min="1303" max="1303" width="29" bestFit="1" customWidth="1"/>
    <col min="1304" max="1304" width="10.6640625" bestFit="1" customWidth="1"/>
    <col min="1305" max="1305" width="14.109375" bestFit="1" customWidth="1"/>
    <col min="1306" max="1306" width="11.88671875" bestFit="1" customWidth="1"/>
    <col min="1307" max="1307" width="8" bestFit="1" customWidth="1"/>
    <col min="1313" max="1313" width="21.88671875" bestFit="1" customWidth="1"/>
    <col min="1314" max="1314" width="18.88671875" bestFit="1" customWidth="1"/>
    <col min="1315" max="1325" width="14.33203125" bestFit="1" customWidth="1"/>
    <col min="1326" max="1326" width="15.44140625" bestFit="1" customWidth="1"/>
    <col min="1538" max="1538" width="11.5546875" bestFit="1" customWidth="1"/>
    <col min="1539" max="1539" width="11.88671875" bestFit="1" customWidth="1"/>
    <col min="1540" max="1540" width="12.33203125" bestFit="1" customWidth="1"/>
    <col min="1541" max="1541" width="46.6640625" bestFit="1" customWidth="1"/>
    <col min="1542" max="1542" width="12.88671875" bestFit="1" customWidth="1"/>
    <col min="1543" max="1543" width="6.44140625" bestFit="1" customWidth="1"/>
    <col min="1544" max="1544" width="96.33203125" bestFit="1" customWidth="1"/>
    <col min="1545" max="1545" width="18.109375" bestFit="1" customWidth="1"/>
    <col min="1546" max="1546" width="12.33203125" bestFit="1" customWidth="1"/>
    <col min="1547" max="1547" width="18.44140625" bestFit="1" customWidth="1"/>
    <col min="1548" max="1548" width="13.109375" bestFit="1" customWidth="1"/>
    <col min="1549" max="1549" width="16.6640625" bestFit="1" customWidth="1"/>
    <col min="1550" max="1550" width="16.6640625" customWidth="1"/>
    <col min="1551" max="1551" width="20.6640625" bestFit="1" customWidth="1"/>
    <col min="1552" max="1552" width="27" bestFit="1" customWidth="1"/>
    <col min="1553" max="1553" width="9.44140625" bestFit="1" customWidth="1"/>
    <col min="1554" max="1554" width="9.44140625" customWidth="1"/>
    <col min="1555" max="1555" width="15" bestFit="1" customWidth="1"/>
    <col min="1556" max="1556" width="19.6640625" bestFit="1" customWidth="1"/>
    <col min="1557" max="1557" width="19.44140625" bestFit="1" customWidth="1"/>
    <col min="1558" max="1558" width="23.44140625" bestFit="1" customWidth="1"/>
    <col min="1559" max="1559" width="29" bestFit="1" customWidth="1"/>
    <col min="1560" max="1560" width="10.6640625" bestFit="1" customWidth="1"/>
    <col min="1561" max="1561" width="14.109375" bestFit="1" customWidth="1"/>
    <col min="1562" max="1562" width="11.88671875" bestFit="1" customWidth="1"/>
    <col min="1563" max="1563" width="8" bestFit="1" customWidth="1"/>
    <col min="1569" max="1569" width="21.88671875" bestFit="1" customWidth="1"/>
    <col min="1570" max="1570" width="18.88671875" bestFit="1" customWidth="1"/>
    <col min="1571" max="1581" width="14.33203125" bestFit="1" customWidth="1"/>
    <col min="1582" max="1582" width="15.44140625" bestFit="1" customWidth="1"/>
    <col min="1794" max="1794" width="11.5546875" bestFit="1" customWidth="1"/>
    <col min="1795" max="1795" width="11.88671875" bestFit="1" customWidth="1"/>
    <col min="1796" max="1796" width="12.33203125" bestFit="1" customWidth="1"/>
    <col min="1797" max="1797" width="46.6640625" bestFit="1" customWidth="1"/>
    <col min="1798" max="1798" width="12.88671875" bestFit="1" customWidth="1"/>
    <col min="1799" max="1799" width="6.44140625" bestFit="1" customWidth="1"/>
    <col min="1800" max="1800" width="96.33203125" bestFit="1" customWidth="1"/>
    <col min="1801" max="1801" width="18.109375" bestFit="1" customWidth="1"/>
    <col min="1802" max="1802" width="12.33203125" bestFit="1" customWidth="1"/>
    <col min="1803" max="1803" width="18.44140625" bestFit="1" customWidth="1"/>
    <col min="1804" max="1804" width="13.109375" bestFit="1" customWidth="1"/>
    <col min="1805" max="1805" width="16.6640625" bestFit="1" customWidth="1"/>
    <col min="1806" max="1806" width="16.6640625" customWidth="1"/>
    <col min="1807" max="1807" width="20.6640625" bestFit="1" customWidth="1"/>
    <col min="1808" max="1808" width="27" bestFit="1" customWidth="1"/>
    <col min="1809" max="1809" width="9.44140625" bestFit="1" customWidth="1"/>
    <col min="1810" max="1810" width="9.44140625" customWidth="1"/>
    <col min="1811" max="1811" width="15" bestFit="1" customWidth="1"/>
    <col min="1812" max="1812" width="19.6640625" bestFit="1" customWidth="1"/>
    <col min="1813" max="1813" width="19.44140625" bestFit="1" customWidth="1"/>
    <col min="1814" max="1814" width="23.44140625" bestFit="1" customWidth="1"/>
    <col min="1815" max="1815" width="29" bestFit="1" customWidth="1"/>
    <col min="1816" max="1816" width="10.6640625" bestFit="1" customWidth="1"/>
    <col min="1817" max="1817" width="14.109375" bestFit="1" customWidth="1"/>
    <col min="1818" max="1818" width="11.88671875" bestFit="1" customWidth="1"/>
    <col min="1819" max="1819" width="8" bestFit="1" customWidth="1"/>
    <col min="1825" max="1825" width="21.88671875" bestFit="1" customWidth="1"/>
    <col min="1826" max="1826" width="18.88671875" bestFit="1" customWidth="1"/>
    <col min="1827" max="1837" width="14.33203125" bestFit="1" customWidth="1"/>
    <col min="1838" max="1838" width="15.44140625" bestFit="1" customWidth="1"/>
    <col min="2050" max="2050" width="11.5546875" bestFit="1" customWidth="1"/>
    <col min="2051" max="2051" width="11.88671875" bestFit="1" customWidth="1"/>
    <col min="2052" max="2052" width="12.33203125" bestFit="1" customWidth="1"/>
    <col min="2053" max="2053" width="46.6640625" bestFit="1" customWidth="1"/>
    <col min="2054" max="2054" width="12.88671875" bestFit="1" customWidth="1"/>
    <col min="2055" max="2055" width="6.44140625" bestFit="1" customWidth="1"/>
    <col min="2056" max="2056" width="96.33203125" bestFit="1" customWidth="1"/>
    <col min="2057" max="2057" width="18.109375" bestFit="1" customWidth="1"/>
    <col min="2058" max="2058" width="12.33203125" bestFit="1" customWidth="1"/>
    <col min="2059" max="2059" width="18.44140625" bestFit="1" customWidth="1"/>
    <col min="2060" max="2060" width="13.109375" bestFit="1" customWidth="1"/>
    <col min="2061" max="2061" width="16.6640625" bestFit="1" customWidth="1"/>
    <col min="2062" max="2062" width="16.6640625" customWidth="1"/>
    <col min="2063" max="2063" width="20.6640625" bestFit="1" customWidth="1"/>
    <col min="2064" max="2064" width="27" bestFit="1" customWidth="1"/>
    <col min="2065" max="2065" width="9.44140625" bestFit="1" customWidth="1"/>
    <col min="2066" max="2066" width="9.44140625" customWidth="1"/>
    <col min="2067" max="2067" width="15" bestFit="1" customWidth="1"/>
    <col min="2068" max="2068" width="19.6640625" bestFit="1" customWidth="1"/>
    <col min="2069" max="2069" width="19.44140625" bestFit="1" customWidth="1"/>
    <col min="2070" max="2070" width="23.44140625" bestFit="1" customWidth="1"/>
    <col min="2071" max="2071" width="29" bestFit="1" customWidth="1"/>
    <col min="2072" max="2072" width="10.6640625" bestFit="1" customWidth="1"/>
    <col min="2073" max="2073" width="14.109375" bestFit="1" customWidth="1"/>
    <col min="2074" max="2074" width="11.88671875" bestFit="1" customWidth="1"/>
    <col min="2075" max="2075" width="8" bestFit="1" customWidth="1"/>
    <col min="2081" max="2081" width="21.88671875" bestFit="1" customWidth="1"/>
    <col min="2082" max="2082" width="18.88671875" bestFit="1" customWidth="1"/>
    <col min="2083" max="2093" width="14.33203125" bestFit="1" customWidth="1"/>
    <col min="2094" max="2094" width="15.44140625" bestFit="1" customWidth="1"/>
    <col min="2306" max="2306" width="11.5546875" bestFit="1" customWidth="1"/>
    <col min="2307" max="2307" width="11.88671875" bestFit="1" customWidth="1"/>
    <col min="2308" max="2308" width="12.33203125" bestFit="1" customWidth="1"/>
    <col min="2309" max="2309" width="46.6640625" bestFit="1" customWidth="1"/>
    <col min="2310" max="2310" width="12.88671875" bestFit="1" customWidth="1"/>
    <col min="2311" max="2311" width="6.44140625" bestFit="1" customWidth="1"/>
    <col min="2312" max="2312" width="96.33203125" bestFit="1" customWidth="1"/>
    <col min="2313" max="2313" width="18.109375" bestFit="1" customWidth="1"/>
    <col min="2314" max="2314" width="12.33203125" bestFit="1" customWidth="1"/>
    <col min="2315" max="2315" width="18.44140625" bestFit="1" customWidth="1"/>
    <col min="2316" max="2316" width="13.109375" bestFit="1" customWidth="1"/>
    <col min="2317" max="2317" width="16.6640625" bestFit="1" customWidth="1"/>
    <col min="2318" max="2318" width="16.6640625" customWidth="1"/>
    <col min="2319" max="2319" width="20.6640625" bestFit="1" customWidth="1"/>
    <col min="2320" max="2320" width="27" bestFit="1" customWidth="1"/>
    <col min="2321" max="2321" width="9.44140625" bestFit="1" customWidth="1"/>
    <col min="2322" max="2322" width="9.44140625" customWidth="1"/>
    <col min="2323" max="2323" width="15" bestFit="1" customWidth="1"/>
    <col min="2324" max="2324" width="19.6640625" bestFit="1" customWidth="1"/>
    <col min="2325" max="2325" width="19.44140625" bestFit="1" customWidth="1"/>
    <col min="2326" max="2326" width="23.44140625" bestFit="1" customWidth="1"/>
    <col min="2327" max="2327" width="29" bestFit="1" customWidth="1"/>
    <col min="2328" max="2328" width="10.6640625" bestFit="1" customWidth="1"/>
    <col min="2329" max="2329" width="14.109375" bestFit="1" customWidth="1"/>
    <col min="2330" max="2330" width="11.88671875" bestFit="1" customWidth="1"/>
    <col min="2331" max="2331" width="8" bestFit="1" customWidth="1"/>
    <col min="2337" max="2337" width="21.88671875" bestFit="1" customWidth="1"/>
    <col min="2338" max="2338" width="18.88671875" bestFit="1" customWidth="1"/>
    <col min="2339" max="2349" width="14.33203125" bestFit="1" customWidth="1"/>
    <col min="2350" max="2350" width="15.44140625" bestFit="1" customWidth="1"/>
    <col min="2562" max="2562" width="11.5546875" bestFit="1" customWidth="1"/>
    <col min="2563" max="2563" width="11.88671875" bestFit="1" customWidth="1"/>
    <col min="2564" max="2564" width="12.33203125" bestFit="1" customWidth="1"/>
    <col min="2565" max="2565" width="46.6640625" bestFit="1" customWidth="1"/>
    <col min="2566" max="2566" width="12.88671875" bestFit="1" customWidth="1"/>
    <col min="2567" max="2567" width="6.44140625" bestFit="1" customWidth="1"/>
    <col min="2568" max="2568" width="96.33203125" bestFit="1" customWidth="1"/>
    <col min="2569" max="2569" width="18.109375" bestFit="1" customWidth="1"/>
    <col min="2570" max="2570" width="12.33203125" bestFit="1" customWidth="1"/>
    <col min="2571" max="2571" width="18.44140625" bestFit="1" customWidth="1"/>
    <col min="2572" max="2572" width="13.109375" bestFit="1" customWidth="1"/>
    <col min="2573" max="2573" width="16.6640625" bestFit="1" customWidth="1"/>
    <col min="2574" max="2574" width="16.6640625" customWidth="1"/>
    <col min="2575" max="2575" width="20.6640625" bestFit="1" customWidth="1"/>
    <col min="2576" max="2576" width="27" bestFit="1" customWidth="1"/>
    <col min="2577" max="2577" width="9.44140625" bestFit="1" customWidth="1"/>
    <col min="2578" max="2578" width="9.44140625" customWidth="1"/>
    <col min="2579" max="2579" width="15" bestFit="1" customWidth="1"/>
    <col min="2580" max="2580" width="19.6640625" bestFit="1" customWidth="1"/>
    <col min="2581" max="2581" width="19.44140625" bestFit="1" customWidth="1"/>
    <col min="2582" max="2582" width="23.44140625" bestFit="1" customWidth="1"/>
    <col min="2583" max="2583" width="29" bestFit="1" customWidth="1"/>
    <col min="2584" max="2584" width="10.6640625" bestFit="1" customWidth="1"/>
    <col min="2585" max="2585" width="14.109375" bestFit="1" customWidth="1"/>
    <col min="2586" max="2586" width="11.88671875" bestFit="1" customWidth="1"/>
    <col min="2587" max="2587" width="8" bestFit="1" customWidth="1"/>
    <col min="2593" max="2593" width="21.88671875" bestFit="1" customWidth="1"/>
    <col min="2594" max="2594" width="18.88671875" bestFit="1" customWidth="1"/>
    <col min="2595" max="2605" width="14.33203125" bestFit="1" customWidth="1"/>
    <col min="2606" max="2606" width="15.44140625" bestFit="1" customWidth="1"/>
    <col min="2818" max="2818" width="11.5546875" bestFit="1" customWidth="1"/>
    <col min="2819" max="2819" width="11.88671875" bestFit="1" customWidth="1"/>
    <col min="2820" max="2820" width="12.33203125" bestFit="1" customWidth="1"/>
    <col min="2821" max="2821" width="46.6640625" bestFit="1" customWidth="1"/>
    <col min="2822" max="2822" width="12.88671875" bestFit="1" customWidth="1"/>
    <col min="2823" max="2823" width="6.44140625" bestFit="1" customWidth="1"/>
    <col min="2824" max="2824" width="96.33203125" bestFit="1" customWidth="1"/>
    <col min="2825" max="2825" width="18.109375" bestFit="1" customWidth="1"/>
    <col min="2826" max="2826" width="12.33203125" bestFit="1" customWidth="1"/>
    <col min="2827" max="2827" width="18.44140625" bestFit="1" customWidth="1"/>
    <col min="2828" max="2828" width="13.109375" bestFit="1" customWidth="1"/>
    <col min="2829" max="2829" width="16.6640625" bestFit="1" customWidth="1"/>
    <col min="2830" max="2830" width="16.6640625" customWidth="1"/>
    <col min="2831" max="2831" width="20.6640625" bestFit="1" customWidth="1"/>
    <col min="2832" max="2832" width="27" bestFit="1" customWidth="1"/>
    <col min="2833" max="2833" width="9.44140625" bestFit="1" customWidth="1"/>
    <col min="2834" max="2834" width="9.44140625" customWidth="1"/>
    <col min="2835" max="2835" width="15" bestFit="1" customWidth="1"/>
    <col min="2836" max="2836" width="19.6640625" bestFit="1" customWidth="1"/>
    <col min="2837" max="2837" width="19.44140625" bestFit="1" customWidth="1"/>
    <col min="2838" max="2838" width="23.44140625" bestFit="1" customWidth="1"/>
    <col min="2839" max="2839" width="29" bestFit="1" customWidth="1"/>
    <col min="2840" max="2840" width="10.6640625" bestFit="1" customWidth="1"/>
    <col min="2841" max="2841" width="14.109375" bestFit="1" customWidth="1"/>
    <col min="2842" max="2842" width="11.88671875" bestFit="1" customWidth="1"/>
    <col min="2843" max="2843" width="8" bestFit="1" customWidth="1"/>
    <col min="2849" max="2849" width="21.88671875" bestFit="1" customWidth="1"/>
    <col min="2850" max="2850" width="18.88671875" bestFit="1" customWidth="1"/>
    <col min="2851" max="2861" width="14.33203125" bestFit="1" customWidth="1"/>
    <col min="2862" max="2862" width="15.44140625" bestFit="1" customWidth="1"/>
    <col min="3074" max="3074" width="11.5546875" bestFit="1" customWidth="1"/>
    <col min="3075" max="3075" width="11.88671875" bestFit="1" customWidth="1"/>
    <col min="3076" max="3076" width="12.33203125" bestFit="1" customWidth="1"/>
    <col min="3077" max="3077" width="46.6640625" bestFit="1" customWidth="1"/>
    <col min="3078" max="3078" width="12.88671875" bestFit="1" customWidth="1"/>
    <col min="3079" max="3079" width="6.44140625" bestFit="1" customWidth="1"/>
    <col min="3080" max="3080" width="96.33203125" bestFit="1" customWidth="1"/>
    <col min="3081" max="3081" width="18.109375" bestFit="1" customWidth="1"/>
    <col min="3082" max="3082" width="12.33203125" bestFit="1" customWidth="1"/>
    <col min="3083" max="3083" width="18.44140625" bestFit="1" customWidth="1"/>
    <col min="3084" max="3084" width="13.109375" bestFit="1" customWidth="1"/>
    <col min="3085" max="3085" width="16.6640625" bestFit="1" customWidth="1"/>
    <col min="3086" max="3086" width="16.6640625" customWidth="1"/>
    <col min="3087" max="3087" width="20.6640625" bestFit="1" customWidth="1"/>
    <col min="3088" max="3088" width="27" bestFit="1" customWidth="1"/>
    <col min="3089" max="3089" width="9.44140625" bestFit="1" customWidth="1"/>
    <col min="3090" max="3090" width="9.44140625" customWidth="1"/>
    <col min="3091" max="3091" width="15" bestFit="1" customWidth="1"/>
    <col min="3092" max="3092" width="19.6640625" bestFit="1" customWidth="1"/>
    <col min="3093" max="3093" width="19.44140625" bestFit="1" customWidth="1"/>
    <col min="3094" max="3094" width="23.44140625" bestFit="1" customWidth="1"/>
    <col min="3095" max="3095" width="29" bestFit="1" customWidth="1"/>
    <col min="3096" max="3096" width="10.6640625" bestFit="1" customWidth="1"/>
    <col min="3097" max="3097" width="14.109375" bestFit="1" customWidth="1"/>
    <col min="3098" max="3098" width="11.88671875" bestFit="1" customWidth="1"/>
    <col min="3099" max="3099" width="8" bestFit="1" customWidth="1"/>
    <col min="3105" max="3105" width="21.88671875" bestFit="1" customWidth="1"/>
    <col min="3106" max="3106" width="18.88671875" bestFit="1" customWidth="1"/>
    <col min="3107" max="3117" width="14.33203125" bestFit="1" customWidth="1"/>
    <col min="3118" max="3118" width="15.44140625" bestFit="1" customWidth="1"/>
    <col min="3330" max="3330" width="11.5546875" bestFit="1" customWidth="1"/>
    <col min="3331" max="3331" width="11.88671875" bestFit="1" customWidth="1"/>
    <col min="3332" max="3332" width="12.33203125" bestFit="1" customWidth="1"/>
    <col min="3333" max="3333" width="46.6640625" bestFit="1" customWidth="1"/>
    <col min="3334" max="3334" width="12.88671875" bestFit="1" customWidth="1"/>
    <col min="3335" max="3335" width="6.44140625" bestFit="1" customWidth="1"/>
    <col min="3336" max="3336" width="96.33203125" bestFit="1" customWidth="1"/>
    <col min="3337" max="3337" width="18.109375" bestFit="1" customWidth="1"/>
    <col min="3338" max="3338" width="12.33203125" bestFit="1" customWidth="1"/>
    <col min="3339" max="3339" width="18.44140625" bestFit="1" customWidth="1"/>
    <col min="3340" max="3340" width="13.109375" bestFit="1" customWidth="1"/>
    <col min="3341" max="3341" width="16.6640625" bestFit="1" customWidth="1"/>
    <col min="3342" max="3342" width="16.6640625" customWidth="1"/>
    <col min="3343" max="3343" width="20.6640625" bestFit="1" customWidth="1"/>
    <col min="3344" max="3344" width="27" bestFit="1" customWidth="1"/>
    <col min="3345" max="3345" width="9.44140625" bestFit="1" customWidth="1"/>
    <col min="3346" max="3346" width="9.44140625" customWidth="1"/>
    <col min="3347" max="3347" width="15" bestFit="1" customWidth="1"/>
    <col min="3348" max="3348" width="19.6640625" bestFit="1" customWidth="1"/>
    <col min="3349" max="3349" width="19.44140625" bestFit="1" customWidth="1"/>
    <col min="3350" max="3350" width="23.44140625" bestFit="1" customWidth="1"/>
    <col min="3351" max="3351" width="29" bestFit="1" customWidth="1"/>
    <col min="3352" max="3352" width="10.6640625" bestFit="1" customWidth="1"/>
    <col min="3353" max="3353" width="14.109375" bestFit="1" customWidth="1"/>
    <col min="3354" max="3354" width="11.88671875" bestFit="1" customWidth="1"/>
    <col min="3355" max="3355" width="8" bestFit="1" customWidth="1"/>
    <col min="3361" max="3361" width="21.88671875" bestFit="1" customWidth="1"/>
    <col min="3362" max="3362" width="18.88671875" bestFit="1" customWidth="1"/>
    <col min="3363" max="3373" width="14.33203125" bestFit="1" customWidth="1"/>
    <col min="3374" max="3374" width="15.44140625" bestFit="1" customWidth="1"/>
    <col min="3586" max="3586" width="11.5546875" bestFit="1" customWidth="1"/>
    <col min="3587" max="3587" width="11.88671875" bestFit="1" customWidth="1"/>
    <col min="3588" max="3588" width="12.33203125" bestFit="1" customWidth="1"/>
    <col min="3589" max="3589" width="46.6640625" bestFit="1" customWidth="1"/>
    <col min="3590" max="3590" width="12.88671875" bestFit="1" customWidth="1"/>
    <col min="3591" max="3591" width="6.44140625" bestFit="1" customWidth="1"/>
    <col min="3592" max="3592" width="96.33203125" bestFit="1" customWidth="1"/>
    <col min="3593" max="3593" width="18.109375" bestFit="1" customWidth="1"/>
    <col min="3594" max="3594" width="12.33203125" bestFit="1" customWidth="1"/>
    <col min="3595" max="3595" width="18.44140625" bestFit="1" customWidth="1"/>
    <col min="3596" max="3596" width="13.109375" bestFit="1" customWidth="1"/>
    <col min="3597" max="3597" width="16.6640625" bestFit="1" customWidth="1"/>
    <col min="3598" max="3598" width="16.6640625" customWidth="1"/>
    <col min="3599" max="3599" width="20.6640625" bestFit="1" customWidth="1"/>
    <col min="3600" max="3600" width="27" bestFit="1" customWidth="1"/>
    <col min="3601" max="3601" width="9.44140625" bestFit="1" customWidth="1"/>
    <col min="3602" max="3602" width="9.44140625" customWidth="1"/>
    <col min="3603" max="3603" width="15" bestFit="1" customWidth="1"/>
    <col min="3604" max="3604" width="19.6640625" bestFit="1" customWidth="1"/>
    <col min="3605" max="3605" width="19.44140625" bestFit="1" customWidth="1"/>
    <col min="3606" max="3606" width="23.44140625" bestFit="1" customWidth="1"/>
    <col min="3607" max="3607" width="29" bestFit="1" customWidth="1"/>
    <col min="3608" max="3608" width="10.6640625" bestFit="1" customWidth="1"/>
    <col min="3609" max="3609" width="14.109375" bestFit="1" customWidth="1"/>
    <col min="3610" max="3610" width="11.88671875" bestFit="1" customWidth="1"/>
    <col min="3611" max="3611" width="8" bestFit="1" customWidth="1"/>
    <col min="3617" max="3617" width="21.88671875" bestFit="1" customWidth="1"/>
    <col min="3618" max="3618" width="18.88671875" bestFit="1" customWidth="1"/>
    <col min="3619" max="3629" width="14.33203125" bestFit="1" customWidth="1"/>
    <col min="3630" max="3630" width="15.44140625" bestFit="1" customWidth="1"/>
    <col min="3842" max="3842" width="11.5546875" bestFit="1" customWidth="1"/>
    <col min="3843" max="3843" width="11.88671875" bestFit="1" customWidth="1"/>
    <col min="3844" max="3844" width="12.33203125" bestFit="1" customWidth="1"/>
    <col min="3845" max="3845" width="46.6640625" bestFit="1" customWidth="1"/>
    <col min="3846" max="3846" width="12.88671875" bestFit="1" customWidth="1"/>
    <col min="3847" max="3847" width="6.44140625" bestFit="1" customWidth="1"/>
    <col min="3848" max="3848" width="96.33203125" bestFit="1" customWidth="1"/>
    <col min="3849" max="3849" width="18.109375" bestFit="1" customWidth="1"/>
    <col min="3850" max="3850" width="12.33203125" bestFit="1" customWidth="1"/>
    <col min="3851" max="3851" width="18.44140625" bestFit="1" customWidth="1"/>
    <col min="3852" max="3852" width="13.109375" bestFit="1" customWidth="1"/>
    <col min="3853" max="3853" width="16.6640625" bestFit="1" customWidth="1"/>
    <col min="3854" max="3854" width="16.6640625" customWidth="1"/>
    <col min="3855" max="3855" width="20.6640625" bestFit="1" customWidth="1"/>
    <col min="3856" max="3856" width="27" bestFit="1" customWidth="1"/>
    <col min="3857" max="3857" width="9.44140625" bestFit="1" customWidth="1"/>
    <col min="3858" max="3858" width="9.44140625" customWidth="1"/>
    <col min="3859" max="3859" width="15" bestFit="1" customWidth="1"/>
    <col min="3860" max="3860" width="19.6640625" bestFit="1" customWidth="1"/>
    <col min="3861" max="3861" width="19.44140625" bestFit="1" customWidth="1"/>
    <col min="3862" max="3862" width="23.44140625" bestFit="1" customWidth="1"/>
    <col min="3863" max="3863" width="29" bestFit="1" customWidth="1"/>
    <col min="3864" max="3864" width="10.6640625" bestFit="1" customWidth="1"/>
    <col min="3865" max="3865" width="14.109375" bestFit="1" customWidth="1"/>
    <col min="3866" max="3866" width="11.88671875" bestFit="1" customWidth="1"/>
    <col min="3867" max="3867" width="8" bestFit="1" customWidth="1"/>
    <col min="3873" max="3873" width="21.88671875" bestFit="1" customWidth="1"/>
    <col min="3874" max="3874" width="18.88671875" bestFit="1" customWidth="1"/>
    <col min="3875" max="3885" width="14.33203125" bestFit="1" customWidth="1"/>
    <col min="3886" max="3886" width="15.44140625" bestFit="1" customWidth="1"/>
    <col min="4098" max="4098" width="11.5546875" bestFit="1" customWidth="1"/>
    <col min="4099" max="4099" width="11.88671875" bestFit="1" customWidth="1"/>
    <col min="4100" max="4100" width="12.33203125" bestFit="1" customWidth="1"/>
    <col min="4101" max="4101" width="46.6640625" bestFit="1" customWidth="1"/>
    <col min="4102" max="4102" width="12.88671875" bestFit="1" customWidth="1"/>
    <col min="4103" max="4103" width="6.44140625" bestFit="1" customWidth="1"/>
    <col min="4104" max="4104" width="96.33203125" bestFit="1" customWidth="1"/>
    <col min="4105" max="4105" width="18.109375" bestFit="1" customWidth="1"/>
    <col min="4106" max="4106" width="12.33203125" bestFit="1" customWidth="1"/>
    <col min="4107" max="4107" width="18.44140625" bestFit="1" customWidth="1"/>
    <col min="4108" max="4108" width="13.109375" bestFit="1" customWidth="1"/>
    <col min="4109" max="4109" width="16.6640625" bestFit="1" customWidth="1"/>
    <col min="4110" max="4110" width="16.6640625" customWidth="1"/>
    <col min="4111" max="4111" width="20.6640625" bestFit="1" customWidth="1"/>
    <col min="4112" max="4112" width="27" bestFit="1" customWidth="1"/>
    <col min="4113" max="4113" width="9.44140625" bestFit="1" customWidth="1"/>
    <col min="4114" max="4114" width="9.44140625" customWidth="1"/>
    <col min="4115" max="4115" width="15" bestFit="1" customWidth="1"/>
    <col min="4116" max="4116" width="19.6640625" bestFit="1" customWidth="1"/>
    <col min="4117" max="4117" width="19.44140625" bestFit="1" customWidth="1"/>
    <col min="4118" max="4118" width="23.44140625" bestFit="1" customWidth="1"/>
    <col min="4119" max="4119" width="29" bestFit="1" customWidth="1"/>
    <col min="4120" max="4120" width="10.6640625" bestFit="1" customWidth="1"/>
    <col min="4121" max="4121" width="14.109375" bestFit="1" customWidth="1"/>
    <col min="4122" max="4122" width="11.88671875" bestFit="1" customWidth="1"/>
    <col min="4123" max="4123" width="8" bestFit="1" customWidth="1"/>
    <col min="4129" max="4129" width="21.88671875" bestFit="1" customWidth="1"/>
    <col min="4130" max="4130" width="18.88671875" bestFit="1" customWidth="1"/>
    <col min="4131" max="4141" width="14.33203125" bestFit="1" customWidth="1"/>
    <col min="4142" max="4142" width="15.44140625" bestFit="1" customWidth="1"/>
    <col min="4354" max="4354" width="11.5546875" bestFit="1" customWidth="1"/>
    <col min="4355" max="4355" width="11.88671875" bestFit="1" customWidth="1"/>
    <col min="4356" max="4356" width="12.33203125" bestFit="1" customWidth="1"/>
    <col min="4357" max="4357" width="46.6640625" bestFit="1" customWidth="1"/>
    <col min="4358" max="4358" width="12.88671875" bestFit="1" customWidth="1"/>
    <col min="4359" max="4359" width="6.44140625" bestFit="1" customWidth="1"/>
    <col min="4360" max="4360" width="96.33203125" bestFit="1" customWidth="1"/>
    <col min="4361" max="4361" width="18.109375" bestFit="1" customWidth="1"/>
    <col min="4362" max="4362" width="12.33203125" bestFit="1" customWidth="1"/>
    <col min="4363" max="4363" width="18.44140625" bestFit="1" customWidth="1"/>
    <col min="4364" max="4364" width="13.109375" bestFit="1" customWidth="1"/>
    <col min="4365" max="4365" width="16.6640625" bestFit="1" customWidth="1"/>
    <col min="4366" max="4366" width="16.6640625" customWidth="1"/>
    <col min="4367" max="4367" width="20.6640625" bestFit="1" customWidth="1"/>
    <col min="4368" max="4368" width="27" bestFit="1" customWidth="1"/>
    <col min="4369" max="4369" width="9.44140625" bestFit="1" customWidth="1"/>
    <col min="4370" max="4370" width="9.44140625" customWidth="1"/>
    <col min="4371" max="4371" width="15" bestFit="1" customWidth="1"/>
    <col min="4372" max="4372" width="19.6640625" bestFit="1" customWidth="1"/>
    <col min="4373" max="4373" width="19.44140625" bestFit="1" customWidth="1"/>
    <col min="4374" max="4374" width="23.44140625" bestFit="1" customWidth="1"/>
    <col min="4375" max="4375" width="29" bestFit="1" customWidth="1"/>
    <col min="4376" max="4376" width="10.6640625" bestFit="1" customWidth="1"/>
    <col min="4377" max="4377" width="14.109375" bestFit="1" customWidth="1"/>
    <col min="4378" max="4378" width="11.88671875" bestFit="1" customWidth="1"/>
    <col min="4379" max="4379" width="8" bestFit="1" customWidth="1"/>
    <col min="4385" max="4385" width="21.88671875" bestFit="1" customWidth="1"/>
    <col min="4386" max="4386" width="18.88671875" bestFit="1" customWidth="1"/>
    <col min="4387" max="4397" width="14.33203125" bestFit="1" customWidth="1"/>
    <col min="4398" max="4398" width="15.44140625" bestFit="1" customWidth="1"/>
    <col min="4610" max="4610" width="11.5546875" bestFit="1" customWidth="1"/>
    <col min="4611" max="4611" width="11.88671875" bestFit="1" customWidth="1"/>
    <col min="4612" max="4612" width="12.33203125" bestFit="1" customWidth="1"/>
    <col min="4613" max="4613" width="46.6640625" bestFit="1" customWidth="1"/>
    <col min="4614" max="4614" width="12.88671875" bestFit="1" customWidth="1"/>
    <col min="4615" max="4615" width="6.44140625" bestFit="1" customWidth="1"/>
    <col min="4616" max="4616" width="96.33203125" bestFit="1" customWidth="1"/>
    <col min="4617" max="4617" width="18.109375" bestFit="1" customWidth="1"/>
    <col min="4618" max="4618" width="12.33203125" bestFit="1" customWidth="1"/>
    <col min="4619" max="4619" width="18.44140625" bestFit="1" customWidth="1"/>
    <col min="4620" max="4620" width="13.109375" bestFit="1" customWidth="1"/>
    <col min="4621" max="4621" width="16.6640625" bestFit="1" customWidth="1"/>
    <col min="4622" max="4622" width="16.6640625" customWidth="1"/>
    <col min="4623" max="4623" width="20.6640625" bestFit="1" customWidth="1"/>
    <col min="4624" max="4624" width="27" bestFit="1" customWidth="1"/>
    <col min="4625" max="4625" width="9.44140625" bestFit="1" customWidth="1"/>
    <col min="4626" max="4626" width="9.44140625" customWidth="1"/>
    <col min="4627" max="4627" width="15" bestFit="1" customWidth="1"/>
    <col min="4628" max="4628" width="19.6640625" bestFit="1" customWidth="1"/>
    <col min="4629" max="4629" width="19.44140625" bestFit="1" customWidth="1"/>
    <col min="4630" max="4630" width="23.44140625" bestFit="1" customWidth="1"/>
    <col min="4631" max="4631" width="29" bestFit="1" customWidth="1"/>
    <col min="4632" max="4632" width="10.6640625" bestFit="1" customWidth="1"/>
    <col min="4633" max="4633" width="14.109375" bestFit="1" customWidth="1"/>
    <col min="4634" max="4634" width="11.88671875" bestFit="1" customWidth="1"/>
    <col min="4635" max="4635" width="8" bestFit="1" customWidth="1"/>
    <col min="4641" max="4641" width="21.88671875" bestFit="1" customWidth="1"/>
    <col min="4642" max="4642" width="18.88671875" bestFit="1" customWidth="1"/>
    <col min="4643" max="4653" width="14.33203125" bestFit="1" customWidth="1"/>
    <col min="4654" max="4654" width="15.44140625" bestFit="1" customWidth="1"/>
    <col min="4866" max="4866" width="11.5546875" bestFit="1" customWidth="1"/>
    <col min="4867" max="4867" width="11.88671875" bestFit="1" customWidth="1"/>
    <col min="4868" max="4868" width="12.33203125" bestFit="1" customWidth="1"/>
    <col min="4869" max="4869" width="46.6640625" bestFit="1" customWidth="1"/>
    <col min="4870" max="4870" width="12.88671875" bestFit="1" customWidth="1"/>
    <col min="4871" max="4871" width="6.44140625" bestFit="1" customWidth="1"/>
    <col min="4872" max="4872" width="96.33203125" bestFit="1" customWidth="1"/>
    <col min="4873" max="4873" width="18.109375" bestFit="1" customWidth="1"/>
    <col min="4874" max="4874" width="12.33203125" bestFit="1" customWidth="1"/>
    <col min="4875" max="4875" width="18.44140625" bestFit="1" customWidth="1"/>
    <col min="4876" max="4876" width="13.109375" bestFit="1" customWidth="1"/>
    <col min="4877" max="4877" width="16.6640625" bestFit="1" customWidth="1"/>
    <col min="4878" max="4878" width="16.6640625" customWidth="1"/>
    <col min="4879" max="4879" width="20.6640625" bestFit="1" customWidth="1"/>
    <col min="4880" max="4880" width="27" bestFit="1" customWidth="1"/>
    <col min="4881" max="4881" width="9.44140625" bestFit="1" customWidth="1"/>
    <col min="4882" max="4882" width="9.44140625" customWidth="1"/>
    <col min="4883" max="4883" width="15" bestFit="1" customWidth="1"/>
    <col min="4884" max="4884" width="19.6640625" bestFit="1" customWidth="1"/>
    <col min="4885" max="4885" width="19.44140625" bestFit="1" customWidth="1"/>
    <col min="4886" max="4886" width="23.44140625" bestFit="1" customWidth="1"/>
    <col min="4887" max="4887" width="29" bestFit="1" customWidth="1"/>
    <col min="4888" max="4888" width="10.6640625" bestFit="1" customWidth="1"/>
    <col min="4889" max="4889" width="14.109375" bestFit="1" customWidth="1"/>
    <col min="4890" max="4890" width="11.88671875" bestFit="1" customWidth="1"/>
    <col min="4891" max="4891" width="8" bestFit="1" customWidth="1"/>
    <col min="4897" max="4897" width="21.88671875" bestFit="1" customWidth="1"/>
    <col min="4898" max="4898" width="18.88671875" bestFit="1" customWidth="1"/>
    <col min="4899" max="4909" width="14.33203125" bestFit="1" customWidth="1"/>
    <col min="4910" max="4910" width="15.44140625" bestFit="1" customWidth="1"/>
    <col min="5122" max="5122" width="11.5546875" bestFit="1" customWidth="1"/>
    <col min="5123" max="5123" width="11.88671875" bestFit="1" customWidth="1"/>
    <col min="5124" max="5124" width="12.33203125" bestFit="1" customWidth="1"/>
    <col min="5125" max="5125" width="46.6640625" bestFit="1" customWidth="1"/>
    <col min="5126" max="5126" width="12.88671875" bestFit="1" customWidth="1"/>
    <col min="5127" max="5127" width="6.44140625" bestFit="1" customWidth="1"/>
    <col min="5128" max="5128" width="96.33203125" bestFit="1" customWidth="1"/>
    <col min="5129" max="5129" width="18.109375" bestFit="1" customWidth="1"/>
    <col min="5130" max="5130" width="12.33203125" bestFit="1" customWidth="1"/>
    <col min="5131" max="5131" width="18.44140625" bestFit="1" customWidth="1"/>
    <col min="5132" max="5132" width="13.109375" bestFit="1" customWidth="1"/>
    <col min="5133" max="5133" width="16.6640625" bestFit="1" customWidth="1"/>
    <col min="5134" max="5134" width="16.6640625" customWidth="1"/>
    <col min="5135" max="5135" width="20.6640625" bestFit="1" customWidth="1"/>
    <col min="5136" max="5136" width="27" bestFit="1" customWidth="1"/>
    <col min="5137" max="5137" width="9.44140625" bestFit="1" customWidth="1"/>
    <col min="5138" max="5138" width="9.44140625" customWidth="1"/>
    <col min="5139" max="5139" width="15" bestFit="1" customWidth="1"/>
    <col min="5140" max="5140" width="19.6640625" bestFit="1" customWidth="1"/>
    <col min="5141" max="5141" width="19.44140625" bestFit="1" customWidth="1"/>
    <col min="5142" max="5142" width="23.44140625" bestFit="1" customWidth="1"/>
    <col min="5143" max="5143" width="29" bestFit="1" customWidth="1"/>
    <col min="5144" max="5144" width="10.6640625" bestFit="1" customWidth="1"/>
    <col min="5145" max="5145" width="14.109375" bestFit="1" customWidth="1"/>
    <col min="5146" max="5146" width="11.88671875" bestFit="1" customWidth="1"/>
    <col min="5147" max="5147" width="8" bestFit="1" customWidth="1"/>
    <col min="5153" max="5153" width="21.88671875" bestFit="1" customWidth="1"/>
    <col min="5154" max="5154" width="18.88671875" bestFit="1" customWidth="1"/>
    <col min="5155" max="5165" width="14.33203125" bestFit="1" customWidth="1"/>
    <col min="5166" max="5166" width="15.44140625" bestFit="1" customWidth="1"/>
    <col min="5378" max="5378" width="11.5546875" bestFit="1" customWidth="1"/>
    <col min="5379" max="5379" width="11.88671875" bestFit="1" customWidth="1"/>
    <col min="5380" max="5380" width="12.33203125" bestFit="1" customWidth="1"/>
    <col min="5381" max="5381" width="46.6640625" bestFit="1" customWidth="1"/>
    <col min="5382" max="5382" width="12.88671875" bestFit="1" customWidth="1"/>
    <col min="5383" max="5383" width="6.44140625" bestFit="1" customWidth="1"/>
    <col min="5384" max="5384" width="96.33203125" bestFit="1" customWidth="1"/>
    <col min="5385" max="5385" width="18.109375" bestFit="1" customWidth="1"/>
    <col min="5386" max="5386" width="12.33203125" bestFit="1" customWidth="1"/>
    <col min="5387" max="5387" width="18.44140625" bestFit="1" customWidth="1"/>
    <col min="5388" max="5388" width="13.109375" bestFit="1" customWidth="1"/>
    <col min="5389" max="5389" width="16.6640625" bestFit="1" customWidth="1"/>
    <col min="5390" max="5390" width="16.6640625" customWidth="1"/>
    <col min="5391" max="5391" width="20.6640625" bestFit="1" customWidth="1"/>
    <col min="5392" max="5392" width="27" bestFit="1" customWidth="1"/>
    <col min="5393" max="5393" width="9.44140625" bestFit="1" customWidth="1"/>
    <col min="5394" max="5394" width="9.44140625" customWidth="1"/>
    <col min="5395" max="5395" width="15" bestFit="1" customWidth="1"/>
    <col min="5396" max="5396" width="19.6640625" bestFit="1" customWidth="1"/>
    <col min="5397" max="5397" width="19.44140625" bestFit="1" customWidth="1"/>
    <col min="5398" max="5398" width="23.44140625" bestFit="1" customWidth="1"/>
    <col min="5399" max="5399" width="29" bestFit="1" customWidth="1"/>
    <col min="5400" max="5400" width="10.6640625" bestFit="1" customWidth="1"/>
    <col min="5401" max="5401" width="14.109375" bestFit="1" customWidth="1"/>
    <col min="5402" max="5402" width="11.88671875" bestFit="1" customWidth="1"/>
    <col min="5403" max="5403" width="8" bestFit="1" customWidth="1"/>
    <col min="5409" max="5409" width="21.88671875" bestFit="1" customWidth="1"/>
    <col min="5410" max="5410" width="18.88671875" bestFit="1" customWidth="1"/>
    <col min="5411" max="5421" width="14.33203125" bestFit="1" customWidth="1"/>
    <col min="5422" max="5422" width="15.44140625" bestFit="1" customWidth="1"/>
    <col min="5634" max="5634" width="11.5546875" bestFit="1" customWidth="1"/>
    <col min="5635" max="5635" width="11.88671875" bestFit="1" customWidth="1"/>
    <col min="5636" max="5636" width="12.33203125" bestFit="1" customWidth="1"/>
    <col min="5637" max="5637" width="46.6640625" bestFit="1" customWidth="1"/>
    <col min="5638" max="5638" width="12.88671875" bestFit="1" customWidth="1"/>
    <col min="5639" max="5639" width="6.44140625" bestFit="1" customWidth="1"/>
    <col min="5640" max="5640" width="96.33203125" bestFit="1" customWidth="1"/>
    <col min="5641" max="5641" width="18.109375" bestFit="1" customWidth="1"/>
    <col min="5642" max="5642" width="12.33203125" bestFit="1" customWidth="1"/>
    <col min="5643" max="5643" width="18.44140625" bestFit="1" customWidth="1"/>
    <col min="5644" max="5644" width="13.109375" bestFit="1" customWidth="1"/>
    <col min="5645" max="5645" width="16.6640625" bestFit="1" customWidth="1"/>
    <col min="5646" max="5646" width="16.6640625" customWidth="1"/>
    <col min="5647" max="5647" width="20.6640625" bestFit="1" customWidth="1"/>
    <col min="5648" max="5648" width="27" bestFit="1" customWidth="1"/>
    <col min="5649" max="5649" width="9.44140625" bestFit="1" customWidth="1"/>
    <col min="5650" max="5650" width="9.44140625" customWidth="1"/>
    <col min="5651" max="5651" width="15" bestFit="1" customWidth="1"/>
    <col min="5652" max="5652" width="19.6640625" bestFit="1" customWidth="1"/>
    <col min="5653" max="5653" width="19.44140625" bestFit="1" customWidth="1"/>
    <col min="5654" max="5654" width="23.44140625" bestFit="1" customWidth="1"/>
    <col min="5655" max="5655" width="29" bestFit="1" customWidth="1"/>
    <col min="5656" max="5656" width="10.6640625" bestFit="1" customWidth="1"/>
    <col min="5657" max="5657" width="14.109375" bestFit="1" customWidth="1"/>
    <col min="5658" max="5658" width="11.88671875" bestFit="1" customWidth="1"/>
    <col min="5659" max="5659" width="8" bestFit="1" customWidth="1"/>
    <col min="5665" max="5665" width="21.88671875" bestFit="1" customWidth="1"/>
    <col min="5666" max="5666" width="18.88671875" bestFit="1" customWidth="1"/>
    <col min="5667" max="5677" width="14.33203125" bestFit="1" customWidth="1"/>
    <col min="5678" max="5678" width="15.44140625" bestFit="1" customWidth="1"/>
    <col min="5890" max="5890" width="11.5546875" bestFit="1" customWidth="1"/>
    <col min="5891" max="5891" width="11.88671875" bestFit="1" customWidth="1"/>
    <col min="5892" max="5892" width="12.33203125" bestFit="1" customWidth="1"/>
    <col min="5893" max="5893" width="46.6640625" bestFit="1" customWidth="1"/>
    <col min="5894" max="5894" width="12.88671875" bestFit="1" customWidth="1"/>
    <col min="5895" max="5895" width="6.44140625" bestFit="1" customWidth="1"/>
    <col min="5896" max="5896" width="96.33203125" bestFit="1" customWidth="1"/>
    <col min="5897" max="5897" width="18.109375" bestFit="1" customWidth="1"/>
    <col min="5898" max="5898" width="12.33203125" bestFit="1" customWidth="1"/>
    <col min="5899" max="5899" width="18.44140625" bestFit="1" customWidth="1"/>
    <col min="5900" max="5900" width="13.109375" bestFit="1" customWidth="1"/>
    <col min="5901" max="5901" width="16.6640625" bestFit="1" customWidth="1"/>
    <col min="5902" max="5902" width="16.6640625" customWidth="1"/>
    <col min="5903" max="5903" width="20.6640625" bestFit="1" customWidth="1"/>
    <col min="5904" max="5904" width="27" bestFit="1" customWidth="1"/>
    <col min="5905" max="5905" width="9.44140625" bestFit="1" customWidth="1"/>
    <col min="5906" max="5906" width="9.44140625" customWidth="1"/>
    <col min="5907" max="5907" width="15" bestFit="1" customWidth="1"/>
    <col min="5908" max="5908" width="19.6640625" bestFit="1" customWidth="1"/>
    <col min="5909" max="5909" width="19.44140625" bestFit="1" customWidth="1"/>
    <col min="5910" max="5910" width="23.44140625" bestFit="1" customWidth="1"/>
    <col min="5911" max="5911" width="29" bestFit="1" customWidth="1"/>
    <col min="5912" max="5912" width="10.6640625" bestFit="1" customWidth="1"/>
    <col min="5913" max="5913" width="14.109375" bestFit="1" customWidth="1"/>
    <col min="5914" max="5914" width="11.88671875" bestFit="1" customWidth="1"/>
    <col min="5915" max="5915" width="8" bestFit="1" customWidth="1"/>
    <col min="5921" max="5921" width="21.88671875" bestFit="1" customWidth="1"/>
    <col min="5922" max="5922" width="18.88671875" bestFit="1" customWidth="1"/>
    <col min="5923" max="5933" width="14.33203125" bestFit="1" customWidth="1"/>
    <col min="5934" max="5934" width="15.44140625" bestFit="1" customWidth="1"/>
    <col min="6146" max="6146" width="11.5546875" bestFit="1" customWidth="1"/>
    <col min="6147" max="6147" width="11.88671875" bestFit="1" customWidth="1"/>
    <col min="6148" max="6148" width="12.33203125" bestFit="1" customWidth="1"/>
    <col min="6149" max="6149" width="46.6640625" bestFit="1" customWidth="1"/>
    <col min="6150" max="6150" width="12.88671875" bestFit="1" customWidth="1"/>
    <col min="6151" max="6151" width="6.44140625" bestFit="1" customWidth="1"/>
    <col min="6152" max="6152" width="96.33203125" bestFit="1" customWidth="1"/>
    <col min="6153" max="6153" width="18.109375" bestFit="1" customWidth="1"/>
    <col min="6154" max="6154" width="12.33203125" bestFit="1" customWidth="1"/>
    <col min="6155" max="6155" width="18.44140625" bestFit="1" customWidth="1"/>
    <col min="6156" max="6156" width="13.109375" bestFit="1" customWidth="1"/>
    <col min="6157" max="6157" width="16.6640625" bestFit="1" customWidth="1"/>
    <col min="6158" max="6158" width="16.6640625" customWidth="1"/>
    <col min="6159" max="6159" width="20.6640625" bestFit="1" customWidth="1"/>
    <col min="6160" max="6160" width="27" bestFit="1" customWidth="1"/>
    <col min="6161" max="6161" width="9.44140625" bestFit="1" customWidth="1"/>
    <col min="6162" max="6162" width="9.44140625" customWidth="1"/>
    <col min="6163" max="6163" width="15" bestFit="1" customWidth="1"/>
    <col min="6164" max="6164" width="19.6640625" bestFit="1" customWidth="1"/>
    <col min="6165" max="6165" width="19.44140625" bestFit="1" customWidth="1"/>
    <col min="6166" max="6166" width="23.44140625" bestFit="1" customWidth="1"/>
    <col min="6167" max="6167" width="29" bestFit="1" customWidth="1"/>
    <col min="6168" max="6168" width="10.6640625" bestFit="1" customWidth="1"/>
    <col min="6169" max="6169" width="14.109375" bestFit="1" customWidth="1"/>
    <col min="6170" max="6170" width="11.88671875" bestFit="1" customWidth="1"/>
    <col min="6171" max="6171" width="8" bestFit="1" customWidth="1"/>
    <col min="6177" max="6177" width="21.88671875" bestFit="1" customWidth="1"/>
    <col min="6178" max="6178" width="18.88671875" bestFit="1" customWidth="1"/>
    <col min="6179" max="6189" width="14.33203125" bestFit="1" customWidth="1"/>
    <col min="6190" max="6190" width="15.44140625" bestFit="1" customWidth="1"/>
    <col min="6402" max="6402" width="11.5546875" bestFit="1" customWidth="1"/>
    <col min="6403" max="6403" width="11.88671875" bestFit="1" customWidth="1"/>
    <col min="6404" max="6404" width="12.33203125" bestFit="1" customWidth="1"/>
    <col min="6405" max="6405" width="46.6640625" bestFit="1" customWidth="1"/>
    <col min="6406" max="6406" width="12.88671875" bestFit="1" customWidth="1"/>
    <col min="6407" max="6407" width="6.44140625" bestFit="1" customWidth="1"/>
    <col min="6408" max="6408" width="96.33203125" bestFit="1" customWidth="1"/>
    <col min="6409" max="6409" width="18.109375" bestFit="1" customWidth="1"/>
    <col min="6410" max="6410" width="12.33203125" bestFit="1" customWidth="1"/>
    <col min="6411" max="6411" width="18.44140625" bestFit="1" customWidth="1"/>
    <col min="6412" max="6412" width="13.109375" bestFit="1" customWidth="1"/>
    <col min="6413" max="6413" width="16.6640625" bestFit="1" customWidth="1"/>
    <col min="6414" max="6414" width="16.6640625" customWidth="1"/>
    <col min="6415" max="6415" width="20.6640625" bestFit="1" customWidth="1"/>
    <col min="6416" max="6416" width="27" bestFit="1" customWidth="1"/>
    <col min="6417" max="6417" width="9.44140625" bestFit="1" customWidth="1"/>
    <col min="6418" max="6418" width="9.44140625" customWidth="1"/>
    <col min="6419" max="6419" width="15" bestFit="1" customWidth="1"/>
    <col min="6420" max="6420" width="19.6640625" bestFit="1" customWidth="1"/>
    <col min="6421" max="6421" width="19.44140625" bestFit="1" customWidth="1"/>
    <col min="6422" max="6422" width="23.44140625" bestFit="1" customWidth="1"/>
    <col min="6423" max="6423" width="29" bestFit="1" customWidth="1"/>
    <col min="6424" max="6424" width="10.6640625" bestFit="1" customWidth="1"/>
    <col min="6425" max="6425" width="14.109375" bestFit="1" customWidth="1"/>
    <col min="6426" max="6426" width="11.88671875" bestFit="1" customWidth="1"/>
    <col min="6427" max="6427" width="8" bestFit="1" customWidth="1"/>
    <col min="6433" max="6433" width="21.88671875" bestFit="1" customWidth="1"/>
    <col min="6434" max="6434" width="18.88671875" bestFit="1" customWidth="1"/>
    <col min="6435" max="6445" width="14.33203125" bestFit="1" customWidth="1"/>
    <col min="6446" max="6446" width="15.44140625" bestFit="1" customWidth="1"/>
    <col min="6658" max="6658" width="11.5546875" bestFit="1" customWidth="1"/>
    <col min="6659" max="6659" width="11.88671875" bestFit="1" customWidth="1"/>
    <col min="6660" max="6660" width="12.33203125" bestFit="1" customWidth="1"/>
    <col min="6661" max="6661" width="46.6640625" bestFit="1" customWidth="1"/>
    <col min="6662" max="6662" width="12.88671875" bestFit="1" customWidth="1"/>
    <col min="6663" max="6663" width="6.44140625" bestFit="1" customWidth="1"/>
    <col min="6664" max="6664" width="96.33203125" bestFit="1" customWidth="1"/>
    <col min="6665" max="6665" width="18.109375" bestFit="1" customWidth="1"/>
    <col min="6666" max="6666" width="12.33203125" bestFit="1" customWidth="1"/>
    <col min="6667" max="6667" width="18.44140625" bestFit="1" customWidth="1"/>
    <col min="6668" max="6668" width="13.109375" bestFit="1" customWidth="1"/>
    <col min="6669" max="6669" width="16.6640625" bestFit="1" customWidth="1"/>
    <col min="6670" max="6670" width="16.6640625" customWidth="1"/>
    <col min="6671" max="6671" width="20.6640625" bestFit="1" customWidth="1"/>
    <col min="6672" max="6672" width="27" bestFit="1" customWidth="1"/>
    <col min="6673" max="6673" width="9.44140625" bestFit="1" customWidth="1"/>
    <col min="6674" max="6674" width="9.44140625" customWidth="1"/>
    <col min="6675" max="6675" width="15" bestFit="1" customWidth="1"/>
    <col min="6676" max="6676" width="19.6640625" bestFit="1" customWidth="1"/>
    <col min="6677" max="6677" width="19.44140625" bestFit="1" customWidth="1"/>
    <col min="6678" max="6678" width="23.44140625" bestFit="1" customWidth="1"/>
    <col min="6679" max="6679" width="29" bestFit="1" customWidth="1"/>
    <col min="6680" max="6680" width="10.6640625" bestFit="1" customWidth="1"/>
    <col min="6681" max="6681" width="14.109375" bestFit="1" customWidth="1"/>
    <col min="6682" max="6682" width="11.88671875" bestFit="1" customWidth="1"/>
    <col min="6683" max="6683" width="8" bestFit="1" customWidth="1"/>
    <col min="6689" max="6689" width="21.88671875" bestFit="1" customWidth="1"/>
    <col min="6690" max="6690" width="18.88671875" bestFit="1" customWidth="1"/>
    <col min="6691" max="6701" width="14.33203125" bestFit="1" customWidth="1"/>
    <col min="6702" max="6702" width="15.44140625" bestFit="1" customWidth="1"/>
    <col min="6914" max="6914" width="11.5546875" bestFit="1" customWidth="1"/>
    <col min="6915" max="6915" width="11.88671875" bestFit="1" customWidth="1"/>
    <col min="6916" max="6916" width="12.33203125" bestFit="1" customWidth="1"/>
    <col min="6917" max="6917" width="46.6640625" bestFit="1" customWidth="1"/>
    <col min="6918" max="6918" width="12.88671875" bestFit="1" customWidth="1"/>
    <col min="6919" max="6919" width="6.44140625" bestFit="1" customWidth="1"/>
    <col min="6920" max="6920" width="96.33203125" bestFit="1" customWidth="1"/>
    <col min="6921" max="6921" width="18.109375" bestFit="1" customWidth="1"/>
    <col min="6922" max="6922" width="12.33203125" bestFit="1" customWidth="1"/>
    <col min="6923" max="6923" width="18.44140625" bestFit="1" customWidth="1"/>
    <col min="6924" max="6924" width="13.109375" bestFit="1" customWidth="1"/>
    <col min="6925" max="6925" width="16.6640625" bestFit="1" customWidth="1"/>
    <col min="6926" max="6926" width="16.6640625" customWidth="1"/>
    <col min="6927" max="6927" width="20.6640625" bestFit="1" customWidth="1"/>
    <col min="6928" max="6928" width="27" bestFit="1" customWidth="1"/>
    <col min="6929" max="6929" width="9.44140625" bestFit="1" customWidth="1"/>
    <col min="6930" max="6930" width="9.44140625" customWidth="1"/>
    <col min="6931" max="6931" width="15" bestFit="1" customWidth="1"/>
    <col min="6932" max="6932" width="19.6640625" bestFit="1" customWidth="1"/>
    <col min="6933" max="6933" width="19.44140625" bestFit="1" customWidth="1"/>
    <col min="6934" max="6934" width="23.44140625" bestFit="1" customWidth="1"/>
    <col min="6935" max="6935" width="29" bestFit="1" customWidth="1"/>
    <col min="6936" max="6936" width="10.6640625" bestFit="1" customWidth="1"/>
    <col min="6937" max="6937" width="14.109375" bestFit="1" customWidth="1"/>
    <col min="6938" max="6938" width="11.88671875" bestFit="1" customWidth="1"/>
    <col min="6939" max="6939" width="8" bestFit="1" customWidth="1"/>
    <col min="6945" max="6945" width="21.88671875" bestFit="1" customWidth="1"/>
    <col min="6946" max="6946" width="18.88671875" bestFit="1" customWidth="1"/>
    <col min="6947" max="6957" width="14.33203125" bestFit="1" customWidth="1"/>
    <col min="6958" max="6958" width="15.44140625" bestFit="1" customWidth="1"/>
    <col min="7170" max="7170" width="11.5546875" bestFit="1" customWidth="1"/>
    <col min="7171" max="7171" width="11.88671875" bestFit="1" customWidth="1"/>
    <col min="7172" max="7172" width="12.33203125" bestFit="1" customWidth="1"/>
    <col min="7173" max="7173" width="46.6640625" bestFit="1" customWidth="1"/>
    <col min="7174" max="7174" width="12.88671875" bestFit="1" customWidth="1"/>
    <col min="7175" max="7175" width="6.44140625" bestFit="1" customWidth="1"/>
    <col min="7176" max="7176" width="96.33203125" bestFit="1" customWidth="1"/>
    <col min="7177" max="7177" width="18.109375" bestFit="1" customWidth="1"/>
    <col min="7178" max="7178" width="12.33203125" bestFit="1" customWidth="1"/>
    <col min="7179" max="7179" width="18.44140625" bestFit="1" customWidth="1"/>
    <col min="7180" max="7180" width="13.109375" bestFit="1" customWidth="1"/>
    <col min="7181" max="7181" width="16.6640625" bestFit="1" customWidth="1"/>
    <col min="7182" max="7182" width="16.6640625" customWidth="1"/>
    <col min="7183" max="7183" width="20.6640625" bestFit="1" customWidth="1"/>
    <col min="7184" max="7184" width="27" bestFit="1" customWidth="1"/>
    <col min="7185" max="7185" width="9.44140625" bestFit="1" customWidth="1"/>
    <col min="7186" max="7186" width="9.44140625" customWidth="1"/>
    <col min="7187" max="7187" width="15" bestFit="1" customWidth="1"/>
    <col min="7188" max="7188" width="19.6640625" bestFit="1" customWidth="1"/>
    <col min="7189" max="7189" width="19.44140625" bestFit="1" customWidth="1"/>
    <col min="7190" max="7190" width="23.44140625" bestFit="1" customWidth="1"/>
    <col min="7191" max="7191" width="29" bestFit="1" customWidth="1"/>
    <col min="7192" max="7192" width="10.6640625" bestFit="1" customWidth="1"/>
    <col min="7193" max="7193" width="14.109375" bestFit="1" customWidth="1"/>
    <col min="7194" max="7194" width="11.88671875" bestFit="1" customWidth="1"/>
    <col min="7195" max="7195" width="8" bestFit="1" customWidth="1"/>
    <col min="7201" max="7201" width="21.88671875" bestFit="1" customWidth="1"/>
    <col min="7202" max="7202" width="18.88671875" bestFit="1" customWidth="1"/>
    <col min="7203" max="7213" width="14.33203125" bestFit="1" customWidth="1"/>
    <col min="7214" max="7214" width="15.44140625" bestFit="1" customWidth="1"/>
    <col min="7426" max="7426" width="11.5546875" bestFit="1" customWidth="1"/>
    <col min="7427" max="7427" width="11.88671875" bestFit="1" customWidth="1"/>
    <col min="7428" max="7428" width="12.33203125" bestFit="1" customWidth="1"/>
    <col min="7429" max="7429" width="46.6640625" bestFit="1" customWidth="1"/>
    <col min="7430" max="7430" width="12.88671875" bestFit="1" customWidth="1"/>
    <col min="7431" max="7431" width="6.44140625" bestFit="1" customWidth="1"/>
    <col min="7432" max="7432" width="96.33203125" bestFit="1" customWidth="1"/>
    <col min="7433" max="7433" width="18.109375" bestFit="1" customWidth="1"/>
    <col min="7434" max="7434" width="12.33203125" bestFit="1" customWidth="1"/>
    <col min="7435" max="7435" width="18.44140625" bestFit="1" customWidth="1"/>
    <col min="7436" max="7436" width="13.109375" bestFit="1" customWidth="1"/>
    <col min="7437" max="7437" width="16.6640625" bestFit="1" customWidth="1"/>
    <col min="7438" max="7438" width="16.6640625" customWidth="1"/>
    <col min="7439" max="7439" width="20.6640625" bestFit="1" customWidth="1"/>
    <col min="7440" max="7440" width="27" bestFit="1" customWidth="1"/>
    <col min="7441" max="7441" width="9.44140625" bestFit="1" customWidth="1"/>
    <col min="7442" max="7442" width="9.44140625" customWidth="1"/>
    <col min="7443" max="7443" width="15" bestFit="1" customWidth="1"/>
    <col min="7444" max="7444" width="19.6640625" bestFit="1" customWidth="1"/>
    <col min="7445" max="7445" width="19.44140625" bestFit="1" customWidth="1"/>
    <col min="7446" max="7446" width="23.44140625" bestFit="1" customWidth="1"/>
    <col min="7447" max="7447" width="29" bestFit="1" customWidth="1"/>
    <col min="7448" max="7448" width="10.6640625" bestFit="1" customWidth="1"/>
    <col min="7449" max="7449" width="14.109375" bestFit="1" customWidth="1"/>
    <col min="7450" max="7450" width="11.88671875" bestFit="1" customWidth="1"/>
    <col min="7451" max="7451" width="8" bestFit="1" customWidth="1"/>
    <col min="7457" max="7457" width="21.88671875" bestFit="1" customWidth="1"/>
    <col min="7458" max="7458" width="18.88671875" bestFit="1" customWidth="1"/>
    <col min="7459" max="7469" width="14.33203125" bestFit="1" customWidth="1"/>
    <col min="7470" max="7470" width="15.44140625" bestFit="1" customWidth="1"/>
    <col min="7682" max="7682" width="11.5546875" bestFit="1" customWidth="1"/>
    <col min="7683" max="7683" width="11.88671875" bestFit="1" customWidth="1"/>
    <col min="7684" max="7684" width="12.33203125" bestFit="1" customWidth="1"/>
    <col min="7685" max="7685" width="46.6640625" bestFit="1" customWidth="1"/>
    <col min="7686" max="7686" width="12.88671875" bestFit="1" customWidth="1"/>
    <col min="7687" max="7687" width="6.44140625" bestFit="1" customWidth="1"/>
    <col min="7688" max="7688" width="96.33203125" bestFit="1" customWidth="1"/>
    <col min="7689" max="7689" width="18.109375" bestFit="1" customWidth="1"/>
    <col min="7690" max="7690" width="12.33203125" bestFit="1" customWidth="1"/>
    <col min="7691" max="7691" width="18.44140625" bestFit="1" customWidth="1"/>
    <col min="7692" max="7692" width="13.109375" bestFit="1" customWidth="1"/>
    <col min="7693" max="7693" width="16.6640625" bestFit="1" customWidth="1"/>
    <col min="7694" max="7694" width="16.6640625" customWidth="1"/>
    <col min="7695" max="7695" width="20.6640625" bestFit="1" customWidth="1"/>
    <col min="7696" max="7696" width="27" bestFit="1" customWidth="1"/>
    <col min="7697" max="7697" width="9.44140625" bestFit="1" customWidth="1"/>
    <col min="7698" max="7698" width="9.44140625" customWidth="1"/>
    <col min="7699" max="7699" width="15" bestFit="1" customWidth="1"/>
    <col min="7700" max="7700" width="19.6640625" bestFit="1" customWidth="1"/>
    <col min="7701" max="7701" width="19.44140625" bestFit="1" customWidth="1"/>
    <col min="7702" max="7702" width="23.44140625" bestFit="1" customWidth="1"/>
    <col min="7703" max="7703" width="29" bestFit="1" customWidth="1"/>
    <col min="7704" max="7704" width="10.6640625" bestFit="1" customWidth="1"/>
    <col min="7705" max="7705" width="14.109375" bestFit="1" customWidth="1"/>
    <col min="7706" max="7706" width="11.88671875" bestFit="1" customWidth="1"/>
    <col min="7707" max="7707" width="8" bestFit="1" customWidth="1"/>
    <col min="7713" max="7713" width="21.88671875" bestFit="1" customWidth="1"/>
    <col min="7714" max="7714" width="18.88671875" bestFit="1" customWidth="1"/>
    <col min="7715" max="7725" width="14.33203125" bestFit="1" customWidth="1"/>
    <col min="7726" max="7726" width="15.44140625" bestFit="1" customWidth="1"/>
    <col min="7938" max="7938" width="11.5546875" bestFit="1" customWidth="1"/>
    <col min="7939" max="7939" width="11.88671875" bestFit="1" customWidth="1"/>
    <col min="7940" max="7940" width="12.33203125" bestFit="1" customWidth="1"/>
    <col min="7941" max="7941" width="46.6640625" bestFit="1" customWidth="1"/>
    <col min="7942" max="7942" width="12.88671875" bestFit="1" customWidth="1"/>
    <col min="7943" max="7943" width="6.44140625" bestFit="1" customWidth="1"/>
    <col min="7944" max="7944" width="96.33203125" bestFit="1" customWidth="1"/>
    <col min="7945" max="7945" width="18.109375" bestFit="1" customWidth="1"/>
    <col min="7946" max="7946" width="12.33203125" bestFit="1" customWidth="1"/>
    <col min="7947" max="7947" width="18.44140625" bestFit="1" customWidth="1"/>
    <col min="7948" max="7948" width="13.109375" bestFit="1" customWidth="1"/>
    <col min="7949" max="7949" width="16.6640625" bestFit="1" customWidth="1"/>
    <col min="7950" max="7950" width="16.6640625" customWidth="1"/>
    <col min="7951" max="7951" width="20.6640625" bestFit="1" customWidth="1"/>
    <col min="7952" max="7952" width="27" bestFit="1" customWidth="1"/>
    <col min="7953" max="7953" width="9.44140625" bestFit="1" customWidth="1"/>
    <col min="7954" max="7954" width="9.44140625" customWidth="1"/>
    <col min="7955" max="7955" width="15" bestFit="1" customWidth="1"/>
    <col min="7956" max="7956" width="19.6640625" bestFit="1" customWidth="1"/>
    <col min="7957" max="7957" width="19.44140625" bestFit="1" customWidth="1"/>
    <col min="7958" max="7958" width="23.44140625" bestFit="1" customWidth="1"/>
    <col min="7959" max="7959" width="29" bestFit="1" customWidth="1"/>
    <col min="7960" max="7960" width="10.6640625" bestFit="1" customWidth="1"/>
    <col min="7961" max="7961" width="14.109375" bestFit="1" customWidth="1"/>
    <col min="7962" max="7962" width="11.88671875" bestFit="1" customWidth="1"/>
    <col min="7963" max="7963" width="8" bestFit="1" customWidth="1"/>
    <col min="7969" max="7969" width="21.88671875" bestFit="1" customWidth="1"/>
    <col min="7970" max="7970" width="18.88671875" bestFit="1" customWidth="1"/>
    <col min="7971" max="7981" width="14.33203125" bestFit="1" customWidth="1"/>
    <col min="7982" max="7982" width="15.44140625" bestFit="1" customWidth="1"/>
    <col min="8194" max="8194" width="11.5546875" bestFit="1" customWidth="1"/>
    <col min="8195" max="8195" width="11.88671875" bestFit="1" customWidth="1"/>
    <col min="8196" max="8196" width="12.33203125" bestFit="1" customWidth="1"/>
    <col min="8197" max="8197" width="46.6640625" bestFit="1" customWidth="1"/>
    <col min="8198" max="8198" width="12.88671875" bestFit="1" customWidth="1"/>
    <col min="8199" max="8199" width="6.44140625" bestFit="1" customWidth="1"/>
    <col min="8200" max="8200" width="96.33203125" bestFit="1" customWidth="1"/>
    <col min="8201" max="8201" width="18.109375" bestFit="1" customWidth="1"/>
    <col min="8202" max="8202" width="12.33203125" bestFit="1" customWidth="1"/>
    <col min="8203" max="8203" width="18.44140625" bestFit="1" customWidth="1"/>
    <col min="8204" max="8204" width="13.109375" bestFit="1" customWidth="1"/>
    <col min="8205" max="8205" width="16.6640625" bestFit="1" customWidth="1"/>
    <col min="8206" max="8206" width="16.6640625" customWidth="1"/>
    <col min="8207" max="8207" width="20.6640625" bestFit="1" customWidth="1"/>
    <col min="8208" max="8208" width="27" bestFit="1" customWidth="1"/>
    <col min="8209" max="8209" width="9.44140625" bestFit="1" customWidth="1"/>
    <col min="8210" max="8210" width="9.44140625" customWidth="1"/>
    <col min="8211" max="8211" width="15" bestFit="1" customWidth="1"/>
    <col min="8212" max="8212" width="19.6640625" bestFit="1" customWidth="1"/>
    <col min="8213" max="8213" width="19.44140625" bestFit="1" customWidth="1"/>
    <col min="8214" max="8214" width="23.44140625" bestFit="1" customWidth="1"/>
    <col min="8215" max="8215" width="29" bestFit="1" customWidth="1"/>
    <col min="8216" max="8216" width="10.6640625" bestFit="1" customWidth="1"/>
    <col min="8217" max="8217" width="14.109375" bestFit="1" customWidth="1"/>
    <col min="8218" max="8218" width="11.88671875" bestFit="1" customWidth="1"/>
    <col min="8219" max="8219" width="8" bestFit="1" customWidth="1"/>
    <col min="8225" max="8225" width="21.88671875" bestFit="1" customWidth="1"/>
    <col min="8226" max="8226" width="18.88671875" bestFit="1" customWidth="1"/>
    <col min="8227" max="8237" width="14.33203125" bestFit="1" customWidth="1"/>
    <col min="8238" max="8238" width="15.44140625" bestFit="1" customWidth="1"/>
    <col min="8450" max="8450" width="11.5546875" bestFit="1" customWidth="1"/>
    <col min="8451" max="8451" width="11.88671875" bestFit="1" customWidth="1"/>
    <col min="8452" max="8452" width="12.33203125" bestFit="1" customWidth="1"/>
    <col min="8453" max="8453" width="46.6640625" bestFit="1" customWidth="1"/>
    <col min="8454" max="8454" width="12.88671875" bestFit="1" customWidth="1"/>
    <col min="8455" max="8455" width="6.44140625" bestFit="1" customWidth="1"/>
    <col min="8456" max="8456" width="96.33203125" bestFit="1" customWidth="1"/>
    <col min="8457" max="8457" width="18.109375" bestFit="1" customWidth="1"/>
    <col min="8458" max="8458" width="12.33203125" bestFit="1" customWidth="1"/>
    <col min="8459" max="8459" width="18.44140625" bestFit="1" customWidth="1"/>
    <col min="8460" max="8460" width="13.109375" bestFit="1" customWidth="1"/>
    <col min="8461" max="8461" width="16.6640625" bestFit="1" customWidth="1"/>
    <col min="8462" max="8462" width="16.6640625" customWidth="1"/>
    <col min="8463" max="8463" width="20.6640625" bestFit="1" customWidth="1"/>
    <col min="8464" max="8464" width="27" bestFit="1" customWidth="1"/>
    <col min="8465" max="8465" width="9.44140625" bestFit="1" customWidth="1"/>
    <col min="8466" max="8466" width="9.44140625" customWidth="1"/>
    <col min="8467" max="8467" width="15" bestFit="1" customWidth="1"/>
    <col min="8468" max="8468" width="19.6640625" bestFit="1" customWidth="1"/>
    <col min="8469" max="8469" width="19.44140625" bestFit="1" customWidth="1"/>
    <col min="8470" max="8470" width="23.44140625" bestFit="1" customWidth="1"/>
    <col min="8471" max="8471" width="29" bestFit="1" customWidth="1"/>
    <col min="8472" max="8472" width="10.6640625" bestFit="1" customWidth="1"/>
    <col min="8473" max="8473" width="14.109375" bestFit="1" customWidth="1"/>
    <col min="8474" max="8474" width="11.88671875" bestFit="1" customWidth="1"/>
    <col min="8475" max="8475" width="8" bestFit="1" customWidth="1"/>
    <col min="8481" max="8481" width="21.88671875" bestFit="1" customWidth="1"/>
    <col min="8482" max="8482" width="18.88671875" bestFit="1" customWidth="1"/>
    <col min="8483" max="8493" width="14.33203125" bestFit="1" customWidth="1"/>
    <col min="8494" max="8494" width="15.44140625" bestFit="1" customWidth="1"/>
    <col min="8706" max="8706" width="11.5546875" bestFit="1" customWidth="1"/>
    <col min="8707" max="8707" width="11.88671875" bestFit="1" customWidth="1"/>
    <col min="8708" max="8708" width="12.33203125" bestFit="1" customWidth="1"/>
    <col min="8709" max="8709" width="46.6640625" bestFit="1" customWidth="1"/>
    <col min="8710" max="8710" width="12.88671875" bestFit="1" customWidth="1"/>
    <col min="8711" max="8711" width="6.44140625" bestFit="1" customWidth="1"/>
    <col min="8712" max="8712" width="96.33203125" bestFit="1" customWidth="1"/>
    <col min="8713" max="8713" width="18.109375" bestFit="1" customWidth="1"/>
    <col min="8714" max="8714" width="12.33203125" bestFit="1" customWidth="1"/>
    <col min="8715" max="8715" width="18.44140625" bestFit="1" customWidth="1"/>
    <col min="8716" max="8716" width="13.109375" bestFit="1" customWidth="1"/>
    <col min="8717" max="8717" width="16.6640625" bestFit="1" customWidth="1"/>
    <col min="8718" max="8718" width="16.6640625" customWidth="1"/>
    <col min="8719" max="8719" width="20.6640625" bestFit="1" customWidth="1"/>
    <col min="8720" max="8720" width="27" bestFit="1" customWidth="1"/>
    <col min="8721" max="8721" width="9.44140625" bestFit="1" customWidth="1"/>
    <col min="8722" max="8722" width="9.44140625" customWidth="1"/>
    <col min="8723" max="8723" width="15" bestFit="1" customWidth="1"/>
    <col min="8724" max="8724" width="19.6640625" bestFit="1" customWidth="1"/>
    <col min="8725" max="8725" width="19.44140625" bestFit="1" customWidth="1"/>
    <col min="8726" max="8726" width="23.44140625" bestFit="1" customWidth="1"/>
    <col min="8727" max="8727" width="29" bestFit="1" customWidth="1"/>
    <col min="8728" max="8728" width="10.6640625" bestFit="1" customWidth="1"/>
    <col min="8729" max="8729" width="14.109375" bestFit="1" customWidth="1"/>
    <col min="8730" max="8730" width="11.88671875" bestFit="1" customWidth="1"/>
    <col min="8731" max="8731" width="8" bestFit="1" customWidth="1"/>
    <col min="8737" max="8737" width="21.88671875" bestFit="1" customWidth="1"/>
    <col min="8738" max="8738" width="18.88671875" bestFit="1" customWidth="1"/>
    <col min="8739" max="8749" width="14.33203125" bestFit="1" customWidth="1"/>
    <col min="8750" max="8750" width="15.44140625" bestFit="1" customWidth="1"/>
    <col min="8962" max="8962" width="11.5546875" bestFit="1" customWidth="1"/>
    <col min="8963" max="8963" width="11.88671875" bestFit="1" customWidth="1"/>
    <col min="8964" max="8964" width="12.33203125" bestFit="1" customWidth="1"/>
    <col min="8965" max="8965" width="46.6640625" bestFit="1" customWidth="1"/>
    <col min="8966" max="8966" width="12.88671875" bestFit="1" customWidth="1"/>
    <col min="8967" max="8967" width="6.44140625" bestFit="1" customWidth="1"/>
    <col min="8968" max="8968" width="96.33203125" bestFit="1" customWidth="1"/>
    <col min="8969" max="8969" width="18.109375" bestFit="1" customWidth="1"/>
    <col min="8970" max="8970" width="12.33203125" bestFit="1" customWidth="1"/>
    <col min="8971" max="8971" width="18.44140625" bestFit="1" customWidth="1"/>
    <col min="8972" max="8972" width="13.109375" bestFit="1" customWidth="1"/>
    <col min="8973" max="8973" width="16.6640625" bestFit="1" customWidth="1"/>
    <col min="8974" max="8974" width="16.6640625" customWidth="1"/>
    <col min="8975" max="8975" width="20.6640625" bestFit="1" customWidth="1"/>
    <col min="8976" max="8976" width="27" bestFit="1" customWidth="1"/>
    <col min="8977" max="8977" width="9.44140625" bestFit="1" customWidth="1"/>
    <col min="8978" max="8978" width="9.44140625" customWidth="1"/>
    <col min="8979" max="8979" width="15" bestFit="1" customWidth="1"/>
    <col min="8980" max="8980" width="19.6640625" bestFit="1" customWidth="1"/>
    <col min="8981" max="8981" width="19.44140625" bestFit="1" customWidth="1"/>
    <col min="8982" max="8982" width="23.44140625" bestFit="1" customWidth="1"/>
    <col min="8983" max="8983" width="29" bestFit="1" customWidth="1"/>
    <col min="8984" max="8984" width="10.6640625" bestFit="1" customWidth="1"/>
    <col min="8985" max="8985" width="14.109375" bestFit="1" customWidth="1"/>
    <col min="8986" max="8986" width="11.88671875" bestFit="1" customWidth="1"/>
    <col min="8987" max="8987" width="8" bestFit="1" customWidth="1"/>
    <col min="8993" max="8993" width="21.88671875" bestFit="1" customWidth="1"/>
    <col min="8994" max="8994" width="18.88671875" bestFit="1" customWidth="1"/>
    <col min="8995" max="9005" width="14.33203125" bestFit="1" customWidth="1"/>
    <col min="9006" max="9006" width="15.44140625" bestFit="1" customWidth="1"/>
    <col min="9218" max="9218" width="11.5546875" bestFit="1" customWidth="1"/>
    <col min="9219" max="9219" width="11.88671875" bestFit="1" customWidth="1"/>
    <col min="9220" max="9220" width="12.33203125" bestFit="1" customWidth="1"/>
    <col min="9221" max="9221" width="46.6640625" bestFit="1" customWidth="1"/>
    <col min="9222" max="9222" width="12.88671875" bestFit="1" customWidth="1"/>
    <col min="9223" max="9223" width="6.44140625" bestFit="1" customWidth="1"/>
    <col min="9224" max="9224" width="96.33203125" bestFit="1" customWidth="1"/>
    <col min="9225" max="9225" width="18.109375" bestFit="1" customWidth="1"/>
    <col min="9226" max="9226" width="12.33203125" bestFit="1" customWidth="1"/>
    <col min="9227" max="9227" width="18.44140625" bestFit="1" customWidth="1"/>
    <col min="9228" max="9228" width="13.109375" bestFit="1" customWidth="1"/>
    <col min="9229" max="9229" width="16.6640625" bestFit="1" customWidth="1"/>
    <col min="9230" max="9230" width="16.6640625" customWidth="1"/>
    <col min="9231" max="9231" width="20.6640625" bestFit="1" customWidth="1"/>
    <col min="9232" max="9232" width="27" bestFit="1" customWidth="1"/>
    <col min="9233" max="9233" width="9.44140625" bestFit="1" customWidth="1"/>
    <col min="9234" max="9234" width="9.44140625" customWidth="1"/>
    <col min="9235" max="9235" width="15" bestFit="1" customWidth="1"/>
    <col min="9236" max="9236" width="19.6640625" bestFit="1" customWidth="1"/>
    <col min="9237" max="9237" width="19.44140625" bestFit="1" customWidth="1"/>
    <col min="9238" max="9238" width="23.44140625" bestFit="1" customWidth="1"/>
    <col min="9239" max="9239" width="29" bestFit="1" customWidth="1"/>
    <col min="9240" max="9240" width="10.6640625" bestFit="1" customWidth="1"/>
    <col min="9241" max="9241" width="14.109375" bestFit="1" customWidth="1"/>
    <col min="9242" max="9242" width="11.88671875" bestFit="1" customWidth="1"/>
    <col min="9243" max="9243" width="8" bestFit="1" customWidth="1"/>
    <col min="9249" max="9249" width="21.88671875" bestFit="1" customWidth="1"/>
    <col min="9250" max="9250" width="18.88671875" bestFit="1" customWidth="1"/>
    <col min="9251" max="9261" width="14.33203125" bestFit="1" customWidth="1"/>
    <col min="9262" max="9262" width="15.44140625" bestFit="1" customWidth="1"/>
    <col min="9474" max="9474" width="11.5546875" bestFit="1" customWidth="1"/>
    <col min="9475" max="9475" width="11.88671875" bestFit="1" customWidth="1"/>
    <col min="9476" max="9476" width="12.33203125" bestFit="1" customWidth="1"/>
    <col min="9477" max="9477" width="46.6640625" bestFit="1" customWidth="1"/>
    <col min="9478" max="9478" width="12.88671875" bestFit="1" customWidth="1"/>
    <col min="9479" max="9479" width="6.44140625" bestFit="1" customWidth="1"/>
    <col min="9480" max="9480" width="96.33203125" bestFit="1" customWidth="1"/>
    <col min="9481" max="9481" width="18.109375" bestFit="1" customWidth="1"/>
    <col min="9482" max="9482" width="12.33203125" bestFit="1" customWidth="1"/>
    <col min="9483" max="9483" width="18.44140625" bestFit="1" customWidth="1"/>
    <col min="9484" max="9484" width="13.109375" bestFit="1" customWidth="1"/>
    <col min="9485" max="9485" width="16.6640625" bestFit="1" customWidth="1"/>
    <col min="9486" max="9486" width="16.6640625" customWidth="1"/>
    <col min="9487" max="9487" width="20.6640625" bestFit="1" customWidth="1"/>
    <col min="9488" max="9488" width="27" bestFit="1" customWidth="1"/>
    <col min="9489" max="9489" width="9.44140625" bestFit="1" customWidth="1"/>
    <col min="9490" max="9490" width="9.44140625" customWidth="1"/>
    <col min="9491" max="9491" width="15" bestFit="1" customWidth="1"/>
    <col min="9492" max="9492" width="19.6640625" bestFit="1" customWidth="1"/>
    <col min="9493" max="9493" width="19.44140625" bestFit="1" customWidth="1"/>
    <col min="9494" max="9494" width="23.44140625" bestFit="1" customWidth="1"/>
    <col min="9495" max="9495" width="29" bestFit="1" customWidth="1"/>
    <col min="9496" max="9496" width="10.6640625" bestFit="1" customWidth="1"/>
    <col min="9497" max="9497" width="14.109375" bestFit="1" customWidth="1"/>
    <col min="9498" max="9498" width="11.88671875" bestFit="1" customWidth="1"/>
    <col min="9499" max="9499" width="8" bestFit="1" customWidth="1"/>
    <col min="9505" max="9505" width="21.88671875" bestFit="1" customWidth="1"/>
    <col min="9506" max="9506" width="18.88671875" bestFit="1" customWidth="1"/>
    <col min="9507" max="9517" width="14.33203125" bestFit="1" customWidth="1"/>
    <col min="9518" max="9518" width="15.44140625" bestFit="1" customWidth="1"/>
    <col min="9730" max="9730" width="11.5546875" bestFit="1" customWidth="1"/>
    <col min="9731" max="9731" width="11.88671875" bestFit="1" customWidth="1"/>
    <col min="9732" max="9732" width="12.33203125" bestFit="1" customWidth="1"/>
    <col min="9733" max="9733" width="46.6640625" bestFit="1" customWidth="1"/>
    <col min="9734" max="9734" width="12.88671875" bestFit="1" customWidth="1"/>
    <col min="9735" max="9735" width="6.44140625" bestFit="1" customWidth="1"/>
    <col min="9736" max="9736" width="96.33203125" bestFit="1" customWidth="1"/>
    <col min="9737" max="9737" width="18.109375" bestFit="1" customWidth="1"/>
    <col min="9738" max="9738" width="12.33203125" bestFit="1" customWidth="1"/>
    <col min="9739" max="9739" width="18.44140625" bestFit="1" customWidth="1"/>
    <col min="9740" max="9740" width="13.109375" bestFit="1" customWidth="1"/>
    <col min="9741" max="9741" width="16.6640625" bestFit="1" customWidth="1"/>
    <col min="9742" max="9742" width="16.6640625" customWidth="1"/>
    <col min="9743" max="9743" width="20.6640625" bestFit="1" customWidth="1"/>
    <col min="9744" max="9744" width="27" bestFit="1" customWidth="1"/>
    <col min="9745" max="9745" width="9.44140625" bestFit="1" customWidth="1"/>
    <col min="9746" max="9746" width="9.44140625" customWidth="1"/>
    <col min="9747" max="9747" width="15" bestFit="1" customWidth="1"/>
    <col min="9748" max="9748" width="19.6640625" bestFit="1" customWidth="1"/>
    <col min="9749" max="9749" width="19.44140625" bestFit="1" customWidth="1"/>
    <col min="9750" max="9750" width="23.44140625" bestFit="1" customWidth="1"/>
    <col min="9751" max="9751" width="29" bestFit="1" customWidth="1"/>
    <col min="9752" max="9752" width="10.6640625" bestFit="1" customWidth="1"/>
    <col min="9753" max="9753" width="14.109375" bestFit="1" customWidth="1"/>
    <col min="9754" max="9754" width="11.88671875" bestFit="1" customWidth="1"/>
    <col min="9755" max="9755" width="8" bestFit="1" customWidth="1"/>
    <col min="9761" max="9761" width="21.88671875" bestFit="1" customWidth="1"/>
    <col min="9762" max="9762" width="18.88671875" bestFit="1" customWidth="1"/>
    <col min="9763" max="9773" width="14.33203125" bestFit="1" customWidth="1"/>
    <col min="9774" max="9774" width="15.44140625" bestFit="1" customWidth="1"/>
    <col min="9986" max="9986" width="11.5546875" bestFit="1" customWidth="1"/>
    <col min="9987" max="9987" width="11.88671875" bestFit="1" customWidth="1"/>
    <col min="9988" max="9988" width="12.33203125" bestFit="1" customWidth="1"/>
    <col min="9989" max="9989" width="46.6640625" bestFit="1" customWidth="1"/>
    <col min="9990" max="9990" width="12.88671875" bestFit="1" customWidth="1"/>
    <col min="9991" max="9991" width="6.44140625" bestFit="1" customWidth="1"/>
    <col min="9992" max="9992" width="96.33203125" bestFit="1" customWidth="1"/>
    <col min="9993" max="9993" width="18.109375" bestFit="1" customWidth="1"/>
    <col min="9994" max="9994" width="12.33203125" bestFit="1" customWidth="1"/>
    <col min="9995" max="9995" width="18.44140625" bestFit="1" customWidth="1"/>
    <col min="9996" max="9996" width="13.109375" bestFit="1" customWidth="1"/>
    <col min="9997" max="9997" width="16.6640625" bestFit="1" customWidth="1"/>
    <col min="9998" max="9998" width="16.6640625" customWidth="1"/>
    <col min="9999" max="9999" width="20.6640625" bestFit="1" customWidth="1"/>
    <col min="10000" max="10000" width="27" bestFit="1" customWidth="1"/>
    <col min="10001" max="10001" width="9.44140625" bestFit="1" customWidth="1"/>
    <col min="10002" max="10002" width="9.44140625" customWidth="1"/>
    <col min="10003" max="10003" width="15" bestFit="1" customWidth="1"/>
    <col min="10004" max="10004" width="19.6640625" bestFit="1" customWidth="1"/>
    <col min="10005" max="10005" width="19.44140625" bestFit="1" customWidth="1"/>
    <col min="10006" max="10006" width="23.44140625" bestFit="1" customWidth="1"/>
    <col min="10007" max="10007" width="29" bestFit="1" customWidth="1"/>
    <col min="10008" max="10008" width="10.6640625" bestFit="1" customWidth="1"/>
    <col min="10009" max="10009" width="14.109375" bestFit="1" customWidth="1"/>
    <col min="10010" max="10010" width="11.88671875" bestFit="1" customWidth="1"/>
    <col min="10011" max="10011" width="8" bestFit="1" customWidth="1"/>
    <col min="10017" max="10017" width="21.88671875" bestFit="1" customWidth="1"/>
    <col min="10018" max="10018" width="18.88671875" bestFit="1" customWidth="1"/>
    <col min="10019" max="10029" width="14.33203125" bestFit="1" customWidth="1"/>
    <col min="10030" max="10030" width="15.44140625" bestFit="1" customWidth="1"/>
    <col min="10242" max="10242" width="11.5546875" bestFit="1" customWidth="1"/>
    <col min="10243" max="10243" width="11.88671875" bestFit="1" customWidth="1"/>
    <col min="10244" max="10244" width="12.33203125" bestFit="1" customWidth="1"/>
    <col min="10245" max="10245" width="46.6640625" bestFit="1" customWidth="1"/>
    <col min="10246" max="10246" width="12.88671875" bestFit="1" customWidth="1"/>
    <col min="10247" max="10247" width="6.44140625" bestFit="1" customWidth="1"/>
    <col min="10248" max="10248" width="96.33203125" bestFit="1" customWidth="1"/>
    <col min="10249" max="10249" width="18.109375" bestFit="1" customWidth="1"/>
    <col min="10250" max="10250" width="12.33203125" bestFit="1" customWidth="1"/>
    <col min="10251" max="10251" width="18.44140625" bestFit="1" customWidth="1"/>
    <col min="10252" max="10252" width="13.109375" bestFit="1" customWidth="1"/>
    <col min="10253" max="10253" width="16.6640625" bestFit="1" customWidth="1"/>
    <col min="10254" max="10254" width="16.6640625" customWidth="1"/>
    <col min="10255" max="10255" width="20.6640625" bestFit="1" customWidth="1"/>
    <col min="10256" max="10256" width="27" bestFit="1" customWidth="1"/>
    <col min="10257" max="10257" width="9.44140625" bestFit="1" customWidth="1"/>
    <col min="10258" max="10258" width="9.44140625" customWidth="1"/>
    <col min="10259" max="10259" width="15" bestFit="1" customWidth="1"/>
    <col min="10260" max="10260" width="19.6640625" bestFit="1" customWidth="1"/>
    <col min="10261" max="10261" width="19.44140625" bestFit="1" customWidth="1"/>
    <col min="10262" max="10262" width="23.44140625" bestFit="1" customWidth="1"/>
    <col min="10263" max="10263" width="29" bestFit="1" customWidth="1"/>
    <col min="10264" max="10264" width="10.6640625" bestFit="1" customWidth="1"/>
    <col min="10265" max="10265" width="14.109375" bestFit="1" customWidth="1"/>
    <col min="10266" max="10266" width="11.88671875" bestFit="1" customWidth="1"/>
    <col min="10267" max="10267" width="8" bestFit="1" customWidth="1"/>
    <col min="10273" max="10273" width="21.88671875" bestFit="1" customWidth="1"/>
    <col min="10274" max="10274" width="18.88671875" bestFit="1" customWidth="1"/>
    <col min="10275" max="10285" width="14.33203125" bestFit="1" customWidth="1"/>
    <col min="10286" max="10286" width="15.44140625" bestFit="1" customWidth="1"/>
    <col min="10498" max="10498" width="11.5546875" bestFit="1" customWidth="1"/>
    <col min="10499" max="10499" width="11.88671875" bestFit="1" customWidth="1"/>
    <col min="10500" max="10500" width="12.33203125" bestFit="1" customWidth="1"/>
    <col min="10501" max="10501" width="46.6640625" bestFit="1" customWidth="1"/>
    <col min="10502" max="10502" width="12.88671875" bestFit="1" customWidth="1"/>
    <col min="10503" max="10503" width="6.44140625" bestFit="1" customWidth="1"/>
    <col min="10504" max="10504" width="96.33203125" bestFit="1" customWidth="1"/>
    <col min="10505" max="10505" width="18.109375" bestFit="1" customWidth="1"/>
    <col min="10506" max="10506" width="12.33203125" bestFit="1" customWidth="1"/>
    <col min="10507" max="10507" width="18.44140625" bestFit="1" customWidth="1"/>
    <col min="10508" max="10508" width="13.109375" bestFit="1" customWidth="1"/>
    <col min="10509" max="10509" width="16.6640625" bestFit="1" customWidth="1"/>
    <col min="10510" max="10510" width="16.6640625" customWidth="1"/>
    <col min="10511" max="10511" width="20.6640625" bestFit="1" customWidth="1"/>
    <col min="10512" max="10512" width="27" bestFit="1" customWidth="1"/>
    <col min="10513" max="10513" width="9.44140625" bestFit="1" customWidth="1"/>
    <col min="10514" max="10514" width="9.44140625" customWidth="1"/>
    <col min="10515" max="10515" width="15" bestFit="1" customWidth="1"/>
    <col min="10516" max="10516" width="19.6640625" bestFit="1" customWidth="1"/>
    <col min="10517" max="10517" width="19.44140625" bestFit="1" customWidth="1"/>
    <col min="10518" max="10518" width="23.44140625" bestFit="1" customWidth="1"/>
    <col min="10519" max="10519" width="29" bestFit="1" customWidth="1"/>
    <col min="10520" max="10520" width="10.6640625" bestFit="1" customWidth="1"/>
    <col min="10521" max="10521" width="14.109375" bestFit="1" customWidth="1"/>
    <col min="10522" max="10522" width="11.88671875" bestFit="1" customWidth="1"/>
    <col min="10523" max="10523" width="8" bestFit="1" customWidth="1"/>
    <col min="10529" max="10529" width="21.88671875" bestFit="1" customWidth="1"/>
    <col min="10530" max="10530" width="18.88671875" bestFit="1" customWidth="1"/>
    <col min="10531" max="10541" width="14.33203125" bestFit="1" customWidth="1"/>
    <col min="10542" max="10542" width="15.44140625" bestFit="1" customWidth="1"/>
    <col min="10754" max="10754" width="11.5546875" bestFit="1" customWidth="1"/>
    <col min="10755" max="10755" width="11.88671875" bestFit="1" customWidth="1"/>
    <col min="10756" max="10756" width="12.33203125" bestFit="1" customWidth="1"/>
    <col min="10757" max="10757" width="46.6640625" bestFit="1" customWidth="1"/>
    <col min="10758" max="10758" width="12.88671875" bestFit="1" customWidth="1"/>
    <col min="10759" max="10759" width="6.44140625" bestFit="1" customWidth="1"/>
    <col min="10760" max="10760" width="96.33203125" bestFit="1" customWidth="1"/>
    <col min="10761" max="10761" width="18.109375" bestFit="1" customWidth="1"/>
    <col min="10762" max="10762" width="12.33203125" bestFit="1" customWidth="1"/>
    <col min="10763" max="10763" width="18.44140625" bestFit="1" customWidth="1"/>
    <col min="10764" max="10764" width="13.109375" bestFit="1" customWidth="1"/>
    <col min="10765" max="10765" width="16.6640625" bestFit="1" customWidth="1"/>
    <col min="10766" max="10766" width="16.6640625" customWidth="1"/>
    <col min="10767" max="10767" width="20.6640625" bestFit="1" customWidth="1"/>
    <col min="10768" max="10768" width="27" bestFit="1" customWidth="1"/>
    <col min="10769" max="10769" width="9.44140625" bestFit="1" customWidth="1"/>
    <col min="10770" max="10770" width="9.44140625" customWidth="1"/>
    <col min="10771" max="10771" width="15" bestFit="1" customWidth="1"/>
    <col min="10772" max="10772" width="19.6640625" bestFit="1" customWidth="1"/>
    <col min="10773" max="10773" width="19.44140625" bestFit="1" customWidth="1"/>
    <col min="10774" max="10774" width="23.44140625" bestFit="1" customWidth="1"/>
    <col min="10775" max="10775" width="29" bestFit="1" customWidth="1"/>
    <col min="10776" max="10776" width="10.6640625" bestFit="1" customWidth="1"/>
    <col min="10777" max="10777" width="14.109375" bestFit="1" customWidth="1"/>
    <col min="10778" max="10778" width="11.88671875" bestFit="1" customWidth="1"/>
    <col min="10779" max="10779" width="8" bestFit="1" customWidth="1"/>
    <col min="10785" max="10785" width="21.88671875" bestFit="1" customWidth="1"/>
    <col min="10786" max="10786" width="18.88671875" bestFit="1" customWidth="1"/>
    <col min="10787" max="10797" width="14.33203125" bestFit="1" customWidth="1"/>
    <col min="10798" max="10798" width="15.44140625" bestFit="1" customWidth="1"/>
    <col min="11010" max="11010" width="11.5546875" bestFit="1" customWidth="1"/>
    <col min="11011" max="11011" width="11.88671875" bestFit="1" customWidth="1"/>
    <col min="11012" max="11012" width="12.33203125" bestFit="1" customWidth="1"/>
    <col min="11013" max="11013" width="46.6640625" bestFit="1" customWidth="1"/>
    <col min="11014" max="11014" width="12.88671875" bestFit="1" customWidth="1"/>
    <col min="11015" max="11015" width="6.44140625" bestFit="1" customWidth="1"/>
    <col min="11016" max="11016" width="96.33203125" bestFit="1" customWidth="1"/>
    <col min="11017" max="11017" width="18.109375" bestFit="1" customWidth="1"/>
    <col min="11018" max="11018" width="12.33203125" bestFit="1" customWidth="1"/>
    <col min="11019" max="11019" width="18.44140625" bestFit="1" customWidth="1"/>
    <col min="11020" max="11020" width="13.109375" bestFit="1" customWidth="1"/>
    <col min="11021" max="11021" width="16.6640625" bestFit="1" customWidth="1"/>
    <col min="11022" max="11022" width="16.6640625" customWidth="1"/>
    <col min="11023" max="11023" width="20.6640625" bestFit="1" customWidth="1"/>
    <col min="11024" max="11024" width="27" bestFit="1" customWidth="1"/>
    <col min="11025" max="11025" width="9.44140625" bestFit="1" customWidth="1"/>
    <col min="11026" max="11026" width="9.44140625" customWidth="1"/>
    <col min="11027" max="11027" width="15" bestFit="1" customWidth="1"/>
    <col min="11028" max="11028" width="19.6640625" bestFit="1" customWidth="1"/>
    <col min="11029" max="11029" width="19.44140625" bestFit="1" customWidth="1"/>
    <col min="11030" max="11030" width="23.44140625" bestFit="1" customWidth="1"/>
    <col min="11031" max="11031" width="29" bestFit="1" customWidth="1"/>
    <col min="11032" max="11032" width="10.6640625" bestFit="1" customWidth="1"/>
    <col min="11033" max="11033" width="14.109375" bestFit="1" customWidth="1"/>
    <col min="11034" max="11034" width="11.88671875" bestFit="1" customWidth="1"/>
    <col min="11035" max="11035" width="8" bestFit="1" customWidth="1"/>
    <col min="11041" max="11041" width="21.88671875" bestFit="1" customWidth="1"/>
    <col min="11042" max="11042" width="18.88671875" bestFit="1" customWidth="1"/>
    <col min="11043" max="11053" width="14.33203125" bestFit="1" customWidth="1"/>
    <col min="11054" max="11054" width="15.44140625" bestFit="1" customWidth="1"/>
    <col min="11266" max="11266" width="11.5546875" bestFit="1" customWidth="1"/>
    <col min="11267" max="11267" width="11.88671875" bestFit="1" customWidth="1"/>
    <col min="11268" max="11268" width="12.33203125" bestFit="1" customWidth="1"/>
    <col min="11269" max="11269" width="46.6640625" bestFit="1" customWidth="1"/>
    <col min="11270" max="11270" width="12.88671875" bestFit="1" customWidth="1"/>
    <col min="11271" max="11271" width="6.44140625" bestFit="1" customWidth="1"/>
    <col min="11272" max="11272" width="96.33203125" bestFit="1" customWidth="1"/>
    <col min="11273" max="11273" width="18.109375" bestFit="1" customWidth="1"/>
    <col min="11274" max="11274" width="12.33203125" bestFit="1" customWidth="1"/>
    <col min="11275" max="11275" width="18.44140625" bestFit="1" customWidth="1"/>
    <col min="11276" max="11276" width="13.109375" bestFit="1" customWidth="1"/>
    <col min="11277" max="11277" width="16.6640625" bestFit="1" customWidth="1"/>
    <col min="11278" max="11278" width="16.6640625" customWidth="1"/>
    <col min="11279" max="11279" width="20.6640625" bestFit="1" customWidth="1"/>
    <col min="11280" max="11280" width="27" bestFit="1" customWidth="1"/>
    <col min="11281" max="11281" width="9.44140625" bestFit="1" customWidth="1"/>
    <col min="11282" max="11282" width="9.44140625" customWidth="1"/>
    <col min="11283" max="11283" width="15" bestFit="1" customWidth="1"/>
    <col min="11284" max="11284" width="19.6640625" bestFit="1" customWidth="1"/>
    <col min="11285" max="11285" width="19.44140625" bestFit="1" customWidth="1"/>
    <col min="11286" max="11286" width="23.44140625" bestFit="1" customWidth="1"/>
    <col min="11287" max="11287" width="29" bestFit="1" customWidth="1"/>
    <col min="11288" max="11288" width="10.6640625" bestFit="1" customWidth="1"/>
    <col min="11289" max="11289" width="14.109375" bestFit="1" customWidth="1"/>
    <col min="11290" max="11290" width="11.88671875" bestFit="1" customWidth="1"/>
    <col min="11291" max="11291" width="8" bestFit="1" customWidth="1"/>
    <col min="11297" max="11297" width="21.88671875" bestFit="1" customWidth="1"/>
    <col min="11298" max="11298" width="18.88671875" bestFit="1" customWidth="1"/>
    <col min="11299" max="11309" width="14.33203125" bestFit="1" customWidth="1"/>
    <col min="11310" max="11310" width="15.44140625" bestFit="1" customWidth="1"/>
    <col min="11522" max="11522" width="11.5546875" bestFit="1" customWidth="1"/>
    <col min="11523" max="11523" width="11.88671875" bestFit="1" customWidth="1"/>
    <col min="11524" max="11524" width="12.33203125" bestFit="1" customWidth="1"/>
    <col min="11525" max="11525" width="46.6640625" bestFit="1" customWidth="1"/>
    <col min="11526" max="11526" width="12.88671875" bestFit="1" customWidth="1"/>
    <col min="11527" max="11527" width="6.44140625" bestFit="1" customWidth="1"/>
    <col min="11528" max="11528" width="96.33203125" bestFit="1" customWidth="1"/>
    <col min="11529" max="11529" width="18.109375" bestFit="1" customWidth="1"/>
    <col min="11530" max="11530" width="12.33203125" bestFit="1" customWidth="1"/>
    <col min="11531" max="11531" width="18.44140625" bestFit="1" customWidth="1"/>
    <col min="11532" max="11532" width="13.109375" bestFit="1" customWidth="1"/>
    <col min="11533" max="11533" width="16.6640625" bestFit="1" customWidth="1"/>
    <col min="11534" max="11534" width="16.6640625" customWidth="1"/>
    <col min="11535" max="11535" width="20.6640625" bestFit="1" customWidth="1"/>
    <col min="11536" max="11536" width="27" bestFit="1" customWidth="1"/>
    <col min="11537" max="11537" width="9.44140625" bestFit="1" customWidth="1"/>
    <col min="11538" max="11538" width="9.44140625" customWidth="1"/>
    <col min="11539" max="11539" width="15" bestFit="1" customWidth="1"/>
    <col min="11540" max="11540" width="19.6640625" bestFit="1" customWidth="1"/>
    <col min="11541" max="11541" width="19.44140625" bestFit="1" customWidth="1"/>
    <col min="11542" max="11542" width="23.44140625" bestFit="1" customWidth="1"/>
    <col min="11543" max="11543" width="29" bestFit="1" customWidth="1"/>
    <col min="11544" max="11544" width="10.6640625" bestFit="1" customWidth="1"/>
    <col min="11545" max="11545" width="14.109375" bestFit="1" customWidth="1"/>
    <col min="11546" max="11546" width="11.88671875" bestFit="1" customWidth="1"/>
    <col min="11547" max="11547" width="8" bestFit="1" customWidth="1"/>
    <col min="11553" max="11553" width="21.88671875" bestFit="1" customWidth="1"/>
    <col min="11554" max="11554" width="18.88671875" bestFit="1" customWidth="1"/>
    <col min="11555" max="11565" width="14.33203125" bestFit="1" customWidth="1"/>
    <col min="11566" max="11566" width="15.44140625" bestFit="1" customWidth="1"/>
    <col min="11778" max="11778" width="11.5546875" bestFit="1" customWidth="1"/>
    <col min="11779" max="11779" width="11.88671875" bestFit="1" customWidth="1"/>
    <col min="11780" max="11780" width="12.33203125" bestFit="1" customWidth="1"/>
    <col min="11781" max="11781" width="46.6640625" bestFit="1" customWidth="1"/>
    <col min="11782" max="11782" width="12.88671875" bestFit="1" customWidth="1"/>
    <col min="11783" max="11783" width="6.44140625" bestFit="1" customWidth="1"/>
    <col min="11784" max="11784" width="96.33203125" bestFit="1" customWidth="1"/>
    <col min="11785" max="11785" width="18.109375" bestFit="1" customWidth="1"/>
    <col min="11786" max="11786" width="12.33203125" bestFit="1" customWidth="1"/>
    <col min="11787" max="11787" width="18.44140625" bestFit="1" customWidth="1"/>
    <col min="11788" max="11788" width="13.109375" bestFit="1" customWidth="1"/>
    <col min="11789" max="11789" width="16.6640625" bestFit="1" customWidth="1"/>
    <col min="11790" max="11790" width="16.6640625" customWidth="1"/>
    <col min="11791" max="11791" width="20.6640625" bestFit="1" customWidth="1"/>
    <col min="11792" max="11792" width="27" bestFit="1" customWidth="1"/>
    <col min="11793" max="11793" width="9.44140625" bestFit="1" customWidth="1"/>
    <col min="11794" max="11794" width="9.44140625" customWidth="1"/>
    <col min="11795" max="11795" width="15" bestFit="1" customWidth="1"/>
    <col min="11796" max="11796" width="19.6640625" bestFit="1" customWidth="1"/>
    <col min="11797" max="11797" width="19.44140625" bestFit="1" customWidth="1"/>
    <col min="11798" max="11798" width="23.44140625" bestFit="1" customWidth="1"/>
    <col min="11799" max="11799" width="29" bestFit="1" customWidth="1"/>
    <col min="11800" max="11800" width="10.6640625" bestFit="1" customWidth="1"/>
    <col min="11801" max="11801" width="14.109375" bestFit="1" customWidth="1"/>
    <col min="11802" max="11802" width="11.88671875" bestFit="1" customWidth="1"/>
    <col min="11803" max="11803" width="8" bestFit="1" customWidth="1"/>
    <col min="11809" max="11809" width="21.88671875" bestFit="1" customWidth="1"/>
    <col min="11810" max="11810" width="18.88671875" bestFit="1" customWidth="1"/>
    <col min="11811" max="11821" width="14.33203125" bestFit="1" customWidth="1"/>
    <col min="11822" max="11822" width="15.44140625" bestFit="1" customWidth="1"/>
    <col min="12034" max="12034" width="11.5546875" bestFit="1" customWidth="1"/>
    <col min="12035" max="12035" width="11.88671875" bestFit="1" customWidth="1"/>
    <col min="12036" max="12036" width="12.33203125" bestFit="1" customWidth="1"/>
    <col min="12037" max="12037" width="46.6640625" bestFit="1" customWidth="1"/>
    <col min="12038" max="12038" width="12.88671875" bestFit="1" customWidth="1"/>
    <col min="12039" max="12039" width="6.44140625" bestFit="1" customWidth="1"/>
    <col min="12040" max="12040" width="96.33203125" bestFit="1" customWidth="1"/>
    <col min="12041" max="12041" width="18.109375" bestFit="1" customWidth="1"/>
    <col min="12042" max="12042" width="12.33203125" bestFit="1" customWidth="1"/>
    <col min="12043" max="12043" width="18.44140625" bestFit="1" customWidth="1"/>
    <col min="12044" max="12044" width="13.109375" bestFit="1" customWidth="1"/>
    <col min="12045" max="12045" width="16.6640625" bestFit="1" customWidth="1"/>
    <col min="12046" max="12046" width="16.6640625" customWidth="1"/>
    <col min="12047" max="12047" width="20.6640625" bestFit="1" customWidth="1"/>
    <col min="12048" max="12048" width="27" bestFit="1" customWidth="1"/>
    <col min="12049" max="12049" width="9.44140625" bestFit="1" customWidth="1"/>
    <col min="12050" max="12050" width="9.44140625" customWidth="1"/>
    <col min="12051" max="12051" width="15" bestFit="1" customWidth="1"/>
    <col min="12052" max="12052" width="19.6640625" bestFit="1" customWidth="1"/>
    <col min="12053" max="12053" width="19.44140625" bestFit="1" customWidth="1"/>
    <col min="12054" max="12054" width="23.44140625" bestFit="1" customWidth="1"/>
    <col min="12055" max="12055" width="29" bestFit="1" customWidth="1"/>
    <col min="12056" max="12056" width="10.6640625" bestFit="1" customWidth="1"/>
    <col min="12057" max="12057" width="14.109375" bestFit="1" customWidth="1"/>
    <col min="12058" max="12058" width="11.88671875" bestFit="1" customWidth="1"/>
    <col min="12059" max="12059" width="8" bestFit="1" customWidth="1"/>
    <col min="12065" max="12065" width="21.88671875" bestFit="1" customWidth="1"/>
    <col min="12066" max="12066" width="18.88671875" bestFit="1" customWidth="1"/>
    <col min="12067" max="12077" width="14.33203125" bestFit="1" customWidth="1"/>
    <col min="12078" max="12078" width="15.44140625" bestFit="1" customWidth="1"/>
    <col min="12290" max="12290" width="11.5546875" bestFit="1" customWidth="1"/>
    <col min="12291" max="12291" width="11.88671875" bestFit="1" customWidth="1"/>
    <col min="12292" max="12292" width="12.33203125" bestFit="1" customWidth="1"/>
    <col min="12293" max="12293" width="46.6640625" bestFit="1" customWidth="1"/>
    <col min="12294" max="12294" width="12.88671875" bestFit="1" customWidth="1"/>
    <col min="12295" max="12295" width="6.44140625" bestFit="1" customWidth="1"/>
    <col min="12296" max="12296" width="96.33203125" bestFit="1" customWidth="1"/>
    <col min="12297" max="12297" width="18.109375" bestFit="1" customWidth="1"/>
    <col min="12298" max="12298" width="12.33203125" bestFit="1" customWidth="1"/>
    <col min="12299" max="12299" width="18.44140625" bestFit="1" customWidth="1"/>
    <col min="12300" max="12300" width="13.109375" bestFit="1" customWidth="1"/>
    <col min="12301" max="12301" width="16.6640625" bestFit="1" customWidth="1"/>
    <col min="12302" max="12302" width="16.6640625" customWidth="1"/>
    <col min="12303" max="12303" width="20.6640625" bestFit="1" customWidth="1"/>
    <col min="12304" max="12304" width="27" bestFit="1" customWidth="1"/>
    <col min="12305" max="12305" width="9.44140625" bestFit="1" customWidth="1"/>
    <col min="12306" max="12306" width="9.44140625" customWidth="1"/>
    <col min="12307" max="12307" width="15" bestFit="1" customWidth="1"/>
    <col min="12308" max="12308" width="19.6640625" bestFit="1" customWidth="1"/>
    <col min="12309" max="12309" width="19.44140625" bestFit="1" customWidth="1"/>
    <col min="12310" max="12310" width="23.44140625" bestFit="1" customWidth="1"/>
    <col min="12311" max="12311" width="29" bestFit="1" customWidth="1"/>
    <col min="12312" max="12312" width="10.6640625" bestFit="1" customWidth="1"/>
    <col min="12313" max="12313" width="14.109375" bestFit="1" customWidth="1"/>
    <col min="12314" max="12314" width="11.88671875" bestFit="1" customWidth="1"/>
    <col min="12315" max="12315" width="8" bestFit="1" customWidth="1"/>
    <col min="12321" max="12321" width="21.88671875" bestFit="1" customWidth="1"/>
    <col min="12322" max="12322" width="18.88671875" bestFit="1" customWidth="1"/>
    <col min="12323" max="12333" width="14.33203125" bestFit="1" customWidth="1"/>
    <col min="12334" max="12334" width="15.44140625" bestFit="1" customWidth="1"/>
    <col min="12546" max="12546" width="11.5546875" bestFit="1" customWidth="1"/>
    <col min="12547" max="12547" width="11.88671875" bestFit="1" customWidth="1"/>
    <col min="12548" max="12548" width="12.33203125" bestFit="1" customWidth="1"/>
    <col min="12549" max="12549" width="46.6640625" bestFit="1" customWidth="1"/>
    <col min="12550" max="12550" width="12.88671875" bestFit="1" customWidth="1"/>
    <col min="12551" max="12551" width="6.44140625" bestFit="1" customWidth="1"/>
    <col min="12552" max="12552" width="96.33203125" bestFit="1" customWidth="1"/>
    <col min="12553" max="12553" width="18.109375" bestFit="1" customWidth="1"/>
    <col min="12554" max="12554" width="12.33203125" bestFit="1" customWidth="1"/>
    <col min="12555" max="12555" width="18.44140625" bestFit="1" customWidth="1"/>
    <col min="12556" max="12556" width="13.109375" bestFit="1" customWidth="1"/>
    <col min="12557" max="12557" width="16.6640625" bestFit="1" customWidth="1"/>
    <col min="12558" max="12558" width="16.6640625" customWidth="1"/>
    <col min="12559" max="12559" width="20.6640625" bestFit="1" customWidth="1"/>
    <col min="12560" max="12560" width="27" bestFit="1" customWidth="1"/>
    <col min="12561" max="12561" width="9.44140625" bestFit="1" customWidth="1"/>
    <col min="12562" max="12562" width="9.44140625" customWidth="1"/>
    <col min="12563" max="12563" width="15" bestFit="1" customWidth="1"/>
    <col min="12564" max="12564" width="19.6640625" bestFit="1" customWidth="1"/>
    <col min="12565" max="12565" width="19.44140625" bestFit="1" customWidth="1"/>
    <col min="12566" max="12566" width="23.44140625" bestFit="1" customWidth="1"/>
    <col min="12567" max="12567" width="29" bestFit="1" customWidth="1"/>
    <col min="12568" max="12568" width="10.6640625" bestFit="1" customWidth="1"/>
    <col min="12569" max="12569" width="14.109375" bestFit="1" customWidth="1"/>
    <col min="12570" max="12570" width="11.88671875" bestFit="1" customWidth="1"/>
    <col min="12571" max="12571" width="8" bestFit="1" customWidth="1"/>
    <col min="12577" max="12577" width="21.88671875" bestFit="1" customWidth="1"/>
    <col min="12578" max="12578" width="18.88671875" bestFit="1" customWidth="1"/>
    <col min="12579" max="12589" width="14.33203125" bestFit="1" customWidth="1"/>
    <col min="12590" max="12590" width="15.44140625" bestFit="1" customWidth="1"/>
    <col min="12802" max="12802" width="11.5546875" bestFit="1" customWidth="1"/>
    <col min="12803" max="12803" width="11.88671875" bestFit="1" customWidth="1"/>
    <col min="12804" max="12804" width="12.33203125" bestFit="1" customWidth="1"/>
    <col min="12805" max="12805" width="46.6640625" bestFit="1" customWidth="1"/>
    <col min="12806" max="12806" width="12.88671875" bestFit="1" customWidth="1"/>
    <col min="12807" max="12807" width="6.44140625" bestFit="1" customWidth="1"/>
    <col min="12808" max="12808" width="96.33203125" bestFit="1" customWidth="1"/>
    <col min="12809" max="12809" width="18.109375" bestFit="1" customWidth="1"/>
    <col min="12810" max="12810" width="12.33203125" bestFit="1" customWidth="1"/>
    <col min="12811" max="12811" width="18.44140625" bestFit="1" customWidth="1"/>
    <col min="12812" max="12812" width="13.109375" bestFit="1" customWidth="1"/>
    <col min="12813" max="12813" width="16.6640625" bestFit="1" customWidth="1"/>
    <col min="12814" max="12814" width="16.6640625" customWidth="1"/>
    <col min="12815" max="12815" width="20.6640625" bestFit="1" customWidth="1"/>
    <col min="12816" max="12816" width="27" bestFit="1" customWidth="1"/>
    <col min="12817" max="12817" width="9.44140625" bestFit="1" customWidth="1"/>
    <col min="12818" max="12818" width="9.44140625" customWidth="1"/>
    <col min="12819" max="12819" width="15" bestFit="1" customWidth="1"/>
    <col min="12820" max="12820" width="19.6640625" bestFit="1" customWidth="1"/>
    <col min="12821" max="12821" width="19.44140625" bestFit="1" customWidth="1"/>
    <col min="12822" max="12822" width="23.44140625" bestFit="1" customWidth="1"/>
    <col min="12823" max="12823" width="29" bestFit="1" customWidth="1"/>
    <col min="12824" max="12824" width="10.6640625" bestFit="1" customWidth="1"/>
    <col min="12825" max="12825" width="14.109375" bestFit="1" customWidth="1"/>
    <col min="12826" max="12826" width="11.88671875" bestFit="1" customWidth="1"/>
    <col min="12827" max="12827" width="8" bestFit="1" customWidth="1"/>
    <col min="12833" max="12833" width="21.88671875" bestFit="1" customWidth="1"/>
    <col min="12834" max="12834" width="18.88671875" bestFit="1" customWidth="1"/>
    <col min="12835" max="12845" width="14.33203125" bestFit="1" customWidth="1"/>
    <col min="12846" max="12846" width="15.44140625" bestFit="1" customWidth="1"/>
    <col min="13058" max="13058" width="11.5546875" bestFit="1" customWidth="1"/>
    <col min="13059" max="13059" width="11.88671875" bestFit="1" customWidth="1"/>
    <col min="13060" max="13060" width="12.33203125" bestFit="1" customWidth="1"/>
    <col min="13061" max="13061" width="46.6640625" bestFit="1" customWidth="1"/>
    <col min="13062" max="13062" width="12.88671875" bestFit="1" customWidth="1"/>
    <col min="13063" max="13063" width="6.44140625" bestFit="1" customWidth="1"/>
    <col min="13064" max="13064" width="96.33203125" bestFit="1" customWidth="1"/>
    <col min="13065" max="13065" width="18.109375" bestFit="1" customWidth="1"/>
    <col min="13066" max="13066" width="12.33203125" bestFit="1" customWidth="1"/>
    <col min="13067" max="13067" width="18.44140625" bestFit="1" customWidth="1"/>
    <col min="13068" max="13068" width="13.109375" bestFit="1" customWidth="1"/>
    <col min="13069" max="13069" width="16.6640625" bestFit="1" customWidth="1"/>
    <col min="13070" max="13070" width="16.6640625" customWidth="1"/>
    <col min="13071" max="13071" width="20.6640625" bestFit="1" customWidth="1"/>
    <col min="13072" max="13072" width="27" bestFit="1" customWidth="1"/>
    <col min="13073" max="13073" width="9.44140625" bestFit="1" customWidth="1"/>
    <col min="13074" max="13074" width="9.44140625" customWidth="1"/>
    <col min="13075" max="13075" width="15" bestFit="1" customWidth="1"/>
    <col min="13076" max="13076" width="19.6640625" bestFit="1" customWidth="1"/>
    <col min="13077" max="13077" width="19.44140625" bestFit="1" customWidth="1"/>
    <col min="13078" max="13078" width="23.44140625" bestFit="1" customWidth="1"/>
    <col min="13079" max="13079" width="29" bestFit="1" customWidth="1"/>
    <col min="13080" max="13080" width="10.6640625" bestFit="1" customWidth="1"/>
    <col min="13081" max="13081" width="14.109375" bestFit="1" customWidth="1"/>
    <col min="13082" max="13082" width="11.88671875" bestFit="1" customWidth="1"/>
    <col min="13083" max="13083" width="8" bestFit="1" customWidth="1"/>
    <col min="13089" max="13089" width="21.88671875" bestFit="1" customWidth="1"/>
    <col min="13090" max="13090" width="18.88671875" bestFit="1" customWidth="1"/>
    <col min="13091" max="13101" width="14.33203125" bestFit="1" customWidth="1"/>
    <col min="13102" max="13102" width="15.44140625" bestFit="1" customWidth="1"/>
    <col min="13314" max="13314" width="11.5546875" bestFit="1" customWidth="1"/>
    <col min="13315" max="13315" width="11.88671875" bestFit="1" customWidth="1"/>
    <col min="13316" max="13316" width="12.33203125" bestFit="1" customWidth="1"/>
    <col min="13317" max="13317" width="46.6640625" bestFit="1" customWidth="1"/>
    <col min="13318" max="13318" width="12.88671875" bestFit="1" customWidth="1"/>
    <col min="13319" max="13319" width="6.44140625" bestFit="1" customWidth="1"/>
    <col min="13320" max="13320" width="96.33203125" bestFit="1" customWidth="1"/>
    <col min="13321" max="13321" width="18.109375" bestFit="1" customWidth="1"/>
    <col min="13322" max="13322" width="12.33203125" bestFit="1" customWidth="1"/>
    <col min="13323" max="13323" width="18.44140625" bestFit="1" customWidth="1"/>
    <col min="13324" max="13324" width="13.109375" bestFit="1" customWidth="1"/>
    <col min="13325" max="13325" width="16.6640625" bestFit="1" customWidth="1"/>
    <col min="13326" max="13326" width="16.6640625" customWidth="1"/>
    <col min="13327" max="13327" width="20.6640625" bestFit="1" customWidth="1"/>
    <col min="13328" max="13328" width="27" bestFit="1" customWidth="1"/>
    <col min="13329" max="13329" width="9.44140625" bestFit="1" customWidth="1"/>
    <col min="13330" max="13330" width="9.44140625" customWidth="1"/>
    <col min="13331" max="13331" width="15" bestFit="1" customWidth="1"/>
    <col min="13332" max="13332" width="19.6640625" bestFit="1" customWidth="1"/>
    <col min="13333" max="13333" width="19.44140625" bestFit="1" customWidth="1"/>
    <col min="13334" max="13334" width="23.44140625" bestFit="1" customWidth="1"/>
    <col min="13335" max="13335" width="29" bestFit="1" customWidth="1"/>
    <col min="13336" max="13336" width="10.6640625" bestFit="1" customWidth="1"/>
    <col min="13337" max="13337" width="14.109375" bestFit="1" customWidth="1"/>
    <col min="13338" max="13338" width="11.88671875" bestFit="1" customWidth="1"/>
    <col min="13339" max="13339" width="8" bestFit="1" customWidth="1"/>
    <col min="13345" max="13345" width="21.88671875" bestFit="1" customWidth="1"/>
    <col min="13346" max="13346" width="18.88671875" bestFit="1" customWidth="1"/>
    <col min="13347" max="13357" width="14.33203125" bestFit="1" customWidth="1"/>
    <col min="13358" max="13358" width="15.44140625" bestFit="1" customWidth="1"/>
    <col min="13570" max="13570" width="11.5546875" bestFit="1" customWidth="1"/>
    <col min="13571" max="13571" width="11.88671875" bestFit="1" customWidth="1"/>
    <col min="13572" max="13572" width="12.33203125" bestFit="1" customWidth="1"/>
    <col min="13573" max="13573" width="46.6640625" bestFit="1" customWidth="1"/>
    <col min="13574" max="13574" width="12.88671875" bestFit="1" customWidth="1"/>
    <col min="13575" max="13575" width="6.44140625" bestFit="1" customWidth="1"/>
    <col min="13576" max="13576" width="96.33203125" bestFit="1" customWidth="1"/>
    <col min="13577" max="13577" width="18.109375" bestFit="1" customWidth="1"/>
    <col min="13578" max="13578" width="12.33203125" bestFit="1" customWidth="1"/>
    <col min="13579" max="13579" width="18.44140625" bestFit="1" customWidth="1"/>
    <col min="13580" max="13580" width="13.109375" bestFit="1" customWidth="1"/>
    <col min="13581" max="13581" width="16.6640625" bestFit="1" customWidth="1"/>
    <col min="13582" max="13582" width="16.6640625" customWidth="1"/>
    <col min="13583" max="13583" width="20.6640625" bestFit="1" customWidth="1"/>
    <col min="13584" max="13584" width="27" bestFit="1" customWidth="1"/>
    <col min="13585" max="13585" width="9.44140625" bestFit="1" customWidth="1"/>
    <col min="13586" max="13586" width="9.44140625" customWidth="1"/>
    <col min="13587" max="13587" width="15" bestFit="1" customWidth="1"/>
    <col min="13588" max="13588" width="19.6640625" bestFit="1" customWidth="1"/>
    <col min="13589" max="13589" width="19.44140625" bestFit="1" customWidth="1"/>
    <col min="13590" max="13590" width="23.44140625" bestFit="1" customWidth="1"/>
    <col min="13591" max="13591" width="29" bestFit="1" customWidth="1"/>
    <col min="13592" max="13592" width="10.6640625" bestFit="1" customWidth="1"/>
    <col min="13593" max="13593" width="14.109375" bestFit="1" customWidth="1"/>
    <col min="13594" max="13594" width="11.88671875" bestFit="1" customWidth="1"/>
    <col min="13595" max="13595" width="8" bestFit="1" customWidth="1"/>
    <col min="13601" max="13601" width="21.88671875" bestFit="1" customWidth="1"/>
    <col min="13602" max="13602" width="18.88671875" bestFit="1" customWidth="1"/>
    <col min="13603" max="13613" width="14.33203125" bestFit="1" customWidth="1"/>
    <col min="13614" max="13614" width="15.44140625" bestFit="1" customWidth="1"/>
    <col min="13826" max="13826" width="11.5546875" bestFit="1" customWidth="1"/>
    <col min="13827" max="13827" width="11.88671875" bestFit="1" customWidth="1"/>
    <col min="13828" max="13828" width="12.33203125" bestFit="1" customWidth="1"/>
    <col min="13829" max="13829" width="46.6640625" bestFit="1" customWidth="1"/>
    <col min="13830" max="13830" width="12.88671875" bestFit="1" customWidth="1"/>
    <col min="13831" max="13831" width="6.44140625" bestFit="1" customWidth="1"/>
    <col min="13832" max="13832" width="96.33203125" bestFit="1" customWidth="1"/>
    <col min="13833" max="13833" width="18.109375" bestFit="1" customWidth="1"/>
    <col min="13834" max="13834" width="12.33203125" bestFit="1" customWidth="1"/>
    <col min="13835" max="13835" width="18.44140625" bestFit="1" customWidth="1"/>
    <col min="13836" max="13836" width="13.109375" bestFit="1" customWidth="1"/>
    <col min="13837" max="13837" width="16.6640625" bestFit="1" customWidth="1"/>
    <col min="13838" max="13838" width="16.6640625" customWidth="1"/>
    <col min="13839" max="13839" width="20.6640625" bestFit="1" customWidth="1"/>
    <col min="13840" max="13840" width="27" bestFit="1" customWidth="1"/>
    <col min="13841" max="13841" width="9.44140625" bestFit="1" customWidth="1"/>
    <col min="13842" max="13842" width="9.44140625" customWidth="1"/>
    <col min="13843" max="13843" width="15" bestFit="1" customWidth="1"/>
    <col min="13844" max="13844" width="19.6640625" bestFit="1" customWidth="1"/>
    <col min="13845" max="13845" width="19.44140625" bestFit="1" customWidth="1"/>
    <col min="13846" max="13846" width="23.44140625" bestFit="1" customWidth="1"/>
    <col min="13847" max="13847" width="29" bestFit="1" customWidth="1"/>
    <col min="13848" max="13848" width="10.6640625" bestFit="1" customWidth="1"/>
    <col min="13849" max="13849" width="14.109375" bestFit="1" customWidth="1"/>
    <col min="13850" max="13850" width="11.88671875" bestFit="1" customWidth="1"/>
    <col min="13851" max="13851" width="8" bestFit="1" customWidth="1"/>
    <col min="13857" max="13857" width="21.88671875" bestFit="1" customWidth="1"/>
    <col min="13858" max="13858" width="18.88671875" bestFit="1" customWidth="1"/>
    <col min="13859" max="13869" width="14.33203125" bestFit="1" customWidth="1"/>
    <col min="13870" max="13870" width="15.44140625" bestFit="1" customWidth="1"/>
    <col min="14082" max="14082" width="11.5546875" bestFit="1" customWidth="1"/>
    <col min="14083" max="14083" width="11.88671875" bestFit="1" customWidth="1"/>
    <col min="14084" max="14084" width="12.33203125" bestFit="1" customWidth="1"/>
    <col min="14085" max="14085" width="46.6640625" bestFit="1" customWidth="1"/>
    <col min="14086" max="14086" width="12.88671875" bestFit="1" customWidth="1"/>
    <col min="14087" max="14087" width="6.44140625" bestFit="1" customWidth="1"/>
    <col min="14088" max="14088" width="96.33203125" bestFit="1" customWidth="1"/>
    <col min="14089" max="14089" width="18.109375" bestFit="1" customWidth="1"/>
    <col min="14090" max="14090" width="12.33203125" bestFit="1" customWidth="1"/>
    <col min="14091" max="14091" width="18.44140625" bestFit="1" customWidth="1"/>
    <col min="14092" max="14092" width="13.109375" bestFit="1" customWidth="1"/>
    <col min="14093" max="14093" width="16.6640625" bestFit="1" customWidth="1"/>
    <col min="14094" max="14094" width="16.6640625" customWidth="1"/>
    <col min="14095" max="14095" width="20.6640625" bestFit="1" customWidth="1"/>
    <col min="14096" max="14096" width="27" bestFit="1" customWidth="1"/>
    <col min="14097" max="14097" width="9.44140625" bestFit="1" customWidth="1"/>
    <col min="14098" max="14098" width="9.44140625" customWidth="1"/>
    <col min="14099" max="14099" width="15" bestFit="1" customWidth="1"/>
    <col min="14100" max="14100" width="19.6640625" bestFit="1" customWidth="1"/>
    <col min="14101" max="14101" width="19.44140625" bestFit="1" customWidth="1"/>
    <col min="14102" max="14102" width="23.44140625" bestFit="1" customWidth="1"/>
    <col min="14103" max="14103" width="29" bestFit="1" customWidth="1"/>
    <col min="14104" max="14104" width="10.6640625" bestFit="1" customWidth="1"/>
    <col min="14105" max="14105" width="14.109375" bestFit="1" customWidth="1"/>
    <col min="14106" max="14106" width="11.88671875" bestFit="1" customWidth="1"/>
    <col min="14107" max="14107" width="8" bestFit="1" customWidth="1"/>
    <col min="14113" max="14113" width="21.88671875" bestFit="1" customWidth="1"/>
    <col min="14114" max="14114" width="18.88671875" bestFit="1" customWidth="1"/>
    <col min="14115" max="14125" width="14.33203125" bestFit="1" customWidth="1"/>
    <col min="14126" max="14126" width="15.44140625" bestFit="1" customWidth="1"/>
    <col min="14338" max="14338" width="11.5546875" bestFit="1" customWidth="1"/>
    <col min="14339" max="14339" width="11.88671875" bestFit="1" customWidth="1"/>
    <col min="14340" max="14340" width="12.33203125" bestFit="1" customWidth="1"/>
    <col min="14341" max="14341" width="46.6640625" bestFit="1" customWidth="1"/>
    <col min="14342" max="14342" width="12.88671875" bestFit="1" customWidth="1"/>
    <col min="14343" max="14343" width="6.44140625" bestFit="1" customWidth="1"/>
    <col min="14344" max="14344" width="96.33203125" bestFit="1" customWidth="1"/>
    <col min="14345" max="14345" width="18.109375" bestFit="1" customWidth="1"/>
    <col min="14346" max="14346" width="12.33203125" bestFit="1" customWidth="1"/>
    <col min="14347" max="14347" width="18.44140625" bestFit="1" customWidth="1"/>
    <col min="14348" max="14348" width="13.109375" bestFit="1" customWidth="1"/>
    <col min="14349" max="14349" width="16.6640625" bestFit="1" customWidth="1"/>
    <col min="14350" max="14350" width="16.6640625" customWidth="1"/>
    <col min="14351" max="14351" width="20.6640625" bestFit="1" customWidth="1"/>
    <col min="14352" max="14352" width="27" bestFit="1" customWidth="1"/>
    <col min="14353" max="14353" width="9.44140625" bestFit="1" customWidth="1"/>
    <col min="14354" max="14354" width="9.44140625" customWidth="1"/>
    <col min="14355" max="14355" width="15" bestFit="1" customWidth="1"/>
    <col min="14356" max="14356" width="19.6640625" bestFit="1" customWidth="1"/>
    <col min="14357" max="14357" width="19.44140625" bestFit="1" customWidth="1"/>
    <col min="14358" max="14358" width="23.44140625" bestFit="1" customWidth="1"/>
    <col min="14359" max="14359" width="29" bestFit="1" customWidth="1"/>
    <col min="14360" max="14360" width="10.6640625" bestFit="1" customWidth="1"/>
    <col min="14361" max="14361" width="14.109375" bestFit="1" customWidth="1"/>
    <col min="14362" max="14362" width="11.88671875" bestFit="1" customWidth="1"/>
    <col min="14363" max="14363" width="8" bestFit="1" customWidth="1"/>
    <col min="14369" max="14369" width="21.88671875" bestFit="1" customWidth="1"/>
    <col min="14370" max="14370" width="18.88671875" bestFit="1" customWidth="1"/>
    <col min="14371" max="14381" width="14.33203125" bestFit="1" customWidth="1"/>
    <col min="14382" max="14382" width="15.44140625" bestFit="1" customWidth="1"/>
    <col min="14594" max="14594" width="11.5546875" bestFit="1" customWidth="1"/>
    <col min="14595" max="14595" width="11.88671875" bestFit="1" customWidth="1"/>
    <col min="14596" max="14596" width="12.33203125" bestFit="1" customWidth="1"/>
    <col min="14597" max="14597" width="46.6640625" bestFit="1" customWidth="1"/>
    <col min="14598" max="14598" width="12.88671875" bestFit="1" customWidth="1"/>
    <col min="14599" max="14599" width="6.44140625" bestFit="1" customWidth="1"/>
    <col min="14600" max="14600" width="96.33203125" bestFit="1" customWidth="1"/>
    <col min="14601" max="14601" width="18.109375" bestFit="1" customWidth="1"/>
    <col min="14602" max="14602" width="12.33203125" bestFit="1" customWidth="1"/>
    <col min="14603" max="14603" width="18.44140625" bestFit="1" customWidth="1"/>
    <col min="14604" max="14604" width="13.109375" bestFit="1" customWidth="1"/>
    <col min="14605" max="14605" width="16.6640625" bestFit="1" customWidth="1"/>
    <col min="14606" max="14606" width="16.6640625" customWidth="1"/>
    <col min="14607" max="14607" width="20.6640625" bestFit="1" customWidth="1"/>
    <col min="14608" max="14608" width="27" bestFit="1" customWidth="1"/>
    <col min="14609" max="14609" width="9.44140625" bestFit="1" customWidth="1"/>
    <col min="14610" max="14610" width="9.44140625" customWidth="1"/>
    <col min="14611" max="14611" width="15" bestFit="1" customWidth="1"/>
    <col min="14612" max="14612" width="19.6640625" bestFit="1" customWidth="1"/>
    <col min="14613" max="14613" width="19.44140625" bestFit="1" customWidth="1"/>
    <col min="14614" max="14614" width="23.44140625" bestFit="1" customWidth="1"/>
    <col min="14615" max="14615" width="29" bestFit="1" customWidth="1"/>
    <col min="14616" max="14616" width="10.6640625" bestFit="1" customWidth="1"/>
    <col min="14617" max="14617" width="14.109375" bestFit="1" customWidth="1"/>
    <col min="14618" max="14618" width="11.88671875" bestFit="1" customWidth="1"/>
    <col min="14619" max="14619" width="8" bestFit="1" customWidth="1"/>
    <col min="14625" max="14625" width="21.88671875" bestFit="1" customWidth="1"/>
    <col min="14626" max="14626" width="18.88671875" bestFit="1" customWidth="1"/>
    <col min="14627" max="14637" width="14.33203125" bestFit="1" customWidth="1"/>
    <col min="14638" max="14638" width="15.44140625" bestFit="1" customWidth="1"/>
    <col min="14850" max="14850" width="11.5546875" bestFit="1" customWidth="1"/>
    <col min="14851" max="14851" width="11.88671875" bestFit="1" customWidth="1"/>
    <col min="14852" max="14852" width="12.33203125" bestFit="1" customWidth="1"/>
    <col min="14853" max="14853" width="46.6640625" bestFit="1" customWidth="1"/>
    <col min="14854" max="14854" width="12.88671875" bestFit="1" customWidth="1"/>
    <col min="14855" max="14855" width="6.44140625" bestFit="1" customWidth="1"/>
    <col min="14856" max="14856" width="96.33203125" bestFit="1" customWidth="1"/>
    <col min="14857" max="14857" width="18.109375" bestFit="1" customWidth="1"/>
    <col min="14858" max="14858" width="12.33203125" bestFit="1" customWidth="1"/>
    <col min="14859" max="14859" width="18.44140625" bestFit="1" customWidth="1"/>
    <col min="14860" max="14860" width="13.109375" bestFit="1" customWidth="1"/>
    <col min="14861" max="14861" width="16.6640625" bestFit="1" customWidth="1"/>
    <col min="14862" max="14862" width="16.6640625" customWidth="1"/>
    <col min="14863" max="14863" width="20.6640625" bestFit="1" customWidth="1"/>
    <col min="14864" max="14864" width="27" bestFit="1" customWidth="1"/>
    <col min="14865" max="14865" width="9.44140625" bestFit="1" customWidth="1"/>
    <col min="14866" max="14866" width="9.44140625" customWidth="1"/>
    <col min="14867" max="14867" width="15" bestFit="1" customWidth="1"/>
    <col min="14868" max="14868" width="19.6640625" bestFit="1" customWidth="1"/>
    <col min="14869" max="14869" width="19.44140625" bestFit="1" customWidth="1"/>
    <col min="14870" max="14870" width="23.44140625" bestFit="1" customWidth="1"/>
    <col min="14871" max="14871" width="29" bestFit="1" customWidth="1"/>
    <col min="14872" max="14872" width="10.6640625" bestFit="1" customWidth="1"/>
    <col min="14873" max="14873" width="14.109375" bestFit="1" customWidth="1"/>
    <col min="14874" max="14874" width="11.88671875" bestFit="1" customWidth="1"/>
    <col min="14875" max="14875" width="8" bestFit="1" customWidth="1"/>
    <col min="14881" max="14881" width="21.88671875" bestFit="1" customWidth="1"/>
    <col min="14882" max="14882" width="18.88671875" bestFit="1" customWidth="1"/>
    <col min="14883" max="14893" width="14.33203125" bestFit="1" customWidth="1"/>
    <col min="14894" max="14894" width="15.44140625" bestFit="1" customWidth="1"/>
    <col min="15106" max="15106" width="11.5546875" bestFit="1" customWidth="1"/>
    <col min="15107" max="15107" width="11.88671875" bestFit="1" customWidth="1"/>
    <col min="15108" max="15108" width="12.33203125" bestFit="1" customWidth="1"/>
    <col min="15109" max="15109" width="46.6640625" bestFit="1" customWidth="1"/>
    <col min="15110" max="15110" width="12.88671875" bestFit="1" customWidth="1"/>
    <col min="15111" max="15111" width="6.44140625" bestFit="1" customWidth="1"/>
    <col min="15112" max="15112" width="96.33203125" bestFit="1" customWidth="1"/>
    <col min="15113" max="15113" width="18.109375" bestFit="1" customWidth="1"/>
    <col min="15114" max="15114" width="12.33203125" bestFit="1" customWidth="1"/>
    <col min="15115" max="15115" width="18.44140625" bestFit="1" customWidth="1"/>
    <col min="15116" max="15116" width="13.109375" bestFit="1" customWidth="1"/>
    <col min="15117" max="15117" width="16.6640625" bestFit="1" customWidth="1"/>
    <col min="15118" max="15118" width="16.6640625" customWidth="1"/>
    <col min="15119" max="15119" width="20.6640625" bestFit="1" customWidth="1"/>
    <col min="15120" max="15120" width="27" bestFit="1" customWidth="1"/>
    <col min="15121" max="15121" width="9.44140625" bestFit="1" customWidth="1"/>
    <col min="15122" max="15122" width="9.44140625" customWidth="1"/>
    <col min="15123" max="15123" width="15" bestFit="1" customWidth="1"/>
    <col min="15124" max="15124" width="19.6640625" bestFit="1" customWidth="1"/>
    <col min="15125" max="15125" width="19.44140625" bestFit="1" customWidth="1"/>
    <col min="15126" max="15126" width="23.44140625" bestFit="1" customWidth="1"/>
    <col min="15127" max="15127" width="29" bestFit="1" customWidth="1"/>
    <col min="15128" max="15128" width="10.6640625" bestFit="1" customWidth="1"/>
    <col min="15129" max="15129" width="14.109375" bestFit="1" customWidth="1"/>
    <col min="15130" max="15130" width="11.88671875" bestFit="1" customWidth="1"/>
    <col min="15131" max="15131" width="8" bestFit="1" customWidth="1"/>
    <col min="15137" max="15137" width="21.88671875" bestFit="1" customWidth="1"/>
    <col min="15138" max="15138" width="18.88671875" bestFit="1" customWidth="1"/>
    <col min="15139" max="15149" width="14.33203125" bestFit="1" customWidth="1"/>
    <col min="15150" max="15150" width="15.44140625" bestFit="1" customWidth="1"/>
    <col min="15362" max="15362" width="11.5546875" bestFit="1" customWidth="1"/>
    <col min="15363" max="15363" width="11.88671875" bestFit="1" customWidth="1"/>
    <col min="15364" max="15364" width="12.33203125" bestFit="1" customWidth="1"/>
    <col min="15365" max="15365" width="46.6640625" bestFit="1" customWidth="1"/>
    <col min="15366" max="15366" width="12.88671875" bestFit="1" customWidth="1"/>
    <col min="15367" max="15367" width="6.44140625" bestFit="1" customWidth="1"/>
    <col min="15368" max="15368" width="96.33203125" bestFit="1" customWidth="1"/>
    <col min="15369" max="15369" width="18.109375" bestFit="1" customWidth="1"/>
    <col min="15370" max="15370" width="12.33203125" bestFit="1" customWidth="1"/>
    <col min="15371" max="15371" width="18.44140625" bestFit="1" customWidth="1"/>
    <col min="15372" max="15372" width="13.109375" bestFit="1" customWidth="1"/>
    <col min="15373" max="15373" width="16.6640625" bestFit="1" customWidth="1"/>
    <col min="15374" max="15374" width="16.6640625" customWidth="1"/>
    <col min="15375" max="15375" width="20.6640625" bestFit="1" customWidth="1"/>
    <col min="15376" max="15376" width="27" bestFit="1" customWidth="1"/>
    <col min="15377" max="15377" width="9.44140625" bestFit="1" customWidth="1"/>
    <col min="15378" max="15378" width="9.44140625" customWidth="1"/>
    <col min="15379" max="15379" width="15" bestFit="1" customWidth="1"/>
    <col min="15380" max="15380" width="19.6640625" bestFit="1" customWidth="1"/>
    <col min="15381" max="15381" width="19.44140625" bestFit="1" customWidth="1"/>
    <col min="15382" max="15382" width="23.44140625" bestFit="1" customWidth="1"/>
    <col min="15383" max="15383" width="29" bestFit="1" customWidth="1"/>
    <col min="15384" max="15384" width="10.6640625" bestFit="1" customWidth="1"/>
    <col min="15385" max="15385" width="14.109375" bestFit="1" customWidth="1"/>
    <col min="15386" max="15386" width="11.88671875" bestFit="1" customWidth="1"/>
    <col min="15387" max="15387" width="8" bestFit="1" customWidth="1"/>
    <col min="15393" max="15393" width="21.88671875" bestFit="1" customWidth="1"/>
    <col min="15394" max="15394" width="18.88671875" bestFit="1" customWidth="1"/>
    <col min="15395" max="15405" width="14.33203125" bestFit="1" customWidth="1"/>
    <col min="15406" max="15406" width="15.44140625" bestFit="1" customWidth="1"/>
    <col min="15618" max="15618" width="11.5546875" bestFit="1" customWidth="1"/>
    <col min="15619" max="15619" width="11.88671875" bestFit="1" customWidth="1"/>
    <col min="15620" max="15620" width="12.33203125" bestFit="1" customWidth="1"/>
    <col min="15621" max="15621" width="46.6640625" bestFit="1" customWidth="1"/>
    <col min="15622" max="15622" width="12.88671875" bestFit="1" customWidth="1"/>
    <col min="15623" max="15623" width="6.44140625" bestFit="1" customWidth="1"/>
    <col min="15624" max="15624" width="96.33203125" bestFit="1" customWidth="1"/>
    <col min="15625" max="15625" width="18.109375" bestFit="1" customWidth="1"/>
    <col min="15626" max="15626" width="12.33203125" bestFit="1" customWidth="1"/>
    <col min="15627" max="15627" width="18.44140625" bestFit="1" customWidth="1"/>
    <col min="15628" max="15628" width="13.109375" bestFit="1" customWidth="1"/>
    <col min="15629" max="15629" width="16.6640625" bestFit="1" customWidth="1"/>
    <col min="15630" max="15630" width="16.6640625" customWidth="1"/>
    <col min="15631" max="15631" width="20.6640625" bestFit="1" customWidth="1"/>
    <col min="15632" max="15632" width="27" bestFit="1" customWidth="1"/>
    <col min="15633" max="15633" width="9.44140625" bestFit="1" customWidth="1"/>
    <col min="15634" max="15634" width="9.44140625" customWidth="1"/>
    <col min="15635" max="15635" width="15" bestFit="1" customWidth="1"/>
    <col min="15636" max="15636" width="19.6640625" bestFit="1" customWidth="1"/>
    <col min="15637" max="15637" width="19.44140625" bestFit="1" customWidth="1"/>
    <col min="15638" max="15638" width="23.44140625" bestFit="1" customWidth="1"/>
    <col min="15639" max="15639" width="29" bestFit="1" customWidth="1"/>
    <col min="15640" max="15640" width="10.6640625" bestFit="1" customWidth="1"/>
    <col min="15641" max="15641" width="14.109375" bestFit="1" customWidth="1"/>
    <col min="15642" max="15642" width="11.88671875" bestFit="1" customWidth="1"/>
    <col min="15643" max="15643" width="8" bestFit="1" customWidth="1"/>
    <col min="15649" max="15649" width="21.88671875" bestFit="1" customWidth="1"/>
    <col min="15650" max="15650" width="18.88671875" bestFit="1" customWidth="1"/>
    <col min="15651" max="15661" width="14.33203125" bestFit="1" customWidth="1"/>
    <col min="15662" max="15662" width="15.44140625" bestFit="1" customWidth="1"/>
    <col min="15874" max="15874" width="11.5546875" bestFit="1" customWidth="1"/>
    <col min="15875" max="15875" width="11.88671875" bestFit="1" customWidth="1"/>
    <col min="15876" max="15876" width="12.33203125" bestFit="1" customWidth="1"/>
    <col min="15877" max="15877" width="46.6640625" bestFit="1" customWidth="1"/>
    <col min="15878" max="15878" width="12.88671875" bestFit="1" customWidth="1"/>
    <col min="15879" max="15879" width="6.44140625" bestFit="1" customWidth="1"/>
    <col min="15880" max="15880" width="96.33203125" bestFit="1" customWidth="1"/>
    <col min="15881" max="15881" width="18.109375" bestFit="1" customWidth="1"/>
    <col min="15882" max="15882" width="12.33203125" bestFit="1" customWidth="1"/>
    <col min="15883" max="15883" width="18.44140625" bestFit="1" customWidth="1"/>
    <col min="15884" max="15884" width="13.109375" bestFit="1" customWidth="1"/>
    <col min="15885" max="15885" width="16.6640625" bestFit="1" customWidth="1"/>
    <col min="15886" max="15886" width="16.6640625" customWidth="1"/>
    <col min="15887" max="15887" width="20.6640625" bestFit="1" customWidth="1"/>
    <col min="15888" max="15888" width="27" bestFit="1" customWidth="1"/>
    <col min="15889" max="15889" width="9.44140625" bestFit="1" customWidth="1"/>
    <col min="15890" max="15890" width="9.44140625" customWidth="1"/>
    <col min="15891" max="15891" width="15" bestFit="1" customWidth="1"/>
    <col min="15892" max="15892" width="19.6640625" bestFit="1" customWidth="1"/>
    <col min="15893" max="15893" width="19.44140625" bestFit="1" customWidth="1"/>
    <col min="15894" max="15894" width="23.44140625" bestFit="1" customWidth="1"/>
    <col min="15895" max="15895" width="29" bestFit="1" customWidth="1"/>
    <col min="15896" max="15896" width="10.6640625" bestFit="1" customWidth="1"/>
    <col min="15897" max="15897" width="14.109375" bestFit="1" customWidth="1"/>
    <col min="15898" max="15898" width="11.88671875" bestFit="1" customWidth="1"/>
    <col min="15899" max="15899" width="8" bestFit="1" customWidth="1"/>
    <col min="15905" max="15905" width="21.88671875" bestFit="1" customWidth="1"/>
    <col min="15906" max="15906" width="18.88671875" bestFit="1" customWidth="1"/>
    <col min="15907" max="15917" width="14.33203125" bestFit="1" customWidth="1"/>
    <col min="15918" max="15918" width="15.44140625" bestFit="1" customWidth="1"/>
    <col min="16130" max="16130" width="11.5546875" bestFit="1" customWidth="1"/>
    <col min="16131" max="16131" width="11.88671875" bestFit="1" customWidth="1"/>
    <col min="16132" max="16132" width="12.33203125" bestFit="1" customWidth="1"/>
    <col min="16133" max="16133" width="46.6640625" bestFit="1" customWidth="1"/>
    <col min="16134" max="16134" width="12.88671875" bestFit="1" customWidth="1"/>
    <col min="16135" max="16135" width="6.44140625" bestFit="1" customWidth="1"/>
    <col min="16136" max="16136" width="96.33203125" bestFit="1" customWidth="1"/>
    <col min="16137" max="16137" width="18.109375" bestFit="1" customWidth="1"/>
    <col min="16138" max="16138" width="12.33203125" bestFit="1" customWidth="1"/>
    <col min="16139" max="16139" width="18.44140625" bestFit="1" customWidth="1"/>
    <col min="16140" max="16140" width="13.109375" bestFit="1" customWidth="1"/>
    <col min="16141" max="16141" width="16.6640625" bestFit="1" customWidth="1"/>
    <col min="16142" max="16142" width="16.6640625" customWidth="1"/>
    <col min="16143" max="16143" width="20.6640625" bestFit="1" customWidth="1"/>
    <col min="16144" max="16144" width="27" bestFit="1" customWidth="1"/>
    <col min="16145" max="16145" width="9.44140625" bestFit="1" customWidth="1"/>
    <col min="16146" max="16146" width="9.44140625" customWidth="1"/>
    <col min="16147" max="16147" width="15" bestFit="1" customWidth="1"/>
    <col min="16148" max="16148" width="19.6640625" bestFit="1" customWidth="1"/>
    <col min="16149" max="16149" width="19.44140625" bestFit="1" customWidth="1"/>
    <col min="16150" max="16150" width="23.44140625" bestFit="1" customWidth="1"/>
    <col min="16151" max="16151" width="29" bestFit="1" customWidth="1"/>
    <col min="16152" max="16152" width="10.6640625" bestFit="1" customWidth="1"/>
    <col min="16153" max="16153" width="14.109375" bestFit="1" customWidth="1"/>
    <col min="16154" max="16154" width="11.88671875" bestFit="1" customWidth="1"/>
    <col min="16155" max="16155" width="8" bestFit="1" customWidth="1"/>
    <col min="16161" max="16161" width="21.88671875" bestFit="1" customWidth="1"/>
    <col min="16162" max="16162" width="18.88671875" bestFit="1" customWidth="1"/>
    <col min="16163" max="16173" width="14.33203125" bestFit="1" customWidth="1"/>
    <col min="16174" max="16174" width="15.44140625" bestFit="1" customWidth="1"/>
  </cols>
  <sheetData>
    <row r="1" spans="1:46" x14ac:dyDescent="0.25">
      <c r="K1" s="246">
        <f>SUBTOTAL(9,K3:K1571)</f>
        <v>370776827.45155442</v>
      </c>
    </row>
    <row r="2" spans="1:46" ht="14.4" x14ac:dyDescent="0.3">
      <c r="A2" s="247" t="s">
        <v>807</v>
      </c>
      <c r="B2" s="248" t="s">
        <v>808</v>
      </c>
      <c r="C2" s="248" t="s">
        <v>4</v>
      </c>
      <c r="D2" s="248" t="s">
        <v>3</v>
      </c>
      <c r="E2" s="248" t="s">
        <v>1152</v>
      </c>
      <c r="F2" s="248" t="s">
        <v>809</v>
      </c>
      <c r="G2" s="248" t="s">
        <v>810</v>
      </c>
      <c r="H2" s="248" t="s">
        <v>811</v>
      </c>
      <c r="I2" s="249" t="s">
        <v>812</v>
      </c>
      <c r="J2" s="250" t="s">
        <v>813</v>
      </c>
      <c r="K2" s="251" t="s">
        <v>814</v>
      </c>
      <c r="L2" s="249" t="s">
        <v>815</v>
      </c>
      <c r="M2" s="249" t="s">
        <v>816</v>
      </c>
      <c r="N2" s="249" t="s">
        <v>817</v>
      </c>
      <c r="O2" s="251" t="s">
        <v>818</v>
      </c>
      <c r="P2" s="249" t="s">
        <v>819</v>
      </c>
      <c r="Q2" s="249" t="s">
        <v>820</v>
      </c>
      <c r="R2" s="249" t="s">
        <v>821</v>
      </c>
      <c r="S2" s="252" t="s">
        <v>822</v>
      </c>
      <c r="T2" s="252" t="s">
        <v>823</v>
      </c>
      <c r="U2" s="248" t="s">
        <v>824</v>
      </c>
      <c r="V2" s="248" t="s">
        <v>825</v>
      </c>
      <c r="W2" s="248" t="s">
        <v>826</v>
      </c>
      <c r="X2" s="248" t="s">
        <v>304</v>
      </c>
      <c r="Y2" s="248" t="s">
        <v>827</v>
      </c>
      <c r="Z2" s="248" t="s">
        <v>828</v>
      </c>
      <c r="AA2" s="248" t="s">
        <v>829</v>
      </c>
      <c r="AC2" s="34">
        <v>-3634.8461457773301</v>
      </c>
    </row>
    <row r="3" spans="1:46" ht="14.4" x14ac:dyDescent="0.3">
      <c r="A3" s="253">
        <v>11</v>
      </c>
      <c r="B3" s="254" t="s">
        <v>830</v>
      </c>
      <c r="C3" s="254">
        <v>9419</v>
      </c>
      <c r="D3" s="254" t="s">
        <v>831</v>
      </c>
      <c r="E3" s="254" t="str">
        <f>_xlfn.XLOOKUP(C3,Clientes!I:I,Clientes!F:F)</f>
        <v>PROMINERALES SAS - COLOMBIA</v>
      </c>
      <c r="F3" s="254">
        <v>14141</v>
      </c>
      <c r="G3" s="254" t="s">
        <v>832</v>
      </c>
      <c r="H3" s="254" t="s">
        <v>833</v>
      </c>
      <c r="I3" s="255">
        <v>2400</v>
      </c>
      <c r="J3" s="256">
        <v>2400</v>
      </c>
      <c r="K3" s="257">
        <v>19080</v>
      </c>
      <c r="L3" s="258">
        <v>0</v>
      </c>
      <c r="M3" s="258">
        <f>SUM(K3:L3)</f>
        <v>19080</v>
      </c>
      <c r="N3" s="258">
        <v>-2406.1290000000004</v>
      </c>
      <c r="O3" s="258">
        <v>-4558.3718399999998</v>
      </c>
      <c r="P3" s="258">
        <v>-657.15681337643719</v>
      </c>
      <c r="Q3" s="258">
        <f>SUM(M3:P3)</f>
        <v>11458.342346623562</v>
      </c>
      <c r="R3" s="259">
        <f>Q3/M3</f>
        <v>0.60054205170983033</v>
      </c>
      <c r="S3" s="255">
        <f>$K3/I3</f>
        <v>7.95</v>
      </c>
      <c r="T3" s="255">
        <f>$K3/J3</f>
        <v>7.95</v>
      </c>
      <c r="U3" s="254">
        <v>100100</v>
      </c>
      <c r="V3" s="254" t="s">
        <v>834</v>
      </c>
      <c r="W3" s="254" t="s">
        <v>835</v>
      </c>
      <c r="X3" s="254" t="s">
        <v>446</v>
      </c>
      <c r="Y3" s="254" t="s">
        <v>836</v>
      </c>
      <c r="Z3" s="254" t="s">
        <v>837</v>
      </c>
      <c r="AA3" s="254" t="s">
        <v>838</v>
      </c>
      <c r="AG3" s="154"/>
      <c r="AH3" s="154" t="s">
        <v>839</v>
      </c>
    </row>
    <row r="4" spans="1:46" ht="14.4" x14ac:dyDescent="0.3">
      <c r="A4" s="253">
        <v>11</v>
      </c>
      <c r="B4" s="254" t="s">
        <v>830</v>
      </c>
      <c r="C4" s="254">
        <v>5053</v>
      </c>
      <c r="D4" s="254" t="s">
        <v>223</v>
      </c>
      <c r="E4" s="254" t="str">
        <f>_xlfn.XLOOKUP(C4,Clientes!I:I,Clientes!F:F)</f>
        <v>GRUPO ADUBOS ARAGUAIA</v>
      </c>
      <c r="F4" s="254">
        <v>14133</v>
      </c>
      <c r="G4" s="254" t="s">
        <v>840</v>
      </c>
      <c r="H4" s="254" t="s">
        <v>841</v>
      </c>
      <c r="I4" s="255">
        <v>7000</v>
      </c>
      <c r="J4" s="256">
        <v>7000</v>
      </c>
      <c r="K4" s="257">
        <v>19460</v>
      </c>
      <c r="L4" s="258">
        <v>-1362.2</v>
      </c>
      <c r="M4" s="258">
        <f t="shared" ref="M4:M67" si="0">SUM(K4:L4)</f>
        <v>18097.8</v>
      </c>
      <c r="N4" s="258">
        <v>-8818.6337931034468</v>
      </c>
      <c r="O4" s="258">
        <v>-6291.4930277381</v>
      </c>
      <c r="P4" s="258">
        <v>-6.6524191516120963</v>
      </c>
      <c r="Q4" s="258">
        <f t="shared" ref="Q4:Q67" si="1">SUM(M4:P4)</f>
        <v>2981.0207600068402</v>
      </c>
      <c r="R4" s="259">
        <f t="shared" ref="R4:R67" si="2">Q4/M4</f>
        <v>0.16471730044573596</v>
      </c>
      <c r="S4" s="255">
        <f t="shared" ref="S4:T67" si="3">$K4/I4</f>
        <v>2.78</v>
      </c>
      <c r="T4" s="255">
        <f t="shared" si="3"/>
        <v>2.78</v>
      </c>
      <c r="U4" s="254">
        <v>100100</v>
      </c>
      <c r="V4" s="254" t="s">
        <v>834</v>
      </c>
      <c r="W4" s="254" t="s">
        <v>842</v>
      </c>
      <c r="X4" s="254" t="s">
        <v>446</v>
      </c>
      <c r="Y4" s="254" t="s">
        <v>843</v>
      </c>
      <c r="Z4" s="254" t="s">
        <v>837</v>
      </c>
      <c r="AA4" s="254" t="s">
        <v>838</v>
      </c>
      <c r="AH4" t="s">
        <v>830</v>
      </c>
      <c r="AI4" t="s">
        <v>844</v>
      </c>
      <c r="AJ4" t="s">
        <v>845</v>
      </c>
      <c r="AK4" t="s">
        <v>846</v>
      </c>
      <c r="AL4" t="s">
        <v>847</v>
      </c>
      <c r="AM4" t="s">
        <v>848</v>
      </c>
      <c r="AN4" t="s">
        <v>849</v>
      </c>
      <c r="AO4" t="s">
        <v>850</v>
      </c>
      <c r="AP4" t="s">
        <v>851</v>
      </c>
      <c r="AQ4" t="s">
        <v>852</v>
      </c>
      <c r="AR4" t="s">
        <v>853</v>
      </c>
      <c r="AS4" t="s">
        <v>854</v>
      </c>
      <c r="AT4" t="s">
        <v>590</v>
      </c>
    </row>
    <row r="5" spans="1:46" ht="14.4" x14ac:dyDescent="0.3">
      <c r="A5" s="253">
        <v>11</v>
      </c>
      <c r="B5" s="254" t="s">
        <v>830</v>
      </c>
      <c r="C5" s="254">
        <v>3232</v>
      </c>
      <c r="D5" s="254" t="s">
        <v>153</v>
      </c>
      <c r="E5" s="254" t="str">
        <f>_xlfn.XLOOKUP(C5,Clientes!I:I,Clientes!F:F)</f>
        <v>GRUPO FERTILIZ TOCANTINS</v>
      </c>
      <c r="F5" s="254">
        <v>7384</v>
      </c>
      <c r="G5" s="254" t="s">
        <v>855</v>
      </c>
      <c r="H5" s="254" t="s">
        <v>856</v>
      </c>
      <c r="I5" s="255">
        <v>60000</v>
      </c>
      <c r="J5" s="256">
        <v>60000</v>
      </c>
      <c r="K5" s="257">
        <v>112200</v>
      </c>
      <c r="L5" s="258">
        <v>-20196</v>
      </c>
      <c r="M5" s="258">
        <f t="shared" si="0"/>
        <v>92004</v>
      </c>
      <c r="N5" s="258">
        <v>-40878.278787878793</v>
      </c>
      <c r="O5" s="258">
        <v>-3447.7559999999999</v>
      </c>
      <c r="P5" s="258">
        <v>-3.6455445382145437</v>
      </c>
      <c r="Q5" s="258">
        <f t="shared" si="1"/>
        <v>47674.319667582989</v>
      </c>
      <c r="R5" s="259">
        <f t="shared" si="2"/>
        <v>0.5181765974042758</v>
      </c>
      <c r="S5" s="255">
        <f t="shared" si="3"/>
        <v>1.87</v>
      </c>
      <c r="T5" s="255">
        <f t="shared" si="3"/>
        <v>1.87</v>
      </c>
      <c r="U5" s="254">
        <v>100100</v>
      </c>
      <c r="V5" s="254" t="s">
        <v>834</v>
      </c>
      <c r="W5" s="254" t="s">
        <v>857</v>
      </c>
      <c r="X5" s="254" t="s">
        <v>446</v>
      </c>
      <c r="Y5" s="254" t="s">
        <v>843</v>
      </c>
      <c r="Z5" s="254" t="s">
        <v>837</v>
      </c>
      <c r="AA5" s="254" t="s">
        <v>838</v>
      </c>
      <c r="AG5" t="s">
        <v>858</v>
      </c>
      <c r="AH5" s="260">
        <v>28552149.778391358</v>
      </c>
      <c r="AI5" s="260">
        <v>24223264.252613265</v>
      </c>
      <c r="AJ5" s="260">
        <v>14837477.440472206</v>
      </c>
      <c r="AK5" s="260">
        <v>16521305.548460711</v>
      </c>
      <c r="AL5" s="260">
        <v>21983996.884835325</v>
      </c>
      <c r="AM5" s="260">
        <v>27733440.176822878</v>
      </c>
      <c r="AN5" s="260">
        <v>41376273.600000948</v>
      </c>
      <c r="AO5" s="260">
        <v>42506433.543859005</v>
      </c>
      <c r="AP5" s="260">
        <v>40776850.614761882</v>
      </c>
      <c r="AQ5" s="260">
        <v>42481108.806966536</v>
      </c>
      <c r="AR5" s="260">
        <v>38109733.39874211</v>
      </c>
      <c r="AS5" s="260">
        <v>31674793.405627988</v>
      </c>
      <c r="AT5" s="260">
        <v>370776827.45155418</v>
      </c>
    </row>
    <row r="6" spans="1:46" ht="14.4" x14ac:dyDescent="0.3">
      <c r="A6" s="253">
        <v>11</v>
      </c>
      <c r="B6" s="254" t="s">
        <v>830</v>
      </c>
      <c r="C6" s="254">
        <v>205</v>
      </c>
      <c r="D6" s="254" t="s">
        <v>859</v>
      </c>
      <c r="E6" s="254" t="str">
        <f>_xlfn.XLOOKUP(C6,Clientes!I:I,Clientes!F:F)</f>
        <v>GRUPO FERTIPAR FERTILIZANTES MATO GROSSO</v>
      </c>
      <c r="F6" s="254">
        <v>1043</v>
      </c>
      <c r="G6" s="254" t="s">
        <v>840</v>
      </c>
      <c r="H6" s="254" t="s">
        <v>860</v>
      </c>
      <c r="I6" s="255">
        <v>90000</v>
      </c>
      <c r="J6" s="256">
        <v>90000</v>
      </c>
      <c r="K6" s="257">
        <v>162900</v>
      </c>
      <c r="L6" s="258">
        <v>-11403.000000000002</v>
      </c>
      <c r="M6" s="258">
        <f t="shared" si="0"/>
        <v>151497</v>
      </c>
      <c r="N6" s="258">
        <v>-34825.265562913897</v>
      </c>
      <c r="O6" s="258">
        <v>-35942.856299999999</v>
      </c>
      <c r="P6" s="258">
        <v>-38.004801810886619</v>
      </c>
      <c r="Q6" s="258">
        <f t="shared" si="1"/>
        <v>80690.873335275202</v>
      </c>
      <c r="R6" s="259">
        <f t="shared" si="2"/>
        <v>0.53262357231677993</v>
      </c>
      <c r="S6" s="255">
        <f t="shared" si="3"/>
        <v>1.81</v>
      </c>
      <c r="T6" s="255">
        <f t="shared" si="3"/>
        <v>1.81</v>
      </c>
      <c r="U6" s="254">
        <v>100100</v>
      </c>
      <c r="V6" s="254" t="s">
        <v>834</v>
      </c>
      <c r="W6" s="254" t="s">
        <v>861</v>
      </c>
      <c r="X6" s="254" t="s">
        <v>446</v>
      </c>
      <c r="Y6" s="254" t="s">
        <v>843</v>
      </c>
      <c r="Z6" s="254" t="s">
        <v>837</v>
      </c>
      <c r="AA6" s="254" t="s">
        <v>838</v>
      </c>
    </row>
    <row r="7" spans="1:46" ht="14.4" x14ac:dyDescent="0.3">
      <c r="A7" s="253">
        <v>11</v>
      </c>
      <c r="B7" s="254" t="s">
        <v>830</v>
      </c>
      <c r="C7" s="254">
        <v>2975</v>
      </c>
      <c r="D7" s="254" t="s">
        <v>420</v>
      </c>
      <c r="E7" s="254" t="str">
        <f>_xlfn.XLOOKUP(C7,Clientes!I:I,Clientes!F:F)</f>
        <v>COONAGRO COOPERATIVA - PARANAGUA</v>
      </c>
      <c r="F7" s="254">
        <v>4</v>
      </c>
      <c r="G7" s="254" t="s">
        <v>862</v>
      </c>
      <c r="H7" s="254" t="s">
        <v>863</v>
      </c>
      <c r="I7" s="255">
        <v>60000</v>
      </c>
      <c r="J7" s="256">
        <v>60000</v>
      </c>
      <c r="K7" s="257">
        <v>239400</v>
      </c>
      <c r="L7" s="258">
        <v>-28728</v>
      </c>
      <c r="M7" s="258">
        <f t="shared" si="0"/>
        <v>210672</v>
      </c>
      <c r="N7" s="258">
        <v>-57708.771428571417</v>
      </c>
      <c r="O7" s="258">
        <v>-28099.2114</v>
      </c>
      <c r="P7" s="258">
        <v>-29.711187986448532</v>
      </c>
      <c r="Q7" s="258">
        <f t="shared" si="1"/>
        <v>124834.30598344211</v>
      </c>
      <c r="R7" s="259">
        <f t="shared" si="2"/>
        <v>0.59255290680983763</v>
      </c>
      <c r="S7" s="255">
        <f t="shared" si="3"/>
        <v>3.99</v>
      </c>
      <c r="T7" s="255">
        <f t="shared" si="3"/>
        <v>3.99</v>
      </c>
      <c r="U7" s="254">
        <v>100100</v>
      </c>
      <c r="V7" s="254" t="s">
        <v>834</v>
      </c>
      <c r="W7" s="254" t="s">
        <v>864</v>
      </c>
      <c r="X7" s="254" t="s">
        <v>446</v>
      </c>
      <c r="Y7" s="254" t="s">
        <v>843</v>
      </c>
      <c r="Z7" s="254" t="s">
        <v>837</v>
      </c>
      <c r="AA7" s="254" t="s">
        <v>838</v>
      </c>
    </row>
    <row r="8" spans="1:46" ht="14.4" x14ac:dyDescent="0.3">
      <c r="A8" s="253">
        <v>11</v>
      </c>
      <c r="B8" s="254" t="s">
        <v>830</v>
      </c>
      <c r="C8" s="254">
        <v>341</v>
      </c>
      <c r="D8" s="254" t="s">
        <v>422</v>
      </c>
      <c r="E8" s="254" t="str">
        <f>_xlfn.XLOOKUP(C8,Clientes!I:I,Clientes!F:F)</f>
        <v>ADUBOS PARANAIBA - UBERLANDIA</v>
      </c>
      <c r="F8" s="254">
        <v>1043</v>
      </c>
      <c r="G8" s="254" t="s">
        <v>855</v>
      </c>
      <c r="H8" s="254" t="s">
        <v>860</v>
      </c>
      <c r="I8" s="255">
        <v>3000</v>
      </c>
      <c r="J8" s="256">
        <v>3000</v>
      </c>
      <c r="K8" s="257">
        <v>6000</v>
      </c>
      <c r="L8" s="258">
        <v>-1080</v>
      </c>
      <c r="M8" s="258">
        <f t="shared" si="0"/>
        <v>4920</v>
      </c>
      <c r="N8" s="258">
        <v>-1160.8421854304634</v>
      </c>
      <c r="O8" s="258">
        <v>0</v>
      </c>
      <c r="P8" s="258">
        <v>0</v>
      </c>
      <c r="Q8" s="258">
        <f t="shared" si="1"/>
        <v>3759.1578145695366</v>
      </c>
      <c r="R8" s="259">
        <f t="shared" si="2"/>
        <v>0.76405646637592206</v>
      </c>
      <c r="S8" s="255">
        <f t="shared" si="3"/>
        <v>2</v>
      </c>
      <c r="T8" s="255">
        <f t="shared" si="3"/>
        <v>2</v>
      </c>
      <c r="U8" s="254">
        <v>100100</v>
      </c>
      <c r="V8" s="254" t="s">
        <v>834</v>
      </c>
      <c r="W8" s="254" t="s">
        <v>865</v>
      </c>
      <c r="X8" s="254" t="s">
        <v>446</v>
      </c>
      <c r="Y8" s="254" t="s">
        <v>843</v>
      </c>
      <c r="Z8" s="254" t="s">
        <v>837</v>
      </c>
      <c r="AA8" s="254" t="s">
        <v>838</v>
      </c>
    </row>
    <row r="9" spans="1:46" ht="14.4" x14ac:dyDescent="0.3">
      <c r="A9" s="253">
        <v>11</v>
      </c>
      <c r="B9" s="254" t="s">
        <v>830</v>
      </c>
      <c r="C9" s="254">
        <v>3251</v>
      </c>
      <c r="D9" s="254" t="s">
        <v>866</v>
      </c>
      <c r="E9" s="254" t="str">
        <f>_xlfn.XLOOKUP(C9,Clientes!I:I,Clientes!F:F)</f>
        <v>GRUPO FERTIMAN</v>
      </c>
      <c r="F9" s="254">
        <v>1107</v>
      </c>
      <c r="G9" s="254" t="s">
        <v>867</v>
      </c>
      <c r="H9" s="254" t="s">
        <v>868</v>
      </c>
      <c r="I9" s="255">
        <v>15000</v>
      </c>
      <c r="J9" s="256">
        <v>15000</v>
      </c>
      <c r="K9" s="257">
        <v>34500</v>
      </c>
      <c r="L9" s="258">
        <v>-2415.0000000000005</v>
      </c>
      <c r="M9" s="258">
        <f t="shared" si="0"/>
        <v>32085</v>
      </c>
      <c r="N9" s="258">
        <v>-10249.120000000001</v>
      </c>
      <c r="O9" s="258">
        <v>-3564.3074999999999</v>
      </c>
      <c r="P9" s="258">
        <v>-3.7687822859686517</v>
      </c>
      <c r="Q9" s="258">
        <f t="shared" si="1"/>
        <v>18267.803717714029</v>
      </c>
      <c r="R9" s="259">
        <f t="shared" si="2"/>
        <v>0.56935651294106371</v>
      </c>
      <c r="S9" s="255">
        <f t="shared" si="3"/>
        <v>2.2999999999999998</v>
      </c>
      <c r="T9" s="255">
        <f t="shared" si="3"/>
        <v>2.2999999999999998</v>
      </c>
      <c r="U9" s="254">
        <v>100100</v>
      </c>
      <c r="V9" s="254" t="s">
        <v>834</v>
      </c>
      <c r="W9" s="254" t="s">
        <v>869</v>
      </c>
      <c r="X9" s="254" t="s">
        <v>446</v>
      </c>
      <c r="Y9" s="254" t="s">
        <v>843</v>
      </c>
      <c r="Z9" s="254" t="s">
        <v>837</v>
      </c>
      <c r="AA9" s="254" t="s">
        <v>838</v>
      </c>
    </row>
    <row r="10" spans="1:46" ht="14.4" x14ac:dyDescent="0.3">
      <c r="A10" s="253">
        <v>11</v>
      </c>
      <c r="B10" s="254" t="s">
        <v>830</v>
      </c>
      <c r="C10" s="254">
        <v>5209</v>
      </c>
      <c r="D10" s="254" t="s">
        <v>870</v>
      </c>
      <c r="E10" s="254" t="str">
        <f>_xlfn.XLOOKUP(C10,Clientes!I:I,Clientes!F:F)</f>
        <v>NUTRISOYA - CATALÃO</v>
      </c>
      <c r="F10" s="254">
        <v>1043</v>
      </c>
      <c r="G10" s="254" t="s">
        <v>867</v>
      </c>
      <c r="H10" s="254" t="s">
        <v>860</v>
      </c>
      <c r="I10" s="255">
        <v>15000</v>
      </c>
      <c r="J10" s="256">
        <v>15000</v>
      </c>
      <c r="K10" s="257">
        <v>28500</v>
      </c>
      <c r="L10" s="258">
        <v>-1995.0000000000002</v>
      </c>
      <c r="M10" s="258">
        <f t="shared" si="0"/>
        <v>26505</v>
      </c>
      <c r="N10" s="258">
        <v>-5804.2109271523168</v>
      </c>
      <c r="O10" s="258">
        <v>-2614.5482999999999</v>
      </c>
      <c r="P10" s="258">
        <v>-2.7645379414793623</v>
      </c>
      <c r="Q10" s="258">
        <f t="shared" si="1"/>
        <v>18083.476234906208</v>
      </c>
      <c r="R10" s="259">
        <f t="shared" si="2"/>
        <v>0.68226660007191875</v>
      </c>
      <c r="S10" s="255">
        <f t="shared" si="3"/>
        <v>1.9</v>
      </c>
      <c r="T10" s="255">
        <f t="shared" si="3"/>
        <v>1.9</v>
      </c>
      <c r="U10" s="254">
        <v>100100</v>
      </c>
      <c r="V10" s="254" t="s">
        <v>834</v>
      </c>
      <c r="W10" s="254" t="s">
        <v>871</v>
      </c>
      <c r="X10" s="254" t="s">
        <v>446</v>
      </c>
      <c r="Y10" s="254" t="s">
        <v>843</v>
      </c>
      <c r="Z10" s="254" t="s">
        <v>837</v>
      </c>
      <c r="AA10" s="254" t="s">
        <v>838</v>
      </c>
    </row>
    <row r="11" spans="1:46" ht="14.4" x14ac:dyDescent="0.3">
      <c r="A11" s="253">
        <v>11</v>
      </c>
      <c r="B11" s="254" t="s">
        <v>830</v>
      </c>
      <c r="C11" s="254">
        <v>3297</v>
      </c>
      <c r="D11" s="254" t="s">
        <v>550</v>
      </c>
      <c r="E11" s="254" t="str">
        <f>_xlfn.XLOOKUP(C11,Clientes!I:I,Clientes!F:F)</f>
        <v>MACROSOURCE PERU S.R.L.</v>
      </c>
      <c r="F11" s="254">
        <v>14141</v>
      </c>
      <c r="G11" s="254" t="s">
        <v>832</v>
      </c>
      <c r="H11" s="254" t="s">
        <v>833</v>
      </c>
      <c r="I11" s="255">
        <v>2400</v>
      </c>
      <c r="J11" s="256">
        <v>2400</v>
      </c>
      <c r="K11" s="257">
        <v>17044.8</v>
      </c>
      <c r="L11" s="258">
        <v>0</v>
      </c>
      <c r="M11" s="258">
        <f t="shared" si="0"/>
        <v>17044.8</v>
      </c>
      <c r="N11" s="258">
        <v>-2406.1290000000004</v>
      </c>
      <c r="O11" s="258">
        <v>-4340.362752</v>
      </c>
      <c r="P11" s="258">
        <v>-656.92629769028088</v>
      </c>
      <c r="Q11" s="258">
        <f t="shared" si="1"/>
        <v>9641.3819503097166</v>
      </c>
      <c r="R11" s="259">
        <f t="shared" si="2"/>
        <v>0.56564946202417843</v>
      </c>
      <c r="S11" s="255">
        <f t="shared" si="3"/>
        <v>7.1019999999999994</v>
      </c>
      <c r="T11" s="255">
        <f t="shared" si="3"/>
        <v>7.1019999999999994</v>
      </c>
      <c r="U11" s="254">
        <v>100100</v>
      </c>
      <c r="V11" s="254" t="s">
        <v>834</v>
      </c>
      <c r="W11" s="254" t="s">
        <v>872</v>
      </c>
      <c r="X11" s="254" t="s">
        <v>446</v>
      </c>
      <c r="Y11" s="254" t="s">
        <v>836</v>
      </c>
      <c r="Z11" s="254" t="s">
        <v>837</v>
      </c>
      <c r="AA11" s="254" t="s">
        <v>838</v>
      </c>
    </row>
    <row r="12" spans="1:46" ht="14.4" x14ac:dyDescent="0.3">
      <c r="A12" s="253">
        <v>11</v>
      </c>
      <c r="B12" s="254" t="s">
        <v>830</v>
      </c>
      <c r="C12" s="254">
        <v>466</v>
      </c>
      <c r="D12" s="254" t="s">
        <v>40</v>
      </c>
      <c r="E12" s="254" t="str">
        <f>_xlfn.XLOOKUP(C12,Clientes!I:I,Clientes!F:F)</f>
        <v>GRUPO ADUBOS ARAGUAIA</v>
      </c>
      <c r="F12" s="254">
        <v>1</v>
      </c>
      <c r="G12" s="254" t="s">
        <v>840</v>
      </c>
      <c r="H12" s="254" t="s">
        <v>873</v>
      </c>
      <c r="I12" s="255">
        <v>6000</v>
      </c>
      <c r="J12" s="256">
        <v>6000</v>
      </c>
      <c r="K12" s="257">
        <v>14580</v>
      </c>
      <c r="L12" s="258">
        <v>-1020.6000000000001</v>
      </c>
      <c r="M12" s="258">
        <f t="shared" si="0"/>
        <v>13559.4</v>
      </c>
      <c r="N12" s="258">
        <v>-3872.1888888888866</v>
      </c>
      <c r="O12" s="258">
        <v>-5910.9902189987997</v>
      </c>
      <c r="P12" s="258">
        <v>-6.2500879146641068</v>
      </c>
      <c r="Q12" s="258">
        <f t="shared" si="1"/>
        <v>3769.9708041976496</v>
      </c>
      <c r="R12" s="259">
        <f t="shared" si="2"/>
        <v>0.278033748115525</v>
      </c>
      <c r="S12" s="255">
        <f t="shared" si="3"/>
        <v>2.4300000000000002</v>
      </c>
      <c r="T12" s="255">
        <f t="shared" si="3"/>
        <v>2.4300000000000002</v>
      </c>
      <c r="U12" s="254">
        <v>100100</v>
      </c>
      <c r="V12" s="254" t="s">
        <v>834</v>
      </c>
      <c r="W12" s="254" t="s">
        <v>874</v>
      </c>
      <c r="X12" s="254" t="s">
        <v>446</v>
      </c>
      <c r="Y12" s="254" t="s">
        <v>843</v>
      </c>
      <c r="Z12" s="254" t="s">
        <v>837</v>
      </c>
      <c r="AA12" s="254" t="s">
        <v>838</v>
      </c>
    </row>
    <row r="13" spans="1:46" ht="14.4" x14ac:dyDescent="0.3">
      <c r="A13" s="253">
        <v>11</v>
      </c>
      <c r="B13" s="254" t="s">
        <v>830</v>
      </c>
      <c r="C13" s="254">
        <v>1613</v>
      </c>
      <c r="D13" s="254" t="s">
        <v>211</v>
      </c>
      <c r="E13" s="254" t="str">
        <f>_xlfn.XLOOKUP(C13,Clientes!I:I,Clientes!F:F)</f>
        <v>GRUPO HERINGER</v>
      </c>
      <c r="F13" s="254">
        <v>7384</v>
      </c>
      <c r="G13" s="254" t="s">
        <v>875</v>
      </c>
      <c r="H13" s="254" t="s">
        <v>856</v>
      </c>
      <c r="I13" s="255">
        <v>24000</v>
      </c>
      <c r="J13" s="256">
        <v>24000</v>
      </c>
      <c r="K13" s="257">
        <v>89760</v>
      </c>
      <c r="L13" s="258">
        <v>-6283.2000000000007</v>
      </c>
      <c r="M13" s="258">
        <f t="shared" si="0"/>
        <v>83476.800000000003</v>
      </c>
      <c r="N13" s="258">
        <v>-16351.311515151516</v>
      </c>
      <c r="O13" s="258">
        <v>-17238.78</v>
      </c>
      <c r="P13" s="258">
        <v>-18.227722691072717</v>
      </c>
      <c r="Q13" s="258">
        <f t="shared" si="1"/>
        <v>49868.480762157422</v>
      </c>
      <c r="R13" s="259">
        <f t="shared" si="2"/>
        <v>0.59739329684603892</v>
      </c>
      <c r="S13" s="255">
        <f t="shared" si="3"/>
        <v>3.74</v>
      </c>
      <c r="T13" s="255">
        <f t="shared" si="3"/>
        <v>3.74</v>
      </c>
      <c r="U13" s="254">
        <v>100100</v>
      </c>
      <c r="V13" s="254" t="s">
        <v>834</v>
      </c>
      <c r="W13" s="254" t="s">
        <v>876</v>
      </c>
      <c r="X13" s="254" t="s">
        <v>446</v>
      </c>
      <c r="Y13" s="254" t="s">
        <v>843</v>
      </c>
      <c r="Z13" s="254" t="s">
        <v>837</v>
      </c>
      <c r="AA13" s="254" t="s">
        <v>838</v>
      </c>
    </row>
    <row r="14" spans="1:46" ht="14.4" x14ac:dyDescent="0.3">
      <c r="A14" s="253">
        <v>11</v>
      </c>
      <c r="B14" s="254" t="s">
        <v>830</v>
      </c>
      <c r="C14" s="254">
        <v>2559</v>
      </c>
      <c r="D14" s="254" t="s">
        <v>451</v>
      </c>
      <c r="E14" s="254" t="str">
        <f>_xlfn.XLOOKUP(C14,Clientes!I:I,Clientes!F:F)</f>
        <v>GRUPO MOSAIC FERTILIZANTES DO BRASIL</v>
      </c>
      <c r="F14" s="254">
        <v>1043</v>
      </c>
      <c r="G14" s="254" t="s">
        <v>877</v>
      </c>
      <c r="H14" s="254" t="s">
        <v>860</v>
      </c>
      <c r="I14" s="255">
        <v>30000</v>
      </c>
      <c r="J14" s="256">
        <v>30000</v>
      </c>
      <c r="K14" s="257">
        <v>75300</v>
      </c>
      <c r="L14" s="258">
        <v>-9036</v>
      </c>
      <c r="M14" s="258">
        <f t="shared" si="0"/>
        <v>66264</v>
      </c>
      <c r="N14" s="258">
        <v>-11608.421854304634</v>
      </c>
      <c r="O14" s="258">
        <v>-24421.605</v>
      </c>
      <c r="P14" s="258">
        <v>-25.822607145686352</v>
      </c>
      <c r="Q14" s="258">
        <f t="shared" si="1"/>
        <v>30208.150538549686</v>
      </c>
      <c r="R14" s="259">
        <f t="shared" si="2"/>
        <v>0.4558757475937113</v>
      </c>
      <c r="S14" s="255">
        <f t="shared" si="3"/>
        <v>2.5099999999999998</v>
      </c>
      <c r="T14" s="255">
        <f t="shared" si="3"/>
        <v>2.5099999999999998</v>
      </c>
      <c r="U14" s="254">
        <v>100100</v>
      </c>
      <c r="V14" s="254" t="s">
        <v>834</v>
      </c>
      <c r="W14" s="254" t="s">
        <v>878</v>
      </c>
      <c r="X14" s="254" t="s">
        <v>446</v>
      </c>
      <c r="Y14" s="254" t="s">
        <v>843</v>
      </c>
      <c r="Z14" s="254" t="s">
        <v>837</v>
      </c>
      <c r="AA14" s="254" t="s">
        <v>838</v>
      </c>
    </row>
    <row r="15" spans="1:46" ht="14.4" x14ac:dyDescent="0.3">
      <c r="A15" s="253">
        <v>11</v>
      </c>
      <c r="B15" s="254" t="s">
        <v>830</v>
      </c>
      <c r="C15" s="254">
        <v>214</v>
      </c>
      <c r="D15" s="254" t="s">
        <v>149</v>
      </c>
      <c r="E15" s="254" t="str">
        <f>_xlfn.XLOOKUP(C15,Clientes!I:I,Clientes!F:F)</f>
        <v>GRUPO UNIFERTIL</v>
      </c>
      <c r="F15" s="254">
        <v>3</v>
      </c>
      <c r="G15" s="254" t="s">
        <v>877</v>
      </c>
      <c r="H15" s="254" t="s">
        <v>879</v>
      </c>
      <c r="I15" s="255">
        <v>32000</v>
      </c>
      <c r="J15" s="256">
        <v>32000</v>
      </c>
      <c r="K15" s="257">
        <v>82880</v>
      </c>
      <c r="L15" s="258">
        <v>-9945.6</v>
      </c>
      <c r="M15" s="258">
        <f t="shared" si="0"/>
        <v>72934.399999999994</v>
      </c>
      <c r="N15" s="258">
        <v>-24078.215</v>
      </c>
      <c r="O15" s="258">
        <v>-25804.538239999998</v>
      </c>
      <c r="P15" s="258">
        <v>-27.28487556601463</v>
      </c>
      <c r="Q15" s="258">
        <f t="shared" si="1"/>
        <v>23024.361884433984</v>
      </c>
      <c r="R15" s="259">
        <f t="shared" si="2"/>
        <v>0.31568590246075906</v>
      </c>
      <c r="S15" s="255">
        <f t="shared" si="3"/>
        <v>2.59</v>
      </c>
      <c r="T15" s="255">
        <f t="shared" si="3"/>
        <v>2.59</v>
      </c>
      <c r="U15" s="254">
        <v>100100</v>
      </c>
      <c r="V15" s="254" t="s">
        <v>834</v>
      </c>
      <c r="W15" s="254" t="s">
        <v>880</v>
      </c>
      <c r="X15" s="254" t="s">
        <v>446</v>
      </c>
      <c r="Y15" s="254" t="s">
        <v>843</v>
      </c>
      <c r="Z15" s="254" t="s">
        <v>837</v>
      </c>
      <c r="AA15" s="254" t="s">
        <v>838</v>
      </c>
    </row>
    <row r="16" spans="1:46" ht="14.4" x14ac:dyDescent="0.3">
      <c r="A16" s="253">
        <v>11</v>
      </c>
      <c r="B16" s="254" t="s">
        <v>830</v>
      </c>
      <c r="C16" s="254">
        <v>14632</v>
      </c>
      <c r="D16" s="254" t="s">
        <v>399</v>
      </c>
      <c r="E16" s="254" t="str">
        <f>_xlfn.XLOOKUP(C16,Clientes!I:I,Clientes!F:F)</f>
        <v>BIGFERTIL - CANDEIAS</v>
      </c>
      <c r="F16" s="254">
        <v>1043</v>
      </c>
      <c r="G16" s="254" t="s">
        <v>875</v>
      </c>
      <c r="H16" s="254" t="s">
        <v>860</v>
      </c>
      <c r="I16" s="255">
        <v>30000</v>
      </c>
      <c r="J16" s="256">
        <v>30000</v>
      </c>
      <c r="K16" s="257">
        <v>96900</v>
      </c>
      <c r="L16" s="258">
        <v>-6783.0000000000009</v>
      </c>
      <c r="M16" s="258">
        <f t="shared" si="0"/>
        <v>90117</v>
      </c>
      <c r="N16" s="258">
        <v>-11608.421854304634</v>
      </c>
      <c r="O16" s="258">
        <v>-21548.474999999999</v>
      </c>
      <c r="P16" s="258">
        <v>-22.784653363840896</v>
      </c>
      <c r="Q16" s="258">
        <f t="shared" si="1"/>
        <v>56937.318492331528</v>
      </c>
      <c r="R16" s="259">
        <f t="shared" si="2"/>
        <v>0.63181551197145414</v>
      </c>
      <c r="S16" s="255">
        <f t="shared" si="3"/>
        <v>3.23</v>
      </c>
      <c r="T16" s="255">
        <f t="shared" si="3"/>
        <v>3.23</v>
      </c>
      <c r="U16" s="254">
        <v>100100</v>
      </c>
      <c r="V16" s="254" t="s">
        <v>834</v>
      </c>
      <c r="W16" s="254" t="s">
        <v>876</v>
      </c>
      <c r="X16" s="254" t="s">
        <v>446</v>
      </c>
      <c r="Y16" s="254" t="s">
        <v>843</v>
      </c>
      <c r="Z16" s="254" t="s">
        <v>837</v>
      </c>
      <c r="AA16" s="254" t="s">
        <v>838</v>
      </c>
    </row>
    <row r="17" spans="1:27" ht="14.4" x14ac:dyDescent="0.3">
      <c r="A17" s="253">
        <v>11</v>
      </c>
      <c r="B17" s="254" t="s">
        <v>830</v>
      </c>
      <c r="C17" s="254">
        <v>2287</v>
      </c>
      <c r="D17" s="254" t="s">
        <v>114</v>
      </c>
      <c r="E17" s="254" t="str">
        <f>_xlfn.XLOOKUP(C17,Clientes!I:I,Clientes!F:F)</f>
        <v>BUNGE PARAGUAY S.A</v>
      </c>
      <c r="F17" s="254">
        <v>4067</v>
      </c>
      <c r="G17" s="254" t="s">
        <v>832</v>
      </c>
      <c r="H17" s="254" t="s">
        <v>881</v>
      </c>
      <c r="I17" s="255">
        <v>60000</v>
      </c>
      <c r="J17" s="256">
        <v>60000</v>
      </c>
      <c r="K17" s="257">
        <v>318000</v>
      </c>
      <c r="L17" s="258">
        <v>0</v>
      </c>
      <c r="M17" s="258">
        <f t="shared" si="0"/>
        <v>318000</v>
      </c>
      <c r="N17" s="258">
        <v>-88753.873333333322</v>
      </c>
      <c r="O17" s="258">
        <v>-71443.999999999796</v>
      </c>
      <c r="P17" s="258">
        <v>-16383.966049617176</v>
      </c>
      <c r="Q17" s="258">
        <f t="shared" si="1"/>
        <v>141418.1606170497</v>
      </c>
      <c r="R17" s="259">
        <f t="shared" si="2"/>
        <v>0.44471119690896133</v>
      </c>
      <c r="S17" s="255">
        <f t="shared" si="3"/>
        <v>5.3</v>
      </c>
      <c r="T17" s="255">
        <f t="shared" si="3"/>
        <v>5.3</v>
      </c>
      <c r="U17" s="254">
        <v>100100</v>
      </c>
      <c r="V17" s="254" t="s">
        <v>834</v>
      </c>
      <c r="W17" s="254" t="s">
        <v>882</v>
      </c>
      <c r="X17" s="254" t="s">
        <v>446</v>
      </c>
      <c r="Y17" s="254" t="s">
        <v>836</v>
      </c>
      <c r="Z17" s="254" t="s">
        <v>837</v>
      </c>
      <c r="AA17" s="254" t="s">
        <v>838</v>
      </c>
    </row>
    <row r="18" spans="1:27" ht="14.4" x14ac:dyDescent="0.3">
      <c r="A18" s="253">
        <v>11</v>
      </c>
      <c r="B18" s="254" t="s">
        <v>830</v>
      </c>
      <c r="C18" s="254">
        <v>3273</v>
      </c>
      <c r="D18" s="254" t="s">
        <v>79</v>
      </c>
      <c r="E18" s="254" t="str">
        <f>_xlfn.XLOOKUP(C18,Clientes!I:I,Clientes!F:F)</f>
        <v>FERTIMAXI - CONCEICAO DO JACUIPE</v>
      </c>
      <c r="F18" s="254">
        <v>2</v>
      </c>
      <c r="G18" s="254" t="s">
        <v>875</v>
      </c>
      <c r="H18" s="254" t="s">
        <v>883</v>
      </c>
      <c r="I18" s="255">
        <v>60000</v>
      </c>
      <c r="J18" s="256">
        <v>60000</v>
      </c>
      <c r="K18" s="257">
        <v>157800</v>
      </c>
      <c r="L18" s="258">
        <v>-11046.000000000002</v>
      </c>
      <c r="M18" s="258">
        <f t="shared" si="0"/>
        <v>146754</v>
      </c>
      <c r="N18" s="258">
        <v>-29748.579999999994</v>
      </c>
      <c r="O18" s="258">
        <v>-37350.69</v>
      </c>
      <c r="P18" s="258">
        <v>-39.493399163990894</v>
      </c>
      <c r="Q18" s="258">
        <f t="shared" si="1"/>
        <v>79615.236600836026</v>
      </c>
      <c r="R18" s="259">
        <f t="shared" si="2"/>
        <v>0.54250811971623281</v>
      </c>
      <c r="S18" s="255">
        <f t="shared" si="3"/>
        <v>2.63</v>
      </c>
      <c r="T18" s="255">
        <f t="shared" si="3"/>
        <v>2.63</v>
      </c>
      <c r="U18" s="254">
        <v>100100</v>
      </c>
      <c r="V18" s="254" t="s">
        <v>834</v>
      </c>
      <c r="W18" s="254" t="s">
        <v>884</v>
      </c>
      <c r="X18" s="254" t="s">
        <v>446</v>
      </c>
      <c r="Y18" s="254" t="s">
        <v>843</v>
      </c>
      <c r="Z18" s="254" t="s">
        <v>837</v>
      </c>
      <c r="AA18" s="254" t="s">
        <v>838</v>
      </c>
    </row>
    <row r="19" spans="1:27" ht="14.4" x14ac:dyDescent="0.3">
      <c r="A19" s="253">
        <v>11</v>
      </c>
      <c r="B19" s="254" t="s">
        <v>830</v>
      </c>
      <c r="C19" s="254">
        <v>33</v>
      </c>
      <c r="D19" s="254" t="s">
        <v>885</v>
      </c>
      <c r="E19" s="254" t="str">
        <f>_xlfn.XLOOKUP(C19,Clientes!I:I,Clientes!F:F)</f>
        <v>GRUPO HERINGER</v>
      </c>
      <c r="F19" s="254">
        <v>7384</v>
      </c>
      <c r="G19" s="254" t="s">
        <v>862</v>
      </c>
      <c r="H19" s="254" t="s">
        <v>856</v>
      </c>
      <c r="I19" s="255">
        <v>15000</v>
      </c>
      <c r="J19" s="256">
        <v>15000</v>
      </c>
      <c r="K19" s="257">
        <v>45000</v>
      </c>
      <c r="L19" s="258">
        <v>-5400</v>
      </c>
      <c r="M19" s="258">
        <f t="shared" si="0"/>
        <v>39600</v>
      </c>
      <c r="N19" s="258">
        <v>-10219.569696969698</v>
      </c>
      <c r="O19" s="258">
        <v>-10935.990696618001</v>
      </c>
      <c r="P19" s="258">
        <v>-11.563359226703055</v>
      </c>
      <c r="Q19" s="258">
        <f t="shared" si="1"/>
        <v>18432.876247185595</v>
      </c>
      <c r="R19" s="259">
        <f t="shared" si="2"/>
        <v>0.46547667290872713</v>
      </c>
      <c r="S19" s="255">
        <f t="shared" si="3"/>
        <v>3</v>
      </c>
      <c r="T19" s="255">
        <f t="shared" si="3"/>
        <v>3</v>
      </c>
      <c r="U19" s="254">
        <v>100100</v>
      </c>
      <c r="V19" s="254" t="s">
        <v>834</v>
      </c>
      <c r="W19" s="254" t="s">
        <v>864</v>
      </c>
      <c r="X19" s="254" t="s">
        <v>446</v>
      </c>
      <c r="Y19" s="254" t="s">
        <v>843</v>
      </c>
      <c r="Z19" s="254" t="s">
        <v>837</v>
      </c>
      <c r="AA19" s="254" t="s">
        <v>838</v>
      </c>
    </row>
    <row r="20" spans="1:27" ht="14.4" x14ac:dyDescent="0.3">
      <c r="A20" s="253">
        <v>11</v>
      </c>
      <c r="B20" s="254" t="s">
        <v>830</v>
      </c>
      <c r="C20" s="254">
        <v>2809</v>
      </c>
      <c r="D20" s="254" t="s">
        <v>159</v>
      </c>
      <c r="E20" s="254" t="str">
        <f>_xlfn.XLOOKUP(C20,Clientes!I:I,Clientes!F:F)</f>
        <v>CISBRA QUIMICA - FORMOSA</v>
      </c>
      <c r="F20" s="254">
        <v>1043</v>
      </c>
      <c r="G20" s="254" t="s">
        <v>867</v>
      </c>
      <c r="H20" s="254" t="s">
        <v>860</v>
      </c>
      <c r="I20" s="255">
        <v>30000</v>
      </c>
      <c r="J20" s="256">
        <v>30000</v>
      </c>
      <c r="K20" s="257">
        <v>55500</v>
      </c>
      <c r="L20" s="258">
        <v>-3885.0000000000005</v>
      </c>
      <c r="M20" s="258">
        <f t="shared" si="0"/>
        <v>51615</v>
      </c>
      <c r="N20" s="258">
        <v>-11608.421854304634</v>
      </c>
      <c r="O20" s="258">
        <v>-7786.1822999999995</v>
      </c>
      <c r="P20" s="258">
        <v>-8.2328547488011772</v>
      </c>
      <c r="Q20" s="258">
        <f t="shared" si="1"/>
        <v>32212.16299094657</v>
      </c>
      <c r="R20" s="259">
        <f t="shared" si="2"/>
        <v>0.62408530448409516</v>
      </c>
      <c r="S20" s="255">
        <f t="shared" si="3"/>
        <v>1.85</v>
      </c>
      <c r="T20" s="255">
        <f t="shared" si="3"/>
        <v>1.85</v>
      </c>
      <c r="U20" s="254">
        <v>100100</v>
      </c>
      <c r="V20" s="254" t="s">
        <v>834</v>
      </c>
      <c r="W20" s="254" t="s">
        <v>886</v>
      </c>
      <c r="X20" s="254" t="s">
        <v>446</v>
      </c>
      <c r="Y20" s="254" t="s">
        <v>843</v>
      </c>
      <c r="Z20" s="254" t="s">
        <v>837</v>
      </c>
      <c r="AA20" s="254" t="s">
        <v>838</v>
      </c>
    </row>
    <row r="21" spans="1:27" ht="14.4" x14ac:dyDescent="0.3">
      <c r="A21" s="253">
        <v>11</v>
      </c>
      <c r="B21" s="254" t="s">
        <v>830</v>
      </c>
      <c r="C21" s="254">
        <v>7022</v>
      </c>
      <c r="D21" s="254" t="s">
        <v>89</v>
      </c>
      <c r="E21" s="254" t="str">
        <f>_xlfn.XLOOKUP(C21,Clientes!I:I,Clientes!F:F)</f>
        <v>STRATOS - ROSARIO DO CATETE</v>
      </c>
      <c r="F21" s="254">
        <v>1043</v>
      </c>
      <c r="G21" s="254" t="s">
        <v>887</v>
      </c>
      <c r="H21" s="254" t="s">
        <v>860</v>
      </c>
      <c r="I21" s="255">
        <v>120000</v>
      </c>
      <c r="J21" s="256">
        <v>120000</v>
      </c>
      <c r="K21" s="257">
        <v>289200</v>
      </c>
      <c r="L21" s="258">
        <v>-20244.000000000004</v>
      </c>
      <c r="M21" s="258">
        <f t="shared" si="0"/>
        <v>268956</v>
      </c>
      <c r="N21" s="258">
        <v>-46433.687417218534</v>
      </c>
      <c r="O21" s="258">
        <v>-100846.0043136</v>
      </c>
      <c r="P21" s="258">
        <v>-106.63126979583382</v>
      </c>
      <c r="Q21" s="258">
        <f t="shared" si="1"/>
        <v>121569.67699938564</v>
      </c>
      <c r="R21" s="259">
        <f t="shared" si="2"/>
        <v>0.45200581879335522</v>
      </c>
      <c r="S21" s="255">
        <f t="shared" si="3"/>
        <v>2.41</v>
      </c>
      <c r="T21" s="255">
        <f t="shared" si="3"/>
        <v>2.41</v>
      </c>
      <c r="U21" s="254">
        <v>100100</v>
      </c>
      <c r="V21" s="254" t="s">
        <v>834</v>
      </c>
      <c r="W21" s="254" t="s">
        <v>888</v>
      </c>
      <c r="X21" s="254" t="s">
        <v>446</v>
      </c>
      <c r="Y21" s="254" t="s">
        <v>843</v>
      </c>
      <c r="Z21" s="254" t="s">
        <v>837</v>
      </c>
      <c r="AA21" s="254" t="s">
        <v>838</v>
      </c>
    </row>
    <row r="22" spans="1:27" ht="14.4" x14ac:dyDescent="0.3">
      <c r="A22" s="253">
        <v>11</v>
      </c>
      <c r="B22" s="254" t="s">
        <v>830</v>
      </c>
      <c r="C22" s="254">
        <v>1023</v>
      </c>
      <c r="D22" s="254" t="s">
        <v>49</v>
      </c>
      <c r="E22" s="254" t="str">
        <f>_xlfn.XLOOKUP(C22,Clientes!I:I,Clientes!F:F)</f>
        <v>GRUPO ADUBOS ARAGUAIA</v>
      </c>
      <c r="F22" s="254">
        <v>14133</v>
      </c>
      <c r="G22" s="254" t="s">
        <v>840</v>
      </c>
      <c r="H22" s="254" t="s">
        <v>841</v>
      </c>
      <c r="I22" s="255">
        <v>10000</v>
      </c>
      <c r="J22" s="256">
        <v>10000</v>
      </c>
      <c r="K22" s="257">
        <v>28600</v>
      </c>
      <c r="L22" s="258">
        <v>-2002.0000000000002</v>
      </c>
      <c r="M22" s="258">
        <f t="shared" si="0"/>
        <v>26598</v>
      </c>
      <c r="N22" s="258">
        <v>-12598.048275862066</v>
      </c>
      <c r="O22" s="258">
        <v>-6370.6096328029998</v>
      </c>
      <c r="P22" s="258">
        <v>-6.7360744646552524</v>
      </c>
      <c r="Q22" s="258">
        <f t="shared" si="1"/>
        <v>7622.6060168702797</v>
      </c>
      <c r="R22" s="259">
        <f t="shared" si="2"/>
        <v>0.28658568376833898</v>
      </c>
      <c r="S22" s="255">
        <f t="shared" si="3"/>
        <v>2.86</v>
      </c>
      <c r="T22" s="255">
        <f t="shared" si="3"/>
        <v>2.86</v>
      </c>
      <c r="U22" s="254">
        <v>100100</v>
      </c>
      <c r="V22" s="254" t="s">
        <v>834</v>
      </c>
      <c r="W22" s="254" t="s">
        <v>861</v>
      </c>
      <c r="X22" s="254" t="s">
        <v>446</v>
      </c>
      <c r="Y22" s="254" t="s">
        <v>843</v>
      </c>
      <c r="Z22" s="254" t="s">
        <v>837</v>
      </c>
      <c r="AA22" s="254" t="s">
        <v>838</v>
      </c>
    </row>
    <row r="23" spans="1:27" ht="14.4" x14ac:dyDescent="0.3">
      <c r="A23" s="253">
        <v>11</v>
      </c>
      <c r="B23" s="254" t="s">
        <v>830</v>
      </c>
      <c r="C23" s="254">
        <v>1936</v>
      </c>
      <c r="D23" s="254" t="s">
        <v>889</v>
      </c>
      <c r="E23" s="254" t="str">
        <f>_xlfn.XLOOKUP(C23,Clientes!I:I,Clientes!F:F)</f>
        <v>GRUPO AGRO INDUSTRIAL SAO LUIZ LTDA</v>
      </c>
      <c r="F23" s="254">
        <v>4</v>
      </c>
      <c r="G23" s="254" t="s">
        <v>862</v>
      </c>
      <c r="H23" s="254" t="s">
        <v>863</v>
      </c>
      <c r="I23" s="255">
        <v>45000</v>
      </c>
      <c r="J23" s="256">
        <v>45000</v>
      </c>
      <c r="K23" s="257">
        <v>179550</v>
      </c>
      <c r="L23" s="258">
        <v>-21546</v>
      </c>
      <c r="M23" s="258">
        <f t="shared" si="0"/>
        <v>158004</v>
      </c>
      <c r="N23" s="258">
        <v>-43281.578571428567</v>
      </c>
      <c r="O23" s="258">
        <v>0</v>
      </c>
      <c r="P23" s="258">
        <v>0</v>
      </c>
      <c r="Q23" s="258">
        <f t="shared" si="1"/>
        <v>114722.42142857143</v>
      </c>
      <c r="R23" s="259">
        <f t="shared" si="2"/>
        <v>0.72607289327214142</v>
      </c>
      <c r="S23" s="255">
        <f t="shared" si="3"/>
        <v>3.99</v>
      </c>
      <c r="T23" s="255">
        <f t="shared" si="3"/>
        <v>3.99</v>
      </c>
      <c r="U23" s="254">
        <v>100100</v>
      </c>
      <c r="V23" s="254" t="s">
        <v>834</v>
      </c>
      <c r="W23" s="254" t="s">
        <v>864</v>
      </c>
      <c r="X23" s="254" t="s">
        <v>446</v>
      </c>
      <c r="Y23" s="254" t="s">
        <v>843</v>
      </c>
      <c r="Z23" s="254" t="s">
        <v>837</v>
      </c>
      <c r="AA23" s="254" t="s">
        <v>838</v>
      </c>
    </row>
    <row r="24" spans="1:27" ht="14.4" x14ac:dyDescent="0.3">
      <c r="A24" s="253">
        <v>11</v>
      </c>
      <c r="B24" s="254" t="s">
        <v>830</v>
      </c>
      <c r="C24" s="254">
        <v>7103</v>
      </c>
      <c r="D24" s="254" t="s">
        <v>482</v>
      </c>
      <c r="E24" s="254" t="str">
        <f>_xlfn.XLOOKUP(C24,Clientes!I:I,Clientes!F:F)</f>
        <v>GRUPO MOSAIC FERTILIZANTES DO BRASIL</v>
      </c>
      <c r="F24" s="254">
        <v>1043</v>
      </c>
      <c r="G24" s="254" t="s">
        <v>867</v>
      </c>
      <c r="H24" s="254" t="s">
        <v>860</v>
      </c>
      <c r="I24" s="255">
        <v>30000</v>
      </c>
      <c r="J24" s="256">
        <v>30000</v>
      </c>
      <c r="K24" s="257">
        <v>57000</v>
      </c>
      <c r="L24" s="258">
        <v>-3990.0000000000005</v>
      </c>
      <c r="M24" s="258">
        <f t="shared" si="0"/>
        <v>53010</v>
      </c>
      <c r="N24" s="258">
        <v>-11608.421854304634</v>
      </c>
      <c r="O24" s="258">
        <v>-5688.7973999999995</v>
      </c>
      <c r="P24" s="258">
        <v>-6.0151484880539972</v>
      </c>
      <c r="Q24" s="258">
        <f t="shared" si="1"/>
        <v>35706.765597207319</v>
      </c>
      <c r="R24" s="259">
        <f t="shared" si="2"/>
        <v>0.67358546684035692</v>
      </c>
      <c r="S24" s="255">
        <f t="shared" si="3"/>
        <v>1.9</v>
      </c>
      <c r="T24" s="255">
        <f t="shared" si="3"/>
        <v>1.9</v>
      </c>
      <c r="U24" s="254">
        <v>100100</v>
      </c>
      <c r="V24" s="254" t="s">
        <v>834</v>
      </c>
      <c r="W24" s="254" t="s">
        <v>890</v>
      </c>
      <c r="X24" s="254" t="s">
        <v>446</v>
      </c>
      <c r="Y24" s="254" t="s">
        <v>843</v>
      </c>
      <c r="Z24" s="254" t="s">
        <v>837</v>
      </c>
      <c r="AA24" s="254" t="s">
        <v>838</v>
      </c>
    </row>
    <row r="25" spans="1:27" ht="14.4" x14ac:dyDescent="0.3">
      <c r="A25" s="253">
        <v>11</v>
      </c>
      <c r="B25" s="254" t="s">
        <v>830</v>
      </c>
      <c r="C25" s="254">
        <v>6124</v>
      </c>
      <c r="D25" s="254" t="s">
        <v>891</v>
      </c>
      <c r="E25" s="254" t="str">
        <f>_xlfn.XLOOKUP(C25,Clientes!I:I,Clientes!F:F)</f>
        <v>GRUPO MOSAIC FERTILIZANTES DO BRASIL</v>
      </c>
      <c r="F25" s="254">
        <v>1043</v>
      </c>
      <c r="G25" s="254" t="s">
        <v>855</v>
      </c>
      <c r="H25" s="254" t="s">
        <v>860</v>
      </c>
      <c r="I25" s="255">
        <v>30000</v>
      </c>
      <c r="J25" s="256">
        <v>30000</v>
      </c>
      <c r="K25" s="257">
        <v>50700</v>
      </c>
      <c r="L25" s="258">
        <v>0</v>
      </c>
      <c r="M25" s="258">
        <f t="shared" si="0"/>
        <v>50700</v>
      </c>
      <c r="N25" s="258">
        <v>-11608.421854304634</v>
      </c>
      <c r="O25" s="258">
        <v>-2442.1605</v>
      </c>
      <c r="P25" s="258">
        <v>-2.5822607145686352</v>
      </c>
      <c r="Q25" s="258">
        <f t="shared" si="1"/>
        <v>36646.835384980805</v>
      </c>
      <c r="R25" s="259">
        <f t="shared" si="2"/>
        <v>0.72281726597595275</v>
      </c>
      <c r="S25" s="255">
        <f t="shared" si="3"/>
        <v>1.69</v>
      </c>
      <c r="T25" s="255">
        <f t="shared" si="3"/>
        <v>1.69</v>
      </c>
      <c r="U25" s="254">
        <v>100100</v>
      </c>
      <c r="V25" s="254" t="s">
        <v>834</v>
      </c>
      <c r="W25" s="254" t="s">
        <v>892</v>
      </c>
      <c r="X25" s="254" t="s">
        <v>446</v>
      </c>
      <c r="Y25" s="254" t="s">
        <v>843</v>
      </c>
      <c r="Z25" s="254" t="s">
        <v>837</v>
      </c>
      <c r="AA25" s="254" t="s">
        <v>838</v>
      </c>
    </row>
    <row r="26" spans="1:27" ht="14.4" x14ac:dyDescent="0.3">
      <c r="A26" s="253">
        <v>11</v>
      </c>
      <c r="B26" s="254" t="s">
        <v>830</v>
      </c>
      <c r="C26" s="254">
        <v>3142</v>
      </c>
      <c r="D26" s="254" t="s">
        <v>78</v>
      </c>
      <c r="E26" s="254" t="str">
        <f>_xlfn.XLOOKUP(C26,Clientes!I:I,Clientes!F:F)</f>
        <v>INTERFERTIL - SAO FRANCISCO DO SUL</v>
      </c>
      <c r="F26" s="254">
        <v>1</v>
      </c>
      <c r="G26" s="254" t="s">
        <v>893</v>
      </c>
      <c r="H26" s="254" t="s">
        <v>873</v>
      </c>
      <c r="I26" s="255">
        <v>30000</v>
      </c>
      <c r="J26" s="256">
        <v>30000</v>
      </c>
      <c r="K26" s="257">
        <v>83100</v>
      </c>
      <c r="L26" s="258">
        <v>-9972</v>
      </c>
      <c r="M26" s="258">
        <f t="shared" si="0"/>
        <v>73128</v>
      </c>
      <c r="N26" s="258">
        <v>-19360.944444444434</v>
      </c>
      <c r="O26" s="258">
        <v>-16807.8105</v>
      </c>
      <c r="P26" s="258">
        <v>-17.772029623795902</v>
      </c>
      <c r="Q26" s="258">
        <f t="shared" si="1"/>
        <v>36941.473025931766</v>
      </c>
      <c r="R26" s="259">
        <f t="shared" si="2"/>
        <v>0.50516181251957892</v>
      </c>
      <c r="S26" s="255">
        <f t="shared" si="3"/>
        <v>2.77</v>
      </c>
      <c r="T26" s="255">
        <f t="shared" si="3"/>
        <v>2.77</v>
      </c>
      <c r="U26" s="254">
        <v>100100</v>
      </c>
      <c r="V26" s="254" t="s">
        <v>834</v>
      </c>
      <c r="W26" s="254" t="s">
        <v>894</v>
      </c>
      <c r="X26" s="254" t="s">
        <v>446</v>
      </c>
      <c r="Y26" s="254" t="s">
        <v>843</v>
      </c>
      <c r="Z26" s="254" t="s">
        <v>837</v>
      </c>
      <c r="AA26" s="254" t="s">
        <v>838</v>
      </c>
    </row>
    <row r="27" spans="1:27" ht="14.4" x14ac:dyDescent="0.3">
      <c r="A27" s="253">
        <v>11</v>
      </c>
      <c r="B27" s="254" t="s">
        <v>830</v>
      </c>
      <c r="C27" s="254">
        <v>87</v>
      </c>
      <c r="D27" s="254" t="s">
        <v>218</v>
      </c>
      <c r="E27" s="254" t="str">
        <f>_xlfn.XLOOKUP(C27,Clientes!I:I,Clientes!F:F)</f>
        <v>GRUPO ADUBOS ARAGUAIA</v>
      </c>
      <c r="F27" s="254">
        <v>14133</v>
      </c>
      <c r="G27" s="254" t="s">
        <v>867</v>
      </c>
      <c r="H27" s="254" t="s">
        <v>841</v>
      </c>
      <c r="I27" s="255">
        <v>6000</v>
      </c>
      <c r="J27" s="256">
        <v>6000</v>
      </c>
      <c r="K27" s="257">
        <v>16500</v>
      </c>
      <c r="L27" s="258">
        <v>-1155</v>
      </c>
      <c r="M27" s="258">
        <f t="shared" si="0"/>
        <v>15345</v>
      </c>
      <c r="N27" s="258">
        <v>-7558.8289655172393</v>
      </c>
      <c r="O27" s="258">
        <v>-1045.8193200000001</v>
      </c>
      <c r="P27" s="258">
        <v>-1.105815176591745</v>
      </c>
      <c r="Q27" s="258">
        <f t="shared" si="1"/>
        <v>6739.2458993061682</v>
      </c>
      <c r="R27" s="259">
        <f t="shared" si="2"/>
        <v>0.4391818767876291</v>
      </c>
      <c r="S27" s="255">
        <f t="shared" si="3"/>
        <v>2.75</v>
      </c>
      <c r="T27" s="255">
        <f t="shared" si="3"/>
        <v>2.75</v>
      </c>
      <c r="U27" s="254">
        <v>100100</v>
      </c>
      <c r="V27" s="254" t="s">
        <v>834</v>
      </c>
      <c r="W27" s="254" t="s">
        <v>871</v>
      </c>
      <c r="X27" s="254" t="s">
        <v>446</v>
      </c>
      <c r="Y27" s="254" t="s">
        <v>843</v>
      </c>
      <c r="Z27" s="254" t="s">
        <v>837</v>
      </c>
      <c r="AA27" s="254" t="s">
        <v>838</v>
      </c>
    </row>
    <row r="28" spans="1:27" ht="14.4" x14ac:dyDescent="0.3">
      <c r="A28" s="253">
        <v>11</v>
      </c>
      <c r="B28" s="254" t="s">
        <v>830</v>
      </c>
      <c r="C28" s="254">
        <v>11133</v>
      </c>
      <c r="D28" s="254" t="s">
        <v>895</v>
      </c>
      <c r="E28" s="254" t="str">
        <f>_xlfn.XLOOKUP(C28,Clientes!I:I,Clientes!F:F)</f>
        <v>GRUPO ADUBOS ARAGUAIA</v>
      </c>
      <c r="F28" s="254">
        <v>1</v>
      </c>
      <c r="G28" s="254" t="s">
        <v>862</v>
      </c>
      <c r="H28" s="254" t="s">
        <v>873</v>
      </c>
      <c r="I28" s="255">
        <v>15000</v>
      </c>
      <c r="J28" s="256">
        <v>15000</v>
      </c>
      <c r="K28" s="257">
        <v>38400</v>
      </c>
      <c r="L28" s="258">
        <v>-4608</v>
      </c>
      <c r="M28" s="258">
        <f t="shared" si="0"/>
        <v>33792</v>
      </c>
      <c r="N28" s="258">
        <v>-9680.4722222222172</v>
      </c>
      <c r="O28" s="258">
        <v>-10935.990696618001</v>
      </c>
      <c r="P28" s="258">
        <v>-11.563359226703055</v>
      </c>
      <c r="Q28" s="258">
        <f t="shared" si="1"/>
        <v>13163.973721933078</v>
      </c>
      <c r="R28" s="259">
        <f t="shared" si="2"/>
        <v>0.38955888144925066</v>
      </c>
      <c r="S28" s="255">
        <f t="shared" si="3"/>
        <v>2.56</v>
      </c>
      <c r="T28" s="255">
        <f t="shared" si="3"/>
        <v>2.56</v>
      </c>
      <c r="U28" s="254">
        <v>100100</v>
      </c>
      <c r="V28" s="254" t="s">
        <v>834</v>
      </c>
      <c r="W28" s="254" t="s">
        <v>864</v>
      </c>
      <c r="X28" s="254" t="s">
        <v>446</v>
      </c>
      <c r="Y28" s="254" t="s">
        <v>843</v>
      </c>
      <c r="Z28" s="254" t="s">
        <v>837</v>
      </c>
      <c r="AA28" s="254" t="s">
        <v>838</v>
      </c>
    </row>
    <row r="29" spans="1:27" ht="14.4" x14ac:dyDescent="0.3">
      <c r="A29" s="253">
        <v>11</v>
      </c>
      <c r="B29" s="254" t="s">
        <v>830</v>
      </c>
      <c r="C29" s="254">
        <v>6370</v>
      </c>
      <c r="D29" s="254" t="s">
        <v>264</v>
      </c>
      <c r="E29" s="254" t="str">
        <f>_xlfn.XLOOKUP(C29,Clientes!I:I,Clientes!F:F)</f>
        <v>YTL S.A. - PARAGUAI</v>
      </c>
      <c r="F29" s="254">
        <v>4067</v>
      </c>
      <c r="G29" s="254" t="s">
        <v>832</v>
      </c>
      <c r="H29" s="254" t="s">
        <v>881</v>
      </c>
      <c r="I29" s="255">
        <v>30000</v>
      </c>
      <c r="J29" s="256">
        <v>30000</v>
      </c>
      <c r="K29" s="257">
        <v>154200</v>
      </c>
      <c r="L29" s="258">
        <v>0</v>
      </c>
      <c r="M29" s="258">
        <f t="shared" si="0"/>
        <v>154200</v>
      </c>
      <c r="N29" s="258">
        <v>-44376.936666666661</v>
      </c>
      <c r="O29" s="258">
        <v>-30471.7248</v>
      </c>
      <c r="P29" s="258">
        <v>-8186.4315553660044</v>
      </c>
      <c r="Q29" s="258">
        <f t="shared" si="1"/>
        <v>71164.906977967345</v>
      </c>
      <c r="R29" s="259">
        <f t="shared" si="2"/>
        <v>0.46151042138759629</v>
      </c>
      <c r="S29" s="255">
        <f t="shared" si="3"/>
        <v>5.14</v>
      </c>
      <c r="T29" s="255">
        <f t="shared" si="3"/>
        <v>5.14</v>
      </c>
      <c r="U29" s="254">
        <v>100100</v>
      </c>
      <c r="V29" s="254" t="s">
        <v>834</v>
      </c>
      <c r="W29" s="254" t="s">
        <v>896</v>
      </c>
      <c r="X29" s="254" t="s">
        <v>446</v>
      </c>
      <c r="Y29" s="254" t="s">
        <v>836</v>
      </c>
      <c r="Z29" s="254" t="s">
        <v>837</v>
      </c>
      <c r="AA29" s="254" t="s">
        <v>838</v>
      </c>
    </row>
    <row r="30" spans="1:27" ht="14.4" x14ac:dyDescent="0.3">
      <c r="A30" s="253">
        <v>11</v>
      </c>
      <c r="B30" s="254" t="s">
        <v>830</v>
      </c>
      <c r="C30" s="254">
        <v>2011</v>
      </c>
      <c r="D30" s="254" t="s">
        <v>616</v>
      </c>
      <c r="E30" s="254" t="str">
        <f>_xlfn.XLOOKUP(C30,Clientes!I:I,Clientes!F:F)</f>
        <v>FERTGROW S.A</v>
      </c>
      <c r="F30" s="254">
        <v>6654</v>
      </c>
      <c r="G30" s="254" t="s">
        <v>897</v>
      </c>
      <c r="H30" s="254" t="s">
        <v>898</v>
      </c>
      <c r="I30" s="255">
        <v>30000</v>
      </c>
      <c r="J30" s="256">
        <v>30000</v>
      </c>
      <c r="K30" s="257">
        <v>81000</v>
      </c>
      <c r="L30" s="258">
        <v>-5670.0000000000009</v>
      </c>
      <c r="M30" s="258">
        <f t="shared" si="0"/>
        <v>75330</v>
      </c>
      <c r="N30" s="258">
        <v>-11441.170000000004</v>
      </c>
      <c r="O30" s="258">
        <v>-26461.527299999998</v>
      </c>
      <c r="P30" s="258">
        <v>-27.979554330796621</v>
      </c>
      <c r="Q30" s="258">
        <f t="shared" si="1"/>
        <v>37399.323145669201</v>
      </c>
      <c r="R30" s="259">
        <f t="shared" si="2"/>
        <v>0.49647316003808845</v>
      </c>
      <c r="S30" s="255">
        <f t="shared" si="3"/>
        <v>2.7</v>
      </c>
      <c r="T30" s="255">
        <f t="shared" si="3"/>
        <v>2.7</v>
      </c>
      <c r="U30" s="254">
        <v>100100</v>
      </c>
      <c r="V30" s="254" t="s">
        <v>834</v>
      </c>
      <c r="W30" s="254" t="s">
        <v>899</v>
      </c>
      <c r="X30" s="254" t="s">
        <v>446</v>
      </c>
      <c r="Y30" s="254" t="s">
        <v>843</v>
      </c>
      <c r="Z30" s="254" t="s">
        <v>837</v>
      </c>
      <c r="AA30" s="254" t="s">
        <v>838</v>
      </c>
    </row>
    <row r="31" spans="1:27" ht="14.4" x14ac:dyDescent="0.3">
      <c r="A31" s="253">
        <v>11</v>
      </c>
      <c r="B31" s="254" t="s">
        <v>830</v>
      </c>
      <c r="C31" s="254">
        <v>87</v>
      </c>
      <c r="D31" s="254" t="s">
        <v>218</v>
      </c>
      <c r="E31" s="254" t="str">
        <f>_xlfn.XLOOKUP(C31,Clientes!I:I,Clientes!F:F)</f>
        <v>GRUPO ADUBOS ARAGUAIA</v>
      </c>
      <c r="F31" s="254">
        <v>1</v>
      </c>
      <c r="G31" s="254" t="s">
        <v>867</v>
      </c>
      <c r="H31" s="254" t="s">
        <v>873</v>
      </c>
      <c r="I31" s="255">
        <v>30000</v>
      </c>
      <c r="J31" s="256">
        <v>30000</v>
      </c>
      <c r="K31" s="257">
        <v>64500</v>
      </c>
      <c r="L31" s="258">
        <v>-4515</v>
      </c>
      <c r="M31" s="258">
        <f t="shared" si="0"/>
        <v>59985</v>
      </c>
      <c r="N31" s="258">
        <v>-19360.944444444434</v>
      </c>
      <c r="O31" s="258">
        <v>-2442.1605</v>
      </c>
      <c r="P31" s="258">
        <v>-2.5822607145686352</v>
      </c>
      <c r="Q31" s="258">
        <f t="shared" si="1"/>
        <v>38179.312794840997</v>
      </c>
      <c r="R31" s="259">
        <f t="shared" si="2"/>
        <v>0.63648100016405762</v>
      </c>
      <c r="S31" s="255">
        <f t="shared" si="3"/>
        <v>2.15</v>
      </c>
      <c r="T31" s="255">
        <f t="shared" si="3"/>
        <v>2.15</v>
      </c>
      <c r="U31" s="254">
        <v>100100</v>
      </c>
      <c r="V31" s="254" t="s">
        <v>834</v>
      </c>
      <c r="W31" s="254" t="s">
        <v>871</v>
      </c>
      <c r="X31" s="254" t="s">
        <v>446</v>
      </c>
      <c r="Y31" s="254" t="s">
        <v>843</v>
      </c>
      <c r="Z31" s="254" t="s">
        <v>837</v>
      </c>
      <c r="AA31" s="254" t="s">
        <v>838</v>
      </c>
    </row>
    <row r="32" spans="1:27" ht="14.4" x14ac:dyDescent="0.3">
      <c r="A32" s="253">
        <v>11</v>
      </c>
      <c r="B32" s="254" t="s">
        <v>830</v>
      </c>
      <c r="C32" s="254">
        <v>452</v>
      </c>
      <c r="D32" s="254" t="s">
        <v>900</v>
      </c>
      <c r="E32" s="254" t="str">
        <f>_xlfn.XLOOKUP(C32,Clientes!I:I,Clientes!F:F)</f>
        <v>GRUPO FERTIPAR FERTILIZANTES MARANHAO</v>
      </c>
      <c r="F32" s="254">
        <v>2</v>
      </c>
      <c r="G32" s="254" t="s">
        <v>897</v>
      </c>
      <c r="H32" s="254" t="s">
        <v>883</v>
      </c>
      <c r="I32" s="255">
        <v>30000</v>
      </c>
      <c r="J32" s="256">
        <v>30000</v>
      </c>
      <c r="K32" s="257">
        <v>71100</v>
      </c>
      <c r="L32" s="258">
        <v>-4977.0000000000009</v>
      </c>
      <c r="M32" s="258">
        <f t="shared" si="0"/>
        <v>66123</v>
      </c>
      <c r="N32" s="258">
        <v>-14874.289999999997</v>
      </c>
      <c r="O32" s="258">
        <v>-26461.527299999998</v>
      </c>
      <c r="P32" s="258">
        <v>-27.979554330796621</v>
      </c>
      <c r="Q32" s="258">
        <f t="shared" si="1"/>
        <v>24759.203145669213</v>
      </c>
      <c r="R32" s="259">
        <f t="shared" si="2"/>
        <v>0.37444161858459557</v>
      </c>
      <c r="S32" s="255">
        <f t="shared" si="3"/>
        <v>2.37</v>
      </c>
      <c r="T32" s="255">
        <f t="shared" si="3"/>
        <v>2.37</v>
      </c>
      <c r="U32" s="254">
        <v>100100</v>
      </c>
      <c r="V32" s="254" t="s">
        <v>834</v>
      </c>
      <c r="W32" s="254" t="s">
        <v>899</v>
      </c>
      <c r="X32" s="254" t="s">
        <v>446</v>
      </c>
      <c r="Y32" s="254" t="s">
        <v>843</v>
      </c>
      <c r="Z32" s="254" t="s">
        <v>837</v>
      </c>
      <c r="AA32" s="254" t="s">
        <v>838</v>
      </c>
    </row>
    <row r="33" spans="1:27" ht="14.4" x14ac:dyDescent="0.3">
      <c r="A33" s="253">
        <v>11</v>
      </c>
      <c r="B33" s="254" t="s">
        <v>830</v>
      </c>
      <c r="C33" s="254">
        <v>6477</v>
      </c>
      <c r="D33" s="254" t="s">
        <v>87</v>
      </c>
      <c r="E33" s="254" t="str">
        <f>_xlfn.XLOOKUP(C33,Clientes!I:I,Clientes!F:F)</f>
        <v>GRUPO MOSAIC FERTILIZANTES DO BRASIL</v>
      </c>
      <c r="F33" s="254">
        <v>1043</v>
      </c>
      <c r="G33" s="254" t="s">
        <v>862</v>
      </c>
      <c r="H33" s="254" t="s">
        <v>860</v>
      </c>
      <c r="I33" s="255">
        <v>15000</v>
      </c>
      <c r="J33" s="256">
        <v>15000</v>
      </c>
      <c r="K33" s="257">
        <v>32850</v>
      </c>
      <c r="L33" s="258">
        <v>-3942</v>
      </c>
      <c r="M33" s="258">
        <f t="shared" si="0"/>
        <v>28908</v>
      </c>
      <c r="N33" s="258">
        <v>-5804.2109271523168</v>
      </c>
      <c r="O33" s="258">
        <v>-10935.990696618001</v>
      </c>
      <c r="P33" s="258">
        <v>-11.563359226703055</v>
      </c>
      <c r="Q33" s="258">
        <f t="shared" si="1"/>
        <v>12156.235017002982</v>
      </c>
      <c r="R33" s="259">
        <f t="shared" si="2"/>
        <v>0.42051456403082133</v>
      </c>
      <c r="S33" s="255">
        <f t="shared" si="3"/>
        <v>2.19</v>
      </c>
      <c r="T33" s="255">
        <f t="shared" si="3"/>
        <v>2.19</v>
      </c>
      <c r="U33" s="254">
        <v>100100</v>
      </c>
      <c r="V33" s="254" t="s">
        <v>834</v>
      </c>
      <c r="W33" s="254" t="s">
        <v>864</v>
      </c>
      <c r="X33" s="254" t="s">
        <v>446</v>
      </c>
      <c r="Y33" s="254" t="s">
        <v>843</v>
      </c>
      <c r="Z33" s="254" t="s">
        <v>837</v>
      </c>
      <c r="AA33" s="254" t="s">
        <v>838</v>
      </c>
    </row>
    <row r="34" spans="1:27" ht="14.4" x14ac:dyDescent="0.3">
      <c r="A34" s="253">
        <v>11</v>
      </c>
      <c r="B34" s="254" t="s">
        <v>830</v>
      </c>
      <c r="C34" s="254">
        <v>5731</v>
      </c>
      <c r="D34" s="254" t="s">
        <v>901</v>
      </c>
      <c r="E34" s="254" t="str">
        <f>_xlfn.XLOOKUP(C34,Clientes!I:I,Clientes!F:F)</f>
        <v>FERTILIZANTES ALIANÇA - APARECIDA DE GOI</v>
      </c>
      <c r="F34" s="254">
        <v>14133</v>
      </c>
      <c r="G34" s="254" t="s">
        <v>867</v>
      </c>
      <c r="H34" s="254" t="s">
        <v>841</v>
      </c>
      <c r="I34" s="255">
        <v>6000</v>
      </c>
      <c r="J34" s="256">
        <v>6000</v>
      </c>
      <c r="K34" s="257">
        <v>16200</v>
      </c>
      <c r="L34" s="258">
        <v>-1134</v>
      </c>
      <c r="M34" s="258">
        <f t="shared" si="0"/>
        <v>15066</v>
      </c>
      <c r="N34" s="258">
        <v>-7558.8289655172393</v>
      </c>
      <c r="O34" s="258">
        <v>-2558.8542470399998</v>
      </c>
      <c r="P34" s="258">
        <v>-2.7056488696948855</v>
      </c>
      <c r="Q34" s="258">
        <f t="shared" si="1"/>
        <v>4945.6111385730655</v>
      </c>
      <c r="R34" s="259">
        <f t="shared" si="2"/>
        <v>0.32826305181023929</v>
      </c>
      <c r="S34" s="255">
        <f t="shared" si="3"/>
        <v>2.7</v>
      </c>
      <c r="T34" s="255">
        <f t="shared" si="3"/>
        <v>2.7</v>
      </c>
      <c r="U34" s="254">
        <v>100100</v>
      </c>
      <c r="V34" s="254" t="s">
        <v>834</v>
      </c>
      <c r="W34" s="254" t="s">
        <v>902</v>
      </c>
      <c r="X34" s="254" t="s">
        <v>446</v>
      </c>
      <c r="Y34" s="254" t="s">
        <v>843</v>
      </c>
      <c r="Z34" s="254" t="s">
        <v>837</v>
      </c>
      <c r="AA34" s="254" t="s">
        <v>838</v>
      </c>
    </row>
    <row r="35" spans="1:27" ht="14.4" x14ac:dyDescent="0.3">
      <c r="A35" s="253">
        <v>11</v>
      </c>
      <c r="B35" s="254" t="s">
        <v>830</v>
      </c>
      <c r="C35" s="254">
        <v>1998</v>
      </c>
      <c r="D35" s="254" t="s">
        <v>644</v>
      </c>
      <c r="E35" s="254" t="str">
        <f>_xlfn.XLOOKUP(C35,Clientes!I:I,Clientes!F:F)</f>
        <v>FERTIMAIS FERTILIZANTES</v>
      </c>
      <c r="F35" s="254">
        <v>14130</v>
      </c>
      <c r="G35" s="254" t="s">
        <v>867</v>
      </c>
      <c r="H35" s="254" t="s">
        <v>903</v>
      </c>
      <c r="I35" s="255">
        <v>2000</v>
      </c>
      <c r="J35" s="256">
        <v>2000</v>
      </c>
      <c r="K35" s="257">
        <v>7000</v>
      </c>
      <c r="L35" s="258">
        <v>-490.00000000000006</v>
      </c>
      <c r="M35" s="258">
        <f t="shared" si="0"/>
        <v>6510</v>
      </c>
      <c r="N35" s="258">
        <v>-2485.17</v>
      </c>
      <c r="O35" s="258">
        <v>-348.60643999999996</v>
      </c>
      <c r="P35" s="258">
        <v>-0.36860505886391498</v>
      </c>
      <c r="Q35" s="258">
        <f t="shared" si="1"/>
        <v>3675.8549549411359</v>
      </c>
      <c r="R35" s="259">
        <f t="shared" si="2"/>
        <v>0.56464745851630349</v>
      </c>
      <c r="S35" s="255">
        <f t="shared" si="3"/>
        <v>3.5</v>
      </c>
      <c r="T35" s="255">
        <f t="shared" si="3"/>
        <v>3.5</v>
      </c>
      <c r="U35" s="254">
        <v>100100</v>
      </c>
      <c r="V35" s="254" t="s">
        <v>834</v>
      </c>
      <c r="W35" s="254" t="s">
        <v>871</v>
      </c>
      <c r="X35" s="254" t="s">
        <v>446</v>
      </c>
      <c r="Y35" s="254" t="s">
        <v>843</v>
      </c>
      <c r="Z35" s="254" t="s">
        <v>837</v>
      </c>
      <c r="AA35" s="254" t="s">
        <v>838</v>
      </c>
    </row>
    <row r="36" spans="1:27" ht="14.4" x14ac:dyDescent="0.3">
      <c r="A36" s="253">
        <v>11</v>
      </c>
      <c r="B36" s="254" t="s">
        <v>830</v>
      </c>
      <c r="C36" s="254">
        <v>97</v>
      </c>
      <c r="D36" s="254" t="s">
        <v>300</v>
      </c>
      <c r="E36" s="254" t="str">
        <f>_xlfn.XLOOKUP(C36,Clientes!I:I,Clientes!F:F)</f>
        <v>FECOAGRO FEDERACAO DAS COOPERATIVAS</v>
      </c>
      <c r="F36" s="254">
        <v>148</v>
      </c>
      <c r="G36" s="254" t="s">
        <v>893</v>
      </c>
      <c r="H36" s="254" t="s">
        <v>904</v>
      </c>
      <c r="I36" s="255">
        <v>32000</v>
      </c>
      <c r="J36" s="256">
        <v>32000</v>
      </c>
      <c r="K36" s="257">
        <v>112000</v>
      </c>
      <c r="L36" s="258">
        <v>-13440</v>
      </c>
      <c r="M36" s="258">
        <f t="shared" si="0"/>
        <v>98560</v>
      </c>
      <c r="N36" s="258">
        <v>-21369.143157894734</v>
      </c>
      <c r="O36" s="258">
        <v>-17928.331200000001</v>
      </c>
      <c r="P36" s="258">
        <v>-18.956831598715628</v>
      </c>
      <c r="Q36" s="258">
        <f t="shared" si="1"/>
        <v>59243.568810506549</v>
      </c>
      <c r="R36" s="259">
        <f t="shared" si="2"/>
        <v>0.60109140432737973</v>
      </c>
      <c r="S36" s="255">
        <f t="shared" si="3"/>
        <v>3.5</v>
      </c>
      <c r="T36" s="255">
        <f t="shared" si="3"/>
        <v>3.5</v>
      </c>
      <c r="U36" s="254">
        <v>100100</v>
      </c>
      <c r="V36" s="254" t="s">
        <v>834</v>
      </c>
      <c r="W36" s="254" t="s">
        <v>894</v>
      </c>
      <c r="X36" s="254" t="s">
        <v>446</v>
      </c>
      <c r="Y36" s="254" t="s">
        <v>843</v>
      </c>
      <c r="Z36" s="254" t="s">
        <v>837</v>
      </c>
      <c r="AA36" s="254" t="s">
        <v>838</v>
      </c>
    </row>
    <row r="37" spans="1:27" ht="14.4" x14ac:dyDescent="0.3">
      <c r="A37" s="253">
        <v>11</v>
      </c>
      <c r="B37" s="254" t="s">
        <v>830</v>
      </c>
      <c r="C37" s="254">
        <v>43</v>
      </c>
      <c r="D37" s="254" t="s">
        <v>674</v>
      </c>
      <c r="E37" s="254" t="str">
        <f>_xlfn.XLOOKUP(C37,Clientes!I:I,Clientes!F:F)</f>
        <v>GRUPO CIBRA</v>
      </c>
      <c r="F37" s="254">
        <v>148</v>
      </c>
      <c r="G37" s="254" t="s">
        <v>875</v>
      </c>
      <c r="H37" s="254" t="s">
        <v>904</v>
      </c>
      <c r="I37" s="255">
        <v>120000</v>
      </c>
      <c r="J37" s="256">
        <v>120000</v>
      </c>
      <c r="K37" s="257">
        <v>284400</v>
      </c>
      <c r="L37" s="258">
        <v>-19908.000000000004</v>
      </c>
      <c r="M37" s="258">
        <f t="shared" si="0"/>
        <v>264492</v>
      </c>
      <c r="N37" s="258">
        <v>-80134.286842105255</v>
      </c>
      <c r="O37" s="258">
        <v>-83049.650611200006</v>
      </c>
      <c r="P37" s="258">
        <v>-87.813986890686678</v>
      </c>
      <c r="Q37" s="258">
        <f t="shared" si="1"/>
        <v>101220.24855980404</v>
      </c>
      <c r="R37" s="259">
        <f t="shared" si="2"/>
        <v>0.38269682470473221</v>
      </c>
      <c r="S37" s="255">
        <f t="shared" si="3"/>
        <v>2.37</v>
      </c>
      <c r="T37" s="255">
        <f t="shared" si="3"/>
        <v>2.37</v>
      </c>
      <c r="U37" s="254">
        <v>100100</v>
      </c>
      <c r="V37" s="254" t="s">
        <v>834</v>
      </c>
      <c r="W37" s="254" t="s">
        <v>905</v>
      </c>
      <c r="X37" s="254" t="s">
        <v>446</v>
      </c>
      <c r="Y37" s="254" t="s">
        <v>843</v>
      </c>
      <c r="Z37" s="254" t="s">
        <v>837</v>
      </c>
      <c r="AA37" s="254" t="s">
        <v>838</v>
      </c>
    </row>
    <row r="38" spans="1:27" ht="14.4" x14ac:dyDescent="0.3">
      <c r="A38" s="253">
        <v>11</v>
      </c>
      <c r="B38" s="254" t="s">
        <v>830</v>
      </c>
      <c r="C38" s="254">
        <v>7102</v>
      </c>
      <c r="D38" s="254" t="s">
        <v>906</v>
      </c>
      <c r="E38" s="254" t="str">
        <f>_xlfn.XLOOKUP(C38,Clientes!I:I,Clientes!F:F)</f>
        <v>GRUPO MOSAIC FERTILIZANTES DO BRASIL</v>
      </c>
      <c r="F38" s="254">
        <v>1043</v>
      </c>
      <c r="G38" s="254" t="s">
        <v>840</v>
      </c>
      <c r="H38" s="254" t="s">
        <v>860</v>
      </c>
      <c r="I38" s="255">
        <v>60000</v>
      </c>
      <c r="J38" s="256">
        <v>60000</v>
      </c>
      <c r="K38" s="257">
        <v>122400</v>
      </c>
      <c r="L38" s="258">
        <v>-8568</v>
      </c>
      <c r="M38" s="258">
        <f t="shared" si="0"/>
        <v>113832</v>
      </c>
      <c r="N38" s="258">
        <v>-23216.843708609267</v>
      </c>
      <c r="O38" s="258">
        <v>-23961.904200000001</v>
      </c>
      <c r="P38" s="258">
        <v>-25.336534540591082</v>
      </c>
      <c r="Q38" s="258">
        <f t="shared" si="1"/>
        <v>66627.915556850145</v>
      </c>
      <c r="R38" s="259">
        <f t="shared" si="2"/>
        <v>0.58531797347714298</v>
      </c>
      <c r="S38" s="255">
        <f t="shared" si="3"/>
        <v>2.04</v>
      </c>
      <c r="T38" s="255">
        <f t="shared" si="3"/>
        <v>2.04</v>
      </c>
      <c r="U38" s="254">
        <v>100100</v>
      </c>
      <c r="V38" s="254" t="s">
        <v>834</v>
      </c>
      <c r="W38" s="254" t="s">
        <v>861</v>
      </c>
      <c r="X38" s="254" t="s">
        <v>446</v>
      </c>
      <c r="Y38" s="254" t="s">
        <v>843</v>
      </c>
      <c r="Z38" s="254" t="s">
        <v>837</v>
      </c>
      <c r="AA38" s="254" t="s">
        <v>838</v>
      </c>
    </row>
    <row r="39" spans="1:27" ht="14.4" x14ac:dyDescent="0.3">
      <c r="A39" s="253">
        <v>11</v>
      </c>
      <c r="B39" s="254" t="s">
        <v>830</v>
      </c>
      <c r="C39" s="254">
        <v>10492</v>
      </c>
      <c r="D39" s="254" t="s">
        <v>101</v>
      </c>
      <c r="E39" s="254" t="str">
        <f>_xlfn.XLOOKUP(C39,Clientes!I:I,Clientes!F:F)</f>
        <v>GRUPO UNIFERTIL</v>
      </c>
      <c r="F39" s="254">
        <v>3</v>
      </c>
      <c r="G39" s="254" t="s">
        <v>877</v>
      </c>
      <c r="H39" s="254" t="s">
        <v>879</v>
      </c>
      <c r="I39" s="255">
        <v>32000</v>
      </c>
      <c r="J39" s="256">
        <v>32000</v>
      </c>
      <c r="K39" s="257">
        <v>82880</v>
      </c>
      <c r="L39" s="258">
        <v>-9945.6</v>
      </c>
      <c r="M39" s="258">
        <f t="shared" si="0"/>
        <v>72934.399999999994</v>
      </c>
      <c r="N39" s="258">
        <v>-24078.215</v>
      </c>
      <c r="O39" s="258">
        <v>-26049.712</v>
      </c>
      <c r="P39" s="258">
        <v>-27.544114288732107</v>
      </c>
      <c r="Q39" s="258">
        <f t="shared" si="1"/>
        <v>22778.928885711266</v>
      </c>
      <c r="R39" s="259">
        <f t="shared" si="2"/>
        <v>0.31232078258971441</v>
      </c>
      <c r="S39" s="255">
        <f t="shared" si="3"/>
        <v>2.59</v>
      </c>
      <c r="T39" s="255">
        <f t="shared" si="3"/>
        <v>2.59</v>
      </c>
      <c r="U39" s="254">
        <v>100100</v>
      </c>
      <c r="V39" s="254" t="s">
        <v>834</v>
      </c>
      <c r="W39" s="254" t="s">
        <v>878</v>
      </c>
      <c r="X39" s="254" t="s">
        <v>446</v>
      </c>
      <c r="Y39" s="254" t="s">
        <v>843</v>
      </c>
      <c r="Z39" s="254" t="s">
        <v>837</v>
      </c>
      <c r="AA39" s="254" t="s">
        <v>838</v>
      </c>
    </row>
    <row r="40" spans="1:27" ht="14.4" x14ac:dyDescent="0.3">
      <c r="A40" s="253">
        <v>11</v>
      </c>
      <c r="B40" s="254" t="s">
        <v>830</v>
      </c>
      <c r="C40" s="254">
        <v>1462</v>
      </c>
      <c r="D40" s="254" t="s">
        <v>907</v>
      </c>
      <c r="E40" s="254" t="str">
        <f>_xlfn.XLOOKUP(C40,Clientes!I:I,Clientes!F:F)</f>
        <v>AURORA MINERAÇÃO LTDA</v>
      </c>
      <c r="F40" s="254">
        <v>1042</v>
      </c>
      <c r="G40" s="254" t="s">
        <v>908</v>
      </c>
      <c r="H40" s="254" t="s">
        <v>909</v>
      </c>
      <c r="I40" s="255">
        <v>45000</v>
      </c>
      <c r="J40" s="256">
        <v>45000</v>
      </c>
      <c r="K40" s="257">
        <v>75150</v>
      </c>
      <c r="L40" s="258">
        <v>-9018</v>
      </c>
      <c r="M40" s="258">
        <f t="shared" si="0"/>
        <v>66132</v>
      </c>
      <c r="N40" s="258">
        <v>-22491.879999999997</v>
      </c>
      <c r="O40" s="258">
        <v>0</v>
      </c>
      <c r="P40" s="258">
        <v>0</v>
      </c>
      <c r="Q40" s="258">
        <f t="shared" si="1"/>
        <v>43640.12</v>
      </c>
      <c r="R40" s="259">
        <f t="shared" si="2"/>
        <v>0.65989415109175598</v>
      </c>
      <c r="S40" s="255">
        <f t="shared" si="3"/>
        <v>1.67</v>
      </c>
      <c r="T40" s="255">
        <f t="shared" si="3"/>
        <v>1.67</v>
      </c>
      <c r="U40" s="254">
        <v>100100</v>
      </c>
      <c r="V40" s="254" t="s">
        <v>834</v>
      </c>
      <c r="W40" s="254" t="s">
        <v>910</v>
      </c>
      <c r="X40" s="254" t="s">
        <v>446</v>
      </c>
      <c r="Y40" s="254" t="s">
        <v>843</v>
      </c>
      <c r="Z40" s="254" t="s">
        <v>837</v>
      </c>
      <c r="AA40" s="254" t="s">
        <v>838</v>
      </c>
    </row>
    <row r="41" spans="1:27" ht="14.4" x14ac:dyDescent="0.3">
      <c r="A41" s="253">
        <v>11</v>
      </c>
      <c r="B41" s="254" t="s">
        <v>830</v>
      </c>
      <c r="C41" s="254">
        <v>252</v>
      </c>
      <c r="D41" s="254" t="s">
        <v>37</v>
      </c>
      <c r="E41" s="254" t="str">
        <f>_xlfn.XLOOKUP(C41,Clientes!I:I,Clientes!F:F)</f>
        <v>GRUPO FERTIPAR FERTILIZANTES PARANA</v>
      </c>
      <c r="F41" s="254">
        <v>10343</v>
      </c>
      <c r="G41" s="254" t="s">
        <v>862</v>
      </c>
      <c r="H41" s="254" t="s">
        <v>911</v>
      </c>
      <c r="I41" s="255">
        <v>30000</v>
      </c>
      <c r="J41" s="256">
        <v>30000</v>
      </c>
      <c r="K41" s="257">
        <v>112800</v>
      </c>
      <c r="L41" s="258">
        <v>-13536</v>
      </c>
      <c r="M41" s="258">
        <f t="shared" si="0"/>
        <v>99264</v>
      </c>
      <c r="N41" s="258">
        <v>-49699.30999999999</v>
      </c>
      <c r="O41" s="258">
        <v>-14049.6057</v>
      </c>
      <c r="P41" s="258">
        <v>-14.855593993224266</v>
      </c>
      <c r="Q41" s="258">
        <f t="shared" si="1"/>
        <v>35500.228706006783</v>
      </c>
      <c r="R41" s="259">
        <f t="shared" si="2"/>
        <v>0.35763447680938493</v>
      </c>
      <c r="S41" s="255">
        <f t="shared" si="3"/>
        <v>3.76</v>
      </c>
      <c r="T41" s="255">
        <f t="shared" si="3"/>
        <v>3.76</v>
      </c>
      <c r="U41" s="254">
        <v>100200</v>
      </c>
      <c r="V41" s="254" t="s">
        <v>912</v>
      </c>
      <c r="W41" s="254" t="s">
        <v>864</v>
      </c>
      <c r="X41" s="254" t="s">
        <v>446</v>
      </c>
      <c r="Y41" s="254" t="s">
        <v>843</v>
      </c>
      <c r="Z41" s="254" t="s">
        <v>837</v>
      </c>
      <c r="AA41" s="254" t="s">
        <v>838</v>
      </c>
    </row>
    <row r="42" spans="1:27" ht="14.4" x14ac:dyDescent="0.3">
      <c r="A42" s="253">
        <v>11</v>
      </c>
      <c r="B42" s="254" t="s">
        <v>830</v>
      </c>
      <c r="C42" s="254">
        <v>214</v>
      </c>
      <c r="D42" s="254" t="s">
        <v>149</v>
      </c>
      <c r="E42" s="254" t="str">
        <f>_xlfn.XLOOKUP(C42,Clientes!I:I,Clientes!F:F)</f>
        <v>GRUPO UNIFERTIL</v>
      </c>
      <c r="F42" s="254">
        <v>113</v>
      </c>
      <c r="G42" s="254" t="s">
        <v>877</v>
      </c>
      <c r="H42" s="254" t="s">
        <v>913</v>
      </c>
      <c r="I42" s="255">
        <v>30000</v>
      </c>
      <c r="J42" s="256">
        <v>30000</v>
      </c>
      <c r="K42" s="257">
        <v>92700</v>
      </c>
      <c r="L42" s="258">
        <v>-11124</v>
      </c>
      <c r="M42" s="258">
        <f t="shared" si="0"/>
        <v>81576</v>
      </c>
      <c r="N42" s="258">
        <v>-26830.99672131148</v>
      </c>
      <c r="O42" s="258">
        <v>-24191.754599999997</v>
      </c>
      <c r="P42" s="258">
        <v>-25.579570843138711</v>
      </c>
      <c r="Q42" s="258">
        <f t="shared" si="1"/>
        <v>30527.669107845384</v>
      </c>
      <c r="R42" s="259">
        <f t="shared" si="2"/>
        <v>0.37422365778961192</v>
      </c>
      <c r="S42" s="255">
        <f t="shared" si="3"/>
        <v>3.09</v>
      </c>
      <c r="T42" s="255">
        <f t="shared" si="3"/>
        <v>3.09</v>
      </c>
      <c r="U42" s="254">
        <v>100200</v>
      </c>
      <c r="V42" s="254" t="s">
        <v>912</v>
      </c>
      <c r="W42" s="254" t="s">
        <v>880</v>
      </c>
      <c r="X42" s="254" t="s">
        <v>446</v>
      </c>
      <c r="Y42" s="254" t="s">
        <v>843</v>
      </c>
      <c r="Z42" s="254" t="s">
        <v>837</v>
      </c>
      <c r="AA42" s="254" t="s">
        <v>838</v>
      </c>
    </row>
    <row r="43" spans="1:27" ht="14.4" x14ac:dyDescent="0.3">
      <c r="A43" s="253">
        <v>11</v>
      </c>
      <c r="B43" s="254" t="s">
        <v>830</v>
      </c>
      <c r="C43" s="254">
        <v>2588</v>
      </c>
      <c r="D43" s="254" t="s">
        <v>70</v>
      </c>
      <c r="E43" s="254" t="str">
        <f>_xlfn.XLOOKUP(C43,Clientes!I:I,Clientes!F:F)</f>
        <v>GRUPO FERTILIZ TOCANTINS</v>
      </c>
      <c r="F43" s="254">
        <v>6564</v>
      </c>
      <c r="G43" s="254" t="s">
        <v>840</v>
      </c>
      <c r="H43" s="254" t="s">
        <v>914</v>
      </c>
      <c r="I43" s="255">
        <v>32000</v>
      </c>
      <c r="J43" s="256">
        <v>32000</v>
      </c>
      <c r="K43" s="257">
        <v>100160</v>
      </c>
      <c r="L43" s="258">
        <v>-7011.2000000000007</v>
      </c>
      <c r="M43" s="258">
        <f t="shared" si="0"/>
        <v>93148.800000000003</v>
      </c>
      <c r="N43" s="258">
        <v>-29131.070000000003</v>
      </c>
      <c r="O43" s="258">
        <v>-23352.800640000001</v>
      </c>
      <c r="P43" s="258">
        <v>-24.692488338839844</v>
      </c>
      <c r="Q43" s="258">
        <f t="shared" si="1"/>
        <v>40640.236871661153</v>
      </c>
      <c r="R43" s="259">
        <f t="shared" si="2"/>
        <v>0.43629372435996117</v>
      </c>
      <c r="S43" s="255">
        <f t="shared" si="3"/>
        <v>3.13</v>
      </c>
      <c r="T43" s="255">
        <f t="shared" si="3"/>
        <v>3.13</v>
      </c>
      <c r="U43" s="254">
        <v>100200</v>
      </c>
      <c r="V43" s="254" t="s">
        <v>912</v>
      </c>
      <c r="W43" s="254" t="s">
        <v>915</v>
      </c>
      <c r="X43" s="254" t="s">
        <v>446</v>
      </c>
      <c r="Y43" s="254" t="s">
        <v>843</v>
      </c>
      <c r="Z43" s="254" t="s">
        <v>837</v>
      </c>
      <c r="AA43" s="254" t="s">
        <v>838</v>
      </c>
    </row>
    <row r="44" spans="1:27" ht="14.4" x14ac:dyDescent="0.3">
      <c r="A44" s="253">
        <v>11</v>
      </c>
      <c r="B44" s="254" t="s">
        <v>830</v>
      </c>
      <c r="C44" s="254">
        <v>14632</v>
      </c>
      <c r="D44" s="254" t="s">
        <v>399</v>
      </c>
      <c r="E44" s="254" t="str">
        <f>_xlfn.XLOOKUP(C44,Clientes!I:I,Clientes!F:F)</f>
        <v>BIGFERTIL - CANDEIAS</v>
      </c>
      <c r="F44" s="254">
        <v>113</v>
      </c>
      <c r="G44" s="254" t="s">
        <v>875</v>
      </c>
      <c r="H44" s="254" t="s">
        <v>913</v>
      </c>
      <c r="I44" s="255">
        <v>30000</v>
      </c>
      <c r="J44" s="256">
        <v>30000</v>
      </c>
      <c r="K44" s="257">
        <v>109500</v>
      </c>
      <c r="L44" s="258">
        <v>-7665.0000000000009</v>
      </c>
      <c r="M44" s="258">
        <f t="shared" si="0"/>
        <v>101835</v>
      </c>
      <c r="N44" s="258">
        <v>-26830.99672131148</v>
      </c>
      <c r="O44" s="258">
        <v>-21548.474999999999</v>
      </c>
      <c r="P44" s="258">
        <v>-22.784653363840896</v>
      </c>
      <c r="Q44" s="258">
        <f t="shared" si="1"/>
        <v>53432.743625324685</v>
      </c>
      <c r="R44" s="259">
        <f t="shared" si="2"/>
        <v>0.52469920582633367</v>
      </c>
      <c r="S44" s="255">
        <f t="shared" si="3"/>
        <v>3.65</v>
      </c>
      <c r="T44" s="255">
        <f t="shared" si="3"/>
        <v>3.65</v>
      </c>
      <c r="U44" s="254">
        <v>100200</v>
      </c>
      <c r="V44" s="254" t="s">
        <v>912</v>
      </c>
      <c r="W44" s="254" t="s">
        <v>876</v>
      </c>
      <c r="X44" s="254" t="s">
        <v>446</v>
      </c>
      <c r="Y44" s="254" t="s">
        <v>843</v>
      </c>
      <c r="Z44" s="254" t="s">
        <v>837</v>
      </c>
      <c r="AA44" s="254" t="s">
        <v>838</v>
      </c>
    </row>
    <row r="45" spans="1:27" ht="14.4" x14ac:dyDescent="0.3">
      <c r="A45" s="253">
        <v>11</v>
      </c>
      <c r="B45" s="254" t="s">
        <v>830</v>
      </c>
      <c r="C45" s="254">
        <v>456</v>
      </c>
      <c r="D45" s="254" t="s">
        <v>312</v>
      </c>
      <c r="E45" s="254" t="str">
        <f>_xlfn.XLOOKUP(C45,Clientes!I:I,Clientes!F:F)</f>
        <v>GRUPO FERTIPAR FERTILIZANTES DO NORDESTE</v>
      </c>
      <c r="F45" s="254">
        <v>113</v>
      </c>
      <c r="G45" s="254" t="s">
        <v>875</v>
      </c>
      <c r="H45" s="254" t="s">
        <v>913</v>
      </c>
      <c r="I45" s="255">
        <v>30000</v>
      </c>
      <c r="J45" s="256">
        <v>30000</v>
      </c>
      <c r="K45" s="257">
        <v>100200</v>
      </c>
      <c r="L45" s="258">
        <v>-7014.0000000000009</v>
      </c>
      <c r="M45" s="258">
        <f t="shared" si="0"/>
        <v>93186</v>
      </c>
      <c r="N45" s="258">
        <v>-26830.99672131148</v>
      </c>
      <c r="O45" s="258">
        <v>-21548.474999999999</v>
      </c>
      <c r="P45" s="258">
        <v>-22.784653363840896</v>
      </c>
      <c r="Q45" s="258">
        <f t="shared" si="1"/>
        <v>44783.743625324685</v>
      </c>
      <c r="R45" s="259">
        <f t="shared" si="2"/>
        <v>0.48058446145692146</v>
      </c>
      <c r="S45" s="255">
        <f t="shared" si="3"/>
        <v>3.34</v>
      </c>
      <c r="T45" s="255">
        <f t="shared" si="3"/>
        <v>3.34</v>
      </c>
      <c r="U45" s="254">
        <v>100200</v>
      </c>
      <c r="V45" s="254" t="s">
        <v>912</v>
      </c>
      <c r="W45" s="254" t="s">
        <v>876</v>
      </c>
      <c r="X45" s="254" t="s">
        <v>446</v>
      </c>
      <c r="Y45" s="254" t="s">
        <v>843</v>
      </c>
      <c r="Z45" s="254" t="s">
        <v>837</v>
      </c>
      <c r="AA45" s="254" t="s">
        <v>838</v>
      </c>
    </row>
    <row r="46" spans="1:27" ht="14.4" x14ac:dyDescent="0.3">
      <c r="A46" s="253">
        <v>11</v>
      </c>
      <c r="B46" s="254" t="s">
        <v>830</v>
      </c>
      <c r="C46" s="254">
        <v>10492</v>
      </c>
      <c r="D46" s="254" t="s">
        <v>101</v>
      </c>
      <c r="E46" s="254" t="str">
        <f>_xlfn.XLOOKUP(C46,Clientes!I:I,Clientes!F:F)</f>
        <v>GRUPO UNIFERTIL</v>
      </c>
      <c r="F46" s="254">
        <v>113</v>
      </c>
      <c r="G46" s="254" t="s">
        <v>877</v>
      </c>
      <c r="H46" s="254" t="s">
        <v>913</v>
      </c>
      <c r="I46" s="255">
        <v>32000</v>
      </c>
      <c r="J46" s="256">
        <v>32000</v>
      </c>
      <c r="K46" s="257">
        <v>98880</v>
      </c>
      <c r="L46" s="258">
        <v>-11865.6</v>
      </c>
      <c r="M46" s="258">
        <f t="shared" si="0"/>
        <v>87014.399999999994</v>
      </c>
      <c r="N46" s="258">
        <v>-28619.72983606558</v>
      </c>
      <c r="O46" s="258">
        <v>-26049.712</v>
      </c>
      <c r="P46" s="258">
        <v>-27.544114288732107</v>
      </c>
      <c r="Q46" s="258">
        <f t="shared" si="1"/>
        <v>32317.414049645678</v>
      </c>
      <c r="R46" s="259">
        <f t="shared" si="2"/>
        <v>0.37140305569705334</v>
      </c>
      <c r="S46" s="255">
        <f t="shared" si="3"/>
        <v>3.09</v>
      </c>
      <c r="T46" s="255">
        <f t="shared" si="3"/>
        <v>3.09</v>
      </c>
      <c r="U46" s="254">
        <v>100200</v>
      </c>
      <c r="V46" s="254" t="s">
        <v>912</v>
      </c>
      <c r="W46" s="254" t="s">
        <v>878</v>
      </c>
      <c r="X46" s="254" t="s">
        <v>446</v>
      </c>
      <c r="Y46" s="254" t="s">
        <v>843</v>
      </c>
      <c r="Z46" s="254" t="s">
        <v>837</v>
      </c>
      <c r="AA46" s="254" t="s">
        <v>838</v>
      </c>
    </row>
    <row r="47" spans="1:27" ht="14.4" x14ac:dyDescent="0.3">
      <c r="A47" s="253">
        <v>13</v>
      </c>
      <c r="B47" s="254" t="s">
        <v>830</v>
      </c>
      <c r="C47" s="254">
        <v>2656</v>
      </c>
      <c r="D47" s="254" t="s">
        <v>118</v>
      </c>
      <c r="E47" s="254" t="str">
        <f>_xlfn.XLOOKUP(C47,Clientes!I:I,Clientes!F:F)</f>
        <v>ISUSA - URUGUAI</v>
      </c>
      <c r="F47" s="254">
        <v>8201</v>
      </c>
      <c r="G47" s="254" t="s">
        <v>832</v>
      </c>
      <c r="H47" s="254" t="s">
        <v>916</v>
      </c>
      <c r="I47" s="255">
        <v>8800</v>
      </c>
      <c r="J47" s="256">
        <v>8800</v>
      </c>
      <c r="K47" s="257">
        <v>420241.5434990339</v>
      </c>
      <c r="L47" s="258">
        <v>0</v>
      </c>
      <c r="M47" s="258">
        <f t="shared" si="0"/>
        <v>420241.5434990339</v>
      </c>
      <c r="N47" s="258">
        <v>-179199.36249999999</v>
      </c>
      <c r="O47" s="258">
        <v>0</v>
      </c>
      <c r="P47" s="258">
        <v>-2391.9021131082859</v>
      </c>
      <c r="Q47" s="258">
        <f t="shared" si="1"/>
        <v>238650.27888592563</v>
      </c>
      <c r="R47" s="259">
        <f t="shared" si="2"/>
        <v>0.56788835510850499</v>
      </c>
      <c r="S47" s="255">
        <f t="shared" si="3"/>
        <v>47.75472085216294</v>
      </c>
      <c r="T47" s="255">
        <f t="shared" si="3"/>
        <v>47.75472085216294</v>
      </c>
      <c r="U47" s="254">
        <v>100300</v>
      </c>
      <c r="V47" s="254" t="s">
        <v>917</v>
      </c>
      <c r="W47" s="254" t="s">
        <v>918</v>
      </c>
      <c r="X47" s="254" t="s">
        <v>446</v>
      </c>
      <c r="Y47" s="254" t="s">
        <v>836</v>
      </c>
      <c r="Z47" s="254" t="s">
        <v>837</v>
      </c>
      <c r="AA47" s="254" t="s">
        <v>838</v>
      </c>
    </row>
    <row r="48" spans="1:27" ht="14.4" x14ac:dyDescent="0.3">
      <c r="A48" s="253">
        <v>13</v>
      </c>
      <c r="B48" s="254" t="s">
        <v>830</v>
      </c>
      <c r="C48" s="254">
        <v>2352</v>
      </c>
      <c r="D48" s="254" t="s">
        <v>68</v>
      </c>
      <c r="E48" s="254" t="str">
        <f>_xlfn.XLOOKUP(C48,Clientes!I:I,Clientes!F:F)</f>
        <v>BR FERTIL - PARANAGUA</v>
      </c>
      <c r="F48" s="254">
        <v>8225</v>
      </c>
      <c r="G48" s="254" t="s">
        <v>862</v>
      </c>
      <c r="H48" s="254" t="s">
        <v>919</v>
      </c>
      <c r="I48" s="255">
        <v>12000</v>
      </c>
      <c r="J48" s="256">
        <v>12000</v>
      </c>
      <c r="K48" s="257">
        <v>288330.39005079516</v>
      </c>
      <c r="L48" s="258">
        <v>-34560</v>
      </c>
      <c r="M48" s="258">
        <f t="shared" si="0"/>
        <v>253770.39005079516</v>
      </c>
      <c r="N48" s="258">
        <v>-83745.019607843147</v>
      </c>
      <c r="O48" s="258">
        <v>-9901.2479999999723</v>
      </c>
      <c r="P48" s="258">
        <v>-10.469256109744302</v>
      </c>
      <c r="Q48" s="258">
        <f t="shared" si="1"/>
        <v>160113.65318684233</v>
      </c>
      <c r="R48" s="259">
        <f t="shared" si="2"/>
        <v>0.63093906722054405</v>
      </c>
      <c r="S48" s="255">
        <f t="shared" si="3"/>
        <v>24.02753250423293</v>
      </c>
      <c r="T48" s="255">
        <f t="shared" si="3"/>
        <v>24.02753250423293</v>
      </c>
      <c r="U48" s="254">
        <v>100300</v>
      </c>
      <c r="V48" s="254" t="s">
        <v>917</v>
      </c>
      <c r="W48" s="254" t="s">
        <v>864</v>
      </c>
      <c r="X48" s="254" t="s">
        <v>446</v>
      </c>
      <c r="Y48" s="254" t="s">
        <v>843</v>
      </c>
      <c r="Z48" s="254" t="s">
        <v>837</v>
      </c>
      <c r="AA48" s="254" t="s">
        <v>838</v>
      </c>
    </row>
    <row r="49" spans="1:27" ht="14.4" x14ac:dyDescent="0.3">
      <c r="A49" s="253">
        <v>13</v>
      </c>
      <c r="B49" s="254" t="s">
        <v>830</v>
      </c>
      <c r="C49" s="254">
        <v>97</v>
      </c>
      <c r="D49" s="254" t="s">
        <v>300</v>
      </c>
      <c r="E49" s="254" t="str">
        <f>_xlfn.XLOOKUP(C49,Clientes!I:I,Clientes!F:F)</f>
        <v>FECOAGRO FEDERACAO DAS COOPERATIVAS</v>
      </c>
      <c r="F49" s="254">
        <v>8223</v>
      </c>
      <c r="G49" s="254" t="s">
        <v>893</v>
      </c>
      <c r="H49" s="254" t="s">
        <v>920</v>
      </c>
      <c r="I49" s="255">
        <v>12000</v>
      </c>
      <c r="J49" s="256">
        <v>12000</v>
      </c>
      <c r="K49" s="257">
        <v>456523.11758042563</v>
      </c>
      <c r="L49" s="258">
        <v>-54720</v>
      </c>
      <c r="M49" s="258">
        <f t="shared" si="0"/>
        <v>401803.11758042563</v>
      </c>
      <c r="N49" s="258">
        <v>-146498.01999999999</v>
      </c>
      <c r="O49" s="258">
        <v>-9901.2479999999723</v>
      </c>
      <c r="P49" s="258">
        <v>-10.469256109744302</v>
      </c>
      <c r="Q49" s="258">
        <f t="shared" si="1"/>
        <v>245393.38032431595</v>
      </c>
      <c r="R49" s="259">
        <f t="shared" si="2"/>
        <v>0.61073040398995304</v>
      </c>
      <c r="S49" s="255">
        <f t="shared" si="3"/>
        <v>38.043593131702139</v>
      </c>
      <c r="T49" s="255">
        <f t="shared" si="3"/>
        <v>38.043593131702139</v>
      </c>
      <c r="U49" s="254">
        <v>100300</v>
      </c>
      <c r="V49" s="254" t="s">
        <v>917</v>
      </c>
      <c r="W49" s="254" t="s">
        <v>894</v>
      </c>
      <c r="X49" s="254" t="s">
        <v>446</v>
      </c>
      <c r="Y49" s="254" t="s">
        <v>843</v>
      </c>
      <c r="Z49" s="254" t="s">
        <v>837</v>
      </c>
      <c r="AA49" s="254" t="s">
        <v>838</v>
      </c>
    </row>
    <row r="50" spans="1:27" ht="14.4" x14ac:dyDescent="0.3">
      <c r="A50" s="253">
        <v>13</v>
      </c>
      <c r="B50" s="254" t="s">
        <v>830</v>
      </c>
      <c r="C50" s="254">
        <v>11212</v>
      </c>
      <c r="D50" s="254" t="s">
        <v>230</v>
      </c>
      <c r="E50" s="254" t="str">
        <f>_xlfn.XLOOKUP(C50,Clientes!I:I,Clientes!F:F)</f>
        <v>INPEK FERTILIZANTES - PARANAGUA</v>
      </c>
      <c r="F50" s="254">
        <v>8224</v>
      </c>
      <c r="G50" s="254" t="s">
        <v>862</v>
      </c>
      <c r="H50" s="254" t="s">
        <v>921</v>
      </c>
      <c r="I50" s="255">
        <v>4000</v>
      </c>
      <c r="J50" s="256">
        <v>4000</v>
      </c>
      <c r="K50" s="257">
        <v>97311.506642143358</v>
      </c>
      <c r="L50" s="258">
        <v>-11664</v>
      </c>
      <c r="M50" s="258">
        <f t="shared" si="0"/>
        <v>85647.506642143358</v>
      </c>
      <c r="N50" s="258">
        <v>-29241.454285714284</v>
      </c>
      <c r="O50" s="258">
        <v>-9901.2479999999723</v>
      </c>
      <c r="P50" s="258">
        <v>-10.469256109744302</v>
      </c>
      <c r="Q50" s="258">
        <f t="shared" si="1"/>
        <v>46494.33510031936</v>
      </c>
      <c r="R50" s="259">
        <f t="shared" si="2"/>
        <v>0.54285684339398566</v>
      </c>
      <c r="S50" s="255">
        <f t="shared" si="3"/>
        <v>24.327876660535839</v>
      </c>
      <c r="T50" s="255">
        <f t="shared" si="3"/>
        <v>24.327876660535839</v>
      </c>
      <c r="U50" s="254">
        <v>100300</v>
      </c>
      <c r="V50" s="254" t="s">
        <v>917</v>
      </c>
      <c r="W50" s="254" t="s">
        <v>864</v>
      </c>
      <c r="X50" s="254" t="s">
        <v>446</v>
      </c>
      <c r="Y50" s="254" t="s">
        <v>843</v>
      </c>
      <c r="Z50" s="254" t="s">
        <v>837</v>
      </c>
      <c r="AA50" s="254" t="s">
        <v>838</v>
      </c>
    </row>
    <row r="51" spans="1:27" ht="14.4" x14ac:dyDescent="0.3">
      <c r="A51" s="253">
        <v>13</v>
      </c>
      <c r="B51" s="254" t="s">
        <v>830</v>
      </c>
      <c r="C51" s="254">
        <v>87</v>
      </c>
      <c r="D51" s="254" t="s">
        <v>218</v>
      </c>
      <c r="E51" s="254" t="str">
        <f>_xlfn.XLOOKUP(C51,Clientes!I:I,Clientes!F:F)</f>
        <v>GRUPO ADUBOS ARAGUAIA</v>
      </c>
      <c r="F51" s="254">
        <v>8214</v>
      </c>
      <c r="G51" s="254" t="s">
        <v>867</v>
      </c>
      <c r="H51" s="254" t="s">
        <v>922</v>
      </c>
      <c r="I51" s="255">
        <v>6000</v>
      </c>
      <c r="J51" s="256">
        <v>6000</v>
      </c>
      <c r="K51" s="257">
        <v>192220.26003386342</v>
      </c>
      <c r="L51" s="258">
        <v>-13440.000000000002</v>
      </c>
      <c r="M51" s="258">
        <f t="shared" si="0"/>
        <v>178780.26003386342</v>
      </c>
      <c r="N51" s="258">
        <v>-59163.944999999992</v>
      </c>
      <c r="O51" s="258">
        <v>-2121.6959999999981</v>
      </c>
      <c r="P51" s="258">
        <v>-2.2434120235166404</v>
      </c>
      <c r="Q51" s="258">
        <f t="shared" si="1"/>
        <v>117492.37562183992</v>
      </c>
      <c r="R51" s="259">
        <f t="shared" si="2"/>
        <v>0.65718875003082144</v>
      </c>
      <c r="S51" s="255">
        <f t="shared" si="3"/>
        <v>32.036710005643904</v>
      </c>
      <c r="T51" s="255">
        <f t="shared" si="3"/>
        <v>32.036710005643904</v>
      </c>
      <c r="U51" s="254">
        <v>100300</v>
      </c>
      <c r="V51" s="254" t="s">
        <v>917</v>
      </c>
      <c r="W51" s="254" t="s">
        <v>871</v>
      </c>
      <c r="X51" s="254" t="s">
        <v>446</v>
      </c>
      <c r="Y51" s="254" t="s">
        <v>843</v>
      </c>
      <c r="Z51" s="254" t="s">
        <v>837</v>
      </c>
      <c r="AA51" s="254" t="s">
        <v>838</v>
      </c>
    </row>
    <row r="52" spans="1:27" ht="14.4" x14ac:dyDescent="0.3">
      <c r="A52" s="253">
        <v>13</v>
      </c>
      <c r="B52" s="254" t="s">
        <v>830</v>
      </c>
      <c r="C52" s="254">
        <v>11133</v>
      </c>
      <c r="D52" s="254" t="s">
        <v>895</v>
      </c>
      <c r="E52" s="254" t="str">
        <f>_xlfn.XLOOKUP(C52,Clientes!I:I,Clientes!F:F)</f>
        <v>GRUPO ADUBOS ARAGUAIA</v>
      </c>
      <c r="F52" s="254">
        <v>8214</v>
      </c>
      <c r="G52" s="254" t="s">
        <v>862</v>
      </c>
      <c r="H52" s="254" t="s">
        <v>922</v>
      </c>
      <c r="I52" s="255">
        <v>6000</v>
      </c>
      <c r="J52" s="256">
        <v>6000</v>
      </c>
      <c r="K52" s="257">
        <v>228261.55879021282</v>
      </c>
      <c r="L52" s="258">
        <v>-27360</v>
      </c>
      <c r="M52" s="258">
        <f t="shared" si="0"/>
        <v>200901.55879021282</v>
      </c>
      <c r="N52" s="258">
        <v>-59163.944999999992</v>
      </c>
      <c r="O52" s="258">
        <v>-9901.2479999999723</v>
      </c>
      <c r="P52" s="258">
        <v>-10.469256109744302</v>
      </c>
      <c r="Q52" s="258">
        <f t="shared" si="1"/>
        <v>131825.89653410314</v>
      </c>
      <c r="R52" s="259">
        <f t="shared" si="2"/>
        <v>0.65617159631777444</v>
      </c>
      <c r="S52" s="255">
        <f t="shared" si="3"/>
        <v>38.043593131702139</v>
      </c>
      <c r="T52" s="255">
        <f t="shared" si="3"/>
        <v>38.043593131702139</v>
      </c>
      <c r="U52" s="254">
        <v>100300</v>
      </c>
      <c r="V52" s="254" t="s">
        <v>917</v>
      </c>
      <c r="W52" s="254" t="s">
        <v>864</v>
      </c>
      <c r="X52" s="254" t="s">
        <v>446</v>
      </c>
      <c r="Y52" s="254" t="s">
        <v>843</v>
      </c>
      <c r="Z52" s="254" t="s">
        <v>837</v>
      </c>
      <c r="AA52" s="254" t="s">
        <v>838</v>
      </c>
    </row>
    <row r="53" spans="1:27" ht="14.4" x14ac:dyDescent="0.3">
      <c r="A53" s="253">
        <v>13</v>
      </c>
      <c r="B53" s="254" t="s">
        <v>830</v>
      </c>
      <c r="C53" s="254">
        <v>1023</v>
      </c>
      <c r="D53" s="254" t="s">
        <v>49</v>
      </c>
      <c r="E53" s="254" t="str">
        <f>_xlfn.XLOOKUP(C53,Clientes!I:I,Clientes!F:F)</f>
        <v>GRUPO ADUBOS ARAGUAIA</v>
      </c>
      <c r="F53" s="254">
        <v>8214</v>
      </c>
      <c r="G53" s="254" t="s">
        <v>840</v>
      </c>
      <c r="H53" s="254" t="s">
        <v>922</v>
      </c>
      <c r="I53" s="255">
        <v>5000</v>
      </c>
      <c r="J53" s="256">
        <v>5000</v>
      </c>
      <c r="K53" s="257">
        <v>193471.69401845889</v>
      </c>
      <c r="L53" s="258">
        <v>-13527.500000000002</v>
      </c>
      <c r="M53" s="258">
        <f t="shared" si="0"/>
        <v>179944.19401845889</v>
      </c>
      <c r="N53" s="258">
        <v>-49303.287499999999</v>
      </c>
      <c r="O53" s="258">
        <v>-7602.7439999999997</v>
      </c>
      <c r="P53" s="258">
        <v>-8.0388930842679684</v>
      </c>
      <c r="Q53" s="258">
        <f t="shared" si="1"/>
        <v>123030.1236253746</v>
      </c>
      <c r="R53" s="259">
        <f t="shared" si="2"/>
        <v>0.68371266045268475</v>
      </c>
      <c r="S53" s="255">
        <f t="shared" si="3"/>
        <v>38.694338803691778</v>
      </c>
      <c r="T53" s="255">
        <f t="shared" si="3"/>
        <v>38.694338803691778</v>
      </c>
      <c r="U53" s="254">
        <v>100300</v>
      </c>
      <c r="V53" s="254" t="s">
        <v>917</v>
      </c>
      <c r="W53" s="254" t="s">
        <v>861</v>
      </c>
      <c r="X53" s="254" t="s">
        <v>446</v>
      </c>
      <c r="Y53" s="254" t="s">
        <v>843</v>
      </c>
      <c r="Z53" s="254" t="s">
        <v>837</v>
      </c>
      <c r="AA53" s="254" t="s">
        <v>838</v>
      </c>
    </row>
    <row r="54" spans="1:27" ht="14.4" x14ac:dyDescent="0.3">
      <c r="A54" s="253">
        <v>13</v>
      </c>
      <c r="B54" s="254" t="s">
        <v>830</v>
      </c>
      <c r="C54" s="254">
        <v>10434</v>
      </c>
      <c r="D54" s="254" t="s">
        <v>99</v>
      </c>
      <c r="E54" s="254" t="str">
        <f>_xlfn.XLOOKUP(C54,Clientes!I:I,Clientes!F:F)</f>
        <v>GRUPO CIBRA</v>
      </c>
      <c r="F54" s="254">
        <v>8218</v>
      </c>
      <c r="G54" s="254" t="s">
        <v>840</v>
      </c>
      <c r="H54" s="254" t="s">
        <v>923</v>
      </c>
      <c r="I54" s="255">
        <v>24000</v>
      </c>
      <c r="J54" s="256">
        <v>24000</v>
      </c>
      <c r="K54" s="257">
        <v>619910.33860920952</v>
      </c>
      <c r="L54" s="258">
        <v>-43344.000000000007</v>
      </c>
      <c r="M54" s="258">
        <f t="shared" si="0"/>
        <v>576566.33860920952</v>
      </c>
      <c r="N54" s="258">
        <v>-280969.2971428571</v>
      </c>
      <c r="O54" s="258">
        <v>-19700.094700000001</v>
      </c>
      <c r="P54" s="258">
        <v>-20.83023643085366</v>
      </c>
      <c r="Q54" s="258">
        <f t="shared" si="1"/>
        <v>275876.11652992154</v>
      </c>
      <c r="R54" s="259">
        <f t="shared" si="2"/>
        <v>0.4784811357447411</v>
      </c>
      <c r="S54" s="255">
        <f t="shared" si="3"/>
        <v>25.829597442050396</v>
      </c>
      <c r="T54" s="255">
        <f t="shared" si="3"/>
        <v>25.829597442050396</v>
      </c>
      <c r="U54" s="254">
        <v>100300</v>
      </c>
      <c r="V54" s="254" t="s">
        <v>917</v>
      </c>
      <c r="W54" s="254" t="s">
        <v>915</v>
      </c>
      <c r="X54" s="254" t="s">
        <v>446</v>
      </c>
      <c r="Y54" s="254" t="s">
        <v>843</v>
      </c>
      <c r="Z54" s="254" t="s">
        <v>837</v>
      </c>
      <c r="AA54" s="254" t="s">
        <v>838</v>
      </c>
    </row>
    <row r="55" spans="1:27" ht="14.4" x14ac:dyDescent="0.3">
      <c r="A55" s="253">
        <v>13</v>
      </c>
      <c r="B55" s="254" t="s">
        <v>830</v>
      </c>
      <c r="C55" s="254">
        <v>10891</v>
      </c>
      <c r="D55" s="254" t="s">
        <v>104</v>
      </c>
      <c r="E55" s="254" t="str">
        <f>_xlfn.XLOOKUP(C55,Clientes!I:I,Clientes!F:F)</f>
        <v>GRUPO HINOVE</v>
      </c>
      <c r="F55" s="254">
        <v>8214</v>
      </c>
      <c r="G55" s="254" t="s">
        <v>924</v>
      </c>
      <c r="H55" s="254" t="s">
        <v>922</v>
      </c>
      <c r="I55" s="255">
        <v>4000</v>
      </c>
      <c r="J55" s="256">
        <v>4000</v>
      </c>
      <c r="K55" s="257">
        <v>124542.71014694068</v>
      </c>
      <c r="L55" s="258">
        <v>-8708</v>
      </c>
      <c r="M55" s="258">
        <f t="shared" si="0"/>
        <v>115834.71014694068</v>
      </c>
      <c r="N55" s="258">
        <v>-39442.629999999997</v>
      </c>
      <c r="O55" s="258">
        <v>-7691.1480000000047</v>
      </c>
      <c r="P55" s="258">
        <v>-8.1323685852478338</v>
      </c>
      <c r="Q55" s="258">
        <f t="shared" si="1"/>
        <v>68692.799778355431</v>
      </c>
      <c r="R55" s="259">
        <f t="shared" si="2"/>
        <v>0.59302431621071128</v>
      </c>
      <c r="S55" s="255">
        <f t="shared" si="3"/>
        <v>31.135677536735169</v>
      </c>
      <c r="T55" s="255">
        <f t="shared" si="3"/>
        <v>31.135677536735169</v>
      </c>
      <c r="U55" s="254">
        <v>100300</v>
      </c>
      <c r="V55" s="254" t="s">
        <v>917</v>
      </c>
      <c r="W55" s="254" t="s">
        <v>925</v>
      </c>
      <c r="X55" s="254" t="s">
        <v>446</v>
      </c>
      <c r="Y55" s="254" t="s">
        <v>843</v>
      </c>
      <c r="Z55" s="254" t="s">
        <v>837</v>
      </c>
      <c r="AA55" s="254" t="s">
        <v>838</v>
      </c>
    </row>
    <row r="56" spans="1:27" ht="14.4" x14ac:dyDescent="0.3">
      <c r="A56" s="253">
        <v>13</v>
      </c>
      <c r="B56" s="254" t="s">
        <v>830</v>
      </c>
      <c r="C56" s="254">
        <v>1874</v>
      </c>
      <c r="D56" s="254" t="s">
        <v>210</v>
      </c>
      <c r="E56" s="254" t="str">
        <f>_xlfn.XLOOKUP(C56,Clientes!I:I,Clientes!F:F)</f>
        <v>GRUPO FERTILIZ TOCANTINS</v>
      </c>
      <c r="F56" s="254">
        <v>8217</v>
      </c>
      <c r="G56" s="254" t="s">
        <v>926</v>
      </c>
      <c r="H56" s="254" t="s">
        <v>927</v>
      </c>
      <c r="I56" s="255">
        <v>12000</v>
      </c>
      <c r="J56" s="256">
        <v>12000</v>
      </c>
      <c r="K56" s="257">
        <v>456523.11758042563</v>
      </c>
      <c r="L56" s="258">
        <v>-31920.000000000004</v>
      </c>
      <c r="M56" s="258">
        <f t="shared" si="0"/>
        <v>424603.11758042563</v>
      </c>
      <c r="N56" s="258">
        <v>-193813.53399999999</v>
      </c>
      <c r="O56" s="258">
        <v>-19714.091999999993</v>
      </c>
      <c r="P56" s="258">
        <v>-20.845036718508794</v>
      </c>
      <c r="Q56" s="258">
        <f t="shared" si="1"/>
        <v>211054.64654370715</v>
      </c>
      <c r="R56" s="259">
        <f t="shared" si="2"/>
        <v>0.49706334646431444</v>
      </c>
      <c r="S56" s="255">
        <f t="shared" si="3"/>
        <v>38.043593131702139</v>
      </c>
      <c r="T56" s="255">
        <f t="shared" si="3"/>
        <v>38.043593131702139</v>
      </c>
      <c r="U56" s="254">
        <v>100300</v>
      </c>
      <c r="V56" s="254" t="s">
        <v>917</v>
      </c>
      <c r="W56" s="254" t="s">
        <v>928</v>
      </c>
      <c r="X56" s="254" t="s">
        <v>446</v>
      </c>
      <c r="Y56" s="254" t="s">
        <v>843</v>
      </c>
      <c r="Z56" s="254" t="s">
        <v>837</v>
      </c>
      <c r="AA56" s="254" t="s">
        <v>838</v>
      </c>
    </row>
    <row r="57" spans="1:27" ht="14.4" x14ac:dyDescent="0.3">
      <c r="A57" s="253">
        <v>13</v>
      </c>
      <c r="B57" s="254" t="s">
        <v>830</v>
      </c>
      <c r="C57" s="254">
        <v>15407</v>
      </c>
      <c r="D57" s="254" t="s">
        <v>659</v>
      </c>
      <c r="E57" s="254" t="str">
        <f>_xlfn.XLOOKUP(C57,Clientes!I:I,Clientes!F:F)</f>
        <v>ALFA NATURA DO BRASIL</v>
      </c>
      <c r="F57" s="254">
        <v>8225</v>
      </c>
      <c r="G57" s="254" t="s">
        <v>924</v>
      </c>
      <c r="H57" s="254" t="s">
        <v>919</v>
      </c>
      <c r="I57" s="255">
        <v>3300</v>
      </c>
      <c r="J57" s="256">
        <v>3300</v>
      </c>
      <c r="K57" s="257">
        <v>75326.314400770236</v>
      </c>
      <c r="L57" s="258">
        <v>-5266.8</v>
      </c>
      <c r="M57" s="258">
        <f t="shared" si="0"/>
        <v>70059.514400770233</v>
      </c>
      <c r="N57" s="258">
        <v>-23029.880392156869</v>
      </c>
      <c r="O57" s="258">
        <v>0</v>
      </c>
      <c r="P57" s="258">
        <v>0</v>
      </c>
      <c r="Q57" s="258">
        <f t="shared" si="1"/>
        <v>47029.634008613364</v>
      </c>
      <c r="R57" s="259">
        <f t="shared" si="2"/>
        <v>0.67128118730004105</v>
      </c>
      <c r="S57" s="255">
        <f t="shared" si="3"/>
        <v>22.826155879021282</v>
      </c>
      <c r="T57" s="255">
        <f t="shared" si="3"/>
        <v>22.826155879021282</v>
      </c>
      <c r="U57" s="254">
        <v>100300</v>
      </c>
      <c r="V57" s="254" t="s">
        <v>917</v>
      </c>
      <c r="W57" s="254" t="s">
        <v>929</v>
      </c>
      <c r="X57" s="254" t="s">
        <v>446</v>
      </c>
      <c r="Y57" s="254" t="s">
        <v>843</v>
      </c>
      <c r="Z57" s="254" t="s">
        <v>837</v>
      </c>
      <c r="AA57" s="254" t="s">
        <v>838</v>
      </c>
    </row>
    <row r="58" spans="1:27" ht="14.4" x14ac:dyDescent="0.3">
      <c r="A58" s="253">
        <v>13</v>
      </c>
      <c r="B58" s="254" t="s">
        <v>830</v>
      </c>
      <c r="C58" s="254">
        <v>3142</v>
      </c>
      <c r="D58" s="254" t="s">
        <v>78</v>
      </c>
      <c r="E58" s="254" t="str">
        <f>_xlfn.XLOOKUP(C58,Clientes!I:I,Clientes!F:F)</f>
        <v>INTERFERTIL - SAO FRANCISCO DO SUL</v>
      </c>
      <c r="F58" s="254">
        <v>8214</v>
      </c>
      <c r="G58" s="254" t="s">
        <v>893</v>
      </c>
      <c r="H58" s="254" t="s">
        <v>922</v>
      </c>
      <c r="I58" s="255">
        <v>2000</v>
      </c>
      <c r="J58" s="256">
        <v>2000</v>
      </c>
      <c r="K58" s="257">
        <v>65635.209624062947</v>
      </c>
      <c r="L58" s="258">
        <v>-7867.2</v>
      </c>
      <c r="M58" s="258">
        <f t="shared" si="0"/>
        <v>57768.00962406295</v>
      </c>
      <c r="N58" s="258">
        <v>-19721.314999999999</v>
      </c>
      <c r="O58" s="258">
        <v>-9901.2479999999723</v>
      </c>
      <c r="P58" s="258">
        <v>-10.469256109744302</v>
      </c>
      <c r="Q58" s="258">
        <f t="shared" si="1"/>
        <v>28134.977367953234</v>
      </c>
      <c r="R58" s="259">
        <f t="shared" si="2"/>
        <v>0.48703387135972503</v>
      </c>
      <c r="S58" s="255">
        <f t="shared" si="3"/>
        <v>32.817604812031476</v>
      </c>
      <c r="T58" s="255">
        <f t="shared" si="3"/>
        <v>32.817604812031476</v>
      </c>
      <c r="U58" s="254">
        <v>100300</v>
      </c>
      <c r="V58" s="254" t="s">
        <v>917</v>
      </c>
      <c r="W58" s="254" t="s">
        <v>894</v>
      </c>
      <c r="X58" s="254" t="s">
        <v>446</v>
      </c>
      <c r="Y58" s="254" t="s">
        <v>843</v>
      </c>
      <c r="Z58" s="254" t="s">
        <v>837</v>
      </c>
      <c r="AA58" s="254" t="s">
        <v>838</v>
      </c>
    </row>
    <row r="59" spans="1:27" ht="14.4" x14ac:dyDescent="0.3">
      <c r="A59" s="253">
        <v>13</v>
      </c>
      <c r="B59" s="254" t="s">
        <v>830</v>
      </c>
      <c r="C59" s="254">
        <v>1936</v>
      </c>
      <c r="D59" s="254" t="s">
        <v>889</v>
      </c>
      <c r="E59" s="254" t="str">
        <f>_xlfn.XLOOKUP(C59,Clientes!I:I,Clientes!F:F)</f>
        <v>GRUPO AGRO INDUSTRIAL SAO LUIZ LTDA</v>
      </c>
      <c r="F59" s="254">
        <v>8218</v>
      </c>
      <c r="G59" s="254" t="s">
        <v>862</v>
      </c>
      <c r="H59" s="254" t="s">
        <v>923</v>
      </c>
      <c r="I59" s="255">
        <v>12000</v>
      </c>
      <c r="J59" s="256">
        <v>12000</v>
      </c>
      <c r="K59" s="257">
        <v>360172.71223845158</v>
      </c>
      <c r="L59" s="258">
        <v>-43171.199999999997</v>
      </c>
      <c r="M59" s="258">
        <f t="shared" si="0"/>
        <v>317001.51223845157</v>
      </c>
      <c r="N59" s="258">
        <v>-140484.64857142855</v>
      </c>
      <c r="O59" s="258">
        <v>0</v>
      </c>
      <c r="P59" s="258">
        <v>0</v>
      </c>
      <c r="Q59" s="258">
        <f t="shared" si="1"/>
        <v>176516.86366702302</v>
      </c>
      <c r="R59" s="259">
        <f t="shared" si="2"/>
        <v>0.55683287571904494</v>
      </c>
      <c r="S59" s="255">
        <f t="shared" si="3"/>
        <v>30.014392686537633</v>
      </c>
      <c r="T59" s="255">
        <f t="shared" si="3"/>
        <v>30.014392686537633</v>
      </c>
      <c r="U59" s="254">
        <v>100300</v>
      </c>
      <c r="V59" s="254" t="s">
        <v>917</v>
      </c>
      <c r="W59" s="254" t="s">
        <v>864</v>
      </c>
      <c r="X59" s="254" t="s">
        <v>446</v>
      </c>
      <c r="Y59" s="254" t="s">
        <v>843</v>
      </c>
      <c r="Z59" s="254" t="s">
        <v>837</v>
      </c>
      <c r="AA59" s="254" t="s">
        <v>838</v>
      </c>
    </row>
    <row r="60" spans="1:27" ht="14.4" x14ac:dyDescent="0.3">
      <c r="A60" s="253">
        <v>13</v>
      </c>
      <c r="B60" s="254" t="s">
        <v>830</v>
      </c>
      <c r="C60" s="254">
        <v>2588</v>
      </c>
      <c r="D60" s="254" t="s">
        <v>70</v>
      </c>
      <c r="E60" s="254" t="str">
        <f>_xlfn.XLOOKUP(C60,Clientes!I:I,Clientes!F:F)</f>
        <v>GRUPO FERTILIZ TOCANTINS</v>
      </c>
      <c r="F60" s="254">
        <v>8217</v>
      </c>
      <c r="G60" s="254" t="s">
        <v>840</v>
      </c>
      <c r="H60" s="254" t="s">
        <v>927</v>
      </c>
      <c r="I60" s="255">
        <v>24000</v>
      </c>
      <c r="J60" s="256">
        <v>24000</v>
      </c>
      <c r="K60" s="257">
        <v>887577.05070636433</v>
      </c>
      <c r="L60" s="258">
        <v>-62059.200000000004</v>
      </c>
      <c r="M60" s="258">
        <f t="shared" si="0"/>
        <v>825517.85070636438</v>
      </c>
      <c r="N60" s="258">
        <v>-387627.06799999997</v>
      </c>
      <c r="O60" s="258">
        <v>-19700.094700000001</v>
      </c>
      <c r="P60" s="258">
        <v>-20.83023643085366</v>
      </c>
      <c r="Q60" s="258">
        <f t="shared" si="1"/>
        <v>418169.85776993353</v>
      </c>
      <c r="R60" s="259">
        <f t="shared" si="2"/>
        <v>0.50655459165676597</v>
      </c>
      <c r="S60" s="255">
        <f t="shared" si="3"/>
        <v>36.982377112765178</v>
      </c>
      <c r="T60" s="255">
        <f t="shared" si="3"/>
        <v>36.982377112765178</v>
      </c>
      <c r="U60" s="254">
        <v>100300</v>
      </c>
      <c r="V60" s="254" t="s">
        <v>917</v>
      </c>
      <c r="W60" s="254" t="s">
        <v>915</v>
      </c>
      <c r="X60" s="254" t="s">
        <v>446</v>
      </c>
      <c r="Y60" s="254" t="s">
        <v>843</v>
      </c>
      <c r="Z60" s="254" t="s">
        <v>837</v>
      </c>
      <c r="AA60" s="254" t="s">
        <v>838</v>
      </c>
    </row>
    <row r="61" spans="1:27" ht="14.4" x14ac:dyDescent="0.3">
      <c r="A61" s="253">
        <v>13</v>
      </c>
      <c r="B61" s="254" t="s">
        <v>830</v>
      </c>
      <c r="C61" s="254">
        <v>12792</v>
      </c>
      <c r="D61" s="254" t="s">
        <v>930</v>
      </c>
      <c r="E61" s="254" t="str">
        <f>_xlfn.XLOOKUP(C61,Clientes!I:I,Clientes!F:F)</f>
        <v>HOYAGROS - BOLIVIA</v>
      </c>
      <c r="F61" s="254">
        <v>13491</v>
      </c>
      <c r="G61" s="254" t="s">
        <v>832</v>
      </c>
      <c r="H61" s="254" t="s">
        <v>931</v>
      </c>
      <c r="I61" s="255">
        <v>2200</v>
      </c>
      <c r="J61" s="256">
        <v>2200</v>
      </c>
      <c r="K61" s="257">
        <v>56032.20579987119</v>
      </c>
      <c r="L61" s="258">
        <v>0</v>
      </c>
      <c r="M61" s="258">
        <f t="shared" si="0"/>
        <v>56032.20579987119</v>
      </c>
      <c r="N61" s="258">
        <v>-18723.997142857141</v>
      </c>
      <c r="O61" s="258">
        <v>0</v>
      </c>
      <c r="P61" s="258">
        <v>-597.97552827707148</v>
      </c>
      <c r="Q61" s="258">
        <f t="shared" si="1"/>
        <v>36710.233128736982</v>
      </c>
      <c r="R61" s="259">
        <f t="shared" si="2"/>
        <v>0.6551630906670709</v>
      </c>
      <c r="S61" s="255">
        <f t="shared" si="3"/>
        <v>25.469184454486903</v>
      </c>
      <c r="T61" s="255">
        <f t="shared" si="3"/>
        <v>25.469184454486903</v>
      </c>
      <c r="U61" s="254">
        <v>100300</v>
      </c>
      <c r="V61" s="254" t="s">
        <v>917</v>
      </c>
      <c r="W61" s="254" t="s">
        <v>932</v>
      </c>
      <c r="X61" s="254" t="s">
        <v>446</v>
      </c>
      <c r="Y61" s="254" t="s">
        <v>836</v>
      </c>
      <c r="Z61" s="254" t="s">
        <v>837</v>
      </c>
      <c r="AA61" s="254" t="s">
        <v>838</v>
      </c>
    </row>
    <row r="62" spans="1:27" ht="14.4" x14ac:dyDescent="0.3">
      <c r="A62" s="253">
        <v>13</v>
      </c>
      <c r="B62" s="254" t="s">
        <v>830</v>
      </c>
      <c r="C62" s="254">
        <v>15435</v>
      </c>
      <c r="D62" s="254" t="s">
        <v>666</v>
      </c>
      <c r="E62" s="254" t="str">
        <f>_xlfn.XLOOKUP(C62,Clientes!I:I,Clientes!F:F)</f>
        <v>FERTI GROUP - URUGUAY</v>
      </c>
      <c r="F62" s="254">
        <v>8208</v>
      </c>
      <c r="G62" s="254" t="s">
        <v>832</v>
      </c>
      <c r="H62" s="254" t="s">
        <v>933</v>
      </c>
      <c r="I62" s="255">
        <v>2200</v>
      </c>
      <c r="J62" s="256">
        <v>2200</v>
      </c>
      <c r="K62" s="257">
        <v>143164.04783772118</v>
      </c>
      <c r="L62" s="258">
        <v>0</v>
      </c>
      <c r="M62" s="258">
        <f t="shared" si="0"/>
        <v>143164.04783772118</v>
      </c>
      <c r="N62" s="258">
        <v>-29151.334938271601</v>
      </c>
      <c r="O62" s="258">
        <v>0</v>
      </c>
      <c r="P62" s="258">
        <v>-597.97552827707148</v>
      </c>
      <c r="Q62" s="258">
        <f t="shared" si="1"/>
        <v>113414.73737117251</v>
      </c>
      <c r="R62" s="259">
        <f t="shared" si="2"/>
        <v>0.79220124803770564</v>
      </c>
      <c r="S62" s="255">
        <f t="shared" si="3"/>
        <v>65.074567198964175</v>
      </c>
      <c r="T62" s="255">
        <f t="shared" si="3"/>
        <v>65.074567198964175</v>
      </c>
      <c r="U62" s="254">
        <v>100300</v>
      </c>
      <c r="V62" s="254" t="s">
        <v>917</v>
      </c>
      <c r="W62" s="254" t="s">
        <v>934</v>
      </c>
      <c r="X62" s="254" t="s">
        <v>446</v>
      </c>
      <c r="Y62" s="254" t="s">
        <v>836</v>
      </c>
      <c r="Z62" s="254" t="s">
        <v>837</v>
      </c>
      <c r="AA62" s="254" t="s">
        <v>838</v>
      </c>
    </row>
    <row r="63" spans="1:27" ht="14.4" x14ac:dyDescent="0.3">
      <c r="A63" s="253">
        <v>13</v>
      </c>
      <c r="B63" s="254" t="s">
        <v>830</v>
      </c>
      <c r="C63" s="254">
        <v>4222</v>
      </c>
      <c r="D63" s="254" t="s">
        <v>756</v>
      </c>
      <c r="E63" s="254" t="str">
        <f>_xlfn.XLOOKUP(C63,Clientes!I:I,Clientes!F:F)</f>
        <v>MIP - COLOMBIA</v>
      </c>
      <c r="F63" s="254">
        <v>13025</v>
      </c>
      <c r="G63" s="254" t="s">
        <v>832</v>
      </c>
      <c r="H63" s="254" t="s">
        <v>935</v>
      </c>
      <c r="I63" s="255">
        <v>2200</v>
      </c>
      <c r="J63" s="256">
        <v>2200</v>
      </c>
      <c r="K63" s="257">
        <v>50217.542933846817</v>
      </c>
      <c r="L63" s="258">
        <v>0</v>
      </c>
      <c r="M63" s="258">
        <f t="shared" si="0"/>
        <v>50217.542933846817</v>
      </c>
      <c r="N63" s="258">
        <v>-14997.76</v>
      </c>
      <c r="O63" s="258">
        <v>0</v>
      </c>
      <c r="P63" s="258">
        <v>-597.97552827707148</v>
      </c>
      <c r="Q63" s="258">
        <f t="shared" si="1"/>
        <v>34621.807405569743</v>
      </c>
      <c r="R63" s="259">
        <f t="shared" si="2"/>
        <v>0.68943650730140582</v>
      </c>
      <c r="S63" s="255">
        <f t="shared" si="3"/>
        <v>22.826155879021279</v>
      </c>
      <c r="T63" s="255">
        <f t="shared" si="3"/>
        <v>22.826155879021279</v>
      </c>
      <c r="U63" s="254">
        <v>100300</v>
      </c>
      <c r="V63" s="254" t="s">
        <v>917</v>
      </c>
      <c r="W63" s="254" t="s">
        <v>936</v>
      </c>
      <c r="X63" s="254" t="s">
        <v>446</v>
      </c>
      <c r="Y63" s="254" t="s">
        <v>836</v>
      </c>
      <c r="Z63" s="254" t="s">
        <v>837</v>
      </c>
      <c r="AA63" s="254" t="s">
        <v>838</v>
      </c>
    </row>
    <row r="64" spans="1:27" ht="14.4" x14ac:dyDescent="0.3">
      <c r="A64" s="253">
        <v>13</v>
      </c>
      <c r="B64" s="254" t="s">
        <v>830</v>
      </c>
      <c r="C64" s="254">
        <v>729</v>
      </c>
      <c r="D64" s="254" t="s">
        <v>937</v>
      </c>
      <c r="E64" s="254" t="str">
        <f>_xlfn.XLOOKUP(C64,Clientes!I:I,Clientes!F:F)</f>
        <v>GRUPO FERTILIZ TOCANTINS</v>
      </c>
      <c r="F64" s="254">
        <v>8217</v>
      </c>
      <c r="G64" s="254" t="s">
        <v>897</v>
      </c>
      <c r="H64" s="254" t="s">
        <v>927</v>
      </c>
      <c r="I64" s="255">
        <v>24000</v>
      </c>
      <c r="J64" s="256">
        <v>24000</v>
      </c>
      <c r="K64" s="257">
        <v>951009.73651753925</v>
      </c>
      <c r="L64" s="258">
        <v>-66494.400000000009</v>
      </c>
      <c r="M64" s="258">
        <f t="shared" si="0"/>
        <v>884515.33651753922</v>
      </c>
      <c r="N64" s="258">
        <v>-387627.06799999997</v>
      </c>
      <c r="O64" s="258">
        <v>-28539.757999999998</v>
      </c>
      <c r="P64" s="258">
        <v>-30.1770075663315</v>
      </c>
      <c r="Q64" s="258">
        <f t="shared" si="1"/>
        <v>468318.33350997296</v>
      </c>
      <c r="R64" s="259">
        <f t="shared" si="2"/>
        <v>0.52946321468410917</v>
      </c>
      <c r="S64" s="255">
        <f t="shared" si="3"/>
        <v>39.625405688230799</v>
      </c>
      <c r="T64" s="255">
        <f t="shared" si="3"/>
        <v>39.625405688230799</v>
      </c>
      <c r="U64" s="254">
        <v>100300</v>
      </c>
      <c r="V64" s="254" t="s">
        <v>917</v>
      </c>
      <c r="W64" s="254" t="s">
        <v>899</v>
      </c>
      <c r="X64" s="254" t="s">
        <v>446</v>
      </c>
      <c r="Y64" s="254" t="s">
        <v>843</v>
      </c>
      <c r="Z64" s="254" t="s">
        <v>837</v>
      </c>
      <c r="AA64" s="254" t="s">
        <v>838</v>
      </c>
    </row>
    <row r="65" spans="1:27" ht="14.4" x14ac:dyDescent="0.3">
      <c r="A65" s="253">
        <v>13</v>
      </c>
      <c r="B65" s="254" t="s">
        <v>830</v>
      </c>
      <c r="C65" s="254">
        <v>10492</v>
      </c>
      <c r="D65" s="254" t="s">
        <v>101</v>
      </c>
      <c r="E65" s="254" t="str">
        <f>_xlfn.XLOOKUP(C65,Clientes!I:I,Clientes!F:F)</f>
        <v>GRUPO UNIFERTIL</v>
      </c>
      <c r="F65" s="254">
        <v>8216</v>
      </c>
      <c r="G65" s="254" t="s">
        <v>877</v>
      </c>
      <c r="H65" s="254" t="s">
        <v>938</v>
      </c>
      <c r="I65" s="255">
        <v>12000</v>
      </c>
      <c r="J65" s="256">
        <v>12000</v>
      </c>
      <c r="K65" s="257">
        <v>373267.71745325852</v>
      </c>
      <c r="L65" s="258">
        <v>-44740.799999999996</v>
      </c>
      <c r="M65" s="258">
        <f t="shared" si="0"/>
        <v>328526.91745325853</v>
      </c>
      <c r="N65" s="258">
        <v>-128833.045</v>
      </c>
      <c r="O65" s="258">
        <v>-14498.255999999972</v>
      </c>
      <c r="P65" s="258">
        <v>-15.329982160697027</v>
      </c>
      <c r="Q65" s="258">
        <f t="shared" si="1"/>
        <v>185180.28647109788</v>
      </c>
      <c r="R65" s="259">
        <f t="shared" si="2"/>
        <v>0.56366853561533381</v>
      </c>
      <c r="S65" s="255">
        <f t="shared" si="3"/>
        <v>31.105643121104876</v>
      </c>
      <c r="T65" s="255">
        <f t="shared" si="3"/>
        <v>31.105643121104876</v>
      </c>
      <c r="U65" s="254">
        <v>100300</v>
      </c>
      <c r="V65" s="254" t="s">
        <v>917</v>
      </c>
      <c r="W65" s="254" t="s">
        <v>878</v>
      </c>
      <c r="X65" s="254" t="s">
        <v>446</v>
      </c>
      <c r="Y65" s="254" t="s">
        <v>843</v>
      </c>
      <c r="Z65" s="254" t="s">
        <v>837</v>
      </c>
      <c r="AA65" s="254" t="s">
        <v>838</v>
      </c>
    </row>
    <row r="66" spans="1:27" ht="14.4" x14ac:dyDescent="0.3">
      <c r="A66" s="253">
        <v>13</v>
      </c>
      <c r="B66" s="254" t="s">
        <v>830</v>
      </c>
      <c r="C66" s="254">
        <v>15167</v>
      </c>
      <c r="D66" s="254" t="s">
        <v>939</v>
      </c>
      <c r="E66" s="254" t="str">
        <f>_xlfn.XLOOKUP(C66,Clientes!I:I,Clientes!F:F)</f>
        <v>CAMPOSOL - BOLIVIA</v>
      </c>
      <c r="F66" s="254">
        <v>13491</v>
      </c>
      <c r="G66" s="254" t="s">
        <v>832</v>
      </c>
      <c r="H66" s="254" t="s">
        <v>931</v>
      </c>
      <c r="I66" s="255">
        <v>3300</v>
      </c>
      <c r="J66" s="256">
        <v>3300</v>
      </c>
      <c r="K66" s="257">
        <v>80876.674409248037</v>
      </c>
      <c r="L66" s="258">
        <v>0</v>
      </c>
      <c r="M66" s="258">
        <f t="shared" si="0"/>
        <v>80876.674409248037</v>
      </c>
      <c r="N66" s="258">
        <v>-28085.995714285709</v>
      </c>
      <c r="O66" s="258">
        <v>0</v>
      </c>
      <c r="P66" s="258">
        <v>-896.96329241560716</v>
      </c>
      <c r="Q66" s="258">
        <f t="shared" si="1"/>
        <v>51893.715402546717</v>
      </c>
      <c r="R66" s="259">
        <f t="shared" si="2"/>
        <v>0.64164007461479899</v>
      </c>
      <c r="S66" s="255">
        <f t="shared" si="3"/>
        <v>24.508083154317585</v>
      </c>
      <c r="T66" s="255">
        <f t="shared" si="3"/>
        <v>24.508083154317585</v>
      </c>
      <c r="U66" s="254">
        <v>100300</v>
      </c>
      <c r="V66" s="254" t="s">
        <v>917</v>
      </c>
      <c r="W66" s="254" t="s">
        <v>940</v>
      </c>
      <c r="X66" s="254" t="s">
        <v>446</v>
      </c>
      <c r="Y66" s="254" t="s">
        <v>836</v>
      </c>
      <c r="Z66" s="254" t="s">
        <v>837</v>
      </c>
      <c r="AA66" s="254" t="s">
        <v>838</v>
      </c>
    </row>
    <row r="67" spans="1:27" ht="14.4" x14ac:dyDescent="0.3">
      <c r="A67" s="253">
        <v>13</v>
      </c>
      <c r="B67" s="254" t="s">
        <v>830</v>
      </c>
      <c r="C67" s="254">
        <v>943</v>
      </c>
      <c r="D67" s="254" t="s">
        <v>152</v>
      </c>
      <c r="E67" s="254" t="str">
        <f>_xlfn.XLOOKUP(C67,Clientes!I:I,Clientes!F:F)</f>
        <v>FORTGREEN - PAICANDU</v>
      </c>
      <c r="F67" s="254">
        <v>8214</v>
      </c>
      <c r="G67" s="254" t="s">
        <v>862</v>
      </c>
      <c r="H67" s="254" t="s">
        <v>922</v>
      </c>
      <c r="I67" s="255">
        <v>4000</v>
      </c>
      <c r="J67" s="256">
        <v>4000</v>
      </c>
      <c r="K67" s="257">
        <v>144205.24091290461</v>
      </c>
      <c r="L67" s="258">
        <v>-17284.8</v>
      </c>
      <c r="M67" s="258">
        <f t="shared" si="0"/>
        <v>126920.44091290461</v>
      </c>
      <c r="N67" s="258">
        <v>-39442.629999999997</v>
      </c>
      <c r="O67" s="258">
        <v>0</v>
      </c>
      <c r="P67" s="258">
        <v>0</v>
      </c>
      <c r="Q67" s="258">
        <f t="shared" si="1"/>
        <v>87477.810912904621</v>
      </c>
      <c r="R67" s="259">
        <f t="shared" si="2"/>
        <v>0.68923343067279186</v>
      </c>
      <c r="S67" s="255">
        <f t="shared" si="3"/>
        <v>36.05131022822615</v>
      </c>
      <c r="T67" s="255">
        <f t="shared" si="3"/>
        <v>36.05131022822615</v>
      </c>
      <c r="U67" s="254">
        <v>100300</v>
      </c>
      <c r="V67" s="254" t="s">
        <v>917</v>
      </c>
      <c r="W67" s="254" t="s">
        <v>941</v>
      </c>
      <c r="X67" s="254" t="s">
        <v>446</v>
      </c>
      <c r="Y67" s="254" t="s">
        <v>843</v>
      </c>
      <c r="Z67" s="254" t="s">
        <v>837</v>
      </c>
      <c r="AA67" s="254" t="s">
        <v>838</v>
      </c>
    </row>
    <row r="68" spans="1:27" ht="14.4" x14ac:dyDescent="0.3">
      <c r="A68" s="253">
        <v>13</v>
      </c>
      <c r="B68" s="254" t="s">
        <v>830</v>
      </c>
      <c r="C68" s="254">
        <v>210</v>
      </c>
      <c r="D68" s="254" t="s">
        <v>942</v>
      </c>
      <c r="E68" s="254" t="str">
        <f>_xlfn.XLOOKUP(C68,Clientes!I:I,Clientes!F:F)</f>
        <v>SUPERFÉRTIL FERTILIZANTES - PATROCÍNIO</v>
      </c>
      <c r="F68" s="254">
        <v>8214</v>
      </c>
      <c r="G68" s="254" t="s">
        <v>855</v>
      </c>
      <c r="H68" s="254" t="s">
        <v>922</v>
      </c>
      <c r="I68" s="255">
        <v>1000</v>
      </c>
      <c r="J68" s="256">
        <v>1000</v>
      </c>
      <c r="K68" s="257">
        <v>36041.298756349395</v>
      </c>
      <c r="L68" s="258">
        <v>-6480</v>
      </c>
      <c r="M68" s="258">
        <f t="shared" ref="M68:M131" si="4">SUM(K68:L68)</f>
        <v>29561.298756349395</v>
      </c>
      <c r="N68" s="258">
        <v>-9860.6574999999993</v>
      </c>
      <c r="O68" s="258">
        <v>0</v>
      </c>
      <c r="P68" s="258">
        <v>0</v>
      </c>
      <c r="Q68" s="258">
        <f t="shared" ref="Q68:Q131" si="5">SUM(M68:P68)</f>
        <v>19700.641256349394</v>
      </c>
      <c r="R68" s="259">
        <f t="shared" ref="R68:R131" si="6">Q68/M68</f>
        <v>0.66643354944335609</v>
      </c>
      <c r="S68" s="255">
        <f t="shared" ref="S68:T131" si="7">$K68/I68</f>
        <v>36.041298756349399</v>
      </c>
      <c r="T68" s="255">
        <f t="shared" si="7"/>
        <v>36.041298756349399</v>
      </c>
      <c r="U68" s="254">
        <v>100300</v>
      </c>
      <c r="V68" s="254" t="s">
        <v>917</v>
      </c>
      <c r="W68" s="254" t="s">
        <v>943</v>
      </c>
      <c r="X68" s="254" t="s">
        <v>446</v>
      </c>
      <c r="Y68" s="254" t="s">
        <v>843</v>
      </c>
      <c r="Z68" s="254" t="s">
        <v>837</v>
      </c>
      <c r="AA68" s="254" t="s">
        <v>838</v>
      </c>
    </row>
    <row r="69" spans="1:27" ht="14.4" x14ac:dyDescent="0.3">
      <c r="A69" s="253">
        <v>13</v>
      </c>
      <c r="B69" s="254" t="s">
        <v>830</v>
      </c>
      <c r="C69" s="254">
        <v>12337</v>
      </c>
      <c r="D69" s="254" t="s">
        <v>566</v>
      </c>
      <c r="E69" s="254" t="str">
        <f>_xlfn.XLOOKUP(C69,Clientes!I:I,Clientes!F:F)</f>
        <v>FITOSAN A.S - EQUADOR</v>
      </c>
      <c r="F69" s="254">
        <v>13947</v>
      </c>
      <c r="G69" s="254" t="s">
        <v>832</v>
      </c>
      <c r="H69" s="254" t="s">
        <v>944</v>
      </c>
      <c r="I69" s="255">
        <v>11000</v>
      </c>
      <c r="J69" s="256">
        <v>11000</v>
      </c>
      <c r="K69" s="257">
        <v>268157.27421911625</v>
      </c>
      <c r="L69" s="258">
        <v>0</v>
      </c>
      <c r="M69" s="258">
        <f t="shared" si="4"/>
        <v>268157.27421911625</v>
      </c>
      <c r="N69" s="258">
        <v>-71029.47</v>
      </c>
      <c r="O69" s="258">
        <v>0</v>
      </c>
      <c r="P69" s="258">
        <v>-2989.8776413853575</v>
      </c>
      <c r="Q69" s="258">
        <f t="shared" si="5"/>
        <v>194137.92657773089</v>
      </c>
      <c r="R69" s="259">
        <f t="shared" si="6"/>
        <v>0.72397039067117464</v>
      </c>
      <c r="S69" s="255">
        <f t="shared" si="7"/>
        <v>24.37793401991966</v>
      </c>
      <c r="T69" s="255">
        <f t="shared" si="7"/>
        <v>24.37793401991966</v>
      </c>
      <c r="U69" s="254">
        <v>100300</v>
      </c>
      <c r="V69" s="254" t="s">
        <v>917</v>
      </c>
      <c r="W69" s="254" t="s">
        <v>945</v>
      </c>
      <c r="X69" s="254" t="s">
        <v>446</v>
      </c>
      <c r="Y69" s="254" t="s">
        <v>836</v>
      </c>
      <c r="Z69" s="254" t="s">
        <v>837</v>
      </c>
      <c r="AA69" s="254" t="s">
        <v>838</v>
      </c>
    </row>
    <row r="70" spans="1:27" ht="14.4" x14ac:dyDescent="0.3">
      <c r="A70" s="253">
        <v>13</v>
      </c>
      <c r="B70" s="254" t="s">
        <v>830</v>
      </c>
      <c r="C70" s="254">
        <v>5053</v>
      </c>
      <c r="D70" s="254" t="s">
        <v>223</v>
      </c>
      <c r="E70" s="254" t="str">
        <f>_xlfn.XLOOKUP(C70,Clientes!I:I,Clientes!F:F)</f>
        <v>GRUPO ADUBOS ARAGUAIA</v>
      </c>
      <c r="F70" s="254">
        <v>8214</v>
      </c>
      <c r="G70" s="254" t="s">
        <v>840</v>
      </c>
      <c r="H70" s="254" t="s">
        <v>922</v>
      </c>
      <c r="I70" s="255">
        <v>5000</v>
      </c>
      <c r="J70" s="256">
        <v>5000</v>
      </c>
      <c r="K70" s="257">
        <v>199178.23298821421</v>
      </c>
      <c r="L70" s="258">
        <v>-13926.500000000002</v>
      </c>
      <c r="M70" s="258">
        <f t="shared" si="4"/>
        <v>185251.73298821421</v>
      </c>
      <c r="N70" s="258">
        <v>-49303.287499999999</v>
      </c>
      <c r="O70" s="258">
        <v>-11315.712000000007</v>
      </c>
      <c r="P70" s="258">
        <v>-11.9648641254221</v>
      </c>
      <c r="Q70" s="258">
        <f t="shared" si="5"/>
        <v>124620.76862408879</v>
      </c>
      <c r="R70" s="259">
        <f t="shared" si="6"/>
        <v>0.67271040661205161</v>
      </c>
      <c r="S70" s="255">
        <f t="shared" si="7"/>
        <v>39.835646597642842</v>
      </c>
      <c r="T70" s="255">
        <f t="shared" si="7"/>
        <v>39.835646597642842</v>
      </c>
      <c r="U70" s="254">
        <v>100300</v>
      </c>
      <c r="V70" s="254" t="s">
        <v>917</v>
      </c>
      <c r="W70" s="254" t="s">
        <v>842</v>
      </c>
      <c r="X70" s="254" t="s">
        <v>446</v>
      </c>
      <c r="Y70" s="254" t="s">
        <v>843</v>
      </c>
      <c r="Z70" s="254" t="s">
        <v>837</v>
      </c>
      <c r="AA70" s="254" t="s">
        <v>838</v>
      </c>
    </row>
    <row r="71" spans="1:27" ht="14.4" x14ac:dyDescent="0.3">
      <c r="A71" s="253">
        <v>13</v>
      </c>
      <c r="B71" s="254" t="s">
        <v>830</v>
      </c>
      <c r="C71" s="254">
        <v>2011</v>
      </c>
      <c r="D71" s="254" t="s">
        <v>616</v>
      </c>
      <c r="E71" s="254" t="str">
        <f>_xlfn.XLOOKUP(C71,Clientes!I:I,Clientes!F:F)</f>
        <v>FERTGROW S.A</v>
      </c>
      <c r="F71" s="254">
        <v>8224</v>
      </c>
      <c r="G71" s="254" t="s">
        <v>897</v>
      </c>
      <c r="H71" s="254" t="s">
        <v>921</v>
      </c>
      <c r="I71" s="255">
        <v>24000</v>
      </c>
      <c r="J71" s="256">
        <v>24000</v>
      </c>
      <c r="K71" s="257">
        <v>492804.69166181737</v>
      </c>
      <c r="L71" s="258">
        <v>-34456.800000000003</v>
      </c>
      <c r="M71" s="258">
        <f t="shared" si="4"/>
        <v>458347.89166181738</v>
      </c>
      <c r="N71" s="258">
        <v>-175448.72571428571</v>
      </c>
      <c r="O71" s="258">
        <v>-28539.757999999998</v>
      </c>
      <c r="P71" s="258">
        <v>-30.1770075663315</v>
      </c>
      <c r="Q71" s="258">
        <f t="shared" si="5"/>
        <v>254329.23093996538</v>
      </c>
      <c r="R71" s="259">
        <f t="shared" si="6"/>
        <v>0.55488251515208664</v>
      </c>
      <c r="S71" s="255">
        <f t="shared" si="7"/>
        <v>20.533528819242392</v>
      </c>
      <c r="T71" s="255">
        <f t="shared" si="7"/>
        <v>20.533528819242392</v>
      </c>
      <c r="U71" s="254">
        <v>100300</v>
      </c>
      <c r="V71" s="254" t="s">
        <v>917</v>
      </c>
      <c r="W71" s="254" t="s">
        <v>899</v>
      </c>
      <c r="X71" s="254" t="s">
        <v>446</v>
      </c>
      <c r="Y71" s="254" t="s">
        <v>843</v>
      </c>
      <c r="Z71" s="254" t="s">
        <v>837</v>
      </c>
      <c r="AA71" s="254" t="s">
        <v>838</v>
      </c>
    </row>
    <row r="72" spans="1:27" ht="14.4" x14ac:dyDescent="0.3">
      <c r="A72" s="253">
        <v>13</v>
      </c>
      <c r="B72" s="254" t="s">
        <v>830</v>
      </c>
      <c r="C72" s="254">
        <v>5731</v>
      </c>
      <c r="D72" s="254" t="s">
        <v>901</v>
      </c>
      <c r="E72" s="254" t="str">
        <f>_xlfn.XLOOKUP(C72,Clientes!I:I,Clientes!F:F)</f>
        <v>FERTILIZANTES ALIANÇA - APARECIDA DE GOI</v>
      </c>
      <c r="F72" s="254">
        <v>8214</v>
      </c>
      <c r="G72" s="254" t="s">
        <v>867</v>
      </c>
      <c r="H72" s="254" t="s">
        <v>922</v>
      </c>
      <c r="I72" s="255">
        <v>1000</v>
      </c>
      <c r="J72" s="256">
        <v>1000</v>
      </c>
      <c r="K72" s="257">
        <v>32036.710005643905</v>
      </c>
      <c r="L72" s="258">
        <v>-2240</v>
      </c>
      <c r="M72" s="258">
        <f t="shared" si="4"/>
        <v>29796.710005643905</v>
      </c>
      <c r="N72" s="258">
        <v>-9860.6574999999993</v>
      </c>
      <c r="O72" s="258">
        <v>-3500.7983999999979</v>
      </c>
      <c r="P72" s="258">
        <v>-3.7016298388024573</v>
      </c>
      <c r="Q72" s="258">
        <f t="shared" si="5"/>
        <v>16431.552475805107</v>
      </c>
      <c r="R72" s="259">
        <f t="shared" si="6"/>
        <v>0.55145526041944715</v>
      </c>
      <c r="S72" s="255">
        <f t="shared" si="7"/>
        <v>32.036710005643904</v>
      </c>
      <c r="T72" s="255">
        <f t="shared" si="7"/>
        <v>32.036710005643904</v>
      </c>
      <c r="U72" s="254">
        <v>100300</v>
      </c>
      <c r="V72" s="254" t="s">
        <v>917</v>
      </c>
      <c r="W72" s="254" t="s">
        <v>902</v>
      </c>
      <c r="X72" s="254" t="s">
        <v>446</v>
      </c>
      <c r="Y72" s="254" t="s">
        <v>843</v>
      </c>
      <c r="Z72" s="254" t="s">
        <v>837</v>
      </c>
      <c r="AA72" s="254" t="s">
        <v>838</v>
      </c>
    </row>
    <row r="73" spans="1:27" ht="14.4" x14ac:dyDescent="0.3">
      <c r="A73" s="253">
        <v>13</v>
      </c>
      <c r="B73" s="254" t="s">
        <v>830</v>
      </c>
      <c r="C73" s="254">
        <v>14011</v>
      </c>
      <c r="D73" s="254" t="s">
        <v>668</v>
      </c>
      <c r="E73" s="254" t="str">
        <f>_xlfn.XLOOKUP(C73,Clientes!I:I,Clientes!F:F)</f>
        <v>PACIFICOZONE EQUADOR</v>
      </c>
      <c r="F73" s="254">
        <v>8208</v>
      </c>
      <c r="G73" s="254" t="s">
        <v>832</v>
      </c>
      <c r="H73" s="254" t="s">
        <v>933</v>
      </c>
      <c r="I73" s="255">
        <v>2000</v>
      </c>
      <c r="J73" s="256">
        <v>2000</v>
      </c>
      <c r="K73" s="257">
        <v>118936.285895953</v>
      </c>
      <c r="L73" s="258">
        <v>0</v>
      </c>
      <c r="M73" s="258">
        <f t="shared" si="4"/>
        <v>118936.285895953</v>
      </c>
      <c r="N73" s="258">
        <v>-26501.213580246909</v>
      </c>
      <c r="O73" s="258">
        <v>0</v>
      </c>
      <c r="P73" s="258">
        <v>-543.61411661551949</v>
      </c>
      <c r="Q73" s="258">
        <f t="shared" si="5"/>
        <v>91891.458199090572</v>
      </c>
      <c r="R73" s="259">
        <f t="shared" si="6"/>
        <v>0.77261079330725368</v>
      </c>
      <c r="S73" s="255">
        <f t="shared" si="7"/>
        <v>59.468142947976496</v>
      </c>
      <c r="T73" s="255">
        <f t="shared" si="7"/>
        <v>59.468142947976496</v>
      </c>
      <c r="U73" s="254">
        <v>100300</v>
      </c>
      <c r="V73" s="254" t="s">
        <v>917</v>
      </c>
      <c r="W73" s="254" t="s">
        <v>946</v>
      </c>
      <c r="X73" s="254" t="s">
        <v>446</v>
      </c>
      <c r="Y73" s="254" t="s">
        <v>836</v>
      </c>
      <c r="Z73" s="254" t="s">
        <v>837</v>
      </c>
      <c r="AA73" s="254" t="s">
        <v>838</v>
      </c>
    </row>
    <row r="74" spans="1:27" ht="14.4" x14ac:dyDescent="0.3">
      <c r="A74" s="253">
        <v>13</v>
      </c>
      <c r="B74" s="254" t="s">
        <v>830</v>
      </c>
      <c r="C74" s="254">
        <v>2622</v>
      </c>
      <c r="D74" s="254" t="s">
        <v>73</v>
      </c>
      <c r="E74" s="254" t="str">
        <f>_xlfn.XLOOKUP(C74,Clientes!I:I,Clientes!F:F)</f>
        <v>ADUFERTIL JUNDIAI</v>
      </c>
      <c r="F74" s="254">
        <v>8215</v>
      </c>
      <c r="G74" s="254" t="s">
        <v>908</v>
      </c>
      <c r="H74" s="254" t="s">
        <v>947</v>
      </c>
      <c r="I74" s="255">
        <v>12000</v>
      </c>
      <c r="J74" s="256">
        <v>12000</v>
      </c>
      <c r="K74" s="257">
        <v>416036.72531079315</v>
      </c>
      <c r="L74" s="258">
        <v>-49867.199999999997</v>
      </c>
      <c r="M74" s="258">
        <f t="shared" si="4"/>
        <v>366169.52531079313</v>
      </c>
      <c r="N74" s="258">
        <v>-155722.74000000002</v>
      </c>
      <c r="O74" s="258">
        <v>-5481.0480000000016</v>
      </c>
      <c r="P74" s="258">
        <v>-5.7954810607513281</v>
      </c>
      <c r="Q74" s="258">
        <f t="shared" si="5"/>
        <v>204959.94182973236</v>
      </c>
      <c r="R74" s="259">
        <f t="shared" si="6"/>
        <v>0.55974057823563783</v>
      </c>
      <c r="S74" s="255">
        <f t="shared" si="7"/>
        <v>34.66972710923276</v>
      </c>
      <c r="T74" s="255">
        <f t="shared" si="7"/>
        <v>34.66972710923276</v>
      </c>
      <c r="U74" s="254">
        <v>100300</v>
      </c>
      <c r="V74" s="254" t="s">
        <v>917</v>
      </c>
      <c r="W74" s="254" t="s">
        <v>948</v>
      </c>
      <c r="X74" s="254" t="s">
        <v>446</v>
      </c>
      <c r="Y74" s="254" t="s">
        <v>843</v>
      </c>
      <c r="Z74" s="254" t="s">
        <v>837</v>
      </c>
      <c r="AA74" s="254" t="s">
        <v>838</v>
      </c>
    </row>
    <row r="75" spans="1:27" ht="14.4" x14ac:dyDescent="0.3">
      <c r="A75" s="253">
        <v>13</v>
      </c>
      <c r="B75" s="254" t="s">
        <v>830</v>
      </c>
      <c r="C75" s="254">
        <v>12322</v>
      </c>
      <c r="D75" s="254" t="s">
        <v>660</v>
      </c>
      <c r="E75" s="254" t="str">
        <f>_xlfn.XLOOKUP(C75,Clientes!I:I,Clientes!F:F)</f>
        <v>COFCO INTERNATIONAL BRASIL S.A.</v>
      </c>
      <c r="F75" s="254">
        <v>8201</v>
      </c>
      <c r="G75" s="254" t="s">
        <v>908</v>
      </c>
      <c r="H75" s="254" t="s">
        <v>916</v>
      </c>
      <c r="I75" s="255">
        <v>22000</v>
      </c>
      <c r="J75" s="256">
        <v>22000</v>
      </c>
      <c r="K75" s="257">
        <v>817136.33458145487</v>
      </c>
      <c r="L75" s="258">
        <v>-97944</v>
      </c>
      <c r="M75" s="258">
        <f t="shared" si="4"/>
        <v>719192.33458145487</v>
      </c>
      <c r="N75" s="258">
        <v>-447998.40625</v>
      </c>
      <c r="O75" s="258">
        <v>-6330.1531084271992</v>
      </c>
      <c r="P75" s="258">
        <v>-6.6932970577061113</v>
      </c>
      <c r="Q75" s="258">
        <f t="shared" si="5"/>
        <v>264857.08192596998</v>
      </c>
      <c r="R75" s="259">
        <f t="shared" si="6"/>
        <v>0.36827016806305041</v>
      </c>
      <c r="S75" s="255">
        <f t="shared" si="7"/>
        <v>37.1425606627934</v>
      </c>
      <c r="T75" s="255">
        <f t="shared" si="7"/>
        <v>37.1425606627934</v>
      </c>
      <c r="U75" s="254">
        <v>100300</v>
      </c>
      <c r="V75" s="254" t="s">
        <v>917</v>
      </c>
      <c r="W75" s="254" t="s">
        <v>949</v>
      </c>
      <c r="X75" s="254" t="s">
        <v>446</v>
      </c>
      <c r="Y75" s="254" t="s">
        <v>843</v>
      </c>
      <c r="Z75" s="254" t="s">
        <v>837</v>
      </c>
      <c r="AA75" s="254" t="s">
        <v>838</v>
      </c>
    </row>
    <row r="76" spans="1:27" ht="14.4" x14ac:dyDescent="0.3">
      <c r="A76" s="253">
        <v>13</v>
      </c>
      <c r="B76" s="254" t="s">
        <v>830</v>
      </c>
      <c r="C76" s="254">
        <v>2975</v>
      </c>
      <c r="D76" s="254" t="s">
        <v>420</v>
      </c>
      <c r="E76" s="254" t="str">
        <f>_xlfn.XLOOKUP(C76,Clientes!I:I,Clientes!F:F)</f>
        <v>COONAGRO COOPERATIVA - PARANAGUA</v>
      </c>
      <c r="F76" s="254">
        <v>8218</v>
      </c>
      <c r="G76" s="254" t="s">
        <v>862</v>
      </c>
      <c r="H76" s="254" t="s">
        <v>923</v>
      </c>
      <c r="I76" s="255">
        <v>6000</v>
      </c>
      <c r="J76" s="256">
        <v>6000</v>
      </c>
      <c r="K76" s="257">
        <v>180086.35611922579</v>
      </c>
      <c r="L76" s="258">
        <v>-21585.599999999999</v>
      </c>
      <c r="M76" s="258">
        <f t="shared" si="4"/>
        <v>158500.75611922579</v>
      </c>
      <c r="N76" s="258">
        <v>-70242.324285714276</v>
      </c>
      <c r="O76" s="258">
        <v>-9901.2479999999723</v>
      </c>
      <c r="P76" s="258">
        <v>-10.469256109744302</v>
      </c>
      <c r="Q76" s="258">
        <f t="shared" si="5"/>
        <v>78346.714577401784</v>
      </c>
      <c r="R76" s="259">
        <f t="shared" si="6"/>
        <v>0.49429868030704305</v>
      </c>
      <c r="S76" s="255">
        <f t="shared" si="7"/>
        <v>30.014392686537633</v>
      </c>
      <c r="T76" s="255">
        <f t="shared" si="7"/>
        <v>30.014392686537633</v>
      </c>
      <c r="U76" s="254">
        <v>100300</v>
      </c>
      <c r="V76" s="254" t="s">
        <v>917</v>
      </c>
      <c r="W76" s="254" t="s">
        <v>864</v>
      </c>
      <c r="X76" s="254" t="s">
        <v>446</v>
      </c>
      <c r="Y76" s="254" t="s">
        <v>843</v>
      </c>
      <c r="Z76" s="254" t="s">
        <v>837</v>
      </c>
      <c r="AA76" s="254" t="s">
        <v>838</v>
      </c>
    </row>
    <row r="77" spans="1:27" ht="14.4" x14ac:dyDescent="0.3">
      <c r="A77" s="253">
        <v>13</v>
      </c>
      <c r="B77" s="254" t="s">
        <v>830</v>
      </c>
      <c r="C77" s="254">
        <v>3232</v>
      </c>
      <c r="D77" s="254" t="s">
        <v>153</v>
      </c>
      <c r="E77" s="254" t="str">
        <f>_xlfn.XLOOKUP(C77,Clientes!I:I,Clientes!F:F)</f>
        <v>GRUPO FERTILIZ TOCANTINS</v>
      </c>
      <c r="F77" s="254">
        <v>8217</v>
      </c>
      <c r="G77" s="254" t="s">
        <v>855</v>
      </c>
      <c r="H77" s="254" t="s">
        <v>927</v>
      </c>
      <c r="I77" s="255">
        <v>48000</v>
      </c>
      <c r="J77" s="256">
        <v>48000</v>
      </c>
      <c r="K77" s="257">
        <v>2018312.7303555659</v>
      </c>
      <c r="L77" s="258">
        <v>-362880</v>
      </c>
      <c r="M77" s="258">
        <f t="shared" si="4"/>
        <v>1655432.7303555659</v>
      </c>
      <c r="N77" s="258">
        <v>-775254.13599999994</v>
      </c>
      <c r="O77" s="258">
        <v>-3543.527</v>
      </c>
      <c r="P77" s="258">
        <v>-3.7468096642760589</v>
      </c>
      <c r="Q77" s="258">
        <f t="shared" si="5"/>
        <v>876631.32054590166</v>
      </c>
      <c r="R77" s="259">
        <f t="shared" si="6"/>
        <v>0.52954813836356396</v>
      </c>
      <c r="S77" s="255">
        <f t="shared" si="7"/>
        <v>42.048181882407626</v>
      </c>
      <c r="T77" s="255">
        <f t="shared" si="7"/>
        <v>42.048181882407626</v>
      </c>
      <c r="U77" s="254">
        <v>100300</v>
      </c>
      <c r="V77" s="254" t="s">
        <v>917</v>
      </c>
      <c r="W77" s="254" t="s">
        <v>857</v>
      </c>
      <c r="X77" s="254" t="s">
        <v>446</v>
      </c>
      <c r="Y77" s="254" t="s">
        <v>843</v>
      </c>
      <c r="Z77" s="254" t="s">
        <v>837</v>
      </c>
      <c r="AA77" s="254" t="s">
        <v>838</v>
      </c>
    </row>
    <row r="78" spans="1:27" ht="14.4" x14ac:dyDescent="0.3">
      <c r="A78" s="253">
        <v>13</v>
      </c>
      <c r="B78" s="254" t="s">
        <v>830</v>
      </c>
      <c r="C78" s="254">
        <v>16571</v>
      </c>
      <c r="D78" s="254" t="s">
        <v>950</v>
      </c>
      <c r="E78" s="254" t="str">
        <f>_xlfn.XLOOKUP(C78,Clientes!I:I,Clientes!F:F)</f>
        <v>FERTIPLUS-AGRO  BOLÍVIA</v>
      </c>
      <c r="F78" s="254">
        <v>13491</v>
      </c>
      <c r="G78" s="254" t="s">
        <v>832</v>
      </c>
      <c r="H78" s="254" t="s">
        <v>931</v>
      </c>
      <c r="I78" s="255">
        <v>2200</v>
      </c>
      <c r="J78" s="256">
        <v>2200</v>
      </c>
      <c r="K78" s="257">
        <v>56032.20579987119</v>
      </c>
      <c r="L78" s="258">
        <v>0</v>
      </c>
      <c r="M78" s="258">
        <f t="shared" si="4"/>
        <v>56032.20579987119</v>
      </c>
      <c r="N78" s="258">
        <v>-18723.997142857141</v>
      </c>
      <c r="O78" s="258">
        <v>0</v>
      </c>
      <c r="P78" s="258">
        <v>-597.97552827707148</v>
      </c>
      <c r="Q78" s="258">
        <f t="shared" si="5"/>
        <v>36710.233128736982</v>
      </c>
      <c r="R78" s="259">
        <f t="shared" si="6"/>
        <v>0.6551630906670709</v>
      </c>
      <c r="S78" s="255">
        <f t="shared" si="7"/>
        <v>25.469184454486903</v>
      </c>
      <c r="T78" s="255">
        <f t="shared" si="7"/>
        <v>25.469184454486903</v>
      </c>
      <c r="U78" s="254">
        <v>100300</v>
      </c>
      <c r="V78" s="254" t="s">
        <v>917</v>
      </c>
      <c r="W78" s="254" t="s">
        <v>951</v>
      </c>
      <c r="X78" s="254" t="s">
        <v>446</v>
      </c>
      <c r="Y78" s="254" t="s">
        <v>836</v>
      </c>
      <c r="Z78" s="254" t="s">
        <v>837</v>
      </c>
      <c r="AA78" s="254" t="s">
        <v>838</v>
      </c>
    </row>
    <row r="79" spans="1:27" ht="14.4" x14ac:dyDescent="0.3">
      <c r="A79" s="253">
        <v>13</v>
      </c>
      <c r="B79" s="254" t="s">
        <v>830</v>
      </c>
      <c r="C79" s="254">
        <v>833</v>
      </c>
      <c r="D79" s="254" t="s">
        <v>213</v>
      </c>
      <c r="E79" s="254" t="str">
        <f>_xlfn.XLOOKUP(C79,Clientes!I:I,Clientes!F:F)</f>
        <v>TERRENA - PATOS DE MINAS</v>
      </c>
      <c r="F79" s="254">
        <v>8215</v>
      </c>
      <c r="G79" s="254" t="s">
        <v>855</v>
      </c>
      <c r="H79" s="254" t="s">
        <v>947</v>
      </c>
      <c r="I79" s="255">
        <v>12000</v>
      </c>
      <c r="J79" s="256">
        <v>12000</v>
      </c>
      <c r="K79" s="257">
        <v>324371.68880714453</v>
      </c>
      <c r="L79" s="258">
        <v>0</v>
      </c>
      <c r="M79" s="258">
        <f t="shared" si="4"/>
        <v>324371.68880714453</v>
      </c>
      <c r="N79" s="258">
        <v>-155722.74000000002</v>
      </c>
      <c r="O79" s="258">
        <v>-3639.2979999999998</v>
      </c>
      <c r="P79" s="258">
        <v>-3.848074790337574</v>
      </c>
      <c r="Q79" s="258">
        <f t="shared" si="5"/>
        <v>165005.80273235418</v>
      </c>
      <c r="R79" s="259">
        <f t="shared" si="6"/>
        <v>0.50869360189587487</v>
      </c>
      <c r="S79" s="255">
        <f t="shared" si="7"/>
        <v>27.030974067262044</v>
      </c>
      <c r="T79" s="255">
        <f t="shared" si="7"/>
        <v>27.030974067262044</v>
      </c>
      <c r="U79" s="254">
        <v>100300</v>
      </c>
      <c r="V79" s="254" t="s">
        <v>917</v>
      </c>
      <c r="W79" s="254" t="s">
        <v>952</v>
      </c>
      <c r="X79" s="254" t="s">
        <v>446</v>
      </c>
      <c r="Y79" s="254" t="s">
        <v>843</v>
      </c>
      <c r="Z79" s="254" t="s">
        <v>837</v>
      </c>
      <c r="AA79" s="254" t="s">
        <v>838</v>
      </c>
    </row>
    <row r="80" spans="1:27" ht="14.4" x14ac:dyDescent="0.3">
      <c r="A80" s="253">
        <v>13</v>
      </c>
      <c r="B80" s="254" t="s">
        <v>830</v>
      </c>
      <c r="C80" s="254">
        <v>2410</v>
      </c>
      <c r="D80" s="254" t="s">
        <v>953</v>
      </c>
      <c r="E80" s="254" t="str">
        <f>_xlfn.XLOOKUP(C80,Clientes!I:I,Clientes!F:F)</f>
        <v>PEDRO MACCÍO Y CIA S.A. - URUGUAI</v>
      </c>
      <c r="F80" s="254">
        <v>8208</v>
      </c>
      <c r="G80" s="254" t="s">
        <v>832</v>
      </c>
      <c r="H80" s="254" t="s">
        <v>933</v>
      </c>
      <c r="I80" s="255">
        <v>12000</v>
      </c>
      <c r="J80" s="256">
        <v>12000</v>
      </c>
      <c r="K80" s="257">
        <v>684784.67637063842</v>
      </c>
      <c r="L80" s="258">
        <v>0</v>
      </c>
      <c r="M80" s="258">
        <f t="shared" si="4"/>
        <v>684784.67637063842</v>
      </c>
      <c r="N80" s="258">
        <v>-159007.28148148148</v>
      </c>
      <c r="O80" s="258">
        <v>0</v>
      </c>
      <c r="P80" s="258">
        <v>-3261.6846996931172</v>
      </c>
      <c r="Q80" s="258">
        <f t="shared" si="5"/>
        <v>522515.7101894638</v>
      </c>
      <c r="R80" s="259">
        <f t="shared" si="6"/>
        <v>0.76303651092019054</v>
      </c>
      <c r="S80" s="255">
        <f t="shared" si="7"/>
        <v>57.065389697553201</v>
      </c>
      <c r="T80" s="255">
        <f t="shared" si="7"/>
        <v>57.065389697553201</v>
      </c>
      <c r="U80" s="254">
        <v>100300</v>
      </c>
      <c r="V80" s="254" t="s">
        <v>917</v>
      </c>
      <c r="W80" s="254" t="s">
        <v>954</v>
      </c>
      <c r="X80" s="254" t="s">
        <v>446</v>
      </c>
      <c r="Y80" s="254" t="s">
        <v>836</v>
      </c>
      <c r="Z80" s="254" t="s">
        <v>837</v>
      </c>
      <c r="AA80" s="254" t="s">
        <v>838</v>
      </c>
    </row>
    <row r="81" spans="1:27" ht="14.4" x14ac:dyDescent="0.3">
      <c r="A81" s="253">
        <v>13</v>
      </c>
      <c r="B81" s="254" t="s">
        <v>830</v>
      </c>
      <c r="C81" s="254">
        <v>2410</v>
      </c>
      <c r="D81" s="254" t="s">
        <v>953</v>
      </c>
      <c r="E81" s="254" t="str">
        <f>_xlfn.XLOOKUP(C81,Clientes!I:I,Clientes!F:F)</f>
        <v>PEDRO MACCÍO Y CIA S.A. - URUGUAI</v>
      </c>
      <c r="F81" s="254">
        <v>8201</v>
      </c>
      <c r="G81" s="254" t="s">
        <v>832</v>
      </c>
      <c r="H81" s="254" t="s">
        <v>916</v>
      </c>
      <c r="I81" s="255">
        <v>4400</v>
      </c>
      <c r="J81" s="256">
        <v>4400</v>
      </c>
      <c r="K81" s="257">
        <v>246682.66704345806</v>
      </c>
      <c r="L81" s="258">
        <v>0</v>
      </c>
      <c r="M81" s="258">
        <f t="shared" si="4"/>
        <v>246682.66704345806</v>
      </c>
      <c r="N81" s="258">
        <v>-89599.681249999994</v>
      </c>
      <c r="O81" s="258">
        <v>0</v>
      </c>
      <c r="P81" s="258">
        <v>-1195.951056554143</v>
      </c>
      <c r="Q81" s="258">
        <f t="shared" si="5"/>
        <v>155887.03473690391</v>
      </c>
      <c r="R81" s="259">
        <f t="shared" si="6"/>
        <v>0.63193347390492294</v>
      </c>
      <c r="S81" s="255">
        <f t="shared" si="7"/>
        <v>56.064242509876834</v>
      </c>
      <c r="T81" s="255">
        <f t="shared" si="7"/>
        <v>56.064242509876834</v>
      </c>
      <c r="U81" s="254">
        <v>100300</v>
      </c>
      <c r="V81" s="254" t="s">
        <v>917</v>
      </c>
      <c r="W81" s="254" t="s">
        <v>954</v>
      </c>
      <c r="X81" s="254" t="s">
        <v>446</v>
      </c>
      <c r="Y81" s="254" t="s">
        <v>836</v>
      </c>
      <c r="Z81" s="254" t="s">
        <v>837</v>
      </c>
      <c r="AA81" s="254" t="s">
        <v>838</v>
      </c>
    </row>
    <row r="82" spans="1:27" ht="14.4" x14ac:dyDescent="0.3">
      <c r="A82" s="253">
        <v>13</v>
      </c>
      <c r="B82" s="254" t="s">
        <v>830</v>
      </c>
      <c r="C82" s="254">
        <v>86</v>
      </c>
      <c r="D82" s="254" t="s">
        <v>31</v>
      </c>
      <c r="E82" s="254" t="str">
        <f>_xlfn.XLOOKUP(C82,Clientes!I:I,Clientes!F:F)</f>
        <v>GRUPO ADUBOS ARAGUAIA</v>
      </c>
      <c r="F82" s="254">
        <v>8214</v>
      </c>
      <c r="G82" s="254" t="s">
        <v>867</v>
      </c>
      <c r="H82" s="254" t="s">
        <v>922</v>
      </c>
      <c r="I82" s="255">
        <v>12000</v>
      </c>
      <c r="J82" s="256">
        <v>12000</v>
      </c>
      <c r="K82" s="257">
        <v>384440.52006772684</v>
      </c>
      <c r="L82" s="258">
        <v>-26880.000000000004</v>
      </c>
      <c r="M82" s="258">
        <f t="shared" si="4"/>
        <v>357560.52006772684</v>
      </c>
      <c r="N82" s="258">
        <v>-118327.88999999998</v>
      </c>
      <c r="O82" s="258">
        <v>-4066.5840000000026</v>
      </c>
      <c r="P82" s="258">
        <v>-4.2998730450735669</v>
      </c>
      <c r="Q82" s="258">
        <f t="shared" si="5"/>
        <v>235161.74619468179</v>
      </c>
      <c r="R82" s="259">
        <f t="shared" si="6"/>
        <v>0.65768375700465742</v>
      </c>
      <c r="S82" s="255">
        <f t="shared" si="7"/>
        <v>32.036710005643904</v>
      </c>
      <c r="T82" s="255">
        <f t="shared" si="7"/>
        <v>32.036710005643904</v>
      </c>
      <c r="U82" s="254">
        <v>100300</v>
      </c>
      <c r="V82" s="254" t="s">
        <v>917</v>
      </c>
      <c r="W82" s="254" t="s">
        <v>955</v>
      </c>
      <c r="X82" s="254" t="s">
        <v>446</v>
      </c>
      <c r="Y82" s="254" t="s">
        <v>843</v>
      </c>
      <c r="Z82" s="254" t="s">
        <v>837</v>
      </c>
      <c r="AA82" s="254" t="s">
        <v>838</v>
      </c>
    </row>
    <row r="83" spans="1:27" ht="14.4" x14ac:dyDescent="0.3">
      <c r="A83" s="253">
        <v>13</v>
      </c>
      <c r="B83" s="254" t="s">
        <v>830</v>
      </c>
      <c r="C83" s="254">
        <v>466</v>
      </c>
      <c r="D83" s="254" t="s">
        <v>40</v>
      </c>
      <c r="E83" s="254" t="str">
        <f>_xlfn.XLOOKUP(C83,Clientes!I:I,Clientes!F:F)</f>
        <v>GRUPO ADUBOS ARAGUAIA</v>
      </c>
      <c r="F83" s="254">
        <v>8214</v>
      </c>
      <c r="G83" s="254" t="s">
        <v>840</v>
      </c>
      <c r="H83" s="254" t="s">
        <v>922</v>
      </c>
      <c r="I83" s="255">
        <v>6000</v>
      </c>
      <c r="J83" s="256">
        <v>6000</v>
      </c>
      <c r="K83" s="257">
        <v>227841.07697138874</v>
      </c>
      <c r="L83" s="258">
        <v>-15930.600000000002</v>
      </c>
      <c r="M83" s="258">
        <f t="shared" si="4"/>
        <v>211910.47697138874</v>
      </c>
      <c r="N83" s="258">
        <v>-59163.944999999992</v>
      </c>
      <c r="O83" s="258">
        <v>-15993.757</v>
      </c>
      <c r="P83" s="258">
        <v>-16.911276052273021</v>
      </c>
      <c r="Q83" s="258">
        <f t="shared" si="5"/>
        <v>136735.86369533645</v>
      </c>
      <c r="R83" s="259">
        <f t="shared" si="6"/>
        <v>0.64525296554260481</v>
      </c>
      <c r="S83" s="255">
        <f t="shared" si="7"/>
        <v>37.973512828564793</v>
      </c>
      <c r="T83" s="255">
        <f t="shared" si="7"/>
        <v>37.973512828564793</v>
      </c>
      <c r="U83" s="254">
        <v>100300</v>
      </c>
      <c r="V83" s="254" t="s">
        <v>917</v>
      </c>
      <c r="W83" s="254" t="s">
        <v>874</v>
      </c>
      <c r="X83" s="254" t="s">
        <v>446</v>
      </c>
      <c r="Y83" s="254" t="s">
        <v>843</v>
      </c>
      <c r="Z83" s="254" t="s">
        <v>837</v>
      </c>
      <c r="AA83" s="254" t="s">
        <v>838</v>
      </c>
    </row>
    <row r="84" spans="1:27" ht="14.4" x14ac:dyDescent="0.3">
      <c r="A84" s="253">
        <v>13</v>
      </c>
      <c r="B84" s="254" t="s">
        <v>830</v>
      </c>
      <c r="C84" s="254">
        <v>8413</v>
      </c>
      <c r="D84" s="254" t="s">
        <v>97</v>
      </c>
      <c r="E84" s="254" t="str">
        <f>_xlfn.XLOOKUP(C84,Clientes!I:I,Clientes!F:F)</f>
        <v>GRUPO AMAGGI</v>
      </c>
      <c r="F84" s="254">
        <v>8214</v>
      </c>
      <c r="G84" s="254" t="s">
        <v>840</v>
      </c>
      <c r="H84" s="254" t="s">
        <v>922</v>
      </c>
      <c r="I84" s="255">
        <v>24000</v>
      </c>
      <c r="J84" s="256">
        <v>24000</v>
      </c>
      <c r="K84" s="257">
        <v>747496.5362066864</v>
      </c>
      <c r="L84" s="258">
        <v>-52264.800000000003</v>
      </c>
      <c r="M84" s="258">
        <f t="shared" si="4"/>
        <v>695231.73620668636</v>
      </c>
      <c r="N84" s="258">
        <v>-236655.77999999997</v>
      </c>
      <c r="O84" s="258">
        <v>-19700.094700000001</v>
      </c>
      <c r="P84" s="258">
        <v>-20.83023643085366</v>
      </c>
      <c r="Q84" s="258">
        <f t="shared" si="5"/>
        <v>438855.03127025551</v>
      </c>
      <c r="R84" s="259">
        <f t="shared" si="6"/>
        <v>0.63123561312768917</v>
      </c>
      <c r="S84" s="255">
        <f t="shared" si="7"/>
        <v>31.145689008611935</v>
      </c>
      <c r="T84" s="255">
        <f t="shared" si="7"/>
        <v>31.145689008611935</v>
      </c>
      <c r="U84" s="254">
        <v>100300</v>
      </c>
      <c r="V84" s="254" t="s">
        <v>917</v>
      </c>
      <c r="W84" s="254" t="s">
        <v>915</v>
      </c>
      <c r="X84" s="254" t="s">
        <v>446</v>
      </c>
      <c r="Y84" s="254" t="s">
        <v>843</v>
      </c>
      <c r="Z84" s="254" t="s">
        <v>837</v>
      </c>
      <c r="AA84" s="254" t="s">
        <v>838</v>
      </c>
    </row>
    <row r="85" spans="1:27" ht="14.4" x14ac:dyDescent="0.3">
      <c r="A85" s="253">
        <v>13</v>
      </c>
      <c r="B85" s="254" t="s">
        <v>830</v>
      </c>
      <c r="C85" s="254">
        <v>13390</v>
      </c>
      <c r="D85" s="254" t="s">
        <v>110</v>
      </c>
      <c r="E85" s="254" t="str">
        <f>_xlfn.XLOOKUP(C85,Clientes!I:I,Clientes!F:F)</f>
        <v>GRUPO HERINGER</v>
      </c>
      <c r="F85" s="254">
        <v>8217</v>
      </c>
      <c r="G85" s="254" t="s">
        <v>956</v>
      </c>
      <c r="H85" s="254" t="s">
        <v>927</v>
      </c>
      <c r="I85" s="255">
        <v>12000</v>
      </c>
      <c r="J85" s="256">
        <v>12000</v>
      </c>
      <c r="K85" s="257">
        <v>409309.01620960794</v>
      </c>
      <c r="L85" s="258">
        <v>-28618.800000000003</v>
      </c>
      <c r="M85" s="258">
        <f t="shared" si="4"/>
        <v>380690.21620960796</v>
      </c>
      <c r="N85" s="258">
        <v>-193813.53399999999</v>
      </c>
      <c r="O85" s="258">
        <v>-10254.863999999958</v>
      </c>
      <c r="P85" s="258">
        <v>-10.843158113663726</v>
      </c>
      <c r="Q85" s="258">
        <f t="shared" si="5"/>
        <v>176610.97505149437</v>
      </c>
      <c r="R85" s="259">
        <f t="shared" si="6"/>
        <v>0.46392307322721527</v>
      </c>
      <c r="S85" s="255">
        <f t="shared" si="7"/>
        <v>34.109084684133997</v>
      </c>
      <c r="T85" s="255">
        <f t="shared" si="7"/>
        <v>34.109084684133997</v>
      </c>
      <c r="U85" s="254">
        <v>100300</v>
      </c>
      <c r="V85" s="254" t="s">
        <v>917</v>
      </c>
      <c r="W85" s="254" t="s">
        <v>957</v>
      </c>
      <c r="X85" s="254" t="s">
        <v>446</v>
      </c>
      <c r="Y85" s="254" t="s">
        <v>843</v>
      </c>
      <c r="Z85" s="254" t="s">
        <v>837</v>
      </c>
      <c r="AA85" s="254" t="s">
        <v>838</v>
      </c>
    </row>
    <row r="86" spans="1:27" ht="14.4" x14ac:dyDescent="0.3">
      <c r="A86" s="253">
        <v>13</v>
      </c>
      <c r="B86" s="254" t="s">
        <v>830</v>
      </c>
      <c r="C86" s="254">
        <v>7648</v>
      </c>
      <c r="D86" s="254" t="s">
        <v>958</v>
      </c>
      <c r="E86" s="254" t="str">
        <f>_xlfn.XLOOKUP(C86,Clientes!I:I,Clientes!F:F)</f>
        <v>GRUPO LOUIS DREYFUS</v>
      </c>
      <c r="F86" s="254">
        <v>8215</v>
      </c>
      <c r="G86" s="254" t="s">
        <v>862</v>
      </c>
      <c r="H86" s="254" t="s">
        <v>947</v>
      </c>
      <c r="I86" s="255">
        <v>4000</v>
      </c>
      <c r="J86" s="256">
        <v>4000</v>
      </c>
      <c r="K86" s="257">
        <v>135355.09977384549</v>
      </c>
      <c r="L86" s="258">
        <v>-16224</v>
      </c>
      <c r="M86" s="258">
        <f t="shared" si="4"/>
        <v>119131.09977384549</v>
      </c>
      <c r="N86" s="258">
        <v>-51907.580000000009</v>
      </c>
      <c r="O86" s="258">
        <v>-9901.2479999999723</v>
      </c>
      <c r="P86" s="258">
        <v>-10.469256109744302</v>
      </c>
      <c r="Q86" s="258">
        <f t="shared" si="5"/>
        <v>57311.802517735756</v>
      </c>
      <c r="R86" s="259">
        <f t="shared" si="6"/>
        <v>0.48108178826968417</v>
      </c>
      <c r="S86" s="255">
        <f t="shared" si="7"/>
        <v>33.838774943461374</v>
      </c>
      <c r="T86" s="255">
        <f t="shared" si="7"/>
        <v>33.838774943461374</v>
      </c>
      <c r="U86" s="254">
        <v>100300</v>
      </c>
      <c r="V86" s="254" t="s">
        <v>917</v>
      </c>
      <c r="W86" s="254" t="s">
        <v>864</v>
      </c>
      <c r="X86" s="254" t="s">
        <v>446</v>
      </c>
      <c r="Y86" s="254" t="s">
        <v>843</v>
      </c>
      <c r="Z86" s="254" t="s">
        <v>837</v>
      </c>
      <c r="AA86" s="254" t="s">
        <v>838</v>
      </c>
    </row>
    <row r="87" spans="1:27" ht="14.4" x14ac:dyDescent="0.3">
      <c r="A87" s="253">
        <v>13</v>
      </c>
      <c r="B87" s="254" t="s">
        <v>830</v>
      </c>
      <c r="C87" s="254">
        <v>6124</v>
      </c>
      <c r="D87" s="254" t="s">
        <v>891</v>
      </c>
      <c r="E87" s="254" t="str">
        <f>_xlfn.XLOOKUP(C87,Clientes!I:I,Clientes!F:F)</f>
        <v>GRUPO MOSAIC FERTILIZANTES DO BRASIL</v>
      </c>
      <c r="F87" s="254">
        <v>8215</v>
      </c>
      <c r="G87" s="254" t="s">
        <v>855</v>
      </c>
      <c r="H87" s="254" t="s">
        <v>947</v>
      </c>
      <c r="I87" s="255">
        <v>24000</v>
      </c>
      <c r="J87" s="256">
        <v>24000</v>
      </c>
      <c r="K87" s="257">
        <v>870517.50262835901</v>
      </c>
      <c r="L87" s="258">
        <v>0</v>
      </c>
      <c r="M87" s="258">
        <f t="shared" si="4"/>
        <v>870517.50262835901</v>
      </c>
      <c r="N87" s="258">
        <v>-311445.48000000004</v>
      </c>
      <c r="O87" s="258">
        <v>-4003.2278000000001</v>
      </c>
      <c r="P87" s="258">
        <v>-4.2328822693713315</v>
      </c>
      <c r="Q87" s="258">
        <f t="shared" si="5"/>
        <v>555064.56194608961</v>
      </c>
      <c r="R87" s="259">
        <f t="shared" si="6"/>
        <v>0.6376259641766876</v>
      </c>
      <c r="S87" s="255">
        <f t="shared" si="7"/>
        <v>36.271562609514959</v>
      </c>
      <c r="T87" s="255">
        <f t="shared" si="7"/>
        <v>36.271562609514959</v>
      </c>
      <c r="U87" s="254">
        <v>100300</v>
      </c>
      <c r="V87" s="254" t="s">
        <v>917</v>
      </c>
      <c r="W87" s="254" t="s">
        <v>892</v>
      </c>
      <c r="X87" s="254" t="s">
        <v>446</v>
      </c>
      <c r="Y87" s="254" t="s">
        <v>843</v>
      </c>
      <c r="Z87" s="254" t="s">
        <v>837</v>
      </c>
      <c r="AA87" s="254" t="s">
        <v>838</v>
      </c>
    </row>
    <row r="88" spans="1:27" ht="14.4" x14ac:dyDescent="0.3">
      <c r="A88" s="253">
        <v>13</v>
      </c>
      <c r="B88" s="254" t="s">
        <v>830</v>
      </c>
      <c r="C88" s="254">
        <v>215</v>
      </c>
      <c r="D88" s="254" t="s">
        <v>221</v>
      </c>
      <c r="E88" s="254" t="str">
        <f>_xlfn.XLOOKUP(C88,Clientes!I:I,Clientes!F:F)</f>
        <v>GRUPO UNIFERTIL</v>
      </c>
      <c r="F88" s="254">
        <v>8216</v>
      </c>
      <c r="G88" s="254" t="s">
        <v>877</v>
      </c>
      <c r="H88" s="254" t="s">
        <v>938</v>
      </c>
      <c r="I88" s="255">
        <v>12000</v>
      </c>
      <c r="J88" s="256">
        <v>12000</v>
      </c>
      <c r="K88" s="257">
        <v>373267.71745325852</v>
      </c>
      <c r="L88" s="258">
        <v>-44740.799999999996</v>
      </c>
      <c r="M88" s="258">
        <f t="shared" si="4"/>
        <v>328526.91745325853</v>
      </c>
      <c r="N88" s="258">
        <v>-128833.045</v>
      </c>
      <c r="O88" s="258">
        <v>-14321.447999999978</v>
      </c>
      <c r="P88" s="258">
        <v>-15.143031158737314</v>
      </c>
      <c r="Q88" s="258">
        <f t="shared" si="5"/>
        <v>185357.28142209983</v>
      </c>
      <c r="R88" s="259">
        <f t="shared" si="6"/>
        <v>0.56420728888515415</v>
      </c>
      <c r="S88" s="255">
        <f t="shared" si="7"/>
        <v>31.105643121104876</v>
      </c>
      <c r="T88" s="255">
        <f t="shared" si="7"/>
        <v>31.105643121104876</v>
      </c>
      <c r="U88" s="254">
        <v>100300</v>
      </c>
      <c r="V88" s="254" t="s">
        <v>917</v>
      </c>
      <c r="W88" s="254" t="s">
        <v>880</v>
      </c>
      <c r="X88" s="254" t="s">
        <v>446</v>
      </c>
      <c r="Y88" s="254" t="s">
        <v>843</v>
      </c>
      <c r="Z88" s="254" t="s">
        <v>837</v>
      </c>
      <c r="AA88" s="254" t="s">
        <v>838</v>
      </c>
    </row>
    <row r="89" spans="1:27" ht="14.4" x14ac:dyDescent="0.3">
      <c r="A89" s="253">
        <v>11</v>
      </c>
      <c r="B89" s="254" t="s">
        <v>830</v>
      </c>
      <c r="C89" s="254">
        <v>5300</v>
      </c>
      <c r="D89" s="254" t="s">
        <v>25</v>
      </c>
      <c r="E89" s="254" t="str">
        <f>_xlfn.XLOOKUP(C89,Clientes!I:I,Clientes!F:F)</f>
        <v>FOSNOR - LUIS EDUARDO MAGALHAES</v>
      </c>
      <c r="F89" s="254">
        <v>4246</v>
      </c>
      <c r="G89" s="254" t="s">
        <v>875</v>
      </c>
      <c r="H89" s="254" t="s">
        <v>959</v>
      </c>
      <c r="I89" s="255">
        <v>120000</v>
      </c>
      <c r="J89" s="256">
        <v>120000</v>
      </c>
      <c r="K89" s="257">
        <v>702000</v>
      </c>
      <c r="L89" s="258">
        <v>-49140.000000000007</v>
      </c>
      <c r="M89" s="258">
        <f t="shared" si="4"/>
        <v>652860</v>
      </c>
      <c r="N89" s="258">
        <v>-317375.09999999998</v>
      </c>
      <c r="O89" s="258">
        <v>-61935.332659199994</v>
      </c>
      <c r="P89" s="258">
        <v>-65.488397003223952</v>
      </c>
      <c r="Q89" s="258">
        <f t="shared" si="5"/>
        <v>273484.07894379681</v>
      </c>
      <c r="R89" s="259">
        <f t="shared" si="6"/>
        <v>0.41890156992892319</v>
      </c>
      <c r="S89" s="255">
        <f t="shared" si="7"/>
        <v>5.85</v>
      </c>
      <c r="T89" s="255">
        <f t="shared" si="7"/>
        <v>5.85</v>
      </c>
      <c r="U89" s="254">
        <v>100700</v>
      </c>
      <c r="V89" s="254" t="s">
        <v>960</v>
      </c>
      <c r="W89" s="254" t="s">
        <v>961</v>
      </c>
      <c r="X89" s="254" t="s">
        <v>446</v>
      </c>
      <c r="Y89" s="254" t="s">
        <v>843</v>
      </c>
      <c r="Z89" s="254" t="s">
        <v>837</v>
      </c>
      <c r="AA89" s="254" t="s">
        <v>838</v>
      </c>
    </row>
    <row r="90" spans="1:27" ht="14.4" x14ac:dyDescent="0.3">
      <c r="A90" s="253">
        <v>11</v>
      </c>
      <c r="B90" s="254" t="s">
        <v>830</v>
      </c>
      <c r="C90" s="254">
        <v>11724</v>
      </c>
      <c r="D90" s="254" t="s">
        <v>107</v>
      </c>
      <c r="E90" s="254" t="str">
        <f>_xlfn.XLOOKUP(C90,Clientes!I:I,Clientes!F:F)</f>
        <v>GRUPO HINOVE</v>
      </c>
      <c r="F90" s="254">
        <v>14142</v>
      </c>
      <c r="G90" s="254" t="s">
        <v>908</v>
      </c>
      <c r="H90" s="254" t="s">
        <v>962</v>
      </c>
      <c r="I90" s="255">
        <v>68400</v>
      </c>
      <c r="J90" s="256">
        <v>68400</v>
      </c>
      <c r="K90" s="257">
        <v>413820</v>
      </c>
      <c r="L90" s="258">
        <v>-49658.400000000001</v>
      </c>
      <c r="M90" s="258">
        <f t="shared" si="4"/>
        <v>364161.6</v>
      </c>
      <c r="N90" s="258">
        <v>-215594.65999999997</v>
      </c>
      <c r="O90" s="258">
        <v>-26878.526752895996</v>
      </c>
      <c r="P90" s="258">
        <v>-28.420475926740032</v>
      </c>
      <c r="Q90" s="258">
        <f t="shared" si="5"/>
        <v>121659.99277117726</v>
      </c>
      <c r="R90" s="259">
        <f t="shared" si="6"/>
        <v>0.33408243145674138</v>
      </c>
      <c r="S90" s="255">
        <f t="shared" si="7"/>
        <v>6.05</v>
      </c>
      <c r="T90" s="255">
        <f t="shared" si="7"/>
        <v>6.05</v>
      </c>
      <c r="U90" s="254">
        <v>100700</v>
      </c>
      <c r="V90" s="254" t="s">
        <v>960</v>
      </c>
      <c r="W90" s="254" t="s">
        <v>963</v>
      </c>
      <c r="X90" s="254" t="s">
        <v>446</v>
      </c>
      <c r="Y90" s="254" t="s">
        <v>843</v>
      </c>
      <c r="Z90" s="254" t="s">
        <v>837</v>
      </c>
      <c r="AA90" s="254" t="s">
        <v>838</v>
      </c>
    </row>
    <row r="91" spans="1:27" ht="14.4" x14ac:dyDescent="0.3">
      <c r="A91" s="253">
        <v>11</v>
      </c>
      <c r="B91" s="254" t="s">
        <v>830</v>
      </c>
      <c r="C91" s="254">
        <v>12741</v>
      </c>
      <c r="D91" s="254" t="s">
        <v>964</v>
      </c>
      <c r="E91" s="254" t="str">
        <f>_xlfn.XLOOKUP(C91,Clientes!I:I,Clientes!F:F)</f>
        <v>GRUPO HINOVE</v>
      </c>
      <c r="F91" s="254">
        <v>3351</v>
      </c>
      <c r="G91" s="254" t="s">
        <v>908</v>
      </c>
      <c r="H91" s="254" t="s">
        <v>965</v>
      </c>
      <c r="I91" s="255">
        <v>30000</v>
      </c>
      <c r="J91" s="256">
        <v>30000</v>
      </c>
      <c r="K91" s="257">
        <v>175500</v>
      </c>
      <c r="L91" s="258">
        <v>-21060</v>
      </c>
      <c r="M91" s="258">
        <f t="shared" si="4"/>
        <v>154440</v>
      </c>
      <c r="N91" s="258">
        <v>-97570.05</v>
      </c>
      <c r="O91" s="258">
        <v>0</v>
      </c>
      <c r="P91" s="258">
        <v>0</v>
      </c>
      <c r="Q91" s="258">
        <f t="shared" si="5"/>
        <v>56869.95</v>
      </c>
      <c r="R91" s="259">
        <f t="shared" si="6"/>
        <v>0.36823329448329445</v>
      </c>
      <c r="S91" s="255">
        <f t="shared" si="7"/>
        <v>5.85</v>
      </c>
      <c r="T91" s="255">
        <f t="shared" si="7"/>
        <v>5.85</v>
      </c>
      <c r="U91" s="254">
        <v>100700</v>
      </c>
      <c r="V91" s="254" t="s">
        <v>960</v>
      </c>
      <c r="W91" s="254" t="s">
        <v>966</v>
      </c>
      <c r="X91" s="254" t="s">
        <v>446</v>
      </c>
      <c r="Y91" s="254" t="s">
        <v>843</v>
      </c>
      <c r="Z91" s="254" t="s">
        <v>837</v>
      </c>
      <c r="AA91" s="254" t="s">
        <v>838</v>
      </c>
    </row>
    <row r="92" spans="1:27" ht="14.4" x14ac:dyDescent="0.3">
      <c r="A92" s="253">
        <v>11</v>
      </c>
      <c r="B92" s="254" t="s">
        <v>830</v>
      </c>
      <c r="C92" s="254">
        <v>12629</v>
      </c>
      <c r="D92" s="254" t="s">
        <v>109</v>
      </c>
      <c r="E92" s="254" t="str">
        <f>_xlfn.XLOOKUP(C92,Clientes!I:I,Clientes!F:F)</f>
        <v>EUROCHEM SERRA DO SALITRE</v>
      </c>
      <c r="F92" s="254">
        <v>3359</v>
      </c>
      <c r="G92" s="254" t="s">
        <v>855</v>
      </c>
      <c r="H92" s="254" t="s">
        <v>967</v>
      </c>
      <c r="I92" s="255">
        <v>60000</v>
      </c>
      <c r="J92" s="256">
        <v>60000</v>
      </c>
      <c r="K92" s="257">
        <v>327000</v>
      </c>
      <c r="L92" s="258">
        <v>-58860</v>
      </c>
      <c r="M92" s="258">
        <f t="shared" si="4"/>
        <v>268140</v>
      </c>
      <c r="N92" s="258">
        <v>-151465.12476190476</v>
      </c>
      <c r="O92" s="258">
        <v>-8445.7271808000005</v>
      </c>
      <c r="P92" s="258">
        <v>-8.9302359549850863</v>
      </c>
      <c r="Q92" s="258">
        <f t="shared" si="5"/>
        <v>108220.21782134025</v>
      </c>
      <c r="R92" s="259">
        <f t="shared" si="6"/>
        <v>0.40359594921063718</v>
      </c>
      <c r="S92" s="255">
        <f t="shared" si="7"/>
        <v>5.45</v>
      </c>
      <c r="T92" s="255">
        <f t="shared" si="7"/>
        <v>5.45</v>
      </c>
      <c r="U92" s="254">
        <v>100700</v>
      </c>
      <c r="V92" s="254" t="s">
        <v>960</v>
      </c>
      <c r="W92" s="254" t="s">
        <v>968</v>
      </c>
      <c r="X92" s="254" t="s">
        <v>446</v>
      </c>
      <c r="Y92" s="254" t="s">
        <v>843</v>
      </c>
      <c r="Z92" s="254" t="s">
        <v>837</v>
      </c>
      <c r="AA92" s="254" t="s">
        <v>838</v>
      </c>
    </row>
    <row r="93" spans="1:27" ht="14.4" x14ac:dyDescent="0.3">
      <c r="A93" s="253">
        <v>11</v>
      </c>
      <c r="B93" s="254" t="s">
        <v>830</v>
      </c>
      <c r="C93" s="254">
        <v>1789</v>
      </c>
      <c r="D93" s="254" t="s">
        <v>61</v>
      </c>
      <c r="E93" s="254" t="str">
        <f>_xlfn.XLOOKUP(C93,Clientes!I:I,Clientes!F:F)</f>
        <v>GRUPO MOSAIC FERTILIZANTES P K LTDA</v>
      </c>
      <c r="F93" s="254">
        <v>3359</v>
      </c>
      <c r="G93" s="254" t="s">
        <v>855</v>
      </c>
      <c r="H93" s="254" t="s">
        <v>967</v>
      </c>
      <c r="I93" s="255">
        <v>150000</v>
      </c>
      <c r="J93" s="256">
        <v>150000</v>
      </c>
      <c r="K93" s="257">
        <v>582000</v>
      </c>
      <c r="L93" s="258">
        <v>0</v>
      </c>
      <c r="M93" s="258">
        <f t="shared" si="4"/>
        <v>582000</v>
      </c>
      <c r="N93" s="258">
        <v>-378662.81190476188</v>
      </c>
      <c r="O93" s="258">
        <v>-15835.738463999998</v>
      </c>
      <c r="P93" s="258">
        <v>-16.744192415597031</v>
      </c>
      <c r="Q93" s="258">
        <f t="shared" si="5"/>
        <v>187484.70543882254</v>
      </c>
      <c r="R93" s="259">
        <f t="shared" si="6"/>
        <v>0.32213866913887035</v>
      </c>
      <c r="S93" s="255">
        <f t="shared" si="7"/>
        <v>3.88</v>
      </c>
      <c r="T93" s="255">
        <f t="shared" si="7"/>
        <v>3.88</v>
      </c>
      <c r="U93" s="254">
        <v>100700</v>
      </c>
      <c r="V93" s="254" t="s">
        <v>960</v>
      </c>
      <c r="W93" s="254" t="s">
        <v>969</v>
      </c>
      <c r="X93" s="254" t="s">
        <v>446</v>
      </c>
      <c r="Y93" s="254" t="s">
        <v>843</v>
      </c>
      <c r="Z93" s="254" t="s">
        <v>837</v>
      </c>
      <c r="AA93" s="254" t="s">
        <v>838</v>
      </c>
    </row>
    <row r="94" spans="1:27" ht="14.4" x14ac:dyDescent="0.3">
      <c r="A94" s="253">
        <v>11</v>
      </c>
      <c r="B94" s="254" t="s">
        <v>830</v>
      </c>
      <c r="C94" s="254">
        <v>1792</v>
      </c>
      <c r="D94" s="254" t="s">
        <v>970</v>
      </c>
      <c r="E94" s="254" t="str">
        <f>_xlfn.XLOOKUP(C94,Clientes!I:I,Clientes!F:F)</f>
        <v>GRUPO MOSAIC FERTILIZANTES P K LTDA</v>
      </c>
      <c r="F94" s="254">
        <v>3359</v>
      </c>
      <c r="G94" s="254" t="s">
        <v>867</v>
      </c>
      <c r="H94" s="254" t="s">
        <v>967</v>
      </c>
      <c r="I94" s="255">
        <v>210000</v>
      </c>
      <c r="J94" s="256">
        <v>210000</v>
      </c>
      <c r="K94" s="257">
        <v>819000</v>
      </c>
      <c r="L94" s="258">
        <v>-57330.000000000007</v>
      </c>
      <c r="M94" s="258">
        <f t="shared" si="4"/>
        <v>761670</v>
      </c>
      <c r="N94" s="258">
        <v>-530127.93666666665</v>
      </c>
      <c r="O94" s="258">
        <v>-17095.123499999998</v>
      </c>
      <c r="P94" s="258">
        <v>-18.075825001980444</v>
      </c>
      <c r="Q94" s="258">
        <f t="shared" si="5"/>
        <v>214428.86400833138</v>
      </c>
      <c r="R94" s="259">
        <f t="shared" si="6"/>
        <v>0.28152462878717999</v>
      </c>
      <c r="S94" s="255">
        <f t="shared" si="7"/>
        <v>3.9</v>
      </c>
      <c r="T94" s="255">
        <f t="shared" si="7"/>
        <v>3.9</v>
      </c>
      <c r="U94" s="254">
        <v>100700</v>
      </c>
      <c r="V94" s="254" t="s">
        <v>960</v>
      </c>
      <c r="W94" s="254" t="s">
        <v>871</v>
      </c>
      <c r="X94" s="254" t="s">
        <v>446</v>
      </c>
      <c r="Y94" s="254" t="s">
        <v>843</v>
      </c>
      <c r="Z94" s="254" t="s">
        <v>837</v>
      </c>
      <c r="AA94" s="254" t="s">
        <v>838</v>
      </c>
    </row>
    <row r="95" spans="1:27" ht="14.4" x14ac:dyDescent="0.3">
      <c r="A95" s="253">
        <v>11</v>
      </c>
      <c r="B95" s="254" t="s">
        <v>830</v>
      </c>
      <c r="C95" s="254">
        <v>1788</v>
      </c>
      <c r="D95" s="254" t="s">
        <v>59</v>
      </c>
      <c r="E95" s="254" t="str">
        <f>_xlfn.XLOOKUP(C95,Clientes!I:I,Clientes!F:F)</f>
        <v>GRUPO MOSAIC FERTILIZANTES P K LTDA</v>
      </c>
      <c r="F95" s="254">
        <v>3359</v>
      </c>
      <c r="G95" s="254" t="s">
        <v>855</v>
      </c>
      <c r="H95" s="254" t="s">
        <v>967</v>
      </c>
      <c r="I95" s="255">
        <v>30000</v>
      </c>
      <c r="J95" s="256">
        <v>30000</v>
      </c>
      <c r="K95" s="257">
        <v>116400</v>
      </c>
      <c r="L95" s="258">
        <v>0</v>
      </c>
      <c r="M95" s="258">
        <f t="shared" si="4"/>
        <v>116400</v>
      </c>
      <c r="N95" s="258">
        <v>-75732.562380952382</v>
      </c>
      <c r="O95" s="258">
        <v>-2442.1605</v>
      </c>
      <c r="P95" s="258">
        <v>-2.5822607145686352</v>
      </c>
      <c r="Q95" s="258">
        <f t="shared" si="5"/>
        <v>38222.694858333052</v>
      </c>
      <c r="R95" s="259">
        <f t="shared" si="6"/>
        <v>0.32837366716780975</v>
      </c>
      <c r="S95" s="255">
        <f t="shared" si="7"/>
        <v>3.88</v>
      </c>
      <c r="T95" s="255">
        <f t="shared" si="7"/>
        <v>3.88</v>
      </c>
      <c r="U95" s="254">
        <v>100700</v>
      </c>
      <c r="V95" s="254" t="s">
        <v>960</v>
      </c>
      <c r="W95" s="254" t="s">
        <v>892</v>
      </c>
      <c r="X95" s="254" t="s">
        <v>446</v>
      </c>
      <c r="Y95" s="254" t="s">
        <v>843</v>
      </c>
      <c r="Z95" s="254" t="s">
        <v>837</v>
      </c>
      <c r="AA95" s="254" t="s">
        <v>838</v>
      </c>
    </row>
    <row r="96" spans="1:27" ht="14.4" x14ac:dyDescent="0.3">
      <c r="A96" s="253">
        <v>11</v>
      </c>
      <c r="B96" s="254" t="s">
        <v>830</v>
      </c>
      <c r="C96" s="254">
        <v>6370</v>
      </c>
      <c r="D96" s="254" t="s">
        <v>264</v>
      </c>
      <c r="E96" s="254" t="str">
        <f>_xlfn.XLOOKUP(C96,Clientes!I:I,Clientes!F:F)</f>
        <v>YTL S.A. - PARAGUAI</v>
      </c>
      <c r="F96" s="254">
        <v>7010</v>
      </c>
      <c r="G96" s="254" t="s">
        <v>832</v>
      </c>
      <c r="H96" s="254" t="s">
        <v>971</v>
      </c>
      <c r="I96" s="255">
        <v>28000</v>
      </c>
      <c r="J96" s="256">
        <v>28000</v>
      </c>
      <c r="K96" s="257">
        <v>189840</v>
      </c>
      <c r="L96" s="258">
        <v>0</v>
      </c>
      <c r="M96" s="258">
        <f t="shared" si="4"/>
        <v>189840</v>
      </c>
      <c r="N96" s="258">
        <v>-77009.63</v>
      </c>
      <c r="O96" s="258">
        <v>-28440.27648</v>
      </c>
      <c r="P96" s="258">
        <v>-7640.6694516749376</v>
      </c>
      <c r="Q96" s="258">
        <f t="shared" si="5"/>
        <v>76749.424068325054</v>
      </c>
      <c r="R96" s="259">
        <f t="shared" si="6"/>
        <v>0.40428478754912062</v>
      </c>
      <c r="S96" s="255">
        <f t="shared" si="7"/>
        <v>6.78</v>
      </c>
      <c r="T96" s="255">
        <f t="shared" si="7"/>
        <v>6.78</v>
      </c>
      <c r="U96" s="254">
        <v>100700</v>
      </c>
      <c r="V96" s="254" t="s">
        <v>960</v>
      </c>
      <c r="W96" s="254" t="s">
        <v>896</v>
      </c>
      <c r="X96" s="254" t="s">
        <v>446</v>
      </c>
      <c r="Y96" s="254" t="s">
        <v>836</v>
      </c>
      <c r="Z96" s="254" t="s">
        <v>837</v>
      </c>
      <c r="AA96" s="254" t="s">
        <v>838</v>
      </c>
    </row>
    <row r="97" spans="1:27" ht="14.4" x14ac:dyDescent="0.3">
      <c r="A97" s="253">
        <v>11</v>
      </c>
      <c r="B97" s="254" t="s">
        <v>830</v>
      </c>
      <c r="C97" s="254">
        <v>2133</v>
      </c>
      <c r="D97" s="254" t="s">
        <v>260</v>
      </c>
      <c r="E97" s="254" t="str">
        <f>_xlfn.XLOOKUP(C97,Clientes!I:I,Clientes!F:F)</f>
        <v>GRUPO FERTIPAR FERTILIZANTES PARANA</v>
      </c>
      <c r="F97" s="254">
        <v>3353</v>
      </c>
      <c r="G97" s="254" t="s">
        <v>908</v>
      </c>
      <c r="H97" s="254" t="s">
        <v>972</v>
      </c>
      <c r="I97" s="255">
        <v>30000</v>
      </c>
      <c r="J97" s="256">
        <v>30000</v>
      </c>
      <c r="K97" s="257">
        <v>179700</v>
      </c>
      <c r="L97" s="258">
        <v>-21564</v>
      </c>
      <c r="M97" s="258">
        <f t="shared" si="4"/>
        <v>158136</v>
      </c>
      <c r="N97" s="258">
        <v>-99074.17</v>
      </c>
      <c r="O97" s="258">
        <v>-11663.147059199999</v>
      </c>
      <c r="P97" s="258">
        <v>-12.332230604503211</v>
      </c>
      <c r="Q97" s="258">
        <f t="shared" si="5"/>
        <v>47386.350710195504</v>
      </c>
      <c r="R97" s="259">
        <f t="shared" si="6"/>
        <v>0.29965568061792069</v>
      </c>
      <c r="S97" s="255">
        <f t="shared" si="7"/>
        <v>5.99</v>
      </c>
      <c r="T97" s="255">
        <f t="shared" si="7"/>
        <v>5.99</v>
      </c>
      <c r="U97" s="254">
        <v>100700</v>
      </c>
      <c r="V97" s="254" t="s">
        <v>960</v>
      </c>
      <c r="W97" s="254" t="s">
        <v>973</v>
      </c>
      <c r="X97" s="254" t="s">
        <v>446</v>
      </c>
      <c r="Y97" s="254" t="s">
        <v>843</v>
      </c>
      <c r="Z97" s="254" t="s">
        <v>837</v>
      </c>
      <c r="AA97" s="254" t="s">
        <v>838</v>
      </c>
    </row>
    <row r="98" spans="1:27" ht="14.4" x14ac:dyDescent="0.3">
      <c r="A98" s="253">
        <v>11</v>
      </c>
      <c r="B98" s="254" t="s">
        <v>830</v>
      </c>
      <c r="C98" s="254">
        <v>2225</v>
      </c>
      <c r="D98" s="254" t="s">
        <v>617</v>
      </c>
      <c r="E98" s="254" t="str">
        <f>_xlfn.XLOOKUP(C98,Clientes!I:I,Clientes!F:F)</f>
        <v>ITAFOS - ARRAIAS/TO</v>
      </c>
      <c r="F98" s="254">
        <v>3351</v>
      </c>
      <c r="G98" s="254" t="s">
        <v>974</v>
      </c>
      <c r="H98" s="254" t="s">
        <v>965</v>
      </c>
      <c r="I98" s="255">
        <v>30000</v>
      </c>
      <c r="J98" s="256">
        <v>30000</v>
      </c>
      <c r="K98" s="257">
        <v>162000</v>
      </c>
      <c r="L98" s="258">
        <v>-11340.000000000002</v>
      </c>
      <c r="M98" s="258">
        <f t="shared" si="4"/>
        <v>150660</v>
      </c>
      <c r="N98" s="258">
        <v>-97570.05</v>
      </c>
      <c r="O98" s="258">
        <v>-13774.578854399999</v>
      </c>
      <c r="P98" s="258">
        <v>-14.564789593249483</v>
      </c>
      <c r="Q98" s="258">
        <f t="shared" si="5"/>
        <v>39300.806356006753</v>
      </c>
      <c r="R98" s="259">
        <f t="shared" si="6"/>
        <v>0.26085760225678184</v>
      </c>
      <c r="S98" s="255">
        <f t="shared" si="7"/>
        <v>5.4</v>
      </c>
      <c r="T98" s="255">
        <f t="shared" si="7"/>
        <v>5.4</v>
      </c>
      <c r="U98" s="254">
        <v>100700</v>
      </c>
      <c r="V98" s="254" t="s">
        <v>960</v>
      </c>
      <c r="W98" s="254" t="s">
        <v>975</v>
      </c>
      <c r="X98" s="254" t="s">
        <v>446</v>
      </c>
      <c r="Y98" s="254" t="s">
        <v>843</v>
      </c>
      <c r="Z98" s="254" t="s">
        <v>837</v>
      </c>
      <c r="AA98" s="254" t="s">
        <v>838</v>
      </c>
    </row>
    <row r="99" spans="1:27" ht="14.4" x14ac:dyDescent="0.3">
      <c r="A99" s="253">
        <v>11</v>
      </c>
      <c r="B99" s="254" t="s">
        <v>830</v>
      </c>
      <c r="C99" s="254">
        <v>1787</v>
      </c>
      <c r="D99" s="254" t="s">
        <v>57</v>
      </c>
      <c r="E99" s="254" t="str">
        <f>_xlfn.XLOOKUP(C99,Clientes!I:I,Clientes!F:F)</f>
        <v>GRUPO MOSAIC FERTILIZANTES P K LTDA</v>
      </c>
      <c r="F99" s="254">
        <v>3359</v>
      </c>
      <c r="G99" s="254" t="s">
        <v>855</v>
      </c>
      <c r="H99" s="254" t="s">
        <v>967</v>
      </c>
      <c r="I99" s="255">
        <v>180000</v>
      </c>
      <c r="J99" s="256">
        <v>180000</v>
      </c>
      <c r="K99" s="257">
        <v>698400</v>
      </c>
      <c r="L99" s="258">
        <v>0</v>
      </c>
      <c r="M99" s="258">
        <f t="shared" si="4"/>
        <v>698400</v>
      </c>
      <c r="N99" s="258">
        <v>-454395.37428571429</v>
      </c>
      <c r="O99" s="258">
        <v>-14652.963</v>
      </c>
      <c r="P99" s="258">
        <v>-15.493564287411813</v>
      </c>
      <c r="Q99" s="258">
        <f t="shared" si="5"/>
        <v>229336.16914999831</v>
      </c>
      <c r="R99" s="259">
        <f t="shared" si="6"/>
        <v>0.32837366716780975</v>
      </c>
      <c r="S99" s="255">
        <f t="shared" si="7"/>
        <v>3.88</v>
      </c>
      <c r="T99" s="255">
        <f t="shared" si="7"/>
        <v>3.88</v>
      </c>
      <c r="U99" s="254">
        <v>100700</v>
      </c>
      <c r="V99" s="254" t="s">
        <v>960</v>
      </c>
      <c r="W99" s="254" t="s">
        <v>892</v>
      </c>
      <c r="X99" s="254" t="s">
        <v>446</v>
      </c>
      <c r="Y99" s="254" t="s">
        <v>843</v>
      </c>
      <c r="Z99" s="254" t="s">
        <v>837</v>
      </c>
      <c r="AA99" s="254" t="s">
        <v>838</v>
      </c>
    </row>
    <row r="100" spans="1:27" ht="14.4" x14ac:dyDescent="0.3">
      <c r="A100" s="253">
        <v>13</v>
      </c>
      <c r="B100" s="254" t="s">
        <v>830</v>
      </c>
      <c r="C100" s="254">
        <v>2</v>
      </c>
      <c r="D100" s="254" t="s">
        <v>976</v>
      </c>
      <c r="E100" s="254" t="str">
        <f>_xlfn.XLOOKUP(C100,Clientes!I:I,Clientes!F:F)</f>
        <v>GRUPO CARGILL</v>
      </c>
      <c r="F100" s="254">
        <v>3700</v>
      </c>
      <c r="G100" s="254" t="s">
        <v>855</v>
      </c>
      <c r="H100" s="254" t="s">
        <v>977</v>
      </c>
      <c r="I100" s="254">
        <v>72000</v>
      </c>
      <c r="J100" s="256">
        <v>72000</v>
      </c>
      <c r="K100" s="257">
        <v>79200</v>
      </c>
      <c r="L100" s="258">
        <v>-20263.32</v>
      </c>
      <c r="M100" s="258">
        <f t="shared" si="4"/>
        <v>58936.68</v>
      </c>
      <c r="N100" s="258">
        <v>-15707.73</v>
      </c>
      <c r="O100" s="258">
        <v>0</v>
      </c>
      <c r="P100" s="258">
        <v>0</v>
      </c>
      <c r="Q100" s="258">
        <f t="shared" si="5"/>
        <v>43228.95</v>
      </c>
      <c r="R100" s="259">
        <f t="shared" si="6"/>
        <v>0.73348125479752158</v>
      </c>
      <c r="S100" s="255">
        <f t="shared" si="7"/>
        <v>1.1000000000000001</v>
      </c>
      <c r="T100" s="255">
        <f t="shared" si="7"/>
        <v>1.1000000000000001</v>
      </c>
      <c r="U100" s="254">
        <v>100900</v>
      </c>
      <c r="V100" s="254" t="s">
        <v>978</v>
      </c>
      <c r="W100" s="254" t="s">
        <v>865</v>
      </c>
      <c r="X100" s="254" t="s">
        <v>157</v>
      </c>
      <c r="Y100" s="254" t="s">
        <v>843</v>
      </c>
      <c r="Z100" s="254" t="s">
        <v>837</v>
      </c>
      <c r="AA100" s="254" t="s">
        <v>838</v>
      </c>
    </row>
    <row r="101" spans="1:27" ht="14.4" x14ac:dyDescent="0.3">
      <c r="A101" s="253">
        <v>11</v>
      </c>
      <c r="B101" s="254" t="s">
        <v>830</v>
      </c>
      <c r="C101" s="254">
        <v>9419</v>
      </c>
      <c r="D101" s="254" t="s">
        <v>831</v>
      </c>
      <c r="E101" s="254" t="str">
        <f>_xlfn.XLOOKUP(C101,Clientes!I:I,Clientes!F:F)</f>
        <v>PROMINERALES SAS - COLOMBIA</v>
      </c>
      <c r="F101" s="254">
        <v>14144</v>
      </c>
      <c r="G101" s="254" t="s">
        <v>832</v>
      </c>
      <c r="H101" s="254" t="s">
        <v>979</v>
      </c>
      <c r="I101" s="255">
        <v>5000</v>
      </c>
      <c r="J101" s="256">
        <v>5000</v>
      </c>
      <c r="K101" s="257">
        <v>32330</v>
      </c>
      <c r="L101" s="258">
        <v>0</v>
      </c>
      <c r="M101" s="258">
        <f t="shared" si="4"/>
        <v>32330</v>
      </c>
      <c r="N101" s="258">
        <v>-7344.6642857142851</v>
      </c>
      <c r="O101" s="258">
        <v>-9290.16</v>
      </c>
      <c r="P101" s="258">
        <v>-1368.8584031647781</v>
      </c>
      <c r="Q101" s="258">
        <f t="shared" si="5"/>
        <v>14326.317311120934</v>
      </c>
      <c r="R101" s="259">
        <f t="shared" si="6"/>
        <v>0.44312766195858133</v>
      </c>
      <c r="S101" s="255">
        <f t="shared" si="7"/>
        <v>6.4660000000000002</v>
      </c>
      <c r="T101" s="255">
        <f t="shared" si="7"/>
        <v>6.4660000000000002</v>
      </c>
      <c r="U101" s="254">
        <v>101300</v>
      </c>
      <c r="V101" s="254" t="s">
        <v>980</v>
      </c>
      <c r="W101" s="254" t="s">
        <v>835</v>
      </c>
      <c r="X101" s="254" t="s">
        <v>446</v>
      </c>
      <c r="Y101" s="254" t="s">
        <v>836</v>
      </c>
      <c r="Z101" s="254" t="s">
        <v>837</v>
      </c>
      <c r="AA101" s="254" t="s">
        <v>838</v>
      </c>
    </row>
    <row r="102" spans="1:27" ht="14.4" x14ac:dyDescent="0.3">
      <c r="A102" s="253">
        <v>11</v>
      </c>
      <c r="B102" s="254" t="s">
        <v>830</v>
      </c>
      <c r="C102" s="254">
        <v>3297</v>
      </c>
      <c r="D102" s="254" t="s">
        <v>550</v>
      </c>
      <c r="E102" s="254" t="str">
        <f>_xlfn.XLOOKUP(C102,Clientes!I:I,Clientes!F:F)</f>
        <v>MACROSOURCE PERU S.R.L.</v>
      </c>
      <c r="F102" s="254">
        <v>14144</v>
      </c>
      <c r="G102" s="254" t="s">
        <v>832</v>
      </c>
      <c r="H102" s="254" t="s">
        <v>979</v>
      </c>
      <c r="I102" s="255">
        <v>2000</v>
      </c>
      <c r="J102" s="256">
        <v>2000</v>
      </c>
      <c r="K102" s="257">
        <v>12402</v>
      </c>
      <c r="L102" s="258">
        <v>0</v>
      </c>
      <c r="M102" s="258">
        <f t="shared" si="4"/>
        <v>12402</v>
      </c>
      <c r="N102" s="258">
        <v>-2937.8657142857137</v>
      </c>
      <c r="O102" s="258">
        <v>-9057.2866560000002</v>
      </c>
      <c r="P102" s="258">
        <v>-553.19099557674076</v>
      </c>
      <c r="Q102" s="258">
        <f t="shared" si="5"/>
        <v>-146.34336586245468</v>
      </c>
      <c r="R102" s="259">
        <f t="shared" si="6"/>
        <v>-1.1799981120984895E-2</v>
      </c>
      <c r="S102" s="255">
        <f t="shared" si="7"/>
        <v>6.2009999999999996</v>
      </c>
      <c r="T102" s="255">
        <f t="shared" si="7"/>
        <v>6.2009999999999996</v>
      </c>
      <c r="U102" s="254">
        <v>101300</v>
      </c>
      <c r="V102" s="254" t="s">
        <v>980</v>
      </c>
      <c r="W102" s="254" t="s">
        <v>872</v>
      </c>
      <c r="X102" s="254" t="s">
        <v>446</v>
      </c>
      <c r="Y102" s="254" t="s">
        <v>836</v>
      </c>
      <c r="Z102" s="254" t="s">
        <v>837</v>
      </c>
      <c r="AA102" s="254" t="s">
        <v>838</v>
      </c>
    </row>
    <row r="103" spans="1:27" ht="14.4" x14ac:dyDescent="0.3">
      <c r="A103" s="253">
        <v>11</v>
      </c>
      <c r="B103" s="254" t="s">
        <v>830</v>
      </c>
      <c r="C103" s="254">
        <v>15908</v>
      </c>
      <c r="D103" s="254" t="s">
        <v>981</v>
      </c>
      <c r="E103" s="254" t="str">
        <f>_xlfn.XLOOKUP(C103,Clientes!I:I,Clientes!F:F)</f>
        <v>ADUFÉRTIL - CAMPEVO</v>
      </c>
      <c r="F103" s="254">
        <v>13004</v>
      </c>
      <c r="G103" s="254" t="s">
        <v>908</v>
      </c>
      <c r="H103" s="254" t="s">
        <v>982</v>
      </c>
      <c r="I103" s="255">
        <v>22</v>
      </c>
      <c r="J103" s="256">
        <v>505.97726079211878</v>
      </c>
      <c r="K103" s="257">
        <v>13383.098547951542</v>
      </c>
      <c r="L103" s="258">
        <v>-1141.5337796261124</v>
      </c>
      <c r="M103" s="258">
        <f t="shared" si="4"/>
        <v>12241.56476832543</v>
      </c>
      <c r="N103" s="258">
        <v>-3634.8461457773301</v>
      </c>
      <c r="O103" s="258">
        <v>-136.78523577881009</v>
      </c>
      <c r="P103" s="258">
        <v>-3214.3468518308136</v>
      </c>
      <c r="Q103" s="258">
        <f t="shared" si="5"/>
        <v>5255.5865349384758</v>
      </c>
      <c r="R103" s="259">
        <f t="shared" si="6"/>
        <v>0.42932309997959578</v>
      </c>
      <c r="S103" s="255">
        <f t="shared" si="7"/>
        <v>608.32266127052469</v>
      </c>
      <c r="T103" s="255">
        <f t="shared" si="7"/>
        <v>26.45</v>
      </c>
      <c r="U103" s="254">
        <v>101602</v>
      </c>
      <c r="V103" s="254" t="s">
        <v>983</v>
      </c>
      <c r="W103" s="254" t="s">
        <v>984</v>
      </c>
      <c r="X103" s="254" t="s">
        <v>157</v>
      </c>
      <c r="Y103" s="254" t="s">
        <v>843</v>
      </c>
      <c r="Z103" s="254" t="s">
        <v>837</v>
      </c>
      <c r="AA103" s="254" t="s">
        <v>838</v>
      </c>
    </row>
    <row r="104" spans="1:27" ht="14.4" x14ac:dyDescent="0.3">
      <c r="A104" s="253">
        <v>11</v>
      </c>
      <c r="B104" s="254" t="s">
        <v>830</v>
      </c>
      <c r="C104" s="254">
        <v>15858</v>
      </c>
      <c r="D104" s="254" t="s">
        <v>985</v>
      </c>
      <c r="E104" s="254" t="str">
        <f>_xlfn.XLOOKUP(C104,Clientes!I:I,Clientes!F:F)</f>
        <v>GRUPO SAGRA</v>
      </c>
      <c r="F104" s="254">
        <v>8301</v>
      </c>
      <c r="G104" s="254" t="s">
        <v>855</v>
      </c>
      <c r="H104" s="254" t="s">
        <v>986</v>
      </c>
      <c r="I104" s="255">
        <v>5</v>
      </c>
      <c r="J104" s="256">
        <v>114.99483199820881</v>
      </c>
      <c r="K104" s="257">
        <v>3041.6133063526231</v>
      </c>
      <c r="L104" s="258">
        <v>-267.45749301896166</v>
      </c>
      <c r="M104" s="258">
        <f t="shared" si="4"/>
        <v>2774.1558133336616</v>
      </c>
      <c r="N104" s="258">
        <v>-865.01287619853872</v>
      </c>
      <c r="O104" s="258">
        <v>0</v>
      </c>
      <c r="P104" s="258">
        <v>-729.17834255272351</v>
      </c>
      <c r="Q104" s="258">
        <f t="shared" si="5"/>
        <v>1179.9645945823993</v>
      </c>
      <c r="R104" s="259">
        <f t="shared" si="6"/>
        <v>0.42534186036380323</v>
      </c>
      <c r="S104" s="255">
        <f t="shared" si="7"/>
        <v>608.32266127052458</v>
      </c>
      <c r="T104" s="255">
        <f t="shared" si="7"/>
        <v>26.45</v>
      </c>
      <c r="U104" s="254">
        <v>101602</v>
      </c>
      <c r="V104" s="254" t="s">
        <v>983</v>
      </c>
      <c r="W104" s="254" t="s">
        <v>987</v>
      </c>
      <c r="X104" s="254" t="s">
        <v>157</v>
      </c>
      <c r="Y104" s="254" t="s">
        <v>843</v>
      </c>
      <c r="Z104" s="254" t="s">
        <v>837</v>
      </c>
      <c r="AA104" s="254" t="s">
        <v>838</v>
      </c>
    </row>
    <row r="105" spans="1:27" ht="14.4" x14ac:dyDescent="0.3">
      <c r="A105" s="253">
        <v>11</v>
      </c>
      <c r="B105" s="254" t="s">
        <v>830</v>
      </c>
      <c r="C105" s="254">
        <v>8187</v>
      </c>
      <c r="D105" s="254" t="s">
        <v>466</v>
      </c>
      <c r="E105" s="254" t="str">
        <f>_xlfn.XLOOKUP(C105,Clientes!I:I,Clientes!F:F)</f>
        <v>AGROREP. REPRESENTACOES AGRICOLAS</v>
      </c>
      <c r="F105" s="254">
        <v>8369</v>
      </c>
      <c r="G105" s="254" t="s">
        <v>840</v>
      </c>
      <c r="H105" s="254" t="s">
        <v>988</v>
      </c>
      <c r="I105" s="255">
        <v>16800</v>
      </c>
      <c r="J105" s="256">
        <v>15345.900522339032</v>
      </c>
      <c r="K105" s="257">
        <v>168566.77970314134</v>
      </c>
      <c r="L105" s="258">
        <v>-15170.392337500569</v>
      </c>
      <c r="M105" s="258">
        <f t="shared" si="4"/>
        <v>153396.38736564078</v>
      </c>
      <c r="N105" s="258">
        <v>-81772.141060294627</v>
      </c>
      <c r="O105" s="258">
        <v>-13820.159809918538</v>
      </c>
      <c r="P105" s="258">
        <v>-43657.330497038609</v>
      </c>
      <c r="Q105" s="258">
        <f t="shared" si="5"/>
        <v>14146.75599838901</v>
      </c>
      <c r="R105" s="259">
        <f t="shared" si="6"/>
        <v>9.2223527824474294E-2</v>
      </c>
      <c r="S105" s="255">
        <f t="shared" si="7"/>
        <v>10.033736887091747</v>
      </c>
      <c r="T105" s="255">
        <f t="shared" si="7"/>
        <v>10.98448275862069</v>
      </c>
      <c r="U105" s="254">
        <v>101602</v>
      </c>
      <c r="V105" s="254" t="s">
        <v>983</v>
      </c>
      <c r="W105" s="254" t="s">
        <v>874</v>
      </c>
      <c r="X105" s="254" t="s">
        <v>157</v>
      </c>
      <c r="Y105" s="254" t="s">
        <v>843</v>
      </c>
      <c r="Z105" s="254" t="s">
        <v>837</v>
      </c>
      <c r="AA105" s="254" t="s">
        <v>838</v>
      </c>
    </row>
    <row r="106" spans="1:27" ht="14.4" x14ac:dyDescent="0.3">
      <c r="A106" s="253">
        <v>11</v>
      </c>
      <c r="B106" s="254" t="s">
        <v>830</v>
      </c>
      <c r="C106" s="254">
        <v>16645</v>
      </c>
      <c r="D106" s="254" t="s">
        <v>573</v>
      </c>
      <c r="E106" s="254" t="str">
        <f>_xlfn.XLOOKUP(C106,Clientes!I:I,Clientes!F:F)</f>
        <v>OPCAO AGRONEGOCIOS</v>
      </c>
      <c r="F106" s="254">
        <v>8368</v>
      </c>
      <c r="G106" s="254" t="s">
        <v>855</v>
      </c>
      <c r="H106" s="254" t="s">
        <v>989</v>
      </c>
      <c r="I106" s="255">
        <v>56</v>
      </c>
      <c r="J106" s="256">
        <v>920.75403134034184</v>
      </c>
      <c r="K106" s="257">
        <v>11092.546066530182</v>
      </c>
      <c r="L106" s="258">
        <v>-998.28848927061517</v>
      </c>
      <c r="M106" s="258">
        <f t="shared" si="4"/>
        <v>10094.257577259566</v>
      </c>
      <c r="N106" s="258">
        <v>-4352.7829447401245</v>
      </c>
      <c r="O106" s="258">
        <v>-222.25097308215152</v>
      </c>
      <c r="P106" s="258">
        <v>-2846.0959201423052</v>
      </c>
      <c r="Q106" s="258">
        <f t="shared" si="5"/>
        <v>2673.1277392949855</v>
      </c>
      <c r="R106" s="259">
        <f t="shared" si="6"/>
        <v>0.26481667609879816</v>
      </c>
      <c r="S106" s="255">
        <f t="shared" si="7"/>
        <v>198.08117975946752</v>
      </c>
      <c r="T106" s="255">
        <f t="shared" si="7"/>
        <v>12.047241379310346</v>
      </c>
      <c r="U106" s="254">
        <v>101602</v>
      </c>
      <c r="V106" s="254" t="s">
        <v>983</v>
      </c>
      <c r="W106" s="254" t="s">
        <v>865</v>
      </c>
      <c r="X106" s="254" t="s">
        <v>157</v>
      </c>
      <c r="Y106" s="254" t="s">
        <v>843</v>
      </c>
      <c r="Z106" s="254" t="s">
        <v>837</v>
      </c>
      <c r="AA106" s="254" t="s">
        <v>838</v>
      </c>
    </row>
    <row r="107" spans="1:27" ht="14.4" x14ac:dyDescent="0.3">
      <c r="A107" s="253">
        <v>11</v>
      </c>
      <c r="B107" s="254" t="s">
        <v>830</v>
      </c>
      <c r="C107" s="254">
        <v>11326</v>
      </c>
      <c r="D107" s="254" t="s">
        <v>179</v>
      </c>
      <c r="E107" s="254" t="str">
        <f>_xlfn.XLOOKUP(C107,Clientes!I:I,Clientes!F:F)</f>
        <v>VEGA AGRO</v>
      </c>
      <c r="F107" s="254">
        <v>8368</v>
      </c>
      <c r="G107" s="254" t="s">
        <v>855</v>
      </c>
      <c r="H107" s="254" t="s">
        <v>989</v>
      </c>
      <c r="I107" s="255">
        <v>28</v>
      </c>
      <c r="J107" s="256">
        <v>460.37701567017092</v>
      </c>
      <c r="K107" s="257">
        <v>5418.4787237428527</v>
      </c>
      <c r="L107" s="258">
        <v>-487.64322517366446</v>
      </c>
      <c r="M107" s="258">
        <f t="shared" si="4"/>
        <v>4930.8354985691885</v>
      </c>
      <c r="N107" s="258">
        <v>-2176.3914723700623</v>
      </c>
      <c r="O107" s="258">
        <v>0</v>
      </c>
      <c r="P107" s="258">
        <v>-1391.743349792341</v>
      </c>
      <c r="Q107" s="258">
        <f t="shared" si="5"/>
        <v>1362.7006764067853</v>
      </c>
      <c r="R107" s="259">
        <f t="shared" si="6"/>
        <v>0.27636303762358505</v>
      </c>
      <c r="S107" s="255">
        <f t="shared" si="7"/>
        <v>193.51709727653045</v>
      </c>
      <c r="T107" s="255">
        <f t="shared" si="7"/>
        <v>11.769655172413792</v>
      </c>
      <c r="U107" s="254">
        <v>101602</v>
      </c>
      <c r="V107" s="254" t="s">
        <v>983</v>
      </c>
      <c r="W107" s="254" t="s">
        <v>952</v>
      </c>
      <c r="X107" s="254" t="s">
        <v>157</v>
      </c>
      <c r="Y107" s="254" t="s">
        <v>843</v>
      </c>
      <c r="Z107" s="254" t="s">
        <v>837</v>
      </c>
      <c r="AA107" s="254" t="s">
        <v>838</v>
      </c>
    </row>
    <row r="108" spans="1:27" ht="14.4" x14ac:dyDescent="0.3">
      <c r="A108" s="253">
        <v>11</v>
      </c>
      <c r="B108" s="254" t="s">
        <v>830</v>
      </c>
      <c r="C108" s="254">
        <v>11326</v>
      </c>
      <c r="D108" s="254" t="s">
        <v>179</v>
      </c>
      <c r="E108" s="254" t="str">
        <f>_xlfn.XLOOKUP(C108,Clientes!I:I,Clientes!F:F)</f>
        <v>VEGA AGRO</v>
      </c>
      <c r="F108" s="254">
        <v>8301</v>
      </c>
      <c r="G108" s="254" t="s">
        <v>855</v>
      </c>
      <c r="H108" s="254" t="s">
        <v>986</v>
      </c>
      <c r="I108" s="255">
        <v>2</v>
      </c>
      <c r="J108" s="256">
        <v>45.997932799283525</v>
      </c>
      <c r="K108" s="257">
        <v>1216.6453225410494</v>
      </c>
      <c r="L108" s="258">
        <v>-106.98299720758466</v>
      </c>
      <c r="M108" s="258">
        <f t="shared" si="4"/>
        <v>1109.6623253334647</v>
      </c>
      <c r="N108" s="258">
        <v>-346.00515047941548</v>
      </c>
      <c r="O108" s="258">
        <v>0</v>
      </c>
      <c r="P108" s="258">
        <v>-291.67133702108947</v>
      </c>
      <c r="Q108" s="258">
        <f t="shared" si="5"/>
        <v>471.98583783295965</v>
      </c>
      <c r="R108" s="259">
        <f t="shared" si="6"/>
        <v>0.42534186036380317</v>
      </c>
      <c r="S108" s="255">
        <f t="shared" si="7"/>
        <v>608.32266127052469</v>
      </c>
      <c r="T108" s="255">
        <f t="shared" si="7"/>
        <v>26.450000000000003</v>
      </c>
      <c r="U108" s="254">
        <v>101602</v>
      </c>
      <c r="V108" s="254" t="s">
        <v>983</v>
      </c>
      <c r="W108" s="254" t="s">
        <v>952</v>
      </c>
      <c r="X108" s="254" t="s">
        <v>157</v>
      </c>
      <c r="Y108" s="254" t="s">
        <v>843</v>
      </c>
      <c r="Z108" s="254" t="s">
        <v>837</v>
      </c>
      <c r="AA108" s="254" t="s">
        <v>838</v>
      </c>
    </row>
    <row r="109" spans="1:27" ht="14.4" x14ac:dyDescent="0.3">
      <c r="A109" s="253">
        <v>11</v>
      </c>
      <c r="B109" s="254" t="s">
        <v>830</v>
      </c>
      <c r="C109" s="254">
        <v>14259</v>
      </c>
      <c r="D109" s="254" t="s">
        <v>241</v>
      </c>
      <c r="E109" s="254" t="str">
        <f>_xlfn.XLOOKUP(C109,Clientes!I:I,Clientes!F:F)</f>
        <v>FAZENDA SANTOS REIS II</v>
      </c>
      <c r="F109" s="254">
        <v>8368</v>
      </c>
      <c r="G109" s="254" t="s">
        <v>855</v>
      </c>
      <c r="H109" s="254" t="s">
        <v>989</v>
      </c>
      <c r="I109" s="255">
        <v>100</v>
      </c>
      <c r="J109" s="256">
        <v>1644.2036273934677</v>
      </c>
      <c r="K109" s="257">
        <v>19808.117975946752</v>
      </c>
      <c r="L109" s="258">
        <v>-1782.6580165546698</v>
      </c>
      <c r="M109" s="258">
        <f t="shared" si="4"/>
        <v>18025.459959392083</v>
      </c>
      <c r="N109" s="258">
        <v>-7772.8266870359366</v>
      </c>
      <c r="O109" s="258">
        <v>-396.8767376466991</v>
      </c>
      <c r="P109" s="258">
        <v>-5079.9671614084491</v>
      </c>
      <c r="Q109" s="258">
        <f t="shared" si="5"/>
        <v>4775.7893733009987</v>
      </c>
      <c r="R109" s="259">
        <f t="shared" si="6"/>
        <v>0.26494687980556053</v>
      </c>
      <c r="S109" s="255">
        <f t="shared" si="7"/>
        <v>198.08117975946752</v>
      </c>
      <c r="T109" s="255">
        <f t="shared" si="7"/>
        <v>12.047241379310345</v>
      </c>
      <c r="U109" s="254">
        <v>101602</v>
      </c>
      <c r="V109" s="254" t="s">
        <v>983</v>
      </c>
      <c r="W109" s="254" t="s">
        <v>990</v>
      </c>
      <c r="X109" s="254" t="s">
        <v>157</v>
      </c>
      <c r="Y109" s="254" t="s">
        <v>843</v>
      </c>
      <c r="Z109" s="254" t="s">
        <v>837</v>
      </c>
      <c r="AA109" s="254" t="s">
        <v>838</v>
      </c>
    </row>
    <row r="110" spans="1:27" ht="14.4" x14ac:dyDescent="0.3">
      <c r="A110" s="253">
        <v>11</v>
      </c>
      <c r="B110" s="254" t="s">
        <v>830</v>
      </c>
      <c r="C110" s="254">
        <v>15858</v>
      </c>
      <c r="D110" s="254" t="s">
        <v>985</v>
      </c>
      <c r="E110" s="254" t="str">
        <f>_xlfn.XLOOKUP(C110,Clientes!I:I,Clientes!F:F)</f>
        <v>GRUPO SAGRA</v>
      </c>
      <c r="F110" s="254">
        <v>8368</v>
      </c>
      <c r="G110" s="254" t="s">
        <v>855</v>
      </c>
      <c r="H110" s="254" t="s">
        <v>989</v>
      </c>
      <c r="I110" s="255">
        <v>28</v>
      </c>
      <c r="J110" s="256">
        <v>460.37701567017092</v>
      </c>
      <c r="K110" s="257">
        <v>5418.4787237428527</v>
      </c>
      <c r="L110" s="258">
        <v>-487.64322517366446</v>
      </c>
      <c r="M110" s="258">
        <f t="shared" si="4"/>
        <v>4930.8354985691885</v>
      </c>
      <c r="N110" s="258">
        <v>-2176.3914723700623</v>
      </c>
      <c r="O110" s="258">
        <v>0</v>
      </c>
      <c r="P110" s="258">
        <v>-1391.743349792341</v>
      </c>
      <c r="Q110" s="258">
        <f t="shared" si="5"/>
        <v>1362.7006764067853</v>
      </c>
      <c r="R110" s="259">
        <f t="shared" si="6"/>
        <v>0.27636303762358505</v>
      </c>
      <c r="S110" s="255">
        <f t="shared" si="7"/>
        <v>193.51709727653045</v>
      </c>
      <c r="T110" s="255">
        <f t="shared" si="7"/>
        <v>11.769655172413792</v>
      </c>
      <c r="U110" s="254">
        <v>101602</v>
      </c>
      <c r="V110" s="254" t="s">
        <v>983</v>
      </c>
      <c r="W110" s="254" t="s">
        <v>987</v>
      </c>
      <c r="X110" s="254" t="s">
        <v>157</v>
      </c>
      <c r="Y110" s="254" t="s">
        <v>843</v>
      </c>
      <c r="Z110" s="254" t="s">
        <v>837</v>
      </c>
      <c r="AA110" s="254" t="s">
        <v>838</v>
      </c>
    </row>
    <row r="111" spans="1:27" ht="14.4" x14ac:dyDescent="0.3">
      <c r="A111" s="253">
        <v>11</v>
      </c>
      <c r="B111" s="254" t="s">
        <v>830</v>
      </c>
      <c r="C111" s="254">
        <v>15905</v>
      </c>
      <c r="D111" s="254" t="s">
        <v>750</v>
      </c>
      <c r="E111" s="254" t="str">
        <f>_xlfn.XLOOKUP(C111,Clientes!I:I,Clientes!F:F)</f>
        <v>ADUFÉRTIL - CAMPEVO</v>
      </c>
      <c r="F111" s="254">
        <v>8368</v>
      </c>
      <c r="G111" s="254" t="s">
        <v>908</v>
      </c>
      <c r="H111" s="254" t="s">
        <v>989</v>
      </c>
      <c r="I111" s="255">
        <v>170</v>
      </c>
      <c r="J111" s="256">
        <v>2795.1461665688953</v>
      </c>
      <c r="K111" s="257">
        <v>33673.800559109484</v>
      </c>
      <c r="L111" s="258">
        <v>-3030.5186281429387</v>
      </c>
      <c r="M111" s="258">
        <f t="shared" si="4"/>
        <v>30643.281930966546</v>
      </c>
      <c r="N111" s="258">
        <v>-13213.805367961093</v>
      </c>
      <c r="O111" s="258">
        <v>-755.63618576813087</v>
      </c>
      <c r="P111" s="258">
        <v>-8635.508734352301</v>
      </c>
      <c r="Q111" s="258">
        <f t="shared" si="5"/>
        <v>8038.331642885023</v>
      </c>
      <c r="R111" s="259">
        <f t="shared" si="6"/>
        <v>0.26231954073959335</v>
      </c>
      <c r="S111" s="255">
        <f t="shared" si="7"/>
        <v>198.08117975946755</v>
      </c>
      <c r="T111" s="255">
        <f t="shared" si="7"/>
        <v>12.047241379310346</v>
      </c>
      <c r="U111" s="254">
        <v>101602</v>
      </c>
      <c r="V111" s="254" t="s">
        <v>983</v>
      </c>
      <c r="W111" s="254" t="s">
        <v>991</v>
      </c>
      <c r="X111" s="254" t="s">
        <v>157</v>
      </c>
      <c r="Y111" s="254" t="s">
        <v>843</v>
      </c>
      <c r="Z111" s="254" t="s">
        <v>837</v>
      </c>
      <c r="AA111" s="254" t="s">
        <v>838</v>
      </c>
    </row>
    <row r="112" spans="1:27" ht="14.4" x14ac:dyDescent="0.3">
      <c r="A112" s="253">
        <v>11</v>
      </c>
      <c r="B112" s="254" t="s">
        <v>830</v>
      </c>
      <c r="C112" s="254">
        <v>15904</v>
      </c>
      <c r="D112" s="254" t="s">
        <v>754</v>
      </c>
      <c r="E112" s="254" t="str">
        <f>_xlfn.XLOOKUP(C112,Clientes!I:I,Clientes!F:F)</f>
        <v>ADUFÉRTIL - CAMPEVO</v>
      </c>
      <c r="F112" s="254">
        <v>8368</v>
      </c>
      <c r="G112" s="254" t="s">
        <v>908</v>
      </c>
      <c r="H112" s="254" t="s">
        <v>989</v>
      </c>
      <c r="I112" s="255">
        <v>170</v>
      </c>
      <c r="J112" s="256">
        <v>2795.1461665688953</v>
      </c>
      <c r="K112" s="257">
        <v>33673.800559109484</v>
      </c>
      <c r="L112" s="258">
        <v>-3030.5186281429387</v>
      </c>
      <c r="M112" s="258">
        <f t="shared" si="4"/>
        <v>30643.281930966546</v>
      </c>
      <c r="N112" s="258">
        <v>-13213.805367961093</v>
      </c>
      <c r="O112" s="258">
        <v>-755.63618576813087</v>
      </c>
      <c r="P112" s="258">
        <v>-8632.1669851922707</v>
      </c>
      <c r="Q112" s="258">
        <f t="shared" si="5"/>
        <v>8041.6733920450533</v>
      </c>
      <c r="R112" s="259">
        <f t="shared" si="6"/>
        <v>0.26242859397898061</v>
      </c>
      <c r="S112" s="255">
        <f t="shared" si="7"/>
        <v>198.08117975946755</v>
      </c>
      <c r="T112" s="255">
        <f t="shared" si="7"/>
        <v>12.047241379310346</v>
      </c>
      <c r="U112" s="254">
        <v>101602</v>
      </c>
      <c r="V112" s="254" t="s">
        <v>983</v>
      </c>
      <c r="W112" s="254" t="s">
        <v>992</v>
      </c>
      <c r="X112" s="254" t="s">
        <v>157</v>
      </c>
      <c r="Y112" s="254" t="s">
        <v>843</v>
      </c>
      <c r="Z112" s="254" t="s">
        <v>837</v>
      </c>
      <c r="AA112" s="254" t="s">
        <v>838</v>
      </c>
    </row>
    <row r="113" spans="1:27" ht="14.4" x14ac:dyDescent="0.3">
      <c r="A113" s="253">
        <v>11</v>
      </c>
      <c r="B113" s="254" t="s">
        <v>830</v>
      </c>
      <c r="C113" s="254">
        <v>15906</v>
      </c>
      <c r="D113" s="254" t="s">
        <v>993</v>
      </c>
      <c r="E113" s="254" t="str">
        <f>_xlfn.XLOOKUP(C113,Clientes!I:I,Clientes!F:F)</f>
        <v>ADUFÉRTIL - CAMPEVO</v>
      </c>
      <c r="F113" s="254">
        <v>13004</v>
      </c>
      <c r="G113" s="254" t="s">
        <v>908</v>
      </c>
      <c r="H113" s="254" t="s">
        <v>982</v>
      </c>
      <c r="I113" s="255">
        <v>22</v>
      </c>
      <c r="J113" s="256">
        <v>505.97726079211878</v>
      </c>
      <c r="K113" s="257">
        <v>13383.098547951542</v>
      </c>
      <c r="L113" s="258">
        <v>-1141.5337796261124</v>
      </c>
      <c r="M113" s="258">
        <f t="shared" si="4"/>
        <v>12241.56476832543</v>
      </c>
      <c r="N113" s="258">
        <v>-3634.8461457773301</v>
      </c>
      <c r="O113" s="258">
        <v>-136.78523577881009</v>
      </c>
      <c r="P113" s="258">
        <v>-3215.5620333435518</v>
      </c>
      <c r="Q113" s="258">
        <f t="shared" si="5"/>
        <v>5254.3713534257377</v>
      </c>
      <c r="R113" s="259">
        <f t="shared" si="6"/>
        <v>0.42922383313456935</v>
      </c>
      <c r="S113" s="255">
        <f t="shared" si="7"/>
        <v>608.32266127052469</v>
      </c>
      <c r="T113" s="255">
        <f t="shared" si="7"/>
        <v>26.45</v>
      </c>
      <c r="U113" s="254">
        <v>101602</v>
      </c>
      <c r="V113" s="254" t="s">
        <v>983</v>
      </c>
      <c r="W113" s="254" t="s">
        <v>994</v>
      </c>
      <c r="X113" s="254" t="s">
        <v>157</v>
      </c>
      <c r="Y113" s="254" t="s">
        <v>843</v>
      </c>
      <c r="Z113" s="254" t="s">
        <v>837</v>
      </c>
      <c r="AA113" s="254" t="s">
        <v>838</v>
      </c>
    </row>
    <row r="114" spans="1:27" ht="14.4" x14ac:dyDescent="0.3">
      <c r="A114" s="253">
        <v>11</v>
      </c>
      <c r="B114" s="254" t="s">
        <v>830</v>
      </c>
      <c r="C114" s="254">
        <v>13773</v>
      </c>
      <c r="D114" s="254" t="s">
        <v>428</v>
      </c>
      <c r="E114" s="254" t="str">
        <f>_xlfn.XLOOKUP(C114,Clientes!I:I,Clientes!F:F)</f>
        <v>FERTLIZE AGRO</v>
      </c>
      <c r="F114" s="254">
        <v>8368</v>
      </c>
      <c r="G114" s="254" t="s">
        <v>855</v>
      </c>
      <c r="H114" s="254" t="s">
        <v>989</v>
      </c>
      <c r="I114" s="255">
        <v>17</v>
      </c>
      <c r="J114" s="256">
        <v>279.51461665688953</v>
      </c>
      <c r="K114" s="257">
        <v>3289.7906537010185</v>
      </c>
      <c r="L114" s="258">
        <v>-296.06910099829634</v>
      </c>
      <c r="M114" s="258">
        <f t="shared" si="4"/>
        <v>2993.721552702722</v>
      </c>
      <c r="N114" s="258">
        <v>-1321.3805367961093</v>
      </c>
      <c r="O114" s="258">
        <v>0</v>
      </c>
      <c r="P114" s="258">
        <v>-844.98703380249276</v>
      </c>
      <c r="Q114" s="258">
        <f t="shared" si="5"/>
        <v>827.35398210411995</v>
      </c>
      <c r="R114" s="259">
        <f t="shared" si="6"/>
        <v>0.27636303762358511</v>
      </c>
      <c r="S114" s="255">
        <f t="shared" si="7"/>
        <v>193.51709727653051</v>
      </c>
      <c r="T114" s="255">
        <f t="shared" si="7"/>
        <v>11.769655172413794</v>
      </c>
      <c r="U114" s="254">
        <v>101602</v>
      </c>
      <c r="V114" s="254" t="s">
        <v>983</v>
      </c>
      <c r="W114" s="254" t="s">
        <v>995</v>
      </c>
      <c r="X114" s="254" t="s">
        <v>157</v>
      </c>
      <c r="Y114" s="254" t="s">
        <v>843</v>
      </c>
      <c r="Z114" s="254" t="s">
        <v>837</v>
      </c>
      <c r="AA114" s="254" t="s">
        <v>838</v>
      </c>
    </row>
    <row r="115" spans="1:27" ht="14.4" x14ac:dyDescent="0.3">
      <c r="A115" s="253">
        <v>11</v>
      </c>
      <c r="B115" s="254" t="s">
        <v>830</v>
      </c>
      <c r="C115" s="254">
        <v>8187</v>
      </c>
      <c r="D115" s="254" t="s">
        <v>466</v>
      </c>
      <c r="E115" s="254" t="str">
        <f>_xlfn.XLOOKUP(C115,Clientes!I:I,Clientes!F:F)</f>
        <v>AGROREP. REPRESENTACOES AGRICOLAS</v>
      </c>
      <c r="F115" s="254">
        <v>8301</v>
      </c>
      <c r="G115" s="254" t="s">
        <v>840</v>
      </c>
      <c r="H115" s="254" t="s">
        <v>986</v>
      </c>
      <c r="I115" s="255">
        <v>60</v>
      </c>
      <c r="J115" s="256">
        <v>1379.9379839785058</v>
      </c>
      <c r="K115" s="257">
        <v>36499.359676231477</v>
      </c>
      <c r="L115" s="258">
        <v>-3243.8527632963578</v>
      </c>
      <c r="M115" s="258">
        <f t="shared" si="4"/>
        <v>33255.506912935118</v>
      </c>
      <c r="N115" s="258">
        <v>-10380.154514382466</v>
      </c>
      <c r="O115" s="258">
        <v>-1242.7399381742473</v>
      </c>
      <c r="P115" s="258">
        <v>-8765.7813066849576</v>
      </c>
      <c r="Q115" s="258">
        <f t="shared" si="5"/>
        <v>12866.831153693447</v>
      </c>
      <c r="R115" s="259">
        <f t="shared" si="6"/>
        <v>0.38690828521662807</v>
      </c>
      <c r="S115" s="255">
        <f t="shared" si="7"/>
        <v>608.32266127052458</v>
      </c>
      <c r="T115" s="255">
        <f t="shared" si="7"/>
        <v>26.45</v>
      </c>
      <c r="U115" s="254">
        <v>101602</v>
      </c>
      <c r="V115" s="254" t="s">
        <v>983</v>
      </c>
      <c r="W115" s="254" t="s">
        <v>874</v>
      </c>
      <c r="X115" s="254" t="s">
        <v>157</v>
      </c>
      <c r="Y115" s="254" t="s">
        <v>843</v>
      </c>
      <c r="Z115" s="254" t="s">
        <v>837</v>
      </c>
      <c r="AA115" s="254" t="s">
        <v>838</v>
      </c>
    </row>
    <row r="116" spans="1:27" ht="14.4" x14ac:dyDescent="0.3">
      <c r="A116" s="253">
        <v>11</v>
      </c>
      <c r="B116" s="254" t="s">
        <v>830</v>
      </c>
      <c r="C116" s="254">
        <v>15905</v>
      </c>
      <c r="D116" s="254" t="s">
        <v>750</v>
      </c>
      <c r="E116" s="254" t="str">
        <f>_xlfn.XLOOKUP(C116,Clientes!I:I,Clientes!F:F)</f>
        <v>ADUFÉRTIL - CAMPEVO</v>
      </c>
      <c r="F116" s="254">
        <v>13004</v>
      </c>
      <c r="G116" s="254" t="s">
        <v>908</v>
      </c>
      <c r="H116" s="254" t="s">
        <v>982</v>
      </c>
      <c r="I116" s="255">
        <v>23</v>
      </c>
      <c r="J116" s="256">
        <v>528.97622719176059</v>
      </c>
      <c r="K116" s="257">
        <v>13991.421209222068</v>
      </c>
      <c r="L116" s="258">
        <v>-1193.4216787000264</v>
      </c>
      <c r="M116" s="258">
        <f t="shared" si="4"/>
        <v>12797.999530522042</v>
      </c>
      <c r="N116" s="258">
        <v>-3800.0664251308453</v>
      </c>
      <c r="O116" s="258">
        <v>-143.00274649602875</v>
      </c>
      <c r="P116" s="258">
        <v>-3363.583539901389</v>
      </c>
      <c r="Q116" s="258">
        <f t="shared" si="5"/>
        <v>5491.3468189937776</v>
      </c>
      <c r="R116" s="259">
        <f t="shared" si="6"/>
        <v>0.42907852949184949</v>
      </c>
      <c r="S116" s="255">
        <f t="shared" si="7"/>
        <v>608.32266127052469</v>
      </c>
      <c r="T116" s="255">
        <f t="shared" si="7"/>
        <v>26.45</v>
      </c>
      <c r="U116" s="254">
        <v>101602</v>
      </c>
      <c r="V116" s="254" t="s">
        <v>983</v>
      </c>
      <c r="W116" s="254" t="s">
        <v>991</v>
      </c>
      <c r="X116" s="254" t="s">
        <v>157</v>
      </c>
      <c r="Y116" s="254" t="s">
        <v>843</v>
      </c>
      <c r="Z116" s="254" t="s">
        <v>837</v>
      </c>
      <c r="AA116" s="254" t="s">
        <v>838</v>
      </c>
    </row>
    <row r="117" spans="1:27" ht="14.4" x14ac:dyDescent="0.3">
      <c r="A117" s="253">
        <v>11</v>
      </c>
      <c r="B117" s="254" t="s">
        <v>830</v>
      </c>
      <c r="C117" s="254">
        <v>15906</v>
      </c>
      <c r="D117" s="254" t="s">
        <v>993</v>
      </c>
      <c r="E117" s="254" t="str">
        <f>_xlfn.XLOOKUP(C117,Clientes!I:I,Clientes!F:F)</f>
        <v>ADUFÉRTIL - CAMPEVO</v>
      </c>
      <c r="F117" s="254">
        <v>8368</v>
      </c>
      <c r="G117" s="254" t="s">
        <v>908</v>
      </c>
      <c r="H117" s="254" t="s">
        <v>989</v>
      </c>
      <c r="I117" s="255">
        <v>170</v>
      </c>
      <c r="J117" s="256">
        <v>2795.1461665688953</v>
      </c>
      <c r="K117" s="257">
        <v>33673.800559109484</v>
      </c>
      <c r="L117" s="258">
        <v>-3030.5186281429387</v>
      </c>
      <c r="M117" s="258">
        <f t="shared" si="4"/>
        <v>30643.281930966546</v>
      </c>
      <c r="N117" s="258">
        <v>-13213.805367961093</v>
      </c>
      <c r="O117" s="258">
        <v>-755.63618576813087</v>
      </c>
      <c r="P117" s="258">
        <v>-8633.3821667050106</v>
      </c>
      <c r="Q117" s="258">
        <f t="shared" si="5"/>
        <v>8040.4582105323134</v>
      </c>
      <c r="R117" s="259">
        <f t="shared" si="6"/>
        <v>0.26238893825556703</v>
      </c>
      <c r="S117" s="255">
        <f t="shared" si="7"/>
        <v>198.08117975946755</v>
      </c>
      <c r="T117" s="255">
        <f t="shared" si="7"/>
        <v>12.047241379310346</v>
      </c>
      <c r="U117" s="254">
        <v>101602</v>
      </c>
      <c r="V117" s="254" t="s">
        <v>983</v>
      </c>
      <c r="W117" s="254" t="s">
        <v>994</v>
      </c>
      <c r="X117" s="254" t="s">
        <v>157</v>
      </c>
      <c r="Y117" s="254" t="s">
        <v>843</v>
      </c>
      <c r="Z117" s="254" t="s">
        <v>837</v>
      </c>
      <c r="AA117" s="254" t="s">
        <v>838</v>
      </c>
    </row>
    <row r="118" spans="1:27" ht="14.4" x14ac:dyDescent="0.3">
      <c r="A118" s="253">
        <v>11</v>
      </c>
      <c r="B118" s="254" t="s">
        <v>830</v>
      </c>
      <c r="C118" s="254">
        <v>15908</v>
      </c>
      <c r="D118" s="254" t="s">
        <v>981</v>
      </c>
      <c r="E118" s="254" t="str">
        <f>_xlfn.XLOOKUP(C118,Clientes!I:I,Clientes!F:F)</f>
        <v>ADUFÉRTIL - CAMPEVO</v>
      </c>
      <c r="F118" s="254">
        <v>8368</v>
      </c>
      <c r="G118" s="254" t="s">
        <v>908</v>
      </c>
      <c r="H118" s="254" t="s">
        <v>989</v>
      </c>
      <c r="I118" s="255">
        <v>170</v>
      </c>
      <c r="J118" s="256">
        <v>2795.1461665688953</v>
      </c>
      <c r="K118" s="257">
        <v>33673.800559109484</v>
      </c>
      <c r="L118" s="258">
        <v>-3030.5186281429387</v>
      </c>
      <c r="M118" s="258">
        <f t="shared" si="4"/>
        <v>30643.281930966546</v>
      </c>
      <c r="N118" s="258">
        <v>-13213.805367961093</v>
      </c>
      <c r="O118" s="258">
        <v>-755.63618576813087</v>
      </c>
      <c r="P118" s="258">
        <v>-8632.1669851922707</v>
      </c>
      <c r="Q118" s="258">
        <f t="shared" si="5"/>
        <v>8041.6733920450533</v>
      </c>
      <c r="R118" s="259">
        <f t="shared" si="6"/>
        <v>0.26242859397898061</v>
      </c>
      <c r="S118" s="255">
        <f t="shared" si="7"/>
        <v>198.08117975946755</v>
      </c>
      <c r="T118" s="255">
        <f t="shared" si="7"/>
        <v>12.047241379310346</v>
      </c>
      <c r="U118" s="254">
        <v>101602</v>
      </c>
      <c r="V118" s="254" t="s">
        <v>983</v>
      </c>
      <c r="W118" s="254" t="s">
        <v>984</v>
      </c>
      <c r="X118" s="254" t="s">
        <v>157</v>
      </c>
      <c r="Y118" s="254" t="s">
        <v>843</v>
      </c>
      <c r="Z118" s="254" t="s">
        <v>837</v>
      </c>
      <c r="AA118" s="254" t="s">
        <v>838</v>
      </c>
    </row>
    <row r="119" spans="1:27" ht="14.4" x14ac:dyDescent="0.3">
      <c r="A119" s="253">
        <v>11</v>
      </c>
      <c r="B119" s="254" t="s">
        <v>830</v>
      </c>
      <c r="C119" s="254">
        <v>15917</v>
      </c>
      <c r="D119" s="254" t="s">
        <v>571</v>
      </c>
      <c r="E119" s="254" t="str">
        <f>_xlfn.XLOOKUP(C119,Clientes!I:I,Clientes!F:F)</f>
        <v>MINAS FARM</v>
      </c>
      <c r="F119" s="254">
        <v>8301</v>
      </c>
      <c r="G119" s="254" t="s">
        <v>855</v>
      </c>
      <c r="H119" s="254" t="s">
        <v>986</v>
      </c>
      <c r="I119" s="255">
        <v>5</v>
      </c>
      <c r="J119" s="256">
        <v>114.99483199820881</v>
      </c>
      <c r="K119" s="257">
        <v>3041.6133063526231</v>
      </c>
      <c r="L119" s="258">
        <v>-270.32106360802982</v>
      </c>
      <c r="M119" s="258">
        <f t="shared" si="4"/>
        <v>2771.2922427445933</v>
      </c>
      <c r="N119" s="258">
        <v>-865.01287619853872</v>
      </c>
      <c r="O119" s="258">
        <v>-27.757373240946958</v>
      </c>
      <c r="P119" s="258">
        <v>-733.16552736542508</v>
      </c>
      <c r="Q119" s="258">
        <f t="shared" si="5"/>
        <v>1145.3564659396825</v>
      </c>
      <c r="R119" s="259">
        <f t="shared" si="6"/>
        <v>0.41329328183929115</v>
      </c>
      <c r="S119" s="255">
        <f t="shared" si="7"/>
        <v>608.32266127052458</v>
      </c>
      <c r="T119" s="255">
        <f t="shared" si="7"/>
        <v>26.45</v>
      </c>
      <c r="U119" s="254">
        <v>101602</v>
      </c>
      <c r="V119" s="254" t="s">
        <v>983</v>
      </c>
      <c r="W119" s="254" t="s">
        <v>865</v>
      </c>
      <c r="X119" s="254" t="s">
        <v>157</v>
      </c>
      <c r="Y119" s="254" t="s">
        <v>843</v>
      </c>
      <c r="Z119" s="254" t="s">
        <v>837</v>
      </c>
      <c r="AA119" s="254" t="s">
        <v>838</v>
      </c>
    </row>
    <row r="120" spans="1:27" ht="14.4" x14ac:dyDescent="0.3">
      <c r="A120" s="253">
        <v>11</v>
      </c>
      <c r="B120" s="254" t="s">
        <v>830</v>
      </c>
      <c r="C120" s="254">
        <v>13773</v>
      </c>
      <c r="D120" s="254" t="s">
        <v>428</v>
      </c>
      <c r="E120" s="254" t="str">
        <f>_xlfn.XLOOKUP(C120,Clientes!I:I,Clientes!F:F)</f>
        <v>FERTLIZE AGRO</v>
      </c>
      <c r="F120" s="254">
        <v>8301</v>
      </c>
      <c r="G120" s="254" t="s">
        <v>855</v>
      </c>
      <c r="H120" s="254" t="s">
        <v>986</v>
      </c>
      <c r="I120" s="255">
        <v>2</v>
      </c>
      <c r="J120" s="256">
        <v>45.997932799283525</v>
      </c>
      <c r="K120" s="257">
        <v>1216.6453225410494</v>
      </c>
      <c r="L120" s="258">
        <v>-106.98299720758466</v>
      </c>
      <c r="M120" s="258">
        <f t="shared" si="4"/>
        <v>1109.6623253334647</v>
      </c>
      <c r="N120" s="258">
        <v>-346.00515047941548</v>
      </c>
      <c r="O120" s="258">
        <v>0</v>
      </c>
      <c r="P120" s="258">
        <v>-291.67133702108947</v>
      </c>
      <c r="Q120" s="258">
        <f t="shared" si="5"/>
        <v>471.98583783295965</v>
      </c>
      <c r="R120" s="259">
        <f t="shared" si="6"/>
        <v>0.42534186036380317</v>
      </c>
      <c r="S120" s="255">
        <f t="shared" si="7"/>
        <v>608.32266127052469</v>
      </c>
      <c r="T120" s="255">
        <f t="shared" si="7"/>
        <v>26.450000000000003</v>
      </c>
      <c r="U120" s="254">
        <v>101602</v>
      </c>
      <c r="V120" s="254" t="s">
        <v>983</v>
      </c>
      <c r="W120" s="254" t="s">
        <v>995</v>
      </c>
      <c r="X120" s="254" t="s">
        <v>157</v>
      </c>
      <c r="Y120" s="254" t="s">
        <v>843</v>
      </c>
      <c r="Z120" s="254" t="s">
        <v>837</v>
      </c>
      <c r="AA120" s="254" t="s">
        <v>838</v>
      </c>
    </row>
    <row r="121" spans="1:27" ht="14.4" x14ac:dyDescent="0.3">
      <c r="A121" s="253">
        <v>11</v>
      </c>
      <c r="B121" s="254" t="s">
        <v>830</v>
      </c>
      <c r="C121" s="254">
        <v>16645</v>
      </c>
      <c r="D121" s="254" t="s">
        <v>573</v>
      </c>
      <c r="E121" s="254" t="str">
        <f>_xlfn.XLOOKUP(C121,Clientes!I:I,Clientes!F:F)</f>
        <v>OPCAO AGRONEGOCIOS</v>
      </c>
      <c r="F121" s="254">
        <v>8301</v>
      </c>
      <c r="G121" s="254" t="s">
        <v>855</v>
      </c>
      <c r="H121" s="254" t="s">
        <v>986</v>
      </c>
      <c r="I121" s="255">
        <v>3</v>
      </c>
      <c r="J121" s="256">
        <v>68.996899198925291</v>
      </c>
      <c r="K121" s="257">
        <v>1824.967983811574</v>
      </c>
      <c r="L121" s="258">
        <v>-162.19263816481788</v>
      </c>
      <c r="M121" s="258">
        <f t="shared" si="4"/>
        <v>1662.775345646756</v>
      </c>
      <c r="N121" s="258">
        <v>-519.0077257191233</v>
      </c>
      <c r="O121" s="258">
        <v>-16.654423944568176</v>
      </c>
      <c r="P121" s="258">
        <v>-441.5365263443357</v>
      </c>
      <c r="Q121" s="258">
        <f t="shared" si="5"/>
        <v>685.57666963872884</v>
      </c>
      <c r="R121" s="259">
        <f t="shared" si="6"/>
        <v>0.41230865698941771</v>
      </c>
      <c r="S121" s="255">
        <f t="shared" si="7"/>
        <v>608.32266127052469</v>
      </c>
      <c r="T121" s="255">
        <f t="shared" si="7"/>
        <v>26.45</v>
      </c>
      <c r="U121" s="254">
        <v>101602</v>
      </c>
      <c r="V121" s="254" t="s">
        <v>983</v>
      </c>
      <c r="W121" s="254" t="s">
        <v>865</v>
      </c>
      <c r="X121" s="254" t="s">
        <v>157</v>
      </c>
      <c r="Y121" s="254" t="s">
        <v>843</v>
      </c>
      <c r="Z121" s="254" t="s">
        <v>837</v>
      </c>
      <c r="AA121" s="254" t="s">
        <v>838</v>
      </c>
    </row>
    <row r="122" spans="1:27" ht="14.4" x14ac:dyDescent="0.3">
      <c r="A122" s="253">
        <v>11</v>
      </c>
      <c r="B122" s="254" t="s">
        <v>830</v>
      </c>
      <c r="C122" s="254">
        <v>15904</v>
      </c>
      <c r="D122" s="254" t="s">
        <v>754</v>
      </c>
      <c r="E122" s="254" t="str">
        <f>_xlfn.XLOOKUP(C122,Clientes!I:I,Clientes!F:F)</f>
        <v>ADUFÉRTIL - CAMPEVO</v>
      </c>
      <c r="F122" s="254">
        <v>13004</v>
      </c>
      <c r="G122" s="254" t="s">
        <v>908</v>
      </c>
      <c r="H122" s="254" t="s">
        <v>982</v>
      </c>
      <c r="I122" s="255">
        <v>25</v>
      </c>
      <c r="J122" s="256">
        <v>574.97415999104408</v>
      </c>
      <c r="K122" s="257">
        <v>15208.066531763116</v>
      </c>
      <c r="L122" s="258">
        <v>-1297.1974768478549</v>
      </c>
      <c r="M122" s="258">
        <f t="shared" si="4"/>
        <v>13910.86905491526</v>
      </c>
      <c r="N122" s="258">
        <v>-4130.5069838378749</v>
      </c>
      <c r="O122" s="258">
        <v>-155.43776793046604</v>
      </c>
      <c r="P122" s="258">
        <v>-3652.0316685624475</v>
      </c>
      <c r="Q122" s="258">
        <f t="shared" si="5"/>
        <v>5972.892634584472</v>
      </c>
      <c r="R122" s="259">
        <f t="shared" si="6"/>
        <v>0.42936876272830798</v>
      </c>
      <c r="S122" s="255">
        <f t="shared" si="7"/>
        <v>608.32266127052458</v>
      </c>
      <c r="T122" s="255">
        <f t="shared" si="7"/>
        <v>26.45</v>
      </c>
      <c r="U122" s="254">
        <v>101602</v>
      </c>
      <c r="V122" s="254" t="s">
        <v>983</v>
      </c>
      <c r="W122" s="254" t="s">
        <v>992</v>
      </c>
      <c r="X122" s="254" t="s">
        <v>157</v>
      </c>
      <c r="Y122" s="254" t="s">
        <v>843</v>
      </c>
      <c r="Z122" s="254" t="s">
        <v>837</v>
      </c>
      <c r="AA122" s="254" t="s">
        <v>838</v>
      </c>
    </row>
    <row r="123" spans="1:27" ht="14.4" x14ac:dyDescent="0.3">
      <c r="A123" s="253">
        <v>11</v>
      </c>
      <c r="B123" s="254" t="s">
        <v>830</v>
      </c>
      <c r="C123" s="254">
        <v>9355</v>
      </c>
      <c r="D123" s="254" t="s">
        <v>302</v>
      </c>
      <c r="E123" s="254" t="str">
        <f>_xlfn.XLOOKUP(C123,Clientes!I:I,Clientes!F:F)</f>
        <v>NITROFERT SAS - COLOMBIA</v>
      </c>
      <c r="F123" s="254">
        <v>14147</v>
      </c>
      <c r="G123" s="254" t="s">
        <v>832</v>
      </c>
      <c r="H123" s="254" t="s">
        <v>996</v>
      </c>
      <c r="I123" s="255">
        <v>43200</v>
      </c>
      <c r="J123" s="256">
        <v>43200</v>
      </c>
      <c r="K123" s="255">
        <v>713229.30214034801</v>
      </c>
      <c r="L123" s="258">
        <v>0</v>
      </c>
      <c r="M123" s="258">
        <f t="shared" si="4"/>
        <v>713229.30214034801</v>
      </c>
      <c r="N123" s="258">
        <v>-230700.28500000003</v>
      </c>
      <c r="O123" s="258">
        <v>-49587.158016000001</v>
      </c>
      <c r="P123" s="258">
        <v>-11794.496759510048</v>
      </c>
      <c r="Q123" s="258">
        <f t="shared" si="5"/>
        <v>421147.3623648379</v>
      </c>
      <c r="R123" s="259">
        <f t="shared" si="6"/>
        <v>0.59047961307956087</v>
      </c>
      <c r="S123" s="255">
        <f t="shared" si="7"/>
        <v>16.509937549545093</v>
      </c>
      <c r="T123" s="255">
        <f t="shared" si="7"/>
        <v>16.509937549545093</v>
      </c>
      <c r="U123" s="254">
        <v>101900</v>
      </c>
      <c r="V123" s="254" t="s">
        <v>997</v>
      </c>
      <c r="W123" s="254" t="s">
        <v>998</v>
      </c>
      <c r="X123" s="254" t="s">
        <v>446</v>
      </c>
      <c r="Y123" s="254" t="s">
        <v>836</v>
      </c>
      <c r="Z123" s="254" t="s">
        <v>837</v>
      </c>
      <c r="AA123" s="254" t="s">
        <v>838</v>
      </c>
    </row>
    <row r="124" spans="1:27" ht="14.4" x14ac:dyDescent="0.3">
      <c r="A124" s="253">
        <v>11</v>
      </c>
      <c r="B124" s="254" t="s">
        <v>830</v>
      </c>
      <c r="C124" s="254">
        <v>6477</v>
      </c>
      <c r="D124" s="254" t="s">
        <v>87</v>
      </c>
      <c r="E124" s="254" t="str">
        <f>_xlfn.XLOOKUP(C124,Clientes!I:I,Clientes!F:F)</f>
        <v>GRUPO MOSAIC FERTILIZANTES DO BRASIL</v>
      </c>
      <c r="F124" s="254">
        <v>4676</v>
      </c>
      <c r="G124" s="254" t="s">
        <v>862</v>
      </c>
      <c r="H124" s="254" t="s">
        <v>999</v>
      </c>
      <c r="I124" s="255">
        <v>60000</v>
      </c>
      <c r="J124" s="256">
        <v>60000</v>
      </c>
      <c r="K124" s="255">
        <v>689453.02220322529</v>
      </c>
      <c r="L124" s="258">
        <v>-80640</v>
      </c>
      <c r="M124" s="258">
        <f t="shared" si="4"/>
        <v>608813.02220322529</v>
      </c>
      <c r="N124" s="258">
        <v>-352635.26</v>
      </c>
      <c r="O124" s="258">
        <v>-28099.2114</v>
      </c>
      <c r="P124" s="258">
        <v>-29.711187986448532</v>
      </c>
      <c r="Q124" s="258">
        <f t="shared" si="5"/>
        <v>228048.83961523883</v>
      </c>
      <c r="R124" s="259">
        <f t="shared" si="6"/>
        <v>0.37457943785426262</v>
      </c>
      <c r="S124" s="255">
        <f t="shared" si="7"/>
        <v>11.490883703387087</v>
      </c>
      <c r="T124" s="255">
        <f t="shared" si="7"/>
        <v>11.490883703387087</v>
      </c>
      <c r="U124" s="254">
        <v>101900</v>
      </c>
      <c r="V124" s="254" t="s">
        <v>997</v>
      </c>
      <c r="W124" s="254" t="s">
        <v>864</v>
      </c>
      <c r="X124" s="254" t="s">
        <v>446</v>
      </c>
      <c r="Y124" s="254" t="s">
        <v>843</v>
      </c>
      <c r="Z124" s="254" t="s">
        <v>837</v>
      </c>
      <c r="AA124" s="254" t="s">
        <v>838</v>
      </c>
    </row>
    <row r="125" spans="1:27" ht="14.4" x14ac:dyDescent="0.3">
      <c r="A125" s="253">
        <v>11</v>
      </c>
      <c r="B125" s="254" t="s">
        <v>830</v>
      </c>
      <c r="C125" s="254">
        <v>12337</v>
      </c>
      <c r="D125" s="254" t="s">
        <v>566</v>
      </c>
      <c r="E125" s="254" t="str">
        <f>_xlfn.XLOOKUP(C125,Clientes!I:I,Clientes!F:F)</f>
        <v>FITOSAN A.S - EQUADOR</v>
      </c>
      <c r="F125" s="254">
        <v>14147</v>
      </c>
      <c r="G125" s="254" t="s">
        <v>832</v>
      </c>
      <c r="H125" s="254" t="s">
        <v>996</v>
      </c>
      <c r="I125" s="255">
        <v>4800</v>
      </c>
      <c r="J125" s="256">
        <v>4800</v>
      </c>
      <c r="K125" s="255">
        <v>93076.15799743541</v>
      </c>
      <c r="L125" s="258">
        <v>0</v>
      </c>
      <c r="M125" s="258">
        <f t="shared" si="4"/>
        <v>93076.15799743541</v>
      </c>
      <c r="N125" s="258">
        <v>-25633.365000000005</v>
      </c>
      <c r="O125" s="258">
        <v>0</v>
      </c>
      <c r="P125" s="258">
        <v>-1304.6738798772469</v>
      </c>
      <c r="Q125" s="258">
        <f t="shared" si="5"/>
        <v>66138.119117558163</v>
      </c>
      <c r="R125" s="259">
        <f t="shared" si="6"/>
        <v>0.71058067436969741</v>
      </c>
      <c r="S125" s="255">
        <f t="shared" si="7"/>
        <v>19.390866249465709</v>
      </c>
      <c r="T125" s="255">
        <f t="shared" si="7"/>
        <v>19.390866249465709</v>
      </c>
      <c r="U125" s="254">
        <v>101900</v>
      </c>
      <c r="V125" s="254" t="s">
        <v>997</v>
      </c>
      <c r="W125" s="254" t="s">
        <v>945</v>
      </c>
      <c r="X125" s="254" t="s">
        <v>446</v>
      </c>
      <c r="Y125" s="254" t="s">
        <v>836</v>
      </c>
      <c r="Z125" s="254" t="s">
        <v>837</v>
      </c>
      <c r="AA125" s="254" t="s">
        <v>838</v>
      </c>
    </row>
    <row r="126" spans="1:27" ht="14.4" x14ac:dyDescent="0.3">
      <c r="A126" s="253">
        <v>11</v>
      </c>
      <c r="B126" s="254" t="s">
        <v>830</v>
      </c>
      <c r="C126" s="254">
        <v>903</v>
      </c>
      <c r="D126" s="254" t="s">
        <v>47</v>
      </c>
      <c r="E126" s="254" t="str">
        <f>_xlfn.XLOOKUP(C126,Clientes!I:I,Clientes!F:F)</f>
        <v>GRUPO YARA</v>
      </c>
      <c r="F126" s="254">
        <v>4627</v>
      </c>
      <c r="G126" s="254" t="s">
        <v>862</v>
      </c>
      <c r="H126" s="254" t="s">
        <v>1000</v>
      </c>
      <c r="I126" s="255">
        <v>60000</v>
      </c>
      <c r="J126" s="256">
        <v>60000</v>
      </c>
      <c r="K126" s="257">
        <v>514706.07522600587</v>
      </c>
      <c r="L126" s="258">
        <v>-61560</v>
      </c>
      <c r="M126" s="258">
        <f t="shared" si="4"/>
        <v>453146.07522600587</v>
      </c>
      <c r="N126" s="258">
        <v>-317904.49555555551</v>
      </c>
      <c r="O126" s="258">
        <v>-23627.927231999998</v>
      </c>
      <c r="P126" s="258">
        <v>-24.98339820739875</v>
      </c>
      <c r="Q126" s="258">
        <f t="shared" si="5"/>
        <v>111588.66904024295</v>
      </c>
      <c r="R126" s="259">
        <f t="shared" si="6"/>
        <v>0.24625319547253782</v>
      </c>
      <c r="S126" s="255">
        <f t="shared" si="7"/>
        <v>8.578434587100098</v>
      </c>
      <c r="T126" s="255">
        <f t="shared" si="7"/>
        <v>8.578434587100098</v>
      </c>
      <c r="U126" s="254">
        <v>102200</v>
      </c>
      <c r="V126" s="254" t="s">
        <v>1001</v>
      </c>
      <c r="W126" s="254" t="s">
        <v>1002</v>
      </c>
      <c r="X126" s="254" t="s">
        <v>446</v>
      </c>
      <c r="Y126" s="254" t="s">
        <v>843</v>
      </c>
      <c r="Z126" s="254" t="s">
        <v>837</v>
      </c>
      <c r="AA126" s="254" t="s">
        <v>838</v>
      </c>
    </row>
    <row r="127" spans="1:27" ht="14.4" x14ac:dyDescent="0.3">
      <c r="A127" s="253">
        <v>11</v>
      </c>
      <c r="B127" s="254" t="s">
        <v>830</v>
      </c>
      <c r="C127" s="254">
        <v>1159</v>
      </c>
      <c r="D127" s="254" t="s">
        <v>50</v>
      </c>
      <c r="E127" s="254" t="str">
        <f>_xlfn.XLOOKUP(C127,Clientes!I:I,Clientes!F:F)</f>
        <v>GRUPO YARA</v>
      </c>
      <c r="F127" s="254">
        <v>4627</v>
      </c>
      <c r="G127" s="254" t="s">
        <v>877</v>
      </c>
      <c r="H127" s="254" t="s">
        <v>1000</v>
      </c>
      <c r="I127" s="255">
        <v>210000</v>
      </c>
      <c r="J127" s="256">
        <v>210000</v>
      </c>
      <c r="K127" s="257">
        <v>1906820.4599747059</v>
      </c>
      <c r="L127" s="258">
        <v>-228060</v>
      </c>
      <c r="M127" s="258">
        <f t="shared" si="4"/>
        <v>1678760.4599747059</v>
      </c>
      <c r="N127" s="258">
        <v>-1112665.7344444445</v>
      </c>
      <c r="O127" s="258">
        <v>-170951.23499999999</v>
      </c>
      <c r="P127" s="258">
        <v>-180.75825001980445</v>
      </c>
      <c r="Q127" s="258">
        <f t="shared" si="5"/>
        <v>394962.73228024162</v>
      </c>
      <c r="R127" s="259">
        <f t="shared" si="6"/>
        <v>0.23527045203708966</v>
      </c>
      <c r="S127" s="255">
        <f t="shared" si="7"/>
        <v>9.0800974284509799</v>
      </c>
      <c r="T127" s="255">
        <f t="shared" si="7"/>
        <v>9.0800974284509799</v>
      </c>
      <c r="U127" s="254">
        <v>102200</v>
      </c>
      <c r="V127" s="254" t="s">
        <v>1001</v>
      </c>
      <c r="W127" s="254" t="s">
        <v>878</v>
      </c>
      <c r="X127" s="254" t="s">
        <v>446</v>
      </c>
      <c r="Y127" s="254" t="s">
        <v>843</v>
      </c>
      <c r="Z127" s="254" t="s">
        <v>837</v>
      </c>
      <c r="AA127" s="254" t="s">
        <v>838</v>
      </c>
    </row>
    <row r="128" spans="1:27" ht="14.4" x14ac:dyDescent="0.3">
      <c r="A128" s="253">
        <v>11</v>
      </c>
      <c r="B128" s="254" t="s">
        <v>830</v>
      </c>
      <c r="C128" s="254">
        <v>8855</v>
      </c>
      <c r="D128" s="254" t="s">
        <v>1003</v>
      </c>
      <c r="E128" s="254" t="str">
        <f>_xlfn.XLOOKUP(C128,Clientes!I:I,Clientes!F:F)</f>
        <v>TERMAG GUARUJA</v>
      </c>
      <c r="F128" s="254">
        <v>7398</v>
      </c>
      <c r="G128" s="254" t="s">
        <v>908</v>
      </c>
      <c r="H128" s="254" t="s">
        <v>1004</v>
      </c>
      <c r="I128" s="255">
        <v>30000</v>
      </c>
      <c r="J128" s="256">
        <v>30000</v>
      </c>
      <c r="K128" s="257">
        <v>73800</v>
      </c>
      <c r="L128" s="258">
        <v>-8856</v>
      </c>
      <c r="M128" s="258">
        <f t="shared" si="4"/>
        <v>64944</v>
      </c>
      <c r="N128" s="258">
        <v>-19353.518978102191</v>
      </c>
      <c r="O128" s="258">
        <v>-13045.632163199998</v>
      </c>
      <c r="P128" s="258">
        <v>-13.794025180468031</v>
      </c>
      <c r="Q128" s="258">
        <f t="shared" si="5"/>
        <v>32531.054833517344</v>
      </c>
      <c r="R128" s="259">
        <f t="shared" si="6"/>
        <v>0.50090931931382954</v>
      </c>
      <c r="S128" s="255">
        <f t="shared" si="7"/>
        <v>2.46</v>
      </c>
      <c r="T128" s="255">
        <f t="shared" si="7"/>
        <v>2.46</v>
      </c>
      <c r="U128" s="254">
        <v>102600</v>
      </c>
      <c r="V128" s="254" t="s">
        <v>1005</v>
      </c>
      <c r="W128" s="254" t="s">
        <v>1006</v>
      </c>
      <c r="X128" s="254" t="s">
        <v>446</v>
      </c>
      <c r="Y128" s="254" t="s">
        <v>843</v>
      </c>
      <c r="Z128" s="254" t="s">
        <v>837</v>
      </c>
      <c r="AA128" s="254" t="s">
        <v>838</v>
      </c>
    </row>
    <row r="129" spans="1:27" ht="14.4" x14ac:dyDescent="0.3">
      <c r="A129" s="253">
        <v>11</v>
      </c>
      <c r="B129" s="254" t="s">
        <v>830</v>
      </c>
      <c r="C129" s="254">
        <v>7648</v>
      </c>
      <c r="D129" s="254" t="s">
        <v>958</v>
      </c>
      <c r="E129" s="254" t="str">
        <f>_xlfn.XLOOKUP(C129,Clientes!I:I,Clientes!F:F)</f>
        <v>GRUPO LOUIS DREYFUS</v>
      </c>
      <c r="F129" s="254">
        <v>14154</v>
      </c>
      <c r="G129" s="254" t="s">
        <v>862</v>
      </c>
      <c r="H129" s="254" t="s">
        <v>1007</v>
      </c>
      <c r="I129" s="255">
        <v>13200</v>
      </c>
      <c r="J129" s="256">
        <v>13200</v>
      </c>
      <c r="K129" s="257">
        <v>47916</v>
      </c>
      <c r="L129" s="258">
        <v>-5749.92</v>
      </c>
      <c r="M129" s="258">
        <f t="shared" si="4"/>
        <v>42166.080000000002</v>
      </c>
      <c r="N129" s="258">
        <v>-15114.8</v>
      </c>
      <c r="O129" s="258">
        <v>-9623.6718130238405</v>
      </c>
      <c r="P129" s="258">
        <v>-10.175756119498688</v>
      </c>
      <c r="Q129" s="258">
        <f t="shared" si="5"/>
        <v>17417.432430856665</v>
      </c>
      <c r="R129" s="259">
        <f t="shared" si="6"/>
        <v>0.41306738570093932</v>
      </c>
      <c r="S129" s="255">
        <f t="shared" si="7"/>
        <v>3.63</v>
      </c>
      <c r="T129" s="255">
        <f t="shared" si="7"/>
        <v>3.63</v>
      </c>
      <c r="U129" s="254">
        <v>102600</v>
      </c>
      <c r="V129" s="254" t="s">
        <v>1005</v>
      </c>
      <c r="W129" s="254" t="s">
        <v>864</v>
      </c>
      <c r="X129" s="254" t="s">
        <v>446</v>
      </c>
      <c r="Y129" s="254" t="s">
        <v>843</v>
      </c>
      <c r="Z129" s="254" t="s">
        <v>837</v>
      </c>
      <c r="AA129" s="254" t="s">
        <v>838</v>
      </c>
    </row>
    <row r="130" spans="1:27" ht="14.4" x14ac:dyDescent="0.3">
      <c r="A130" s="253">
        <v>11</v>
      </c>
      <c r="B130" s="254" t="s">
        <v>830</v>
      </c>
      <c r="C130" s="254">
        <v>8413</v>
      </c>
      <c r="D130" s="254" t="s">
        <v>97</v>
      </c>
      <c r="E130" s="254" t="str">
        <f>_xlfn.XLOOKUP(C130,Clientes!I:I,Clientes!F:F)</f>
        <v>GRUPO AMAGGI</v>
      </c>
      <c r="F130" s="254">
        <v>7398</v>
      </c>
      <c r="G130" s="254" t="s">
        <v>840</v>
      </c>
      <c r="H130" s="254" t="s">
        <v>1004</v>
      </c>
      <c r="I130" s="255">
        <v>32000</v>
      </c>
      <c r="J130" s="256">
        <v>32000</v>
      </c>
      <c r="K130" s="257">
        <v>66240</v>
      </c>
      <c r="L130" s="258">
        <v>-4636.8</v>
      </c>
      <c r="M130" s="258">
        <f t="shared" si="4"/>
        <v>61603.199999999997</v>
      </c>
      <c r="N130" s="258">
        <v>-20643.753576642335</v>
      </c>
      <c r="O130" s="258">
        <v>-23352.800640000001</v>
      </c>
      <c r="P130" s="258">
        <v>-24.692488338839844</v>
      </c>
      <c r="Q130" s="258">
        <f t="shared" si="5"/>
        <v>17581.953295018819</v>
      </c>
      <c r="R130" s="259">
        <f t="shared" si="6"/>
        <v>0.28540649341298535</v>
      </c>
      <c r="S130" s="255">
        <f t="shared" si="7"/>
        <v>2.0699999999999998</v>
      </c>
      <c r="T130" s="255">
        <f t="shared" si="7"/>
        <v>2.0699999999999998</v>
      </c>
      <c r="U130" s="254">
        <v>102600</v>
      </c>
      <c r="V130" s="254" t="s">
        <v>1005</v>
      </c>
      <c r="W130" s="254" t="s">
        <v>915</v>
      </c>
      <c r="X130" s="254" t="s">
        <v>446</v>
      </c>
      <c r="Y130" s="254" t="s">
        <v>843</v>
      </c>
      <c r="Z130" s="254" t="s">
        <v>837</v>
      </c>
      <c r="AA130" s="254" t="s">
        <v>838</v>
      </c>
    </row>
    <row r="131" spans="1:27" ht="14.4" x14ac:dyDescent="0.3">
      <c r="A131" s="253">
        <v>11</v>
      </c>
      <c r="B131" s="254" t="s">
        <v>830</v>
      </c>
      <c r="C131" s="254">
        <v>1953</v>
      </c>
      <c r="D131" s="254" t="s">
        <v>66</v>
      </c>
      <c r="E131" s="254" t="str">
        <f>_xlfn.XLOOKUP(C131,Clientes!I:I,Clientes!F:F)</f>
        <v>GRUPO AMAGGI</v>
      </c>
      <c r="F131" s="254">
        <v>7398</v>
      </c>
      <c r="G131" s="254" t="s">
        <v>840</v>
      </c>
      <c r="H131" s="254" t="s">
        <v>1004</v>
      </c>
      <c r="I131" s="255">
        <v>60000</v>
      </c>
      <c r="J131" s="256">
        <v>60000</v>
      </c>
      <c r="K131" s="257">
        <v>125400</v>
      </c>
      <c r="L131" s="258">
        <v>-8778</v>
      </c>
      <c r="M131" s="258">
        <f t="shared" si="4"/>
        <v>116622</v>
      </c>
      <c r="N131" s="258">
        <v>-38707.037956204382</v>
      </c>
      <c r="O131" s="258">
        <v>-41876.730604799995</v>
      </c>
      <c r="P131" s="258">
        <v>-44.279086610134378</v>
      </c>
      <c r="Q131" s="258">
        <f t="shared" si="5"/>
        <v>35993.952352385488</v>
      </c>
      <c r="R131" s="259">
        <f t="shared" si="6"/>
        <v>0.30863775576122421</v>
      </c>
      <c r="S131" s="255">
        <f t="shared" si="7"/>
        <v>2.09</v>
      </c>
      <c r="T131" s="255">
        <f t="shared" si="7"/>
        <v>2.09</v>
      </c>
      <c r="U131" s="254">
        <v>102600</v>
      </c>
      <c r="V131" s="254" t="s">
        <v>1005</v>
      </c>
      <c r="W131" s="254" t="s">
        <v>1008</v>
      </c>
      <c r="X131" s="254" t="s">
        <v>446</v>
      </c>
      <c r="Y131" s="254" t="s">
        <v>843</v>
      </c>
      <c r="Z131" s="254" t="s">
        <v>837</v>
      </c>
      <c r="AA131" s="254" t="s">
        <v>838</v>
      </c>
    </row>
    <row r="132" spans="1:27" ht="14.4" x14ac:dyDescent="0.3">
      <c r="A132" s="253">
        <v>11</v>
      </c>
      <c r="B132" s="254" t="s">
        <v>830</v>
      </c>
      <c r="C132" s="254">
        <v>3142</v>
      </c>
      <c r="D132" s="254" t="s">
        <v>78</v>
      </c>
      <c r="E132" s="254" t="str">
        <f>_xlfn.XLOOKUP(C132,Clientes!I:I,Clientes!F:F)</f>
        <v>INTERFERTIL - SAO FRANCISCO DO SUL</v>
      </c>
      <c r="F132" s="254">
        <v>7398</v>
      </c>
      <c r="G132" s="254" t="s">
        <v>893</v>
      </c>
      <c r="H132" s="254" t="s">
        <v>1004</v>
      </c>
      <c r="I132" s="255">
        <v>15000</v>
      </c>
      <c r="J132" s="256">
        <v>15000</v>
      </c>
      <c r="K132" s="257">
        <v>41400</v>
      </c>
      <c r="L132" s="258">
        <v>-4968</v>
      </c>
      <c r="M132" s="258">
        <f t="shared" ref="M132:M195" si="8">SUM(K132:L132)</f>
        <v>36432</v>
      </c>
      <c r="N132" s="258">
        <v>-9676.7594890510954</v>
      </c>
      <c r="O132" s="258">
        <v>-12045.7338550185</v>
      </c>
      <c r="P132" s="258">
        <v>-12.736765381294012</v>
      </c>
      <c r="Q132" s="258">
        <f t="shared" ref="Q132:Q195" si="9">SUM(M132:P132)</f>
        <v>14696.769890549111</v>
      </c>
      <c r="R132" s="259">
        <f t="shared" ref="R132:R195" si="10">Q132/M132</f>
        <v>0.40340277477352632</v>
      </c>
      <c r="S132" s="255">
        <f t="shared" ref="S132:T195" si="11">$K132/I132</f>
        <v>2.76</v>
      </c>
      <c r="T132" s="255">
        <f t="shared" si="11"/>
        <v>2.76</v>
      </c>
      <c r="U132" s="254">
        <v>102600</v>
      </c>
      <c r="V132" s="254" t="s">
        <v>1005</v>
      </c>
      <c r="W132" s="254" t="s">
        <v>894</v>
      </c>
      <c r="X132" s="254" t="s">
        <v>446</v>
      </c>
      <c r="Y132" s="254" t="s">
        <v>843</v>
      </c>
      <c r="Z132" s="254" t="s">
        <v>837</v>
      </c>
      <c r="AA132" s="254" t="s">
        <v>838</v>
      </c>
    </row>
    <row r="133" spans="1:27" ht="14.4" x14ac:dyDescent="0.3">
      <c r="A133" s="253">
        <v>11</v>
      </c>
      <c r="B133" s="254" t="s">
        <v>844</v>
      </c>
      <c r="C133" s="254">
        <v>11637</v>
      </c>
      <c r="D133" s="254" t="s">
        <v>625</v>
      </c>
      <c r="E133" s="254" t="str">
        <f>_xlfn.XLOOKUP(C133,Clientes!I:I,Clientes!F:F)</f>
        <v>AGROPECUARIA MARATA LTDA - MARUIM</v>
      </c>
      <c r="F133" s="254">
        <v>14130</v>
      </c>
      <c r="G133" s="254" t="s">
        <v>887</v>
      </c>
      <c r="H133" s="254" t="s">
        <v>903</v>
      </c>
      <c r="I133" s="255">
        <v>4000</v>
      </c>
      <c r="J133" s="256">
        <v>4000</v>
      </c>
      <c r="K133" s="258">
        <v>11880</v>
      </c>
      <c r="L133" s="258">
        <v>-831.6</v>
      </c>
      <c r="M133" s="258">
        <f t="shared" si="8"/>
        <v>11048.4</v>
      </c>
      <c r="N133" s="258">
        <v>-5052.7700000000004</v>
      </c>
      <c r="O133" s="258">
        <v>0</v>
      </c>
      <c r="P133" s="258">
        <v>0</v>
      </c>
      <c r="Q133" s="258">
        <f t="shared" si="9"/>
        <v>5995.6299999999992</v>
      </c>
      <c r="R133" s="259">
        <f t="shared" si="10"/>
        <v>0.54266952680931169</v>
      </c>
      <c r="S133" s="255">
        <f t="shared" si="11"/>
        <v>2.97</v>
      </c>
      <c r="T133" s="255">
        <f t="shared" si="11"/>
        <v>2.97</v>
      </c>
      <c r="U133" s="254">
        <v>100100</v>
      </c>
      <c r="V133" s="254" t="s">
        <v>834</v>
      </c>
      <c r="W133" s="254" t="s">
        <v>1009</v>
      </c>
      <c r="X133" s="254" t="s">
        <v>446</v>
      </c>
      <c r="Y133" s="254" t="s">
        <v>843</v>
      </c>
      <c r="Z133" s="254" t="s">
        <v>1010</v>
      </c>
      <c r="AA133" s="254" t="s">
        <v>838</v>
      </c>
    </row>
    <row r="134" spans="1:27" ht="14.4" x14ac:dyDescent="0.3">
      <c r="A134" s="253">
        <v>11</v>
      </c>
      <c r="B134" s="254" t="s">
        <v>844</v>
      </c>
      <c r="C134" s="254">
        <v>3273</v>
      </c>
      <c r="D134" s="254" t="s">
        <v>79</v>
      </c>
      <c r="E134" s="254" t="str">
        <f>_xlfn.XLOOKUP(C134,Clientes!I:I,Clientes!F:F)</f>
        <v>FERTIMAXI - CONCEICAO DO JACUIPE</v>
      </c>
      <c r="F134" s="254">
        <v>2</v>
      </c>
      <c r="G134" s="254" t="s">
        <v>875</v>
      </c>
      <c r="H134" s="254" t="s">
        <v>883</v>
      </c>
      <c r="I134" s="255">
        <v>30000</v>
      </c>
      <c r="J134" s="256">
        <v>30000</v>
      </c>
      <c r="K134" s="258">
        <v>78900</v>
      </c>
      <c r="L134" s="258">
        <v>-5523.0000000000009</v>
      </c>
      <c r="M134" s="258">
        <f t="shared" si="8"/>
        <v>73377</v>
      </c>
      <c r="N134" s="258">
        <v>-16676.255000000001</v>
      </c>
      <c r="O134" s="258">
        <v>-18675.345000000001</v>
      </c>
      <c r="P134" s="258">
        <v>-10.498768757869874</v>
      </c>
      <c r="Q134" s="258">
        <f t="shared" si="9"/>
        <v>38014.901231242126</v>
      </c>
      <c r="R134" s="259">
        <f t="shared" si="10"/>
        <v>0.51807652576750374</v>
      </c>
      <c r="S134" s="255">
        <f t="shared" si="11"/>
        <v>2.63</v>
      </c>
      <c r="T134" s="255">
        <f t="shared" si="11"/>
        <v>2.63</v>
      </c>
      <c r="U134" s="254">
        <v>100100</v>
      </c>
      <c r="V134" s="254" t="s">
        <v>834</v>
      </c>
      <c r="W134" s="254" t="s">
        <v>884</v>
      </c>
      <c r="X134" s="254" t="s">
        <v>446</v>
      </c>
      <c r="Y134" s="254" t="s">
        <v>843</v>
      </c>
      <c r="Z134" s="254" t="s">
        <v>1010</v>
      </c>
      <c r="AA134" s="254" t="s">
        <v>838</v>
      </c>
    </row>
    <row r="135" spans="1:27" ht="14.4" x14ac:dyDescent="0.3">
      <c r="A135" s="253">
        <v>11</v>
      </c>
      <c r="B135" s="254" t="s">
        <v>844</v>
      </c>
      <c r="C135" s="254">
        <v>452</v>
      </c>
      <c r="D135" s="254" t="s">
        <v>900</v>
      </c>
      <c r="E135" s="254" t="str">
        <f>_xlfn.XLOOKUP(C135,Clientes!I:I,Clientes!F:F)</f>
        <v>GRUPO FERTIPAR FERTILIZANTES MARANHAO</v>
      </c>
      <c r="F135" s="254">
        <v>2</v>
      </c>
      <c r="G135" s="254" t="s">
        <v>897</v>
      </c>
      <c r="H135" s="254" t="s">
        <v>883</v>
      </c>
      <c r="I135" s="255">
        <v>30000</v>
      </c>
      <c r="J135" s="256">
        <v>30000</v>
      </c>
      <c r="K135" s="258">
        <v>71100</v>
      </c>
      <c r="L135" s="258">
        <v>-4977.0000000000009</v>
      </c>
      <c r="M135" s="258">
        <f t="shared" si="8"/>
        <v>66123</v>
      </c>
      <c r="N135" s="258">
        <v>-16676.255000000001</v>
      </c>
      <c r="O135" s="258">
        <v>-26461.527299999998</v>
      </c>
      <c r="P135" s="258">
        <v>-14.87594773230485</v>
      </c>
      <c r="Q135" s="258">
        <f t="shared" si="9"/>
        <v>22970.341752267694</v>
      </c>
      <c r="R135" s="259">
        <f t="shared" si="10"/>
        <v>0.3473880760441555</v>
      </c>
      <c r="S135" s="255">
        <f t="shared" si="11"/>
        <v>2.37</v>
      </c>
      <c r="T135" s="255">
        <f t="shared" si="11"/>
        <v>2.37</v>
      </c>
      <c r="U135" s="254">
        <v>100100</v>
      </c>
      <c r="V135" s="254" t="s">
        <v>834</v>
      </c>
      <c r="W135" s="254" t="s">
        <v>899</v>
      </c>
      <c r="X135" s="254" t="s">
        <v>446</v>
      </c>
      <c r="Y135" s="254" t="s">
        <v>843</v>
      </c>
      <c r="Z135" s="254" t="s">
        <v>1010</v>
      </c>
      <c r="AA135" s="254" t="s">
        <v>838</v>
      </c>
    </row>
    <row r="136" spans="1:27" ht="14.4" x14ac:dyDescent="0.3">
      <c r="A136" s="253">
        <v>11</v>
      </c>
      <c r="B136" s="254" t="s">
        <v>844</v>
      </c>
      <c r="C136" s="254">
        <v>5882</v>
      </c>
      <c r="D136" s="254" t="s">
        <v>162</v>
      </c>
      <c r="E136" s="254" t="str">
        <f>_xlfn.XLOOKUP(C136,Clientes!I:I,Clientes!F:F)</f>
        <v>ABOPAR - PARAGUAY</v>
      </c>
      <c r="F136" s="254">
        <v>14146</v>
      </c>
      <c r="G136" s="254" t="s">
        <v>832</v>
      </c>
      <c r="H136" s="254" t="s">
        <v>1011</v>
      </c>
      <c r="I136" s="255">
        <v>26400</v>
      </c>
      <c r="J136" s="256">
        <v>26400</v>
      </c>
      <c r="K136" s="258">
        <v>135696</v>
      </c>
      <c r="L136" s="258">
        <v>0</v>
      </c>
      <c r="M136" s="258">
        <f t="shared" si="8"/>
        <v>135696</v>
      </c>
      <c r="N136" s="258">
        <v>-53735.933999999994</v>
      </c>
      <c r="O136" s="258">
        <v>-23805.056000000008</v>
      </c>
      <c r="P136" s="258">
        <v>-5494.2142732738166</v>
      </c>
      <c r="Q136" s="258">
        <f t="shared" si="9"/>
        <v>52660.795726726181</v>
      </c>
      <c r="R136" s="259">
        <f t="shared" si="10"/>
        <v>0.38807920444763427</v>
      </c>
      <c r="S136" s="255">
        <f t="shared" si="11"/>
        <v>5.14</v>
      </c>
      <c r="T136" s="255">
        <f t="shared" si="11"/>
        <v>5.14</v>
      </c>
      <c r="U136" s="254">
        <v>100100</v>
      </c>
      <c r="V136" s="254" t="s">
        <v>834</v>
      </c>
      <c r="W136" s="254" t="s">
        <v>1012</v>
      </c>
      <c r="X136" s="254" t="s">
        <v>446</v>
      </c>
      <c r="Y136" s="254" t="s">
        <v>836</v>
      </c>
      <c r="Z136" s="254" t="s">
        <v>1010</v>
      </c>
      <c r="AA136" s="254" t="s">
        <v>838</v>
      </c>
    </row>
    <row r="137" spans="1:27" ht="14.4" x14ac:dyDescent="0.3">
      <c r="A137" s="253">
        <v>11</v>
      </c>
      <c r="B137" s="254" t="s">
        <v>844</v>
      </c>
      <c r="C137" s="254">
        <v>2011</v>
      </c>
      <c r="D137" s="254" t="s">
        <v>616</v>
      </c>
      <c r="E137" s="254" t="str">
        <f>_xlfn.XLOOKUP(C137,Clientes!I:I,Clientes!F:F)</f>
        <v>FERTGROW S.A</v>
      </c>
      <c r="F137" s="254">
        <v>6654</v>
      </c>
      <c r="G137" s="254" t="s">
        <v>897</v>
      </c>
      <c r="H137" s="254" t="s">
        <v>898</v>
      </c>
      <c r="I137" s="255">
        <v>30000</v>
      </c>
      <c r="J137" s="256">
        <v>30000</v>
      </c>
      <c r="K137" s="258">
        <v>81000</v>
      </c>
      <c r="L137" s="258">
        <v>-5670.0000000000009</v>
      </c>
      <c r="M137" s="258">
        <f t="shared" si="8"/>
        <v>75330</v>
      </c>
      <c r="N137" s="258">
        <v>-11344.630000000003</v>
      </c>
      <c r="O137" s="258">
        <v>-26461.527299999998</v>
      </c>
      <c r="P137" s="258">
        <v>-14.87594773230485</v>
      </c>
      <c r="Q137" s="258">
        <f t="shared" si="9"/>
        <v>37508.96675226769</v>
      </c>
      <c r="R137" s="259">
        <f t="shared" si="10"/>
        <v>0.49792867054649792</v>
      </c>
      <c r="S137" s="255">
        <f t="shared" si="11"/>
        <v>2.7</v>
      </c>
      <c r="T137" s="255">
        <f t="shared" si="11"/>
        <v>2.7</v>
      </c>
      <c r="U137" s="254">
        <v>100100</v>
      </c>
      <c r="V137" s="254" t="s">
        <v>834</v>
      </c>
      <c r="W137" s="254" t="s">
        <v>899</v>
      </c>
      <c r="X137" s="254" t="s">
        <v>446</v>
      </c>
      <c r="Y137" s="254" t="s">
        <v>843</v>
      </c>
      <c r="Z137" s="254" t="s">
        <v>1010</v>
      </c>
      <c r="AA137" s="254" t="s">
        <v>838</v>
      </c>
    </row>
    <row r="138" spans="1:27" ht="14.4" x14ac:dyDescent="0.3">
      <c r="A138" s="253">
        <v>11</v>
      </c>
      <c r="B138" s="254" t="s">
        <v>844</v>
      </c>
      <c r="C138" s="254">
        <v>2975</v>
      </c>
      <c r="D138" s="254" t="s">
        <v>420</v>
      </c>
      <c r="E138" s="254" t="str">
        <f>_xlfn.XLOOKUP(C138,Clientes!I:I,Clientes!F:F)</f>
        <v>COONAGRO COOPERATIVA - PARANAGUA</v>
      </c>
      <c r="F138" s="254">
        <v>4</v>
      </c>
      <c r="G138" s="254" t="s">
        <v>862</v>
      </c>
      <c r="H138" s="254" t="s">
        <v>863</v>
      </c>
      <c r="I138" s="255">
        <v>40000</v>
      </c>
      <c r="J138" s="256">
        <v>40000</v>
      </c>
      <c r="K138" s="258">
        <v>159600</v>
      </c>
      <c r="L138" s="258">
        <v>-19152</v>
      </c>
      <c r="M138" s="258">
        <f t="shared" si="8"/>
        <v>140448</v>
      </c>
      <c r="N138" s="258">
        <v>-39710.762666666662</v>
      </c>
      <c r="O138" s="258">
        <v>-18732.807599999996</v>
      </c>
      <c r="P138" s="258">
        <v>-10.531072661740239</v>
      </c>
      <c r="Q138" s="258">
        <f t="shared" si="9"/>
        <v>81993.898660671592</v>
      </c>
      <c r="R138" s="259">
        <f t="shared" si="10"/>
        <v>0.58380253660195658</v>
      </c>
      <c r="S138" s="255">
        <f t="shared" si="11"/>
        <v>3.99</v>
      </c>
      <c r="T138" s="255">
        <f t="shared" si="11"/>
        <v>3.99</v>
      </c>
      <c r="U138" s="254">
        <v>100100</v>
      </c>
      <c r="V138" s="254" t="s">
        <v>834</v>
      </c>
      <c r="W138" s="254" t="s">
        <v>864</v>
      </c>
      <c r="X138" s="254" t="s">
        <v>446</v>
      </c>
      <c r="Y138" s="254" t="s">
        <v>843</v>
      </c>
      <c r="Z138" s="254" t="s">
        <v>1010</v>
      </c>
      <c r="AA138" s="254" t="s">
        <v>838</v>
      </c>
    </row>
    <row r="139" spans="1:27" ht="14.4" x14ac:dyDescent="0.3">
      <c r="A139" s="253">
        <v>11</v>
      </c>
      <c r="B139" s="254" t="s">
        <v>844</v>
      </c>
      <c r="C139" s="254">
        <v>11133</v>
      </c>
      <c r="D139" s="254" t="s">
        <v>895</v>
      </c>
      <c r="E139" s="254" t="str">
        <f>_xlfn.XLOOKUP(C139,Clientes!I:I,Clientes!F:F)</f>
        <v>GRUPO ADUBOS ARAGUAIA</v>
      </c>
      <c r="F139" s="254">
        <v>1</v>
      </c>
      <c r="G139" s="254" t="s">
        <v>862</v>
      </c>
      <c r="H139" s="254" t="s">
        <v>873</v>
      </c>
      <c r="I139" s="255">
        <v>15000</v>
      </c>
      <c r="J139" s="256">
        <v>15000</v>
      </c>
      <c r="K139" s="258">
        <v>38400</v>
      </c>
      <c r="L139" s="258">
        <v>-4608</v>
      </c>
      <c r="M139" s="258">
        <f t="shared" si="8"/>
        <v>33792</v>
      </c>
      <c r="N139" s="258">
        <v>-9250.3633333333328</v>
      </c>
      <c r="O139" s="258">
        <v>-10935.990696618001</v>
      </c>
      <c r="P139" s="258">
        <v>-6.1479152038159759</v>
      </c>
      <c r="Q139" s="258">
        <f t="shared" si="9"/>
        <v>13599.498054844849</v>
      </c>
      <c r="R139" s="259">
        <f t="shared" si="10"/>
        <v>0.40244726724801283</v>
      </c>
      <c r="S139" s="255">
        <f t="shared" si="11"/>
        <v>2.56</v>
      </c>
      <c r="T139" s="255">
        <f t="shared" si="11"/>
        <v>2.56</v>
      </c>
      <c r="U139" s="254">
        <v>100100</v>
      </c>
      <c r="V139" s="254" t="s">
        <v>834</v>
      </c>
      <c r="W139" s="254" t="s">
        <v>864</v>
      </c>
      <c r="X139" s="254" t="s">
        <v>446</v>
      </c>
      <c r="Y139" s="254" t="s">
        <v>843</v>
      </c>
      <c r="Z139" s="254" t="s">
        <v>1010</v>
      </c>
      <c r="AA139" s="254" t="s">
        <v>838</v>
      </c>
    </row>
    <row r="140" spans="1:27" ht="14.4" x14ac:dyDescent="0.3">
      <c r="A140" s="253">
        <v>11</v>
      </c>
      <c r="B140" s="254" t="s">
        <v>844</v>
      </c>
      <c r="C140" s="254">
        <v>1462</v>
      </c>
      <c r="D140" s="254" t="s">
        <v>907</v>
      </c>
      <c r="E140" s="254" t="str">
        <f>_xlfn.XLOOKUP(C140,Clientes!I:I,Clientes!F:F)</f>
        <v>AURORA MINERAÇÃO LTDA</v>
      </c>
      <c r="F140" s="254">
        <v>1042</v>
      </c>
      <c r="G140" s="254" t="s">
        <v>908</v>
      </c>
      <c r="H140" s="254" t="s">
        <v>909</v>
      </c>
      <c r="I140" s="255">
        <v>45000</v>
      </c>
      <c r="J140" s="256">
        <v>45000</v>
      </c>
      <c r="K140" s="258">
        <v>75150</v>
      </c>
      <c r="L140" s="258">
        <v>-9018</v>
      </c>
      <c r="M140" s="258">
        <f t="shared" si="8"/>
        <v>66132</v>
      </c>
      <c r="N140" s="258">
        <v>-22882.00909090909</v>
      </c>
      <c r="O140" s="258">
        <v>0</v>
      </c>
      <c r="P140" s="258">
        <v>0</v>
      </c>
      <c r="Q140" s="258">
        <f t="shared" si="9"/>
        <v>43249.990909090906</v>
      </c>
      <c r="R140" s="259">
        <f t="shared" si="10"/>
        <v>0.65399490275647043</v>
      </c>
      <c r="S140" s="255">
        <f t="shared" si="11"/>
        <v>1.67</v>
      </c>
      <c r="T140" s="255">
        <f t="shared" si="11"/>
        <v>1.67</v>
      </c>
      <c r="U140" s="254">
        <v>100100</v>
      </c>
      <c r="V140" s="254" t="s">
        <v>834</v>
      </c>
      <c r="W140" s="254" t="s">
        <v>910</v>
      </c>
      <c r="X140" s="254" t="s">
        <v>446</v>
      </c>
      <c r="Y140" s="254" t="s">
        <v>843</v>
      </c>
      <c r="Z140" s="254" t="s">
        <v>1010</v>
      </c>
      <c r="AA140" s="254" t="s">
        <v>838</v>
      </c>
    </row>
    <row r="141" spans="1:27" ht="14.4" x14ac:dyDescent="0.3">
      <c r="A141" s="253">
        <v>11</v>
      </c>
      <c r="B141" s="254" t="s">
        <v>844</v>
      </c>
      <c r="C141" s="254">
        <v>6370</v>
      </c>
      <c r="D141" s="254" t="s">
        <v>264</v>
      </c>
      <c r="E141" s="254" t="str">
        <f>_xlfn.XLOOKUP(C141,Clientes!I:I,Clientes!F:F)</f>
        <v>YTL S.A. - PARAGUAI</v>
      </c>
      <c r="F141" s="254">
        <v>4067</v>
      </c>
      <c r="G141" s="254" t="s">
        <v>832</v>
      </c>
      <c r="H141" s="254" t="s">
        <v>881</v>
      </c>
      <c r="I141" s="255">
        <v>30000</v>
      </c>
      <c r="J141" s="256">
        <v>30000</v>
      </c>
      <c r="K141" s="258">
        <v>154200</v>
      </c>
      <c r="L141" s="258">
        <v>0</v>
      </c>
      <c r="M141" s="258">
        <f t="shared" si="8"/>
        <v>154200</v>
      </c>
      <c r="N141" s="258">
        <v>-46013.93</v>
      </c>
      <c r="O141" s="258">
        <v>-30471.7248</v>
      </c>
      <c r="P141" s="258">
        <v>-6245.3482361339529</v>
      </c>
      <c r="Q141" s="258">
        <f t="shared" si="9"/>
        <v>71468.996963866055</v>
      </c>
      <c r="R141" s="259">
        <f t="shared" si="10"/>
        <v>0.46348247058278896</v>
      </c>
      <c r="S141" s="255">
        <f t="shared" si="11"/>
        <v>5.14</v>
      </c>
      <c r="T141" s="255">
        <f t="shared" si="11"/>
        <v>5.14</v>
      </c>
      <c r="U141" s="254">
        <v>100100</v>
      </c>
      <c r="V141" s="254" t="s">
        <v>834</v>
      </c>
      <c r="W141" s="254" t="s">
        <v>896</v>
      </c>
      <c r="X141" s="254" t="s">
        <v>446</v>
      </c>
      <c r="Y141" s="254" t="s">
        <v>836</v>
      </c>
      <c r="Z141" s="254" t="s">
        <v>1010</v>
      </c>
      <c r="AA141" s="254" t="s">
        <v>838</v>
      </c>
    </row>
    <row r="142" spans="1:27" ht="14.4" x14ac:dyDescent="0.3">
      <c r="A142" s="253">
        <v>11</v>
      </c>
      <c r="B142" s="254" t="s">
        <v>844</v>
      </c>
      <c r="C142" s="254">
        <v>5731</v>
      </c>
      <c r="D142" s="254" t="s">
        <v>901</v>
      </c>
      <c r="E142" s="254" t="str">
        <f>_xlfn.XLOOKUP(C142,Clientes!I:I,Clientes!F:F)</f>
        <v>FERTILIZANTES ALIANÇA - APARECIDA DE GOI</v>
      </c>
      <c r="F142" s="254">
        <v>14133</v>
      </c>
      <c r="G142" s="254" t="s">
        <v>867</v>
      </c>
      <c r="H142" s="254" t="s">
        <v>841</v>
      </c>
      <c r="I142" s="255">
        <v>6000</v>
      </c>
      <c r="J142" s="256">
        <v>6000</v>
      </c>
      <c r="K142" s="258">
        <v>16200</v>
      </c>
      <c r="L142" s="258">
        <v>-1134</v>
      </c>
      <c r="M142" s="258">
        <f t="shared" si="8"/>
        <v>15066</v>
      </c>
      <c r="N142" s="258">
        <v>-6969.9813270142186</v>
      </c>
      <c r="O142" s="258">
        <v>-2558.8542470399998</v>
      </c>
      <c r="P142" s="258">
        <v>-1.4385179510614763</v>
      </c>
      <c r="Q142" s="258">
        <f t="shared" si="9"/>
        <v>5535.7259079947198</v>
      </c>
      <c r="R142" s="259">
        <f t="shared" si="10"/>
        <v>0.36743169441090667</v>
      </c>
      <c r="S142" s="255">
        <f t="shared" si="11"/>
        <v>2.7</v>
      </c>
      <c r="T142" s="255">
        <f t="shared" si="11"/>
        <v>2.7</v>
      </c>
      <c r="U142" s="254">
        <v>100100</v>
      </c>
      <c r="V142" s="254" t="s">
        <v>834</v>
      </c>
      <c r="W142" s="254" t="s">
        <v>902</v>
      </c>
      <c r="X142" s="254" t="s">
        <v>446</v>
      </c>
      <c r="Y142" s="254" t="s">
        <v>843</v>
      </c>
      <c r="Z142" s="254" t="s">
        <v>1010</v>
      </c>
      <c r="AA142" s="254" t="s">
        <v>838</v>
      </c>
    </row>
    <row r="143" spans="1:27" ht="14.4" x14ac:dyDescent="0.3">
      <c r="A143" s="253">
        <v>11</v>
      </c>
      <c r="B143" s="254" t="s">
        <v>844</v>
      </c>
      <c r="C143" s="254">
        <v>9294</v>
      </c>
      <c r="D143" s="254" t="s">
        <v>1013</v>
      </c>
      <c r="E143" s="254" t="str">
        <f>_xlfn.XLOOKUP(C143,Clientes!I:I,Clientes!F:F)</f>
        <v>SOLINAG CÍA.LTDA - EQUADOR</v>
      </c>
      <c r="F143" s="254">
        <v>14141</v>
      </c>
      <c r="G143" s="254" t="s">
        <v>832</v>
      </c>
      <c r="H143" s="254" t="s">
        <v>833</v>
      </c>
      <c r="I143" s="255">
        <v>1200</v>
      </c>
      <c r="J143" s="256">
        <v>1200</v>
      </c>
      <c r="K143" s="258">
        <v>9456</v>
      </c>
      <c r="L143" s="258">
        <v>0</v>
      </c>
      <c r="M143" s="258">
        <f t="shared" si="8"/>
        <v>9456</v>
      </c>
      <c r="N143" s="258">
        <v>-1236.3067272727274</v>
      </c>
      <c r="O143" s="258">
        <v>0</v>
      </c>
      <c r="P143" s="258">
        <v>-249.12871459694992</v>
      </c>
      <c r="Q143" s="258">
        <f t="shared" si="9"/>
        <v>7970.5645581303224</v>
      </c>
      <c r="R143" s="259">
        <f t="shared" si="10"/>
        <v>0.84291080352478032</v>
      </c>
      <c r="S143" s="255">
        <f t="shared" si="11"/>
        <v>7.88</v>
      </c>
      <c r="T143" s="255">
        <f t="shared" si="11"/>
        <v>7.88</v>
      </c>
      <c r="U143" s="254">
        <v>100100</v>
      </c>
      <c r="V143" s="254" t="s">
        <v>834</v>
      </c>
      <c r="W143" s="254" t="s">
        <v>1014</v>
      </c>
      <c r="X143" s="254" t="s">
        <v>446</v>
      </c>
      <c r="Y143" s="254" t="s">
        <v>836</v>
      </c>
      <c r="Z143" s="254" t="s">
        <v>1010</v>
      </c>
      <c r="AA143" s="254" t="s">
        <v>838</v>
      </c>
    </row>
    <row r="144" spans="1:27" ht="14.4" x14ac:dyDescent="0.3">
      <c r="A144" s="253">
        <v>11</v>
      </c>
      <c r="B144" s="254" t="s">
        <v>844</v>
      </c>
      <c r="C144" s="254">
        <v>86</v>
      </c>
      <c r="D144" s="254" t="s">
        <v>31</v>
      </c>
      <c r="E144" s="254" t="str">
        <f>_xlfn.XLOOKUP(C144,Clientes!I:I,Clientes!F:F)</f>
        <v>GRUPO ADUBOS ARAGUAIA</v>
      </c>
      <c r="F144" s="254">
        <v>14133</v>
      </c>
      <c r="G144" s="254" t="s">
        <v>867</v>
      </c>
      <c r="H144" s="254" t="s">
        <v>841</v>
      </c>
      <c r="I144" s="255">
        <v>6000</v>
      </c>
      <c r="J144" s="256">
        <v>6000</v>
      </c>
      <c r="K144" s="258">
        <v>16500</v>
      </c>
      <c r="L144" s="258">
        <v>-1155</v>
      </c>
      <c r="M144" s="258">
        <f t="shared" si="8"/>
        <v>15345</v>
      </c>
      <c r="N144" s="258">
        <v>-6969.9813270142186</v>
      </c>
      <c r="O144" s="258">
        <v>-2325.3747759372</v>
      </c>
      <c r="P144" s="258">
        <v>-1.3072621709504233</v>
      </c>
      <c r="Q144" s="258">
        <f t="shared" si="9"/>
        <v>6048.3366348776308</v>
      </c>
      <c r="R144" s="259">
        <f t="shared" si="10"/>
        <v>0.39415683511747351</v>
      </c>
      <c r="S144" s="255">
        <f t="shared" si="11"/>
        <v>2.75</v>
      </c>
      <c r="T144" s="255">
        <f t="shared" si="11"/>
        <v>2.75</v>
      </c>
      <c r="U144" s="254">
        <v>100100</v>
      </c>
      <c r="V144" s="254" t="s">
        <v>834</v>
      </c>
      <c r="W144" s="254" t="s">
        <v>955</v>
      </c>
      <c r="X144" s="254" t="s">
        <v>446</v>
      </c>
      <c r="Y144" s="254" t="s">
        <v>843</v>
      </c>
      <c r="Z144" s="254" t="s">
        <v>1010</v>
      </c>
      <c r="AA144" s="254" t="s">
        <v>838</v>
      </c>
    </row>
    <row r="145" spans="1:27" ht="14.4" x14ac:dyDescent="0.3">
      <c r="A145" s="253">
        <v>11</v>
      </c>
      <c r="B145" s="254" t="s">
        <v>844</v>
      </c>
      <c r="C145" s="254">
        <v>87</v>
      </c>
      <c r="D145" s="254" t="s">
        <v>218</v>
      </c>
      <c r="E145" s="254" t="str">
        <f>_xlfn.XLOOKUP(C145,Clientes!I:I,Clientes!F:F)</f>
        <v>GRUPO ADUBOS ARAGUAIA</v>
      </c>
      <c r="F145" s="254">
        <v>14133</v>
      </c>
      <c r="G145" s="254" t="s">
        <v>867</v>
      </c>
      <c r="H145" s="254" t="s">
        <v>841</v>
      </c>
      <c r="I145" s="255">
        <v>6000</v>
      </c>
      <c r="J145" s="256">
        <v>6000</v>
      </c>
      <c r="K145" s="258">
        <v>16500</v>
      </c>
      <c r="L145" s="258">
        <v>-1155</v>
      </c>
      <c r="M145" s="258">
        <f t="shared" si="8"/>
        <v>15345</v>
      </c>
      <c r="N145" s="258">
        <v>-6969.9813270142186</v>
      </c>
      <c r="O145" s="258">
        <v>-1045.8193200000001</v>
      </c>
      <c r="P145" s="258">
        <v>-0.58793105044071292</v>
      </c>
      <c r="Q145" s="258">
        <f t="shared" si="9"/>
        <v>7328.6114219353403</v>
      </c>
      <c r="R145" s="259">
        <f t="shared" si="10"/>
        <v>0.47758953547965721</v>
      </c>
      <c r="S145" s="255">
        <f t="shared" si="11"/>
        <v>2.75</v>
      </c>
      <c r="T145" s="255">
        <f t="shared" si="11"/>
        <v>2.75</v>
      </c>
      <c r="U145" s="254">
        <v>100100</v>
      </c>
      <c r="V145" s="254" t="s">
        <v>834</v>
      </c>
      <c r="W145" s="254" t="s">
        <v>871</v>
      </c>
      <c r="X145" s="254" t="s">
        <v>446</v>
      </c>
      <c r="Y145" s="254" t="s">
        <v>843</v>
      </c>
      <c r="Z145" s="254" t="s">
        <v>1010</v>
      </c>
      <c r="AA145" s="254" t="s">
        <v>838</v>
      </c>
    </row>
    <row r="146" spans="1:27" ht="14.4" x14ac:dyDescent="0.3">
      <c r="A146" s="253">
        <v>11</v>
      </c>
      <c r="B146" s="254" t="s">
        <v>844</v>
      </c>
      <c r="C146" s="254">
        <v>43</v>
      </c>
      <c r="D146" s="254" t="s">
        <v>674</v>
      </c>
      <c r="E146" s="254" t="str">
        <f>_xlfn.XLOOKUP(C146,Clientes!I:I,Clientes!F:F)</f>
        <v>GRUPO CIBRA</v>
      </c>
      <c r="F146" s="254">
        <v>148</v>
      </c>
      <c r="G146" s="254" t="s">
        <v>875</v>
      </c>
      <c r="H146" s="254" t="s">
        <v>904</v>
      </c>
      <c r="I146" s="255">
        <v>150000</v>
      </c>
      <c r="J146" s="256">
        <v>150000</v>
      </c>
      <c r="K146" s="258">
        <v>355500</v>
      </c>
      <c r="L146" s="258">
        <v>-24885.000000000004</v>
      </c>
      <c r="M146" s="258">
        <f t="shared" si="8"/>
        <v>330615</v>
      </c>
      <c r="N146" s="258">
        <v>-102559.89560439561</v>
      </c>
      <c r="O146" s="258">
        <v>-103812.063264</v>
      </c>
      <c r="P146" s="258">
        <v>-58.360305873122769</v>
      </c>
      <c r="Q146" s="258">
        <f t="shared" si="9"/>
        <v>124184.68082573128</v>
      </c>
      <c r="R146" s="259">
        <f t="shared" si="10"/>
        <v>0.37561720074930444</v>
      </c>
      <c r="S146" s="255">
        <f t="shared" si="11"/>
        <v>2.37</v>
      </c>
      <c r="T146" s="255">
        <f t="shared" si="11"/>
        <v>2.37</v>
      </c>
      <c r="U146" s="254">
        <v>100100</v>
      </c>
      <c r="V146" s="254" t="s">
        <v>834</v>
      </c>
      <c r="W146" s="254" t="s">
        <v>905</v>
      </c>
      <c r="X146" s="254" t="s">
        <v>446</v>
      </c>
      <c r="Y146" s="254" t="s">
        <v>843</v>
      </c>
      <c r="Z146" s="254" t="s">
        <v>1010</v>
      </c>
      <c r="AA146" s="254" t="s">
        <v>838</v>
      </c>
    </row>
    <row r="147" spans="1:27" ht="14.4" x14ac:dyDescent="0.3">
      <c r="A147" s="253">
        <v>11</v>
      </c>
      <c r="B147" s="254" t="s">
        <v>844</v>
      </c>
      <c r="C147" s="254">
        <v>1613</v>
      </c>
      <c r="D147" s="254" t="s">
        <v>211</v>
      </c>
      <c r="E147" s="254" t="str">
        <f>_xlfn.XLOOKUP(C147,Clientes!I:I,Clientes!F:F)</f>
        <v>GRUPO HERINGER</v>
      </c>
      <c r="F147" s="254">
        <v>7384</v>
      </c>
      <c r="G147" s="254" t="s">
        <v>875</v>
      </c>
      <c r="H147" s="254" t="s">
        <v>856</v>
      </c>
      <c r="I147" s="255">
        <v>24000</v>
      </c>
      <c r="J147" s="256">
        <v>24000</v>
      </c>
      <c r="K147" s="258">
        <v>89760</v>
      </c>
      <c r="L147" s="258">
        <v>-6283.2000000000007</v>
      </c>
      <c r="M147" s="258">
        <f t="shared" si="8"/>
        <v>83476.800000000003</v>
      </c>
      <c r="N147" s="258">
        <v>-16575.950769230771</v>
      </c>
      <c r="O147" s="258">
        <v>-17238.78</v>
      </c>
      <c r="P147" s="258">
        <v>-9.6911711611106508</v>
      </c>
      <c r="Q147" s="258">
        <f t="shared" si="9"/>
        <v>49652.378059608127</v>
      </c>
      <c r="R147" s="259">
        <f t="shared" si="10"/>
        <v>0.59480452125151095</v>
      </c>
      <c r="S147" s="255">
        <f t="shared" si="11"/>
        <v>3.74</v>
      </c>
      <c r="T147" s="255">
        <f t="shared" si="11"/>
        <v>3.74</v>
      </c>
      <c r="U147" s="254">
        <v>100100</v>
      </c>
      <c r="V147" s="254" t="s">
        <v>834</v>
      </c>
      <c r="W147" s="254" t="s">
        <v>876</v>
      </c>
      <c r="X147" s="254" t="s">
        <v>446</v>
      </c>
      <c r="Y147" s="254" t="s">
        <v>843</v>
      </c>
      <c r="Z147" s="254" t="s">
        <v>1010</v>
      </c>
      <c r="AA147" s="254" t="s">
        <v>838</v>
      </c>
    </row>
    <row r="148" spans="1:27" ht="14.4" x14ac:dyDescent="0.3">
      <c r="A148" s="253">
        <v>11</v>
      </c>
      <c r="B148" s="254" t="s">
        <v>844</v>
      </c>
      <c r="C148" s="254">
        <v>6477</v>
      </c>
      <c r="D148" s="254" t="s">
        <v>87</v>
      </c>
      <c r="E148" s="254" t="str">
        <f>_xlfn.XLOOKUP(C148,Clientes!I:I,Clientes!F:F)</f>
        <v>GRUPO MOSAIC FERTILIZANTES DO BRASIL</v>
      </c>
      <c r="F148" s="254">
        <v>1043</v>
      </c>
      <c r="G148" s="254" t="s">
        <v>862</v>
      </c>
      <c r="H148" s="254" t="s">
        <v>860</v>
      </c>
      <c r="I148" s="255">
        <v>15000</v>
      </c>
      <c r="J148" s="256">
        <v>15000</v>
      </c>
      <c r="K148" s="258">
        <v>32850</v>
      </c>
      <c r="L148" s="258">
        <v>-3942</v>
      </c>
      <c r="M148" s="258">
        <f t="shared" si="8"/>
        <v>28908</v>
      </c>
      <c r="N148" s="258">
        <v>-5853.0458677685947</v>
      </c>
      <c r="O148" s="258">
        <v>-10935.990696618001</v>
      </c>
      <c r="P148" s="258">
        <v>-6.1479152038159759</v>
      </c>
      <c r="Q148" s="258">
        <f t="shared" si="9"/>
        <v>12112.815520409587</v>
      </c>
      <c r="R148" s="259">
        <f t="shared" si="10"/>
        <v>0.41901257507989442</v>
      </c>
      <c r="S148" s="255">
        <f t="shared" si="11"/>
        <v>2.19</v>
      </c>
      <c r="T148" s="255">
        <f t="shared" si="11"/>
        <v>2.19</v>
      </c>
      <c r="U148" s="254">
        <v>100100</v>
      </c>
      <c r="V148" s="254" t="s">
        <v>834</v>
      </c>
      <c r="W148" s="254" t="s">
        <v>864</v>
      </c>
      <c r="X148" s="254" t="s">
        <v>446</v>
      </c>
      <c r="Y148" s="254" t="s">
        <v>843</v>
      </c>
      <c r="Z148" s="254" t="s">
        <v>1010</v>
      </c>
      <c r="AA148" s="254" t="s">
        <v>838</v>
      </c>
    </row>
    <row r="149" spans="1:27" ht="14.4" x14ac:dyDescent="0.3">
      <c r="A149" s="253">
        <v>11</v>
      </c>
      <c r="B149" s="254" t="s">
        <v>844</v>
      </c>
      <c r="C149" s="254">
        <v>7024</v>
      </c>
      <c r="D149" s="254" t="s">
        <v>721</v>
      </c>
      <c r="E149" s="254" t="str">
        <f>_xlfn.XLOOKUP(C149,Clientes!I:I,Clientes!F:F)</f>
        <v>GRUPO MOSAIC FERTILIZANTES DO BRASIL</v>
      </c>
      <c r="F149" s="254">
        <v>1043</v>
      </c>
      <c r="G149" s="254" t="s">
        <v>840</v>
      </c>
      <c r="H149" s="254" t="s">
        <v>860</v>
      </c>
      <c r="I149" s="255">
        <v>30000</v>
      </c>
      <c r="J149" s="256">
        <v>30000</v>
      </c>
      <c r="K149" s="258">
        <v>68400</v>
      </c>
      <c r="L149" s="258">
        <v>-4788.0000000000009</v>
      </c>
      <c r="M149" s="258">
        <f t="shared" si="8"/>
        <v>63612</v>
      </c>
      <c r="N149" s="258">
        <v>-11706.091735537189</v>
      </c>
      <c r="O149" s="258">
        <v>-21002.580299999998</v>
      </c>
      <c r="P149" s="258">
        <v>-11.807076864619811</v>
      </c>
      <c r="Q149" s="258">
        <f t="shared" si="9"/>
        <v>30891.520887598188</v>
      </c>
      <c r="R149" s="259">
        <f t="shared" si="10"/>
        <v>0.48562411003581379</v>
      </c>
      <c r="S149" s="255">
        <f t="shared" si="11"/>
        <v>2.2799999999999998</v>
      </c>
      <c r="T149" s="255">
        <f t="shared" si="11"/>
        <v>2.2799999999999998</v>
      </c>
      <c r="U149" s="254">
        <v>100100</v>
      </c>
      <c r="V149" s="254" t="s">
        <v>834</v>
      </c>
      <c r="W149" s="254" t="s">
        <v>874</v>
      </c>
      <c r="X149" s="254" t="s">
        <v>446</v>
      </c>
      <c r="Y149" s="254" t="s">
        <v>843</v>
      </c>
      <c r="Z149" s="254" t="s">
        <v>1010</v>
      </c>
      <c r="AA149" s="254" t="s">
        <v>838</v>
      </c>
    </row>
    <row r="150" spans="1:27" ht="14.4" x14ac:dyDescent="0.3">
      <c r="A150" s="253">
        <v>11</v>
      </c>
      <c r="B150" s="254" t="s">
        <v>844</v>
      </c>
      <c r="C150" s="254">
        <v>7102</v>
      </c>
      <c r="D150" s="254" t="s">
        <v>906</v>
      </c>
      <c r="E150" s="254" t="str">
        <f>_xlfn.XLOOKUP(C150,Clientes!I:I,Clientes!F:F)</f>
        <v>GRUPO MOSAIC FERTILIZANTES DO BRASIL</v>
      </c>
      <c r="F150" s="254">
        <v>1043</v>
      </c>
      <c r="G150" s="254" t="s">
        <v>840</v>
      </c>
      <c r="H150" s="254" t="s">
        <v>860</v>
      </c>
      <c r="I150" s="255">
        <v>30000</v>
      </c>
      <c r="J150" s="256">
        <v>30000</v>
      </c>
      <c r="K150" s="258">
        <v>61200</v>
      </c>
      <c r="L150" s="258">
        <v>-4284</v>
      </c>
      <c r="M150" s="258">
        <f t="shared" si="8"/>
        <v>56916</v>
      </c>
      <c r="N150" s="258">
        <v>-11706.091735537189</v>
      </c>
      <c r="O150" s="258">
        <v>-11980.9521</v>
      </c>
      <c r="P150" s="258">
        <v>-6.735363956971903</v>
      </c>
      <c r="Q150" s="258">
        <f t="shared" si="9"/>
        <v>33222.220800505835</v>
      </c>
      <c r="R150" s="259">
        <f t="shared" si="10"/>
        <v>0.58370617753366072</v>
      </c>
      <c r="S150" s="255">
        <f t="shared" si="11"/>
        <v>2.04</v>
      </c>
      <c r="T150" s="255">
        <f t="shared" si="11"/>
        <v>2.04</v>
      </c>
      <c r="U150" s="254">
        <v>100100</v>
      </c>
      <c r="V150" s="254" t="s">
        <v>834</v>
      </c>
      <c r="W150" s="254" t="s">
        <v>861</v>
      </c>
      <c r="X150" s="254" t="s">
        <v>446</v>
      </c>
      <c r="Y150" s="254" t="s">
        <v>843</v>
      </c>
      <c r="Z150" s="254" t="s">
        <v>1010</v>
      </c>
      <c r="AA150" s="254" t="s">
        <v>838</v>
      </c>
    </row>
    <row r="151" spans="1:27" ht="14.4" x14ac:dyDescent="0.3">
      <c r="A151" s="253">
        <v>11</v>
      </c>
      <c r="B151" s="254" t="s">
        <v>844</v>
      </c>
      <c r="C151" s="254">
        <v>12323</v>
      </c>
      <c r="D151" s="254" t="s">
        <v>235</v>
      </c>
      <c r="E151" s="254" t="str">
        <f>_xlfn.XLOOKUP(C151,Clientes!I:I,Clientes!F:F)</f>
        <v>TERA FERTILIZANTES - PATOS DE MINAS</v>
      </c>
      <c r="F151" s="254">
        <v>14133</v>
      </c>
      <c r="G151" s="254" t="s">
        <v>855</v>
      </c>
      <c r="H151" s="254" t="s">
        <v>841</v>
      </c>
      <c r="I151" s="255">
        <v>5000</v>
      </c>
      <c r="J151" s="256">
        <v>5000</v>
      </c>
      <c r="K151" s="258">
        <v>15000</v>
      </c>
      <c r="L151" s="258">
        <v>-2700</v>
      </c>
      <c r="M151" s="258">
        <f t="shared" si="8"/>
        <v>12300</v>
      </c>
      <c r="N151" s="258">
        <v>-5808.3177725118494</v>
      </c>
      <c r="O151" s="258">
        <v>-1101.7987343999998</v>
      </c>
      <c r="P151" s="258">
        <v>-0.61940114788665401</v>
      </c>
      <c r="Q151" s="258">
        <f t="shared" si="9"/>
        <v>5389.2640919402647</v>
      </c>
      <c r="R151" s="259">
        <f t="shared" si="10"/>
        <v>0.43815155219026541</v>
      </c>
      <c r="S151" s="255">
        <f t="shared" si="11"/>
        <v>3</v>
      </c>
      <c r="T151" s="255">
        <f t="shared" si="11"/>
        <v>3</v>
      </c>
      <c r="U151" s="254">
        <v>100100</v>
      </c>
      <c r="V151" s="254" t="s">
        <v>834</v>
      </c>
      <c r="W151" s="254" t="s">
        <v>952</v>
      </c>
      <c r="X151" s="254" t="s">
        <v>446</v>
      </c>
      <c r="Y151" s="254" t="s">
        <v>843</v>
      </c>
      <c r="Z151" s="254" t="s">
        <v>1010</v>
      </c>
      <c r="AA151" s="254" t="s">
        <v>838</v>
      </c>
    </row>
    <row r="152" spans="1:27" ht="14.4" x14ac:dyDescent="0.3">
      <c r="A152" s="253">
        <v>11</v>
      </c>
      <c r="B152" s="254" t="s">
        <v>844</v>
      </c>
      <c r="C152" s="254">
        <v>97</v>
      </c>
      <c r="D152" s="254" t="s">
        <v>300</v>
      </c>
      <c r="E152" s="254" t="str">
        <f>_xlfn.XLOOKUP(C152,Clientes!I:I,Clientes!F:F)</f>
        <v>FECOAGRO FEDERACAO DAS COOPERATIVAS</v>
      </c>
      <c r="F152" s="254">
        <v>148</v>
      </c>
      <c r="G152" s="254" t="s">
        <v>893</v>
      </c>
      <c r="H152" s="254" t="s">
        <v>904</v>
      </c>
      <c r="I152" s="255">
        <v>32000</v>
      </c>
      <c r="J152" s="256">
        <v>32000</v>
      </c>
      <c r="K152" s="258">
        <v>112000</v>
      </c>
      <c r="L152" s="258">
        <v>-13440</v>
      </c>
      <c r="M152" s="258">
        <f t="shared" si="8"/>
        <v>98560</v>
      </c>
      <c r="N152" s="258">
        <v>-21879.444395604398</v>
      </c>
      <c r="O152" s="258">
        <v>-17928.331200000001</v>
      </c>
      <c r="P152" s="258">
        <v>-10.078818007555078</v>
      </c>
      <c r="Q152" s="258">
        <f t="shared" si="9"/>
        <v>58742.145586388047</v>
      </c>
      <c r="R152" s="259">
        <f t="shared" si="10"/>
        <v>0.59600391219955406</v>
      </c>
      <c r="S152" s="255">
        <f t="shared" si="11"/>
        <v>3.5</v>
      </c>
      <c r="T152" s="255">
        <f t="shared" si="11"/>
        <v>3.5</v>
      </c>
      <c r="U152" s="254">
        <v>100100</v>
      </c>
      <c r="V152" s="254" t="s">
        <v>834</v>
      </c>
      <c r="W152" s="254" t="s">
        <v>894</v>
      </c>
      <c r="X152" s="254" t="s">
        <v>446</v>
      </c>
      <c r="Y152" s="254" t="s">
        <v>843</v>
      </c>
      <c r="Z152" s="254" t="s">
        <v>1010</v>
      </c>
      <c r="AA152" s="254" t="s">
        <v>838</v>
      </c>
    </row>
    <row r="153" spans="1:27" ht="14.4" x14ac:dyDescent="0.3">
      <c r="A153" s="253">
        <v>11</v>
      </c>
      <c r="B153" s="254" t="s">
        <v>844</v>
      </c>
      <c r="C153" s="254">
        <v>86</v>
      </c>
      <c r="D153" s="254" t="s">
        <v>31</v>
      </c>
      <c r="E153" s="254" t="str">
        <f>_xlfn.XLOOKUP(C153,Clientes!I:I,Clientes!F:F)</f>
        <v>GRUPO ADUBOS ARAGUAIA</v>
      </c>
      <c r="F153" s="254">
        <v>1</v>
      </c>
      <c r="G153" s="254" t="s">
        <v>867</v>
      </c>
      <c r="H153" s="254" t="s">
        <v>873</v>
      </c>
      <c r="I153" s="255">
        <v>30000</v>
      </c>
      <c r="J153" s="256">
        <v>30000</v>
      </c>
      <c r="K153" s="258">
        <v>63600</v>
      </c>
      <c r="L153" s="258">
        <v>-4452</v>
      </c>
      <c r="M153" s="258">
        <f t="shared" si="8"/>
        <v>59148</v>
      </c>
      <c r="N153" s="258">
        <v>-18500.726666666666</v>
      </c>
      <c r="O153" s="258">
        <v>-7470.1379999999999</v>
      </c>
      <c r="P153" s="258">
        <v>-4.1995075031479487</v>
      </c>
      <c r="Q153" s="258">
        <f t="shared" si="9"/>
        <v>33172.935825830187</v>
      </c>
      <c r="R153" s="259">
        <f t="shared" si="10"/>
        <v>0.56084628095337441</v>
      </c>
      <c r="S153" s="255">
        <f t="shared" si="11"/>
        <v>2.12</v>
      </c>
      <c r="T153" s="255">
        <f t="shared" si="11"/>
        <v>2.12</v>
      </c>
      <c r="U153" s="254">
        <v>100100</v>
      </c>
      <c r="V153" s="254" t="s">
        <v>834</v>
      </c>
      <c r="W153" s="254" t="s">
        <v>955</v>
      </c>
      <c r="X153" s="254" t="s">
        <v>446</v>
      </c>
      <c r="Y153" s="254" t="s">
        <v>843</v>
      </c>
      <c r="Z153" s="254" t="s">
        <v>1010</v>
      </c>
      <c r="AA153" s="254" t="s">
        <v>838</v>
      </c>
    </row>
    <row r="154" spans="1:27" ht="14.4" x14ac:dyDescent="0.3">
      <c r="A154" s="253">
        <v>11</v>
      </c>
      <c r="B154" s="254" t="s">
        <v>844</v>
      </c>
      <c r="C154" s="254">
        <v>205</v>
      </c>
      <c r="D154" s="254" t="s">
        <v>859</v>
      </c>
      <c r="E154" s="254" t="str">
        <f>_xlfn.XLOOKUP(C154,Clientes!I:I,Clientes!F:F)</f>
        <v>GRUPO FERTIPAR FERTILIZANTES MATO GROSSO</v>
      </c>
      <c r="F154" s="254">
        <v>1043</v>
      </c>
      <c r="G154" s="254" t="s">
        <v>840</v>
      </c>
      <c r="H154" s="254" t="s">
        <v>860</v>
      </c>
      <c r="I154" s="255">
        <v>30000</v>
      </c>
      <c r="J154" s="256">
        <v>30000</v>
      </c>
      <c r="K154" s="258">
        <v>54300</v>
      </c>
      <c r="L154" s="258">
        <v>-3801.0000000000005</v>
      </c>
      <c r="M154" s="258">
        <f t="shared" si="8"/>
        <v>50499</v>
      </c>
      <c r="N154" s="258">
        <v>-11706.091735537189</v>
      </c>
      <c r="O154" s="258">
        <v>-11980.9521</v>
      </c>
      <c r="P154" s="258">
        <v>-6.735363956971903</v>
      </c>
      <c r="Q154" s="258">
        <f t="shared" si="9"/>
        <v>26805.220800505835</v>
      </c>
      <c r="R154" s="259">
        <f t="shared" si="10"/>
        <v>0.53080696252412596</v>
      </c>
      <c r="S154" s="255">
        <f t="shared" si="11"/>
        <v>1.81</v>
      </c>
      <c r="T154" s="255">
        <f t="shared" si="11"/>
        <v>1.81</v>
      </c>
      <c r="U154" s="254">
        <v>100100</v>
      </c>
      <c r="V154" s="254" t="s">
        <v>834</v>
      </c>
      <c r="W154" s="254" t="s">
        <v>861</v>
      </c>
      <c r="X154" s="254" t="s">
        <v>446</v>
      </c>
      <c r="Y154" s="254" t="s">
        <v>843</v>
      </c>
      <c r="Z154" s="254" t="s">
        <v>1010</v>
      </c>
      <c r="AA154" s="254" t="s">
        <v>838</v>
      </c>
    </row>
    <row r="155" spans="1:27" ht="14.4" x14ac:dyDescent="0.3">
      <c r="A155" s="253">
        <v>11</v>
      </c>
      <c r="B155" s="254" t="s">
        <v>844</v>
      </c>
      <c r="C155" s="254">
        <v>9295</v>
      </c>
      <c r="D155" s="254" t="s">
        <v>333</v>
      </c>
      <c r="E155" s="254" t="str">
        <f>_xlfn.XLOOKUP(C155,Clientes!I:I,Clientes!F:F)</f>
        <v>TECNOMYL S.A. - PARAGUAY</v>
      </c>
      <c r="F155" s="254">
        <v>14146</v>
      </c>
      <c r="G155" s="254" t="s">
        <v>832</v>
      </c>
      <c r="H155" s="254" t="s">
        <v>1011</v>
      </c>
      <c r="I155" s="255">
        <v>26400</v>
      </c>
      <c r="J155" s="256">
        <v>26400</v>
      </c>
      <c r="K155" s="258">
        <v>135722.4</v>
      </c>
      <c r="L155" s="258">
        <v>0</v>
      </c>
      <c r="M155" s="258">
        <f t="shared" si="8"/>
        <v>135722.4</v>
      </c>
      <c r="N155" s="258">
        <v>-53735.933999999994</v>
      </c>
      <c r="O155" s="258">
        <v>-23805.056000000008</v>
      </c>
      <c r="P155" s="258">
        <v>-5494.2142732738166</v>
      </c>
      <c r="Q155" s="258">
        <f t="shared" si="9"/>
        <v>52687.195726726175</v>
      </c>
      <c r="R155" s="259">
        <f t="shared" si="10"/>
        <v>0.3881982320289516</v>
      </c>
      <c r="S155" s="255">
        <f t="shared" si="11"/>
        <v>5.141</v>
      </c>
      <c r="T155" s="255">
        <f t="shared" si="11"/>
        <v>5.141</v>
      </c>
      <c r="U155" s="254">
        <v>100100</v>
      </c>
      <c r="V155" s="254" t="s">
        <v>834</v>
      </c>
      <c r="W155" s="254" t="s">
        <v>1012</v>
      </c>
      <c r="X155" s="254" t="s">
        <v>446</v>
      </c>
      <c r="Y155" s="254" t="s">
        <v>836</v>
      </c>
      <c r="Z155" s="254" t="s">
        <v>1010</v>
      </c>
      <c r="AA155" s="254" t="s">
        <v>838</v>
      </c>
    </row>
    <row r="156" spans="1:27" ht="14.4" x14ac:dyDescent="0.3">
      <c r="A156" s="253">
        <v>11</v>
      </c>
      <c r="B156" s="254" t="s">
        <v>844</v>
      </c>
      <c r="C156" s="254">
        <v>7022</v>
      </c>
      <c r="D156" s="254" t="s">
        <v>89</v>
      </c>
      <c r="E156" s="254" t="str">
        <f>_xlfn.XLOOKUP(C156,Clientes!I:I,Clientes!F:F)</f>
        <v>STRATOS - ROSARIO DO CATETE</v>
      </c>
      <c r="F156" s="254">
        <v>1043</v>
      </c>
      <c r="G156" s="254" t="s">
        <v>887</v>
      </c>
      <c r="H156" s="254" t="s">
        <v>860</v>
      </c>
      <c r="I156" s="255">
        <v>150000</v>
      </c>
      <c r="J156" s="256">
        <v>150000</v>
      </c>
      <c r="K156" s="258">
        <v>361500</v>
      </c>
      <c r="L156" s="258">
        <v>-25305.000000000004</v>
      </c>
      <c r="M156" s="258">
        <f t="shared" si="8"/>
        <v>336195</v>
      </c>
      <c r="N156" s="258">
        <v>-58530.458677685951</v>
      </c>
      <c r="O156" s="258">
        <v>-126057.50539200001</v>
      </c>
      <c r="P156" s="258">
        <v>-70.866085703077644</v>
      </c>
      <c r="Q156" s="258">
        <f t="shared" si="9"/>
        <v>151536.16984461097</v>
      </c>
      <c r="R156" s="259">
        <f t="shared" si="10"/>
        <v>0.45073891594048382</v>
      </c>
      <c r="S156" s="255">
        <f t="shared" si="11"/>
        <v>2.41</v>
      </c>
      <c r="T156" s="255">
        <f t="shared" si="11"/>
        <v>2.41</v>
      </c>
      <c r="U156" s="254">
        <v>100100</v>
      </c>
      <c r="V156" s="254" t="s">
        <v>834</v>
      </c>
      <c r="W156" s="254" t="s">
        <v>888</v>
      </c>
      <c r="X156" s="254" t="s">
        <v>446</v>
      </c>
      <c r="Y156" s="254" t="s">
        <v>843</v>
      </c>
      <c r="Z156" s="254" t="s">
        <v>1010</v>
      </c>
      <c r="AA156" s="254" t="s">
        <v>838</v>
      </c>
    </row>
    <row r="157" spans="1:27" ht="14.4" x14ac:dyDescent="0.3">
      <c r="A157" s="253">
        <v>11</v>
      </c>
      <c r="B157" s="254" t="s">
        <v>844</v>
      </c>
      <c r="C157" s="254">
        <v>1152</v>
      </c>
      <c r="D157" s="254" t="s">
        <v>317</v>
      </c>
      <c r="E157" s="254" t="str">
        <f>_xlfn.XLOOKUP(C157,Clientes!I:I,Clientes!F:F)</f>
        <v>ADUBOS BOA SAFRA - ITUMBIARA</v>
      </c>
      <c r="F157" s="254">
        <v>1043</v>
      </c>
      <c r="G157" s="254" t="s">
        <v>867</v>
      </c>
      <c r="H157" s="254" t="s">
        <v>860</v>
      </c>
      <c r="I157" s="255">
        <v>15000</v>
      </c>
      <c r="J157" s="256">
        <v>15000</v>
      </c>
      <c r="K157" s="258">
        <v>30000</v>
      </c>
      <c r="L157" s="258">
        <v>-2100</v>
      </c>
      <c r="M157" s="258">
        <f t="shared" si="8"/>
        <v>27900</v>
      </c>
      <c r="N157" s="258">
        <v>-5853.0458677685947</v>
      </c>
      <c r="O157" s="258">
        <v>-2873.13</v>
      </c>
      <c r="P157" s="258">
        <v>-1.6151951935184421</v>
      </c>
      <c r="Q157" s="258">
        <f t="shared" si="9"/>
        <v>19172.208937037885</v>
      </c>
      <c r="R157" s="259">
        <f t="shared" si="10"/>
        <v>0.68717594756408196</v>
      </c>
      <c r="S157" s="255">
        <f t="shared" si="11"/>
        <v>2</v>
      </c>
      <c r="T157" s="255">
        <f t="shared" si="11"/>
        <v>2</v>
      </c>
      <c r="U157" s="254">
        <v>100100</v>
      </c>
      <c r="V157" s="254" t="s">
        <v>834</v>
      </c>
      <c r="W157" s="254" t="s">
        <v>1015</v>
      </c>
      <c r="X157" s="254" t="s">
        <v>446</v>
      </c>
      <c r="Y157" s="254" t="s">
        <v>843</v>
      </c>
      <c r="Z157" s="254" t="s">
        <v>1010</v>
      </c>
      <c r="AA157" s="254" t="s">
        <v>838</v>
      </c>
    </row>
    <row r="158" spans="1:27" ht="14.4" x14ac:dyDescent="0.3">
      <c r="A158" s="253">
        <v>11</v>
      </c>
      <c r="B158" s="254" t="s">
        <v>844</v>
      </c>
      <c r="C158" s="254">
        <v>7443</v>
      </c>
      <c r="D158" s="254" t="s">
        <v>1016</v>
      </c>
      <c r="E158" s="254" t="str">
        <f>_xlfn.XLOOKUP(C158,Clientes!I:I,Clientes!F:F)</f>
        <v>GRUPO MOSAIC FERTILIZANTES DO BRASIL</v>
      </c>
      <c r="F158" s="254">
        <v>1043</v>
      </c>
      <c r="G158" s="254" t="s">
        <v>867</v>
      </c>
      <c r="H158" s="254" t="s">
        <v>860</v>
      </c>
      <c r="I158" s="255">
        <v>30000</v>
      </c>
      <c r="J158" s="256">
        <v>30000</v>
      </c>
      <c r="K158" s="258">
        <v>72000</v>
      </c>
      <c r="L158" s="258">
        <v>-5040.0000000000009</v>
      </c>
      <c r="M158" s="258">
        <f t="shared" si="8"/>
        <v>66960</v>
      </c>
      <c r="N158" s="258">
        <v>-11706.091735537189</v>
      </c>
      <c r="O158" s="258">
        <v>-2442.1605</v>
      </c>
      <c r="P158" s="258">
        <v>-1.3729159144906757</v>
      </c>
      <c r="Q158" s="258">
        <f t="shared" si="9"/>
        <v>52810.374848548316</v>
      </c>
      <c r="R158" s="259">
        <f t="shared" si="10"/>
        <v>0.78868540693769884</v>
      </c>
      <c r="S158" s="255">
        <f t="shared" si="11"/>
        <v>2.4</v>
      </c>
      <c r="T158" s="255">
        <f t="shared" si="11"/>
        <v>2.4</v>
      </c>
      <c r="U158" s="254">
        <v>100100</v>
      </c>
      <c r="V158" s="254" t="s">
        <v>834</v>
      </c>
      <c r="W158" s="254" t="s">
        <v>871</v>
      </c>
      <c r="X158" s="254" t="s">
        <v>446</v>
      </c>
      <c r="Y158" s="254" t="s">
        <v>843</v>
      </c>
      <c r="Z158" s="254" t="s">
        <v>1010</v>
      </c>
      <c r="AA158" s="254" t="s">
        <v>838</v>
      </c>
    </row>
    <row r="159" spans="1:27" ht="14.4" x14ac:dyDescent="0.3">
      <c r="A159" s="253">
        <v>11</v>
      </c>
      <c r="B159" s="254" t="s">
        <v>844</v>
      </c>
      <c r="C159" s="254">
        <v>7479</v>
      </c>
      <c r="D159" s="254" t="s">
        <v>1017</v>
      </c>
      <c r="E159" s="254" t="str">
        <f>_xlfn.XLOOKUP(C159,Clientes!I:I,Clientes!F:F)</f>
        <v>GRUPO MOSAIC FERTILIZANTES DO BRASIL</v>
      </c>
      <c r="F159" s="254">
        <v>1043</v>
      </c>
      <c r="G159" s="254" t="s">
        <v>908</v>
      </c>
      <c r="H159" s="254" t="s">
        <v>860</v>
      </c>
      <c r="I159" s="255">
        <v>30000</v>
      </c>
      <c r="J159" s="256">
        <v>30000</v>
      </c>
      <c r="K159" s="258">
        <v>64800</v>
      </c>
      <c r="L159" s="258">
        <v>-7776</v>
      </c>
      <c r="M159" s="258">
        <f t="shared" si="8"/>
        <v>57024</v>
      </c>
      <c r="N159" s="258">
        <v>-11706.091735537189</v>
      </c>
      <c r="O159" s="258">
        <v>0</v>
      </c>
      <c r="P159" s="258">
        <v>0</v>
      </c>
      <c r="Q159" s="258">
        <f t="shared" si="9"/>
        <v>45317.908264462807</v>
      </c>
      <c r="R159" s="259">
        <f t="shared" si="10"/>
        <v>0.79471640474997907</v>
      </c>
      <c r="S159" s="255">
        <f t="shared" si="11"/>
        <v>2.16</v>
      </c>
      <c r="T159" s="255">
        <f t="shared" si="11"/>
        <v>2.16</v>
      </c>
      <c r="U159" s="254">
        <v>100100</v>
      </c>
      <c r="V159" s="254" t="s">
        <v>834</v>
      </c>
      <c r="W159" s="254" t="s">
        <v>1018</v>
      </c>
      <c r="X159" s="254" t="s">
        <v>446</v>
      </c>
      <c r="Y159" s="254" t="s">
        <v>843</v>
      </c>
      <c r="Z159" s="254" t="s">
        <v>1010</v>
      </c>
      <c r="AA159" s="254" t="s">
        <v>838</v>
      </c>
    </row>
    <row r="160" spans="1:27" ht="14.4" x14ac:dyDescent="0.3">
      <c r="A160" s="253">
        <v>11</v>
      </c>
      <c r="B160" s="254" t="s">
        <v>844</v>
      </c>
      <c r="C160" s="254">
        <v>2992</v>
      </c>
      <c r="D160" s="254" t="s">
        <v>77</v>
      </c>
      <c r="E160" s="254" t="str">
        <f>_xlfn.XLOOKUP(C160,Clientes!I:I,Clientes!F:F)</f>
        <v>GRUPO SUPERBAC</v>
      </c>
      <c r="F160" s="254">
        <v>1043</v>
      </c>
      <c r="G160" s="254" t="s">
        <v>862</v>
      </c>
      <c r="H160" s="254" t="s">
        <v>860</v>
      </c>
      <c r="I160" s="255">
        <v>30000</v>
      </c>
      <c r="J160" s="256">
        <v>30000</v>
      </c>
      <c r="K160" s="258">
        <v>110400</v>
      </c>
      <c r="L160" s="258">
        <v>-13248</v>
      </c>
      <c r="M160" s="258">
        <f t="shared" si="8"/>
        <v>97152</v>
      </c>
      <c r="N160" s="258">
        <v>-11706.091735537189</v>
      </c>
      <c r="O160" s="258">
        <v>-11260.9695744</v>
      </c>
      <c r="P160" s="258">
        <v>-6.3306094506438253</v>
      </c>
      <c r="Q160" s="258">
        <f t="shared" si="9"/>
        <v>74178.608080612161</v>
      </c>
      <c r="R160" s="259">
        <f t="shared" si="10"/>
        <v>0.76353145669273059</v>
      </c>
      <c r="S160" s="255">
        <f t="shared" si="11"/>
        <v>3.68</v>
      </c>
      <c r="T160" s="255">
        <f t="shared" si="11"/>
        <v>3.68</v>
      </c>
      <c r="U160" s="254">
        <v>100100</v>
      </c>
      <c r="V160" s="254" t="s">
        <v>834</v>
      </c>
      <c r="W160" s="254" t="s">
        <v>1019</v>
      </c>
      <c r="X160" s="254" t="s">
        <v>446</v>
      </c>
      <c r="Y160" s="254" t="s">
        <v>843</v>
      </c>
      <c r="Z160" s="254" t="s">
        <v>1010</v>
      </c>
      <c r="AA160" s="254" t="s">
        <v>838</v>
      </c>
    </row>
    <row r="161" spans="1:27" ht="14.4" x14ac:dyDescent="0.3">
      <c r="A161" s="253">
        <v>11</v>
      </c>
      <c r="B161" s="254" t="s">
        <v>844</v>
      </c>
      <c r="C161" s="254">
        <v>2680</v>
      </c>
      <c r="D161" s="254" t="s">
        <v>313</v>
      </c>
      <c r="E161" s="254" t="str">
        <f>_xlfn.XLOOKUP(C161,Clientes!I:I,Clientes!F:F)</f>
        <v>FERMAGRI S.A - EQUADOR</v>
      </c>
      <c r="F161" s="254">
        <v>14141</v>
      </c>
      <c r="G161" s="254" t="s">
        <v>832</v>
      </c>
      <c r="H161" s="254" t="s">
        <v>833</v>
      </c>
      <c r="I161" s="255">
        <v>12000</v>
      </c>
      <c r="J161" s="256">
        <v>12000</v>
      </c>
      <c r="K161" s="258">
        <v>69960</v>
      </c>
      <c r="L161" s="258">
        <v>0</v>
      </c>
      <c r="M161" s="258">
        <f t="shared" si="8"/>
        <v>69960</v>
      </c>
      <c r="N161" s="258">
        <v>-12363.067272727272</v>
      </c>
      <c r="O161" s="258">
        <v>0</v>
      </c>
      <c r="P161" s="258">
        <v>-2491.2871459694993</v>
      </c>
      <c r="Q161" s="258">
        <f t="shared" si="9"/>
        <v>55105.645581303223</v>
      </c>
      <c r="R161" s="259">
        <f t="shared" si="10"/>
        <v>0.78767360750862236</v>
      </c>
      <c r="S161" s="255">
        <f t="shared" si="11"/>
        <v>5.83</v>
      </c>
      <c r="T161" s="255">
        <f t="shared" si="11"/>
        <v>5.83</v>
      </c>
      <c r="U161" s="254">
        <v>100100</v>
      </c>
      <c r="V161" s="254" t="s">
        <v>834</v>
      </c>
      <c r="W161" s="254" t="s">
        <v>946</v>
      </c>
      <c r="X161" s="254" t="s">
        <v>446</v>
      </c>
      <c r="Y161" s="254" t="s">
        <v>836</v>
      </c>
      <c r="Z161" s="254" t="s">
        <v>1010</v>
      </c>
      <c r="AA161" s="254" t="s">
        <v>838</v>
      </c>
    </row>
    <row r="162" spans="1:27" ht="14.4" x14ac:dyDescent="0.3">
      <c r="A162" s="253">
        <v>11</v>
      </c>
      <c r="B162" s="254" t="s">
        <v>844</v>
      </c>
      <c r="C162" s="254">
        <v>3232</v>
      </c>
      <c r="D162" s="254" t="s">
        <v>153</v>
      </c>
      <c r="E162" s="254" t="str">
        <f>_xlfn.XLOOKUP(C162,Clientes!I:I,Clientes!F:F)</f>
        <v>GRUPO FERTILIZ TOCANTINS</v>
      </c>
      <c r="F162" s="254">
        <v>7384</v>
      </c>
      <c r="G162" s="254" t="s">
        <v>855</v>
      </c>
      <c r="H162" s="254" t="s">
        <v>856</v>
      </c>
      <c r="I162" s="255">
        <v>60000</v>
      </c>
      <c r="J162" s="256">
        <v>60000</v>
      </c>
      <c r="K162" s="258">
        <v>112200</v>
      </c>
      <c r="L162" s="258">
        <v>-20196</v>
      </c>
      <c r="M162" s="258">
        <f t="shared" si="8"/>
        <v>92004</v>
      </c>
      <c r="N162" s="258">
        <v>-41439.876923076925</v>
      </c>
      <c r="O162" s="258">
        <v>-3447.7559999999999</v>
      </c>
      <c r="P162" s="258">
        <v>-1.9382342322221302</v>
      </c>
      <c r="Q162" s="258">
        <f t="shared" si="9"/>
        <v>47114.428842690853</v>
      </c>
      <c r="R162" s="259">
        <f t="shared" si="10"/>
        <v>0.51209109215567639</v>
      </c>
      <c r="S162" s="255">
        <f t="shared" si="11"/>
        <v>1.87</v>
      </c>
      <c r="T162" s="255">
        <f t="shared" si="11"/>
        <v>1.87</v>
      </c>
      <c r="U162" s="254">
        <v>100100</v>
      </c>
      <c r="V162" s="254" t="s">
        <v>834</v>
      </c>
      <c r="W162" s="254" t="s">
        <v>857</v>
      </c>
      <c r="X162" s="254" t="s">
        <v>446</v>
      </c>
      <c r="Y162" s="254" t="s">
        <v>843</v>
      </c>
      <c r="Z162" s="254" t="s">
        <v>1010</v>
      </c>
      <c r="AA162" s="254" t="s">
        <v>838</v>
      </c>
    </row>
    <row r="163" spans="1:27" ht="14.4" x14ac:dyDescent="0.3">
      <c r="A163" s="253">
        <v>11</v>
      </c>
      <c r="B163" s="254" t="s">
        <v>844</v>
      </c>
      <c r="C163" s="254">
        <v>833</v>
      </c>
      <c r="D163" s="254" t="s">
        <v>213</v>
      </c>
      <c r="E163" s="254" t="str">
        <f>_xlfn.XLOOKUP(C163,Clientes!I:I,Clientes!F:F)</f>
        <v>TERRENA - PATOS DE MINAS</v>
      </c>
      <c r="F163" s="254">
        <v>14133</v>
      </c>
      <c r="G163" s="254" t="s">
        <v>855</v>
      </c>
      <c r="H163" s="254" t="s">
        <v>841</v>
      </c>
      <c r="I163" s="255">
        <v>6000</v>
      </c>
      <c r="J163" s="256">
        <v>6000</v>
      </c>
      <c r="K163" s="258">
        <v>15600</v>
      </c>
      <c r="L163" s="258">
        <v>0</v>
      </c>
      <c r="M163" s="258">
        <f t="shared" si="8"/>
        <v>15600</v>
      </c>
      <c r="N163" s="258">
        <v>-6969.9813270142186</v>
      </c>
      <c r="O163" s="258">
        <v>-1322.1584812799999</v>
      </c>
      <c r="P163" s="258">
        <v>-0.74328137746398493</v>
      </c>
      <c r="Q163" s="258">
        <f t="shared" si="9"/>
        <v>7307.1169103283173</v>
      </c>
      <c r="R163" s="259">
        <f t="shared" si="10"/>
        <v>0.46840493014925111</v>
      </c>
      <c r="S163" s="255">
        <f t="shared" si="11"/>
        <v>2.6</v>
      </c>
      <c r="T163" s="255">
        <f t="shared" si="11"/>
        <v>2.6</v>
      </c>
      <c r="U163" s="254">
        <v>100100</v>
      </c>
      <c r="V163" s="254" t="s">
        <v>834</v>
      </c>
      <c r="W163" s="254" t="s">
        <v>952</v>
      </c>
      <c r="X163" s="254" t="s">
        <v>446</v>
      </c>
      <c r="Y163" s="254" t="s">
        <v>843</v>
      </c>
      <c r="Z163" s="254" t="s">
        <v>1010</v>
      </c>
      <c r="AA163" s="254" t="s">
        <v>838</v>
      </c>
    </row>
    <row r="164" spans="1:27" ht="14.4" x14ac:dyDescent="0.3">
      <c r="A164" s="253">
        <v>11</v>
      </c>
      <c r="B164" s="254" t="s">
        <v>844</v>
      </c>
      <c r="C164" s="254">
        <v>2003</v>
      </c>
      <c r="D164" s="254" t="s">
        <v>316</v>
      </c>
      <c r="E164" s="254" t="str">
        <f>_xlfn.XLOOKUP(C164,Clientes!I:I,Clientes!F:F)</f>
        <v>GRUPO HERINGER</v>
      </c>
      <c r="F164" s="254">
        <v>7384</v>
      </c>
      <c r="G164" s="254" t="s">
        <v>877</v>
      </c>
      <c r="H164" s="254" t="s">
        <v>856</v>
      </c>
      <c r="I164" s="255">
        <v>20000</v>
      </c>
      <c r="J164" s="256">
        <v>20000</v>
      </c>
      <c r="K164" s="258">
        <v>70000</v>
      </c>
      <c r="L164" s="258">
        <v>-8400</v>
      </c>
      <c r="M164" s="258">
        <f t="shared" si="8"/>
        <v>61600</v>
      </c>
      <c r="N164" s="258">
        <v>-13813.292307692311</v>
      </c>
      <c r="O164" s="258">
        <v>-16281.07</v>
      </c>
      <c r="P164" s="258">
        <v>-9.1527727632711695</v>
      </c>
      <c r="Q164" s="258">
        <f t="shared" si="9"/>
        <v>31496.484919544419</v>
      </c>
      <c r="R164" s="259">
        <f t="shared" si="10"/>
        <v>0.51130657336922758</v>
      </c>
      <c r="S164" s="255">
        <f t="shared" si="11"/>
        <v>3.5</v>
      </c>
      <c r="T164" s="255">
        <f t="shared" si="11"/>
        <v>3.5</v>
      </c>
      <c r="U164" s="254">
        <v>100100</v>
      </c>
      <c r="V164" s="254" t="s">
        <v>834</v>
      </c>
      <c r="W164" s="254" t="s">
        <v>878</v>
      </c>
      <c r="X164" s="254" t="s">
        <v>446</v>
      </c>
      <c r="Y164" s="254" t="s">
        <v>843</v>
      </c>
      <c r="Z164" s="254" t="s">
        <v>1010</v>
      </c>
      <c r="AA164" s="254" t="s">
        <v>838</v>
      </c>
    </row>
    <row r="165" spans="1:27" ht="14.4" x14ac:dyDescent="0.3">
      <c r="A165" s="253">
        <v>11</v>
      </c>
      <c r="B165" s="254" t="s">
        <v>844</v>
      </c>
      <c r="C165" s="254">
        <v>31</v>
      </c>
      <c r="D165" s="254" t="s">
        <v>261</v>
      </c>
      <c r="E165" s="254" t="str">
        <f>_xlfn.XLOOKUP(C165,Clientes!I:I,Clientes!F:F)</f>
        <v>SUL GOIANA - GOIATUBA</v>
      </c>
      <c r="F165" s="254">
        <v>1042</v>
      </c>
      <c r="G165" s="254" t="s">
        <v>867</v>
      </c>
      <c r="H165" s="254" t="s">
        <v>909</v>
      </c>
      <c r="I165" s="255">
        <v>32000</v>
      </c>
      <c r="J165" s="256">
        <v>32000</v>
      </c>
      <c r="K165" s="258">
        <v>64000</v>
      </c>
      <c r="L165" s="258">
        <v>-4480</v>
      </c>
      <c r="M165" s="258">
        <f t="shared" si="8"/>
        <v>59520</v>
      </c>
      <c r="N165" s="258">
        <v>-16271.650909090911</v>
      </c>
      <c r="O165" s="258">
        <v>-3738.8998399999996</v>
      </c>
      <c r="P165" s="258">
        <v>-2.1019073451653325</v>
      </c>
      <c r="Q165" s="258">
        <f t="shared" si="9"/>
        <v>39507.347343563924</v>
      </c>
      <c r="R165" s="259">
        <f t="shared" si="10"/>
        <v>0.66376591639052296</v>
      </c>
      <c r="S165" s="255">
        <f t="shared" si="11"/>
        <v>2</v>
      </c>
      <c r="T165" s="255">
        <f t="shared" si="11"/>
        <v>2</v>
      </c>
      <c r="U165" s="254">
        <v>100100</v>
      </c>
      <c r="V165" s="254" t="s">
        <v>834</v>
      </c>
      <c r="W165" s="254" t="s">
        <v>1020</v>
      </c>
      <c r="X165" s="254" t="s">
        <v>446</v>
      </c>
      <c r="Y165" s="254" t="s">
        <v>843</v>
      </c>
      <c r="Z165" s="254" t="s">
        <v>1010</v>
      </c>
      <c r="AA165" s="254" t="s">
        <v>838</v>
      </c>
    </row>
    <row r="166" spans="1:27" ht="14.4" x14ac:dyDescent="0.3">
      <c r="A166" s="253">
        <v>11</v>
      </c>
      <c r="B166" s="254" t="s">
        <v>844</v>
      </c>
      <c r="C166" s="254">
        <v>341</v>
      </c>
      <c r="D166" s="254" t="s">
        <v>422</v>
      </c>
      <c r="E166" s="254" t="str">
        <f>_xlfn.XLOOKUP(C166,Clientes!I:I,Clientes!F:F)</f>
        <v>ADUBOS PARANAIBA - UBERLANDIA</v>
      </c>
      <c r="F166" s="254">
        <v>1043</v>
      </c>
      <c r="G166" s="254" t="s">
        <v>855</v>
      </c>
      <c r="H166" s="254" t="s">
        <v>860</v>
      </c>
      <c r="I166" s="255">
        <v>3000</v>
      </c>
      <c r="J166" s="256">
        <v>3000</v>
      </c>
      <c r="K166" s="258">
        <v>6000</v>
      </c>
      <c r="L166" s="258">
        <v>-1080</v>
      </c>
      <c r="M166" s="258">
        <f t="shared" si="8"/>
        <v>4920</v>
      </c>
      <c r="N166" s="258">
        <v>-1170.6091735537191</v>
      </c>
      <c r="O166" s="258">
        <v>0</v>
      </c>
      <c r="P166" s="258">
        <v>0</v>
      </c>
      <c r="Q166" s="258">
        <f t="shared" si="9"/>
        <v>3749.3908264462807</v>
      </c>
      <c r="R166" s="259">
        <f t="shared" si="10"/>
        <v>0.76207130618826846</v>
      </c>
      <c r="S166" s="255">
        <f t="shared" si="11"/>
        <v>2</v>
      </c>
      <c r="T166" s="255">
        <f t="shared" si="11"/>
        <v>2</v>
      </c>
      <c r="U166" s="254">
        <v>100100</v>
      </c>
      <c r="V166" s="254" t="s">
        <v>834</v>
      </c>
      <c r="W166" s="254" t="s">
        <v>865</v>
      </c>
      <c r="X166" s="254" t="s">
        <v>446</v>
      </c>
      <c r="Y166" s="254" t="s">
        <v>843</v>
      </c>
      <c r="Z166" s="254" t="s">
        <v>1010</v>
      </c>
      <c r="AA166" s="254" t="s">
        <v>838</v>
      </c>
    </row>
    <row r="167" spans="1:27" ht="14.4" x14ac:dyDescent="0.3">
      <c r="A167" s="253">
        <v>11</v>
      </c>
      <c r="B167" s="254" t="s">
        <v>844</v>
      </c>
      <c r="C167" s="254">
        <v>1936</v>
      </c>
      <c r="D167" s="254" t="s">
        <v>889</v>
      </c>
      <c r="E167" s="254" t="str">
        <f>_xlfn.XLOOKUP(C167,Clientes!I:I,Clientes!F:F)</f>
        <v>GRUPO AGRO INDUSTRIAL SAO LUIZ LTDA</v>
      </c>
      <c r="F167" s="254">
        <v>4</v>
      </c>
      <c r="G167" s="254" t="s">
        <v>862</v>
      </c>
      <c r="H167" s="254" t="s">
        <v>863</v>
      </c>
      <c r="I167" s="255">
        <v>35000</v>
      </c>
      <c r="J167" s="256">
        <v>35000</v>
      </c>
      <c r="K167" s="258">
        <v>139650</v>
      </c>
      <c r="L167" s="258">
        <v>-16758</v>
      </c>
      <c r="M167" s="258">
        <f t="shared" si="8"/>
        <v>122892</v>
      </c>
      <c r="N167" s="258">
        <v>-34746.917333333331</v>
      </c>
      <c r="O167" s="258">
        <v>0</v>
      </c>
      <c r="P167" s="258">
        <v>0</v>
      </c>
      <c r="Q167" s="258">
        <f t="shared" si="9"/>
        <v>88145.082666666669</v>
      </c>
      <c r="R167" s="259">
        <f t="shared" si="10"/>
        <v>0.71725647451963248</v>
      </c>
      <c r="S167" s="255">
        <f t="shared" si="11"/>
        <v>3.99</v>
      </c>
      <c r="T167" s="255">
        <f t="shared" si="11"/>
        <v>3.99</v>
      </c>
      <c r="U167" s="254">
        <v>100100</v>
      </c>
      <c r="V167" s="254" t="s">
        <v>834</v>
      </c>
      <c r="W167" s="254" t="s">
        <v>864</v>
      </c>
      <c r="X167" s="254" t="s">
        <v>446</v>
      </c>
      <c r="Y167" s="254" t="s">
        <v>843</v>
      </c>
      <c r="Z167" s="254" t="s">
        <v>1010</v>
      </c>
      <c r="AA167" s="254" t="s">
        <v>838</v>
      </c>
    </row>
    <row r="168" spans="1:27" ht="14.4" x14ac:dyDescent="0.3">
      <c r="A168" s="253">
        <v>11</v>
      </c>
      <c r="B168" s="254" t="s">
        <v>844</v>
      </c>
      <c r="C168" s="254">
        <v>7648</v>
      </c>
      <c r="D168" s="254" t="s">
        <v>958</v>
      </c>
      <c r="E168" s="254" t="str">
        <f>_xlfn.XLOOKUP(C168,Clientes!I:I,Clientes!F:F)</f>
        <v>GRUPO LOUIS DREYFUS</v>
      </c>
      <c r="F168" s="254">
        <v>14133</v>
      </c>
      <c r="G168" s="254" t="s">
        <v>862</v>
      </c>
      <c r="H168" s="254" t="s">
        <v>841</v>
      </c>
      <c r="I168" s="255">
        <v>13200</v>
      </c>
      <c r="J168" s="256">
        <v>13200</v>
      </c>
      <c r="K168" s="258">
        <v>37092</v>
      </c>
      <c r="L168" s="258">
        <v>-4451.04</v>
      </c>
      <c r="M168" s="258">
        <f t="shared" si="8"/>
        <v>32640.959999999999</v>
      </c>
      <c r="N168" s="258">
        <v>-15333.958919431281</v>
      </c>
      <c r="O168" s="258">
        <v>-9623.6718130238405</v>
      </c>
      <c r="P168" s="258">
        <v>-5.410165379358058</v>
      </c>
      <c r="Q168" s="258">
        <f t="shared" si="9"/>
        <v>7677.9191021655215</v>
      </c>
      <c r="R168" s="259">
        <f t="shared" si="10"/>
        <v>0.23522344631302272</v>
      </c>
      <c r="S168" s="255">
        <f t="shared" si="11"/>
        <v>2.81</v>
      </c>
      <c r="T168" s="255">
        <f t="shared" si="11"/>
        <v>2.81</v>
      </c>
      <c r="U168" s="254">
        <v>100100</v>
      </c>
      <c r="V168" s="254" t="s">
        <v>834</v>
      </c>
      <c r="W168" s="254" t="s">
        <v>864</v>
      </c>
      <c r="X168" s="254" t="s">
        <v>446</v>
      </c>
      <c r="Y168" s="254" t="s">
        <v>843</v>
      </c>
      <c r="Z168" s="254" t="s">
        <v>1010</v>
      </c>
      <c r="AA168" s="254" t="s">
        <v>838</v>
      </c>
    </row>
    <row r="169" spans="1:27" ht="14.4" x14ac:dyDescent="0.3">
      <c r="A169" s="253">
        <v>11</v>
      </c>
      <c r="B169" s="254" t="s">
        <v>844</v>
      </c>
      <c r="C169" s="254">
        <v>214</v>
      </c>
      <c r="D169" s="254" t="s">
        <v>149</v>
      </c>
      <c r="E169" s="254" t="str">
        <f>_xlfn.XLOOKUP(C169,Clientes!I:I,Clientes!F:F)</f>
        <v>GRUPO UNIFERTIL</v>
      </c>
      <c r="F169" s="254">
        <v>3</v>
      </c>
      <c r="G169" s="254" t="s">
        <v>877</v>
      </c>
      <c r="H169" s="254" t="s">
        <v>879</v>
      </c>
      <c r="I169" s="255">
        <v>32000</v>
      </c>
      <c r="J169" s="256">
        <v>32000</v>
      </c>
      <c r="K169" s="258">
        <v>82880</v>
      </c>
      <c r="L169" s="258">
        <v>-9945.6</v>
      </c>
      <c r="M169" s="258">
        <f t="shared" si="8"/>
        <v>72934.399999999994</v>
      </c>
      <c r="N169" s="258">
        <v>-24737.379999999997</v>
      </c>
      <c r="O169" s="258">
        <v>-25804.538239999998</v>
      </c>
      <c r="P169" s="258">
        <v>-14.506606431386967</v>
      </c>
      <c r="Q169" s="258">
        <f t="shared" si="9"/>
        <v>22377.975153568612</v>
      </c>
      <c r="R169" s="259">
        <f t="shared" si="10"/>
        <v>0.30682332553045771</v>
      </c>
      <c r="S169" s="255">
        <f t="shared" si="11"/>
        <v>2.59</v>
      </c>
      <c r="T169" s="255">
        <f t="shared" si="11"/>
        <v>2.59</v>
      </c>
      <c r="U169" s="254">
        <v>100100</v>
      </c>
      <c r="V169" s="254" t="s">
        <v>834</v>
      </c>
      <c r="W169" s="254" t="s">
        <v>880</v>
      </c>
      <c r="X169" s="254" t="s">
        <v>446</v>
      </c>
      <c r="Y169" s="254" t="s">
        <v>843</v>
      </c>
      <c r="Z169" s="254" t="s">
        <v>1010</v>
      </c>
      <c r="AA169" s="254" t="s">
        <v>838</v>
      </c>
    </row>
    <row r="170" spans="1:27" ht="14.4" x14ac:dyDescent="0.3">
      <c r="A170" s="253">
        <v>11</v>
      </c>
      <c r="B170" s="254" t="s">
        <v>844</v>
      </c>
      <c r="C170" s="254">
        <v>214</v>
      </c>
      <c r="D170" s="254" t="s">
        <v>149</v>
      </c>
      <c r="E170" s="254" t="str">
        <f>_xlfn.XLOOKUP(C170,Clientes!I:I,Clientes!F:F)</f>
        <v>GRUPO UNIFERTIL</v>
      </c>
      <c r="F170" s="254">
        <v>113</v>
      </c>
      <c r="G170" s="254" t="s">
        <v>877</v>
      </c>
      <c r="H170" s="254" t="s">
        <v>913</v>
      </c>
      <c r="I170" s="255">
        <v>30000</v>
      </c>
      <c r="J170" s="256">
        <v>30000</v>
      </c>
      <c r="K170" s="258">
        <v>92700</v>
      </c>
      <c r="L170" s="258">
        <v>-11124</v>
      </c>
      <c r="M170" s="258">
        <f t="shared" si="8"/>
        <v>81576</v>
      </c>
      <c r="N170" s="258">
        <v>-27165.85</v>
      </c>
      <c r="O170" s="258">
        <v>-24191.754599999997</v>
      </c>
      <c r="P170" s="258">
        <v>-13.59994352942528</v>
      </c>
      <c r="Q170" s="258">
        <f t="shared" si="9"/>
        <v>30204.79545647058</v>
      </c>
      <c r="R170" s="259">
        <f t="shared" si="10"/>
        <v>0.37026570874363268</v>
      </c>
      <c r="S170" s="255">
        <f t="shared" si="11"/>
        <v>3.09</v>
      </c>
      <c r="T170" s="255">
        <f t="shared" si="11"/>
        <v>3.09</v>
      </c>
      <c r="U170" s="254">
        <v>100200</v>
      </c>
      <c r="V170" s="254" t="s">
        <v>912</v>
      </c>
      <c r="W170" s="254" t="s">
        <v>880</v>
      </c>
      <c r="X170" s="254" t="s">
        <v>446</v>
      </c>
      <c r="Y170" s="254" t="s">
        <v>843</v>
      </c>
      <c r="Z170" s="254" t="s">
        <v>1010</v>
      </c>
      <c r="AA170" s="254" t="s">
        <v>838</v>
      </c>
    </row>
    <row r="171" spans="1:27" ht="14.4" x14ac:dyDescent="0.3">
      <c r="A171" s="253">
        <v>11</v>
      </c>
      <c r="B171" s="254" t="s">
        <v>844</v>
      </c>
      <c r="C171" s="254">
        <v>456</v>
      </c>
      <c r="D171" s="254" t="s">
        <v>312</v>
      </c>
      <c r="E171" s="254" t="str">
        <f>_xlfn.XLOOKUP(C171,Clientes!I:I,Clientes!F:F)</f>
        <v>GRUPO FERTIPAR FERTILIZANTES DO NORDESTE</v>
      </c>
      <c r="F171" s="254">
        <v>113</v>
      </c>
      <c r="G171" s="254" t="s">
        <v>875</v>
      </c>
      <c r="H171" s="254" t="s">
        <v>913</v>
      </c>
      <c r="I171" s="255">
        <v>30000</v>
      </c>
      <c r="J171" s="256">
        <v>30000</v>
      </c>
      <c r="K171" s="258">
        <v>100200</v>
      </c>
      <c r="L171" s="258">
        <v>-7014.0000000000009</v>
      </c>
      <c r="M171" s="258">
        <f t="shared" si="8"/>
        <v>93186</v>
      </c>
      <c r="N171" s="258">
        <v>-27165.85</v>
      </c>
      <c r="O171" s="258">
        <v>-21548.474999999999</v>
      </c>
      <c r="P171" s="258">
        <v>-12.113963951388314</v>
      </c>
      <c r="Q171" s="258">
        <f t="shared" si="9"/>
        <v>44459.56103604861</v>
      </c>
      <c r="R171" s="259">
        <f t="shared" si="10"/>
        <v>0.47710558491671079</v>
      </c>
      <c r="S171" s="255">
        <f t="shared" si="11"/>
        <v>3.34</v>
      </c>
      <c r="T171" s="255">
        <f t="shared" si="11"/>
        <v>3.34</v>
      </c>
      <c r="U171" s="254">
        <v>100200</v>
      </c>
      <c r="V171" s="254" t="s">
        <v>912</v>
      </c>
      <c r="W171" s="254" t="s">
        <v>876</v>
      </c>
      <c r="X171" s="254" t="s">
        <v>446</v>
      </c>
      <c r="Y171" s="254" t="s">
        <v>843</v>
      </c>
      <c r="Z171" s="254" t="s">
        <v>1010</v>
      </c>
      <c r="AA171" s="254" t="s">
        <v>838</v>
      </c>
    </row>
    <row r="172" spans="1:27" ht="14.4" x14ac:dyDescent="0.3">
      <c r="A172" s="253">
        <v>13</v>
      </c>
      <c r="B172" s="254" t="s">
        <v>844</v>
      </c>
      <c r="C172" s="254">
        <v>5209</v>
      </c>
      <c r="D172" s="254" t="s">
        <v>870</v>
      </c>
      <c r="E172" s="254" t="str">
        <f>_xlfn.XLOOKUP(C172,Clientes!I:I,Clientes!F:F)</f>
        <v>NUTRISOYA - CATALÃO</v>
      </c>
      <c r="F172" s="254">
        <v>8217</v>
      </c>
      <c r="G172" s="254" t="s">
        <v>867</v>
      </c>
      <c r="H172" s="254" t="s">
        <v>927</v>
      </c>
      <c r="I172" s="255">
        <v>3000</v>
      </c>
      <c r="J172" s="256">
        <v>3000</v>
      </c>
      <c r="K172" s="258">
        <v>90103.246890873474</v>
      </c>
      <c r="L172" s="258">
        <v>-6300.0000000000009</v>
      </c>
      <c r="M172" s="258">
        <f t="shared" si="8"/>
        <v>83803.246890873474</v>
      </c>
      <c r="N172" s="258">
        <v>-47754.005151515179</v>
      </c>
      <c r="O172" s="258">
        <v>-2121.6959999999981</v>
      </c>
      <c r="P172" s="258">
        <v>-1.1927595275213099</v>
      </c>
      <c r="Q172" s="258">
        <f t="shared" si="9"/>
        <v>33926.352979830779</v>
      </c>
      <c r="R172" s="259">
        <f t="shared" si="10"/>
        <v>0.40483339534575363</v>
      </c>
      <c r="S172" s="255">
        <f t="shared" si="11"/>
        <v>30.034415630291157</v>
      </c>
      <c r="T172" s="255">
        <f t="shared" si="11"/>
        <v>30.034415630291157</v>
      </c>
      <c r="U172" s="254">
        <v>100300</v>
      </c>
      <c r="V172" s="254" t="s">
        <v>917</v>
      </c>
      <c r="W172" s="254" t="s">
        <v>871</v>
      </c>
      <c r="X172" s="254" t="s">
        <v>446</v>
      </c>
      <c r="Y172" s="254" t="s">
        <v>843</v>
      </c>
      <c r="Z172" s="254" t="s">
        <v>1010</v>
      </c>
      <c r="AA172" s="254" t="s">
        <v>838</v>
      </c>
    </row>
    <row r="173" spans="1:27" ht="14.4" x14ac:dyDescent="0.3">
      <c r="A173" s="253">
        <v>13</v>
      </c>
      <c r="B173" s="254" t="s">
        <v>844</v>
      </c>
      <c r="C173" s="254">
        <v>2622</v>
      </c>
      <c r="D173" s="254" t="s">
        <v>73</v>
      </c>
      <c r="E173" s="254" t="str">
        <f>_xlfn.XLOOKUP(C173,Clientes!I:I,Clientes!F:F)</f>
        <v>ADUFERTIL JUNDIAI</v>
      </c>
      <c r="F173" s="254">
        <v>8215</v>
      </c>
      <c r="G173" s="254" t="s">
        <v>908</v>
      </c>
      <c r="H173" s="254" t="s">
        <v>947</v>
      </c>
      <c r="I173" s="255">
        <v>12000</v>
      </c>
      <c r="J173" s="256">
        <v>12000</v>
      </c>
      <c r="K173" s="258">
        <v>416036.72531079315</v>
      </c>
      <c r="L173" s="258">
        <v>-49867.199999999997</v>
      </c>
      <c r="M173" s="258">
        <f t="shared" si="8"/>
        <v>366169.52531079313</v>
      </c>
      <c r="N173" s="258">
        <v>-166424.11200000002</v>
      </c>
      <c r="O173" s="258">
        <v>-5481.0480000000016</v>
      </c>
      <c r="P173" s="258">
        <v>-3.0812954460967212</v>
      </c>
      <c r="Q173" s="258">
        <f t="shared" si="9"/>
        <v>194261.28401534702</v>
      </c>
      <c r="R173" s="259">
        <f t="shared" si="10"/>
        <v>0.5305228059338476</v>
      </c>
      <c r="S173" s="255">
        <f t="shared" si="11"/>
        <v>34.66972710923276</v>
      </c>
      <c r="T173" s="255">
        <f t="shared" si="11"/>
        <v>34.66972710923276</v>
      </c>
      <c r="U173" s="254">
        <v>100300</v>
      </c>
      <c r="V173" s="254" t="s">
        <v>917</v>
      </c>
      <c r="W173" s="254" t="s">
        <v>948</v>
      </c>
      <c r="X173" s="254" t="s">
        <v>446</v>
      </c>
      <c r="Y173" s="254" t="s">
        <v>843</v>
      </c>
      <c r="Z173" s="254" t="s">
        <v>1010</v>
      </c>
      <c r="AA173" s="254" t="s">
        <v>838</v>
      </c>
    </row>
    <row r="174" spans="1:27" ht="14.4" x14ac:dyDescent="0.3">
      <c r="A174" s="253">
        <v>13</v>
      </c>
      <c r="B174" s="254" t="s">
        <v>844</v>
      </c>
      <c r="C174" s="254">
        <v>86</v>
      </c>
      <c r="D174" s="254" t="s">
        <v>31</v>
      </c>
      <c r="E174" s="254" t="str">
        <f>_xlfn.XLOOKUP(C174,Clientes!I:I,Clientes!F:F)</f>
        <v>GRUPO ADUBOS ARAGUAIA</v>
      </c>
      <c r="F174" s="254">
        <v>8214</v>
      </c>
      <c r="G174" s="254" t="s">
        <v>867</v>
      </c>
      <c r="H174" s="254" t="s">
        <v>922</v>
      </c>
      <c r="I174" s="255">
        <v>6000</v>
      </c>
      <c r="J174" s="256">
        <v>6000</v>
      </c>
      <c r="K174" s="258">
        <v>192220.26003386342</v>
      </c>
      <c r="L174" s="258">
        <v>-13440.000000000002</v>
      </c>
      <c r="M174" s="258">
        <f t="shared" si="8"/>
        <v>178780.26003386342</v>
      </c>
      <c r="N174" s="258">
        <v>-58499.059384615379</v>
      </c>
      <c r="O174" s="258">
        <v>-4066.5840000000026</v>
      </c>
      <c r="P174" s="258">
        <v>-2.2861224277491807</v>
      </c>
      <c r="Q174" s="258">
        <f t="shared" si="9"/>
        <v>116212.3305268203</v>
      </c>
      <c r="R174" s="259">
        <f t="shared" si="10"/>
        <v>0.65002887066395409</v>
      </c>
      <c r="S174" s="255">
        <f t="shared" si="11"/>
        <v>32.036710005643904</v>
      </c>
      <c r="T174" s="255">
        <f t="shared" si="11"/>
        <v>32.036710005643904</v>
      </c>
      <c r="U174" s="254">
        <v>100300</v>
      </c>
      <c r="V174" s="254" t="s">
        <v>917</v>
      </c>
      <c r="W174" s="254" t="s">
        <v>955</v>
      </c>
      <c r="X174" s="254" t="s">
        <v>446</v>
      </c>
      <c r="Y174" s="254" t="s">
        <v>843</v>
      </c>
      <c r="Z174" s="254" t="s">
        <v>1010</v>
      </c>
      <c r="AA174" s="254" t="s">
        <v>838</v>
      </c>
    </row>
    <row r="175" spans="1:27" ht="14.4" x14ac:dyDescent="0.3">
      <c r="A175" s="253">
        <v>13</v>
      </c>
      <c r="B175" s="254" t="s">
        <v>844</v>
      </c>
      <c r="C175" s="254">
        <v>7103</v>
      </c>
      <c r="D175" s="254" t="s">
        <v>482</v>
      </c>
      <c r="E175" s="254" t="str">
        <f>_xlfn.XLOOKUP(C175,Clientes!I:I,Clientes!F:F)</f>
        <v>GRUPO MOSAIC FERTILIZANTES DO BRASIL</v>
      </c>
      <c r="F175" s="254">
        <v>8215</v>
      </c>
      <c r="G175" s="254" t="s">
        <v>867</v>
      </c>
      <c r="H175" s="254" t="s">
        <v>947</v>
      </c>
      <c r="I175" s="255">
        <v>12000</v>
      </c>
      <c r="J175" s="256">
        <v>12000</v>
      </c>
      <c r="K175" s="258">
        <v>480550.65008465858</v>
      </c>
      <c r="L175" s="258">
        <v>-33600</v>
      </c>
      <c r="M175" s="258">
        <f t="shared" si="8"/>
        <v>446950.65008465858</v>
      </c>
      <c r="N175" s="258">
        <v>-166424.11200000002</v>
      </c>
      <c r="O175" s="258">
        <v>-3801.3720000000039</v>
      </c>
      <c r="P175" s="258">
        <v>-2.1370274868090178</v>
      </c>
      <c r="Q175" s="258">
        <f t="shared" si="9"/>
        <v>276723.02905717172</v>
      </c>
      <c r="R175" s="259">
        <f t="shared" si="10"/>
        <v>0.61913553320653314</v>
      </c>
      <c r="S175" s="255">
        <f t="shared" si="11"/>
        <v>40.045887507054879</v>
      </c>
      <c r="T175" s="255">
        <f t="shared" si="11"/>
        <v>40.045887507054879</v>
      </c>
      <c r="U175" s="254">
        <v>100300</v>
      </c>
      <c r="V175" s="254" t="s">
        <v>917</v>
      </c>
      <c r="W175" s="254" t="s">
        <v>890</v>
      </c>
      <c r="X175" s="254" t="s">
        <v>446</v>
      </c>
      <c r="Y175" s="254" t="s">
        <v>843</v>
      </c>
      <c r="Z175" s="254" t="s">
        <v>1010</v>
      </c>
      <c r="AA175" s="254" t="s">
        <v>838</v>
      </c>
    </row>
    <row r="176" spans="1:27" ht="14.4" x14ac:dyDescent="0.3">
      <c r="A176" s="253">
        <v>13</v>
      </c>
      <c r="B176" s="254" t="s">
        <v>844</v>
      </c>
      <c r="C176" s="254">
        <v>12323</v>
      </c>
      <c r="D176" s="254" t="s">
        <v>235</v>
      </c>
      <c r="E176" s="254" t="str">
        <f>_xlfn.XLOOKUP(C176,Clientes!I:I,Clientes!F:F)</f>
        <v>TERA FERTILIZANTES - PATOS DE MINAS</v>
      </c>
      <c r="F176" s="254">
        <v>8225</v>
      </c>
      <c r="G176" s="254" t="s">
        <v>855</v>
      </c>
      <c r="H176" s="254" t="s">
        <v>919</v>
      </c>
      <c r="I176" s="255">
        <v>3000</v>
      </c>
      <c r="J176" s="256">
        <v>3000</v>
      </c>
      <c r="K176" s="258">
        <v>69079.155949669672</v>
      </c>
      <c r="L176" s="258">
        <v>-12420</v>
      </c>
      <c r="M176" s="258">
        <f t="shared" si="8"/>
        <v>56659.155949669672</v>
      </c>
      <c r="N176" s="258">
        <v>-20717.797499999997</v>
      </c>
      <c r="O176" s="258">
        <v>-3639.2979999999998</v>
      </c>
      <c r="P176" s="258">
        <v>-2.0459139117900267</v>
      </c>
      <c r="Q176" s="258">
        <f t="shared" si="9"/>
        <v>32300.014535757884</v>
      </c>
      <c r="R176" s="259">
        <f t="shared" si="10"/>
        <v>0.57007581553897457</v>
      </c>
      <c r="S176" s="255">
        <f t="shared" si="11"/>
        <v>23.026385316556556</v>
      </c>
      <c r="T176" s="255">
        <f t="shared" si="11"/>
        <v>23.026385316556556</v>
      </c>
      <c r="U176" s="254">
        <v>100300</v>
      </c>
      <c r="V176" s="254" t="s">
        <v>917</v>
      </c>
      <c r="W176" s="254" t="s">
        <v>952</v>
      </c>
      <c r="X176" s="254" t="s">
        <v>446</v>
      </c>
      <c r="Y176" s="254" t="s">
        <v>843</v>
      </c>
      <c r="Z176" s="254" t="s">
        <v>1010</v>
      </c>
      <c r="AA176" s="254" t="s">
        <v>838</v>
      </c>
    </row>
    <row r="177" spans="1:27" ht="14.4" x14ac:dyDescent="0.3">
      <c r="A177" s="253">
        <v>13</v>
      </c>
      <c r="B177" s="254" t="s">
        <v>844</v>
      </c>
      <c r="C177" s="254">
        <v>9294</v>
      </c>
      <c r="D177" s="254" t="s">
        <v>1013</v>
      </c>
      <c r="E177" s="254" t="str">
        <f>_xlfn.XLOOKUP(C177,Clientes!I:I,Clientes!F:F)</f>
        <v>SOLINAG CÍA.LTDA - EQUADOR</v>
      </c>
      <c r="F177" s="254">
        <v>8207</v>
      </c>
      <c r="G177" s="254" t="s">
        <v>832</v>
      </c>
      <c r="H177" s="254" t="s">
        <v>1021</v>
      </c>
      <c r="I177" s="255">
        <v>1000</v>
      </c>
      <c r="J177" s="256">
        <v>1000</v>
      </c>
      <c r="K177" s="258">
        <v>58366.881041532492</v>
      </c>
      <c r="L177" s="258">
        <v>0</v>
      </c>
      <c r="M177" s="258">
        <f t="shared" si="8"/>
        <v>58366.881041532492</v>
      </c>
      <c r="N177" s="258">
        <v>-13867.31</v>
      </c>
      <c r="O177" s="258">
        <v>-8553.5535359999994</v>
      </c>
      <c r="P177" s="258">
        <v>-212.41583628323889</v>
      </c>
      <c r="Q177" s="258">
        <f t="shared" si="9"/>
        <v>35733.601669249256</v>
      </c>
      <c r="R177" s="259">
        <f t="shared" si="10"/>
        <v>0.61222393644474626</v>
      </c>
      <c r="S177" s="255">
        <f t="shared" si="11"/>
        <v>58.366881041532494</v>
      </c>
      <c r="T177" s="255">
        <f t="shared" si="11"/>
        <v>58.366881041532494</v>
      </c>
      <c r="U177" s="254">
        <v>100300</v>
      </c>
      <c r="V177" s="254" t="s">
        <v>917</v>
      </c>
      <c r="W177" s="254" t="s">
        <v>1014</v>
      </c>
      <c r="X177" s="254" t="s">
        <v>446</v>
      </c>
      <c r="Y177" s="254" t="s">
        <v>836</v>
      </c>
      <c r="Z177" s="254" t="s">
        <v>1010</v>
      </c>
      <c r="AA177" s="254" t="s">
        <v>838</v>
      </c>
    </row>
    <row r="178" spans="1:27" ht="14.4" x14ac:dyDescent="0.3">
      <c r="A178" s="253">
        <v>13</v>
      </c>
      <c r="B178" s="254" t="s">
        <v>844</v>
      </c>
      <c r="C178" s="254">
        <v>87</v>
      </c>
      <c r="D178" s="254" t="s">
        <v>218</v>
      </c>
      <c r="E178" s="254" t="str">
        <f>_xlfn.XLOOKUP(C178,Clientes!I:I,Clientes!F:F)</f>
        <v>GRUPO ADUBOS ARAGUAIA</v>
      </c>
      <c r="F178" s="254">
        <v>8214</v>
      </c>
      <c r="G178" s="254" t="s">
        <v>867</v>
      </c>
      <c r="H178" s="254" t="s">
        <v>922</v>
      </c>
      <c r="I178" s="255">
        <v>6000</v>
      </c>
      <c r="J178" s="256">
        <v>6000</v>
      </c>
      <c r="K178" s="258">
        <v>192220.26003386342</v>
      </c>
      <c r="L178" s="258">
        <v>-13440.000000000002</v>
      </c>
      <c r="M178" s="258">
        <f t="shared" si="8"/>
        <v>178780.26003386342</v>
      </c>
      <c r="N178" s="258">
        <v>-58499.059384615379</v>
      </c>
      <c r="O178" s="258">
        <v>-2121.6959999999981</v>
      </c>
      <c r="P178" s="258">
        <v>-1.1927595275213099</v>
      </c>
      <c r="Q178" s="258">
        <f t="shared" si="9"/>
        <v>118158.31188972053</v>
      </c>
      <c r="R178" s="259">
        <f t="shared" si="10"/>
        <v>0.6609136370387857</v>
      </c>
      <c r="S178" s="255">
        <f t="shared" si="11"/>
        <v>32.036710005643904</v>
      </c>
      <c r="T178" s="255">
        <f t="shared" si="11"/>
        <v>32.036710005643904</v>
      </c>
      <c r="U178" s="254">
        <v>100300</v>
      </c>
      <c r="V178" s="254" t="s">
        <v>917</v>
      </c>
      <c r="W178" s="254" t="s">
        <v>871</v>
      </c>
      <c r="X178" s="254" t="s">
        <v>446</v>
      </c>
      <c r="Y178" s="254" t="s">
        <v>843</v>
      </c>
      <c r="Z178" s="254" t="s">
        <v>1010</v>
      </c>
      <c r="AA178" s="254" t="s">
        <v>838</v>
      </c>
    </row>
    <row r="179" spans="1:27" ht="14.4" x14ac:dyDescent="0.3">
      <c r="A179" s="253">
        <v>13</v>
      </c>
      <c r="B179" s="254" t="s">
        <v>844</v>
      </c>
      <c r="C179" s="254">
        <v>8413</v>
      </c>
      <c r="D179" s="254" t="s">
        <v>97</v>
      </c>
      <c r="E179" s="254" t="str">
        <f>_xlfn.XLOOKUP(C179,Clientes!I:I,Clientes!F:F)</f>
        <v>GRUPO AMAGGI</v>
      </c>
      <c r="F179" s="254">
        <v>8214</v>
      </c>
      <c r="G179" s="254" t="s">
        <v>840</v>
      </c>
      <c r="H179" s="254" t="s">
        <v>922</v>
      </c>
      <c r="I179" s="255">
        <v>12000</v>
      </c>
      <c r="J179" s="256">
        <v>12000</v>
      </c>
      <c r="K179" s="258">
        <v>373748.2681033432</v>
      </c>
      <c r="L179" s="258">
        <v>-26132.400000000001</v>
      </c>
      <c r="M179" s="258">
        <f t="shared" si="8"/>
        <v>347615.86810334318</v>
      </c>
      <c r="N179" s="258">
        <v>-116998.11876923076</v>
      </c>
      <c r="O179" s="258">
        <v>-12906.984000000033</v>
      </c>
      <c r="P179" s="258">
        <v>-7.2559537924213275</v>
      </c>
      <c r="Q179" s="258">
        <f t="shared" si="9"/>
        <v>217703.50938031997</v>
      </c>
      <c r="R179" s="259">
        <f t="shared" si="10"/>
        <v>0.62627609771714621</v>
      </c>
      <c r="S179" s="255">
        <f t="shared" si="11"/>
        <v>31.145689008611935</v>
      </c>
      <c r="T179" s="255">
        <f t="shared" si="11"/>
        <v>31.145689008611935</v>
      </c>
      <c r="U179" s="254">
        <v>100300</v>
      </c>
      <c r="V179" s="254" t="s">
        <v>917</v>
      </c>
      <c r="W179" s="254" t="s">
        <v>915</v>
      </c>
      <c r="X179" s="254" t="s">
        <v>446</v>
      </c>
      <c r="Y179" s="254" t="s">
        <v>843</v>
      </c>
      <c r="Z179" s="254" t="s">
        <v>1010</v>
      </c>
      <c r="AA179" s="254" t="s">
        <v>838</v>
      </c>
    </row>
    <row r="180" spans="1:27" ht="14.4" x14ac:dyDescent="0.3">
      <c r="A180" s="253">
        <v>13</v>
      </c>
      <c r="B180" s="254" t="s">
        <v>844</v>
      </c>
      <c r="C180" s="254">
        <v>1874</v>
      </c>
      <c r="D180" s="254" t="s">
        <v>210</v>
      </c>
      <c r="E180" s="254" t="str">
        <f>_xlfn.XLOOKUP(C180,Clientes!I:I,Clientes!F:F)</f>
        <v>GRUPO FERTILIZ TOCANTINS</v>
      </c>
      <c r="F180" s="254">
        <v>8217</v>
      </c>
      <c r="G180" s="254" t="s">
        <v>926</v>
      </c>
      <c r="H180" s="254" t="s">
        <v>927</v>
      </c>
      <c r="I180" s="255">
        <v>12000</v>
      </c>
      <c r="J180" s="256">
        <v>12000</v>
      </c>
      <c r="K180" s="258">
        <v>456523.11758042563</v>
      </c>
      <c r="L180" s="258">
        <v>-31920.000000000004</v>
      </c>
      <c r="M180" s="258">
        <f t="shared" si="8"/>
        <v>424603.11758042563</v>
      </c>
      <c r="N180" s="258">
        <v>-191016.02060606072</v>
      </c>
      <c r="O180" s="258">
        <v>-19714.091999999993</v>
      </c>
      <c r="P180" s="258">
        <v>-11.082723943218843</v>
      </c>
      <c r="Q180" s="258">
        <f t="shared" si="9"/>
        <v>213861.92225042169</v>
      </c>
      <c r="R180" s="259">
        <f t="shared" si="10"/>
        <v>0.50367487518485621</v>
      </c>
      <c r="S180" s="255">
        <f t="shared" si="11"/>
        <v>38.043593131702139</v>
      </c>
      <c r="T180" s="255">
        <f t="shared" si="11"/>
        <v>38.043593131702139</v>
      </c>
      <c r="U180" s="254">
        <v>100300</v>
      </c>
      <c r="V180" s="254" t="s">
        <v>917</v>
      </c>
      <c r="W180" s="254" t="s">
        <v>928</v>
      </c>
      <c r="X180" s="254" t="s">
        <v>446</v>
      </c>
      <c r="Y180" s="254" t="s">
        <v>843</v>
      </c>
      <c r="Z180" s="254" t="s">
        <v>1010</v>
      </c>
      <c r="AA180" s="254" t="s">
        <v>838</v>
      </c>
    </row>
    <row r="181" spans="1:27" ht="14.4" x14ac:dyDescent="0.3">
      <c r="A181" s="253">
        <v>13</v>
      </c>
      <c r="B181" s="254" t="s">
        <v>844</v>
      </c>
      <c r="C181" s="254">
        <v>10891</v>
      </c>
      <c r="D181" s="254" t="s">
        <v>104</v>
      </c>
      <c r="E181" s="254" t="str">
        <f>_xlfn.XLOOKUP(C181,Clientes!I:I,Clientes!F:F)</f>
        <v>GRUPO HINOVE</v>
      </c>
      <c r="F181" s="254">
        <v>8214</v>
      </c>
      <c r="G181" s="254" t="s">
        <v>924</v>
      </c>
      <c r="H181" s="254" t="s">
        <v>922</v>
      </c>
      <c r="I181" s="255">
        <v>4000</v>
      </c>
      <c r="J181" s="256">
        <v>4000</v>
      </c>
      <c r="K181" s="258">
        <v>124542.71014694068</v>
      </c>
      <c r="L181" s="258">
        <v>-8708</v>
      </c>
      <c r="M181" s="258">
        <f t="shared" si="8"/>
        <v>115834.71014694068</v>
      </c>
      <c r="N181" s="258">
        <v>-38999.372923076924</v>
      </c>
      <c r="O181" s="258">
        <v>-7691.1480000000047</v>
      </c>
      <c r="P181" s="258">
        <v>-4.3237532872647551</v>
      </c>
      <c r="Q181" s="258">
        <f t="shared" si="9"/>
        <v>69139.865470576493</v>
      </c>
      <c r="R181" s="259">
        <f t="shared" si="10"/>
        <v>0.59688383026875091</v>
      </c>
      <c r="S181" s="255">
        <f t="shared" si="11"/>
        <v>31.135677536735169</v>
      </c>
      <c r="T181" s="255">
        <f t="shared" si="11"/>
        <v>31.135677536735169</v>
      </c>
      <c r="U181" s="254">
        <v>100300</v>
      </c>
      <c r="V181" s="254" t="s">
        <v>917</v>
      </c>
      <c r="W181" s="254" t="s">
        <v>925</v>
      </c>
      <c r="X181" s="254" t="s">
        <v>446</v>
      </c>
      <c r="Y181" s="254" t="s">
        <v>843</v>
      </c>
      <c r="Z181" s="254" t="s">
        <v>1010</v>
      </c>
      <c r="AA181" s="254" t="s">
        <v>838</v>
      </c>
    </row>
    <row r="182" spans="1:27" ht="14.4" x14ac:dyDescent="0.3">
      <c r="A182" s="253">
        <v>13</v>
      </c>
      <c r="B182" s="254" t="s">
        <v>844</v>
      </c>
      <c r="C182" s="254">
        <v>6124</v>
      </c>
      <c r="D182" s="254" t="s">
        <v>891</v>
      </c>
      <c r="E182" s="254" t="str">
        <f>_xlfn.XLOOKUP(C182,Clientes!I:I,Clientes!F:F)</f>
        <v>GRUPO MOSAIC FERTILIZANTES DO BRASIL</v>
      </c>
      <c r="F182" s="254">
        <v>8215</v>
      </c>
      <c r="G182" s="254" t="s">
        <v>855</v>
      </c>
      <c r="H182" s="254" t="s">
        <v>947</v>
      </c>
      <c r="I182" s="255">
        <v>24000</v>
      </c>
      <c r="J182" s="256">
        <v>24000</v>
      </c>
      <c r="K182" s="258">
        <v>870517.50262835901</v>
      </c>
      <c r="L182" s="258">
        <v>0</v>
      </c>
      <c r="M182" s="258">
        <f t="shared" si="8"/>
        <v>870517.50262835901</v>
      </c>
      <c r="N182" s="258">
        <v>-332848.22400000005</v>
      </c>
      <c r="O182" s="258">
        <v>-4003.2278000000001</v>
      </c>
      <c r="P182" s="258">
        <v>-2.250505302969029</v>
      </c>
      <c r="Q182" s="258">
        <f t="shared" si="9"/>
        <v>533663.80032305606</v>
      </c>
      <c r="R182" s="259">
        <f t="shared" si="10"/>
        <v>0.61304201088635391</v>
      </c>
      <c r="S182" s="255">
        <f t="shared" si="11"/>
        <v>36.271562609514959</v>
      </c>
      <c r="T182" s="255">
        <f t="shared" si="11"/>
        <v>36.271562609514959</v>
      </c>
      <c r="U182" s="254">
        <v>100300</v>
      </c>
      <c r="V182" s="254" t="s">
        <v>917</v>
      </c>
      <c r="W182" s="254" t="s">
        <v>892</v>
      </c>
      <c r="X182" s="254" t="s">
        <v>446</v>
      </c>
      <c r="Y182" s="254" t="s">
        <v>843</v>
      </c>
      <c r="Z182" s="254" t="s">
        <v>1010</v>
      </c>
      <c r="AA182" s="254" t="s">
        <v>838</v>
      </c>
    </row>
    <row r="183" spans="1:27" ht="14.4" x14ac:dyDescent="0.3">
      <c r="A183" s="253">
        <v>13</v>
      </c>
      <c r="B183" s="254" t="s">
        <v>844</v>
      </c>
      <c r="C183" s="254">
        <v>11637</v>
      </c>
      <c r="D183" s="254" t="s">
        <v>625</v>
      </c>
      <c r="E183" s="254" t="str">
        <f>_xlfn.XLOOKUP(C183,Clientes!I:I,Clientes!F:F)</f>
        <v>AGROPECUARIA MARATA LTDA - MARUIM</v>
      </c>
      <c r="F183" s="254">
        <v>8224</v>
      </c>
      <c r="G183" s="254" t="s">
        <v>887</v>
      </c>
      <c r="H183" s="254" t="s">
        <v>921</v>
      </c>
      <c r="I183" s="255">
        <v>8000</v>
      </c>
      <c r="J183" s="256">
        <v>8000</v>
      </c>
      <c r="K183" s="258">
        <v>185012.00028259354</v>
      </c>
      <c r="L183" s="258">
        <v>-12936.000000000002</v>
      </c>
      <c r="M183" s="258">
        <f t="shared" si="8"/>
        <v>172076.00028259354</v>
      </c>
      <c r="N183" s="258">
        <v>-57830.662325581383</v>
      </c>
      <c r="O183" s="258">
        <v>0</v>
      </c>
      <c r="P183" s="258">
        <v>0</v>
      </c>
      <c r="Q183" s="258">
        <f t="shared" si="9"/>
        <v>114245.33795701215</v>
      </c>
      <c r="R183" s="259">
        <f t="shared" si="10"/>
        <v>0.66392371841158326</v>
      </c>
      <c r="S183" s="255">
        <f t="shared" si="11"/>
        <v>23.126500035324192</v>
      </c>
      <c r="T183" s="255">
        <f t="shared" si="11"/>
        <v>23.126500035324192</v>
      </c>
      <c r="U183" s="254">
        <v>100300</v>
      </c>
      <c r="V183" s="254" t="s">
        <v>917</v>
      </c>
      <c r="W183" s="254" t="s">
        <v>1009</v>
      </c>
      <c r="X183" s="254" t="s">
        <v>446</v>
      </c>
      <c r="Y183" s="254" t="s">
        <v>843</v>
      </c>
      <c r="Z183" s="254" t="s">
        <v>1010</v>
      </c>
      <c r="AA183" s="254" t="s">
        <v>838</v>
      </c>
    </row>
    <row r="184" spans="1:27" ht="14.4" x14ac:dyDescent="0.3">
      <c r="A184" s="253">
        <v>13</v>
      </c>
      <c r="B184" s="254" t="s">
        <v>844</v>
      </c>
      <c r="C184" s="254">
        <v>7662</v>
      </c>
      <c r="D184" s="254" t="s">
        <v>95</v>
      </c>
      <c r="E184" s="254" t="str">
        <f>_xlfn.XLOOKUP(C184,Clientes!I:I,Clientes!F:F)</f>
        <v>BENTONIT UNIAO - CAMPINA GRANDE</v>
      </c>
      <c r="F184" s="254">
        <v>7</v>
      </c>
      <c r="G184" s="254" t="s">
        <v>1022</v>
      </c>
      <c r="H184" s="254" t="s">
        <v>1023</v>
      </c>
      <c r="I184" s="255">
        <v>2000</v>
      </c>
      <c r="J184" s="256">
        <v>2000</v>
      </c>
      <c r="K184" s="258">
        <v>78109.503582510544</v>
      </c>
      <c r="L184" s="258">
        <v>-12173.070500000002</v>
      </c>
      <c r="M184" s="258">
        <f t="shared" si="8"/>
        <v>65936.433082510543</v>
      </c>
      <c r="N184" s="258">
        <v>-18955.46</v>
      </c>
      <c r="O184" s="258">
        <v>0</v>
      </c>
      <c r="P184" s="258">
        <v>0</v>
      </c>
      <c r="Q184" s="258">
        <f t="shared" si="9"/>
        <v>46980.973082510543</v>
      </c>
      <c r="R184" s="259">
        <f t="shared" si="10"/>
        <v>0.71251917773168283</v>
      </c>
      <c r="S184" s="255">
        <f t="shared" si="11"/>
        <v>39.054751791255271</v>
      </c>
      <c r="T184" s="255">
        <f t="shared" si="11"/>
        <v>39.054751791255271</v>
      </c>
      <c r="U184" s="254">
        <v>100300</v>
      </c>
      <c r="V184" s="254" t="s">
        <v>917</v>
      </c>
      <c r="W184" s="254" t="s">
        <v>1024</v>
      </c>
      <c r="X184" s="254" t="s">
        <v>446</v>
      </c>
      <c r="Y184" s="254" t="s">
        <v>843</v>
      </c>
      <c r="Z184" s="254" t="s">
        <v>1010</v>
      </c>
      <c r="AA184" s="254" t="s">
        <v>838</v>
      </c>
    </row>
    <row r="185" spans="1:27" ht="14.4" x14ac:dyDescent="0.3">
      <c r="A185" s="253">
        <v>13</v>
      </c>
      <c r="B185" s="254" t="s">
        <v>844</v>
      </c>
      <c r="C185" s="254">
        <v>9355</v>
      </c>
      <c r="D185" s="254" t="s">
        <v>302</v>
      </c>
      <c r="E185" s="254" t="str">
        <f>_xlfn.XLOOKUP(C185,Clientes!I:I,Clientes!F:F)</f>
        <v>NITROFERT SAS - COLOMBIA</v>
      </c>
      <c r="F185" s="254">
        <v>8206</v>
      </c>
      <c r="G185" s="254" t="s">
        <v>832</v>
      </c>
      <c r="H185" s="254" t="s">
        <v>1025</v>
      </c>
      <c r="I185" s="255">
        <v>8000</v>
      </c>
      <c r="J185" s="256">
        <v>8000</v>
      </c>
      <c r="K185" s="258">
        <v>420241.5434990339</v>
      </c>
      <c r="L185" s="258">
        <v>0</v>
      </c>
      <c r="M185" s="258">
        <f t="shared" si="8"/>
        <v>420241.5434990339</v>
      </c>
      <c r="N185" s="258">
        <v>-111862.46999999999</v>
      </c>
      <c r="O185" s="258">
        <v>0</v>
      </c>
      <c r="P185" s="258">
        <v>-1660.8580973129995</v>
      </c>
      <c r="Q185" s="258">
        <f t="shared" si="9"/>
        <v>306718.21540172095</v>
      </c>
      <c r="R185" s="259">
        <f t="shared" si="10"/>
        <v>0.72986171916253229</v>
      </c>
      <c r="S185" s="255">
        <f t="shared" si="11"/>
        <v>52.53019293737924</v>
      </c>
      <c r="T185" s="255">
        <f t="shared" si="11"/>
        <v>52.53019293737924</v>
      </c>
      <c r="U185" s="254">
        <v>100300</v>
      </c>
      <c r="V185" s="254" t="s">
        <v>917</v>
      </c>
      <c r="W185" s="254" t="s">
        <v>998</v>
      </c>
      <c r="X185" s="254" t="s">
        <v>446</v>
      </c>
      <c r="Y185" s="254" t="s">
        <v>836</v>
      </c>
      <c r="Z185" s="254" t="s">
        <v>1010</v>
      </c>
      <c r="AA185" s="254" t="s">
        <v>838</v>
      </c>
    </row>
    <row r="186" spans="1:27" ht="14.4" x14ac:dyDescent="0.3">
      <c r="A186" s="253">
        <v>13</v>
      </c>
      <c r="B186" s="254" t="s">
        <v>844</v>
      </c>
      <c r="C186" s="254">
        <v>6382</v>
      </c>
      <c r="D186" s="254" t="s">
        <v>423</v>
      </c>
      <c r="E186" s="254" t="str">
        <f>_xlfn.XLOOKUP(C186,Clientes!I:I,Clientes!F:F)</f>
        <v>FERTYMEND - EQUADOR</v>
      </c>
      <c r="F186" s="254">
        <v>8201</v>
      </c>
      <c r="G186" s="254" t="s">
        <v>832</v>
      </c>
      <c r="H186" s="254" t="s">
        <v>916</v>
      </c>
      <c r="I186" s="255">
        <v>1100</v>
      </c>
      <c r="J186" s="256">
        <v>1100</v>
      </c>
      <c r="K186" s="258">
        <v>58366.881041532492</v>
      </c>
      <c r="L186" s="258">
        <v>0</v>
      </c>
      <c r="M186" s="258">
        <f t="shared" si="8"/>
        <v>58366.881041532492</v>
      </c>
      <c r="N186" s="258">
        <v>-22355.52</v>
      </c>
      <c r="O186" s="258">
        <v>-9409.0740480000004</v>
      </c>
      <c r="P186" s="258">
        <v>-233.65751275910316</v>
      </c>
      <c r="Q186" s="258">
        <f t="shared" si="9"/>
        <v>26368.62948077339</v>
      </c>
      <c r="R186" s="259">
        <f t="shared" si="10"/>
        <v>0.45177383149889572</v>
      </c>
      <c r="S186" s="255">
        <f t="shared" si="11"/>
        <v>53.060800946847721</v>
      </c>
      <c r="T186" s="255">
        <f t="shared" si="11"/>
        <v>53.060800946847721</v>
      </c>
      <c r="U186" s="254">
        <v>100300</v>
      </c>
      <c r="V186" s="254" t="s">
        <v>917</v>
      </c>
      <c r="W186" s="254" t="s">
        <v>1026</v>
      </c>
      <c r="X186" s="254" t="s">
        <v>446</v>
      </c>
      <c r="Y186" s="254" t="s">
        <v>836</v>
      </c>
      <c r="Z186" s="254" t="s">
        <v>1010</v>
      </c>
      <c r="AA186" s="254" t="s">
        <v>838</v>
      </c>
    </row>
    <row r="187" spans="1:27" ht="14.4" x14ac:dyDescent="0.3">
      <c r="A187" s="253">
        <v>13</v>
      </c>
      <c r="B187" s="254" t="s">
        <v>844</v>
      </c>
      <c r="C187" s="254">
        <v>2680</v>
      </c>
      <c r="D187" s="254" t="s">
        <v>313</v>
      </c>
      <c r="E187" s="254" t="str">
        <f>_xlfn.XLOOKUP(C187,Clientes!I:I,Clientes!F:F)</f>
        <v>FERMAGRI S.A - EQUADOR</v>
      </c>
      <c r="F187" s="254">
        <v>8202</v>
      </c>
      <c r="G187" s="254" t="s">
        <v>832</v>
      </c>
      <c r="H187" s="254" t="s">
        <v>1027</v>
      </c>
      <c r="I187" s="255">
        <v>8800</v>
      </c>
      <c r="J187" s="256">
        <v>8800</v>
      </c>
      <c r="K187" s="258">
        <v>420241.5434990339</v>
      </c>
      <c r="L187" s="258">
        <v>0</v>
      </c>
      <c r="M187" s="258">
        <f t="shared" si="8"/>
        <v>420241.5434990339</v>
      </c>
      <c r="N187" s="258">
        <v>-190631.198</v>
      </c>
      <c r="O187" s="258">
        <v>0</v>
      </c>
      <c r="P187" s="258">
        <v>-1826.9439070442991</v>
      </c>
      <c r="Q187" s="258">
        <f t="shared" si="9"/>
        <v>227783.40159198959</v>
      </c>
      <c r="R187" s="259">
        <f t="shared" si="10"/>
        <v>0.54202970914157911</v>
      </c>
      <c r="S187" s="255">
        <f t="shared" si="11"/>
        <v>47.75472085216294</v>
      </c>
      <c r="T187" s="255">
        <f t="shared" si="11"/>
        <v>47.75472085216294</v>
      </c>
      <c r="U187" s="254">
        <v>100300</v>
      </c>
      <c r="V187" s="254" t="s">
        <v>917</v>
      </c>
      <c r="W187" s="254" t="s">
        <v>946</v>
      </c>
      <c r="X187" s="254" t="s">
        <v>446</v>
      </c>
      <c r="Y187" s="254" t="s">
        <v>836</v>
      </c>
      <c r="Z187" s="254" t="s">
        <v>1010</v>
      </c>
      <c r="AA187" s="254" t="s">
        <v>838</v>
      </c>
    </row>
    <row r="188" spans="1:27" ht="14.4" x14ac:dyDescent="0.3">
      <c r="A188" s="253">
        <v>13</v>
      </c>
      <c r="B188" s="254" t="s">
        <v>844</v>
      </c>
      <c r="C188" s="254">
        <v>912</v>
      </c>
      <c r="D188" s="254" t="s">
        <v>217</v>
      </c>
      <c r="E188" s="254" t="str">
        <f>_xlfn.XLOOKUP(C188,Clientes!I:I,Clientes!F:F)</f>
        <v>GRUPO FERTILIZE</v>
      </c>
      <c r="F188" s="254">
        <v>8215</v>
      </c>
      <c r="G188" s="254" t="s">
        <v>862</v>
      </c>
      <c r="H188" s="254" t="s">
        <v>947</v>
      </c>
      <c r="I188" s="255">
        <v>4000</v>
      </c>
      <c r="J188" s="256">
        <v>4000</v>
      </c>
      <c r="K188" s="258">
        <v>122380.23222155971</v>
      </c>
      <c r="L188" s="258">
        <v>-14668.8</v>
      </c>
      <c r="M188" s="258">
        <f t="shared" si="8"/>
        <v>107711.43222155971</v>
      </c>
      <c r="N188" s="258">
        <v>-55474.704000000005</v>
      </c>
      <c r="O188" s="258">
        <v>-8663.5920000000024</v>
      </c>
      <c r="P188" s="258">
        <v>-4.8704347373786883</v>
      </c>
      <c r="Q188" s="258">
        <f t="shared" si="9"/>
        <v>43568.265786822318</v>
      </c>
      <c r="R188" s="259">
        <f t="shared" si="10"/>
        <v>0.40449063658538575</v>
      </c>
      <c r="S188" s="255">
        <f t="shared" si="11"/>
        <v>30.595058055389927</v>
      </c>
      <c r="T188" s="255">
        <f t="shared" si="11"/>
        <v>30.595058055389927</v>
      </c>
      <c r="U188" s="254">
        <v>100300</v>
      </c>
      <c r="V188" s="254" t="s">
        <v>917</v>
      </c>
      <c r="W188" s="254" t="s">
        <v>1028</v>
      </c>
      <c r="X188" s="254" t="s">
        <v>446</v>
      </c>
      <c r="Y188" s="254" t="s">
        <v>843</v>
      </c>
      <c r="Z188" s="254" t="s">
        <v>1010</v>
      </c>
      <c r="AA188" s="254" t="s">
        <v>838</v>
      </c>
    </row>
    <row r="189" spans="1:27" ht="14.4" x14ac:dyDescent="0.3">
      <c r="A189" s="253">
        <v>13</v>
      </c>
      <c r="B189" s="254" t="s">
        <v>844</v>
      </c>
      <c r="C189" s="254">
        <v>13390</v>
      </c>
      <c r="D189" s="254" t="s">
        <v>110</v>
      </c>
      <c r="E189" s="254" t="str">
        <f>_xlfn.XLOOKUP(C189,Clientes!I:I,Clientes!F:F)</f>
        <v>GRUPO HERINGER</v>
      </c>
      <c r="F189" s="254">
        <v>8217</v>
      </c>
      <c r="G189" s="254" t="s">
        <v>956</v>
      </c>
      <c r="H189" s="254" t="s">
        <v>927</v>
      </c>
      <c r="I189" s="255">
        <v>12000</v>
      </c>
      <c r="J189" s="256">
        <v>12000</v>
      </c>
      <c r="K189" s="258">
        <v>409309.01620960794</v>
      </c>
      <c r="L189" s="258">
        <v>-28618.800000000003</v>
      </c>
      <c r="M189" s="258">
        <f t="shared" si="8"/>
        <v>380690.21620960796</v>
      </c>
      <c r="N189" s="258">
        <v>-191016.02060606072</v>
      </c>
      <c r="O189" s="258">
        <v>-10254.863999999958</v>
      </c>
      <c r="P189" s="258">
        <v>-5.7650043830196456</v>
      </c>
      <c r="Q189" s="258">
        <f t="shared" si="9"/>
        <v>179413.56659916425</v>
      </c>
      <c r="R189" s="259">
        <f t="shared" si="10"/>
        <v>0.47128494234897589</v>
      </c>
      <c r="S189" s="255">
        <f t="shared" si="11"/>
        <v>34.109084684133997</v>
      </c>
      <c r="T189" s="255">
        <f t="shared" si="11"/>
        <v>34.109084684133997</v>
      </c>
      <c r="U189" s="254">
        <v>100300</v>
      </c>
      <c r="V189" s="254" t="s">
        <v>917</v>
      </c>
      <c r="W189" s="254" t="s">
        <v>957</v>
      </c>
      <c r="X189" s="254" t="s">
        <v>446</v>
      </c>
      <c r="Y189" s="254" t="s">
        <v>843</v>
      </c>
      <c r="Z189" s="254" t="s">
        <v>1010</v>
      </c>
      <c r="AA189" s="254" t="s">
        <v>838</v>
      </c>
    </row>
    <row r="190" spans="1:27" ht="14.4" x14ac:dyDescent="0.3">
      <c r="A190" s="253">
        <v>13</v>
      </c>
      <c r="B190" s="254" t="s">
        <v>844</v>
      </c>
      <c r="C190" s="254">
        <v>14632</v>
      </c>
      <c r="D190" s="254" t="s">
        <v>399</v>
      </c>
      <c r="E190" s="254" t="str">
        <f>_xlfn.XLOOKUP(C190,Clientes!I:I,Clientes!F:F)</f>
        <v>BIGFERTIL - CANDEIAS</v>
      </c>
      <c r="F190" s="254">
        <v>8224</v>
      </c>
      <c r="G190" s="254" t="s">
        <v>875</v>
      </c>
      <c r="H190" s="254" t="s">
        <v>921</v>
      </c>
      <c r="I190" s="255">
        <v>5000</v>
      </c>
      <c r="J190" s="256">
        <v>5000</v>
      </c>
      <c r="K190" s="258">
        <v>120888.52291192191</v>
      </c>
      <c r="L190" s="258">
        <v>-8452.5</v>
      </c>
      <c r="M190" s="258">
        <f t="shared" si="8"/>
        <v>112436.02291192191</v>
      </c>
      <c r="N190" s="258">
        <v>-36144.163953488365</v>
      </c>
      <c r="O190" s="258">
        <v>-13083.792000000029</v>
      </c>
      <c r="P190" s="258">
        <v>-7.3553504197147674</v>
      </c>
      <c r="Q190" s="258">
        <f t="shared" si="9"/>
        <v>63200.711608013815</v>
      </c>
      <c r="R190" s="259">
        <f t="shared" si="10"/>
        <v>0.56210376328877121</v>
      </c>
      <c r="S190" s="255">
        <f t="shared" si="11"/>
        <v>24.177704582384383</v>
      </c>
      <c r="T190" s="255">
        <f t="shared" si="11"/>
        <v>24.177704582384383</v>
      </c>
      <c r="U190" s="254">
        <v>100300</v>
      </c>
      <c r="V190" s="254" t="s">
        <v>917</v>
      </c>
      <c r="W190" s="254" t="s">
        <v>876</v>
      </c>
      <c r="X190" s="254" t="s">
        <v>446</v>
      </c>
      <c r="Y190" s="254" t="s">
        <v>843</v>
      </c>
      <c r="Z190" s="254" t="s">
        <v>1010</v>
      </c>
      <c r="AA190" s="254" t="s">
        <v>838</v>
      </c>
    </row>
    <row r="191" spans="1:27" ht="14.4" x14ac:dyDescent="0.3">
      <c r="A191" s="253">
        <v>13</v>
      </c>
      <c r="B191" s="254" t="s">
        <v>844</v>
      </c>
      <c r="C191" s="254">
        <v>2011</v>
      </c>
      <c r="D191" s="254" t="s">
        <v>616</v>
      </c>
      <c r="E191" s="254" t="str">
        <f>_xlfn.XLOOKUP(C191,Clientes!I:I,Clientes!F:F)</f>
        <v>FERTGROW S.A</v>
      </c>
      <c r="F191" s="254">
        <v>8224</v>
      </c>
      <c r="G191" s="254" t="s">
        <v>897</v>
      </c>
      <c r="H191" s="254" t="s">
        <v>921</v>
      </c>
      <c r="I191" s="255">
        <v>30000</v>
      </c>
      <c r="J191" s="256">
        <v>30000</v>
      </c>
      <c r="K191" s="258">
        <v>616005.86457727174</v>
      </c>
      <c r="L191" s="258">
        <v>-43071.000000000007</v>
      </c>
      <c r="M191" s="258">
        <f t="shared" si="8"/>
        <v>572934.86457727174</v>
      </c>
      <c r="N191" s="258">
        <v>-216864.98372093021</v>
      </c>
      <c r="O191" s="258">
        <v>-28539.757999999998</v>
      </c>
      <c r="P191" s="258">
        <v>-16.044272255616523</v>
      </c>
      <c r="Q191" s="258">
        <f t="shared" si="9"/>
        <v>327514.07858408598</v>
      </c>
      <c r="R191" s="259">
        <f t="shared" si="10"/>
        <v>0.57164277971761335</v>
      </c>
      <c r="S191" s="255">
        <f t="shared" si="11"/>
        <v>20.533528819242392</v>
      </c>
      <c r="T191" s="255">
        <f t="shared" si="11"/>
        <v>20.533528819242392</v>
      </c>
      <c r="U191" s="254">
        <v>100300</v>
      </c>
      <c r="V191" s="254" t="s">
        <v>917</v>
      </c>
      <c r="W191" s="254" t="s">
        <v>899</v>
      </c>
      <c r="X191" s="254" t="s">
        <v>446</v>
      </c>
      <c r="Y191" s="254" t="s">
        <v>843</v>
      </c>
      <c r="Z191" s="254" t="s">
        <v>1010</v>
      </c>
      <c r="AA191" s="254" t="s">
        <v>838</v>
      </c>
    </row>
    <row r="192" spans="1:27" ht="14.4" x14ac:dyDescent="0.3">
      <c r="A192" s="253">
        <v>13</v>
      </c>
      <c r="B192" s="254" t="s">
        <v>844</v>
      </c>
      <c r="C192" s="254">
        <v>11133</v>
      </c>
      <c r="D192" s="254" t="s">
        <v>895</v>
      </c>
      <c r="E192" s="254" t="str">
        <f>_xlfn.XLOOKUP(C192,Clientes!I:I,Clientes!F:F)</f>
        <v>GRUPO ADUBOS ARAGUAIA</v>
      </c>
      <c r="F192" s="254">
        <v>8214</v>
      </c>
      <c r="G192" s="254" t="s">
        <v>862</v>
      </c>
      <c r="H192" s="254" t="s">
        <v>922</v>
      </c>
      <c r="I192" s="255">
        <v>2000</v>
      </c>
      <c r="J192" s="256">
        <v>2000</v>
      </c>
      <c r="K192" s="258">
        <v>76087.186263404277</v>
      </c>
      <c r="L192" s="258">
        <v>-9120</v>
      </c>
      <c r="M192" s="258">
        <f t="shared" si="8"/>
        <v>66967.186263404277</v>
      </c>
      <c r="N192" s="258">
        <v>-19499.686461538462</v>
      </c>
      <c r="O192" s="258">
        <v>-9901.2479999999723</v>
      </c>
      <c r="P192" s="258">
        <v>-5.5662111284327693</v>
      </c>
      <c r="Q192" s="258">
        <f t="shared" si="9"/>
        <v>37560.685590737412</v>
      </c>
      <c r="R192" s="259">
        <f t="shared" si="10"/>
        <v>0.56088194362831234</v>
      </c>
      <c r="S192" s="255">
        <f t="shared" si="11"/>
        <v>38.043593131702139</v>
      </c>
      <c r="T192" s="255">
        <f t="shared" si="11"/>
        <v>38.043593131702139</v>
      </c>
      <c r="U192" s="254">
        <v>100300</v>
      </c>
      <c r="V192" s="254" t="s">
        <v>917</v>
      </c>
      <c r="W192" s="254" t="s">
        <v>864</v>
      </c>
      <c r="X192" s="254" t="s">
        <v>446</v>
      </c>
      <c r="Y192" s="254" t="s">
        <v>843</v>
      </c>
      <c r="Z192" s="254" t="s">
        <v>1010</v>
      </c>
      <c r="AA192" s="254" t="s">
        <v>838</v>
      </c>
    </row>
    <row r="193" spans="1:27" ht="14.4" x14ac:dyDescent="0.3">
      <c r="A193" s="253">
        <v>13</v>
      </c>
      <c r="B193" s="254" t="s">
        <v>844</v>
      </c>
      <c r="C193" s="254">
        <v>2588</v>
      </c>
      <c r="D193" s="254" t="s">
        <v>70</v>
      </c>
      <c r="E193" s="254" t="str">
        <f>_xlfn.XLOOKUP(C193,Clientes!I:I,Clientes!F:F)</f>
        <v>GRUPO FERTILIZ TOCANTINS</v>
      </c>
      <c r="F193" s="254">
        <v>8217</v>
      </c>
      <c r="G193" s="254" t="s">
        <v>840</v>
      </c>
      <c r="H193" s="254" t="s">
        <v>927</v>
      </c>
      <c r="I193" s="255">
        <v>24000</v>
      </c>
      <c r="J193" s="256">
        <v>24000</v>
      </c>
      <c r="K193" s="258">
        <v>887577.05070636433</v>
      </c>
      <c r="L193" s="258">
        <v>-62059.200000000004</v>
      </c>
      <c r="M193" s="258">
        <f t="shared" si="8"/>
        <v>825517.85070636438</v>
      </c>
      <c r="N193" s="258">
        <v>-382032.04121212143</v>
      </c>
      <c r="O193" s="258">
        <v>-19700.094700000001</v>
      </c>
      <c r="P193" s="258">
        <v>-11.074855043558118</v>
      </c>
      <c r="Q193" s="258">
        <f t="shared" si="9"/>
        <v>423774.63993919938</v>
      </c>
      <c r="R193" s="259">
        <f t="shared" si="10"/>
        <v>0.51334400531326063</v>
      </c>
      <c r="S193" s="255">
        <f t="shared" si="11"/>
        <v>36.982377112765178</v>
      </c>
      <c r="T193" s="255">
        <f t="shared" si="11"/>
        <v>36.982377112765178</v>
      </c>
      <c r="U193" s="254">
        <v>100300</v>
      </c>
      <c r="V193" s="254" t="s">
        <v>917</v>
      </c>
      <c r="W193" s="254" t="s">
        <v>915</v>
      </c>
      <c r="X193" s="254" t="s">
        <v>446</v>
      </c>
      <c r="Y193" s="254" t="s">
        <v>843</v>
      </c>
      <c r="Z193" s="254" t="s">
        <v>1010</v>
      </c>
      <c r="AA193" s="254" t="s">
        <v>838</v>
      </c>
    </row>
    <row r="194" spans="1:27" ht="14.4" x14ac:dyDescent="0.3">
      <c r="A194" s="253">
        <v>13</v>
      </c>
      <c r="B194" s="254" t="s">
        <v>844</v>
      </c>
      <c r="C194" s="254">
        <v>729</v>
      </c>
      <c r="D194" s="254" t="s">
        <v>937</v>
      </c>
      <c r="E194" s="254" t="str">
        <f>_xlfn.XLOOKUP(C194,Clientes!I:I,Clientes!F:F)</f>
        <v>GRUPO FERTILIZ TOCANTINS</v>
      </c>
      <c r="F194" s="254">
        <v>8217</v>
      </c>
      <c r="G194" s="254" t="s">
        <v>897</v>
      </c>
      <c r="H194" s="254" t="s">
        <v>927</v>
      </c>
      <c r="I194" s="255">
        <v>24000</v>
      </c>
      <c r="J194" s="256">
        <v>24000</v>
      </c>
      <c r="K194" s="258">
        <v>951009.73651753925</v>
      </c>
      <c r="L194" s="258">
        <v>-66494.400000000009</v>
      </c>
      <c r="M194" s="258">
        <f t="shared" si="8"/>
        <v>884515.33651753922</v>
      </c>
      <c r="N194" s="258">
        <v>-382032.04121212143</v>
      </c>
      <c r="O194" s="258">
        <v>-28539.757999999998</v>
      </c>
      <c r="P194" s="258">
        <v>-16.044272255616523</v>
      </c>
      <c r="Q194" s="258">
        <f t="shared" si="9"/>
        <v>473927.4930331622</v>
      </c>
      <c r="R194" s="259">
        <f t="shared" si="10"/>
        <v>0.53580472092104259</v>
      </c>
      <c r="S194" s="255">
        <f t="shared" si="11"/>
        <v>39.625405688230799</v>
      </c>
      <c r="T194" s="255">
        <f t="shared" si="11"/>
        <v>39.625405688230799</v>
      </c>
      <c r="U194" s="254">
        <v>100300</v>
      </c>
      <c r="V194" s="254" t="s">
        <v>917</v>
      </c>
      <c r="W194" s="254" t="s">
        <v>899</v>
      </c>
      <c r="X194" s="254" t="s">
        <v>446</v>
      </c>
      <c r="Y194" s="254" t="s">
        <v>843</v>
      </c>
      <c r="Z194" s="254" t="s">
        <v>1010</v>
      </c>
      <c r="AA194" s="254" t="s">
        <v>838</v>
      </c>
    </row>
    <row r="195" spans="1:27" ht="14.4" x14ac:dyDescent="0.3">
      <c r="A195" s="253">
        <v>13</v>
      </c>
      <c r="B195" s="254" t="s">
        <v>844</v>
      </c>
      <c r="C195" s="254">
        <v>5325</v>
      </c>
      <c r="D195" s="254" t="s">
        <v>222</v>
      </c>
      <c r="E195" s="254" t="str">
        <f>_xlfn.XLOOKUP(C195,Clientes!I:I,Clientes!F:F)</f>
        <v>GRUPO FERTILIZE</v>
      </c>
      <c r="F195" s="254">
        <v>8215</v>
      </c>
      <c r="G195" s="254" t="s">
        <v>862</v>
      </c>
      <c r="H195" s="254" t="s">
        <v>947</v>
      </c>
      <c r="I195" s="255">
        <v>1000</v>
      </c>
      <c r="J195" s="256">
        <v>1000</v>
      </c>
      <c r="K195" s="258">
        <v>30595.058055389927</v>
      </c>
      <c r="L195" s="258">
        <v>-3667.2</v>
      </c>
      <c r="M195" s="258">
        <f t="shared" si="8"/>
        <v>26927.858055389926</v>
      </c>
      <c r="N195" s="258">
        <v>-13868.676000000001</v>
      </c>
      <c r="O195" s="258">
        <v>-8663.5920000000024</v>
      </c>
      <c r="P195" s="258">
        <v>-4.8704347373786883</v>
      </c>
      <c r="Q195" s="258">
        <f t="shared" si="9"/>
        <v>4390.7196206525441</v>
      </c>
      <c r="R195" s="259">
        <f t="shared" si="10"/>
        <v>0.16305491553100676</v>
      </c>
      <c r="S195" s="255">
        <f t="shared" si="11"/>
        <v>30.595058055389927</v>
      </c>
      <c r="T195" s="255">
        <f t="shared" si="11"/>
        <v>30.595058055389927</v>
      </c>
      <c r="U195" s="254">
        <v>100300</v>
      </c>
      <c r="V195" s="254" t="s">
        <v>917</v>
      </c>
      <c r="W195" s="254" t="s">
        <v>1029</v>
      </c>
      <c r="X195" s="254" t="s">
        <v>446</v>
      </c>
      <c r="Y195" s="254" t="s">
        <v>843</v>
      </c>
      <c r="Z195" s="254" t="s">
        <v>1010</v>
      </c>
      <c r="AA195" s="254" t="s">
        <v>838</v>
      </c>
    </row>
    <row r="196" spans="1:27" ht="14.4" x14ac:dyDescent="0.3">
      <c r="A196" s="253">
        <v>13</v>
      </c>
      <c r="B196" s="254" t="s">
        <v>844</v>
      </c>
      <c r="C196" s="254">
        <v>833</v>
      </c>
      <c r="D196" s="254" t="s">
        <v>213</v>
      </c>
      <c r="E196" s="254" t="str">
        <f>_xlfn.XLOOKUP(C196,Clientes!I:I,Clientes!F:F)</f>
        <v>TERRENA - PATOS DE MINAS</v>
      </c>
      <c r="F196" s="254">
        <v>8215</v>
      </c>
      <c r="G196" s="254" t="s">
        <v>855</v>
      </c>
      <c r="H196" s="254" t="s">
        <v>947</v>
      </c>
      <c r="I196" s="255">
        <v>6000</v>
      </c>
      <c r="J196" s="256">
        <v>6000</v>
      </c>
      <c r="K196" s="258">
        <v>162185.84440357226</v>
      </c>
      <c r="L196" s="258">
        <v>0</v>
      </c>
      <c r="M196" s="258">
        <f t="shared" ref="M196:M259" si="12">SUM(K196:L196)</f>
        <v>162185.84440357226</v>
      </c>
      <c r="N196" s="258">
        <v>-83212.056000000011</v>
      </c>
      <c r="O196" s="258">
        <v>-3639.2979999999998</v>
      </c>
      <c r="P196" s="258">
        <v>-2.0459139117900267</v>
      </c>
      <c r="Q196" s="258">
        <f t="shared" ref="Q196:Q259" si="13">SUM(M196:P196)</f>
        <v>75332.444489660469</v>
      </c>
      <c r="R196" s="259">
        <f t="shared" ref="R196:R259" si="14">Q196/M196</f>
        <v>0.46448224113941977</v>
      </c>
      <c r="S196" s="255">
        <f t="shared" ref="S196:T259" si="15">$K196/I196</f>
        <v>27.030974067262044</v>
      </c>
      <c r="T196" s="255">
        <f t="shared" si="15"/>
        <v>27.030974067262044</v>
      </c>
      <c r="U196" s="254">
        <v>100300</v>
      </c>
      <c r="V196" s="254" t="s">
        <v>917</v>
      </c>
      <c r="W196" s="254" t="s">
        <v>952</v>
      </c>
      <c r="X196" s="254" t="s">
        <v>446</v>
      </c>
      <c r="Y196" s="254" t="s">
        <v>843</v>
      </c>
      <c r="Z196" s="254" t="s">
        <v>1010</v>
      </c>
      <c r="AA196" s="254" t="s">
        <v>838</v>
      </c>
    </row>
    <row r="197" spans="1:27" ht="14.4" x14ac:dyDescent="0.3">
      <c r="A197" s="253">
        <v>13</v>
      </c>
      <c r="B197" s="254" t="s">
        <v>844</v>
      </c>
      <c r="C197" s="254">
        <v>10434</v>
      </c>
      <c r="D197" s="254" t="s">
        <v>99</v>
      </c>
      <c r="E197" s="254" t="str">
        <f>_xlfn.XLOOKUP(C197,Clientes!I:I,Clientes!F:F)</f>
        <v>GRUPO CIBRA</v>
      </c>
      <c r="F197" s="254">
        <v>8218</v>
      </c>
      <c r="G197" s="254" t="s">
        <v>840</v>
      </c>
      <c r="H197" s="254" t="s">
        <v>923</v>
      </c>
      <c r="I197" s="255">
        <v>24000</v>
      </c>
      <c r="J197" s="256">
        <v>24000</v>
      </c>
      <c r="K197" s="258">
        <v>619910.33860920952</v>
      </c>
      <c r="L197" s="258">
        <v>-43344.000000000007</v>
      </c>
      <c r="M197" s="258">
        <f t="shared" si="12"/>
        <v>576566.33860920952</v>
      </c>
      <c r="N197" s="258">
        <v>-274224.48</v>
      </c>
      <c r="O197" s="258">
        <v>-19700.094700000001</v>
      </c>
      <c r="P197" s="258">
        <v>-11.074855043558118</v>
      </c>
      <c r="Q197" s="258">
        <f t="shared" si="13"/>
        <v>282630.68905416597</v>
      </c>
      <c r="R197" s="259">
        <f t="shared" si="14"/>
        <v>0.4901963054865921</v>
      </c>
      <c r="S197" s="255">
        <f t="shared" si="15"/>
        <v>25.829597442050396</v>
      </c>
      <c r="T197" s="255">
        <f t="shared" si="15"/>
        <v>25.829597442050396</v>
      </c>
      <c r="U197" s="254">
        <v>100300</v>
      </c>
      <c r="V197" s="254" t="s">
        <v>917</v>
      </c>
      <c r="W197" s="254" t="s">
        <v>915</v>
      </c>
      <c r="X197" s="254" t="s">
        <v>446</v>
      </c>
      <c r="Y197" s="254" t="s">
        <v>843</v>
      </c>
      <c r="Z197" s="254" t="s">
        <v>1010</v>
      </c>
      <c r="AA197" s="254" t="s">
        <v>838</v>
      </c>
    </row>
    <row r="198" spans="1:27" ht="14.4" x14ac:dyDescent="0.3">
      <c r="A198" s="253">
        <v>13</v>
      </c>
      <c r="B198" s="254" t="s">
        <v>844</v>
      </c>
      <c r="C198" s="254">
        <v>12287</v>
      </c>
      <c r="D198" s="254" t="s">
        <v>347</v>
      </c>
      <c r="E198" s="254" t="str">
        <f>_xlfn.XLOOKUP(C198,Clientes!I:I,Clientes!F:F)</f>
        <v>GRUPO GEN FERTILIZANTES</v>
      </c>
      <c r="F198" s="254">
        <v>8214</v>
      </c>
      <c r="G198" s="254" t="s">
        <v>926</v>
      </c>
      <c r="H198" s="254" t="s">
        <v>922</v>
      </c>
      <c r="I198" s="255">
        <v>20000</v>
      </c>
      <c r="J198" s="256">
        <v>20000</v>
      </c>
      <c r="K198" s="258">
        <v>556637.83634806285</v>
      </c>
      <c r="L198" s="258">
        <v>-38920.000000000007</v>
      </c>
      <c r="M198" s="258">
        <f t="shared" si="12"/>
        <v>517717.83634806285</v>
      </c>
      <c r="N198" s="258">
        <v>-194996.86461538461</v>
      </c>
      <c r="O198" s="258">
        <v>-31768.437837500001</v>
      </c>
      <c r="P198" s="258">
        <v>-17.859347854332874</v>
      </c>
      <c r="Q198" s="258">
        <f t="shared" si="13"/>
        <v>290934.6745473239</v>
      </c>
      <c r="R198" s="259">
        <f t="shared" si="14"/>
        <v>0.56195605814849281</v>
      </c>
      <c r="S198" s="255">
        <f t="shared" si="15"/>
        <v>27.831891817403143</v>
      </c>
      <c r="T198" s="255">
        <f t="shared" si="15"/>
        <v>27.831891817403143</v>
      </c>
      <c r="U198" s="254">
        <v>100300</v>
      </c>
      <c r="V198" s="254" t="s">
        <v>917</v>
      </c>
      <c r="W198" s="254" t="s">
        <v>928</v>
      </c>
      <c r="X198" s="254" t="s">
        <v>446</v>
      </c>
      <c r="Y198" s="254" t="s">
        <v>843</v>
      </c>
      <c r="Z198" s="254" t="s">
        <v>1010</v>
      </c>
      <c r="AA198" s="254" t="s">
        <v>838</v>
      </c>
    </row>
    <row r="199" spans="1:27" ht="14.4" x14ac:dyDescent="0.3">
      <c r="A199" s="253">
        <v>13</v>
      </c>
      <c r="B199" s="254" t="s">
        <v>844</v>
      </c>
      <c r="C199" s="254">
        <v>7443</v>
      </c>
      <c r="D199" s="254" t="s">
        <v>1016</v>
      </c>
      <c r="E199" s="254" t="str">
        <f>_xlfn.XLOOKUP(C199,Clientes!I:I,Clientes!F:F)</f>
        <v>GRUPO MOSAIC FERTILIZANTES DO BRASIL</v>
      </c>
      <c r="F199" s="254">
        <v>8215</v>
      </c>
      <c r="G199" s="254" t="s">
        <v>867</v>
      </c>
      <c r="H199" s="254" t="s">
        <v>947</v>
      </c>
      <c r="I199" s="255">
        <v>6000</v>
      </c>
      <c r="J199" s="256">
        <v>6000</v>
      </c>
      <c r="K199" s="258">
        <v>222254.67566415458</v>
      </c>
      <c r="L199" s="258">
        <v>-15540.000000000002</v>
      </c>
      <c r="M199" s="258">
        <f t="shared" si="12"/>
        <v>206714.67566415458</v>
      </c>
      <c r="N199" s="258">
        <v>-83212.056000000011</v>
      </c>
      <c r="O199" s="258">
        <v>-2121.6959999999981</v>
      </c>
      <c r="P199" s="258">
        <v>-1.1927595275213099</v>
      </c>
      <c r="Q199" s="258">
        <f t="shared" si="13"/>
        <v>121379.73090462705</v>
      </c>
      <c r="R199" s="259">
        <f t="shared" si="14"/>
        <v>0.5871848745844751</v>
      </c>
      <c r="S199" s="255">
        <f t="shared" si="15"/>
        <v>37.042445944025765</v>
      </c>
      <c r="T199" s="255">
        <f t="shared" si="15"/>
        <v>37.042445944025765</v>
      </c>
      <c r="U199" s="254">
        <v>100300</v>
      </c>
      <c r="V199" s="254" t="s">
        <v>917</v>
      </c>
      <c r="W199" s="254" t="s">
        <v>871</v>
      </c>
      <c r="X199" s="254" t="s">
        <v>446</v>
      </c>
      <c r="Y199" s="254" t="s">
        <v>843</v>
      </c>
      <c r="Z199" s="254" t="s">
        <v>1010</v>
      </c>
      <c r="AA199" s="254" t="s">
        <v>838</v>
      </c>
    </row>
    <row r="200" spans="1:27" ht="14.4" x14ac:dyDescent="0.3">
      <c r="A200" s="253">
        <v>13</v>
      </c>
      <c r="B200" s="254" t="s">
        <v>844</v>
      </c>
      <c r="C200" s="254">
        <v>2247</v>
      </c>
      <c r="D200" s="254" t="s">
        <v>425</v>
      </c>
      <c r="E200" s="254" t="str">
        <f>_xlfn.XLOOKUP(C200,Clientes!I:I,Clientes!F:F)</f>
        <v>ADUBOS LEAO - LARANJEIRAS</v>
      </c>
      <c r="F200" s="254">
        <v>8225</v>
      </c>
      <c r="G200" s="254" t="s">
        <v>887</v>
      </c>
      <c r="H200" s="254" t="s">
        <v>919</v>
      </c>
      <c r="I200" s="255">
        <v>1000</v>
      </c>
      <c r="J200" s="256">
        <v>1000</v>
      </c>
      <c r="K200" s="258">
        <v>30605.069527266693</v>
      </c>
      <c r="L200" s="258">
        <v>-2139.9</v>
      </c>
      <c r="M200" s="258">
        <f t="shared" si="12"/>
        <v>28465.169527266691</v>
      </c>
      <c r="N200" s="258">
        <v>-6905.932499999999</v>
      </c>
      <c r="O200" s="258">
        <v>-12188.49139872</v>
      </c>
      <c r="P200" s="258">
        <v>-6.8520368808419443</v>
      </c>
      <c r="Q200" s="258">
        <f t="shared" si="13"/>
        <v>9363.8935916658502</v>
      </c>
      <c r="R200" s="259">
        <f t="shared" si="14"/>
        <v>0.32895969871868169</v>
      </c>
      <c r="S200" s="255">
        <f t="shared" si="15"/>
        <v>30.605069527266693</v>
      </c>
      <c r="T200" s="255">
        <f t="shared" si="15"/>
        <v>30.605069527266693</v>
      </c>
      <c r="U200" s="254">
        <v>100300</v>
      </c>
      <c r="V200" s="254" t="s">
        <v>917</v>
      </c>
      <c r="W200" s="254" t="s">
        <v>1030</v>
      </c>
      <c r="X200" s="254" t="s">
        <v>446</v>
      </c>
      <c r="Y200" s="254" t="s">
        <v>843</v>
      </c>
      <c r="Z200" s="254" t="s">
        <v>1010</v>
      </c>
      <c r="AA200" s="254" t="s">
        <v>838</v>
      </c>
    </row>
    <row r="201" spans="1:27" ht="14.4" x14ac:dyDescent="0.3">
      <c r="A201" s="253">
        <v>13</v>
      </c>
      <c r="B201" s="254" t="s">
        <v>844</v>
      </c>
      <c r="C201" s="254">
        <v>7648</v>
      </c>
      <c r="D201" s="254" t="s">
        <v>958</v>
      </c>
      <c r="E201" s="254" t="str">
        <f>_xlfn.XLOOKUP(C201,Clientes!I:I,Clientes!F:F)</f>
        <v>GRUPO LOUIS DREYFUS</v>
      </c>
      <c r="F201" s="254">
        <v>8215</v>
      </c>
      <c r="G201" s="254" t="s">
        <v>862</v>
      </c>
      <c r="H201" s="254" t="s">
        <v>947</v>
      </c>
      <c r="I201" s="255">
        <v>4000</v>
      </c>
      <c r="J201" s="256">
        <v>4000</v>
      </c>
      <c r="K201" s="258">
        <v>135355.09977384549</v>
      </c>
      <c r="L201" s="258">
        <v>-16224</v>
      </c>
      <c r="M201" s="258">
        <f t="shared" si="12"/>
        <v>119131.09977384549</v>
      </c>
      <c r="N201" s="258">
        <v>-55474.704000000005</v>
      </c>
      <c r="O201" s="258">
        <v>-9901.2479999999723</v>
      </c>
      <c r="P201" s="258">
        <v>-5.5662111284327693</v>
      </c>
      <c r="Q201" s="258">
        <f t="shared" si="13"/>
        <v>53749.581562717081</v>
      </c>
      <c r="R201" s="259">
        <f t="shared" si="14"/>
        <v>0.45118010045028961</v>
      </c>
      <c r="S201" s="255">
        <f t="shared" si="15"/>
        <v>33.838774943461374</v>
      </c>
      <c r="T201" s="255">
        <f t="shared" si="15"/>
        <v>33.838774943461374</v>
      </c>
      <c r="U201" s="254">
        <v>100300</v>
      </c>
      <c r="V201" s="254" t="s">
        <v>917</v>
      </c>
      <c r="W201" s="254" t="s">
        <v>864</v>
      </c>
      <c r="X201" s="254" t="s">
        <v>446</v>
      </c>
      <c r="Y201" s="254" t="s">
        <v>843</v>
      </c>
      <c r="Z201" s="254" t="s">
        <v>1010</v>
      </c>
      <c r="AA201" s="254" t="s">
        <v>838</v>
      </c>
    </row>
    <row r="202" spans="1:27" ht="14.4" x14ac:dyDescent="0.3">
      <c r="A202" s="253">
        <v>13</v>
      </c>
      <c r="B202" s="254" t="s">
        <v>844</v>
      </c>
      <c r="C202" s="254">
        <v>11580</v>
      </c>
      <c r="D202" s="254" t="s">
        <v>424</v>
      </c>
      <c r="E202" s="254" t="str">
        <f>_xlfn.XLOOKUP(C202,Clientes!I:I,Clientes!F:F)</f>
        <v>AGRO MIL AGROS SAS - COLOMBIA</v>
      </c>
      <c r="F202" s="254">
        <v>9680</v>
      </c>
      <c r="G202" s="254" t="s">
        <v>832</v>
      </c>
      <c r="H202" s="254" t="s">
        <v>1031</v>
      </c>
      <c r="I202" s="255">
        <v>2200</v>
      </c>
      <c r="J202" s="256">
        <v>2200</v>
      </c>
      <c r="K202" s="258">
        <v>91580.940139883809</v>
      </c>
      <c r="L202" s="258">
        <v>0</v>
      </c>
      <c r="M202" s="258">
        <f t="shared" si="12"/>
        <v>91580.940139883809</v>
      </c>
      <c r="N202" s="258">
        <v>-39115.207999999999</v>
      </c>
      <c r="O202" s="258">
        <v>0</v>
      </c>
      <c r="P202" s="258">
        <v>-456.73597676107477</v>
      </c>
      <c r="Q202" s="258">
        <f t="shared" si="13"/>
        <v>52008.996163122734</v>
      </c>
      <c r="R202" s="259">
        <f t="shared" si="14"/>
        <v>0.56790196828818795</v>
      </c>
      <c r="S202" s="255">
        <f t="shared" si="15"/>
        <v>41.627700063583546</v>
      </c>
      <c r="T202" s="255">
        <f t="shared" si="15"/>
        <v>41.627700063583546</v>
      </c>
      <c r="U202" s="254">
        <v>100300</v>
      </c>
      <c r="V202" s="254" t="s">
        <v>917</v>
      </c>
      <c r="W202" s="254" t="s">
        <v>1032</v>
      </c>
      <c r="X202" s="254" t="s">
        <v>446</v>
      </c>
      <c r="Y202" s="254" t="s">
        <v>836</v>
      </c>
      <c r="Z202" s="254" t="s">
        <v>1010</v>
      </c>
      <c r="AA202" s="254" t="s">
        <v>838</v>
      </c>
    </row>
    <row r="203" spans="1:27" ht="14.4" x14ac:dyDescent="0.3">
      <c r="A203" s="253">
        <v>13</v>
      </c>
      <c r="B203" s="254" t="s">
        <v>844</v>
      </c>
      <c r="C203" s="254">
        <v>31</v>
      </c>
      <c r="D203" s="254" t="s">
        <v>261</v>
      </c>
      <c r="E203" s="254" t="str">
        <f>_xlfn.XLOOKUP(C203,Clientes!I:I,Clientes!F:F)</f>
        <v>SUL GOIANA - GOIATUBA</v>
      </c>
      <c r="F203" s="254">
        <v>8214</v>
      </c>
      <c r="G203" s="254" t="s">
        <v>867</v>
      </c>
      <c r="H203" s="254" t="s">
        <v>922</v>
      </c>
      <c r="I203" s="255">
        <v>8000</v>
      </c>
      <c r="J203" s="256">
        <v>8000</v>
      </c>
      <c r="K203" s="258">
        <v>208238.61503668537</v>
      </c>
      <c r="L203" s="258">
        <v>-14560.000000000002</v>
      </c>
      <c r="M203" s="258">
        <f t="shared" si="12"/>
        <v>193678.61503668537</v>
      </c>
      <c r="N203" s="258">
        <v>-77998.745846153848</v>
      </c>
      <c r="O203" s="258">
        <v>-2386.9079999999967</v>
      </c>
      <c r="P203" s="258">
        <v>-1.341854468461473</v>
      </c>
      <c r="Q203" s="258">
        <f t="shared" si="13"/>
        <v>113291.61933606306</v>
      </c>
      <c r="R203" s="259">
        <f t="shared" si="14"/>
        <v>0.5849464553151833</v>
      </c>
      <c r="S203" s="255">
        <f t="shared" si="15"/>
        <v>26.02982687958567</v>
      </c>
      <c r="T203" s="255">
        <f t="shared" si="15"/>
        <v>26.02982687958567</v>
      </c>
      <c r="U203" s="254">
        <v>100300</v>
      </c>
      <c r="V203" s="254" t="s">
        <v>917</v>
      </c>
      <c r="W203" s="254" t="s">
        <v>1020</v>
      </c>
      <c r="X203" s="254" t="s">
        <v>446</v>
      </c>
      <c r="Y203" s="254" t="s">
        <v>843</v>
      </c>
      <c r="Z203" s="254" t="s">
        <v>1010</v>
      </c>
      <c r="AA203" s="254" t="s">
        <v>838</v>
      </c>
    </row>
    <row r="204" spans="1:27" ht="14.4" x14ac:dyDescent="0.3">
      <c r="A204" s="253">
        <v>13</v>
      </c>
      <c r="B204" s="254" t="s">
        <v>844</v>
      </c>
      <c r="C204" s="254">
        <v>2648</v>
      </c>
      <c r="D204" s="254" t="s">
        <v>452</v>
      </c>
      <c r="E204" s="254" t="str">
        <f>_xlfn.XLOOKUP(C204,Clientes!I:I,Clientes!F:F)</f>
        <v>SQM - CHILE</v>
      </c>
      <c r="F204" s="254">
        <v>13025</v>
      </c>
      <c r="G204" s="254" t="s">
        <v>832</v>
      </c>
      <c r="H204" s="254" t="s">
        <v>935</v>
      </c>
      <c r="I204" s="255">
        <v>2200</v>
      </c>
      <c r="J204" s="256">
        <v>2200</v>
      </c>
      <c r="K204" s="258">
        <v>58278.780089016967</v>
      </c>
      <c r="L204" s="258">
        <v>0</v>
      </c>
      <c r="M204" s="258">
        <f t="shared" si="12"/>
        <v>58278.780089016967</v>
      </c>
      <c r="N204" s="258">
        <v>-14837.32</v>
      </c>
      <c r="O204" s="258">
        <v>0</v>
      </c>
      <c r="P204" s="258">
        <v>-456.73597676107477</v>
      </c>
      <c r="Q204" s="258">
        <f t="shared" si="13"/>
        <v>42984.724112255892</v>
      </c>
      <c r="R204" s="259">
        <f t="shared" si="14"/>
        <v>0.7375707598305864</v>
      </c>
      <c r="S204" s="255">
        <f t="shared" si="15"/>
        <v>26.490354585916805</v>
      </c>
      <c r="T204" s="255">
        <f t="shared" si="15"/>
        <v>26.490354585916805</v>
      </c>
      <c r="U204" s="254">
        <v>100300</v>
      </c>
      <c r="V204" s="254" t="s">
        <v>917</v>
      </c>
      <c r="W204" s="254" t="s">
        <v>1033</v>
      </c>
      <c r="X204" s="254" t="s">
        <v>446</v>
      </c>
      <c r="Y204" s="254" t="s">
        <v>836</v>
      </c>
      <c r="Z204" s="254" t="s">
        <v>1010</v>
      </c>
      <c r="AA204" s="254" t="s">
        <v>838</v>
      </c>
    </row>
    <row r="205" spans="1:27" ht="14.4" x14ac:dyDescent="0.3">
      <c r="A205" s="253">
        <v>13</v>
      </c>
      <c r="B205" s="254" t="s">
        <v>844</v>
      </c>
      <c r="C205" s="254">
        <v>3232</v>
      </c>
      <c r="D205" s="254" t="s">
        <v>153</v>
      </c>
      <c r="E205" s="254" t="str">
        <f>_xlfn.XLOOKUP(C205,Clientes!I:I,Clientes!F:F)</f>
        <v>GRUPO FERTILIZ TOCANTINS</v>
      </c>
      <c r="F205" s="254">
        <v>8217</v>
      </c>
      <c r="G205" s="254" t="s">
        <v>855</v>
      </c>
      <c r="H205" s="254" t="s">
        <v>927</v>
      </c>
      <c r="I205" s="255">
        <v>24000</v>
      </c>
      <c r="J205" s="256">
        <v>24000</v>
      </c>
      <c r="K205" s="258">
        <v>1009156.365177783</v>
      </c>
      <c r="L205" s="258">
        <v>-181440</v>
      </c>
      <c r="M205" s="258">
        <f t="shared" si="12"/>
        <v>827716.36517778295</v>
      </c>
      <c r="N205" s="258">
        <v>-382032.04121212143</v>
      </c>
      <c r="O205" s="258">
        <v>-3543.527</v>
      </c>
      <c r="P205" s="258">
        <v>-1.9920740720060786</v>
      </c>
      <c r="Q205" s="258">
        <f t="shared" si="13"/>
        <v>442138.80489158951</v>
      </c>
      <c r="R205" s="259">
        <f t="shared" si="14"/>
        <v>0.53416704500777112</v>
      </c>
      <c r="S205" s="255">
        <f t="shared" si="15"/>
        <v>42.048181882407626</v>
      </c>
      <c r="T205" s="255">
        <f t="shared" si="15"/>
        <v>42.048181882407626</v>
      </c>
      <c r="U205" s="254">
        <v>100300</v>
      </c>
      <c r="V205" s="254" t="s">
        <v>917</v>
      </c>
      <c r="W205" s="254" t="s">
        <v>857</v>
      </c>
      <c r="X205" s="254" t="s">
        <v>446</v>
      </c>
      <c r="Y205" s="254" t="s">
        <v>843</v>
      </c>
      <c r="Z205" s="254" t="s">
        <v>1010</v>
      </c>
      <c r="AA205" s="254" t="s">
        <v>838</v>
      </c>
    </row>
    <row r="206" spans="1:27" ht="14.4" x14ac:dyDescent="0.3">
      <c r="A206" s="253">
        <v>13</v>
      </c>
      <c r="B206" s="254" t="s">
        <v>844</v>
      </c>
      <c r="C206" s="254">
        <v>10598</v>
      </c>
      <c r="D206" s="254" t="s">
        <v>292</v>
      </c>
      <c r="E206" s="254" t="str">
        <f>_xlfn.XLOOKUP(C206,Clientes!I:I,Clientes!F:F)</f>
        <v>GRUPO GEN FERTILIZANTES</v>
      </c>
      <c r="F206" s="254">
        <v>8214</v>
      </c>
      <c r="G206" s="254" t="s">
        <v>867</v>
      </c>
      <c r="H206" s="254" t="s">
        <v>922</v>
      </c>
      <c r="I206" s="255">
        <v>6000</v>
      </c>
      <c r="J206" s="256">
        <v>6000</v>
      </c>
      <c r="K206" s="258">
        <v>156178.96127751403</v>
      </c>
      <c r="L206" s="258">
        <v>-10920.000000000002</v>
      </c>
      <c r="M206" s="258">
        <f t="shared" si="12"/>
        <v>145258.96127751403</v>
      </c>
      <c r="N206" s="258">
        <v>-58499.059384615379</v>
      </c>
      <c r="O206" s="258">
        <v>0</v>
      </c>
      <c r="P206" s="258">
        <v>0</v>
      </c>
      <c r="Q206" s="258">
        <f t="shared" si="13"/>
        <v>86759.901892898648</v>
      </c>
      <c r="R206" s="259">
        <f t="shared" si="14"/>
        <v>0.59727744939016725</v>
      </c>
      <c r="S206" s="255">
        <f t="shared" si="15"/>
        <v>26.02982687958567</v>
      </c>
      <c r="T206" s="255">
        <f t="shared" si="15"/>
        <v>26.02982687958567</v>
      </c>
      <c r="U206" s="254">
        <v>100300</v>
      </c>
      <c r="V206" s="254" t="s">
        <v>917</v>
      </c>
      <c r="W206" s="254" t="s">
        <v>1034</v>
      </c>
      <c r="X206" s="254" t="s">
        <v>446</v>
      </c>
      <c r="Y206" s="254" t="s">
        <v>843</v>
      </c>
      <c r="Z206" s="254" t="s">
        <v>1010</v>
      </c>
      <c r="AA206" s="254" t="s">
        <v>838</v>
      </c>
    </row>
    <row r="207" spans="1:27" ht="14.4" x14ac:dyDescent="0.3">
      <c r="A207" s="253">
        <v>13</v>
      </c>
      <c r="B207" s="254" t="s">
        <v>844</v>
      </c>
      <c r="C207" s="254">
        <v>5731</v>
      </c>
      <c r="D207" s="254" t="s">
        <v>901</v>
      </c>
      <c r="E207" s="254" t="str">
        <f>_xlfn.XLOOKUP(C207,Clientes!I:I,Clientes!F:F)</f>
        <v>FERTILIZANTES ALIANÇA - APARECIDA DE GOI</v>
      </c>
      <c r="F207" s="254">
        <v>8214</v>
      </c>
      <c r="G207" s="254" t="s">
        <v>867</v>
      </c>
      <c r="H207" s="254" t="s">
        <v>922</v>
      </c>
      <c r="I207" s="255">
        <v>1000</v>
      </c>
      <c r="J207" s="256">
        <v>1000</v>
      </c>
      <c r="K207" s="258">
        <v>32036.710005643905</v>
      </c>
      <c r="L207" s="258">
        <v>-2240</v>
      </c>
      <c r="M207" s="258">
        <f t="shared" si="12"/>
        <v>29796.710005643905</v>
      </c>
      <c r="N207" s="258">
        <v>-9749.843230769231</v>
      </c>
      <c r="O207" s="258">
        <v>-3500.7983999999979</v>
      </c>
      <c r="P207" s="258">
        <v>-1.9680532204101617</v>
      </c>
      <c r="Q207" s="258">
        <f t="shared" si="13"/>
        <v>16544.100321654263</v>
      </c>
      <c r="R207" s="259">
        <f t="shared" si="14"/>
        <v>0.55523245078133066</v>
      </c>
      <c r="S207" s="255">
        <f t="shared" si="15"/>
        <v>32.036710005643904</v>
      </c>
      <c r="T207" s="255">
        <f t="shared" si="15"/>
        <v>32.036710005643904</v>
      </c>
      <c r="U207" s="254">
        <v>100300</v>
      </c>
      <c r="V207" s="254" t="s">
        <v>917</v>
      </c>
      <c r="W207" s="254" t="s">
        <v>902</v>
      </c>
      <c r="X207" s="254" t="s">
        <v>446</v>
      </c>
      <c r="Y207" s="254" t="s">
        <v>843</v>
      </c>
      <c r="Z207" s="254" t="s">
        <v>1010</v>
      </c>
      <c r="AA207" s="254" t="s">
        <v>838</v>
      </c>
    </row>
    <row r="208" spans="1:27" ht="14.4" x14ac:dyDescent="0.3">
      <c r="A208" s="253">
        <v>13</v>
      </c>
      <c r="B208" s="254" t="s">
        <v>844</v>
      </c>
      <c r="C208" s="254">
        <v>2494</v>
      </c>
      <c r="D208" s="254" t="s">
        <v>327</v>
      </c>
      <c r="E208" s="254" t="str">
        <f>_xlfn.XLOOKUP(C208,Clientes!I:I,Clientes!F:F)</f>
        <v>ASOCIACION DE COOPERATIVAS ARGENTINAS CL</v>
      </c>
      <c r="F208" s="254">
        <v>8204</v>
      </c>
      <c r="G208" s="254" t="s">
        <v>832</v>
      </c>
      <c r="H208" s="254" t="s">
        <v>1035</v>
      </c>
      <c r="I208" s="255">
        <v>15400</v>
      </c>
      <c r="J208" s="256">
        <v>15400</v>
      </c>
      <c r="K208" s="258">
        <v>571995.43420701835</v>
      </c>
      <c r="L208" s="258">
        <v>0</v>
      </c>
      <c r="M208" s="258">
        <f t="shared" si="12"/>
        <v>571995.43420701835</v>
      </c>
      <c r="N208" s="258">
        <v>-306838.14399999997</v>
      </c>
      <c r="O208" s="258">
        <v>0</v>
      </c>
      <c r="P208" s="258">
        <v>-3197.1518373275239</v>
      </c>
      <c r="Q208" s="258">
        <f t="shared" si="13"/>
        <v>261960.13836969086</v>
      </c>
      <c r="R208" s="259">
        <f t="shared" si="14"/>
        <v>0.45797592551216315</v>
      </c>
      <c r="S208" s="255">
        <f t="shared" si="15"/>
        <v>37.1425606627934</v>
      </c>
      <c r="T208" s="255">
        <f t="shared" si="15"/>
        <v>37.1425606627934</v>
      </c>
      <c r="U208" s="254">
        <v>100300</v>
      </c>
      <c r="V208" s="254" t="s">
        <v>917</v>
      </c>
      <c r="W208" s="254" t="s">
        <v>1036</v>
      </c>
      <c r="X208" s="254" t="s">
        <v>446</v>
      </c>
      <c r="Y208" s="254" t="s">
        <v>836</v>
      </c>
      <c r="Z208" s="254" t="s">
        <v>1010</v>
      </c>
      <c r="AA208" s="254" t="s">
        <v>838</v>
      </c>
    </row>
    <row r="209" spans="1:27" ht="14.4" x14ac:dyDescent="0.3">
      <c r="A209" s="253">
        <v>13</v>
      </c>
      <c r="B209" s="254" t="s">
        <v>844</v>
      </c>
      <c r="C209" s="254">
        <v>97</v>
      </c>
      <c r="D209" s="254" t="s">
        <v>300</v>
      </c>
      <c r="E209" s="254" t="str">
        <f>_xlfn.XLOOKUP(C209,Clientes!I:I,Clientes!F:F)</f>
        <v>FECOAGRO FEDERACAO DAS COOPERATIVAS</v>
      </c>
      <c r="F209" s="254">
        <v>8223</v>
      </c>
      <c r="G209" s="254" t="s">
        <v>893</v>
      </c>
      <c r="H209" s="254" t="s">
        <v>920</v>
      </c>
      <c r="I209" s="255">
        <v>12000</v>
      </c>
      <c r="J209" s="256">
        <v>12000</v>
      </c>
      <c r="K209" s="258">
        <v>456523.11758042563</v>
      </c>
      <c r="L209" s="258">
        <v>-54720</v>
      </c>
      <c r="M209" s="258">
        <f t="shared" si="12"/>
        <v>401803.11758042563</v>
      </c>
      <c r="N209" s="258">
        <v>-145756.38999999996</v>
      </c>
      <c r="O209" s="258">
        <v>-9901.2479999999723</v>
      </c>
      <c r="P209" s="258">
        <v>-5.5662111284327693</v>
      </c>
      <c r="Q209" s="258">
        <f t="shared" si="13"/>
        <v>246139.91336929728</v>
      </c>
      <c r="R209" s="259">
        <f t="shared" si="14"/>
        <v>0.61258836131362138</v>
      </c>
      <c r="S209" s="255">
        <f t="shared" si="15"/>
        <v>38.043593131702139</v>
      </c>
      <c r="T209" s="255">
        <f t="shared" si="15"/>
        <v>38.043593131702139</v>
      </c>
      <c r="U209" s="254">
        <v>100300</v>
      </c>
      <c r="V209" s="254" t="s">
        <v>917</v>
      </c>
      <c r="W209" s="254" t="s">
        <v>894</v>
      </c>
      <c r="X209" s="254" t="s">
        <v>446</v>
      </c>
      <c r="Y209" s="254" t="s">
        <v>843</v>
      </c>
      <c r="Z209" s="254" t="s">
        <v>1010</v>
      </c>
      <c r="AA209" s="254" t="s">
        <v>838</v>
      </c>
    </row>
    <row r="210" spans="1:27" ht="14.4" x14ac:dyDescent="0.3">
      <c r="A210" s="253">
        <v>13</v>
      </c>
      <c r="B210" s="254" t="s">
        <v>844</v>
      </c>
      <c r="C210" s="254">
        <v>1936</v>
      </c>
      <c r="D210" s="254" t="s">
        <v>889</v>
      </c>
      <c r="E210" s="254" t="str">
        <f>_xlfn.XLOOKUP(C210,Clientes!I:I,Clientes!F:F)</f>
        <v>GRUPO AGRO INDUSTRIAL SAO LUIZ LTDA</v>
      </c>
      <c r="F210" s="254">
        <v>8218</v>
      </c>
      <c r="G210" s="254" t="s">
        <v>862</v>
      </c>
      <c r="H210" s="254" t="s">
        <v>923</v>
      </c>
      <c r="I210" s="255">
        <v>12000</v>
      </c>
      <c r="J210" s="256">
        <v>12000</v>
      </c>
      <c r="K210" s="258">
        <v>360172.71223845158</v>
      </c>
      <c r="L210" s="258">
        <v>-43171.199999999997</v>
      </c>
      <c r="M210" s="258">
        <f t="shared" si="12"/>
        <v>317001.51223845157</v>
      </c>
      <c r="N210" s="258">
        <v>-137112.24</v>
      </c>
      <c r="O210" s="258">
        <v>0</v>
      </c>
      <c r="P210" s="258">
        <v>0</v>
      </c>
      <c r="Q210" s="258">
        <f t="shared" si="13"/>
        <v>179889.27223845158</v>
      </c>
      <c r="R210" s="259">
        <f t="shared" si="14"/>
        <v>0.56747133781222203</v>
      </c>
      <c r="S210" s="255">
        <f t="shared" si="15"/>
        <v>30.014392686537633</v>
      </c>
      <c r="T210" s="255">
        <f t="shared" si="15"/>
        <v>30.014392686537633</v>
      </c>
      <c r="U210" s="254">
        <v>100300</v>
      </c>
      <c r="V210" s="254" t="s">
        <v>917</v>
      </c>
      <c r="W210" s="254" t="s">
        <v>864</v>
      </c>
      <c r="X210" s="254" t="s">
        <v>446</v>
      </c>
      <c r="Y210" s="254" t="s">
        <v>843</v>
      </c>
      <c r="Z210" s="254" t="s">
        <v>1010</v>
      </c>
      <c r="AA210" s="254" t="s">
        <v>838</v>
      </c>
    </row>
    <row r="211" spans="1:27" ht="14.4" x14ac:dyDescent="0.3">
      <c r="A211" s="253">
        <v>13</v>
      </c>
      <c r="B211" s="254" t="s">
        <v>844</v>
      </c>
      <c r="C211" s="254">
        <v>12073</v>
      </c>
      <c r="D211" s="254" t="s">
        <v>1037</v>
      </c>
      <c r="E211" s="254" t="str">
        <f>_xlfn.XLOOKUP(C211,Clientes!I:I,Clientes!F:F)</f>
        <v>GRUPO FERTILIZE</v>
      </c>
      <c r="F211" s="254">
        <v>8215</v>
      </c>
      <c r="G211" s="254" t="s">
        <v>893</v>
      </c>
      <c r="H211" s="254" t="s">
        <v>947</v>
      </c>
      <c r="I211" s="255">
        <v>1000</v>
      </c>
      <c r="J211" s="256">
        <v>1000</v>
      </c>
      <c r="K211" s="258">
        <v>28152.258917459581</v>
      </c>
      <c r="L211" s="258">
        <v>-3374.4</v>
      </c>
      <c r="M211" s="258">
        <f t="shared" si="12"/>
        <v>24777.85891745958</v>
      </c>
      <c r="N211" s="258">
        <v>-13868.676000000001</v>
      </c>
      <c r="O211" s="258">
        <v>-9547.6319999999869</v>
      </c>
      <c r="P211" s="258">
        <v>-5.3674178738458922</v>
      </c>
      <c r="Q211" s="258">
        <f t="shared" si="13"/>
        <v>1356.1834995857459</v>
      </c>
      <c r="R211" s="259">
        <f t="shared" si="14"/>
        <v>5.4733683975822414E-2</v>
      </c>
      <c r="S211" s="255">
        <f t="shared" si="15"/>
        <v>28.15225891745958</v>
      </c>
      <c r="T211" s="255">
        <f t="shared" si="15"/>
        <v>28.15225891745958</v>
      </c>
      <c r="U211" s="254">
        <v>100300</v>
      </c>
      <c r="V211" s="254" t="s">
        <v>917</v>
      </c>
      <c r="W211" s="254" t="s">
        <v>1038</v>
      </c>
      <c r="X211" s="254" t="s">
        <v>446</v>
      </c>
      <c r="Y211" s="254" t="s">
        <v>843</v>
      </c>
      <c r="Z211" s="254" t="s">
        <v>1010</v>
      </c>
      <c r="AA211" s="254" t="s">
        <v>838</v>
      </c>
    </row>
    <row r="212" spans="1:27" ht="14.4" x14ac:dyDescent="0.3">
      <c r="A212" s="253">
        <v>11</v>
      </c>
      <c r="B212" s="254" t="s">
        <v>844</v>
      </c>
      <c r="C212" s="254">
        <v>5300</v>
      </c>
      <c r="D212" s="254" t="s">
        <v>25</v>
      </c>
      <c r="E212" s="254" t="str">
        <f>_xlfn.XLOOKUP(C212,Clientes!I:I,Clientes!F:F)</f>
        <v>FOSNOR - LUIS EDUARDO MAGALHAES</v>
      </c>
      <c r="F212" s="254">
        <v>4246</v>
      </c>
      <c r="G212" s="254" t="s">
        <v>875</v>
      </c>
      <c r="H212" s="254" t="s">
        <v>959</v>
      </c>
      <c r="I212" s="255">
        <v>90000</v>
      </c>
      <c r="J212" s="256">
        <v>90000</v>
      </c>
      <c r="K212" s="258">
        <v>526500</v>
      </c>
      <c r="L212" s="258">
        <v>-36855</v>
      </c>
      <c r="M212" s="258">
        <f t="shared" si="12"/>
        <v>489645</v>
      </c>
      <c r="N212" s="258">
        <v>-238031.33000000002</v>
      </c>
      <c r="O212" s="258">
        <v>-46451.499494399999</v>
      </c>
      <c r="P212" s="258">
        <v>-26.11376398390578</v>
      </c>
      <c r="Q212" s="258">
        <f t="shared" si="13"/>
        <v>205136.05674161608</v>
      </c>
      <c r="R212" s="259">
        <f t="shared" si="14"/>
        <v>0.418948537698978</v>
      </c>
      <c r="S212" s="255">
        <f t="shared" si="15"/>
        <v>5.85</v>
      </c>
      <c r="T212" s="255">
        <f t="shared" si="15"/>
        <v>5.85</v>
      </c>
      <c r="U212" s="254">
        <v>100700</v>
      </c>
      <c r="V212" s="254" t="s">
        <v>960</v>
      </c>
      <c r="W212" s="254" t="s">
        <v>961</v>
      </c>
      <c r="X212" s="254" t="s">
        <v>446</v>
      </c>
      <c r="Y212" s="254" t="s">
        <v>843</v>
      </c>
      <c r="Z212" s="254" t="s">
        <v>1010</v>
      </c>
      <c r="AA212" s="254" t="s">
        <v>838</v>
      </c>
    </row>
    <row r="213" spans="1:27" ht="14.4" x14ac:dyDescent="0.3">
      <c r="A213" s="253">
        <v>11</v>
      </c>
      <c r="B213" s="254" t="s">
        <v>844</v>
      </c>
      <c r="C213" s="254">
        <v>506</v>
      </c>
      <c r="D213" s="254" t="s">
        <v>1039</v>
      </c>
      <c r="E213" s="254" t="str">
        <f>_xlfn.XLOOKUP(C213,Clientes!I:I,Clientes!F:F)</f>
        <v>GRUPO FERTINOR</v>
      </c>
      <c r="F213" s="254">
        <v>14142</v>
      </c>
      <c r="G213" s="254" t="s">
        <v>887</v>
      </c>
      <c r="H213" s="254" t="s">
        <v>962</v>
      </c>
      <c r="I213" s="255">
        <v>15000</v>
      </c>
      <c r="J213" s="256">
        <v>15000</v>
      </c>
      <c r="K213" s="258">
        <v>94800</v>
      </c>
      <c r="L213" s="258">
        <v>-6636.0000000000009</v>
      </c>
      <c r="M213" s="258">
        <f t="shared" si="12"/>
        <v>88164</v>
      </c>
      <c r="N213" s="258">
        <v>-47595.968446601946</v>
      </c>
      <c r="O213" s="258">
        <v>-24356.873923200001</v>
      </c>
      <c r="P213" s="258">
        <v>-13.692769101950596</v>
      </c>
      <c r="Q213" s="258">
        <f t="shared" si="13"/>
        <v>16197.464861096103</v>
      </c>
      <c r="R213" s="259">
        <f t="shared" si="14"/>
        <v>0.18371971395463119</v>
      </c>
      <c r="S213" s="255">
        <f t="shared" si="15"/>
        <v>6.32</v>
      </c>
      <c r="T213" s="255">
        <f t="shared" si="15"/>
        <v>6.32</v>
      </c>
      <c r="U213" s="254">
        <v>100700</v>
      </c>
      <c r="V213" s="254" t="s">
        <v>960</v>
      </c>
      <c r="W213" s="254" t="s">
        <v>1009</v>
      </c>
      <c r="X213" s="254" t="s">
        <v>446</v>
      </c>
      <c r="Y213" s="254" t="s">
        <v>843</v>
      </c>
      <c r="Z213" s="254" t="s">
        <v>1010</v>
      </c>
      <c r="AA213" s="254" t="s">
        <v>838</v>
      </c>
    </row>
    <row r="214" spans="1:27" ht="14.4" x14ac:dyDescent="0.3">
      <c r="A214" s="253">
        <v>11</v>
      </c>
      <c r="B214" s="254" t="s">
        <v>844</v>
      </c>
      <c r="C214" s="254">
        <v>456</v>
      </c>
      <c r="D214" s="254" t="s">
        <v>312</v>
      </c>
      <c r="E214" s="254" t="str">
        <f>_xlfn.XLOOKUP(C214,Clientes!I:I,Clientes!F:F)</f>
        <v>GRUPO FERTIPAR FERTILIZANTES DO NORDESTE</v>
      </c>
      <c r="F214" s="254">
        <v>3353</v>
      </c>
      <c r="G214" s="254" t="s">
        <v>875</v>
      </c>
      <c r="H214" s="254" t="s">
        <v>972</v>
      </c>
      <c r="I214" s="255">
        <v>30000</v>
      </c>
      <c r="J214" s="256">
        <v>30000</v>
      </c>
      <c r="K214" s="258">
        <v>185400</v>
      </c>
      <c r="L214" s="258">
        <v>-12978.000000000002</v>
      </c>
      <c r="M214" s="258">
        <f t="shared" si="12"/>
        <v>172422</v>
      </c>
      <c r="N214" s="258">
        <v>-99074.17</v>
      </c>
      <c r="O214" s="258">
        <v>-21548.474999999999</v>
      </c>
      <c r="P214" s="258">
        <v>-12.113963951388314</v>
      </c>
      <c r="Q214" s="258">
        <f t="shared" si="13"/>
        <v>51787.241036048617</v>
      </c>
      <c r="R214" s="259">
        <f t="shared" si="14"/>
        <v>0.30035170126810162</v>
      </c>
      <c r="S214" s="255">
        <f t="shared" si="15"/>
        <v>6.18</v>
      </c>
      <c r="T214" s="255">
        <f t="shared" si="15"/>
        <v>6.18</v>
      </c>
      <c r="U214" s="254">
        <v>100700</v>
      </c>
      <c r="V214" s="254" t="s">
        <v>960</v>
      </c>
      <c r="W214" s="254" t="s">
        <v>876</v>
      </c>
      <c r="X214" s="254" t="s">
        <v>446</v>
      </c>
      <c r="Y214" s="254" t="s">
        <v>843</v>
      </c>
      <c r="Z214" s="254" t="s">
        <v>1010</v>
      </c>
      <c r="AA214" s="254" t="s">
        <v>838</v>
      </c>
    </row>
    <row r="215" spans="1:27" ht="14.4" x14ac:dyDescent="0.3">
      <c r="A215" s="253">
        <v>11</v>
      </c>
      <c r="B215" s="254" t="s">
        <v>844</v>
      </c>
      <c r="C215" s="254">
        <v>1787</v>
      </c>
      <c r="D215" s="254" t="s">
        <v>57</v>
      </c>
      <c r="E215" s="254" t="str">
        <f>_xlfn.XLOOKUP(C215,Clientes!I:I,Clientes!F:F)</f>
        <v>GRUPO MOSAIC FERTILIZANTES P K LTDA</v>
      </c>
      <c r="F215" s="254">
        <v>3359</v>
      </c>
      <c r="G215" s="254" t="s">
        <v>855</v>
      </c>
      <c r="H215" s="254" t="s">
        <v>967</v>
      </c>
      <c r="I215" s="255">
        <v>240000</v>
      </c>
      <c r="J215" s="256">
        <v>240000</v>
      </c>
      <c r="K215" s="258">
        <v>931200</v>
      </c>
      <c r="L215" s="258">
        <v>0</v>
      </c>
      <c r="M215" s="258">
        <f t="shared" si="12"/>
        <v>931200</v>
      </c>
      <c r="N215" s="258">
        <v>-598632.30000000005</v>
      </c>
      <c r="O215" s="258">
        <v>-19537.284</v>
      </c>
      <c r="P215" s="258">
        <v>-10.983327315925406</v>
      </c>
      <c r="Q215" s="258">
        <f t="shared" si="13"/>
        <v>313019.43267268402</v>
      </c>
      <c r="R215" s="259">
        <f t="shared" si="14"/>
        <v>0.33614629797324314</v>
      </c>
      <c r="S215" s="255">
        <f t="shared" si="15"/>
        <v>3.88</v>
      </c>
      <c r="T215" s="255">
        <f t="shared" si="15"/>
        <v>3.88</v>
      </c>
      <c r="U215" s="254">
        <v>100700</v>
      </c>
      <c r="V215" s="254" t="s">
        <v>960</v>
      </c>
      <c r="W215" s="254" t="s">
        <v>892</v>
      </c>
      <c r="X215" s="254" t="s">
        <v>446</v>
      </c>
      <c r="Y215" s="254" t="s">
        <v>843</v>
      </c>
      <c r="Z215" s="254" t="s">
        <v>1010</v>
      </c>
      <c r="AA215" s="254" t="s">
        <v>838</v>
      </c>
    </row>
    <row r="216" spans="1:27" ht="14.4" x14ac:dyDescent="0.3">
      <c r="A216" s="253">
        <v>11</v>
      </c>
      <c r="B216" s="254" t="s">
        <v>844</v>
      </c>
      <c r="C216" s="254">
        <v>1788</v>
      </c>
      <c r="D216" s="254" t="s">
        <v>59</v>
      </c>
      <c r="E216" s="254" t="str">
        <f>_xlfn.XLOOKUP(C216,Clientes!I:I,Clientes!F:F)</f>
        <v>GRUPO MOSAIC FERTILIZANTES P K LTDA</v>
      </c>
      <c r="F216" s="254">
        <v>3359</v>
      </c>
      <c r="G216" s="254" t="s">
        <v>855</v>
      </c>
      <c r="H216" s="254" t="s">
        <v>967</v>
      </c>
      <c r="I216" s="255">
        <v>30000</v>
      </c>
      <c r="J216" s="256">
        <v>30000</v>
      </c>
      <c r="K216" s="258">
        <v>116400</v>
      </c>
      <c r="L216" s="258">
        <v>0</v>
      </c>
      <c r="M216" s="258">
        <f t="shared" si="12"/>
        <v>116400</v>
      </c>
      <c r="N216" s="258">
        <v>-74829.037500000006</v>
      </c>
      <c r="O216" s="258">
        <v>-2442.1605</v>
      </c>
      <c r="P216" s="258">
        <v>-1.3729159144906757</v>
      </c>
      <c r="Q216" s="258">
        <f t="shared" si="13"/>
        <v>39127.429084085503</v>
      </c>
      <c r="R216" s="259">
        <f t="shared" si="14"/>
        <v>0.33614629797324314</v>
      </c>
      <c r="S216" s="255">
        <f t="shared" si="15"/>
        <v>3.88</v>
      </c>
      <c r="T216" s="255">
        <f t="shared" si="15"/>
        <v>3.88</v>
      </c>
      <c r="U216" s="254">
        <v>100700</v>
      </c>
      <c r="V216" s="254" t="s">
        <v>960</v>
      </c>
      <c r="W216" s="254" t="s">
        <v>892</v>
      </c>
      <c r="X216" s="254" t="s">
        <v>446</v>
      </c>
      <c r="Y216" s="254" t="s">
        <v>843</v>
      </c>
      <c r="Z216" s="254" t="s">
        <v>1010</v>
      </c>
      <c r="AA216" s="254" t="s">
        <v>838</v>
      </c>
    </row>
    <row r="217" spans="1:27" ht="14.4" x14ac:dyDescent="0.3">
      <c r="A217" s="253">
        <v>11</v>
      </c>
      <c r="B217" s="254" t="s">
        <v>844</v>
      </c>
      <c r="C217" s="254">
        <v>507</v>
      </c>
      <c r="D217" s="254" t="s">
        <v>42</v>
      </c>
      <c r="E217" s="254" t="str">
        <f>_xlfn.XLOOKUP(C217,Clientes!I:I,Clientes!F:F)</f>
        <v>FERTIAL FERTILIZANTES USIFERTIL - MACEIO</v>
      </c>
      <c r="F217" s="254">
        <v>14142</v>
      </c>
      <c r="G217" s="254" t="s">
        <v>1040</v>
      </c>
      <c r="H217" s="254" t="s">
        <v>962</v>
      </c>
      <c r="I217" s="255">
        <v>12000</v>
      </c>
      <c r="J217" s="256">
        <v>12000</v>
      </c>
      <c r="K217" s="258">
        <v>72960</v>
      </c>
      <c r="L217" s="258">
        <v>-5107.2000000000007</v>
      </c>
      <c r="M217" s="258">
        <f t="shared" si="12"/>
        <v>67852.800000000003</v>
      </c>
      <c r="N217" s="258">
        <v>-38076.774757281557</v>
      </c>
      <c r="O217" s="258">
        <v>-21003.719143679999</v>
      </c>
      <c r="P217" s="258">
        <v>-11.807717091424063</v>
      </c>
      <c r="Q217" s="258">
        <f t="shared" si="13"/>
        <v>8760.4983819470235</v>
      </c>
      <c r="R217" s="259">
        <f t="shared" si="14"/>
        <v>0.12911034448021338</v>
      </c>
      <c r="S217" s="255">
        <f t="shared" si="15"/>
        <v>6.08</v>
      </c>
      <c r="T217" s="255">
        <f t="shared" si="15"/>
        <v>6.08</v>
      </c>
      <c r="U217" s="254">
        <v>100700</v>
      </c>
      <c r="V217" s="254" t="s">
        <v>960</v>
      </c>
      <c r="W217" s="254" t="s">
        <v>1041</v>
      </c>
      <c r="X217" s="254" t="s">
        <v>446</v>
      </c>
      <c r="Y217" s="254" t="s">
        <v>843</v>
      </c>
      <c r="Z217" s="254" t="s">
        <v>1010</v>
      </c>
      <c r="AA217" s="254" t="s">
        <v>838</v>
      </c>
    </row>
    <row r="218" spans="1:27" ht="14.4" x14ac:dyDescent="0.3">
      <c r="A218" s="253">
        <v>11</v>
      </c>
      <c r="B218" s="254" t="s">
        <v>844</v>
      </c>
      <c r="C218" s="254">
        <v>8995</v>
      </c>
      <c r="D218" s="254" t="s">
        <v>172</v>
      </c>
      <c r="E218" s="254" t="str">
        <f>_xlfn.XLOOKUP(C218,Clientes!I:I,Clientes!F:F)</f>
        <v>FERTIPOL - DOURADOS</v>
      </c>
      <c r="F218" s="254">
        <v>3351</v>
      </c>
      <c r="G218" s="254" t="s">
        <v>924</v>
      </c>
      <c r="H218" s="254" t="s">
        <v>965</v>
      </c>
      <c r="I218" s="255">
        <v>30000</v>
      </c>
      <c r="J218" s="256">
        <v>30000</v>
      </c>
      <c r="K218" s="258">
        <v>160200</v>
      </c>
      <c r="L218" s="258">
        <v>-11214.000000000002</v>
      </c>
      <c r="M218" s="258">
        <f t="shared" si="12"/>
        <v>148986</v>
      </c>
      <c r="N218" s="258">
        <v>-97570.05</v>
      </c>
      <c r="O218" s="258">
        <v>-11914.507987199999</v>
      </c>
      <c r="P218" s="258">
        <v>-6.6980108919758328</v>
      </c>
      <c r="Q218" s="258">
        <f t="shared" si="13"/>
        <v>39494.744001908024</v>
      </c>
      <c r="R218" s="259">
        <f t="shared" si="14"/>
        <v>0.26509030379973975</v>
      </c>
      <c r="S218" s="255">
        <f t="shared" si="15"/>
        <v>5.34</v>
      </c>
      <c r="T218" s="255">
        <f t="shared" si="15"/>
        <v>5.34</v>
      </c>
      <c r="U218" s="254">
        <v>100700</v>
      </c>
      <c r="V218" s="254" t="s">
        <v>960</v>
      </c>
      <c r="W218" s="254" t="s">
        <v>1042</v>
      </c>
      <c r="X218" s="254" t="s">
        <v>446</v>
      </c>
      <c r="Y218" s="254" t="s">
        <v>843</v>
      </c>
      <c r="Z218" s="254" t="s">
        <v>1010</v>
      </c>
      <c r="AA218" s="254" t="s">
        <v>838</v>
      </c>
    </row>
    <row r="219" spans="1:27" ht="14.4" x14ac:dyDescent="0.3">
      <c r="A219" s="253">
        <v>11</v>
      </c>
      <c r="B219" s="254" t="s">
        <v>844</v>
      </c>
      <c r="C219" s="254">
        <v>11724</v>
      </c>
      <c r="D219" s="254" t="s">
        <v>107</v>
      </c>
      <c r="E219" s="254" t="str">
        <f>_xlfn.XLOOKUP(C219,Clientes!I:I,Clientes!F:F)</f>
        <v>GRUPO HINOVE</v>
      </c>
      <c r="F219" s="254">
        <v>14142</v>
      </c>
      <c r="G219" s="254" t="s">
        <v>908</v>
      </c>
      <c r="H219" s="254" t="s">
        <v>962</v>
      </c>
      <c r="I219" s="255">
        <v>22800</v>
      </c>
      <c r="J219" s="256">
        <v>22800</v>
      </c>
      <c r="K219" s="258">
        <v>137940</v>
      </c>
      <c r="L219" s="258">
        <v>-16552.8</v>
      </c>
      <c r="M219" s="258">
        <f t="shared" si="12"/>
        <v>121387.2</v>
      </c>
      <c r="N219" s="258">
        <v>-72345.872038834961</v>
      </c>
      <c r="O219" s="258">
        <v>-8959.5089176319998</v>
      </c>
      <c r="P219" s="258">
        <v>-5.0367911441684932</v>
      </c>
      <c r="Q219" s="258">
        <f t="shared" si="13"/>
        <v>40076.782252388861</v>
      </c>
      <c r="R219" s="259">
        <f t="shared" si="14"/>
        <v>0.3301565754246647</v>
      </c>
      <c r="S219" s="255">
        <f t="shared" si="15"/>
        <v>6.05</v>
      </c>
      <c r="T219" s="255">
        <f t="shared" si="15"/>
        <v>6.05</v>
      </c>
      <c r="U219" s="254">
        <v>100700</v>
      </c>
      <c r="V219" s="254" t="s">
        <v>960</v>
      </c>
      <c r="W219" s="254" t="s">
        <v>963</v>
      </c>
      <c r="X219" s="254" t="s">
        <v>446</v>
      </c>
      <c r="Y219" s="254" t="s">
        <v>843</v>
      </c>
      <c r="Z219" s="254" t="s">
        <v>1010</v>
      </c>
      <c r="AA219" s="254" t="s">
        <v>838</v>
      </c>
    </row>
    <row r="220" spans="1:27" ht="14.4" x14ac:dyDescent="0.3">
      <c r="A220" s="253">
        <v>11</v>
      </c>
      <c r="B220" s="254" t="s">
        <v>844</v>
      </c>
      <c r="C220" s="254">
        <v>1789</v>
      </c>
      <c r="D220" s="254" t="s">
        <v>61</v>
      </c>
      <c r="E220" s="254" t="str">
        <f>_xlfn.XLOOKUP(C220,Clientes!I:I,Clientes!F:F)</f>
        <v>GRUPO MOSAIC FERTILIZANTES P K LTDA</v>
      </c>
      <c r="F220" s="254">
        <v>3359</v>
      </c>
      <c r="G220" s="254" t="s">
        <v>855</v>
      </c>
      <c r="H220" s="254" t="s">
        <v>967</v>
      </c>
      <c r="I220" s="255">
        <v>150000</v>
      </c>
      <c r="J220" s="256">
        <v>150000</v>
      </c>
      <c r="K220" s="258">
        <v>582000</v>
      </c>
      <c r="L220" s="258">
        <v>0</v>
      </c>
      <c r="M220" s="258">
        <f t="shared" si="12"/>
        <v>582000</v>
      </c>
      <c r="N220" s="258">
        <v>-374145.1875</v>
      </c>
      <c r="O220" s="258">
        <v>-15835.738463999998</v>
      </c>
      <c r="P220" s="258">
        <v>-8.9024195399678803</v>
      </c>
      <c r="Q220" s="258">
        <f t="shared" si="13"/>
        <v>192010.17161646005</v>
      </c>
      <c r="R220" s="259">
        <f t="shared" si="14"/>
        <v>0.32991438422072172</v>
      </c>
      <c r="S220" s="255">
        <f t="shared" si="15"/>
        <v>3.88</v>
      </c>
      <c r="T220" s="255">
        <f t="shared" si="15"/>
        <v>3.88</v>
      </c>
      <c r="U220" s="254">
        <v>100700</v>
      </c>
      <c r="V220" s="254" t="s">
        <v>960</v>
      </c>
      <c r="W220" s="254" t="s">
        <v>969</v>
      </c>
      <c r="X220" s="254" t="s">
        <v>446</v>
      </c>
      <c r="Y220" s="254" t="s">
        <v>843</v>
      </c>
      <c r="Z220" s="254" t="s">
        <v>1010</v>
      </c>
      <c r="AA220" s="254" t="s">
        <v>838</v>
      </c>
    </row>
    <row r="221" spans="1:27" ht="14.4" x14ac:dyDescent="0.3">
      <c r="A221" s="253">
        <v>11</v>
      </c>
      <c r="B221" s="254" t="s">
        <v>844</v>
      </c>
      <c r="C221" s="254">
        <v>2225</v>
      </c>
      <c r="D221" s="254" t="s">
        <v>617</v>
      </c>
      <c r="E221" s="254" t="str">
        <f>_xlfn.XLOOKUP(C221,Clientes!I:I,Clientes!F:F)</f>
        <v>ITAFOS - ARRAIAS/TO</v>
      </c>
      <c r="F221" s="254">
        <v>3351</v>
      </c>
      <c r="G221" s="254" t="s">
        <v>974</v>
      </c>
      <c r="H221" s="254" t="s">
        <v>965</v>
      </c>
      <c r="I221" s="255">
        <v>30000</v>
      </c>
      <c r="J221" s="256">
        <v>30000</v>
      </c>
      <c r="K221" s="258">
        <v>162000</v>
      </c>
      <c r="L221" s="258">
        <v>-11340.000000000002</v>
      </c>
      <c r="M221" s="258">
        <f t="shared" si="12"/>
        <v>150660</v>
      </c>
      <c r="N221" s="258">
        <v>-97570.05</v>
      </c>
      <c r="O221" s="258">
        <v>-13774.578854399999</v>
      </c>
      <c r="P221" s="258">
        <v>-7.7436919173053926</v>
      </c>
      <c r="Q221" s="258">
        <f t="shared" si="13"/>
        <v>39307.627453682697</v>
      </c>
      <c r="R221" s="259">
        <f t="shared" si="14"/>
        <v>0.26090287703227594</v>
      </c>
      <c r="S221" s="255">
        <f t="shared" si="15"/>
        <v>5.4</v>
      </c>
      <c r="T221" s="255">
        <f t="shared" si="15"/>
        <v>5.4</v>
      </c>
      <c r="U221" s="254">
        <v>100700</v>
      </c>
      <c r="V221" s="254" t="s">
        <v>960</v>
      </c>
      <c r="W221" s="254" t="s">
        <v>975</v>
      </c>
      <c r="X221" s="254" t="s">
        <v>446</v>
      </c>
      <c r="Y221" s="254" t="s">
        <v>843</v>
      </c>
      <c r="Z221" s="254" t="s">
        <v>1010</v>
      </c>
      <c r="AA221" s="254" t="s">
        <v>838</v>
      </c>
    </row>
    <row r="222" spans="1:27" ht="14.4" x14ac:dyDescent="0.3">
      <c r="A222" s="253">
        <v>11</v>
      </c>
      <c r="B222" s="254" t="s">
        <v>844</v>
      </c>
      <c r="C222" s="254">
        <v>505</v>
      </c>
      <c r="D222" s="254" t="s">
        <v>41</v>
      </c>
      <c r="E222" s="254" t="str">
        <f>_xlfn.XLOOKUP(C222,Clientes!I:I,Clientes!F:F)</f>
        <v>FERTINE - RECIFE</v>
      </c>
      <c r="F222" s="254">
        <v>14142</v>
      </c>
      <c r="G222" s="254" t="s">
        <v>1043</v>
      </c>
      <c r="H222" s="254" t="s">
        <v>962</v>
      </c>
      <c r="I222" s="255">
        <v>12000</v>
      </c>
      <c r="J222" s="256">
        <v>12000</v>
      </c>
      <c r="K222" s="258">
        <v>84600</v>
      </c>
      <c r="L222" s="258">
        <v>-5922.0000000000009</v>
      </c>
      <c r="M222" s="258">
        <f t="shared" si="12"/>
        <v>78678</v>
      </c>
      <c r="N222" s="258">
        <v>-38076.774757281557</v>
      </c>
      <c r="O222" s="258">
        <v>-18671.089731839998</v>
      </c>
      <c r="P222" s="258">
        <v>-10.49637656236213</v>
      </c>
      <c r="Q222" s="258">
        <f t="shared" si="13"/>
        <v>21919.639134316083</v>
      </c>
      <c r="R222" s="259">
        <f t="shared" si="14"/>
        <v>0.27859934332743691</v>
      </c>
      <c r="S222" s="255">
        <f t="shared" si="15"/>
        <v>7.05</v>
      </c>
      <c r="T222" s="255">
        <f t="shared" si="15"/>
        <v>7.05</v>
      </c>
      <c r="U222" s="254">
        <v>100700</v>
      </c>
      <c r="V222" s="254" t="s">
        <v>960</v>
      </c>
      <c r="W222" s="254" t="s">
        <v>1044</v>
      </c>
      <c r="X222" s="254" t="s">
        <v>446</v>
      </c>
      <c r="Y222" s="254" t="s">
        <v>843</v>
      </c>
      <c r="Z222" s="254" t="s">
        <v>1010</v>
      </c>
      <c r="AA222" s="254" t="s">
        <v>838</v>
      </c>
    </row>
    <row r="223" spans="1:27" ht="14.4" x14ac:dyDescent="0.3">
      <c r="A223" s="253">
        <v>11</v>
      </c>
      <c r="B223" s="254" t="s">
        <v>844</v>
      </c>
      <c r="C223" s="254">
        <v>1792</v>
      </c>
      <c r="D223" s="254" t="s">
        <v>970</v>
      </c>
      <c r="E223" s="254" t="str">
        <f>_xlfn.XLOOKUP(C223,Clientes!I:I,Clientes!F:F)</f>
        <v>GRUPO MOSAIC FERTILIZANTES P K LTDA</v>
      </c>
      <c r="F223" s="254">
        <v>3359</v>
      </c>
      <c r="G223" s="254" t="s">
        <v>867</v>
      </c>
      <c r="H223" s="254" t="s">
        <v>967</v>
      </c>
      <c r="I223" s="255">
        <v>120000</v>
      </c>
      <c r="J223" s="256">
        <v>120000</v>
      </c>
      <c r="K223" s="258">
        <v>468000</v>
      </c>
      <c r="L223" s="258">
        <v>-32760.000000000004</v>
      </c>
      <c r="M223" s="258">
        <f t="shared" si="12"/>
        <v>435240</v>
      </c>
      <c r="N223" s="258">
        <v>-299316.15000000002</v>
      </c>
      <c r="O223" s="258">
        <v>-9768.6419999999998</v>
      </c>
      <c r="P223" s="258">
        <v>-5.4916636579627029</v>
      </c>
      <c r="Q223" s="258">
        <f t="shared" si="13"/>
        <v>126149.71633634203</v>
      </c>
      <c r="R223" s="259">
        <f t="shared" si="14"/>
        <v>0.28983943648640298</v>
      </c>
      <c r="S223" s="255">
        <f t="shared" si="15"/>
        <v>3.9</v>
      </c>
      <c r="T223" s="255">
        <f t="shared" si="15"/>
        <v>3.9</v>
      </c>
      <c r="U223" s="254">
        <v>100700</v>
      </c>
      <c r="V223" s="254" t="s">
        <v>960</v>
      </c>
      <c r="W223" s="254" t="s">
        <v>871</v>
      </c>
      <c r="X223" s="254" t="s">
        <v>446</v>
      </c>
      <c r="Y223" s="254" t="s">
        <v>843</v>
      </c>
      <c r="Z223" s="254" t="s">
        <v>1010</v>
      </c>
      <c r="AA223" s="254" t="s">
        <v>838</v>
      </c>
    </row>
    <row r="224" spans="1:27" ht="14.4" x14ac:dyDescent="0.3">
      <c r="A224" s="253">
        <v>11</v>
      </c>
      <c r="B224" s="254" t="s">
        <v>844</v>
      </c>
      <c r="C224" s="254">
        <v>12629</v>
      </c>
      <c r="D224" s="254" t="s">
        <v>109</v>
      </c>
      <c r="E224" s="254" t="str">
        <f>_xlfn.XLOOKUP(C224,Clientes!I:I,Clientes!F:F)</f>
        <v>EUROCHEM SERRA DO SALITRE</v>
      </c>
      <c r="F224" s="254">
        <v>3359</v>
      </c>
      <c r="G224" s="254" t="s">
        <v>855</v>
      </c>
      <c r="H224" s="254" t="s">
        <v>967</v>
      </c>
      <c r="I224" s="255">
        <v>60000</v>
      </c>
      <c r="J224" s="256">
        <v>60000</v>
      </c>
      <c r="K224" s="258">
        <v>327000</v>
      </c>
      <c r="L224" s="258">
        <v>-58860</v>
      </c>
      <c r="M224" s="258">
        <f t="shared" si="12"/>
        <v>268140</v>
      </c>
      <c r="N224" s="258">
        <v>-149658.07500000001</v>
      </c>
      <c r="O224" s="258">
        <v>-8445.7271808000005</v>
      </c>
      <c r="P224" s="258">
        <v>-4.7479570879828694</v>
      </c>
      <c r="Q224" s="258">
        <f t="shared" si="13"/>
        <v>110031.44986211201</v>
      </c>
      <c r="R224" s="259">
        <f t="shared" si="14"/>
        <v>0.41035074909417474</v>
      </c>
      <c r="S224" s="255">
        <f t="shared" si="15"/>
        <v>5.45</v>
      </c>
      <c r="T224" s="255">
        <f t="shared" si="15"/>
        <v>5.45</v>
      </c>
      <c r="U224" s="254">
        <v>100700</v>
      </c>
      <c r="V224" s="254" t="s">
        <v>960</v>
      </c>
      <c r="W224" s="254" t="s">
        <v>968</v>
      </c>
      <c r="X224" s="254" t="s">
        <v>446</v>
      </c>
      <c r="Y224" s="254" t="s">
        <v>843</v>
      </c>
      <c r="Z224" s="254" t="s">
        <v>1010</v>
      </c>
      <c r="AA224" s="254" t="s">
        <v>838</v>
      </c>
    </row>
    <row r="225" spans="1:27" ht="14.4" x14ac:dyDescent="0.3">
      <c r="A225" s="253">
        <v>13</v>
      </c>
      <c r="B225" s="254" t="s">
        <v>844</v>
      </c>
      <c r="C225" s="254">
        <v>2</v>
      </c>
      <c r="D225" s="254" t="s">
        <v>976</v>
      </c>
      <c r="E225" s="254" t="str">
        <f>_xlfn.XLOOKUP(C225,Clientes!I:I,Clientes!F:F)</f>
        <v>GRUPO CARGILL</v>
      </c>
      <c r="F225" s="254">
        <v>3700</v>
      </c>
      <c r="G225" s="254" t="s">
        <v>855</v>
      </c>
      <c r="H225" s="254" t="s">
        <v>977</v>
      </c>
      <c r="I225" s="254">
        <v>84000</v>
      </c>
      <c r="J225" s="256">
        <v>84000</v>
      </c>
      <c r="K225" s="258">
        <v>92400</v>
      </c>
      <c r="L225" s="258">
        <v>-23640.539999999997</v>
      </c>
      <c r="M225" s="258">
        <f t="shared" si="12"/>
        <v>68759.460000000006</v>
      </c>
      <c r="N225" s="258">
        <v>-17474.79</v>
      </c>
      <c r="O225" s="258">
        <v>0</v>
      </c>
      <c r="P225" s="258">
        <v>0</v>
      </c>
      <c r="Q225" s="258">
        <f t="shared" si="13"/>
        <v>51284.670000000006</v>
      </c>
      <c r="R225" s="259">
        <f t="shared" si="14"/>
        <v>0.74585620654961515</v>
      </c>
      <c r="S225" s="255">
        <f t="shared" si="15"/>
        <v>1.1000000000000001</v>
      </c>
      <c r="T225" s="255">
        <f t="shared" si="15"/>
        <v>1.1000000000000001</v>
      </c>
      <c r="U225" s="254">
        <v>100900</v>
      </c>
      <c r="V225" s="254" t="s">
        <v>978</v>
      </c>
      <c r="W225" s="254" t="s">
        <v>865</v>
      </c>
      <c r="X225" s="254" t="s">
        <v>157</v>
      </c>
      <c r="Y225" s="254" t="s">
        <v>843</v>
      </c>
      <c r="Z225" s="254" t="s">
        <v>1010</v>
      </c>
      <c r="AA225" s="254" t="s">
        <v>838</v>
      </c>
    </row>
    <row r="226" spans="1:27" ht="14.4" x14ac:dyDescent="0.3">
      <c r="A226" s="253">
        <v>11</v>
      </c>
      <c r="B226" s="254" t="s">
        <v>844</v>
      </c>
      <c r="C226" s="254">
        <v>9294</v>
      </c>
      <c r="D226" s="254" t="s">
        <v>1013</v>
      </c>
      <c r="E226" s="254" t="str">
        <f>_xlfn.XLOOKUP(C226,Clientes!I:I,Clientes!F:F)</f>
        <v>SOLINAG CÍA.LTDA - EQUADOR</v>
      </c>
      <c r="F226" s="254">
        <v>14150</v>
      </c>
      <c r="G226" s="254" t="s">
        <v>832</v>
      </c>
      <c r="H226" s="254" t="s">
        <v>1045</v>
      </c>
      <c r="I226" s="255">
        <v>1000</v>
      </c>
      <c r="J226" s="256">
        <v>1000</v>
      </c>
      <c r="K226" s="258">
        <v>31114.707561308238</v>
      </c>
      <c r="L226" s="258">
        <v>0</v>
      </c>
      <c r="M226" s="258">
        <f t="shared" si="12"/>
        <v>31114.707561308238</v>
      </c>
      <c r="N226" s="258">
        <v>-13512.14</v>
      </c>
      <c r="O226" s="258">
        <v>-8553.5535359999994</v>
      </c>
      <c r="P226" s="258">
        <v>-212.41583628323889</v>
      </c>
      <c r="Q226" s="258">
        <f t="shared" si="13"/>
        <v>8836.5981890250005</v>
      </c>
      <c r="R226" s="259">
        <f t="shared" si="14"/>
        <v>0.28400068268722817</v>
      </c>
      <c r="S226" s="255">
        <f t="shared" si="15"/>
        <v>31.114707561308236</v>
      </c>
      <c r="T226" s="255">
        <f t="shared" si="15"/>
        <v>31.114707561308236</v>
      </c>
      <c r="U226" s="254">
        <v>101000</v>
      </c>
      <c r="V226" s="254" t="s">
        <v>1046</v>
      </c>
      <c r="W226" s="254" t="s">
        <v>1014</v>
      </c>
      <c r="X226" s="254" t="s">
        <v>446</v>
      </c>
      <c r="Y226" s="254" t="s">
        <v>836</v>
      </c>
      <c r="Z226" s="254" t="s">
        <v>1010</v>
      </c>
      <c r="AA226" s="254" t="s">
        <v>838</v>
      </c>
    </row>
    <row r="227" spans="1:27" ht="14.4" x14ac:dyDescent="0.3">
      <c r="A227" s="253">
        <v>11</v>
      </c>
      <c r="B227" s="254" t="s">
        <v>844</v>
      </c>
      <c r="C227" s="254">
        <v>9294</v>
      </c>
      <c r="D227" s="254" t="s">
        <v>1013</v>
      </c>
      <c r="E227" s="254" t="str">
        <f>_xlfn.XLOOKUP(C227,Clientes!I:I,Clientes!F:F)</f>
        <v>SOLINAG CÍA.LTDA - EQUADOR</v>
      </c>
      <c r="F227" s="254">
        <v>4542</v>
      </c>
      <c r="G227" s="254" t="s">
        <v>832</v>
      </c>
      <c r="H227" s="254" t="s">
        <v>1047</v>
      </c>
      <c r="I227" s="255">
        <v>1000</v>
      </c>
      <c r="J227" s="256">
        <v>1000</v>
      </c>
      <c r="K227" s="258">
        <v>8640</v>
      </c>
      <c r="L227" s="258">
        <v>0</v>
      </c>
      <c r="M227" s="258">
        <f t="shared" si="12"/>
        <v>8640</v>
      </c>
      <c r="N227" s="258">
        <v>-2718.6099999999997</v>
      </c>
      <c r="O227" s="258">
        <v>-8553.5535359999994</v>
      </c>
      <c r="P227" s="258">
        <v>-212.41583628323889</v>
      </c>
      <c r="Q227" s="258">
        <f t="shared" si="13"/>
        <v>-2844.5793722832382</v>
      </c>
      <c r="R227" s="259">
        <f t="shared" si="14"/>
        <v>-0.32923372364389331</v>
      </c>
      <c r="S227" s="255">
        <f t="shared" si="15"/>
        <v>8.64</v>
      </c>
      <c r="T227" s="255">
        <f t="shared" si="15"/>
        <v>8.64</v>
      </c>
      <c r="U227" s="254">
        <v>101300</v>
      </c>
      <c r="V227" s="254" t="s">
        <v>980</v>
      </c>
      <c r="W227" s="254" t="s">
        <v>1014</v>
      </c>
      <c r="X227" s="254" t="s">
        <v>446</v>
      </c>
      <c r="Y227" s="254" t="s">
        <v>836</v>
      </c>
      <c r="Z227" s="254" t="s">
        <v>1010</v>
      </c>
      <c r="AA227" s="254" t="s">
        <v>838</v>
      </c>
    </row>
    <row r="228" spans="1:27" ht="14.4" x14ac:dyDescent="0.3">
      <c r="A228" s="253">
        <v>11</v>
      </c>
      <c r="B228" s="254" t="s">
        <v>844</v>
      </c>
      <c r="C228" s="254">
        <v>215</v>
      </c>
      <c r="D228" s="254" t="s">
        <v>221</v>
      </c>
      <c r="E228" s="254" t="str">
        <f>_xlfn.XLOOKUP(C228,Clientes!I:I,Clientes!F:F)</f>
        <v>GRUPO UNIFERTIL</v>
      </c>
      <c r="F228" s="254">
        <v>14134</v>
      </c>
      <c r="G228" s="254" t="s">
        <v>877</v>
      </c>
      <c r="H228" s="254" t="s">
        <v>1048</v>
      </c>
      <c r="I228" s="255">
        <v>12000</v>
      </c>
      <c r="J228" s="256">
        <v>12000</v>
      </c>
      <c r="K228" s="258">
        <v>49920</v>
      </c>
      <c r="L228" s="258">
        <v>-5990.4</v>
      </c>
      <c r="M228" s="258">
        <f t="shared" si="12"/>
        <v>43929.599999999999</v>
      </c>
      <c r="N228" s="258">
        <v>-15622.71</v>
      </c>
      <c r="O228" s="258">
        <v>-14321.447999999978</v>
      </c>
      <c r="P228" s="258">
        <v>-8.051126810768837</v>
      </c>
      <c r="Q228" s="258">
        <f t="shared" si="13"/>
        <v>13977.390873189252</v>
      </c>
      <c r="R228" s="259">
        <f t="shared" si="14"/>
        <v>0.31817705768295756</v>
      </c>
      <c r="S228" s="255">
        <f t="shared" si="15"/>
        <v>4.16</v>
      </c>
      <c r="T228" s="255">
        <f t="shared" si="15"/>
        <v>4.16</v>
      </c>
      <c r="U228" s="254">
        <v>101300</v>
      </c>
      <c r="V228" s="254" t="s">
        <v>980</v>
      </c>
      <c r="W228" s="254" t="s">
        <v>880</v>
      </c>
      <c r="X228" s="254" t="s">
        <v>446</v>
      </c>
      <c r="Y228" s="254" t="s">
        <v>843</v>
      </c>
      <c r="Z228" s="254" t="s">
        <v>1010</v>
      </c>
      <c r="AA228" s="254" t="s">
        <v>838</v>
      </c>
    </row>
    <row r="229" spans="1:27" ht="14.4" x14ac:dyDescent="0.3">
      <c r="A229" s="253">
        <v>11</v>
      </c>
      <c r="B229" s="254" t="s">
        <v>844</v>
      </c>
      <c r="C229" s="254">
        <v>9294</v>
      </c>
      <c r="D229" s="254" t="s">
        <v>1013</v>
      </c>
      <c r="E229" s="254" t="str">
        <f>_xlfn.XLOOKUP(C229,Clientes!I:I,Clientes!F:F)</f>
        <v>SOLINAG CÍA.LTDA - EQUADOR</v>
      </c>
      <c r="F229" s="254">
        <v>14143</v>
      </c>
      <c r="G229" s="254" t="s">
        <v>832</v>
      </c>
      <c r="H229" s="254" t="s">
        <v>1049</v>
      </c>
      <c r="I229" s="255">
        <v>1000</v>
      </c>
      <c r="J229" s="256">
        <v>1000</v>
      </c>
      <c r="K229" s="258">
        <v>8640</v>
      </c>
      <c r="L229" s="258">
        <v>0</v>
      </c>
      <c r="M229" s="258">
        <f t="shared" si="12"/>
        <v>8640</v>
      </c>
      <c r="N229" s="258">
        <v>-1619.89</v>
      </c>
      <c r="O229" s="258">
        <v>-8553.5535359999994</v>
      </c>
      <c r="P229" s="258">
        <v>-212.41583628323889</v>
      </c>
      <c r="Q229" s="258">
        <f t="shared" si="13"/>
        <v>-1745.8593722832386</v>
      </c>
      <c r="R229" s="259">
        <f t="shared" si="14"/>
        <v>-0.20206705697722668</v>
      </c>
      <c r="S229" s="255">
        <f t="shared" si="15"/>
        <v>8.64</v>
      </c>
      <c r="T229" s="255">
        <f t="shared" si="15"/>
        <v>8.64</v>
      </c>
      <c r="U229" s="254">
        <v>101300</v>
      </c>
      <c r="V229" s="254" t="s">
        <v>980</v>
      </c>
      <c r="W229" s="254" t="s">
        <v>1014</v>
      </c>
      <c r="X229" s="254" t="s">
        <v>446</v>
      </c>
      <c r="Y229" s="254" t="s">
        <v>836</v>
      </c>
      <c r="Z229" s="254" t="s">
        <v>1010</v>
      </c>
      <c r="AA229" s="254" t="s">
        <v>838</v>
      </c>
    </row>
    <row r="230" spans="1:27" ht="14.4" x14ac:dyDescent="0.3">
      <c r="A230" s="253">
        <v>11</v>
      </c>
      <c r="B230" s="254" t="s">
        <v>844</v>
      </c>
      <c r="C230" s="254">
        <v>16645</v>
      </c>
      <c r="D230" s="254" t="s">
        <v>573</v>
      </c>
      <c r="E230" s="254" t="str">
        <f>_xlfn.XLOOKUP(C230,Clientes!I:I,Clientes!F:F)</f>
        <v>OPCAO AGRONEGOCIOS</v>
      </c>
      <c r="F230" s="254">
        <v>8301</v>
      </c>
      <c r="G230" s="254" t="s">
        <v>855</v>
      </c>
      <c r="H230" s="254" t="s">
        <v>986</v>
      </c>
      <c r="I230" s="255">
        <v>2</v>
      </c>
      <c r="J230" s="256">
        <v>45.997932799283525</v>
      </c>
      <c r="K230" s="258">
        <v>1216.6453225410494</v>
      </c>
      <c r="L230" s="258">
        <v>-118.63363868996464</v>
      </c>
      <c r="M230" s="258">
        <f t="shared" si="12"/>
        <v>1098.0116838510849</v>
      </c>
      <c r="N230" s="258">
        <v>-338.71934312263772</v>
      </c>
      <c r="O230" s="258">
        <v>-11.102949296378783</v>
      </c>
      <c r="P230" s="258">
        <v>-269.94956332135683</v>
      </c>
      <c r="Q230" s="258">
        <f t="shared" si="13"/>
        <v>478.23982811071147</v>
      </c>
      <c r="R230" s="259">
        <f t="shared" si="14"/>
        <v>0.43555076429912704</v>
      </c>
      <c r="S230" s="255">
        <f t="shared" si="15"/>
        <v>608.32266127052469</v>
      </c>
      <c r="T230" s="255">
        <f t="shared" si="15"/>
        <v>26.450000000000003</v>
      </c>
      <c r="U230" s="254">
        <v>101602</v>
      </c>
      <c r="V230" s="254" t="s">
        <v>983</v>
      </c>
      <c r="W230" s="254" t="s">
        <v>865</v>
      </c>
      <c r="X230" s="254" t="s">
        <v>157</v>
      </c>
      <c r="Y230" s="254" t="s">
        <v>843</v>
      </c>
      <c r="Z230" s="254" t="s">
        <v>1010</v>
      </c>
      <c r="AA230" s="254" t="s">
        <v>838</v>
      </c>
    </row>
    <row r="231" spans="1:27" ht="14.4" x14ac:dyDescent="0.3">
      <c r="A231" s="253">
        <v>11</v>
      </c>
      <c r="B231" s="254" t="s">
        <v>844</v>
      </c>
      <c r="C231" s="254">
        <v>13773</v>
      </c>
      <c r="D231" s="254" t="s">
        <v>428</v>
      </c>
      <c r="E231" s="254" t="str">
        <f>_xlfn.XLOOKUP(C231,Clientes!I:I,Clientes!F:F)</f>
        <v>FERTLIZE AGRO</v>
      </c>
      <c r="F231" s="254">
        <v>8368</v>
      </c>
      <c r="G231" s="254" t="s">
        <v>855</v>
      </c>
      <c r="H231" s="254" t="s">
        <v>989</v>
      </c>
      <c r="I231" s="255">
        <v>36</v>
      </c>
      <c r="J231" s="256">
        <v>591.91330586164838</v>
      </c>
      <c r="K231" s="258">
        <v>6924.3651383987662</v>
      </c>
      <c r="L231" s="258">
        <v>-623.16748307473972</v>
      </c>
      <c r="M231" s="258">
        <f t="shared" si="12"/>
        <v>6301.1976553240265</v>
      </c>
      <c r="N231" s="258">
        <v>-2873.9478542918146</v>
      </c>
      <c r="O231" s="258">
        <v>0</v>
      </c>
      <c r="P231" s="258">
        <v>-1646.150377999691</v>
      </c>
      <c r="Q231" s="258">
        <f t="shared" si="13"/>
        <v>1781.0994230325209</v>
      </c>
      <c r="R231" s="259">
        <f t="shared" si="14"/>
        <v>0.28266045924263766</v>
      </c>
      <c r="S231" s="255">
        <f t="shared" si="15"/>
        <v>192.34347606663241</v>
      </c>
      <c r="T231" s="255">
        <f t="shared" si="15"/>
        <v>11.698275862068966</v>
      </c>
      <c r="U231" s="254">
        <v>101602</v>
      </c>
      <c r="V231" s="254" t="s">
        <v>983</v>
      </c>
      <c r="W231" s="254" t="s">
        <v>995</v>
      </c>
      <c r="X231" s="254" t="s">
        <v>157</v>
      </c>
      <c r="Y231" s="254" t="s">
        <v>843</v>
      </c>
      <c r="Z231" s="254" t="s">
        <v>1010</v>
      </c>
      <c r="AA231" s="254" t="s">
        <v>838</v>
      </c>
    </row>
    <row r="232" spans="1:27" ht="14.4" x14ac:dyDescent="0.3">
      <c r="A232" s="253">
        <v>11</v>
      </c>
      <c r="B232" s="254" t="s">
        <v>844</v>
      </c>
      <c r="C232" s="254">
        <v>11326</v>
      </c>
      <c r="D232" s="254" t="s">
        <v>179</v>
      </c>
      <c r="E232" s="254" t="str">
        <f>_xlfn.XLOOKUP(C232,Clientes!I:I,Clientes!F:F)</f>
        <v>VEGA AGRO</v>
      </c>
      <c r="F232" s="254">
        <v>8301</v>
      </c>
      <c r="G232" s="254" t="s">
        <v>855</v>
      </c>
      <c r="H232" s="254" t="s">
        <v>986</v>
      </c>
      <c r="I232" s="255">
        <v>3</v>
      </c>
      <c r="J232" s="256">
        <v>68.996899198925291</v>
      </c>
      <c r="K232" s="258">
        <v>1824.967983811574</v>
      </c>
      <c r="L232" s="258">
        <v>-176.23231568150609</v>
      </c>
      <c r="M232" s="258">
        <f t="shared" si="12"/>
        <v>1648.7356681300678</v>
      </c>
      <c r="N232" s="258">
        <v>-508.07901468395659</v>
      </c>
      <c r="O232" s="258">
        <v>0</v>
      </c>
      <c r="P232" s="258">
        <v>-401.72362848404691</v>
      </c>
      <c r="Q232" s="258">
        <f t="shared" si="13"/>
        <v>738.93302496206434</v>
      </c>
      <c r="R232" s="259">
        <f t="shared" si="14"/>
        <v>0.44818162137544681</v>
      </c>
      <c r="S232" s="255">
        <f t="shared" si="15"/>
        <v>608.32266127052469</v>
      </c>
      <c r="T232" s="255">
        <f t="shared" si="15"/>
        <v>26.45</v>
      </c>
      <c r="U232" s="254">
        <v>101602</v>
      </c>
      <c r="V232" s="254" t="s">
        <v>983</v>
      </c>
      <c r="W232" s="254" t="s">
        <v>952</v>
      </c>
      <c r="X232" s="254" t="s">
        <v>157</v>
      </c>
      <c r="Y232" s="254" t="s">
        <v>843</v>
      </c>
      <c r="Z232" s="254" t="s">
        <v>1010</v>
      </c>
      <c r="AA232" s="254" t="s">
        <v>838</v>
      </c>
    </row>
    <row r="233" spans="1:27" ht="14.4" x14ac:dyDescent="0.3">
      <c r="A233" s="253">
        <v>11</v>
      </c>
      <c r="B233" s="254" t="s">
        <v>844</v>
      </c>
      <c r="C233" s="254">
        <v>15906</v>
      </c>
      <c r="D233" s="254" t="s">
        <v>993</v>
      </c>
      <c r="E233" s="254" t="str">
        <f>_xlfn.XLOOKUP(C233,Clientes!I:I,Clientes!F:F)</f>
        <v>ADUFÉRTIL - CAMPEVO</v>
      </c>
      <c r="F233" s="254">
        <v>8369</v>
      </c>
      <c r="G233" s="254" t="s">
        <v>908</v>
      </c>
      <c r="H233" s="254" t="s">
        <v>988</v>
      </c>
      <c r="I233" s="255">
        <v>3500</v>
      </c>
      <c r="J233" s="256">
        <v>3197.0626088206318</v>
      </c>
      <c r="K233" s="258">
        <v>34940.587008262453</v>
      </c>
      <c r="L233" s="258">
        <v>-3144.5247655047806</v>
      </c>
      <c r="M233" s="258">
        <f t="shared" si="12"/>
        <v>31796.062242757675</v>
      </c>
      <c r="N233" s="258">
        <v>-17074.682582790541</v>
      </c>
      <c r="O233" s="258">
        <v>-864.28975496354849</v>
      </c>
      <c r="P233" s="258">
        <v>-8378.7055450792104</v>
      </c>
      <c r="Q233" s="258">
        <f t="shared" si="13"/>
        <v>5478.3843599243737</v>
      </c>
      <c r="R233" s="259">
        <f t="shared" si="14"/>
        <v>0.17229757314279409</v>
      </c>
      <c r="S233" s="255">
        <f t="shared" si="15"/>
        <v>9.9830248595035584</v>
      </c>
      <c r="T233" s="255">
        <f t="shared" si="15"/>
        <v>10.92896551724138</v>
      </c>
      <c r="U233" s="254">
        <v>101602</v>
      </c>
      <c r="V233" s="254" t="s">
        <v>983</v>
      </c>
      <c r="W233" s="254" t="s">
        <v>994</v>
      </c>
      <c r="X233" s="254" t="s">
        <v>157</v>
      </c>
      <c r="Y233" s="254" t="s">
        <v>843</v>
      </c>
      <c r="Z233" s="254" t="s">
        <v>1010</v>
      </c>
      <c r="AA233" s="254" t="s">
        <v>838</v>
      </c>
    </row>
    <row r="234" spans="1:27" ht="14.4" x14ac:dyDescent="0.3">
      <c r="A234" s="253">
        <v>11</v>
      </c>
      <c r="B234" s="254" t="s">
        <v>844</v>
      </c>
      <c r="C234" s="254">
        <v>15917</v>
      </c>
      <c r="D234" s="254" t="s">
        <v>571</v>
      </c>
      <c r="E234" s="254" t="str">
        <f>_xlfn.XLOOKUP(C234,Clientes!I:I,Clientes!F:F)</f>
        <v>MINAS FARM</v>
      </c>
      <c r="F234" s="254">
        <v>8301</v>
      </c>
      <c r="G234" s="254" t="s">
        <v>855</v>
      </c>
      <c r="H234" s="254" t="s">
        <v>986</v>
      </c>
      <c r="I234" s="255">
        <v>4</v>
      </c>
      <c r="J234" s="256">
        <v>91.99586559856705</v>
      </c>
      <c r="K234" s="258">
        <v>2433.2906450820988</v>
      </c>
      <c r="L234" s="258">
        <v>-237.26727737992928</v>
      </c>
      <c r="M234" s="258">
        <f t="shared" si="12"/>
        <v>2196.0233677021697</v>
      </c>
      <c r="N234" s="258">
        <v>-677.43868624527545</v>
      </c>
      <c r="O234" s="258">
        <v>-22.205898592757567</v>
      </c>
      <c r="P234" s="258">
        <v>-537.72297964405482</v>
      </c>
      <c r="Q234" s="258">
        <f t="shared" si="13"/>
        <v>958.65580322008179</v>
      </c>
      <c r="R234" s="259">
        <f t="shared" si="14"/>
        <v>0.43654171322556579</v>
      </c>
      <c r="S234" s="255">
        <f t="shared" si="15"/>
        <v>608.32266127052469</v>
      </c>
      <c r="T234" s="255">
        <f t="shared" si="15"/>
        <v>26.450000000000003</v>
      </c>
      <c r="U234" s="254">
        <v>101602</v>
      </c>
      <c r="V234" s="254" t="s">
        <v>983</v>
      </c>
      <c r="W234" s="254" t="s">
        <v>865</v>
      </c>
      <c r="X234" s="254" t="s">
        <v>157</v>
      </c>
      <c r="Y234" s="254" t="s">
        <v>843</v>
      </c>
      <c r="Z234" s="254" t="s">
        <v>1010</v>
      </c>
      <c r="AA234" s="254" t="s">
        <v>838</v>
      </c>
    </row>
    <row r="235" spans="1:27" ht="14.4" x14ac:dyDescent="0.3">
      <c r="A235" s="253">
        <v>11</v>
      </c>
      <c r="B235" s="254" t="s">
        <v>844</v>
      </c>
      <c r="C235" s="254">
        <v>15908</v>
      </c>
      <c r="D235" s="254" t="s">
        <v>981</v>
      </c>
      <c r="E235" s="254" t="str">
        <f>_xlfn.XLOOKUP(C235,Clientes!I:I,Clientes!F:F)</f>
        <v>ADUFÉRTIL - CAMPEVO</v>
      </c>
      <c r="F235" s="254">
        <v>8368</v>
      </c>
      <c r="G235" s="254" t="s">
        <v>908</v>
      </c>
      <c r="H235" s="254" t="s">
        <v>989</v>
      </c>
      <c r="I235" s="255">
        <v>500</v>
      </c>
      <c r="J235" s="256">
        <v>8221.0181369673392</v>
      </c>
      <c r="K235" s="258">
        <v>98453.779274784727</v>
      </c>
      <c r="L235" s="258">
        <v>-8860.4792791229465</v>
      </c>
      <c r="M235" s="258">
        <f t="shared" si="12"/>
        <v>89593.299995661786</v>
      </c>
      <c r="N235" s="258">
        <v>-39915.94242071965</v>
      </c>
      <c r="O235" s="258">
        <v>-2222.4593699062671</v>
      </c>
      <c r="P235" s="258">
        <v>-23344.125133378966</v>
      </c>
      <c r="Q235" s="258">
        <f t="shared" si="13"/>
        <v>24110.773071656902</v>
      </c>
      <c r="R235" s="259">
        <f t="shared" si="14"/>
        <v>0.26911357292146149</v>
      </c>
      <c r="S235" s="255">
        <f t="shared" si="15"/>
        <v>196.90755854956944</v>
      </c>
      <c r="T235" s="255">
        <f t="shared" si="15"/>
        <v>11.975862068965519</v>
      </c>
      <c r="U235" s="254">
        <v>101602</v>
      </c>
      <c r="V235" s="254" t="s">
        <v>983</v>
      </c>
      <c r="W235" s="254" t="s">
        <v>984</v>
      </c>
      <c r="X235" s="254" t="s">
        <v>157</v>
      </c>
      <c r="Y235" s="254" t="s">
        <v>843</v>
      </c>
      <c r="Z235" s="254" t="s">
        <v>1010</v>
      </c>
      <c r="AA235" s="254" t="s">
        <v>838</v>
      </c>
    </row>
    <row r="236" spans="1:27" ht="14.4" x14ac:dyDescent="0.3">
      <c r="A236" s="253">
        <v>11</v>
      </c>
      <c r="B236" s="254" t="s">
        <v>844</v>
      </c>
      <c r="C236" s="254">
        <v>15908</v>
      </c>
      <c r="D236" s="254" t="s">
        <v>981</v>
      </c>
      <c r="E236" s="254" t="str">
        <f>_xlfn.XLOOKUP(C236,Clientes!I:I,Clientes!F:F)</f>
        <v>ADUFÉRTIL - CAMPEVO</v>
      </c>
      <c r="F236" s="254">
        <v>13004</v>
      </c>
      <c r="G236" s="254" t="s">
        <v>908</v>
      </c>
      <c r="H236" s="254" t="s">
        <v>982</v>
      </c>
      <c r="I236" s="255">
        <v>63</v>
      </c>
      <c r="J236" s="256">
        <v>1448.9348831774312</v>
      </c>
      <c r="K236" s="258">
        <v>38324.327660043054</v>
      </c>
      <c r="L236" s="258">
        <v>-3570.9870673914984</v>
      </c>
      <c r="M236" s="258">
        <f t="shared" si="12"/>
        <v>34753.340592651555</v>
      </c>
      <c r="N236" s="258">
        <v>-10286.883842143669</v>
      </c>
      <c r="O236" s="258">
        <v>-391.70317518477435</v>
      </c>
      <c r="P236" s="258">
        <v>-8443.4737331950491</v>
      </c>
      <c r="Q236" s="258">
        <f t="shared" si="13"/>
        <v>15631.279842128064</v>
      </c>
      <c r="R236" s="259">
        <f t="shared" si="14"/>
        <v>0.44977776454195689</v>
      </c>
      <c r="S236" s="255">
        <f t="shared" si="15"/>
        <v>608.32266127052469</v>
      </c>
      <c r="T236" s="255">
        <f t="shared" si="15"/>
        <v>26.45</v>
      </c>
      <c r="U236" s="254">
        <v>101602</v>
      </c>
      <c r="V236" s="254" t="s">
        <v>983</v>
      </c>
      <c r="W236" s="254" t="s">
        <v>984</v>
      </c>
      <c r="X236" s="254" t="s">
        <v>157</v>
      </c>
      <c r="Y236" s="254" t="s">
        <v>843</v>
      </c>
      <c r="Z236" s="254" t="s">
        <v>1010</v>
      </c>
      <c r="AA236" s="254" t="s">
        <v>838</v>
      </c>
    </row>
    <row r="237" spans="1:27" ht="14.4" x14ac:dyDescent="0.3">
      <c r="A237" s="253">
        <v>11</v>
      </c>
      <c r="B237" s="254" t="s">
        <v>844</v>
      </c>
      <c r="C237" s="254">
        <v>14166</v>
      </c>
      <c r="D237" s="254" t="s">
        <v>1050</v>
      </c>
      <c r="E237" s="254" t="str">
        <f>_xlfn.XLOOKUP(C237,Clientes!I:I,Clientes!F:F)</f>
        <v>GRUPO TAKI AGRO</v>
      </c>
      <c r="F237" s="254">
        <v>8416</v>
      </c>
      <c r="G237" s="254" t="s">
        <v>855</v>
      </c>
      <c r="H237" s="254" t="s">
        <v>1051</v>
      </c>
      <c r="I237" s="255">
        <v>50</v>
      </c>
      <c r="J237" s="256">
        <v>287.48707999552204</v>
      </c>
      <c r="K237" s="258">
        <v>7604.0332658815578</v>
      </c>
      <c r="L237" s="258">
        <v>-7.1589264726702808</v>
      </c>
      <c r="M237" s="258">
        <f t="shared" si="12"/>
        <v>7596.8743394088879</v>
      </c>
      <c r="N237" s="258">
        <v>-2464.5065149317938</v>
      </c>
      <c r="O237" s="258">
        <v>-69.393433102367396</v>
      </c>
      <c r="P237" s="258">
        <v>-1705.1391188791463</v>
      </c>
      <c r="Q237" s="258">
        <f t="shared" si="13"/>
        <v>3357.8352724955807</v>
      </c>
      <c r="R237" s="259">
        <f t="shared" si="14"/>
        <v>0.44200221334144824</v>
      </c>
      <c r="S237" s="255">
        <f t="shared" si="15"/>
        <v>152.08066531763114</v>
      </c>
      <c r="T237" s="255">
        <f t="shared" si="15"/>
        <v>26.45</v>
      </c>
      <c r="U237" s="254">
        <v>101602</v>
      </c>
      <c r="V237" s="254" t="s">
        <v>983</v>
      </c>
      <c r="W237" s="254" t="s">
        <v>1052</v>
      </c>
      <c r="X237" s="254" t="s">
        <v>157</v>
      </c>
      <c r="Y237" s="254" t="s">
        <v>843</v>
      </c>
      <c r="Z237" s="254" t="s">
        <v>1010</v>
      </c>
      <c r="AA237" s="254" t="s">
        <v>838</v>
      </c>
    </row>
    <row r="238" spans="1:27" ht="14.4" x14ac:dyDescent="0.3">
      <c r="A238" s="253">
        <v>11</v>
      </c>
      <c r="B238" s="254" t="s">
        <v>844</v>
      </c>
      <c r="C238" s="254">
        <v>7060</v>
      </c>
      <c r="D238" s="254" t="s">
        <v>165</v>
      </c>
      <c r="E238" s="254" t="str">
        <f>_xlfn.XLOOKUP(C238,Clientes!I:I,Clientes!F:F)</f>
        <v>AGROVIVA</v>
      </c>
      <c r="F238" s="254">
        <v>8368</v>
      </c>
      <c r="G238" s="254" t="s">
        <v>855</v>
      </c>
      <c r="H238" s="254" t="s">
        <v>989</v>
      </c>
      <c r="I238" s="255">
        <v>100</v>
      </c>
      <c r="J238" s="256">
        <v>1644.2036273934677</v>
      </c>
      <c r="K238" s="258">
        <v>19690.755854956944</v>
      </c>
      <c r="L238" s="258">
        <v>-1772.0958558245893</v>
      </c>
      <c r="M238" s="258">
        <f t="shared" si="12"/>
        <v>17918.659999132353</v>
      </c>
      <c r="N238" s="258">
        <v>-7983.1884841439287</v>
      </c>
      <c r="O238" s="258">
        <v>-396.8767376466991</v>
      </c>
      <c r="P238" s="258">
        <v>-4672.7445670120651</v>
      </c>
      <c r="Q238" s="258">
        <f t="shared" si="13"/>
        <v>4865.8502103296614</v>
      </c>
      <c r="R238" s="259">
        <f t="shared" si="14"/>
        <v>0.27155212558111336</v>
      </c>
      <c r="S238" s="255">
        <f t="shared" si="15"/>
        <v>196.90755854956944</v>
      </c>
      <c r="T238" s="255">
        <f t="shared" si="15"/>
        <v>11.975862068965517</v>
      </c>
      <c r="U238" s="254">
        <v>101602</v>
      </c>
      <c r="V238" s="254" t="s">
        <v>983</v>
      </c>
      <c r="W238" s="254" t="s">
        <v>1053</v>
      </c>
      <c r="X238" s="254" t="s">
        <v>157</v>
      </c>
      <c r="Y238" s="254" t="s">
        <v>843</v>
      </c>
      <c r="Z238" s="254" t="s">
        <v>1010</v>
      </c>
      <c r="AA238" s="254" t="s">
        <v>838</v>
      </c>
    </row>
    <row r="239" spans="1:27" ht="14.4" x14ac:dyDescent="0.3">
      <c r="A239" s="253">
        <v>11</v>
      </c>
      <c r="B239" s="254" t="s">
        <v>844</v>
      </c>
      <c r="C239" s="254">
        <v>12653</v>
      </c>
      <c r="D239" s="254" t="s">
        <v>232</v>
      </c>
      <c r="E239" s="254" t="str">
        <f>_xlfn.XLOOKUP(C239,Clientes!I:I,Clientes!F:F)</f>
        <v>APROVAR AGROPECUARIA COMERCIO</v>
      </c>
      <c r="F239" s="254">
        <v>8301</v>
      </c>
      <c r="G239" s="254" t="s">
        <v>855</v>
      </c>
      <c r="H239" s="254" t="s">
        <v>986</v>
      </c>
      <c r="I239" s="255">
        <v>50</v>
      </c>
      <c r="J239" s="256">
        <v>1149.9483199820882</v>
      </c>
      <c r="K239" s="258">
        <v>30416.133063526231</v>
      </c>
      <c r="L239" s="258">
        <v>-2965.8409672491161</v>
      </c>
      <c r="M239" s="258">
        <f t="shared" si="12"/>
        <v>27450.292096277117</v>
      </c>
      <c r="N239" s="258">
        <v>-8467.9835780659432</v>
      </c>
      <c r="O239" s="258">
        <v>-277.57373240946959</v>
      </c>
      <c r="P239" s="258">
        <v>-6698.3195562114615</v>
      </c>
      <c r="Q239" s="258">
        <f t="shared" si="13"/>
        <v>12006.415229590244</v>
      </c>
      <c r="R239" s="259">
        <f t="shared" si="14"/>
        <v>0.43738752168755929</v>
      </c>
      <c r="S239" s="255">
        <f t="shared" si="15"/>
        <v>608.32266127052458</v>
      </c>
      <c r="T239" s="255">
        <f t="shared" si="15"/>
        <v>26.45</v>
      </c>
      <c r="U239" s="254">
        <v>101602</v>
      </c>
      <c r="V239" s="254" t="s">
        <v>983</v>
      </c>
      <c r="W239" s="254" t="s">
        <v>1054</v>
      </c>
      <c r="X239" s="254" t="s">
        <v>157</v>
      </c>
      <c r="Y239" s="254" t="s">
        <v>843</v>
      </c>
      <c r="Z239" s="254" t="s">
        <v>1010</v>
      </c>
      <c r="AA239" s="254" t="s">
        <v>838</v>
      </c>
    </row>
    <row r="240" spans="1:27" ht="14.4" x14ac:dyDescent="0.3">
      <c r="A240" s="253">
        <v>11</v>
      </c>
      <c r="B240" s="254" t="s">
        <v>844</v>
      </c>
      <c r="C240" s="254">
        <v>16645</v>
      </c>
      <c r="D240" s="254" t="s">
        <v>573</v>
      </c>
      <c r="E240" s="254" t="str">
        <f>_xlfn.XLOOKUP(C240,Clientes!I:I,Clientes!F:F)</f>
        <v>OPCAO AGRONEGOCIOS</v>
      </c>
      <c r="F240" s="254">
        <v>8368</v>
      </c>
      <c r="G240" s="254" t="s">
        <v>855</v>
      </c>
      <c r="H240" s="254" t="s">
        <v>989</v>
      </c>
      <c r="I240" s="255">
        <v>28</v>
      </c>
      <c r="J240" s="256">
        <v>460.37701567017092</v>
      </c>
      <c r="K240" s="258">
        <v>5513.4116393879431</v>
      </c>
      <c r="L240" s="258">
        <v>-496.186839630885</v>
      </c>
      <c r="M240" s="258">
        <f t="shared" si="12"/>
        <v>5017.2247997570585</v>
      </c>
      <c r="N240" s="258">
        <v>-2235.2927755603</v>
      </c>
      <c r="O240" s="258">
        <v>-111.12548654107576</v>
      </c>
      <c r="P240" s="258">
        <v>-1309.3084630405974</v>
      </c>
      <c r="Q240" s="258">
        <f t="shared" si="13"/>
        <v>1361.4980746150854</v>
      </c>
      <c r="R240" s="259">
        <f t="shared" si="14"/>
        <v>0.27136477414386756</v>
      </c>
      <c r="S240" s="255">
        <f t="shared" si="15"/>
        <v>196.90755854956939</v>
      </c>
      <c r="T240" s="255">
        <f t="shared" si="15"/>
        <v>11.975862068965517</v>
      </c>
      <c r="U240" s="254">
        <v>101602</v>
      </c>
      <c r="V240" s="254" t="s">
        <v>983</v>
      </c>
      <c r="W240" s="254" t="s">
        <v>865</v>
      </c>
      <c r="X240" s="254" t="s">
        <v>157</v>
      </c>
      <c r="Y240" s="254" t="s">
        <v>843</v>
      </c>
      <c r="Z240" s="254" t="s">
        <v>1010</v>
      </c>
      <c r="AA240" s="254" t="s">
        <v>838</v>
      </c>
    </row>
    <row r="241" spans="1:27" ht="14.4" x14ac:dyDescent="0.3">
      <c r="A241" s="253">
        <v>11</v>
      </c>
      <c r="B241" s="254" t="s">
        <v>844</v>
      </c>
      <c r="C241" s="254">
        <v>15904</v>
      </c>
      <c r="D241" s="254" t="s">
        <v>754</v>
      </c>
      <c r="E241" s="254" t="str">
        <f>_xlfn.XLOOKUP(C241,Clientes!I:I,Clientes!F:F)</f>
        <v>ADUFÉRTIL - CAMPEVO</v>
      </c>
      <c r="F241" s="254">
        <v>8368</v>
      </c>
      <c r="G241" s="254" t="s">
        <v>908</v>
      </c>
      <c r="H241" s="254" t="s">
        <v>989</v>
      </c>
      <c r="I241" s="255">
        <v>500</v>
      </c>
      <c r="J241" s="256">
        <v>8221.0181369673392</v>
      </c>
      <c r="K241" s="258">
        <v>98453.779274784727</v>
      </c>
      <c r="L241" s="258">
        <v>-8860.4792791229465</v>
      </c>
      <c r="M241" s="258">
        <f t="shared" si="12"/>
        <v>89593.299995661786</v>
      </c>
      <c r="N241" s="258">
        <v>-39915.94242071965</v>
      </c>
      <c r="O241" s="258">
        <v>-2222.4593699062671</v>
      </c>
      <c r="P241" s="258">
        <v>-23344.125133378966</v>
      </c>
      <c r="Q241" s="258">
        <f t="shared" si="13"/>
        <v>24110.773071656902</v>
      </c>
      <c r="R241" s="259">
        <f t="shared" si="14"/>
        <v>0.26911357292146149</v>
      </c>
      <c r="S241" s="255">
        <f t="shared" si="15"/>
        <v>196.90755854956944</v>
      </c>
      <c r="T241" s="255">
        <f t="shared" si="15"/>
        <v>11.975862068965519</v>
      </c>
      <c r="U241" s="254">
        <v>101602</v>
      </c>
      <c r="V241" s="254" t="s">
        <v>983</v>
      </c>
      <c r="W241" s="254" t="s">
        <v>992</v>
      </c>
      <c r="X241" s="254" t="s">
        <v>157</v>
      </c>
      <c r="Y241" s="254" t="s">
        <v>843</v>
      </c>
      <c r="Z241" s="254" t="s">
        <v>1010</v>
      </c>
      <c r="AA241" s="254" t="s">
        <v>838</v>
      </c>
    </row>
    <row r="242" spans="1:27" ht="14.4" x14ac:dyDescent="0.3">
      <c r="A242" s="253">
        <v>11</v>
      </c>
      <c r="B242" s="254" t="s">
        <v>844</v>
      </c>
      <c r="C242" s="254">
        <v>15906</v>
      </c>
      <c r="D242" s="254" t="s">
        <v>993</v>
      </c>
      <c r="E242" s="254" t="str">
        <f>_xlfn.XLOOKUP(C242,Clientes!I:I,Clientes!F:F)</f>
        <v>ADUFÉRTIL - CAMPEVO</v>
      </c>
      <c r="F242" s="254">
        <v>8368</v>
      </c>
      <c r="G242" s="254" t="s">
        <v>908</v>
      </c>
      <c r="H242" s="254" t="s">
        <v>989</v>
      </c>
      <c r="I242" s="255">
        <v>500</v>
      </c>
      <c r="J242" s="256">
        <v>8221.0181369673392</v>
      </c>
      <c r="K242" s="258">
        <v>98453.779274784727</v>
      </c>
      <c r="L242" s="258">
        <v>-8860.4792791229465</v>
      </c>
      <c r="M242" s="258">
        <f t="shared" si="12"/>
        <v>89593.299995661786</v>
      </c>
      <c r="N242" s="258">
        <v>-39915.94242071965</v>
      </c>
      <c r="O242" s="258">
        <v>-2222.4593699062671</v>
      </c>
      <c r="P242" s="258">
        <v>-23344.771211456373</v>
      </c>
      <c r="Q242" s="258">
        <f t="shared" si="13"/>
        <v>24110.126993579495</v>
      </c>
      <c r="R242" s="259">
        <f t="shared" si="14"/>
        <v>0.26910636168940016</v>
      </c>
      <c r="S242" s="255">
        <f t="shared" si="15"/>
        <v>196.90755854956944</v>
      </c>
      <c r="T242" s="255">
        <f t="shared" si="15"/>
        <v>11.975862068965519</v>
      </c>
      <c r="U242" s="254">
        <v>101602</v>
      </c>
      <c r="V242" s="254" t="s">
        <v>983</v>
      </c>
      <c r="W242" s="254" t="s">
        <v>994</v>
      </c>
      <c r="X242" s="254" t="s">
        <v>157</v>
      </c>
      <c r="Y242" s="254" t="s">
        <v>843</v>
      </c>
      <c r="Z242" s="254" t="s">
        <v>1010</v>
      </c>
      <c r="AA242" s="254" t="s">
        <v>838</v>
      </c>
    </row>
    <row r="243" spans="1:27" ht="14.4" x14ac:dyDescent="0.3">
      <c r="A243" s="253">
        <v>11</v>
      </c>
      <c r="B243" s="254" t="s">
        <v>844</v>
      </c>
      <c r="C243" s="254">
        <v>15906</v>
      </c>
      <c r="D243" s="254" t="s">
        <v>993</v>
      </c>
      <c r="E243" s="254" t="str">
        <f>_xlfn.XLOOKUP(C243,Clientes!I:I,Clientes!F:F)</f>
        <v>ADUFÉRTIL - CAMPEVO</v>
      </c>
      <c r="F243" s="254">
        <v>13004</v>
      </c>
      <c r="G243" s="254" t="s">
        <v>908</v>
      </c>
      <c r="H243" s="254" t="s">
        <v>982</v>
      </c>
      <c r="I243" s="255">
        <v>63</v>
      </c>
      <c r="J243" s="256">
        <v>1448.9348831774312</v>
      </c>
      <c r="K243" s="258">
        <v>38324.327660043054</v>
      </c>
      <c r="L243" s="258">
        <v>-3570.9870673914984</v>
      </c>
      <c r="M243" s="258">
        <f t="shared" si="12"/>
        <v>34753.340592651555</v>
      </c>
      <c r="N243" s="258">
        <v>-10286.883842143669</v>
      </c>
      <c r="O243" s="258">
        <v>-391.70317518477435</v>
      </c>
      <c r="P243" s="258">
        <v>-8444.119811272456</v>
      </c>
      <c r="Q243" s="258">
        <f t="shared" si="13"/>
        <v>15630.633764050657</v>
      </c>
      <c r="R243" s="259">
        <f t="shared" si="14"/>
        <v>0.44975917415420169</v>
      </c>
      <c r="S243" s="255">
        <f t="shared" si="15"/>
        <v>608.32266127052469</v>
      </c>
      <c r="T243" s="255">
        <f t="shared" si="15"/>
        <v>26.45</v>
      </c>
      <c r="U243" s="254">
        <v>101602</v>
      </c>
      <c r="V243" s="254" t="s">
        <v>983</v>
      </c>
      <c r="W243" s="254" t="s">
        <v>994</v>
      </c>
      <c r="X243" s="254" t="s">
        <v>157</v>
      </c>
      <c r="Y243" s="254" t="s">
        <v>843</v>
      </c>
      <c r="Z243" s="254" t="s">
        <v>1010</v>
      </c>
      <c r="AA243" s="254" t="s">
        <v>838</v>
      </c>
    </row>
    <row r="244" spans="1:27" ht="14.4" x14ac:dyDescent="0.3">
      <c r="A244" s="253">
        <v>11</v>
      </c>
      <c r="B244" s="254" t="s">
        <v>844</v>
      </c>
      <c r="C244" s="254">
        <v>15917</v>
      </c>
      <c r="D244" s="254" t="s">
        <v>571</v>
      </c>
      <c r="E244" s="254" t="str">
        <f>_xlfn.XLOOKUP(C244,Clientes!I:I,Clientes!F:F)</f>
        <v>MINAS FARM</v>
      </c>
      <c r="F244" s="254">
        <v>8368</v>
      </c>
      <c r="G244" s="254" t="s">
        <v>855</v>
      </c>
      <c r="H244" s="254" t="s">
        <v>989</v>
      </c>
      <c r="I244" s="255">
        <v>111</v>
      </c>
      <c r="J244" s="256">
        <v>1825.0660264067492</v>
      </c>
      <c r="K244" s="258">
        <v>21350.125843396196</v>
      </c>
      <c r="L244" s="258">
        <v>-1921.4330728137807</v>
      </c>
      <c r="M244" s="258">
        <f t="shared" si="12"/>
        <v>19428.692770582416</v>
      </c>
      <c r="N244" s="258">
        <v>-8861.3392173997618</v>
      </c>
      <c r="O244" s="258">
        <v>0</v>
      </c>
      <c r="P244" s="258">
        <v>-5075.6303321657142</v>
      </c>
      <c r="Q244" s="258">
        <f t="shared" si="13"/>
        <v>5491.7232210169404</v>
      </c>
      <c r="R244" s="259">
        <f t="shared" si="14"/>
        <v>0.28266045924263766</v>
      </c>
      <c r="S244" s="255">
        <f t="shared" si="15"/>
        <v>192.34347606663241</v>
      </c>
      <c r="T244" s="255">
        <f t="shared" si="15"/>
        <v>11.698275862068966</v>
      </c>
      <c r="U244" s="254">
        <v>101602</v>
      </c>
      <c r="V244" s="254" t="s">
        <v>983</v>
      </c>
      <c r="W244" s="254" t="s">
        <v>865</v>
      </c>
      <c r="X244" s="254" t="s">
        <v>157</v>
      </c>
      <c r="Y244" s="254" t="s">
        <v>843</v>
      </c>
      <c r="Z244" s="254" t="s">
        <v>1010</v>
      </c>
      <c r="AA244" s="254" t="s">
        <v>838</v>
      </c>
    </row>
    <row r="245" spans="1:27" ht="14.4" x14ac:dyDescent="0.3">
      <c r="A245" s="253">
        <v>11</v>
      </c>
      <c r="B245" s="254" t="s">
        <v>844</v>
      </c>
      <c r="C245" s="254">
        <v>15858</v>
      </c>
      <c r="D245" s="254" t="s">
        <v>985</v>
      </c>
      <c r="E245" s="254" t="str">
        <f>_xlfn.XLOOKUP(C245,Clientes!I:I,Clientes!F:F)</f>
        <v>GRUPO SAGRA</v>
      </c>
      <c r="F245" s="254">
        <v>8368</v>
      </c>
      <c r="G245" s="254" t="s">
        <v>855</v>
      </c>
      <c r="H245" s="254" t="s">
        <v>989</v>
      </c>
      <c r="I245" s="255">
        <v>56</v>
      </c>
      <c r="J245" s="256">
        <v>920.75403134034184</v>
      </c>
      <c r="K245" s="258">
        <v>10771.234659731414</v>
      </c>
      <c r="L245" s="258">
        <v>-969.37164033848399</v>
      </c>
      <c r="M245" s="258">
        <f t="shared" si="12"/>
        <v>9801.8630193929293</v>
      </c>
      <c r="N245" s="258">
        <v>-4470.5855511206</v>
      </c>
      <c r="O245" s="258">
        <v>0</v>
      </c>
      <c r="P245" s="258">
        <v>-2560.6783657772971</v>
      </c>
      <c r="Q245" s="258">
        <f t="shared" si="13"/>
        <v>2770.5991024950322</v>
      </c>
      <c r="R245" s="259">
        <f t="shared" si="14"/>
        <v>0.28266045924263766</v>
      </c>
      <c r="S245" s="255">
        <f t="shared" si="15"/>
        <v>192.34347606663238</v>
      </c>
      <c r="T245" s="255">
        <f t="shared" si="15"/>
        <v>11.698275862068966</v>
      </c>
      <c r="U245" s="254">
        <v>101602</v>
      </c>
      <c r="V245" s="254" t="s">
        <v>983</v>
      </c>
      <c r="W245" s="254" t="s">
        <v>987</v>
      </c>
      <c r="X245" s="254" t="s">
        <v>157</v>
      </c>
      <c r="Y245" s="254" t="s">
        <v>843</v>
      </c>
      <c r="Z245" s="254" t="s">
        <v>1010</v>
      </c>
      <c r="AA245" s="254" t="s">
        <v>838</v>
      </c>
    </row>
    <row r="246" spans="1:27" ht="14.4" x14ac:dyDescent="0.3">
      <c r="A246" s="253">
        <v>11</v>
      </c>
      <c r="B246" s="254" t="s">
        <v>844</v>
      </c>
      <c r="C246" s="254">
        <v>13773</v>
      </c>
      <c r="D246" s="254" t="s">
        <v>428</v>
      </c>
      <c r="E246" s="254" t="str">
        <f>_xlfn.XLOOKUP(C246,Clientes!I:I,Clientes!F:F)</f>
        <v>FERTLIZE AGRO</v>
      </c>
      <c r="F246" s="254">
        <v>8301</v>
      </c>
      <c r="G246" s="254" t="s">
        <v>855</v>
      </c>
      <c r="H246" s="254" t="s">
        <v>986</v>
      </c>
      <c r="I246" s="255">
        <v>2</v>
      </c>
      <c r="J246" s="256">
        <v>45.997932799283525</v>
      </c>
      <c r="K246" s="258">
        <v>1216.6453225410494</v>
      </c>
      <c r="L246" s="258">
        <v>-117.48821045433741</v>
      </c>
      <c r="M246" s="258">
        <f t="shared" si="12"/>
        <v>1099.157112086712</v>
      </c>
      <c r="N246" s="258">
        <v>-338.71934312263772</v>
      </c>
      <c r="O246" s="258">
        <v>0</v>
      </c>
      <c r="P246" s="258">
        <v>-267.81575232269802</v>
      </c>
      <c r="Q246" s="258">
        <f t="shared" si="13"/>
        <v>492.62201664137626</v>
      </c>
      <c r="R246" s="259">
        <f t="shared" si="14"/>
        <v>0.44818162137544676</v>
      </c>
      <c r="S246" s="255">
        <f t="shared" si="15"/>
        <v>608.32266127052469</v>
      </c>
      <c r="T246" s="255">
        <f t="shared" si="15"/>
        <v>26.450000000000003</v>
      </c>
      <c r="U246" s="254">
        <v>101602</v>
      </c>
      <c r="V246" s="254" t="s">
        <v>983</v>
      </c>
      <c r="W246" s="254" t="s">
        <v>995</v>
      </c>
      <c r="X246" s="254" t="s">
        <v>157</v>
      </c>
      <c r="Y246" s="254" t="s">
        <v>843</v>
      </c>
      <c r="Z246" s="254" t="s">
        <v>1010</v>
      </c>
      <c r="AA246" s="254" t="s">
        <v>838</v>
      </c>
    </row>
    <row r="247" spans="1:27" ht="14.4" x14ac:dyDescent="0.3">
      <c r="A247" s="253">
        <v>11</v>
      </c>
      <c r="B247" s="254" t="s">
        <v>844</v>
      </c>
      <c r="C247" s="254">
        <v>15905</v>
      </c>
      <c r="D247" s="254" t="s">
        <v>750</v>
      </c>
      <c r="E247" s="254" t="str">
        <f>_xlfn.XLOOKUP(C247,Clientes!I:I,Clientes!F:F)</f>
        <v>ADUFÉRTIL - CAMPEVO</v>
      </c>
      <c r="F247" s="254">
        <v>13004</v>
      </c>
      <c r="G247" s="254" t="s">
        <v>908</v>
      </c>
      <c r="H247" s="254" t="s">
        <v>982</v>
      </c>
      <c r="I247" s="255">
        <v>23</v>
      </c>
      <c r="J247" s="256">
        <v>528.97622719176059</v>
      </c>
      <c r="K247" s="258">
        <v>13991.421209222068</v>
      </c>
      <c r="L247" s="258">
        <v>-1303.6936912699121</v>
      </c>
      <c r="M247" s="258">
        <f t="shared" si="12"/>
        <v>12687.727517952157</v>
      </c>
      <c r="N247" s="258">
        <v>-3755.5290217349902</v>
      </c>
      <c r="O247" s="258">
        <v>-143.00274649602875</v>
      </c>
      <c r="P247" s="258">
        <v>-3085.8872094539593</v>
      </c>
      <c r="Q247" s="258">
        <f t="shared" si="13"/>
        <v>5703.3085402671777</v>
      </c>
      <c r="R247" s="259">
        <f t="shared" si="14"/>
        <v>0.44951379450712792</v>
      </c>
      <c r="S247" s="255">
        <f t="shared" si="15"/>
        <v>608.32266127052469</v>
      </c>
      <c r="T247" s="255">
        <f t="shared" si="15"/>
        <v>26.45</v>
      </c>
      <c r="U247" s="254">
        <v>101602</v>
      </c>
      <c r="V247" s="254" t="s">
        <v>983</v>
      </c>
      <c r="W247" s="254" t="s">
        <v>991</v>
      </c>
      <c r="X247" s="254" t="s">
        <v>157</v>
      </c>
      <c r="Y247" s="254" t="s">
        <v>843</v>
      </c>
      <c r="Z247" s="254" t="s">
        <v>1010</v>
      </c>
      <c r="AA247" s="254" t="s">
        <v>838</v>
      </c>
    </row>
    <row r="248" spans="1:27" ht="14.4" x14ac:dyDescent="0.3">
      <c r="A248" s="253">
        <v>11</v>
      </c>
      <c r="B248" s="254" t="s">
        <v>844</v>
      </c>
      <c r="C248" s="254">
        <v>15904</v>
      </c>
      <c r="D248" s="254" t="s">
        <v>754</v>
      </c>
      <c r="E248" s="254" t="str">
        <f>_xlfn.XLOOKUP(C248,Clientes!I:I,Clientes!F:F)</f>
        <v>ADUFÉRTIL - CAMPEVO</v>
      </c>
      <c r="F248" s="254">
        <v>13004</v>
      </c>
      <c r="G248" s="254" t="s">
        <v>908</v>
      </c>
      <c r="H248" s="254" t="s">
        <v>982</v>
      </c>
      <c r="I248" s="255">
        <v>71</v>
      </c>
      <c r="J248" s="256">
        <v>1632.9266143745651</v>
      </c>
      <c r="K248" s="258">
        <v>43190.908950207246</v>
      </c>
      <c r="L248" s="258">
        <v>-4024.445742615816</v>
      </c>
      <c r="M248" s="258">
        <f t="shared" si="12"/>
        <v>39166.463207591427</v>
      </c>
      <c r="N248" s="258">
        <v>-11593.154806225402</v>
      </c>
      <c r="O248" s="258">
        <v>-441.44326092252351</v>
      </c>
      <c r="P248" s="258">
        <v>-9515.3463808858396</v>
      </c>
      <c r="Q248" s="258">
        <f t="shared" si="13"/>
        <v>17616.518759557664</v>
      </c>
      <c r="R248" s="259">
        <f t="shared" si="14"/>
        <v>0.44978579419300613</v>
      </c>
      <c r="S248" s="255">
        <f t="shared" si="15"/>
        <v>608.32266127052458</v>
      </c>
      <c r="T248" s="255">
        <f t="shared" si="15"/>
        <v>26.45</v>
      </c>
      <c r="U248" s="254">
        <v>101602</v>
      </c>
      <c r="V248" s="254" t="s">
        <v>983</v>
      </c>
      <c r="W248" s="254" t="s">
        <v>992</v>
      </c>
      <c r="X248" s="254" t="s">
        <v>157</v>
      </c>
      <c r="Y248" s="254" t="s">
        <v>843</v>
      </c>
      <c r="Z248" s="254" t="s">
        <v>1010</v>
      </c>
      <c r="AA248" s="254" t="s">
        <v>838</v>
      </c>
    </row>
    <row r="249" spans="1:27" ht="14.4" x14ac:dyDescent="0.3">
      <c r="A249" s="253">
        <v>11</v>
      </c>
      <c r="B249" s="254" t="s">
        <v>844</v>
      </c>
      <c r="C249" s="254">
        <v>11326</v>
      </c>
      <c r="D249" s="254" t="s">
        <v>179</v>
      </c>
      <c r="E249" s="254" t="str">
        <f>_xlfn.XLOOKUP(C249,Clientes!I:I,Clientes!F:F)</f>
        <v>VEGA AGRO</v>
      </c>
      <c r="F249" s="254">
        <v>8368</v>
      </c>
      <c r="G249" s="254" t="s">
        <v>855</v>
      </c>
      <c r="H249" s="254" t="s">
        <v>989</v>
      </c>
      <c r="I249" s="255">
        <v>28</v>
      </c>
      <c r="J249" s="256">
        <v>460.37701567017092</v>
      </c>
      <c r="K249" s="258">
        <v>5385.6173298657068</v>
      </c>
      <c r="L249" s="258">
        <v>-484.68582016924199</v>
      </c>
      <c r="M249" s="258">
        <f t="shared" si="12"/>
        <v>4900.9315096964647</v>
      </c>
      <c r="N249" s="258">
        <v>-2235.2927755603</v>
      </c>
      <c r="O249" s="258">
        <v>0</v>
      </c>
      <c r="P249" s="258">
        <v>-1280.3391828886486</v>
      </c>
      <c r="Q249" s="258">
        <f t="shared" si="13"/>
        <v>1385.2995512475161</v>
      </c>
      <c r="R249" s="259">
        <f t="shared" si="14"/>
        <v>0.28266045924263766</v>
      </c>
      <c r="S249" s="255">
        <f t="shared" si="15"/>
        <v>192.34347606663238</v>
      </c>
      <c r="T249" s="255">
        <f t="shared" si="15"/>
        <v>11.698275862068966</v>
      </c>
      <c r="U249" s="254">
        <v>101602</v>
      </c>
      <c r="V249" s="254" t="s">
        <v>983</v>
      </c>
      <c r="W249" s="254" t="s">
        <v>952</v>
      </c>
      <c r="X249" s="254" t="s">
        <v>157</v>
      </c>
      <c r="Y249" s="254" t="s">
        <v>843</v>
      </c>
      <c r="Z249" s="254" t="s">
        <v>1010</v>
      </c>
      <c r="AA249" s="254" t="s">
        <v>838</v>
      </c>
    </row>
    <row r="250" spans="1:27" ht="14.4" x14ac:dyDescent="0.3">
      <c r="A250" s="253">
        <v>11</v>
      </c>
      <c r="B250" s="254" t="s">
        <v>844</v>
      </c>
      <c r="C250" s="254">
        <v>16107</v>
      </c>
      <c r="D250" s="254" t="s">
        <v>494</v>
      </c>
      <c r="E250" s="254" t="str">
        <f>_xlfn.XLOOKUP(C250,Clientes!I:I,Clientes!F:F)</f>
        <v>CONNTACTA AGRONEGOCIOS</v>
      </c>
      <c r="F250" s="254">
        <v>8368</v>
      </c>
      <c r="G250" s="254" t="s">
        <v>855</v>
      </c>
      <c r="H250" s="254" t="s">
        <v>989</v>
      </c>
      <c r="I250" s="255">
        <v>735</v>
      </c>
      <c r="J250" s="256">
        <v>12084.896661341987</v>
      </c>
      <c r="K250" s="258">
        <v>144727.05553393351</v>
      </c>
      <c r="L250" s="258">
        <v>-13024.904540310732</v>
      </c>
      <c r="M250" s="258">
        <f t="shared" si="12"/>
        <v>131702.15099362278</v>
      </c>
      <c r="N250" s="258">
        <v>-58676.435358457878</v>
      </c>
      <c r="O250" s="258">
        <v>-2917.0440217032383</v>
      </c>
      <c r="P250" s="258">
        <v>-34315.609822023296</v>
      </c>
      <c r="Q250" s="258">
        <f t="shared" si="13"/>
        <v>35793.061791438362</v>
      </c>
      <c r="R250" s="259">
        <f t="shared" si="14"/>
        <v>0.27177279582298935</v>
      </c>
      <c r="S250" s="255">
        <f t="shared" si="15"/>
        <v>196.90755854956942</v>
      </c>
      <c r="T250" s="255">
        <f t="shared" si="15"/>
        <v>11.975862068965517</v>
      </c>
      <c r="U250" s="254">
        <v>101602</v>
      </c>
      <c r="V250" s="254" t="s">
        <v>983</v>
      </c>
      <c r="W250" s="254" t="s">
        <v>1055</v>
      </c>
      <c r="X250" s="254" t="s">
        <v>157</v>
      </c>
      <c r="Y250" s="254" t="s">
        <v>843</v>
      </c>
      <c r="Z250" s="254" t="s">
        <v>1010</v>
      </c>
      <c r="AA250" s="254" t="s">
        <v>838</v>
      </c>
    </row>
    <row r="251" spans="1:27" ht="14.4" x14ac:dyDescent="0.3">
      <c r="A251" s="253">
        <v>11</v>
      </c>
      <c r="B251" s="254" t="s">
        <v>844</v>
      </c>
      <c r="C251" s="254">
        <v>14166</v>
      </c>
      <c r="D251" s="254" t="s">
        <v>1050</v>
      </c>
      <c r="E251" s="254" t="str">
        <f>_xlfn.XLOOKUP(C251,Clientes!I:I,Clientes!F:F)</f>
        <v>GRUPO TAKI AGRO</v>
      </c>
      <c r="F251" s="254">
        <v>8368</v>
      </c>
      <c r="G251" s="254" t="s">
        <v>855</v>
      </c>
      <c r="H251" s="254" t="s">
        <v>989</v>
      </c>
      <c r="I251" s="255">
        <v>735</v>
      </c>
      <c r="J251" s="256">
        <v>12084.896661341987</v>
      </c>
      <c r="K251" s="258">
        <v>144727.05553393351</v>
      </c>
      <c r="L251" s="258">
        <v>-13024.904540310732</v>
      </c>
      <c r="M251" s="258">
        <f t="shared" si="12"/>
        <v>131702.15099362278</v>
      </c>
      <c r="N251" s="258">
        <v>-58676.435358457878</v>
      </c>
      <c r="O251" s="258">
        <v>-2917.0440217032383</v>
      </c>
      <c r="P251" s="258">
        <v>-34316.638162963172</v>
      </c>
      <c r="Q251" s="258">
        <f t="shared" si="13"/>
        <v>35792.033450498486</v>
      </c>
      <c r="R251" s="259">
        <f t="shared" si="14"/>
        <v>0.27176498774292296</v>
      </c>
      <c r="S251" s="255">
        <f t="shared" si="15"/>
        <v>196.90755854956942</v>
      </c>
      <c r="T251" s="255">
        <f t="shared" si="15"/>
        <v>11.975862068965517</v>
      </c>
      <c r="U251" s="254">
        <v>101602</v>
      </c>
      <c r="V251" s="254" t="s">
        <v>983</v>
      </c>
      <c r="W251" s="254" t="s">
        <v>1052</v>
      </c>
      <c r="X251" s="254" t="s">
        <v>157</v>
      </c>
      <c r="Y251" s="254" t="s">
        <v>843</v>
      </c>
      <c r="Z251" s="254" t="s">
        <v>1010</v>
      </c>
      <c r="AA251" s="254" t="s">
        <v>838</v>
      </c>
    </row>
    <row r="252" spans="1:27" ht="14.4" x14ac:dyDescent="0.3">
      <c r="A252" s="253">
        <v>11</v>
      </c>
      <c r="B252" s="254" t="s">
        <v>844</v>
      </c>
      <c r="C252" s="254">
        <v>15905</v>
      </c>
      <c r="D252" s="254" t="s">
        <v>750</v>
      </c>
      <c r="E252" s="254" t="str">
        <f>_xlfn.XLOOKUP(C252,Clientes!I:I,Clientes!F:F)</f>
        <v>ADUFÉRTIL - CAMPEVO</v>
      </c>
      <c r="F252" s="254">
        <v>8368</v>
      </c>
      <c r="G252" s="254" t="s">
        <v>908</v>
      </c>
      <c r="H252" s="254" t="s">
        <v>989</v>
      </c>
      <c r="I252" s="255">
        <v>170</v>
      </c>
      <c r="J252" s="256">
        <v>2795.1461665688953</v>
      </c>
      <c r="K252" s="258">
        <v>33474.284953426803</v>
      </c>
      <c r="L252" s="258">
        <v>-3012.5629549018022</v>
      </c>
      <c r="M252" s="258">
        <f t="shared" si="12"/>
        <v>30461.721998525001</v>
      </c>
      <c r="N252" s="258">
        <v>-13571.420423044681</v>
      </c>
      <c r="O252" s="258">
        <v>-755.63618576813087</v>
      </c>
      <c r="P252" s="258">
        <v>-7940.4138375975599</v>
      </c>
      <c r="Q252" s="258">
        <f t="shared" si="13"/>
        <v>8194.2515521146288</v>
      </c>
      <c r="R252" s="259">
        <f t="shared" si="14"/>
        <v>0.26900158672945035</v>
      </c>
      <c r="S252" s="255">
        <f t="shared" si="15"/>
        <v>196.90755854956942</v>
      </c>
      <c r="T252" s="255">
        <f t="shared" si="15"/>
        <v>11.975862068965517</v>
      </c>
      <c r="U252" s="254">
        <v>101602</v>
      </c>
      <c r="V252" s="254" t="s">
        <v>983</v>
      </c>
      <c r="W252" s="254" t="s">
        <v>991</v>
      </c>
      <c r="X252" s="254" t="s">
        <v>157</v>
      </c>
      <c r="Y252" s="254" t="s">
        <v>843</v>
      </c>
      <c r="Z252" s="254" t="s">
        <v>1010</v>
      </c>
      <c r="AA252" s="254" t="s">
        <v>838</v>
      </c>
    </row>
    <row r="253" spans="1:27" ht="14.4" x14ac:dyDescent="0.3">
      <c r="A253" s="253">
        <v>11</v>
      </c>
      <c r="B253" s="254" t="s">
        <v>844</v>
      </c>
      <c r="C253" s="254">
        <v>14298</v>
      </c>
      <c r="D253" s="254" t="s">
        <v>1056</v>
      </c>
      <c r="E253" s="254" t="str">
        <f>_xlfn.XLOOKUP(C253,Clientes!I:I,Clientes!F:F)</f>
        <v>GRUPO SAGRA</v>
      </c>
      <c r="F253" s="254">
        <v>8368</v>
      </c>
      <c r="G253" s="254" t="s">
        <v>855</v>
      </c>
      <c r="H253" s="254" t="s">
        <v>989</v>
      </c>
      <c r="I253" s="255">
        <v>200</v>
      </c>
      <c r="J253" s="256">
        <v>3288.4072547869355</v>
      </c>
      <c r="K253" s="258">
        <v>39381.511709913888</v>
      </c>
      <c r="L253" s="258">
        <v>-3544.1917116491786</v>
      </c>
      <c r="M253" s="258">
        <f t="shared" si="12"/>
        <v>35837.319998264706</v>
      </c>
      <c r="N253" s="258">
        <v>-15966.376968287857</v>
      </c>
      <c r="O253" s="258">
        <v>-793.7534752933982</v>
      </c>
      <c r="P253" s="258">
        <v>-9339.1866423790198</v>
      </c>
      <c r="Q253" s="258">
        <f t="shared" si="13"/>
        <v>9738.0029123044333</v>
      </c>
      <c r="R253" s="259">
        <f t="shared" si="14"/>
        <v>0.27172798950300864</v>
      </c>
      <c r="S253" s="255">
        <f t="shared" si="15"/>
        <v>196.90755854956944</v>
      </c>
      <c r="T253" s="255">
        <f t="shared" si="15"/>
        <v>11.975862068965517</v>
      </c>
      <c r="U253" s="254">
        <v>101602</v>
      </c>
      <c r="V253" s="254" t="s">
        <v>983</v>
      </c>
      <c r="W253" s="254" t="s">
        <v>1057</v>
      </c>
      <c r="X253" s="254" t="s">
        <v>157</v>
      </c>
      <c r="Y253" s="254" t="s">
        <v>843</v>
      </c>
      <c r="Z253" s="254" t="s">
        <v>1010</v>
      </c>
      <c r="AA253" s="254" t="s">
        <v>838</v>
      </c>
    </row>
    <row r="254" spans="1:27" ht="14.4" x14ac:dyDescent="0.3">
      <c r="A254" s="253">
        <v>11</v>
      </c>
      <c r="B254" s="254" t="s">
        <v>844</v>
      </c>
      <c r="C254" s="254">
        <v>15858</v>
      </c>
      <c r="D254" s="254" t="s">
        <v>985</v>
      </c>
      <c r="E254" s="254" t="str">
        <f>_xlfn.XLOOKUP(C254,Clientes!I:I,Clientes!F:F)</f>
        <v>GRUPO SAGRA</v>
      </c>
      <c r="F254" s="254">
        <v>8301</v>
      </c>
      <c r="G254" s="254" t="s">
        <v>855</v>
      </c>
      <c r="H254" s="254" t="s">
        <v>986</v>
      </c>
      <c r="I254" s="255">
        <v>5</v>
      </c>
      <c r="J254" s="256">
        <v>114.99483199820881</v>
      </c>
      <c r="K254" s="258">
        <v>3041.6133063526231</v>
      </c>
      <c r="L254" s="258">
        <v>-293.7205261358435</v>
      </c>
      <c r="M254" s="258">
        <f t="shared" si="12"/>
        <v>2747.8927802167796</v>
      </c>
      <c r="N254" s="258">
        <v>-846.79835780659425</v>
      </c>
      <c r="O254" s="258">
        <v>0</v>
      </c>
      <c r="P254" s="258">
        <v>-669.53938080674493</v>
      </c>
      <c r="Q254" s="258">
        <f t="shared" si="13"/>
        <v>1231.5550416034405</v>
      </c>
      <c r="R254" s="259">
        <f t="shared" si="14"/>
        <v>0.44818162137544676</v>
      </c>
      <c r="S254" s="255">
        <f t="shared" si="15"/>
        <v>608.32266127052458</v>
      </c>
      <c r="T254" s="255">
        <f t="shared" si="15"/>
        <v>26.45</v>
      </c>
      <c r="U254" s="254">
        <v>101602</v>
      </c>
      <c r="V254" s="254" t="s">
        <v>983</v>
      </c>
      <c r="W254" s="254" t="s">
        <v>987</v>
      </c>
      <c r="X254" s="254" t="s">
        <v>157</v>
      </c>
      <c r="Y254" s="254" t="s">
        <v>843</v>
      </c>
      <c r="Z254" s="254" t="s">
        <v>1010</v>
      </c>
      <c r="AA254" s="254" t="s">
        <v>838</v>
      </c>
    </row>
    <row r="255" spans="1:27" ht="14.4" x14ac:dyDescent="0.3">
      <c r="A255" s="253">
        <v>11</v>
      </c>
      <c r="B255" s="254" t="s">
        <v>844</v>
      </c>
      <c r="C255" s="254">
        <v>6477</v>
      </c>
      <c r="D255" s="254" t="s">
        <v>87</v>
      </c>
      <c r="E255" s="254" t="str">
        <f>_xlfn.XLOOKUP(C255,Clientes!I:I,Clientes!F:F)</f>
        <v>GRUPO MOSAIC FERTILIZANTES DO BRASIL</v>
      </c>
      <c r="F255" s="254">
        <v>4676</v>
      </c>
      <c r="G255" s="254" t="s">
        <v>862</v>
      </c>
      <c r="H255" s="254" t="s">
        <v>999</v>
      </c>
      <c r="I255" s="255">
        <v>30000</v>
      </c>
      <c r="J255" s="256">
        <v>30000</v>
      </c>
      <c r="K255" s="255">
        <v>344726.51110161265</v>
      </c>
      <c r="L255" s="258">
        <v>-40320</v>
      </c>
      <c r="M255" s="258">
        <f t="shared" si="12"/>
        <v>304406.51110161265</v>
      </c>
      <c r="N255" s="258">
        <v>-176317.63</v>
      </c>
      <c r="O255" s="258">
        <v>-14049.6057</v>
      </c>
      <c r="P255" s="258">
        <v>-7.8983044963051814</v>
      </c>
      <c r="Q255" s="258">
        <f t="shared" si="13"/>
        <v>114031.37709711633</v>
      </c>
      <c r="R255" s="259">
        <f t="shared" si="14"/>
        <v>0.37460229311275145</v>
      </c>
      <c r="S255" s="255">
        <f t="shared" si="15"/>
        <v>11.490883703387087</v>
      </c>
      <c r="T255" s="255">
        <f t="shared" si="15"/>
        <v>11.490883703387087</v>
      </c>
      <c r="U255" s="254">
        <v>101900</v>
      </c>
      <c r="V255" s="254" t="s">
        <v>997</v>
      </c>
      <c r="W255" s="254" t="s">
        <v>864</v>
      </c>
      <c r="X255" s="254" t="s">
        <v>446</v>
      </c>
      <c r="Y255" s="254" t="s">
        <v>843</v>
      </c>
      <c r="Z255" s="254" t="s">
        <v>1010</v>
      </c>
      <c r="AA255" s="254" t="s">
        <v>838</v>
      </c>
    </row>
    <row r="256" spans="1:27" ht="14.4" x14ac:dyDescent="0.3">
      <c r="A256" s="253">
        <v>11</v>
      </c>
      <c r="B256" s="254" t="s">
        <v>844</v>
      </c>
      <c r="C256" s="254">
        <v>903</v>
      </c>
      <c r="D256" s="254" t="s">
        <v>47</v>
      </c>
      <c r="E256" s="254" t="str">
        <f>_xlfn.XLOOKUP(C256,Clientes!I:I,Clientes!F:F)</f>
        <v>GRUPO YARA</v>
      </c>
      <c r="F256" s="254">
        <v>4627</v>
      </c>
      <c r="G256" s="254" t="s">
        <v>862</v>
      </c>
      <c r="H256" s="254" t="s">
        <v>1000</v>
      </c>
      <c r="I256" s="255">
        <v>60000</v>
      </c>
      <c r="J256" s="256">
        <v>60000</v>
      </c>
      <c r="K256" s="258">
        <v>514706.07522600587</v>
      </c>
      <c r="L256" s="258">
        <v>-61560</v>
      </c>
      <c r="M256" s="258">
        <f t="shared" si="12"/>
        <v>453146.07522600587</v>
      </c>
      <c r="N256" s="258">
        <v>-324713.22200000007</v>
      </c>
      <c r="O256" s="258">
        <v>-23627.927231999998</v>
      </c>
      <c r="P256" s="258">
        <v>-13.28297518661874</v>
      </c>
      <c r="Q256" s="258">
        <f t="shared" si="13"/>
        <v>104791.64301881917</v>
      </c>
      <c r="R256" s="259">
        <f t="shared" si="14"/>
        <v>0.2312535598295859</v>
      </c>
      <c r="S256" s="255">
        <f t="shared" si="15"/>
        <v>8.578434587100098</v>
      </c>
      <c r="T256" s="255">
        <f t="shared" si="15"/>
        <v>8.578434587100098</v>
      </c>
      <c r="U256" s="254">
        <v>102200</v>
      </c>
      <c r="V256" s="254" t="s">
        <v>1001</v>
      </c>
      <c r="W256" s="254" t="s">
        <v>1002</v>
      </c>
      <c r="X256" s="254" t="s">
        <v>446</v>
      </c>
      <c r="Y256" s="254" t="s">
        <v>843</v>
      </c>
      <c r="Z256" s="254" t="s">
        <v>1010</v>
      </c>
      <c r="AA256" s="254" t="s">
        <v>838</v>
      </c>
    </row>
    <row r="257" spans="1:27" ht="14.4" x14ac:dyDescent="0.3">
      <c r="A257" s="253">
        <v>11</v>
      </c>
      <c r="B257" s="254" t="s">
        <v>844</v>
      </c>
      <c r="C257" s="254">
        <v>1159</v>
      </c>
      <c r="D257" s="254" t="s">
        <v>50</v>
      </c>
      <c r="E257" s="254" t="str">
        <f>_xlfn.XLOOKUP(C257,Clientes!I:I,Clientes!F:F)</f>
        <v>GRUPO YARA</v>
      </c>
      <c r="F257" s="254">
        <v>4627</v>
      </c>
      <c r="G257" s="254" t="s">
        <v>877</v>
      </c>
      <c r="H257" s="254" t="s">
        <v>1000</v>
      </c>
      <c r="I257" s="255">
        <v>240000</v>
      </c>
      <c r="J257" s="256">
        <v>240000</v>
      </c>
      <c r="K257" s="258">
        <v>2179223.3828282352</v>
      </c>
      <c r="L257" s="258">
        <v>-260640</v>
      </c>
      <c r="M257" s="258">
        <f t="shared" si="12"/>
        <v>1918583.3828282352</v>
      </c>
      <c r="N257" s="258">
        <v>-1298852.8880000003</v>
      </c>
      <c r="O257" s="258">
        <v>-195372.84</v>
      </c>
      <c r="P257" s="258">
        <v>-109.83327315925405</v>
      </c>
      <c r="Q257" s="258">
        <f t="shared" si="13"/>
        <v>424247.82155507564</v>
      </c>
      <c r="R257" s="259">
        <f t="shared" si="14"/>
        <v>0.22112555823853772</v>
      </c>
      <c r="S257" s="255">
        <f t="shared" si="15"/>
        <v>9.0800974284509799</v>
      </c>
      <c r="T257" s="255">
        <f t="shared" si="15"/>
        <v>9.0800974284509799</v>
      </c>
      <c r="U257" s="254">
        <v>102200</v>
      </c>
      <c r="V257" s="254" t="s">
        <v>1001</v>
      </c>
      <c r="W257" s="254" t="s">
        <v>878</v>
      </c>
      <c r="X257" s="254" t="s">
        <v>446</v>
      </c>
      <c r="Y257" s="254" t="s">
        <v>843</v>
      </c>
      <c r="Z257" s="254" t="s">
        <v>1010</v>
      </c>
      <c r="AA257" s="254" t="s">
        <v>838</v>
      </c>
    </row>
    <row r="258" spans="1:27" ht="14.4" x14ac:dyDescent="0.3">
      <c r="A258" s="253">
        <v>11</v>
      </c>
      <c r="B258" s="254" t="s">
        <v>844</v>
      </c>
      <c r="C258" s="254">
        <v>3273</v>
      </c>
      <c r="D258" s="254" t="s">
        <v>79</v>
      </c>
      <c r="E258" s="254" t="str">
        <f>_xlfn.XLOOKUP(C258,Clientes!I:I,Clientes!F:F)</f>
        <v>FERTIMAXI - CONCEICAO DO JACUIPE</v>
      </c>
      <c r="F258" s="254">
        <v>12293</v>
      </c>
      <c r="G258" s="254" t="s">
        <v>875</v>
      </c>
      <c r="H258" s="254" t="s">
        <v>1058</v>
      </c>
      <c r="I258" s="255">
        <v>14400</v>
      </c>
      <c r="J258" s="256">
        <v>14400</v>
      </c>
      <c r="K258" s="258">
        <v>101299.88471865047</v>
      </c>
      <c r="L258" s="258">
        <v>-3945.6</v>
      </c>
      <c r="M258" s="258">
        <f t="shared" si="12"/>
        <v>97354.284718650466</v>
      </c>
      <c r="N258" s="258">
        <v>-59718.78</v>
      </c>
      <c r="O258" s="258">
        <v>-14834.349443160001</v>
      </c>
      <c r="P258" s="258">
        <v>-8.3394659899012602</v>
      </c>
      <c r="Q258" s="258">
        <f t="shared" si="13"/>
        <v>22792.815809500564</v>
      </c>
      <c r="R258" s="259">
        <f t="shared" si="14"/>
        <v>0.23412236939925946</v>
      </c>
      <c r="S258" s="255">
        <f t="shared" si="15"/>
        <v>7.034714216572949</v>
      </c>
      <c r="T258" s="255">
        <f t="shared" si="15"/>
        <v>7.034714216572949</v>
      </c>
      <c r="U258" s="254">
        <v>102300</v>
      </c>
      <c r="V258" s="254" t="s">
        <v>1059</v>
      </c>
      <c r="W258" s="254" t="s">
        <v>884</v>
      </c>
      <c r="X258" s="254" t="s">
        <v>446</v>
      </c>
      <c r="Y258" s="254" t="s">
        <v>843</v>
      </c>
      <c r="Z258" s="254" t="s">
        <v>1010</v>
      </c>
      <c r="AA258" s="254" t="s">
        <v>838</v>
      </c>
    </row>
    <row r="259" spans="1:27" ht="14.4" x14ac:dyDescent="0.3">
      <c r="A259" s="253">
        <v>11</v>
      </c>
      <c r="B259" s="254" t="s">
        <v>844</v>
      </c>
      <c r="C259" s="254">
        <v>2247</v>
      </c>
      <c r="D259" s="254" t="s">
        <v>425</v>
      </c>
      <c r="E259" s="254" t="str">
        <f>_xlfn.XLOOKUP(C259,Clientes!I:I,Clientes!F:F)</f>
        <v>ADUBOS LEAO - LARANJEIRAS</v>
      </c>
      <c r="F259" s="254">
        <v>12813</v>
      </c>
      <c r="G259" s="254" t="s">
        <v>887</v>
      </c>
      <c r="H259" s="254" t="s">
        <v>1060</v>
      </c>
      <c r="I259" s="255">
        <v>2400</v>
      </c>
      <c r="J259" s="256">
        <v>2400</v>
      </c>
      <c r="K259" s="258">
        <v>28713.957590566377</v>
      </c>
      <c r="L259" s="258">
        <v>-1118.4000000000001</v>
      </c>
      <c r="M259" s="258">
        <f t="shared" si="12"/>
        <v>27595.557590566375</v>
      </c>
      <c r="N259" s="258">
        <v>-14995.85</v>
      </c>
      <c r="O259" s="258">
        <v>-3698.021972736</v>
      </c>
      <c r="P259" s="258">
        <v>-2.0789269249524991</v>
      </c>
      <c r="Q259" s="258">
        <f t="shared" si="13"/>
        <v>8899.6066909054225</v>
      </c>
      <c r="R259" s="259">
        <f t="shared" si="14"/>
        <v>0.32250142660454084</v>
      </c>
      <c r="S259" s="255">
        <f t="shared" si="15"/>
        <v>11.964148996069325</v>
      </c>
      <c r="T259" s="255">
        <f t="shared" si="15"/>
        <v>11.964148996069325</v>
      </c>
      <c r="U259" s="254">
        <v>102300</v>
      </c>
      <c r="V259" s="254" t="s">
        <v>1059</v>
      </c>
      <c r="W259" s="254" t="s">
        <v>1030</v>
      </c>
      <c r="X259" s="254" t="s">
        <v>446</v>
      </c>
      <c r="Y259" s="254" t="s">
        <v>843</v>
      </c>
      <c r="Z259" s="254" t="s">
        <v>1010</v>
      </c>
      <c r="AA259" s="254" t="s">
        <v>838</v>
      </c>
    </row>
    <row r="260" spans="1:27" ht="14.4" x14ac:dyDescent="0.3">
      <c r="A260" s="253">
        <v>11</v>
      </c>
      <c r="B260" s="254" t="s">
        <v>844</v>
      </c>
      <c r="C260" s="254">
        <v>8855</v>
      </c>
      <c r="D260" s="254" t="s">
        <v>1003</v>
      </c>
      <c r="E260" s="254" t="str">
        <f>_xlfn.XLOOKUP(C260,Clientes!I:I,Clientes!F:F)</f>
        <v>TERMAG GUARUJA</v>
      </c>
      <c r="F260" s="254">
        <v>7398</v>
      </c>
      <c r="G260" s="254" t="s">
        <v>908</v>
      </c>
      <c r="H260" s="254" t="s">
        <v>1004</v>
      </c>
      <c r="I260" s="255">
        <v>30000</v>
      </c>
      <c r="J260" s="256">
        <v>30000</v>
      </c>
      <c r="K260" s="258">
        <v>73800</v>
      </c>
      <c r="L260" s="258">
        <v>-8856</v>
      </c>
      <c r="M260" s="258">
        <f t="shared" ref="M260:M323" si="16">SUM(K260:L260)</f>
        <v>64944</v>
      </c>
      <c r="N260" s="258">
        <v>-19395.390789473684</v>
      </c>
      <c r="O260" s="258">
        <v>-13045.632163199998</v>
      </c>
      <c r="P260" s="258">
        <v>-7.3338980019735382</v>
      </c>
      <c r="Q260" s="258">
        <f t="shared" ref="Q260:Q323" si="17">SUM(M260:P260)</f>
        <v>32495.643149324347</v>
      </c>
      <c r="R260" s="259">
        <f t="shared" ref="R260:R323" si="18">Q260/M260</f>
        <v>0.50036405440570875</v>
      </c>
      <c r="S260" s="255">
        <f t="shared" ref="S260:T323" si="19">$K260/I260</f>
        <v>2.46</v>
      </c>
      <c r="T260" s="255">
        <f t="shared" si="19"/>
        <v>2.46</v>
      </c>
      <c r="U260" s="254">
        <v>102600</v>
      </c>
      <c r="V260" s="254" t="s">
        <v>1005</v>
      </c>
      <c r="W260" s="254" t="s">
        <v>1006</v>
      </c>
      <c r="X260" s="254" t="s">
        <v>446</v>
      </c>
      <c r="Y260" s="254" t="s">
        <v>843</v>
      </c>
      <c r="Z260" s="254" t="s">
        <v>1010</v>
      </c>
      <c r="AA260" s="254" t="s">
        <v>838</v>
      </c>
    </row>
    <row r="261" spans="1:27" ht="14.4" x14ac:dyDescent="0.3">
      <c r="A261" s="253">
        <v>11</v>
      </c>
      <c r="B261" s="254" t="s">
        <v>844</v>
      </c>
      <c r="C261" s="254">
        <v>1953</v>
      </c>
      <c r="D261" s="254" t="s">
        <v>66</v>
      </c>
      <c r="E261" s="254" t="str">
        <f>_xlfn.XLOOKUP(C261,Clientes!I:I,Clientes!F:F)</f>
        <v>GRUPO AMAGGI</v>
      </c>
      <c r="F261" s="254">
        <v>7398</v>
      </c>
      <c r="G261" s="254" t="s">
        <v>840</v>
      </c>
      <c r="H261" s="254" t="s">
        <v>1004</v>
      </c>
      <c r="I261" s="255">
        <v>60000</v>
      </c>
      <c r="J261" s="256">
        <v>60000</v>
      </c>
      <c r="K261" s="258">
        <v>125400</v>
      </c>
      <c r="L261" s="258">
        <v>-8778</v>
      </c>
      <c r="M261" s="258">
        <f t="shared" si="16"/>
        <v>116622</v>
      </c>
      <c r="N261" s="258">
        <v>-38790.781578947368</v>
      </c>
      <c r="O261" s="258">
        <v>-41876.730604799995</v>
      </c>
      <c r="P261" s="258">
        <v>-23.541953894581727</v>
      </c>
      <c r="Q261" s="258">
        <f t="shared" si="17"/>
        <v>35930.945862358058</v>
      </c>
      <c r="R261" s="259">
        <f t="shared" si="18"/>
        <v>0.30809749328907116</v>
      </c>
      <c r="S261" s="255">
        <f t="shared" si="19"/>
        <v>2.09</v>
      </c>
      <c r="T261" s="255">
        <f t="shared" si="19"/>
        <v>2.09</v>
      </c>
      <c r="U261" s="254">
        <v>102600</v>
      </c>
      <c r="V261" s="254" t="s">
        <v>1005</v>
      </c>
      <c r="W261" s="254" t="s">
        <v>1008</v>
      </c>
      <c r="X261" s="254" t="s">
        <v>446</v>
      </c>
      <c r="Y261" s="254" t="s">
        <v>843</v>
      </c>
      <c r="Z261" s="254" t="s">
        <v>1010</v>
      </c>
      <c r="AA261" s="254" t="s">
        <v>838</v>
      </c>
    </row>
    <row r="262" spans="1:27" ht="14.4" x14ac:dyDescent="0.3">
      <c r="A262" s="253">
        <v>11</v>
      </c>
      <c r="B262" s="254" t="s">
        <v>844</v>
      </c>
      <c r="C262" s="254">
        <v>3142</v>
      </c>
      <c r="D262" s="254" t="s">
        <v>78</v>
      </c>
      <c r="E262" s="254" t="str">
        <f>_xlfn.XLOOKUP(C262,Clientes!I:I,Clientes!F:F)</f>
        <v>INTERFERTIL - SAO FRANCISCO DO SUL</v>
      </c>
      <c r="F262" s="254">
        <v>7398</v>
      </c>
      <c r="G262" s="254" t="s">
        <v>893</v>
      </c>
      <c r="H262" s="254" t="s">
        <v>1004</v>
      </c>
      <c r="I262" s="255">
        <v>15000</v>
      </c>
      <c r="J262" s="256">
        <v>15000</v>
      </c>
      <c r="K262" s="258">
        <v>41400</v>
      </c>
      <c r="L262" s="258">
        <v>-4968</v>
      </c>
      <c r="M262" s="258">
        <f t="shared" si="16"/>
        <v>36432</v>
      </c>
      <c r="N262" s="258">
        <v>-9697.695394736842</v>
      </c>
      <c r="O262" s="258">
        <v>-12045.7338550185</v>
      </c>
      <c r="P262" s="258">
        <v>-6.7717824898380004</v>
      </c>
      <c r="Q262" s="258">
        <f t="shared" si="17"/>
        <v>14681.798967754821</v>
      </c>
      <c r="R262" s="259">
        <f t="shared" si="18"/>
        <v>0.40299184694100848</v>
      </c>
      <c r="S262" s="255">
        <f t="shared" si="19"/>
        <v>2.76</v>
      </c>
      <c r="T262" s="255">
        <f t="shared" si="19"/>
        <v>2.76</v>
      </c>
      <c r="U262" s="254">
        <v>102600</v>
      </c>
      <c r="V262" s="254" t="s">
        <v>1005</v>
      </c>
      <c r="W262" s="254" t="s">
        <v>894</v>
      </c>
      <c r="X262" s="254" t="s">
        <v>446</v>
      </c>
      <c r="Y262" s="254" t="s">
        <v>843</v>
      </c>
      <c r="Z262" s="254" t="s">
        <v>1010</v>
      </c>
      <c r="AA262" s="254" t="s">
        <v>838</v>
      </c>
    </row>
    <row r="263" spans="1:27" ht="14.4" x14ac:dyDescent="0.3">
      <c r="A263" s="253">
        <v>11</v>
      </c>
      <c r="B263" s="254" t="s">
        <v>844</v>
      </c>
      <c r="C263" s="254">
        <v>8414</v>
      </c>
      <c r="D263" s="254" t="s">
        <v>98</v>
      </c>
      <c r="E263" s="254" t="str">
        <f>_xlfn.XLOOKUP(C263,Clientes!I:I,Clientes!F:F)</f>
        <v>GRUPO AMAGGI</v>
      </c>
      <c r="F263" s="254">
        <v>7398</v>
      </c>
      <c r="G263" s="254" t="s">
        <v>1061</v>
      </c>
      <c r="H263" s="254" t="s">
        <v>1004</v>
      </c>
      <c r="I263" s="255">
        <v>15000</v>
      </c>
      <c r="J263" s="256">
        <v>15000</v>
      </c>
      <c r="K263" s="258">
        <v>35400</v>
      </c>
      <c r="L263" s="258">
        <v>-2478.0000000000005</v>
      </c>
      <c r="M263" s="258">
        <f t="shared" si="16"/>
        <v>32922</v>
      </c>
      <c r="N263" s="258">
        <v>-9697.695394736842</v>
      </c>
      <c r="O263" s="258">
        <v>-24495.122433600001</v>
      </c>
      <c r="P263" s="258">
        <v>-13.770488637616983</v>
      </c>
      <c r="Q263" s="258">
        <f t="shared" si="17"/>
        <v>-1284.5883169744604</v>
      </c>
      <c r="R263" s="259">
        <f t="shared" si="18"/>
        <v>-3.901914576801107E-2</v>
      </c>
      <c r="S263" s="255">
        <f t="shared" si="19"/>
        <v>2.36</v>
      </c>
      <c r="T263" s="255">
        <f t="shared" si="19"/>
        <v>2.36</v>
      </c>
      <c r="U263" s="254">
        <v>102600</v>
      </c>
      <c r="V263" s="254" t="s">
        <v>1005</v>
      </c>
      <c r="W263" s="254" t="s">
        <v>1062</v>
      </c>
      <c r="X263" s="254" t="s">
        <v>446</v>
      </c>
      <c r="Y263" s="254" t="s">
        <v>843</v>
      </c>
      <c r="Z263" s="254" t="s">
        <v>1010</v>
      </c>
      <c r="AA263" s="254" t="s">
        <v>838</v>
      </c>
    </row>
    <row r="264" spans="1:27" ht="14.4" x14ac:dyDescent="0.3">
      <c r="A264" s="253">
        <v>11</v>
      </c>
      <c r="B264" s="254" t="s">
        <v>844</v>
      </c>
      <c r="C264" s="254">
        <v>8413</v>
      </c>
      <c r="D264" s="254" t="s">
        <v>97</v>
      </c>
      <c r="E264" s="254" t="str">
        <f>_xlfn.XLOOKUP(C264,Clientes!I:I,Clientes!F:F)</f>
        <v>GRUPO AMAGGI</v>
      </c>
      <c r="F264" s="254">
        <v>7398</v>
      </c>
      <c r="G264" s="254" t="s">
        <v>840</v>
      </c>
      <c r="H264" s="254" t="s">
        <v>1004</v>
      </c>
      <c r="I264" s="255">
        <v>32000</v>
      </c>
      <c r="J264" s="256">
        <v>32000</v>
      </c>
      <c r="K264" s="258">
        <v>66240</v>
      </c>
      <c r="L264" s="258">
        <v>-4636.8</v>
      </c>
      <c r="M264" s="258">
        <f t="shared" si="16"/>
        <v>61603.199999999997</v>
      </c>
      <c r="N264" s="258">
        <v>-20688.41684210526</v>
      </c>
      <c r="O264" s="258">
        <v>-23352.800640000001</v>
      </c>
      <c r="P264" s="258">
        <v>-13.128306532917897</v>
      </c>
      <c r="Q264" s="258">
        <f t="shared" si="17"/>
        <v>17548.854211361817</v>
      </c>
      <c r="R264" s="259">
        <f t="shared" si="18"/>
        <v>0.28486919853776782</v>
      </c>
      <c r="S264" s="255">
        <f t="shared" si="19"/>
        <v>2.0699999999999998</v>
      </c>
      <c r="T264" s="255">
        <f t="shared" si="19"/>
        <v>2.0699999999999998</v>
      </c>
      <c r="U264" s="254">
        <v>102600</v>
      </c>
      <c r="V264" s="254" t="s">
        <v>1005</v>
      </c>
      <c r="W264" s="254" t="s">
        <v>915</v>
      </c>
      <c r="X264" s="254" t="s">
        <v>446</v>
      </c>
      <c r="Y264" s="254" t="s">
        <v>843</v>
      </c>
      <c r="Z264" s="254" t="s">
        <v>1010</v>
      </c>
      <c r="AA264" s="254" t="s">
        <v>838</v>
      </c>
    </row>
    <row r="265" spans="1:27" ht="14.4" x14ac:dyDescent="0.3">
      <c r="A265" s="253">
        <v>11</v>
      </c>
      <c r="B265" s="254" t="s">
        <v>844</v>
      </c>
      <c r="C265" s="254">
        <v>7648</v>
      </c>
      <c r="D265" s="254" t="s">
        <v>958</v>
      </c>
      <c r="E265" s="254" t="str">
        <f>_xlfn.XLOOKUP(C265,Clientes!I:I,Clientes!F:F)</f>
        <v>GRUPO LOUIS DREYFUS</v>
      </c>
      <c r="F265" s="254">
        <v>14154</v>
      </c>
      <c r="G265" s="254" t="s">
        <v>862</v>
      </c>
      <c r="H265" s="254" t="s">
        <v>1007</v>
      </c>
      <c r="I265" s="255">
        <v>13200</v>
      </c>
      <c r="J265" s="256">
        <v>13200</v>
      </c>
      <c r="K265" s="258">
        <v>47916</v>
      </c>
      <c r="L265" s="258">
        <v>-5749.92</v>
      </c>
      <c r="M265" s="258">
        <f t="shared" si="16"/>
        <v>42166.080000000002</v>
      </c>
      <c r="N265" s="258">
        <v>-15098.23</v>
      </c>
      <c r="O265" s="258">
        <v>-9623.6718130238405</v>
      </c>
      <c r="P265" s="258">
        <v>-5.410165379358058</v>
      </c>
      <c r="Q265" s="258">
        <f t="shared" si="17"/>
        <v>17438.768021596803</v>
      </c>
      <c r="R265" s="259">
        <f t="shared" si="18"/>
        <v>0.41357337512988646</v>
      </c>
      <c r="S265" s="255">
        <f t="shared" si="19"/>
        <v>3.63</v>
      </c>
      <c r="T265" s="255">
        <f t="shared" si="19"/>
        <v>3.63</v>
      </c>
      <c r="U265" s="254">
        <v>102600</v>
      </c>
      <c r="V265" s="254" t="s">
        <v>1005</v>
      </c>
      <c r="W265" s="254" t="s">
        <v>864</v>
      </c>
      <c r="X265" s="254" t="s">
        <v>446</v>
      </c>
      <c r="Y265" s="254" t="s">
        <v>843</v>
      </c>
      <c r="Z265" s="254" t="s">
        <v>1010</v>
      </c>
      <c r="AA265" s="254" t="s">
        <v>838</v>
      </c>
    </row>
    <row r="266" spans="1:27" ht="14.4" x14ac:dyDescent="0.3">
      <c r="A266" s="253">
        <v>11</v>
      </c>
      <c r="B266" s="254" t="s">
        <v>845</v>
      </c>
      <c r="C266" s="254">
        <v>2287</v>
      </c>
      <c r="D266" s="254" t="s">
        <v>114</v>
      </c>
      <c r="E266" s="254" t="str">
        <f>_xlfn.XLOOKUP(C266,Clientes!I:I,Clientes!F:F)</f>
        <v>BUNGE PARAGUAY S.A</v>
      </c>
      <c r="F266" s="254">
        <v>4067</v>
      </c>
      <c r="G266" s="254" t="s">
        <v>832</v>
      </c>
      <c r="H266" s="254" t="s">
        <v>881</v>
      </c>
      <c r="I266" s="255">
        <v>30000</v>
      </c>
      <c r="J266" s="256">
        <v>30000</v>
      </c>
      <c r="K266" s="258">
        <v>159000</v>
      </c>
      <c r="L266" s="258">
        <v>0</v>
      </c>
      <c r="M266" s="258">
        <f t="shared" si="16"/>
        <v>159000</v>
      </c>
      <c r="N266" s="258">
        <v>-46281.179999999993</v>
      </c>
      <c r="O266" s="258">
        <v>-35721.999999999898</v>
      </c>
      <c r="P266" s="258">
        <v>-10620.113940145971</v>
      </c>
      <c r="Q266" s="258">
        <f t="shared" si="17"/>
        <v>66376.706059854143</v>
      </c>
      <c r="R266" s="259">
        <f t="shared" si="18"/>
        <v>0.41746356012486885</v>
      </c>
      <c r="S266" s="255">
        <f t="shared" si="19"/>
        <v>5.3</v>
      </c>
      <c r="T266" s="255">
        <f t="shared" si="19"/>
        <v>5.3</v>
      </c>
      <c r="U266" s="254">
        <v>100100</v>
      </c>
      <c r="V266" s="254" t="s">
        <v>834</v>
      </c>
      <c r="W266" s="254" t="s">
        <v>882</v>
      </c>
      <c r="X266" s="254" t="s">
        <v>446</v>
      </c>
      <c r="Y266" s="254" t="s">
        <v>836</v>
      </c>
      <c r="Z266" s="254" t="s">
        <v>1063</v>
      </c>
      <c r="AA266" s="254" t="s">
        <v>838</v>
      </c>
    </row>
    <row r="267" spans="1:27" ht="14.4" x14ac:dyDescent="0.3">
      <c r="A267" s="253">
        <v>11</v>
      </c>
      <c r="B267" s="254" t="s">
        <v>845</v>
      </c>
      <c r="C267" s="254">
        <v>3297</v>
      </c>
      <c r="D267" s="254" t="s">
        <v>550</v>
      </c>
      <c r="E267" s="254" t="str">
        <f>_xlfn.XLOOKUP(C267,Clientes!I:I,Clientes!F:F)</f>
        <v>MACROSOURCE PERU S.R.L.</v>
      </c>
      <c r="F267" s="254">
        <v>14141</v>
      </c>
      <c r="G267" s="254" t="s">
        <v>832</v>
      </c>
      <c r="H267" s="254" t="s">
        <v>833</v>
      </c>
      <c r="I267" s="255">
        <v>2400</v>
      </c>
      <c r="J267" s="256">
        <v>2400</v>
      </c>
      <c r="K267" s="258">
        <v>17044.8</v>
      </c>
      <c r="L267" s="258">
        <v>0</v>
      </c>
      <c r="M267" s="258">
        <f t="shared" si="16"/>
        <v>17044.8</v>
      </c>
      <c r="N267" s="258">
        <v>-2509.5100000000002</v>
      </c>
      <c r="O267" s="258">
        <v>-4340.362752</v>
      </c>
      <c r="P267" s="258">
        <v>-850.39033968641161</v>
      </c>
      <c r="Q267" s="258">
        <f t="shared" si="17"/>
        <v>9344.5369083135884</v>
      </c>
      <c r="R267" s="259">
        <f t="shared" si="18"/>
        <v>0.54823388413554797</v>
      </c>
      <c r="S267" s="255">
        <f t="shared" si="19"/>
        <v>7.1019999999999994</v>
      </c>
      <c r="T267" s="255">
        <f t="shared" si="19"/>
        <v>7.1019999999999994</v>
      </c>
      <c r="U267" s="254">
        <v>100100</v>
      </c>
      <c r="V267" s="254" t="s">
        <v>834</v>
      </c>
      <c r="W267" s="254" t="s">
        <v>872</v>
      </c>
      <c r="X267" s="254" t="s">
        <v>446</v>
      </c>
      <c r="Y267" s="254" t="s">
        <v>836</v>
      </c>
      <c r="Z267" s="254" t="s">
        <v>1063</v>
      </c>
      <c r="AA267" s="254" t="s">
        <v>838</v>
      </c>
    </row>
    <row r="268" spans="1:27" ht="14.4" x14ac:dyDescent="0.3">
      <c r="A268" s="253">
        <v>11</v>
      </c>
      <c r="B268" s="254" t="s">
        <v>845</v>
      </c>
      <c r="C268" s="254">
        <v>833</v>
      </c>
      <c r="D268" s="254" t="s">
        <v>213</v>
      </c>
      <c r="E268" s="254" t="str">
        <f>_xlfn.XLOOKUP(C268,Clientes!I:I,Clientes!F:F)</f>
        <v>TERRENA - PATOS DE MINAS</v>
      </c>
      <c r="F268" s="254">
        <v>14133</v>
      </c>
      <c r="G268" s="254" t="s">
        <v>855</v>
      </c>
      <c r="H268" s="254" t="s">
        <v>841</v>
      </c>
      <c r="I268" s="255">
        <v>6000</v>
      </c>
      <c r="J268" s="256">
        <v>6000</v>
      </c>
      <c r="K268" s="258">
        <v>15600</v>
      </c>
      <c r="L268" s="258">
        <v>0</v>
      </c>
      <c r="M268" s="258">
        <f t="shared" si="16"/>
        <v>15600</v>
      </c>
      <c r="N268" s="258">
        <v>-7709.6449999999995</v>
      </c>
      <c r="O268" s="258">
        <v>-1322.1584812799999</v>
      </c>
      <c r="P268" s="258">
        <v>-0.69668194238800396</v>
      </c>
      <c r="Q268" s="258">
        <f t="shared" si="17"/>
        <v>6567.4998367776125</v>
      </c>
      <c r="R268" s="259">
        <f t="shared" si="18"/>
        <v>0.4209935792806162</v>
      </c>
      <c r="S268" s="255">
        <f t="shared" si="19"/>
        <v>2.6</v>
      </c>
      <c r="T268" s="255">
        <f t="shared" si="19"/>
        <v>2.6</v>
      </c>
      <c r="U268" s="254">
        <v>100100</v>
      </c>
      <c r="V268" s="254" t="s">
        <v>834</v>
      </c>
      <c r="W268" s="254" t="s">
        <v>952</v>
      </c>
      <c r="X268" s="254" t="s">
        <v>446</v>
      </c>
      <c r="Y268" s="254" t="s">
        <v>843</v>
      </c>
      <c r="Z268" s="254" t="s">
        <v>1063</v>
      </c>
      <c r="AA268" s="254" t="s">
        <v>838</v>
      </c>
    </row>
    <row r="269" spans="1:27" ht="14.4" x14ac:dyDescent="0.3">
      <c r="A269" s="253">
        <v>11</v>
      </c>
      <c r="B269" s="254" t="s">
        <v>845</v>
      </c>
      <c r="C269" s="254">
        <v>1936</v>
      </c>
      <c r="D269" s="254" t="s">
        <v>889</v>
      </c>
      <c r="E269" s="254" t="str">
        <f>_xlfn.XLOOKUP(C269,Clientes!I:I,Clientes!F:F)</f>
        <v>GRUPO AGRO INDUSTRIAL SAO LUIZ LTDA</v>
      </c>
      <c r="F269" s="254">
        <v>4</v>
      </c>
      <c r="G269" s="254" t="s">
        <v>862</v>
      </c>
      <c r="H269" s="254" t="s">
        <v>863</v>
      </c>
      <c r="I269" s="255">
        <v>25000</v>
      </c>
      <c r="J269" s="256">
        <v>25000</v>
      </c>
      <c r="K269" s="258">
        <v>99750</v>
      </c>
      <c r="L269" s="258">
        <v>-11970</v>
      </c>
      <c r="M269" s="258">
        <f t="shared" si="16"/>
        <v>87780</v>
      </c>
      <c r="N269" s="258">
        <v>-24819.222222222226</v>
      </c>
      <c r="O269" s="258">
        <v>0</v>
      </c>
      <c r="P269" s="258">
        <v>0</v>
      </c>
      <c r="Q269" s="258">
        <f t="shared" si="17"/>
        <v>62960.777777777774</v>
      </c>
      <c r="R269" s="259">
        <f t="shared" si="18"/>
        <v>0.71725652515126193</v>
      </c>
      <c r="S269" s="255">
        <f t="shared" si="19"/>
        <v>3.99</v>
      </c>
      <c r="T269" s="255">
        <f t="shared" si="19"/>
        <v>3.99</v>
      </c>
      <c r="U269" s="254">
        <v>100100</v>
      </c>
      <c r="V269" s="254" t="s">
        <v>834</v>
      </c>
      <c r="W269" s="254" t="s">
        <v>864</v>
      </c>
      <c r="X269" s="254" t="s">
        <v>446</v>
      </c>
      <c r="Y269" s="254" t="s">
        <v>843</v>
      </c>
      <c r="Z269" s="254" t="s">
        <v>1063</v>
      </c>
      <c r="AA269" s="254" t="s">
        <v>838</v>
      </c>
    </row>
    <row r="270" spans="1:27" ht="14.4" x14ac:dyDescent="0.3">
      <c r="A270" s="253">
        <v>11</v>
      </c>
      <c r="B270" s="254" t="s">
        <v>845</v>
      </c>
      <c r="C270" s="254">
        <v>6124</v>
      </c>
      <c r="D270" s="254" t="s">
        <v>891</v>
      </c>
      <c r="E270" s="254" t="str">
        <f>_xlfn.XLOOKUP(C270,Clientes!I:I,Clientes!F:F)</f>
        <v>GRUPO MOSAIC FERTILIZANTES DO BRASIL</v>
      </c>
      <c r="F270" s="254">
        <v>1043</v>
      </c>
      <c r="G270" s="254" t="s">
        <v>855</v>
      </c>
      <c r="H270" s="254" t="s">
        <v>860</v>
      </c>
      <c r="I270" s="255">
        <v>30000</v>
      </c>
      <c r="J270" s="256">
        <v>30000</v>
      </c>
      <c r="K270" s="258">
        <v>50700</v>
      </c>
      <c r="L270" s="258">
        <v>0</v>
      </c>
      <c r="M270" s="258">
        <f t="shared" si="16"/>
        <v>50700</v>
      </c>
      <c r="N270" s="258">
        <v>-12093.150000000007</v>
      </c>
      <c r="O270" s="258">
        <v>-2442.1605</v>
      </c>
      <c r="P270" s="258">
        <v>-1.2868420426544487</v>
      </c>
      <c r="Q270" s="258">
        <f t="shared" si="17"/>
        <v>36163.40265795734</v>
      </c>
      <c r="R270" s="259">
        <f t="shared" si="18"/>
        <v>0.71328210370724532</v>
      </c>
      <c r="S270" s="255">
        <f t="shared" si="19"/>
        <v>1.69</v>
      </c>
      <c r="T270" s="255">
        <f t="shared" si="19"/>
        <v>1.69</v>
      </c>
      <c r="U270" s="254">
        <v>100100</v>
      </c>
      <c r="V270" s="254" t="s">
        <v>834</v>
      </c>
      <c r="W270" s="254" t="s">
        <v>892</v>
      </c>
      <c r="X270" s="254" t="s">
        <v>446</v>
      </c>
      <c r="Y270" s="254" t="s">
        <v>843</v>
      </c>
      <c r="Z270" s="254" t="s">
        <v>1063</v>
      </c>
      <c r="AA270" s="254" t="s">
        <v>838</v>
      </c>
    </row>
    <row r="271" spans="1:27" ht="14.4" x14ac:dyDescent="0.3">
      <c r="A271" s="253">
        <v>11</v>
      </c>
      <c r="B271" s="254" t="s">
        <v>845</v>
      </c>
      <c r="C271" s="254">
        <v>205</v>
      </c>
      <c r="D271" s="254" t="s">
        <v>859</v>
      </c>
      <c r="E271" s="254" t="str">
        <f>_xlfn.XLOOKUP(C271,Clientes!I:I,Clientes!F:F)</f>
        <v>GRUPO FERTIPAR FERTILIZANTES MATO GROSSO</v>
      </c>
      <c r="F271" s="254">
        <v>1043</v>
      </c>
      <c r="G271" s="254" t="s">
        <v>840</v>
      </c>
      <c r="H271" s="254" t="s">
        <v>860</v>
      </c>
      <c r="I271" s="255">
        <v>15000</v>
      </c>
      <c r="J271" s="256">
        <v>15000</v>
      </c>
      <c r="K271" s="258">
        <v>27150</v>
      </c>
      <c r="L271" s="258">
        <v>-1900.5000000000002</v>
      </c>
      <c r="M271" s="258">
        <f t="shared" si="16"/>
        <v>25249.5</v>
      </c>
      <c r="N271" s="258">
        <v>-6046.5750000000035</v>
      </c>
      <c r="O271" s="258">
        <v>-9555.9144492044998</v>
      </c>
      <c r="P271" s="258">
        <v>-5.0352761291673822</v>
      </c>
      <c r="Q271" s="258">
        <f t="shared" si="17"/>
        <v>9641.9752746663289</v>
      </c>
      <c r="R271" s="259">
        <f t="shared" si="18"/>
        <v>0.38186796865943201</v>
      </c>
      <c r="S271" s="255">
        <f t="shared" si="19"/>
        <v>1.81</v>
      </c>
      <c r="T271" s="255">
        <f t="shared" si="19"/>
        <v>1.81</v>
      </c>
      <c r="U271" s="254">
        <v>100100</v>
      </c>
      <c r="V271" s="254" t="s">
        <v>834</v>
      </c>
      <c r="W271" s="254" t="s">
        <v>861</v>
      </c>
      <c r="X271" s="254" t="s">
        <v>446</v>
      </c>
      <c r="Y271" s="254" t="s">
        <v>843</v>
      </c>
      <c r="Z271" s="254" t="s">
        <v>1063</v>
      </c>
      <c r="AA271" s="254" t="s">
        <v>838</v>
      </c>
    </row>
    <row r="272" spans="1:27" ht="14.4" x14ac:dyDescent="0.3">
      <c r="A272" s="253">
        <v>11</v>
      </c>
      <c r="B272" s="254" t="s">
        <v>845</v>
      </c>
      <c r="C272" s="254">
        <v>14632</v>
      </c>
      <c r="D272" s="254" t="s">
        <v>399</v>
      </c>
      <c r="E272" s="254" t="str">
        <f>_xlfn.XLOOKUP(C272,Clientes!I:I,Clientes!F:F)</f>
        <v>BIGFERTIL - CANDEIAS</v>
      </c>
      <c r="F272" s="254">
        <v>1043</v>
      </c>
      <c r="G272" s="254" t="s">
        <v>875</v>
      </c>
      <c r="H272" s="254" t="s">
        <v>860</v>
      </c>
      <c r="I272" s="255">
        <v>30000</v>
      </c>
      <c r="J272" s="256">
        <v>30000</v>
      </c>
      <c r="K272" s="258">
        <v>96900</v>
      </c>
      <c r="L272" s="258">
        <v>-6783.0000000000009</v>
      </c>
      <c r="M272" s="258">
        <f t="shared" si="16"/>
        <v>90117</v>
      </c>
      <c r="N272" s="258">
        <v>-12093.150000000007</v>
      </c>
      <c r="O272" s="258">
        <v>-21548.474999999999</v>
      </c>
      <c r="P272" s="258">
        <v>-11.354488611656901</v>
      </c>
      <c r="Q272" s="258">
        <f t="shared" si="17"/>
        <v>56464.020511388335</v>
      </c>
      <c r="R272" s="259">
        <f t="shared" si="18"/>
        <v>0.62656347316697558</v>
      </c>
      <c r="S272" s="255">
        <f t="shared" si="19"/>
        <v>3.23</v>
      </c>
      <c r="T272" s="255">
        <f t="shared" si="19"/>
        <v>3.23</v>
      </c>
      <c r="U272" s="254">
        <v>100100</v>
      </c>
      <c r="V272" s="254" t="s">
        <v>834</v>
      </c>
      <c r="W272" s="254" t="s">
        <v>876</v>
      </c>
      <c r="X272" s="254" t="s">
        <v>446</v>
      </c>
      <c r="Y272" s="254" t="s">
        <v>843</v>
      </c>
      <c r="Z272" s="254" t="s">
        <v>1063</v>
      </c>
      <c r="AA272" s="254" t="s">
        <v>838</v>
      </c>
    </row>
    <row r="273" spans="1:27" ht="14.4" x14ac:dyDescent="0.3">
      <c r="A273" s="253">
        <v>11</v>
      </c>
      <c r="B273" s="254" t="s">
        <v>845</v>
      </c>
      <c r="C273" s="254">
        <v>1613</v>
      </c>
      <c r="D273" s="254" t="s">
        <v>211</v>
      </c>
      <c r="E273" s="254" t="str">
        <f>_xlfn.XLOOKUP(C273,Clientes!I:I,Clientes!F:F)</f>
        <v>GRUPO HERINGER</v>
      </c>
      <c r="F273" s="254">
        <v>7384</v>
      </c>
      <c r="G273" s="254" t="s">
        <v>875</v>
      </c>
      <c r="H273" s="254" t="s">
        <v>856</v>
      </c>
      <c r="I273" s="255">
        <v>24000</v>
      </c>
      <c r="J273" s="256">
        <v>24000</v>
      </c>
      <c r="K273" s="258">
        <v>89760</v>
      </c>
      <c r="L273" s="258">
        <v>-6283.2000000000007</v>
      </c>
      <c r="M273" s="258">
        <f t="shared" si="16"/>
        <v>83476.800000000003</v>
      </c>
      <c r="N273" s="258">
        <v>-16481.452121212122</v>
      </c>
      <c r="O273" s="258">
        <v>-17238.78</v>
      </c>
      <c r="P273" s="258">
        <v>-9.0835908893255191</v>
      </c>
      <c r="Q273" s="258">
        <f t="shared" si="17"/>
        <v>49747.484287898558</v>
      </c>
      <c r="R273" s="259">
        <f t="shared" si="18"/>
        <v>0.59594383454922273</v>
      </c>
      <c r="S273" s="255">
        <f t="shared" si="19"/>
        <v>3.74</v>
      </c>
      <c r="T273" s="255">
        <f t="shared" si="19"/>
        <v>3.74</v>
      </c>
      <c r="U273" s="254">
        <v>100100</v>
      </c>
      <c r="V273" s="254" t="s">
        <v>834</v>
      </c>
      <c r="W273" s="254" t="s">
        <v>876</v>
      </c>
      <c r="X273" s="254" t="s">
        <v>446</v>
      </c>
      <c r="Y273" s="254" t="s">
        <v>843</v>
      </c>
      <c r="Z273" s="254" t="s">
        <v>1063</v>
      </c>
      <c r="AA273" s="254" t="s">
        <v>838</v>
      </c>
    </row>
    <row r="274" spans="1:27" ht="14.4" x14ac:dyDescent="0.3">
      <c r="A274" s="253">
        <v>11</v>
      </c>
      <c r="B274" s="254" t="s">
        <v>845</v>
      </c>
      <c r="C274" s="254">
        <v>3273</v>
      </c>
      <c r="D274" s="254" t="s">
        <v>79</v>
      </c>
      <c r="E274" s="254" t="str">
        <f>_xlfn.XLOOKUP(C274,Clientes!I:I,Clientes!F:F)</f>
        <v>FERTIMAXI - CONCEICAO DO JACUIPE</v>
      </c>
      <c r="F274" s="254">
        <v>2</v>
      </c>
      <c r="G274" s="254" t="s">
        <v>875</v>
      </c>
      <c r="H274" s="254" t="s">
        <v>883</v>
      </c>
      <c r="I274" s="255">
        <v>30000</v>
      </c>
      <c r="J274" s="256">
        <v>30000</v>
      </c>
      <c r="K274" s="258">
        <v>78900</v>
      </c>
      <c r="L274" s="258">
        <v>-5523.0000000000009</v>
      </c>
      <c r="M274" s="258">
        <f t="shared" si="16"/>
        <v>73377</v>
      </c>
      <c r="N274" s="258">
        <v>-11421.650000000001</v>
      </c>
      <c r="O274" s="258">
        <v>-18675.345000000001</v>
      </c>
      <c r="P274" s="258">
        <v>-9.8405567967693148</v>
      </c>
      <c r="Q274" s="258">
        <f t="shared" si="17"/>
        <v>43270.164443203226</v>
      </c>
      <c r="R274" s="259">
        <f t="shared" si="18"/>
        <v>0.5896965594560043</v>
      </c>
      <c r="S274" s="255">
        <f t="shared" si="19"/>
        <v>2.63</v>
      </c>
      <c r="T274" s="255">
        <f t="shared" si="19"/>
        <v>2.63</v>
      </c>
      <c r="U274" s="254">
        <v>100100</v>
      </c>
      <c r="V274" s="254" t="s">
        <v>834</v>
      </c>
      <c r="W274" s="254" t="s">
        <v>884</v>
      </c>
      <c r="X274" s="254" t="s">
        <v>446</v>
      </c>
      <c r="Y274" s="254" t="s">
        <v>843</v>
      </c>
      <c r="Z274" s="254" t="s">
        <v>1063</v>
      </c>
      <c r="AA274" s="254" t="s">
        <v>838</v>
      </c>
    </row>
    <row r="275" spans="1:27" ht="14.4" x14ac:dyDescent="0.3">
      <c r="A275" s="253">
        <v>11</v>
      </c>
      <c r="B275" s="254" t="s">
        <v>845</v>
      </c>
      <c r="C275" s="254">
        <v>2975</v>
      </c>
      <c r="D275" s="254" t="s">
        <v>420</v>
      </c>
      <c r="E275" s="254" t="str">
        <f>_xlfn.XLOOKUP(C275,Clientes!I:I,Clientes!F:F)</f>
        <v>COONAGRO COOPERATIVA - PARANAGUA</v>
      </c>
      <c r="F275" s="254">
        <v>4</v>
      </c>
      <c r="G275" s="254" t="s">
        <v>862</v>
      </c>
      <c r="H275" s="254" t="s">
        <v>863</v>
      </c>
      <c r="I275" s="255">
        <v>20000</v>
      </c>
      <c r="J275" s="256">
        <v>20000</v>
      </c>
      <c r="K275" s="258">
        <v>79800</v>
      </c>
      <c r="L275" s="258">
        <v>-9576</v>
      </c>
      <c r="M275" s="258">
        <f t="shared" si="16"/>
        <v>70224</v>
      </c>
      <c r="N275" s="258">
        <v>-19855.37777777778</v>
      </c>
      <c r="O275" s="258">
        <v>-9366.4037999999982</v>
      </c>
      <c r="P275" s="258">
        <v>-4.9354177165335322</v>
      </c>
      <c r="Q275" s="258">
        <f t="shared" si="17"/>
        <v>40997.283004505683</v>
      </c>
      <c r="R275" s="259">
        <f t="shared" si="18"/>
        <v>0.58380728817079175</v>
      </c>
      <c r="S275" s="255">
        <f t="shared" si="19"/>
        <v>3.99</v>
      </c>
      <c r="T275" s="255">
        <f t="shared" si="19"/>
        <v>3.99</v>
      </c>
      <c r="U275" s="254">
        <v>100100</v>
      </c>
      <c r="V275" s="254" t="s">
        <v>834</v>
      </c>
      <c r="W275" s="254" t="s">
        <v>864</v>
      </c>
      <c r="X275" s="254" t="s">
        <v>446</v>
      </c>
      <c r="Y275" s="254" t="s">
        <v>843</v>
      </c>
      <c r="Z275" s="254" t="s">
        <v>1063</v>
      </c>
      <c r="AA275" s="254" t="s">
        <v>838</v>
      </c>
    </row>
    <row r="276" spans="1:27" ht="14.4" x14ac:dyDescent="0.3">
      <c r="A276" s="253">
        <v>11</v>
      </c>
      <c r="B276" s="254" t="s">
        <v>845</v>
      </c>
      <c r="C276" s="254">
        <v>97</v>
      </c>
      <c r="D276" s="254" t="s">
        <v>300</v>
      </c>
      <c r="E276" s="254" t="str">
        <f>_xlfn.XLOOKUP(C276,Clientes!I:I,Clientes!F:F)</f>
        <v>FECOAGRO FEDERACAO DAS COOPERATIVAS</v>
      </c>
      <c r="F276" s="254">
        <v>148</v>
      </c>
      <c r="G276" s="254" t="s">
        <v>893</v>
      </c>
      <c r="H276" s="254" t="s">
        <v>904</v>
      </c>
      <c r="I276" s="255">
        <v>32000</v>
      </c>
      <c r="J276" s="256">
        <v>32000</v>
      </c>
      <c r="K276" s="258">
        <v>112000</v>
      </c>
      <c r="L276" s="258">
        <v>-13440</v>
      </c>
      <c r="M276" s="258">
        <f t="shared" si="16"/>
        <v>98560</v>
      </c>
      <c r="N276" s="258">
        <v>-21961.900659340659</v>
      </c>
      <c r="O276" s="258">
        <v>-17928.331200000001</v>
      </c>
      <c r="P276" s="258">
        <v>-9.4469345248985412</v>
      </c>
      <c r="Q276" s="258">
        <f t="shared" si="17"/>
        <v>58660.321206134431</v>
      </c>
      <c r="R276" s="259">
        <f t="shared" si="18"/>
        <v>0.59517371353626658</v>
      </c>
      <c r="S276" s="255">
        <f t="shared" si="19"/>
        <v>3.5</v>
      </c>
      <c r="T276" s="255">
        <f t="shared" si="19"/>
        <v>3.5</v>
      </c>
      <c r="U276" s="254">
        <v>100100</v>
      </c>
      <c r="V276" s="254" t="s">
        <v>834</v>
      </c>
      <c r="W276" s="254" t="s">
        <v>894</v>
      </c>
      <c r="X276" s="254" t="s">
        <v>446</v>
      </c>
      <c r="Y276" s="254" t="s">
        <v>843</v>
      </c>
      <c r="Z276" s="254" t="s">
        <v>1063</v>
      </c>
      <c r="AA276" s="254" t="s">
        <v>838</v>
      </c>
    </row>
    <row r="277" spans="1:27" ht="14.4" x14ac:dyDescent="0.3">
      <c r="A277" s="253">
        <v>11</v>
      </c>
      <c r="B277" s="254" t="s">
        <v>845</v>
      </c>
      <c r="C277" s="254">
        <v>33</v>
      </c>
      <c r="D277" s="254" t="s">
        <v>885</v>
      </c>
      <c r="E277" s="254" t="str">
        <f>_xlfn.XLOOKUP(C277,Clientes!I:I,Clientes!F:F)</f>
        <v>GRUPO HERINGER</v>
      </c>
      <c r="F277" s="254">
        <v>7384</v>
      </c>
      <c r="G277" s="254" t="s">
        <v>862</v>
      </c>
      <c r="H277" s="254" t="s">
        <v>856</v>
      </c>
      <c r="I277" s="255">
        <v>15000</v>
      </c>
      <c r="J277" s="256">
        <v>15000</v>
      </c>
      <c r="K277" s="258">
        <v>45000</v>
      </c>
      <c r="L277" s="258">
        <v>-5400</v>
      </c>
      <c r="M277" s="258">
        <f t="shared" si="16"/>
        <v>39600</v>
      </c>
      <c r="N277" s="258">
        <v>-10300.907575757577</v>
      </c>
      <c r="O277" s="258">
        <v>-10935.990696618001</v>
      </c>
      <c r="P277" s="258">
        <v>-5.7624765475020814</v>
      </c>
      <c r="Q277" s="258">
        <f t="shared" si="17"/>
        <v>18357.339251076923</v>
      </c>
      <c r="R277" s="259">
        <f t="shared" si="18"/>
        <v>0.46356917300699302</v>
      </c>
      <c r="S277" s="255">
        <f t="shared" si="19"/>
        <v>3</v>
      </c>
      <c r="T277" s="255">
        <f t="shared" si="19"/>
        <v>3</v>
      </c>
      <c r="U277" s="254">
        <v>100100</v>
      </c>
      <c r="V277" s="254" t="s">
        <v>834</v>
      </c>
      <c r="W277" s="254" t="s">
        <v>864</v>
      </c>
      <c r="X277" s="254" t="s">
        <v>446</v>
      </c>
      <c r="Y277" s="254" t="s">
        <v>843</v>
      </c>
      <c r="Z277" s="254" t="s">
        <v>1063</v>
      </c>
      <c r="AA277" s="254" t="s">
        <v>838</v>
      </c>
    </row>
    <row r="278" spans="1:27" ht="14.4" x14ac:dyDescent="0.3">
      <c r="A278" s="253">
        <v>11</v>
      </c>
      <c r="B278" s="254" t="s">
        <v>845</v>
      </c>
      <c r="C278" s="254">
        <v>2559</v>
      </c>
      <c r="D278" s="254" t="s">
        <v>451</v>
      </c>
      <c r="E278" s="254" t="str">
        <f>_xlfn.XLOOKUP(C278,Clientes!I:I,Clientes!F:F)</f>
        <v>GRUPO MOSAIC FERTILIZANTES DO BRASIL</v>
      </c>
      <c r="F278" s="254">
        <v>1043</v>
      </c>
      <c r="G278" s="254" t="s">
        <v>877</v>
      </c>
      <c r="H278" s="254" t="s">
        <v>860</v>
      </c>
      <c r="I278" s="255">
        <v>30000</v>
      </c>
      <c r="J278" s="256">
        <v>30000</v>
      </c>
      <c r="K278" s="258">
        <v>75300</v>
      </c>
      <c r="L278" s="258">
        <v>-9036</v>
      </c>
      <c r="M278" s="258">
        <f t="shared" si="16"/>
        <v>66264</v>
      </c>
      <c r="N278" s="258">
        <v>-12093.150000000007</v>
      </c>
      <c r="O278" s="258">
        <v>-24421.605</v>
      </c>
      <c r="P278" s="258">
        <v>-12.868420426544487</v>
      </c>
      <c r="Q278" s="258">
        <f t="shared" si="17"/>
        <v>29736.376579573447</v>
      </c>
      <c r="R278" s="259">
        <f t="shared" si="18"/>
        <v>0.44875613575355316</v>
      </c>
      <c r="S278" s="255">
        <f t="shared" si="19"/>
        <v>2.5099999999999998</v>
      </c>
      <c r="T278" s="255">
        <f t="shared" si="19"/>
        <v>2.5099999999999998</v>
      </c>
      <c r="U278" s="254">
        <v>100100</v>
      </c>
      <c r="V278" s="254" t="s">
        <v>834</v>
      </c>
      <c r="W278" s="254" t="s">
        <v>878</v>
      </c>
      <c r="X278" s="254" t="s">
        <v>446</v>
      </c>
      <c r="Y278" s="254" t="s">
        <v>843</v>
      </c>
      <c r="Z278" s="254" t="s">
        <v>1063</v>
      </c>
      <c r="AA278" s="254" t="s">
        <v>838</v>
      </c>
    </row>
    <row r="279" spans="1:27" ht="14.4" x14ac:dyDescent="0.3">
      <c r="A279" s="253">
        <v>11</v>
      </c>
      <c r="B279" s="254" t="s">
        <v>845</v>
      </c>
      <c r="C279" s="254">
        <v>7024</v>
      </c>
      <c r="D279" s="254" t="s">
        <v>721</v>
      </c>
      <c r="E279" s="254" t="str">
        <f>_xlfn.XLOOKUP(C279,Clientes!I:I,Clientes!F:F)</f>
        <v>GRUPO MOSAIC FERTILIZANTES DO BRASIL</v>
      </c>
      <c r="F279" s="254">
        <v>1043</v>
      </c>
      <c r="G279" s="254" t="s">
        <v>840</v>
      </c>
      <c r="H279" s="254" t="s">
        <v>860</v>
      </c>
      <c r="I279" s="255">
        <v>30000</v>
      </c>
      <c r="J279" s="256">
        <v>30000</v>
      </c>
      <c r="K279" s="258">
        <v>68400</v>
      </c>
      <c r="L279" s="258">
        <v>-4788.0000000000009</v>
      </c>
      <c r="M279" s="258">
        <f t="shared" si="16"/>
        <v>63612</v>
      </c>
      <c r="N279" s="258">
        <v>-12093.150000000007</v>
      </c>
      <c r="O279" s="258">
        <v>-21002.580299999998</v>
      </c>
      <c r="P279" s="258">
        <v>-11.066841566828257</v>
      </c>
      <c r="Q279" s="258">
        <f t="shared" si="17"/>
        <v>30505.202858433164</v>
      </c>
      <c r="R279" s="259">
        <f t="shared" si="18"/>
        <v>0.47955107304334343</v>
      </c>
      <c r="S279" s="255">
        <f t="shared" si="19"/>
        <v>2.2799999999999998</v>
      </c>
      <c r="T279" s="255">
        <f t="shared" si="19"/>
        <v>2.2799999999999998</v>
      </c>
      <c r="U279" s="254">
        <v>100100</v>
      </c>
      <c r="V279" s="254" t="s">
        <v>834</v>
      </c>
      <c r="W279" s="254" t="s">
        <v>874</v>
      </c>
      <c r="X279" s="254" t="s">
        <v>446</v>
      </c>
      <c r="Y279" s="254" t="s">
        <v>843</v>
      </c>
      <c r="Z279" s="254" t="s">
        <v>1063</v>
      </c>
      <c r="AA279" s="254" t="s">
        <v>838</v>
      </c>
    </row>
    <row r="280" spans="1:27" ht="14.4" x14ac:dyDescent="0.3">
      <c r="A280" s="253">
        <v>11</v>
      </c>
      <c r="B280" s="254" t="s">
        <v>845</v>
      </c>
      <c r="C280" s="254">
        <v>10492</v>
      </c>
      <c r="D280" s="254" t="s">
        <v>101</v>
      </c>
      <c r="E280" s="254" t="str">
        <f>_xlfn.XLOOKUP(C280,Clientes!I:I,Clientes!F:F)</f>
        <v>GRUPO UNIFERTIL</v>
      </c>
      <c r="F280" s="254">
        <v>3</v>
      </c>
      <c r="G280" s="254" t="s">
        <v>877</v>
      </c>
      <c r="H280" s="254" t="s">
        <v>879</v>
      </c>
      <c r="I280" s="255">
        <v>32000</v>
      </c>
      <c r="J280" s="256">
        <v>32000</v>
      </c>
      <c r="K280" s="258">
        <v>82880</v>
      </c>
      <c r="L280" s="258">
        <v>-9945.6</v>
      </c>
      <c r="M280" s="258">
        <f t="shared" si="16"/>
        <v>72934.399999999994</v>
      </c>
      <c r="N280" s="258">
        <v>-24984.364999999998</v>
      </c>
      <c r="O280" s="258">
        <v>-26049.712</v>
      </c>
      <c r="P280" s="258">
        <v>-13.726315121647453</v>
      </c>
      <c r="Q280" s="258">
        <f t="shared" si="17"/>
        <v>21886.59668487835</v>
      </c>
      <c r="R280" s="259">
        <f t="shared" si="18"/>
        <v>0.3000860593201336</v>
      </c>
      <c r="S280" s="255">
        <f t="shared" si="19"/>
        <v>2.59</v>
      </c>
      <c r="T280" s="255">
        <f t="shared" si="19"/>
        <v>2.59</v>
      </c>
      <c r="U280" s="254">
        <v>100100</v>
      </c>
      <c r="V280" s="254" t="s">
        <v>834</v>
      </c>
      <c r="W280" s="254" t="s">
        <v>878</v>
      </c>
      <c r="X280" s="254" t="s">
        <v>446</v>
      </c>
      <c r="Y280" s="254" t="s">
        <v>843</v>
      </c>
      <c r="Z280" s="254" t="s">
        <v>1063</v>
      </c>
      <c r="AA280" s="254" t="s">
        <v>838</v>
      </c>
    </row>
    <row r="281" spans="1:27" ht="14.4" x14ac:dyDescent="0.3">
      <c r="A281" s="253">
        <v>11</v>
      </c>
      <c r="B281" s="254" t="s">
        <v>845</v>
      </c>
      <c r="C281" s="254">
        <v>2651</v>
      </c>
      <c r="D281" s="254" t="s">
        <v>1064</v>
      </c>
      <c r="E281" s="254" t="str">
        <f>_xlfn.XLOOKUP(C281,Clientes!I:I,Clientes!F:F)</f>
        <v>AGROBROKERS - COLÔMBIA</v>
      </c>
      <c r="F281" s="254">
        <v>14146</v>
      </c>
      <c r="G281" s="254" t="s">
        <v>832</v>
      </c>
      <c r="H281" s="254" t="s">
        <v>1011</v>
      </c>
      <c r="I281" s="255">
        <v>2400</v>
      </c>
      <c r="J281" s="256">
        <v>2400</v>
      </c>
      <c r="K281" s="258">
        <v>23913.599999999999</v>
      </c>
      <c r="L281" s="258">
        <v>0</v>
      </c>
      <c r="M281" s="258">
        <f t="shared" si="16"/>
        <v>23913.599999999999</v>
      </c>
      <c r="N281" s="258">
        <v>-4974.7539999999999</v>
      </c>
      <c r="O281" s="258">
        <v>-4558.3718399999998</v>
      </c>
      <c r="P281" s="258">
        <v>-850.50521471617287</v>
      </c>
      <c r="Q281" s="258">
        <f t="shared" si="17"/>
        <v>13529.968945283825</v>
      </c>
      <c r="R281" s="259">
        <f t="shared" si="18"/>
        <v>0.56578553397580567</v>
      </c>
      <c r="S281" s="255">
        <f t="shared" si="19"/>
        <v>9.9639999999999986</v>
      </c>
      <c r="T281" s="255">
        <f t="shared" si="19"/>
        <v>9.9639999999999986</v>
      </c>
      <c r="U281" s="254">
        <v>100100</v>
      </c>
      <c r="V281" s="254" t="s">
        <v>834</v>
      </c>
      <c r="W281" s="254" t="s">
        <v>1065</v>
      </c>
      <c r="X281" s="254" t="s">
        <v>446</v>
      </c>
      <c r="Y281" s="254" t="s">
        <v>836</v>
      </c>
      <c r="Z281" s="254" t="s">
        <v>1063</v>
      </c>
      <c r="AA281" s="254" t="s">
        <v>838</v>
      </c>
    </row>
    <row r="282" spans="1:27" ht="14.4" x14ac:dyDescent="0.3">
      <c r="A282" s="253">
        <v>11</v>
      </c>
      <c r="B282" s="254" t="s">
        <v>845</v>
      </c>
      <c r="C282" s="254">
        <v>4577</v>
      </c>
      <c r="D282" s="254" t="s">
        <v>620</v>
      </c>
      <c r="E282" s="254" t="str">
        <f>_xlfn.XLOOKUP(C282,Clientes!I:I,Clientes!F:F)</f>
        <v>MICROSOLO INDUSTRIAL - SETE LAGOAS</v>
      </c>
      <c r="F282" s="254">
        <v>1</v>
      </c>
      <c r="G282" s="254" t="s">
        <v>855</v>
      </c>
      <c r="H282" s="254" t="s">
        <v>873</v>
      </c>
      <c r="I282" s="255">
        <v>30000</v>
      </c>
      <c r="J282" s="256">
        <v>30000</v>
      </c>
      <c r="K282" s="258">
        <v>69600</v>
      </c>
      <c r="L282" s="258">
        <v>-6438</v>
      </c>
      <c r="M282" s="258">
        <f t="shared" si="16"/>
        <v>63162</v>
      </c>
      <c r="N282" s="258">
        <v>-22332.07</v>
      </c>
      <c r="O282" s="258">
        <v>-10004.1649344</v>
      </c>
      <c r="P282" s="258">
        <v>-5.2714717313769119</v>
      </c>
      <c r="Q282" s="258">
        <f t="shared" si="17"/>
        <v>30820.493593868625</v>
      </c>
      <c r="R282" s="259">
        <f t="shared" si="18"/>
        <v>0.48795943120655816</v>
      </c>
      <c r="S282" s="255">
        <f t="shared" si="19"/>
        <v>2.3199999999999998</v>
      </c>
      <c r="T282" s="255">
        <f t="shared" si="19"/>
        <v>2.3199999999999998</v>
      </c>
      <c r="U282" s="254">
        <v>100100</v>
      </c>
      <c r="V282" s="254" t="s">
        <v>834</v>
      </c>
      <c r="W282" s="254" t="s">
        <v>1066</v>
      </c>
      <c r="X282" s="254" t="s">
        <v>446</v>
      </c>
      <c r="Y282" s="254" t="s">
        <v>843</v>
      </c>
      <c r="Z282" s="254" t="s">
        <v>1063</v>
      </c>
      <c r="AA282" s="254" t="s">
        <v>838</v>
      </c>
    </row>
    <row r="283" spans="1:27" ht="14.4" x14ac:dyDescent="0.3">
      <c r="A283" s="253">
        <v>11</v>
      </c>
      <c r="B283" s="254" t="s">
        <v>845</v>
      </c>
      <c r="C283" s="254">
        <v>3232</v>
      </c>
      <c r="D283" s="254" t="s">
        <v>153</v>
      </c>
      <c r="E283" s="254" t="str">
        <f>_xlfn.XLOOKUP(C283,Clientes!I:I,Clientes!F:F)</f>
        <v>GRUPO FERTILIZ TOCANTINS</v>
      </c>
      <c r="F283" s="254">
        <v>7384</v>
      </c>
      <c r="G283" s="254" t="s">
        <v>855</v>
      </c>
      <c r="H283" s="254" t="s">
        <v>856</v>
      </c>
      <c r="I283" s="255">
        <v>60000</v>
      </c>
      <c r="J283" s="256">
        <v>60000</v>
      </c>
      <c r="K283" s="258">
        <v>112200</v>
      </c>
      <c r="L283" s="258">
        <v>-20196</v>
      </c>
      <c r="M283" s="258">
        <f t="shared" si="16"/>
        <v>92004</v>
      </c>
      <c r="N283" s="258">
        <v>-41203.63030303031</v>
      </c>
      <c r="O283" s="258">
        <v>-3447.7559999999999</v>
      </c>
      <c r="P283" s="258">
        <v>-1.816718177865104</v>
      </c>
      <c r="Q283" s="258">
        <f t="shared" si="17"/>
        <v>47350.796978791826</v>
      </c>
      <c r="R283" s="259">
        <f t="shared" si="18"/>
        <v>0.51466019932602747</v>
      </c>
      <c r="S283" s="255">
        <f t="shared" si="19"/>
        <v>1.87</v>
      </c>
      <c r="T283" s="255">
        <f t="shared" si="19"/>
        <v>1.87</v>
      </c>
      <c r="U283" s="254">
        <v>100100</v>
      </c>
      <c r="V283" s="254" t="s">
        <v>834</v>
      </c>
      <c r="W283" s="254" t="s">
        <v>857</v>
      </c>
      <c r="X283" s="254" t="s">
        <v>446</v>
      </c>
      <c r="Y283" s="254" t="s">
        <v>843</v>
      </c>
      <c r="Z283" s="254" t="s">
        <v>1063</v>
      </c>
      <c r="AA283" s="254" t="s">
        <v>838</v>
      </c>
    </row>
    <row r="284" spans="1:27" ht="14.4" x14ac:dyDescent="0.3">
      <c r="A284" s="253">
        <v>11</v>
      </c>
      <c r="B284" s="254" t="s">
        <v>845</v>
      </c>
      <c r="C284" s="254">
        <v>2949</v>
      </c>
      <c r="D284" s="254" t="s">
        <v>720</v>
      </c>
      <c r="E284" s="254" t="str">
        <f>_xlfn.XLOOKUP(C284,Clientes!I:I,Clientes!F:F)</f>
        <v>GRUPO MOSAIC FERTILIZANTES DO BRASIL</v>
      </c>
      <c r="F284" s="254">
        <v>1043</v>
      </c>
      <c r="G284" s="254" t="s">
        <v>875</v>
      </c>
      <c r="H284" s="254" t="s">
        <v>860</v>
      </c>
      <c r="I284" s="255">
        <v>30000</v>
      </c>
      <c r="J284" s="256">
        <v>30000</v>
      </c>
      <c r="K284" s="258">
        <v>69900</v>
      </c>
      <c r="L284" s="258">
        <v>-4893.0000000000009</v>
      </c>
      <c r="M284" s="258">
        <f t="shared" si="16"/>
        <v>65007</v>
      </c>
      <c r="N284" s="258">
        <v>-12093.150000000007</v>
      </c>
      <c r="O284" s="258">
        <v>-21548.474999999999</v>
      </c>
      <c r="P284" s="258">
        <v>-11.354488611656901</v>
      </c>
      <c r="Q284" s="258">
        <f t="shared" si="17"/>
        <v>31354.020511388335</v>
      </c>
      <c r="R284" s="259">
        <f t="shared" si="18"/>
        <v>0.48231760443318927</v>
      </c>
      <c r="S284" s="255">
        <f t="shared" si="19"/>
        <v>2.33</v>
      </c>
      <c r="T284" s="255">
        <f t="shared" si="19"/>
        <v>2.33</v>
      </c>
      <c r="U284" s="254">
        <v>100100</v>
      </c>
      <c r="V284" s="254" t="s">
        <v>834</v>
      </c>
      <c r="W284" s="254" t="s">
        <v>876</v>
      </c>
      <c r="X284" s="254" t="s">
        <v>446</v>
      </c>
      <c r="Y284" s="254" t="s">
        <v>843</v>
      </c>
      <c r="Z284" s="254" t="s">
        <v>1063</v>
      </c>
      <c r="AA284" s="254" t="s">
        <v>838</v>
      </c>
    </row>
    <row r="285" spans="1:27" ht="14.4" x14ac:dyDescent="0.3">
      <c r="A285" s="253">
        <v>11</v>
      </c>
      <c r="B285" s="254" t="s">
        <v>845</v>
      </c>
      <c r="C285" s="254">
        <v>214</v>
      </c>
      <c r="D285" s="254" t="s">
        <v>149</v>
      </c>
      <c r="E285" s="254" t="str">
        <f>_xlfn.XLOOKUP(C285,Clientes!I:I,Clientes!F:F)</f>
        <v>GRUPO UNIFERTIL</v>
      </c>
      <c r="F285" s="254">
        <v>3</v>
      </c>
      <c r="G285" s="254" t="s">
        <v>877</v>
      </c>
      <c r="H285" s="254" t="s">
        <v>879</v>
      </c>
      <c r="I285" s="255">
        <v>32000</v>
      </c>
      <c r="J285" s="256">
        <v>32000</v>
      </c>
      <c r="K285" s="258">
        <v>82880</v>
      </c>
      <c r="L285" s="258">
        <v>-9945.6</v>
      </c>
      <c r="M285" s="258">
        <f t="shared" si="16"/>
        <v>72934.399999999994</v>
      </c>
      <c r="N285" s="258">
        <v>-24984.364999999998</v>
      </c>
      <c r="O285" s="258">
        <v>-25804.538239999998</v>
      </c>
      <c r="P285" s="258">
        <v>-13.597126273443711</v>
      </c>
      <c r="Q285" s="258">
        <f t="shared" si="17"/>
        <v>22131.899633726556</v>
      </c>
      <c r="R285" s="259">
        <f t="shared" si="18"/>
        <v>0.30344939608369381</v>
      </c>
      <c r="S285" s="255">
        <f t="shared" si="19"/>
        <v>2.59</v>
      </c>
      <c r="T285" s="255">
        <f t="shared" si="19"/>
        <v>2.59</v>
      </c>
      <c r="U285" s="254">
        <v>100100</v>
      </c>
      <c r="V285" s="254" t="s">
        <v>834</v>
      </c>
      <c r="W285" s="254" t="s">
        <v>880</v>
      </c>
      <c r="X285" s="254" t="s">
        <v>446</v>
      </c>
      <c r="Y285" s="254" t="s">
        <v>843</v>
      </c>
      <c r="Z285" s="254" t="s">
        <v>1063</v>
      </c>
      <c r="AA285" s="254" t="s">
        <v>838</v>
      </c>
    </row>
    <row r="286" spans="1:27" ht="14.4" x14ac:dyDescent="0.3">
      <c r="A286" s="253">
        <v>11</v>
      </c>
      <c r="B286" s="254" t="s">
        <v>845</v>
      </c>
      <c r="C286" s="254">
        <v>1462</v>
      </c>
      <c r="D286" s="254" t="s">
        <v>907</v>
      </c>
      <c r="E286" s="254" t="str">
        <f>_xlfn.XLOOKUP(C286,Clientes!I:I,Clientes!F:F)</f>
        <v>AURORA MINERAÇÃO LTDA</v>
      </c>
      <c r="F286" s="254">
        <v>1042</v>
      </c>
      <c r="G286" s="254" t="s">
        <v>908</v>
      </c>
      <c r="H286" s="254" t="s">
        <v>909</v>
      </c>
      <c r="I286" s="255">
        <v>45000</v>
      </c>
      <c r="J286" s="256">
        <v>45000</v>
      </c>
      <c r="K286" s="258">
        <v>75150</v>
      </c>
      <c r="L286" s="258">
        <v>-9018</v>
      </c>
      <c r="M286" s="258">
        <f t="shared" si="16"/>
        <v>66132</v>
      </c>
      <c r="N286" s="258">
        <v>-23566.380000000005</v>
      </c>
      <c r="O286" s="258">
        <v>0</v>
      </c>
      <c r="P286" s="258">
        <v>0</v>
      </c>
      <c r="Q286" s="258">
        <f t="shared" si="17"/>
        <v>42565.619999999995</v>
      </c>
      <c r="R286" s="259">
        <f t="shared" si="18"/>
        <v>0.64364634367628371</v>
      </c>
      <c r="S286" s="255">
        <f t="shared" si="19"/>
        <v>1.67</v>
      </c>
      <c r="T286" s="255">
        <f t="shared" si="19"/>
        <v>1.67</v>
      </c>
      <c r="U286" s="254">
        <v>100100</v>
      </c>
      <c r="V286" s="254" t="s">
        <v>834</v>
      </c>
      <c r="W286" s="254" t="s">
        <v>910</v>
      </c>
      <c r="X286" s="254" t="s">
        <v>446</v>
      </c>
      <c r="Y286" s="254" t="s">
        <v>843</v>
      </c>
      <c r="Z286" s="254" t="s">
        <v>1063</v>
      </c>
      <c r="AA286" s="254" t="s">
        <v>838</v>
      </c>
    </row>
    <row r="287" spans="1:27" ht="14.4" x14ac:dyDescent="0.3">
      <c r="A287" s="253">
        <v>11</v>
      </c>
      <c r="B287" s="254" t="s">
        <v>845</v>
      </c>
      <c r="C287" s="254">
        <v>86</v>
      </c>
      <c r="D287" s="254" t="s">
        <v>31</v>
      </c>
      <c r="E287" s="254" t="str">
        <f>_xlfn.XLOOKUP(C287,Clientes!I:I,Clientes!F:F)</f>
        <v>GRUPO ADUBOS ARAGUAIA</v>
      </c>
      <c r="F287" s="254">
        <v>14133</v>
      </c>
      <c r="G287" s="254" t="s">
        <v>867</v>
      </c>
      <c r="H287" s="254" t="s">
        <v>841</v>
      </c>
      <c r="I287" s="255">
        <v>12000</v>
      </c>
      <c r="J287" s="256">
        <v>12000</v>
      </c>
      <c r="K287" s="258">
        <v>33000</v>
      </c>
      <c r="L287" s="258">
        <v>-2310</v>
      </c>
      <c r="M287" s="258">
        <f t="shared" si="16"/>
        <v>30690</v>
      </c>
      <c r="N287" s="258">
        <v>-15419.289999999999</v>
      </c>
      <c r="O287" s="258">
        <v>-4650.7495518743999</v>
      </c>
      <c r="P287" s="258">
        <v>-2.4506088167457936</v>
      </c>
      <c r="Q287" s="258">
        <f t="shared" si="17"/>
        <v>10617.509839308856</v>
      </c>
      <c r="R287" s="259">
        <f t="shared" si="18"/>
        <v>0.34595991656268671</v>
      </c>
      <c r="S287" s="255">
        <f t="shared" si="19"/>
        <v>2.75</v>
      </c>
      <c r="T287" s="255">
        <f t="shared" si="19"/>
        <v>2.75</v>
      </c>
      <c r="U287" s="254">
        <v>100100</v>
      </c>
      <c r="V287" s="254" t="s">
        <v>834</v>
      </c>
      <c r="W287" s="254" t="s">
        <v>955</v>
      </c>
      <c r="X287" s="254" t="s">
        <v>446</v>
      </c>
      <c r="Y287" s="254" t="s">
        <v>843</v>
      </c>
      <c r="Z287" s="254" t="s">
        <v>1063</v>
      </c>
      <c r="AA287" s="254" t="s">
        <v>838</v>
      </c>
    </row>
    <row r="288" spans="1:27" ht="14.4" x14ac:dyDescent="0.3">
      <c r="A288" s="253">
        <v>11</v>
      </c>
      <c r="B288" s="254" t="s">
        <v>845</v>
      </c>
      <c r="C288" s="254">
        <v>43</v>
      </c>
      <c r="D288" s="254" t="s">
        <v>674</v>
      </c>
      <c r="E288" s="254" t="str">
        <f>_xlfn.XLOOKUP(C288,Clientes!I:I,Clientes!F:F)</f>
        <v>GRUPO CIBRA</v>
      </c>
      <c r="F288" s="254">
        <v>148</v>
      </c>
      <c r="G288" s="254" t="s">
        <v>875</v>
      </c>
      <c r="H288" s="254" t="s">
        <v>904</v>
      </c>
      <c r="I288" s="255">
        <v>150000</v>
      </c>
      <c r="J288" s="256">
        <v>150000</v>
      </c>
      <c r="K288" s="258">
        <v>355500</v>
      </c>
      <c r="L288" s="258">
        <v>-24885.000000000004</v>
      </c>
      <c r="M288" s="258">
        <f t="shared" si="16"/>
        <v>330615</v>
      </c>
      <c r="N288" s="258">
        <v>-102946.40934065933</v>
      </c>
      <c r="O288" s="258">
        <v>-103812.063264</v>
      </c>
      <c r="P288" s="258">
        <v>-54.701452890921217</v>
      </c>
      <c r="Q288" s="258">
        <f t="shared" si="17"/>
        <v>123801.82594244975</v>
      </c>
      <c r="R288" s="259">
        <f t="shared" si="18"/>
        <v>0.37445919254253363</v>
      </c>
      <c r="S288" s="255">
        <f t="shared" si="19"/>
        <v>2.37</v>
      </c>
      <c r="T288" s="255">
        <f t="shared" si="19"/>
        <v>2.37</v>
      </c>
      <c r="U288" s="254">
        <v>100100</v>
      </c>
      <c r="V288" s="254" t="s">
        <v>834</v>
      </c>
      <c r="W288" s="254" t="s">
        <v>905</v>
      </c>
      <c r="X288" s="254" t="s">
        <v>446</v>
      </c>
      <c r="Y288" s="254" t="s">
        <v>843</v>
      </c>
      <c r="Z288" s="254" t="s">
        <v>1063</v>
      </c>
      <c r="AA288" s="254" t="s">
        <v>838</v>
      </c>
    </row>
    <row r="289" spans="1:27" ht="14.4" x14ac:dyDescent="0.3">
      <c r="A289" s="253">
        <v>11</v>
      </c>
      <c r="B289" s="254" t="s">
        <v>845</v>
      </c>
      <c r="C289" s="254">
        <v>7022</v>
      </c>
      <c r="D289" s="254" t="s">
        <v>89</v>
      </c>
      <c r="E289" s="254" t="str">
        <f>_xlfn.XLOOKUP(C289,Clientes!I:I,Clientes!F:F)</f>
        <v>STRATOS - ROSARIO DO CATETE</v>
      </c>
      <c r="F289" s="254">
        <v>1043</v>
      </c>
      <c r="G289" s="254" t="s">
        <v>887</v>
      </c>
      <c r="H289" s="254" t="s">
        <v>860</v>
      </c>
      <c r="I289" s="255">
        <v>120000</v>
      </c>
      <c r="J289" s="256">
        <v>120000</v>
      </c>
      <c r="K289" s="258">
        <v>289200</v>
      </c>
      <c r="L289" s="258">
        <v>-20244.000000000004</v>
      </c>
      <c r="M289" s="258">
        <f t="shared" si="16"/>
        <v>268956</v>
      </c>
      <c r="N289" s="258">
        <v>-48372.600000000028</v>
      </c>
      <c r="O289" s="258">
        <v>-100846.0043136</v>
      </c>
      <c r="P289" s="258">
        <v>-53.138554236894905</v>
      </c>
      <c r="Q289" s="258">
        <f t="shared" si="17"/>
        <v>119684.25713216307</v>
      </c>
      <c r="R289" s="259">
        <f t="shared" si="18"/>
        <v>0.44499567636402632</v>
      </c>
      <c r="S289" s="255">
        <f t="shared" si="19"/>
        <v>2.41</v>
      </c>
      <c r="T289" s="255">
        <f t="shared" si="19"/>
        <v>2.41</v>
      </c>
      <c r="U289" s="254">
        <v>100100</v>
      </c>
      <c r="V289" s="254" t="s">
        <v>834</v>
      </c>
      <c r="W289" s="254" t="s">
        <v>888</v>
      </c>
      <c r="X289" s="254" t="s">
        <v>446</v>
      </c>
      <c r="Y289" s="254" t="s">
        <v>843</v>
      </c>
      <c r="Z289" s="254" t="s">
        <v>1063</v>
      </c>
      <c r="AA289" s="254" t="s">
        <v>838</v>
      </c>
    </row>
    <row r="290" spans="1:27" ht="14.4" x14ac:dyDescent="0.3">
      <c r="A290" s="253">
        <v>11</v>
      </c>
      <c r="B290" s="254" t="s">
        <v>845</v>
      </c>
      <c r="C290" s="254">
        <v>5657</v>
      </c>
      <c r="D290" s="254" t="s">
        <v>84</v>
      </c>
      <c r="E290" s="254" t="str">
        <f>_xlfn.XLOOKUP(C290,Clientes!I:I,Clientes!F:F)</f>
        <v>FERTIPLANTA - VARGEM GRANDE DO SUL</v>
      </c>
      <c r="F290" s="254">
        <v>14133</v>
      </c>
      <c r="G290" s="254" t="s">
        <v>908</v>
      </c>
      <c r="H290" s="254" t="s">
        <v>841</v>
      </c>
      <c r="I290" s="255">
        <v>6000</v>
      </c>
      <c r="J290" s="256">
        <v>6000</v>
      </c>
      <c r="K290" s="258">
        <v>20760</v>
      </c>
      <c r="L290" s="258">
        <v>-2491.1999999999998</v>
      </c>
      <c r="M290" s="258">
        <f t="shared" si="16"/>
        <v>18268.8</v>
      </c>
      <c r="N290" s="258">
        <v>-7709.6449999999995</v>
      </c>
      <c r="O290" s="258">
        <v>-3086.7121958399998</v>
      </c>
      <c r="P290" s="258">
        <v>-1.6264741924951878</v>
      </c>
      <c r="Q290" s="258">
        <f t="shared" si="17"/>
        <v>7470.8163299675034</v>
      </c>
      <c r="R290" s="259">
        <f t="shared" si="18"/>
        <v>0.40893853619107462</v>
      </c>
      <c r="S290" s="255">
        <f t="shared" si="19"/>
        <v>3.46</v>
      </c>
      <c r="T290" s="255">
        <f t="shared" si="19"/>
        <v>3.46</v>
      </c>
      <c r="U290" s="254">
        <v>100100</v>
      </c>
      <c r="V290" s="254" t="s">
        <v>834</v>
      </c>
      <c r="W290" s="254" t="s">
        <v>1067</v>
      </c>
      <c r="X290" s="254" t="s">
        <v>446</v>
      </c>
      <c r="Y290" s="254" t="s">
        <v>843</v>
      </c>
      <c r="Z290" s="254" t="s">
        <v>1063</v>
      </c>
      <c r="AA290" s="254" t="s">
        <v>838</v>
      </c>
    </row>
    <row r="291" spans="1:27" ht="14.4" x14ac:dyDescent="0.3">
      <c r="A291" s="253">
        <v>11</v>
      </c>
      <c r="B291" s="254" t="s">
        <v>845</v>
      </c>
      <c r="C291" s="254">
        <v>341</v>
      </c>
      <c r="D291" s="254" t="s">
        <v>422</v>
      </c>
      <c r="E291" s="254" t="str">
        <f>_xlfn.XLOOKUP(C291,Clientes!I:I,Clientes!F:F)</f>
        <v>ADUBOS PARANAIBA - UBERLANDIA</v>
      </c>
      <c r="F291" s="254">
        <v>1043</v>
      </c>
      <c r="G291" s="254" t="s">
        <v>855</v>
      </c>
      <c r="H291" s="254" t="s">
        <v>860</v>
      </c>
      <c r="I291" s="255">
        <v>3000</v>
      </c>
      <c r="J291" s="256">
        <v>3000</v>
      </c>
      <c r="K291" s="258">
        <v>6000</v>
      </c>
      <c r="L291" s="258">
        <v>-1080</v>
      </c>
      <c r="M291" s="258">
        <f t="shared" si="16"/>
        <v>4920</v>
      </c>
      <c r="N291" s="258">
        <v>-1209.3150000000005</v>
      </c>
      <c r="O291" s="258">
        <v>0</v>
      </c>
      <c r="P291" s="258">
        <v>0</v>
      </c>
      <c r="Q291" s="258">
        <f t="shared" si="17"/>
        <v>3710.6849999999995</v>
      </c>
      <c r="R291" s="259">
        <f t="shared" si="18"/>
        <v>0.75420426829268283</v>
      </c>
      <c r="S291" s="255">
        <f t="shared" si="19"/>
        <v>2</v>
      </c>
      <c r="T291" s="255">
        <f t="shared" si="19"/>
        <v>2</v>
      </c>
      <c r="U291" s="254">
        <v>100100</v>
      </c>
      <c r="V291" s="254" t="s">
        <v>834</v>
      </c>
      <c r="W291" s="254" t="s">
        <v>865</v>
      </c>
      <c r="X291" s="254" t="s">
        <v>446</v>
      </c>
      <c r="Y291" s="254" t="s">
        <v>843</v>
      </c>
      <c r="Z291" s="254" t="s">
        <v>1063</v>
      </c>
      <c r="AA291" s="254" t="s">
        <v>838</v>
      </c>
    </row>
    <row r="292" spans="1:27" ht="14.4" x14ac:dyDescent="0.3">
      <c r="A292" s="253">
        <v>11</v>
      </c>
      <c r="B292" s="254" t="s">
        <v>845</v>
      </c>
      <c r="C292" s="254">
        <v>10434</v>
      </c>
      <c r="D292" s="254" t="s">
        <v>99</v>
      </c>
      <c r="E292" s="254" t="str">
        <f>_xlfn.XLOOKUP(C292,Clientes!I:I,Clientes!F:F)</f>
        <v>GRUPO CIBRA</v>
      </c>
      <c r="F292" s="254">
        <v>6564</v>
      </c>
      <c r="G292" s="254" t="s">
        <v>840</v>
      </c>
      <c r="H292" s="254" t="s">
        <v>914</v>
      </c>
      <c r="I292" s="255">
        <v>30000</v>
      </c>
      <c r="J292" s="256">
        <v>30000</v>
      </c>
      <c r="K292" s="258">
        <v>92400</v>
      </c>
      <c r="L292" s="258">
        <v>-6468.0000000000009</v>
      </c>
      <c r="M292" s="258">
        <f t="shared" si="16"/>
        <v>85932</v>
      </c>
      <c r="N292" s="258">
        <v>-29600.55333333333</v>
      </c>
      <c r="O292" s="258">
        <v>-21893.250599999999</v>
      </c>
      <c r="P292" s="258">
        <v>-11.536160429443411</v>
      </c>
      <c r="Q292" s="258">
        <f t="shared" si="17"/>
        <v>34426.659906237226</v>
      </c>
      <c r="R292" s="259">
        <f t="shared" si="18"/>
        <v>0.40062677356790516</v>
      </c>
      <c r="S292" s="255">
        <f t="shared" si="19"/>
        <v>3.08</v>
      </c>
      <c r="T292" s="255">
        <f t="shared" si="19"/>
        <v>3.08</v>
      </c>
      <c r="U292" s="254">
        <v>100200</v>
      </c>
      <c r="V292" s="254" t="s">
        <v>912</v>
      </c>
      <c r="W292" s="254" t="s">
        <v>915</v>
      </c>
      <c r="X292" s="254" t="s">
        <v>446</v>
      </c>
      <c r="Y292" s="254" t="s">
        <v>843</v>
      </c>
      <c r="Z292" s="254" t="s">
        <v>1063</v>
      </c>
      <c r="AA292" s="254" t="s">
        <v>838</v>
      </c>
    </row>
    <row r="293" spans="1:27" ht="14.4" x14ac:dyDescent="0.3">
      <c r="A293" s="253">
        <v>11</v>
      </c>
      <c r="B293" s="254" t="s">
        <v>845</v>
      </c>
      <c r="C293" s="254">
        <v>214</v>
      </c>
      <c r="D293" s="254" t="s">
        <v>149</v>
      </c>
      <c r="E293" s="254" t="str">
        <f>_xlfn.XLOOKUP(C293,Clientes!I:I,Clientes!F:F)</f>
        <v>GRUPO UNIFERTIL</v>
      </c>
      <c r="F293" s="254">
        <v>113</v>
      </c>
      <c r="G293" s="254" t="s">
        <v>877</v>
      </c>
      <c r="H293" s="254" t="s">
        <v>913</v>
      </c>
      <c r="I293" s="255">
        <v>30000</v>
      </c>
      <c r="J293" s="256">
        <v>30000</v>
      </c>
      <c r="K293" s="258">
        <v>92700</v>
      </c>
      <c r="L293" s="258">
        <v>-11124</v>
      </c>
      <c r="M293" s="258">
        <f t="shared" si="16"/>
        <v>81576</v>
      </c>
      <c r="N293" s="258">
        <v>-27047.714754098357</v>
      </c>
      <c r="O293" s="258">
        <v>-24191.754599999997</v>
      </c>
      <c r="P293" s="258">
        <v>-12.747305881353478</v>
      </c>
      <c r="Q293" s="258">
        <f t="shared" si="17"/>
        <v>30323.783340020294</v>
      </c>
      <c r="R293" s="259">
        <f t="shared" si="18"/>
        <v>0.37172432259512961</v>
      </c>
      <c r="S293" s="255">
        <f t="shared" si="19"/>
        <v>3.09</v>
      </c>
      <c r="T293" s="255">
        <f t="shared" si="19"/>
        <v>3.09</v>
      </c>
      <c r="U293" s="254">
        <v>100200</v>
      </c>
      <c r="V293" s="254" t="s">
        <v>912</v>
      </c>
      <c r="W293" s="254" t="s">
        <v>880</v>
      </c>
      <c r="X293" s="254" t="s">
        <v>446</v>
      </c>
      <c r="Y293" s="254" t="s">
        <v>843</v>
      </c>
      <c r="Z293" s="254" t="s">
        <v>1063</v>
      </c>
      <c r="AA293" s="254" t="s">
        <v>838</v>
      </c>
    </row>
    <row r="294" spans="1:27" ht="14.4" x14ac:dyDescent="0.3">
      <c r="A294" s="253">
        <v>11</v>
      </c>
      <c r="B294" s="254" t="s">
        <v>845</v>
      </c>
      <c r="C294" s="254">
        <v>205</v>
      </c>
      <c r="D294" s="254" t="s">
        <v>859</v>
      </c>
      <c r="E294" s="254" t="str">
        <f>_xlfn.XLOOKUP(C294,Clientes!I:I,Clientes!F:F)</f>
        <v>GRUPO FERTIPAR FERTILIZANTES MATO GROSSO</v>
      </c>
      <c r="F294" s="254">
        <v>6564</v>
      </c>
      <c r="G294" s="254" t="s">
        <v>840</v>
      </c>
      <c r="H294" s="254" t="s">
        <v>914</v>
      </c>
      <c r="I294" s="255">
        <v>15000</v>
      </c>
      <c r="J294" s="256">
        <v>15000</v>
      </c>
      <c r="K294" s="258">
        <v>37800</v>
      </c>
      <c r="L294" s="258">
        <v>-2646.0000000000005</v>
      </c>
      <c r="M294" s="258">
        <f t="shared" si="16"/>
        <v>35154</v>
      </c>
      <c r="N294" s="258">
        <v>-14800.276666666665</v>
      </c>
      <c r="O294" s="258">
        <v>-9555.9144492044998</v>
      </c>
      <c r="P294" s="258">
        <v>-5.0352761291673822</v>
      </c>
      <c r="Q294" s="258">
        <f t="shared" si="17"/>
        <v>10792.773607999668</v>
      </c>
      <c r="R294" s="259">
        <f t="shared" si="18"/>
        <v>0.30701409819649739</v>
      </c>
      <c r="S294" s="255">
        <f t="shared" si="19"/>
        <v>2.52</v>
      </c>
      <c r="T294" s="255">
        <f t="shared" si="19"/>
        <v>2.52</v>
      </c>
      <c r="U294" s="254">
        <v>100200</v>
      </c>
      <c r="V294" s="254" t="s">
        <v>912</v>
      </c>
      <c r="W294" s="254" t="s">
        <v>861</v>
      </c>
      <c r="X294" s="254" t="s">
        <v>446</v>
      </c>
      <c r="Y294" s="254" t="s">
        <v>843</v>
      </c>
      <c r="Z294" s="254" t="s">
        <v>1063</v>
      </c>
      <c r="AA294" s="254" t="s">
        <v>838</v>
      </c>
    </row>
    <row r="295" spans="1:27" ht="14.4" x14ac:dyDescent="0.3">
      <c r="A295" s="253">
        <v>11</v>
      </c>
      <c r="B295" s="254" t="s">
        <v>845</v>
      </c>
      <c r="C295" s="254">
        <v>10492</v>
      </c>
      <c r="D295" s="254" t="s">
        <v>101</v>
      </c>
      <c r="E295" s="254" t="str">
        <f>_xlfn.XLOOKUP(C295,Clientes!I:I,Clientes!F:F)</f>
        <v>GRUPO UNIFERTIL</v>
      </c>
      <c r="F295" s="254">
        <v>113</v>
      </c>
      <c r="G295" s="254" t="s">
        <v>877</v>
      </c>
      <c r="H295" s="254" t="s">
        <v>913</v>
      </c>
      <c r="I295" s="255">
        <v>32000</v>
      </c>
      <c r="J295" s="256">
        <v>32000</v>
      </c>
      <c r="K295" s="258">
        <v>98880</v>
      </c>
      <c r="L295" s="258">
        <v>-11865.6</v>
      </c>
      <c r="M295" s="258">
        <f t="shared" si="16"/>
        <v>87014.399999999994</v>
      </c>
      <c r="N295" s="258">
        <v>-28850.895737704919</v>
      </c>
      <c r="O295" s="258">
        <v>-26049.712</v>
      </c>
      <c r="P295" s="258">
        <v>-13.726315121647453</v>
      </c>
      <c r="Q295" s="258">
        <f t="shared" si="17"/>
        <v>32100.065947173425</v>
      </c>
      <c r="R295" s="259">
        <f t="shared" si="18"/>
        <v>0.36890521508133628</v>
      </c>
      <c r="S295" s="255">
        <f t="shared" si="19"/>
        <v>3.09</v>
      </c>
      <c r="T295" s="255">
        <f t="shared" si="19"/>
        <v>3.09</v>
      </c>
      <c r="U295" s="254">
        <v>100200</v>
      </c>
      <c r="V295" s="254" t="s">
        <v>912</v>
      </c>
      <c r="W295" s="254" t="s">
        <v>878</v>
      </c>
      <c r="X295" s="254" t="s">
        <v>446</v>
      </c>
      <c r="Y295" s="254" t="s">
        <v>843</v>
      </c>
      <c r="Z295" s="254" t="s">
        <v>1063</v>
      </c>
      <c r="AA295" s="254" t="s">
        <v>838</v>
      </c>
    </row>
    <row r="296" spans="1:27" ht="14.4" x14ac:dyDescent="0.3">
      <c r="A296" s="253">
        <v>11</v>
      </c>
      <c r="B296" s="254" t="s">
        <v>845</v>
      </c>
      <c r="C296" s="254">
        <v>14632</v>
      </c>
      <c r="D296" s="254" t="s">
        <v>399</v>
      </c>
      <c r="E296" s="254" t="str">
        <f>_xlfn.XLOOKUP(C296,Clientes!I:I,Clientes!F:F)</f>
        <v>BIGFERTIL - CANDEIAS</v>
      </c>
      <c r="F296" s="254">
        <v>113</v>
      </c>
      <c r="G296" s="254" t="s">
        <v>875</v>
      </c>
      <c r="H296" s="254" t="s">
        <v>913</v>
      </c>
      <c r="I296" s="255">
        <v>30000</v>
      </c>
      <c r="J296" s="256">
        <v>30000</v>
      </c>
      <c r="K296" s="258">
        <v>109500</v>
      </c>
      <c r="L296" s="258">
        <v>-7665.0000000000009</v>
      </c>
      <c r="M296" s="258">
        <f t="shared" si="16"/>
        <v>101835</v>
      </c>
      <c r="N296" s="258">
        <v>-27047.714754098357</v>
      </c>
      <c r="O296" s="258">
        <v>-21548.474999999999</v>
      </c>
      <c r="P296" s="258">
        <v>-11.354488611656901</v>
      </c>
      <c r="Q296" s="258">
        <f t="shared" si="17"/>
        <v>53227.455757289987</v>
      </c>
      <c r="R296" s="259">
        <f t="shared" si="18"/>
        <v>0.52268331867520978</v>
      </c>
      <c r="S296" s="255">
        <f t="shared" si="19"/>
        <v>3.65</v>
      </c>
      <c r="T296" s="255">
        <f t="shared" si="19"/>
        <v>3.65</v>
      </c>
      <c r="U296" s="254">
        <v>100200</v>
      </c>
      <c r="V296" s="254" t="s">
        <v>912</v>
      </c>
      <c r="W296" s="254" t="s">
        <v>876</v>
      </c>
      <c r="X296" s="254" t="s">
        <v>446</v>
      </c>
      <c r="Y296" s="254" t="s">
        <v>843</v>
      </c>
      <c r="Z296" s="254" t="s">
        <v>1063</v>
      </c>
      <c r="AA296" s="254" t="s">
        <v>838</v>
      </c>
    </row>
    <row r="297" spans="1:27" ht="14.4" x14ac:dyDescent="0.3">
      <c r="A297" s="253">
        <v>11</v>
      </c>
      <c r="B297" s="254" t="s">
        <v>845</v>
      </c>
      <c r="C297" s="254">
        <v>456</v>
      </c>
      <c r="D297" s="254" t="s">
        <v>312</v>
      </c>
      <c r="E297" s="254" t="str">
        <f>_xlfn.XLOOKUP(C297,Clientes!I:I,Clientes!F:F)</f>
        <v>GRUPO FERTIPAR FERTILIZANTES DO NORDESTE</v>
      </c>
      <c r="F297" s="254">
        <v>113</v>
      </c>
      <c r="G297" s="254" t="s">
        <v>875</v>
      </c>
      <c r="H297" s="254" t="s">
        <v>913</v>
      </c>
      <c r="I297" s="255">
        <v>30000</v>
      </c>
      <c r="J297" s="256">
        <v>30000</v>
      </c>
      <c r="K297" s="258">
        <v>100200</v>
      </c>
      <c r="L297" s="258">
        <v>-7014.0000000000009</v>
      </c>
      <c r="M297" s="258">
        <f t="shared" si="16"/>
        <v>93186</v>
      </c>
      <c r="N297" s="258">
        <v>-27047.714754098357</v>
      </c>
      <c r="O297" s="258">
        <v>-21548.474999999999</v>
      </c>
      <c r="P297" s="258">
        <v>-11.354488611656901</v>
      </c>
      <c r="Q297" s="258">
        <f t="shared" si="17"/>
        <v>44578.455757289987</v>
      </c>
      <c r="R297" s="259">
        <f t="shared" si="18"/>
        <v>0.47838147100734002</v>
      </c>
      <c r="S297" s="255">
        <f t="shared" si="19"/>
        <v>3.34</v>
      </c>
      <c r="T297" s="255">
        <f t="shared" si="19"/>
        <v>3.34</v>
      </c>
      <c r="U297" s="254">
        <v>100200</v>
      </c>
      <c r="V297" s="254" t="s">
        <v>912</v>
      </c>
      <c r="W297" s="254" t="s">
        <v>876</v>
      </c>
      <c r="X297" s="254" t="s">
        <v>446</v>
      </c>
      <c r="Y297" s="254" t="s">
        <v>843</v>
      </c>
      <c r="Z297" s="254" t="s">
        <v>1063</v>
      </c>
      <c r="AA297" s="254" t="s">
        <v>838</v>
      </c>
    </row>
    <row r="298" spans="1:27" ht="14.4" x14ac:dyDescent="0.3">
      <c r="A298" s="253">
        <v>13</v>
      </c>
      <c r="B298" s="254" t="s">
        <v>845</v>
      </c>
      <c r="C298" s="254">
        <v>2651</v>
      </c>
      <c r="D298" s="254" t="s">
        <v>1064</v>
      </c>
      <c r="E298" s="254" t="str">
        <f>_xlfn.XLOOKUP(C298,Clientes!I:I,Clientes!F:F)</f>
        <v>AGROBROKERS - COLÔMBIA</v>
      </c>
      <c r="F298" s="254">
        <v>8201</v>
      </c>
      <c r="G298" s="254" t="s">
        <v>832</v>
      </c>
      <c r="H298" s="254" t="s">
        <v>916</v>
      </c>
      <c r="I298" s="255">
        <v>3300</v>
      </c>
      <c r="J298" s="256">
        <v>3300</v>
      </c>
      <c r="K298" s="258">
        <v>182269.85813554795</v>
      </c>
      <c r="L298" s="258">
        <v>0</v>
      </c>
      <c r="M298" s="258">
        <f t="shared" si="16"/>
        <v>182269.85813554795</v>
      </c>
      <c r="N298" s="258">
        <v>-67105.05</v>
      </c>
      <c r="O298" s="258">
        <v>0</v>
      </c>
      <c r="P298" s="258">
        <v>-1166.1420131291029</v>
      </c>
      <c r="Q298" s="258">
        <f t="shared" si="17"/>
        <v>113998.66612241884</v>
      </c>
      <c r="R298" s="259">
        <f t="shared" si="18"/>
        <v>0.6254389359190804</v>
      </c>
      <c r="S298" s="255">
        <f t="shared" si="19"/>
        <v>55.233290344105441</v>
      </c>
      <c r="T298" s="255">
        <f t="shared" si="19"/>
        <v>55.233290344105441</v>
      </c>
      <c r="U298" s="254">
        <v>100300</v>
      </c>
      <c r="V298" s="254" t="s">
        <v>917</v>
      </c>
      <c r="W298" s="254" t="s">
        <v>1065</v>
      </c>
      <c r="X298" s="254" t="s">
        <v>446</v>
      </c>
      <c r="Y298" s="254" t="s">
        <v>836</v>
      </c>
      <c r="Z298" s="254" t="s">
        <v>1063</v>
      </c>
      <c r="AA298" s="254" t="s">
        <v>838</v>
      </c>
    </row>
    <row r="299" spans="1:27" ht="14.4" x14ac:dyDescent="0.3">
      <c r="A299" s="253">
        <v>13</v>
      </c>
      <c r="B299" s="254" t="s">
        <v>845</v>
      </c>
      <c r="C299" s="254">
        <v>2011</v>
      </c>
      <c r="D299" s="254" t="s">
        <v>616</v>
      </c>
      <c r="E299" s="254" t="str">
        <f>_xlfn.XLOOKUP(C299,Clientes!I:I,Clientes!F:F)</f>
        <v>FERTGROW S.A</v>
      </c>
      <c r="F299" s="254">
        <v>8224</v>
      </c>
      <c r="G299" s="254" t="s">
        <v>897</v>
      </c>
      <c r="H299" s="254" t="s">
        <v>921</v>
      </c>
      <c r="I299" s="255">
        <v>30000</v>
      </c>
      <c r="J299" s="256">
        <v>30000</v>
      </c>
      <c r="K299" s="258">
        <v>616005.86457727174</v>
      </c>
      <c r="L299" s="258">
        <v>-43071.000000000007</v>
      </c>
      <c r="M299" s="258">
        <f t="shared" si="16"/>
        <v>572934.86457727174</v>
      </c>
      <c r="N299" s="258">
        <v>-218494</v>
      </c>
      <c r="O299" s="258">
        <v>-28539.757999999998</v>
      </c>
      <c r="P299" s="258">
        <v>-15.038389361216696</v>
      </c>
      <c r="Q299" s="258">
        <f t="shared" si="17"/>
        <v>325886.06818791054</v>
      </c>
      <c r="R299" s="259">
        <f t="shared" si="18"/>
        <v>0.56880125182879016</v>
      </c>
      <c r="S299" s="255">
        <f t="shared" si="19"/>
        <v>20.533528819242392</v>
      </c>
      <c r="T299" s="255">
        <f t="shared" si="19"/>
        <v>20.533528819242392</v>
      </c>
      <c r="U299" s="254">
        <v>100300</v>
      </c>
      <c r="V299" s="254" t="s">
        <v>917</v>
      </c>
      <c r="W299" s="254" t="s">
        <v>899</v>
      </c>
      <c r="X299" s="254" t="s">
        <v>446</v>
      </c>
      <c r="Y299" s="254" t="s">
        <v>843</v>
      </c>
      <c r="Z299" s="254" t="s">
        <v>1063</v>
      </c>
      <c r="AA299" s="254" t="s">
        <v>838</v>
      </c>
    </row>
    <row r="300" spans="1:27" ht="14.4" x14ac:dyDescent="0.3">
      <c r="A300" s="253">
        <v>13</v>
      </c>
      <c r="B300" s="254" t="s">
        <v>845</v>
      </c>
      <c r="C300" s="254">
        <v>2346</v>
      </c>
      <c r="D300" s="254" t="s">
        <v>1068</v>
      </c>
      <c r="E300" s="254" t="str">
        <f>_xlfn.XLOOKUP(C300,Clientes!I:I,Clientes!F:F)</f>
        <v>TEPEYAC - MÉXICO</v>
      </c>
      <c r="F300" s="254">
        <v>8214</v>
      </c>
      <c r="G300" s="254" t="s">
        <v>832</v>
      </c>
      <c r="H300" s="254" t="s">
        <v>922</v>
      </c>
      <c r="I300" s="255">
        <v>11000</v>
      </c>
      <c r="J300" s="256">
        <v>11000</v>
      </c>
      <c r="K300" s="258">
        <v>525301.92937379237</v>
      </c>
      <c r="L300" s="258">
        <v>0</v>
      </c>
      <c r="M300" s="258">
        <f t="shared" si="16"/>
        <v>525301.92937379237</v>
      </c>
      <c r="N300" s="258">
        <v>-200674.57928571428</v>
      </c>
      <c r="O300" s="258">
        <v>-13252.310015999999</v>
      </c>
      <c r="P300" s="258">
        <v>-3894.1230531485553</v>
      </c>
      <c r="Q300" s="258">
        <f t="shared" si="17"/>
        <v>307480.9170189295</v>
      </c>
      <c r="R300" s="259">
        <f t="shared" si="18"/>
        <v>0.58534130530507411</v>
      </c>
      <c r="S300" s="255">
        <f t="shared" si="19"/>
        <v>47.75472085216294</v>
      </c>
      <c r="T300" s="255">
        <f t="shared" si="19"/>
        <v>47.75472085216294</v>
      </c>
      <c r="U300" s="254">
        <v>100300</v>
      </c>
      <c r="V300" s="254" t="s">
        <v>917</v>
      </c>
      <c r="W300" s="254" t="s">
        <v>1069</v>
      </c>
      <c r="X300" s="254" t="s">
        <v>446</v>
      </c>
      <c r="Y300" s="254" t="s">
        <v>836</v>
      </c>
      <c r="Z300" s="254" t="s">
        <v>1063</v>
      </c>
      <c r="AA300" s="254" t="s">
        <v>838</v>
      </c>
    </row>
    <row r="301" spans="1:27" ht="14.4" x14ac:dyDescent="0.3">
      <c r="A301" s="253">
        <v>13</v>
      </c>
      <c r="B301" s="254" t="s">
        <v>845</v>
      </c>
      <c r="C301" s="254">
        <v>1936</v>
      </c>
      <c r="D301" s="254" t="s">
        <v>889</v>
      </c>
      <c r="E301" s="254" t="str">
        <f>_xlfn.XLOOKUP(C301,Clientes!I:I,Clientes!F:F)</f>
        <v>GRUPO AGRO INDUSTRIAL SAO LUIZ LTDA</v>
      </c>
      <c r="F301" s="254">
        <v>8218</v>
      </c>
      <c r="G301" s="254" t="s">
        <v>862</v>
      </c>
      <c r="H301" s="254" t="s">
        <v>923</v>
      </c>
      <c r="I301" s="255">
        <v>12000</v>
      </c>
      <c r="J301" s="256">
        <v>12000</v>
      </c>
      <c r="K301" s="258">
        <v>360172.71223845158</v>
      </c>
      <c r="L301" s="258">
        <v>-43171.199999999997</v>
      </c>
      <c r="M301" s="258">
        <f t="shared" si="16"/>
        <v>317001.51223845157</v>
      </c>
      <c r="N301" s="258">
        <v>-150913.68</v>
      </c>
      <c r="O301" s="258">
        <v>0</v>
      </c>
      <c r="P301" s="258">
        <v>0</v>
      </c>
      <c r="Q301" s="258">
        <f t="shared" si="17"/>
        <v>166087.83223845158</v>
      </c>
      <c r="R301" s="259">
        <f t="shared" si="18"/>
        <v>0.52393387989114293</v>
      </c>
      <c r="S301" s="255">
        <f t="shared" si="19"/>
        <v>30.014392686537633</v>
      </c>
      <c r="T301" s="255">
        <f t="shared" si="19"/>
        <v>30.014392686537633</v>
      </c>
      <c r="U301" s="254">
        <v>100300</v>
      </c>
      <c r="V301" s="254" t="s">
        <v>917</v>
      </c>
      <c r="W301" s="254" t="s">
        <v>864</v>
      </c>
      <c r="X301" s="254" t="s">
        <v>446</v>
      </c>
      <c r="Y301" s="254" t="s">
        <v>843</v>
      </c>
      <c r="Z301" s="254" t="s">
        <v>1063</v>
      </c>
      <c r="AA301" s="254" t="s">
        <v>838</v>
      </c>
    </row>
    <row r="302" spans="1:27" ht="14.4" x14ac:dyDescent="0.3">
      <c r="A302" s="253">
        <v>13</v>
      </c>
      <c r="B302" s="254" t="s">
        <v>845</v>
      </c>
      <c r="C302" s="254">
        <v>215</v>
      </c>
      <c r="D302" s="254" t="s">
        <v>221</v>
      </c>
      <c r="E302" s="254" t="str">
        <f>_xlfn.XLOOKUP(C302,Clientes!I:I,Clientes!F:F)</f>
        <v>GRUPO UNIFERTIL</v>
      </c>
      <c r="F302" s="254">
        <v>8216</v>
      </c>
      <c r="G302" s="254" t="s">
        <v>877</v>
      </c>
      <c r="H302" s="254" t="s">
        <v>938</v>
      </c>
      <c r="I302" s="255">
        <v>12000</v>
      </c>
      <c r="J302" s="256">
        <v>12000</v>
      </c>
      <c r="K302" s="258">
        <v>373267.71745325852</v>
      </c>
      <c r="L302" s="258">
        <v>-44740.799999999996</v>
      </c>
      <c r="M302" s="258">
        <f t="shared" si="16"/>
        <v>328526.91745325853</v>
      </c>
      <c r="N302" s="258">
        <v>-127450.22500000001</v>
      </c>
      <c r="O302" s="258">
        <v>-14321.447999999978</v>
      </c>
      <c r="P302" s="258">
        <v>-7.5463678157473444</v>
      </c>
      <c r="Q302" s="258">
        <f t="shared" si="17"/>
        <v>186747.6980854428</v>
      </c>
      <c r="R302" s="259">
        <f t="shared" si="18"/>
        <v>0.56843956511421168</v>
      </c>
      <c r="S302" s="255">
        <f t="shared" si="19"/>
        <v>31.105643121104876</v>
      </c>
      <c r="T302" s="255">
        <f t="shared" si="19"/>
        <v>31.105643121104876</v>
      </c>
      <c r="U302" s="254">
        <v>100300</v>
      </c>
      <c r="V302" s="254" t="s">
        <v>917</v>
      </c>
      <c r="W302" s="254" t="s">
        <v>880</v>
      </c>
      <c r="X302" s="254" t="s">
        <v>446</v>
      </c>
      <c r="Y302" s="254" t="s">
        <v>843</v>
      </c>
      <c r="Z302" s="254" t="s">
        <v>1063</v>
      </c>
      <c r="AA302" s="254" t="s">
        <v>838</v>
      </c>
    </row>
    <row r="303" spans="1:27" ht="14.4" x14ac:dyDescent="0.3">
      <c r="A303" s="253">
        <v>13</v>
      </c>
      <c r="B303" s="254" t="s">
        <v>845</v>
      </c>
      <c r="C303" s="254">
        <v>11133</v>
      </c>
      <c r="D303" s="254" t="s">
        <v>895</v>
      </c>
      <c r="E303" s="254" t="str">
        <f>_xlfn.XLOOKUP(C303,Clientes!I:I,Clientes!F:F)</f>
        <v>GRUPO ADUBOS ARAGUAIA</v>
      </c>
      <c r="F303" s="254">
        <v>8214</v>
      </c>
      <c r="G303" s="254" t="s">
        <v>862</v>
      </c>
      <c r="H303" s="254" t="s">
        <v>922</v>
      </c>
      <c r="I303" s="255">
        <v>2000</v>
      </c>
      <c r="J303" s="256">
        <v>2000</v>
      </c>
      <c r="K303" s="258">
        <v>76087.186263404277</v>
      </c>
      <c r="L303" s="258">
        <v>-9120</v>
      </c>
      <c r="M303" s="258">
        <f t="shared" si="16"/>
        <v>66967.186263404277</v>
      </c>
      <c r="N303" s="258">
        <v>-36486.287142857145</v>
      </c>
      <c r="O303" s="258">
        <v>-9901.2479999999723</v>
      </c>
      <c r="P303" s="258">
        <v>-5.2172419466895148</v>
      </c>
      <c r="Q303" s="258">
        <f t="shared" si="17"/>
        <v>20574.433878600474</v>
      </c>
      <c r="R303" s="259">
        <f t="shared" si="18"/>
        <v>0.30723157155915681</v>
      </c>
      <c r="S303" s="255">
        <f t="shared" si="19"/>
        <v>38.043593131702139</v>
      </c>
      <c r="T303" s="255">
        <f t="shared" si="19"/>
        <v>38.043593131702139</v>
      </c>
      <c r="U303" s="254">
        <v>100300</v>
      </c>
      <c r="V303" s="254" t="s">
        <v>917</v>
      </c>
      <c r="W303" s="254" t="s">
        <v>864</v>
      </c>
      <c r="X303" s="254" t="s">
        <v>446</v>
      </c>
      <c r="Y303" s="254" t="s">
        <v>843</v>
      </c>
      <c r="Z303" s="254" t="s">
        <v>1063</v>
      </c>
      <c r="AA303" s="254" t="s">
        <v>838</v>
      </c>
    </row>
    <row r="304" spans="1:27" ht="14.4" x14ac:dyDescent="0.3">
      <c r="A304" s="253">
        <v>13</v>
      </c>
      <c r="B304" s="254" t="s">
        <v>845</v>
      </c>
      <c r="C304" s="254">
        <v>10492</v>
      </c>
      <c r="D304" s="254" t="s">
        <v>101</v>
      </c>
      <c r="E304" s="254" t="str">
        <f>_xlfn.XLOOKUP(C304,Clientes!I:I,Clientes!F:F)</f>
        <v>GRUPO UNIFERTIL</v>
      </c>
      <c r="F304" s="254">
        <v>8216</v>
      </c>
      <c r="G304" s="254" t="s">
        <v>877</v>
      </c>
      <c r="H304" s="254" t="s">
        <v>938</v>
      </c>
      <c r="I304" s="255">
        <v>12000</v>
      </c>
      <c r="J304" s="256">
        <v>12000</v>
      </c>
      <c r="K304" s="258">
        <v>373267.71745325852</v>
      </c>
      <c r="L304" s="258">
        <v>-44740.799999999996</v>
      </c>
      <c r="M304" s="258">
        <f t="shared" si="16"/>
        <v>328526.91745325853</v>
      </c>
      <c r="N304" s="258">
        <v>-127450.22500000001</v>
      </c>
      <c r="O304" s="258">
        <v>-14498.255999999972</v>
      </c>
      <c r="P304" s="258">
        <v>-7.6395328505096538</v>
      </c>
      <c r="Q304" s="258">
        <f t="shared" si="17"/>
        <v>186570.79692040806</v>
      </c>
      <c r="R304" s="259">
        <f t="shared" si="18"/>
        <v>0.56790109731861649</v>
      </c>
      <c r="S304" s="255">
        <f t="shared" si="19"/>
        <v>31.105643121104876</v>
      </c>
      <c r="T304" s="255">
        <f t="shared" si="19"/>
        <v>31.105643121104876</v>
      </c>
      <c r="U304" s="254">
        <v>100300</v>
      </c>
      <c r="V304" s="254" t="s">
        <v>917</v>
      </c>
      <c r="W304" s="254" t="s">
        <v>878</v>
      </c>
      <c r="X304" s="254" t="s">
        <v>446</v>
      </c>
      <c r="Y304" s="254" t="s">
        <v>843</v>
      </c>
      <c r="Z304" s="254" t="s">
        <v>1063</v>
      </c>
      <c r="AA304" s="254" t="s">
        <v>838</v>
      </c>
    </row>
    <row r="305" spans="1:27" ht="14.4" x14ac:dyDescent="0.3">
      <c r="A305" s="253">
        <v>13</v>
      </c>
      <c r="B305" s="254" t="s">
        <v>845</v>
      </c>
      <c r="C305" s="254">
        <v>13390</v>
      </c>
      <c r="D305" s="254" t="s">
        <v>110</v>
      </c>
      <c r="E305" s="254" t="str">
        <f>_xlfn.XLOOKUP(C305,Clientes!I:I,Clientes!F:F)</f>
        <v>GRUPO HERINGER</v>
      </c>
      <c r="F305" s="254">
        <v>8217</v>
      </c>
      <c r="G305" s="254" t="s">
        <v>956</v>
      </c>
      <c r="H305" s="254" t="s">
        <v>927</v>
      </c>
      <c r="I305" s="255">
        <v>12000</v>
      </c>
      <c r="J305" s="256">
        <v>12000</v>
      </c>
      <c r="K305" s="258">
        <v>409309.01620960794</v>
      </c>
      <c r="L305" s="258">
        <v>-28618.800000000003</v>
      </c>
      <c r="M305" s="258">
        <f t="shared" si="16"/>
        <v>380690.21620960796</v>
      </c>
      <c r="N305" s="258">
        <v>-191686.77999999997</v>
      </c>
      <c r="O305" s="258">
        <v>-10254.863999999958</v>
      </c>
      <c r="P305" s="258">
        <v>-5.4035720162141336</v>
      </c>
      <c r="Q305" s="258">
        <f t="shared" si="17"/>
        <v>178743.16863759182</v>
      </c>
      <c r="R305" s="259">
        <f t="shared" si="18"/>
        <v>0.46952393580605145</v>
      </c>
      <c r="S305" s="255">
        <f t="shared" si="19"/>
        <v>34.109084684133997</v>
      </c>
      <c r="T305" s="255">
        <f t="shared" si="19"/>
        <v>34.109084684133997</v>
      </c>
      <c r="U305" s="254">
        <v>100300</v>
      </c>
      <c r="V305" s="254" t="s">
        <v>917</v>
      </c>
      <c r="W305" s="254" t="s">
        <v>957</v>
      </c>
      <c r="X305" s="254" t="s">
        <v>446</v>
      </c>
      <c r="Y305" s="254" t="s">
        <v>843</v>
      </c>
      <c r="Z305" s="254" t="s">
        <v>1063</v>
      </c>
      <c r="AA305" s="254" t="s">
        <v>838</v>
      </c>
    </row>
    <row r="306" spans="1:27" ht="14.4" x14ac:dyDescent="0.3">
      <c r="A306" s="253">
        <v>13</v>
      </c>
      <c r="B306" s="254" t="s">
        <v>845</v>
      </c>
      <c r="C306" s="254">
        <v>6124</v>
      </c>
      <c r="D306" s="254" t="s">
        <v>891</v>
      </c>
      <c r="E306" s="254" t="str">
        <f>_xlfn.XLOOKUP(C306,Clientes!I:I,Clientes!F:F)</f>
        <v>GRUPO MOSAIC FERTILIZANTES DO BRASIL</v>
      </c>
      <c r="F306" s="254">
        <v>8215</v>
      </c>
      <c r="G306" s="254" t="s">
        <v>855</v>
      </c>
      <c r="H306" s="254" t="s">
        <v>947</v>
      </c>
      <c r="I306" s="255">
        <v>24000</v>
      </c>
      <c r="J306" s="256">
        <v>24000</v>
      </c>
      <c r="K306" s="258">
        <v>870517.50262835901</v>
      </c>
      <c r="L306" s="258">
        <v>0</v>
      </c>
      <c r="M306" s="258">
        <f t="shared" si="16"/>
        <v>870517.50262835901</v>
      </c>
      <c r="N306" s="258">
        <v>-399467.81999999989</v>
      </c>
      <c r="O306" s="258">
        <v>-4003.2278000000001</v>
      </c>
      <c r="P306" s="258">
        <v>-2.1094116620767043</v>
      </c>
      <c r="Q306" s="258">
        <f t="shared" si="17"/>
        <v>467044.34541669703</v>
      </c>
      <c r="R306" s="259">
        <f t="shared" si="18"/>
        <v>0.53651344631962838</v>
      </c>
      <c r="S306" s="255">
        <f t="shared" si="19"/>
        <v>36.271562609514959</v>
      </c>
      <c r="T306" s="255">
        <f t="shared" si="19"/>
        <v>36.271562609514959</v>
      </c>
      <c r="U306" s="254">
        <v>100300</v>
      </c>
      <c r="V306" s="254" t="s">
        <v>917</v>
      </c>
      <c r="W306" s="254" t="s">
        <v>892</v>
      </c>
      <c r="X306" s="254" t="s">
        <v>446</v>
      </c>
      <c r="Y306" s="254" t="s">
        <v>843</v>
      </c>
      <c r="Z306" s="254" t="s">
        <v>1063</v>
      </c>
      <c r="AA306" s="254" t="s">
        <v>838</v>
      </c>
    </row>
    <row r="307" spans="1:27" ht="14.4" x14ac:dyDescent="0.3">
      <c r="A307" s="253">
        <v>13</v>
      </c>
      <c r="B307" s="254" t="s">
        <v>845</v>
      </c>
      <c r="C307" s="254">
        <v>5657</v>
      </c>
      <c r="D307" s="254" t="s">
        <v>84</v>
      </c>
      <c r="E307" s="254" t="str">
        <f>_xlfn.XLOOKUP(C307,Clientes!I:I,Clientes!F:F)</f>
        <v>FERTIPLANTA - VARGEM GRANDE DO SUL</v>
      </c>
      <c r="F307" s="254">
        <v>8214</v>
      </c>
      <c r="G307" s="254" t="s">
        <v>908</v>
      </c>
      <c r="H307" s="254" t="s">
        <v>922</v>
      </c>
      <c r="I307" s="255">
        <v>1000</v>
      </c>
      <c r="J307" s="256">
        <v>1000</v>
      </c>
      <c r="K307" s="258">
        <v>36792.159147106671</v>
      </c>
      <c r="L307" s="258">
        <v>-4410</v>
      </c>
      <c r="M307" s="258">
        <f t="shared" si="16"/>
        <v>32382.159147106671</v>
      </c>
      <c r="N307" s="258">
        <v>-18243.143571428573</v>
      </c>
      <c r="O307" s="258">
        <v>-5039.0280000000012</v>
      </c>
      <c r="P307" s="258">
        <v>-2.6552034907259219</v>
      </c>
      <c r="Q307" s="258">
        <f t="shared" si="17"/>
        <v>9097.3323721873712</v>
      </c>
      <c r="R307" s="259">
        <f t="shared" si="18"/>
        <v>0.28093655925967537</v>
      </c>
      <c r="S307" s="255">
        <f t="shared" si="19"/>
        <v>36.792159147106673</v>
      </c>
      <c r="T307" s="255">
        <f t="shared" si="19"/>
        <v>36.792159147106673</v>
      </c>
      <c r="U307" s="254">
        <v>100300</v>
      </c>
      <c r="V307" s="254" t="s">
        <v>917</v>
      </c>
      <c r="W307" s="254" t="s">
        <v>1067</v>
      </c>
      <c r="X307" s="254" t="s">
        <v>446</v>
      </c>
      <c r="Y307" s="254" t="s">
        <v>843</v>
      </c>
      <c r="Z307" s="254" t="s">
        <v>1063</v>
      </c>
      <c r="AA307" s="254" t="s">
        <v>838</v>
      </c>
    </row>
    <row r="308" spans="1:27" ht="14.4" x14ac:dyDescent="0.3">
      <c r="A308" s="253">
        <v>13</v>
      </c>
      <c r="B308" s="254" t="s">
        <v>845</v>
      </c>
      <c r="C308" s="254">
        <v>97</v>
      </c>
      <c r="D308" s="254" t="s">
        <v>300</v>
      </c>
      <c r="E308" s="254" t="str">
        <f>_xlfn.XLOOKUP(C308,Clientes!I:I,Clientes!F:F)</f>
        <v>FECOAGRO FEDERACAO DAS COOPERATIVAS</v>
      </c>
      <c r="F308" s="254">
        <v>8223</v>
      </c>
      <c r="G308" s="254" t="s">
        <v>893</v>
      </c>
      <c r="H308" s="254" t="s">
        <v>920</v>
      </c>
      <c r="I308" s="255">
        <v>12000</v>
      </c>
      <c r="J308" s="256">
        <v>12000</v>
      </c>
      <c r="K308" s="258">
        <v>456523.11758042563</v>
      </c>
      <c r="L308" s="258">
        <v>-54720</v>
      </c>
      <c r="M308" s="258">
        <f t="shared" si="16"/>
        <v>401803.11758042563</v>
      </c>
      <c r="N308" s="258">
        <v>-145994.56</v>
      </c>
      <c r="O308" s="258">
        <v>-9901.2479999999723</v>
      </c>
      <c r="P308" s="258">
        <v>-5.2172419466895148</v>
      </c>
      <c r="Q308" s="258">
        <f t="shared" si="17"/>
        <v>245902.09233847898</v>
      </c>
      <c r="R308" s="259">
        <f t="shared" si="18"/>
        <v>0.61199647682987124</v>
      </c>
      <c r="S308" s="255">
        <f t="shared" si="19"/>
        <v>38.043593131702139</v>
      </c>
      <c r="T308" s="255">
        <f t="shared" si="19"/>
        <v>38.043593131702139</v>
      </c>
      <c r="U308" s="254">
        <v>100300</v>
      </c>
      <c r="V308" s="254" t="s">
        <v>917</v>
      </c>
      <c r="W308" s="254" t="s">
        <v>894</v>
      </c>
      <c r="X308" s="254" t="s">
        <v>446</v>
      </c>
      <c r="Y308" s="254" t="s">
        <v>843</v>
      </c>
      <c r="Z308" s="254" t="s">
        <v>1063</v>
      </c>
      <c r="AA308" s="254" t="s">
        <v>838</v>
      </c>
    </row>
    <row r="309" spans="1:27" ht="14.4" x14ac:dyDescent="0.3">
      <c r="A309" s="253">
        <v>13</v>
      </c>
      <c r="B309" s="254" t="s">
        <v>845</v>
      </c>
      <c r="C309" s="254">
        <v>2003</v>
      </c>
      <c r="D309" s="254" t="s">
        <v>316</v>
      </c>
      <c r="E309" s="254" t="str">
        <f>_xlfn.XLOOKUP(C309,Clientes!I:I,Clientes!F:F)</f>
        <v>GRUPO HERINGER</v>
      </c>
      <c r="F309" s="254">
        <v>8217</v>
      </c>
      <c r="G309" s="254" t="s">
        <v>877</v>
      </c>
      <c r="H309" s="254" t="s">
        <v>927</v>
      </c>
      <c r="I309" s="255">
        <v>6000</v>
      </c>
      <c r="J309" s="256">
        <v>6000</v>
      </c>
      <c r="K309" s="258">
        <v>221894.26267659108</v>
      </c>
      <c r="L309" s="258">
        <v>-26596.799999999999</v>
      </c>
      <c r="M309" s="258">
        <f t="shared" si="16"/>
        <v>195297.46267659109</v>
      </c>
      <c r="N309" s="258">
        <v>-95843.389999999985</v>
      </c>
      <c r="O309" s="258">
        <v>-14498.255999999972</v>
      </c>
      <c r="P309" s="258">
        <v>-7.6395328505096538</v>
      </c>
      <c r="Q309" s="258">
        <f t="shared" si="17"/>
        <v>84948.177143740628</v>
      </c>
      <c r="R309" s="259">
        <f t="shared" si="18"/>
        <v>0.43496815565091701</v>
      </c>
      <c r="S309" s="255">
        <f t="shared" si="19"/>
        <v>36.982377112765178</v>
      </c>
      <c r="T309" s="255">
        <f t="shared" si="19"/>
        <v>36.982377112765178</v>
      </c>
      <c r="U309" s="254">
        <v>100300</v>
      </c>
      <c r="V309" s="254" t="s">
        <v>917</v>
      </c>
      <c r="W309" s="254" t="s">
        <v>878</v>
      </c>
      <c r="X309" s="254" t="s">
        <v>446</v>
      </c>
      <c r="Y309" s="254" t="s">
        <v>843</v>
      </c>
      <c r="Z309" s="254" t="s">
        <v>1063</v>
      </c>
      <c r="AA309" s="254" t="s">
        <v>838</v>
      </c>
    </row>
    <row r="310" spans="1:27" ht="14.4" x14ac:dyDescent="0.3">
      <c r="A310" s="253">
        <v>11</v>
      </c>
      <c r="B310" s="254" t="s">
        <v>845</v>
      </c>
      <c r="C310" s="254">
        <v>1792</v>
      </c>
      <c r="D310" s="254" t="s">
        <v>970</v>
      </c>
      <c r="E310" s="254" t="str">
        <f>_xlfn.XLOOKUP(C310,Clientes!I:I,Clientes!F:F)</f>
        <v>GRUPO MOSAIC FERTILIZANTES P K LTDA</v>
      </c>
      <c r="F310" s="254">
        <v>3359</v>
      </c>
      <c r="G310" s="254" t="s">
        <v>867</v>
      </c>
      <c r="H310" s="254" t="s">
        <v>967</v>
      </c>
      <c r="I310" s="255">
        <v>120000</v>
      </c>
      <c r="J310" s="256">
        <v>120000</v>
      </c>
      <c r="K310" s="258">
        <v>468000</v>
      </c>
      <c r="L310" s="258">
        <v>-32760.000000000004</v>
      </c>
      <c r="M310" s="258">
        <f t="shared" si="16"/>
        <v>435240</v>
      </c>
      <c r="N310" s="258">
        <v>-294871.5</v>
      </c>
      <c r="O310" s="258">
        <v>-9768.6419999999998</v>
      </c>
      <c r="P310" s="258">
        <v>-5.1473681706177947</v>
      </c>
      <c r="Q310" s="258">
        <f t="shared" si="17"/>
        <v>130594.7106318294</v>
      </c>
      <c r="R310" s="259">
        <f t="shared" si="18"/>
        <v>0.30005217956031016</v>
      </c>
      <c r="S310" s="255">
        <f t="shared" si="19"/>
        <v>3.9</v>
      </c>
      <c r="T310" s="255">
        <f t="shared" si="19"/>
        <v>3.9</v>
      </c>
      <c r="U310" s="254">
        <v>100700</v>
      </c>
      <c r="V310" s="254" t="s">
        <v>960</v>
      </c>
      <c r="W310" s="254" t="s">
        <v>871</v>
      </c>
      <c r="X310" s="254" t="s">
        <v>446</v>
      </c>
      <c r="Y310" s="254" t="s">
        <v>843</v>
      </c>
      <c r="Z310" s="254" t="s">
        <v>1063</v>
      </c>
      <c r="AA310" s="254" t="s">
        <v>838</v>
      </c>
    </row>
    <row r="311" spans="1:27" ht="14.4" x14ac:dyDescent="0.3">
      <c r="A311" s="253">
        <v>11</v>
      </c>
      <c r="B311" s="254" t="s">
        <v>845</v>
      </c>
      <c r="C311" s="254">
        <v>1789</v>
      </c>
      <c r="D311" s="254" t="s">
        <v>61</v>
      </c>
      <c r="E311" s="254" t="str">
        <f>_xlfn.XLOOKUP(C311,Clientes!I:I,Clientes!F:F)</f>
        <v>GRUPO MOSAIC FERTILIZANTES P K LTDA</v>
      </c>
      <c r="F311" s="254">
        <v>3359</v>
      </c>
      <c r="G311" s="254" t="s">
        <v>855</v>
      </c>
      <c r="H311" s="254" t="s">
        <v>967</v>
      </c>
      <c r="I311" s="255">
        <v>150000</v>
      </c>
      <c r="J311" s="256">
        <v>150000</v>
      </c>
      <c r="K311" s="258">
        <v>582000</v>
      </c>
      <c r="L311" s="258">
        <v>0</v>
      </c>
      <c r="M311" s="258">
        <f t="shared" si="16"/>
        <v>582000</v>
      </c>
      <c r="N311" s="258">
        <v>-368589.375</v>
      </c>
      <c r="O311" s="258">
        <v>-15835.738463999998</v>
      </c>
      <c r="P311" s="258">
        <v>-8.3442894240388306</v>
      </c>
      <c r="Q311" s="258">
        <f t="shared" si="17"/>
        <v>197566.54224657596</v>
      </c>
      <c r="R311" s="259">
        <f t="shared" si="18"/>
        <v>0.33946141279480407</v>
      </c>
      <c r="S311" s="255">
        <f t="shared" si="19"/>
        <v>3.88</v>
      </c>
      <c r="T311" s="255">
        <f t="shared" si="19"/>
        <v>3.88</v>
      </c>
      <c r="U311" s="254">
        <v>100700</v>
      </c>
      <c r="V311" s="254" t="s">
        <v>960</v>
      </c>
      <c r="W311" s="254" t="s">
        <v>969</v>
      </c>
      <c r="X311" s="254" t="s">
        <v>446</v>
      </c>
      <c r="Y311" s="254" t="s">
        <v>843</v>
      </c>
      <c r="Z311" s="254" t="s">
        <v>1063</v>
      </c>
      <c r="AA311" s="254" t="s">
        <v>838</v>
      </c>
    </row>
    <row r="312" spans="1:27" ht="14.4" x14ac:dyDescent="0.3">
      <c r="A312" s="253">
        <v>11</v>
      </c>
      <c r="B312" s="254" t="s">
        <v>845</v>
      </c>
      <c r="C312" s="254">
        <v>1788</v>
      </c>
      <c r="D312" s="254" t="s">
        <v>59</v>
      </c>
      <c r="E312" s="254" t="str">
        <f>_xlfn.XLOOKUP(C312,Clientes!I:I,Clientes!F:F)</f>
        <v>GRUPO MOSAIC FERTILIZANTES P K LTDA</v>
      </c>
      <c r="F312" s="254">
        <v>3359</v>
      </c>
      <c r="G312" s="254" t="s">
        <v>855</v>
      </c>
      <c r="H312" s="254" t="s">
        <v>967</v>
      </c>
      <c r="I312" s="255">
        <v>60000</v>
      </c>
      <c r="J312" s="256">
        <v>60000</v>
      </c>
      <c r="K312" s="258">
        <v>232800</v>
      </c>
      <c r="L312" s="258">
        <v>0</v>
      </c>
      <c r="M312" s="258">
        <f t="shared" si="16"/>
        <v>232800</v>
      </c>
      <c r="N312" s="258">
        <v>-147435.75</v>
      </c>
      <c r="O312" s="258">
        <v>-4884.3209999999999</v>
      </c>
      <c r="P312" s="258">
        <v>-2.5736840853088974</v>
      </c>
      <c r="Q312" s="258">
        <f t="shared" si="17"/>
        <v>80477.355315914698</v>
      </c>
      <c r="R312" s="259">
        <f t="shared" si="18"/>
        <v>0.34569310702712497</v>
      </c>
      <c r="S312" s="255">
        <f t="shared" si="19"/>
        <v>3.88</v>
      </c>
      <c r="T312" s="255">
        <f t="shared" si="19"/>
        <v>3.88</v>
      </c>
      <c r="U312" s="254">
        <v>100700</v>
      </c>
      <c r="V312" s="254" t="s">
        <v>960</v>
      </c>
      <c r="W312" s="254" t="s">
        <v>892</v>
      </c>
      <c r="X312" s="254" t="s">
        <v>446</v>
      </c>
      <c r="Y312" s="254" t="s">
        <v>843</v>
      </c>
      <c r="Z312" s="254" t="s">
        <v>1063</v>
      </c>
      <c r="AA312" s="254" t="s">
        <v>838</v>
      </c>
    </row>
    <row r="313" spans="1:27" ht="14.4" x14ac:dyDescent="0.3">
      <c r="A313" s="253">
        <v>11</v>
      </c>
      <c r="B313" s="254" t="s">
        <v>845</v>
      </c>
      <c r="C313" s="254">
        <v>13330</v>
      </c>
      <c r="D313" s="254" t="s">
        <v>579</v>
      </c>
      <c r="E313" s="254" t="str">
        <f>_xlfn.XLOOKUP(C313,Clientes!I:I,Clientes!F:F)</f>
        <v>ORGANITEC - PARAGUAY</v>
      </c>
      <c r="F313" s="254">
        <v>14142</v>
      </c>
      <c r="G313" s="254" t="s">
        <v>832</v>
      </c>
      <c r="H313" s="254" t="s">
        <v>962</v>
      </c>
      <c r="I313" s="255">
        <v>28000</v>
      </c>
      <c r="J313" s="256">
        <v>28000</v>
      </c>
      <c r="K313" s="258">
        <v>178080</v>
      </c>
      <c r="L313" s="258">
        <v>0</v>
      </c>
      <c r="M313" s="258">
        <f t="shared" si="16"/>
        <v>178080</v>
      </c>
      <c r="N313" s="258">
        <v>-86986.22</v>
      </c>
      <c r="O313" s="258">
        <v>-25247.786666666678</v>
      </c>
      <c r="P313" s="258">
        <v>-9907.8420516578299</v>
      </c>
      <c r="Q313" s="258">
        <f t="shared" si="17"/>
        <v>55938.151281675484</v>
      </c>
      <c r="R313" s="259">
        <f t="shared" si="18"/>
        <v>0.31411810018910313</v>
      </c>
      <c r="S313" s="255">
        <f t="shared" si="19"/>
        <v>6.36</v>
      </c>
      <c r="T313" s="255">
        <f t="shared" si="19"/>
        <v>6.36</v>
      </c>
      <c r="U313" s="254">
        <v>100700</v>
      </c>
      <c r="V313" s="254" t="s">
        <v>960</v>
      </c>
      <c r="W313" s="254" t="s">
        <v>1070</v>
      </c>
      <c r="X313" s="254" t="s">
        <v>446</v>
      </c>
      <c r="Y313" s="254" t="s">
        <v>836</v>
      </c>
      <c r="Z313" s="254" t="s">
        <v>1063</v>
      </c>
      <c r="AA313" s="254" t="s">
        <v>838</v>
      </c>
    </row>
    <row r="314" spans="1:27" ht="14.4" x14ac:dyDescent="0.3">
      <c r="A314" s="253">
        <v>11</v>
      </c>
      <c r="B314" s="254" t="s">
        <v>845</v>
      </c>
      <c r="C314" s="254">
        <v>5519</v>
      </c>
      <c r="D314" s="254" t="s">
        <v>272</v>
      </c>
      <c r="E314" s="254" t="str">
        <f>_xlfn.XLOOKUP(C314,Clientes!I:I,Clientes!F:F)</f>
        <v>GRANUPAR - RIO BRANCO DO SUL</v>
      </c>
      <c r="F314" s="254">
        <v>3351</v>
      </c>
      <c r="G314" s="254" t="s">
        <v>862</v>
      </c>
      <c r="H314" s="254" t="s">
        <v>965</v>
      </c>
      <c r="I314" s="255">
        <v>15000</v>
      </c>
      <c r="J314" s="256">
        <v>15000</v>
      </c>
      <c r="K314" s="258">
        <v>92250</v>
      </c>
      <c r="L314" s="258">
        <v>-11070</v>
      </c>
      <c r="M314" s="258">
        <f t="shared" si="16"/>
        <v>81180</v>
      </c>
      <c r="N314" s="258">
        <v>-47367.569999999992</v>
      </c>
      <c r="O314" s="258">
        <v>-12630.886632</v>
      </c>
      <c r="P314" s="258">
        <v>-6.6555641834595436</v>
      </c>
      <c r="Q314" s="258">
        <f t="shared" si="17"/>
        <v>21174.887803816546</v>
      </c>
      <c r="R314" s="259">
        <f t="shared" si="18"/>
        <v>0.26083872633427624</v>
      </c>
      <c r="S314" s="255">
        <f t="shared" si="19"/>
        <v>6.15</v>
      </c>
      <c r="T314" s="255">
        <f t="shared" si="19"/>
        <v>6.15</v>
      </c>
      <c r="U314" s="254">
        <v>100700</v>
      </c>
      <c r="V314" s="254" t="s">
        <v>960</v>
      </c>
      <c r="W314" s="254" t="s">
        <v>1071</v>
      </c>
      <c r="X314" s="254" t="s">
        <v>446</v>
      </c>
      <c r="Y314" s="254" t="s">
        <v>843</v>
      </c>
      <c r="Z314" s="254" t="s">
        <v>1063</v>
      </c>
      <c r="AA314" s="254" t="s">
        <v>838</v>
      </c>
    </row>
    <row r="315" spans="1:27" ht="14.4" x14ac:dyDescent="0.3">
      <c r="A315" s="253">
        <v>11</v>
      </c>
      <c r="B315" s="254" t="s">
        <v>845</v>
      </c>
      <c r="C315" s="254">
        <v>12629</v>
      </c>
      <c r="D315" s="254" t="s">
        <v>109</v>
      </c>
      <c r="E315" s="254" t="str">
        <f>_xlfn.XLOOKUP(C315,Clientes!I:I,Clientes!F:F)</f>
        <v>EUROCHEM SERRA DO SALITRE</v>
      </c>
      <c r="F315" s="254">
        <v>3359</v>
      </c>
      <c r="G315" s="254" t="s">
        <v>855</v>
      </c>
      <c r="H315" s="254" t="s">
        <v>967</v>
      </c>
      <c r="I315" s="255">
        <v>30000</v>
      </c>
      <c r="J315" s="256">
        <v>30000</v>
      </c>
      <c r="K315" s="258">
        <v>163500</v>
      </c>
      <c r="L315" s="258">
        <v>-29430</v>
      </c>
      <c r="M315" s="258">
        <f t="shared" si="16"/>
        <v>134070</v>
      </c>
      <c r="N315" s="258">
        <v>-73717.875</v>
      </c>
      <c r="O315" s="258">
        <v>-4222.8635904000002</v>
      </c>
      <c r="P315" s="258">
        <v>-2.2251438464103548</v>
      </c>
      <c r="Q315" s="258">
        <f t="shared" si="17"/>
        <v>56127.036265753595</v>
      </c>
      <c r="R315" s="259">
        <f t="shared" si="18"/>
        <v>0.41863978716904299</v>
      </c>
      <c r="S315" s="255">
        <f t="shared" si="19"/>
        <v>5.45</v>
      </c>
      <c r="T315" s="255">
        <f t="shared" si="19"/>
        <v>5.45</v>
      </c>
      <c r="U315" s="254">
        <v>100700</v>
      </c>
      <c r="V315" s="254" t="s">
        <v>960</v>
      </c>
      <c r="W315" s="254" t="s">
        <v>968</v>
      </c>
      <c r="X315" s="254" t="s">
        <v>446</v>
      </c>
      <c r="Y315" s="254" t="s">
        <v>843</v>
      </c>
      <c r="Z315" s="254" t="s">
        <v>1063</v>
      </c>
      <c r="AA315" s="254" t="s">
        <v>838</v>
      </c>
    </row>
    <row r="316" spans="1:27" ht="14.4" x14ac:dyDescent="0.3">
      <c r="A316" s="253">
        <v>11</v>
      </c>
      <c r="B316" s="254" t="s">
        <v>845</v>
      </c>
      <c r="C316" s="254">
        <v>1787</v>
      </c>
      <c r="D316" s="254" t="s">
        <v>57</v>
      </c>
      <c r="E316" s="254" t="str">
        <f>_xlfn.XLOOKUP(C316,Clientes!I:I,Clientes!F:F)</f>
        <v>GRUPO MOSAIC FERTILIZANTES P K LTDA</v>
      </c>
      <c r="F316" s="254">
        <v>3359</v>
      </c>
      <c r="G316" s="254" t="s">
        <v>855</v>
      </c>
      <c r="H316" s="254" t="s">
        <v>967</v>
      </c>
      <c r="I316" s="255">
        <v>300000</v>
      </c>
      <c r="J316" s="256">
        <v>300000</v>
      </c>
      <c r="K316" s="258">
        <v>1164000</v>
      </c>
      <c r="L316" s="258">
        <v>0</v>
      </c>
      <c r="M316" s="258">
        <f t="shared" si="16"/>
        <v>1164000</v>
      </c>
      <c r="N316" s="258">
        <v>-737178.75</v>
      </c>
      <c r="O316" s="258">
        <v>-24421.605</v>
      </c>
      <c r="P316" s="258">
        <v>-12.868420426544487</v>
      </c>
      <c r="Q316" s="258">
        <f t="shared" si="17"/>
        <v>402386.77657957346</v>
      </c>
      <c r="R316" s="259">
        <f t="shared" si="18"/>
        <v>0.34569310702712497</v>
      </c>
      <c r="S316" s="255">
        <f t="shared" si="19"/>
        <v>3.88</v>
      </c>
      <c r="T316" s="255">
        <f t="shared" si="19"/>
        <v>3.88</v>
      </c>
      <c r="U316" s="254">
        <v>100700</v>
      </c>
      <c r="V316" s="254" t="s">
        <v>960</v>
      </c>
      <c r="W316" s="254" t="s">
        <v>892</v>
      </c>
      <c r="X316" s="254" t="s">
        <v>446</v>
      </c>
      <c r="Y316" s="254" t="s">
        <v>843</v>
      </c>
      <c r="Z316" s="254" t="s">
        <v>1063</v>
      </c>
      <c r="AA316" s="254" t="s">
        <v>838</v>
      </c>
    </row>
    <row r="317" spans="1:27" ht="14.4" x14ac:dyDescent="0.3">
      <c r="A317" s="253">
        <v>11</v>
      </c>
      <c r="B317" s="254" t="s">
        <v>845</v>
      </c>
      <c r="C317" s="254">
        <v>5300</v>
      </c>
      <c r="D317" s="254" t="s">
        <v>25</v>
      </c>
      <c r="E317" s="254" t="str">
        <f>_xlfn.XLOOKUP(C317,Clientes!I:I,Clientes!F:F)</f>
        <v>FOSNOR - LUIS EDUARDO MAGALHAES</v>
      </c>
      <c r="F317" s="254">
        <v>4246</v>
      </c>
      <c r="G317" s="254" t="s">
        <v>875</v>
      </c>
      <c r="H317" s="254" t="s">
        <v>959</v>
      </c>
      <c r="I317" s="255">
        <v>90000</v>
      </c>
      <c r="J317" s="256">
        <v>90000</v>
      </c>
      <c r="K317" s="258">
        <v>526500</v>
      </c>
      <c r="L317" s="258">
        <v>-36855</v>
      </c>
      <c r="M317" s="258">
        <f t="shared" si="16"/>
        <v>489645</v>
      </c>
      <c r="N317" s="258">
        <v>-237180.83000000002</v>
      </c>
      <c r="O317" s="258">
        <v>-46451.499494399999</v>
      </c>
      <c r="P317" s="258">
        <v>-24.476582310513901</v>
      </c>
      <c r="Q317" s="258">
        <f t="shared" si="17"/>
        <v>205988.19392328948</v>
      </c>
      <c r="R317" s="259">
        <f t="shared" si="18"/>
        <v>0.42068885401319217</v>
      </c>
      <c r="S317" s="255">
        <f t="shared" si="19"/>
        <v>5.85</v>
      </c>
      <c r="T317" s="255">
        <f t="shared" si="19"/>
        <v>5.85</v>
      </c>
      <c r="U317" s="254">
        <v>100700</v>
      </c>
      <c r="V317" s="254" t="s">
        <v>960</v>
      </c>
      <c r="W317" s="254" t="s">
        <v>961</v>
      </c>
      <c r="X317" s="254" t="s">
        <v>446</v>
      </c>
      <c r="Y317" s="254" t="s">
        <v>843</v>
      </c>
      <c r="Z317" s="254" t="s">
        <v>1063</v>
      </c>
      <c r="AA317" s="254" t="s">
        <v>838</v>
      </c>
    </row>
    <row r="318" spans="1:27" ht="14.4" x14ac:dyDescent="0.3">
      <c r="A318" s="253">
        <v>11</v>
      </c>
      <c r="B318" s="254" t="s">
        <v>845</v>
      </c>
      <c r="C318" s="254">
        <v>12741</v>
      </c>
      <c r="D318" s="254" t="s">
        <v>964</v>
      </c>
      <c r="E318" s="254" t="str">
        <f>_xlfn.XLOOKUP(C318,Clientes!I:I,Clientes!F:F)</f>
        <v>GRUPO HINOVE</v>
      </c>
      <c r="F318" s="254">
        <v>3351</v>
      </c>
      <c r="G318" s="254" t="s">
        <v>908</v>
      </c>
      <c r="H318" s="254" t="s">
        <v>965</v>
      </c>
      <c r="I318" s="255">
        <v>30000</v>
      </c>
      <c r="J318" s="256">
        <v>30000</v>
      </c>
      <c r="K318" s="258">
        <v>175500</v>
      </c>
      <c r="L318" s="258">
        <v>-21060</v>
      </c>
      <c r="M318" s="258">
        <f t="shared" si="16"/>
        <v>154440</v>
      </c>
      <c r="N318" s="258">
        <v>-94735.139999999985</v>
      </c>
      <c r="O318" s="258">
        <v>0</v>
      </c>
      <c r="P318" s="258">
        <v>0</v>
      </c>
      <c r="Q318" s="258">
        <f t="shared" si="17"/>
        <v>59704.860000000015</v>
      </c>
      <c r="R318" s="259">
        <f t="shared" si="18"/>
        <v>0.38658935508935521</v>
      </c>
      <c r="S318" s="255">
        <f t="shared" si="19"/>
        <v>5.85</v>
      </c>
      <c r="T318" s="255">
        <f t="shared" si="19"/>
        <v>5.85</v>
      </c>
      <c r="U318" s="254">
        <v>100700</v>
      </c>
      <c r="V318" s="254" t="s">
        <v>960</v>
      </c>
      <c r="W318" s="254" t="s">
        <v>966</v>
      </c>
      <c r="X318" s="254" t="s">
        <v>446</v>
      </c>
      <c r="Y318" s="254" t="s">
        <v>843</v>
      </c>
      <c r="Z318" s="254" t="s">
        <v>1063</v>
      </c>
      <c r="AA318" s="254" t="s">
        <v>838</v>
      </c>
    </row>
    <row r="319" spans="1:27" ht="14.4" x14ac:dyDescent="0.3">
      <c r="A319" s="253">
        <v>11</v>
      </c>
      <c r="B319" s="254" t="s">
        <v>845</v>
      </c>
      <c r="C319" s="254">
        <v>6370</v>
      </c>
      <c r="D319" s="254" t="s">
        <v>264</v>
      </c>
      <c r="E319" s="254" t="str">
        <f>_xlfn.XLOOKUP(C319,Clientes!I:I,Clientes!F:F)</f>
        <v>YTL S.A. - PARAGUAI</v>
      </c>
      <c r="F319" s="254">
        <v>7010</v>
      </c>
      <c r="G319" s="254" t="s">
        <v>832</v>
      </c>
      <c r="H319" s="254" t="s">
        <v>971</v>
      </c>
      <c r="I319" s="255">
        <v>28000</v>
      </c>
      <c r="J319" s="256">
        <v>28000</v>
      </c>
      <c r="K319" s="258">
        <v>189840</v>
      </c>
      <c r="L319" s="258">
        <v>0</v>
      </c>
      <c r="M319" s="258">
        <f t="shared" si="16"/>
        <v>189840</v>
      </c>
      <c r="N319" s="258">
        <v>-75466.13</v>
      </c>
      <c r="O319" s="258">
        <v>-28440.27648</v>
      </c>
      <c r="P319" s="258">
        <v>-9909.5242630082066</v>
      </c>
      <c r="Q319" s="258">
        <f t="shared" si="17"/>
        <v>76024.069256991788</v>
      </c>
      <c r="R319" s="259">
        <f t="shared" si="18"/>
        <v>0.40046391306885687</v>
      </c>
      <c r="S319" s="255">
        <f t="shared" si="19"/>
        <v>6.78</v>
      </c>
      <c r="T319" s="255">
        <f t="shared" si="19"/>
        <v>6.78</v>
      </c>
      <c r="U319" s="254">
        <v>100700</v>
      </c>
      <c r="V319" s="254" t="s">
        <v>960</v>
      </c>
      <c r="W319" s="254" t="s">
        <v>896</v>
      </c>
      <c r="X319" s="254" t="s">
        <v>446</v>
      </c>
      <c r="Y319" s="254" t="s">
        <v>836</v>
      </c>
      <c r="Z319" s="254" t="s">
        <v>1063</v>
      </c>
      <c r="AA319" s="254" t="s">
        <v>838</v>
      </c>
    </row>
    <row r="320" spans="1:27" ht="14.4" x14ac:dyDescent="0.3">
      <c r="A320" s="253">
        <v>13</v>
      </c>
      <c r="B320" s="254" t="s">
        <v>845</v>
      </c>
      <c r="C320" s="254">
        <v>2</v>
      </c>
      <c r="D320" s="254" t="s">
        <v>976</v>
      </c>
      <c r="E320" s="254" t="str">
        <f>_xlfn.XLOOKUP(C320,Clientes!I:I,Clientes!F:F)</f>
        <v>GRUPO CARGILL</v>
      </c>
      <c r="F320" s="254">
        <v>3700</v>
      </c>
      <c r="G320" s="254" t="s">
        <v>855</v>
      </c>
      <c r="H320" s="254" t="s">
        <v>977</v>
      </c>
      <c r="I320" s="254">
        <v>84000</v>
      </c>
      <c r="J320" s="256">
        <v>84000</v>
      </c>
      <c r="K320" s="258">
        <v>92400</v>
      </c>
      <c r="L320" s="258">
        <v>-23640.539999999997</v>
      </c>
      <c r="M320" s="258">
        <f t="shared" si="16"/>
        <v>68759.460000000006</v>
      </c>
      <c r="N320" s="258">
        <v>-15087.710000000001</v>
      </c>
      <c r="O320" s="258">
        <v>0</v>
      </c>
      <c r="P320" s="258">
        <v>0</v>
      </c>
      <c r="Q320" s="258">
        <f t="shared" si="17"/>
        <v>53671.750000000007</v>
      </c>
      <c r="R320" s="259">
        <f t="shared" si="18"/>
        <v>0.78057259321117423</v>
      </c>
      <c r="S320" s="255">
        <f t="shared" si="19"/>
        <v>1.1000000000000001</v>
      </c>
      <c r="T320" s="255">
        <f t="shared" si="19"/>
        <v>1.1000000000000001</v>
      </c>
      <c r="U320" s="254">
        <v>100900</v>
      </c>
      <c r="V320" s="254" t="s">
        <v>978</v>
      </c>
      <c r="W320" s="254" t="s">
        <v>865</v>
      </c>
      <c r="X320" s="254" t="s">
        <v>157</v>
      </c>
      <c r="Y320" s="254" t="s">
        <v>843</v>
      </c>
      <c r="Z320" s="254" t="s">
        <v>1063</v>
      </c>
      <c r="AA320" s="254" t="s">
        <v>838</v>
      </c>
    </row>
    <row r="321" spans="1:27" ht="14.4" x14ac:dyDescent="0.3">
      <c r="A321" s="253">
        <v>11</v>
      </c>
      <c r="B321" s="254" t="s">
        <v>845</v>
      </c>
      <c r="C321" s="254">
        <v>2900</v>
      </c>
      <c r="D321" s="254" t="s">
        <v>463</v>
      </c>
      <c r="E321" s="254" t="str">
        <f>_xlfn.XLOOKUP(C321,Clientes!I:I,Clientes!F:F)</f>
        <v>BIOSAFRA - MARUIM</v>
      </c>
      <c r="F321" s="254">
        <v>7305</v>
      </c>
      <c r="G321" s="254" t="s">
        <v>887</v>
      </c>
      <c r="H321" s="254" t="s">
        <v>1072</v>
      </c>
      <c r="I321" s="255">
        <v>2000</v>
      </c>
      <c r="J321" s="256">
        <v>2000</v>
      </c>
      <c r="K321" s="258">
        <v>46879.735996617703</v>
      </c>
      <c r="L321" s="258">
        <v>-1747.2</v>
      </c>
      <c r="M321" s="258">
        <f t="shared" si="16"/>
        <v>45132.535996617706</v>
      </c>
      <c r="N321" s="258">
        <v>-13026.939999999999</v>
      </c>
      <c r="O321" s="258">
        <v>-14851.871999999958</v>
      </c>
      <c r="P321" s="258">
        <v>-7.8258629200342718</v>
      </c>
      <c r="Q321" s="258">
        <f t="shared" si="17"/>
        <v>17245.898133697716</v>
      </c>
      <c r="R321" s="259">
        <f t="shared" si="18"/>
        <v>0.38211675353208929</v>
      </c>
      <c r="S321" s="255">
        <f t="shared" si="19"/>
        <v>23.439867998308852</v>
      </c>
      <c r="T321" s="255">
        <f t="shared" si="19"/>
        <v>23.439867998308852</v>
      </c>
      <c r="U321" s="254">
        <v>101000</v>
      </c>
      <c r="V321" s="254" t="s">
        <v>1046</v>
      </c>
      <c r="W321" s="254" t="s">
        <v>1009</v>
      </c>
      <c r="X321" s="254" t="s">
        <v>446</v>
      </c>
      <c r="Y321" s="254" t="s">
        <v>843</v>
      </c>
      <c r="Z321" s="254" t="s">
        <v>1063</v>
      </c>
      <c r="AA321" s="254" t="s">
        <v>838</v>
      </c>
    </row>
    <row r="322" spans="1:27" ht="14.4" x14ac:dyDescent="0.3">
      <c r="A322" s="253">
        <v>11</v>
      </c>
      <c r="B322" s="254" t="s">
        <v>845</v>
      </c>
      <c r="C322" s="254">
        <v>3273</v>
      </c>
      <c r="D322" s="254" t="s">
        <v>79</v>
      </c>
      <c r="E322" s="254" t="str">
        <f>_xlfn.XLOOKUP(C322,Clientes!I:I,Clientes!F:F)</f>
        <v>FERTIMAXI - CONCEICAO DO JACUIPE</v>
      </c>
      <c r="F322" s="254">
        <v>7305</v>
      </c>
      <c r="G322" s="254" t="s">
        <v>875</v>
      </c>
      <c r="H322" s="254" t="s">
        <v>1072</v>
      </c>
      <c r="I322" s="255">
        <v>4000</v>
      </c>
      <c r="J322" s="256">
        <v>4000</v>
      </c>
      <c r="K322" s="258">
        <v>100628.29778028562</v>
      </c>
      <c r="L322" s="258">
        <v>-3750.4</v>
      </c>
      <c r="M322" s="258">
        <f t="shared" si="16"/>
        <v>96877.897780285624</v>
      </c>
      <c r="N322" s="258">
        <v>-26053.879999999997</v>
      </c>
      <c r="O322" s="258">
        <v>-12906.984000000033</v>
      </c>
      <c r="P322" s="258">
        <v>-6.801047537648869</v>
      </c>
      <c r="Q322" s="258">
        <f t="shared" si="17"/>
        <v>57910.232732747936</v>
      </c>
      <c r="R322" s="259">
        <f t="shared" si="18"/>
        <v>0.59776516687103942</v>
      </c>
      <c r="S322" s="255">
        <f t="shared" si="19"/>
        <v>25.157074445071405</v>
      </c>
      <c r="T322" s="255">
        <f t="shared" si="19"/>
        <v>25.157074445071405</v>
      </c>
      <c r="U322" s="254">
        <v>101000</v>
      </c>
      <c r="V322" s="254" t="s">
        <v>1046</v>
      </c>
      <c r="W322" s="254" t="s">
        <v>884</v>
      </c>
      <c r="X322" s="254" t="s">
        <v>446</v>
      </c>
      <c r="Y322" s="254" t="s">
        <v>843</v>
      </c>
      <c r="Z322" s="254" t="s">
        <v>1063</v>
      </c>
      <c r="AA322" s="254" t="s">
        <v>838</v>
      </c>
    </row>
    <row r="323" spans="1:27" ht="14.4" x14ac:dyDescent="0.3">
      <c r="A323" s="253">
        <v>11</v>
      </c>
      <c r="B323" s="254" t="s">
        <v>845</v>
      </c>
      <c r="C323" s="254">
        <v>3297</v>
      </c>
      <c r="D323" s="254" t="s">
        <v>550</v>
      </c>
      <c r="E323" s="254" t="str">
        <f>_xlfn.XLOOKUP(C323,Clientes!I:I,Clientes!F:F)</f>
        <v>MACROSOURCE PERU S.R.L.</v>
      </c>
      <c r="F323" s="254">
        <v>14144</v>
      </c>
      <c r="G323" s="254" t="s">
        <v>832</v>
      </c>
      <c r="H323" s="254" t="s">
        <v>979</v>
      </c>
      <c r="I323" s="255">
        <v>2000</v>
      </c>
      <c r="J323" s="256">
        <v>2000</v>
      </c>
      <c r="K323" s="258">
        <v>12402</v>
      </c>
      <c r="L323" s="258">
        <v>0</v>
      </c>
      <c r="M323" s="258">
        <f t="shared" si="16"/>
        <v>12402</v>
      </c>
      <c r="N323" s="258">
        <v>-3005.1</v>
      </c>
      <c r="O323" s="258">
        <v>-9057.2866560000002</v>
      </c>
      <c r="P323" s="258">
        <v>-711.52527055711141</v>
      </c>
      <c r="Q323" s="258">
        <f t="shared" si="17"/>
        <v>-371.911926557112</v>
      </c>
      <c r="R323" s="259">
        <f t="shared" si="18"/>
        <v>-2.9988060519038219E-2</v>
      </c>
      <c r="S323" s="255">
        <f t="shared" si="19"/>
        <v>6.2009999999999996</v>
      </c>
      <c r="T323" s="255">
        <f t="shared" si="19"/>
        <v>6.2009999999999996</v>
      </c>
      <c r="U323" s="254">
        <v>101300</v>
      </c>
      <c r="V323" s="254" t="s">
        <v>980</v>
      </c>
      <c r="W323" s="254" t="s">
        <v>872</v>
      </c>
      <c r="X323" s="254" t="s">
        <v>446</v>
      </c>
      <c r="Y323" s="254" t="s">
        <v>836</v>
      </c>
      <c r="Z323" s="254" t="s">
        <v>1063</v>
      </c>
      <c r="AA323" s="254" t="s">
        <v>838</v>
      </c>
    </row>
    <row r="324" spans="1:27" ht="14.4" x14ac:dyDescent="0.3">
      <c r="A324" s="253">
        <v>11</v>
      </c>
      <c r="B324" s="254" t="s">
        <v>845</v>
      </c>
      <c r="C324" s="254">
        <v>16645</v>
      </c>
      <c r="D324" s="254" t="s">
        <v>573</v>
      </c>
      <c r="E324" s="254" t="str">
        <f>_xlfn.XLOOKUP(C324,Clientes!I:I,Clientes!F:F)</f>
        <v>OPCAO AGRONEGOCIOS</v>
      </c>
      <c r="F324" s="254">
        <v>8301</v>
      </c>
      <c r="G324" s="254" t="s">
        <v>855</v>
      </c>
      <c r="H324" s="254" t="s">
        <v>986</v>
      </c>
      <c r="I324" s="255">
        <v>3</v>
      </c>
      <c r="J324" s="256">
        <v>68.996899198925291</v>
      </c>
      <c r="K324" s="258">
        <v>1824.967983811574</v>
      </c>
      <c r="L324" s="258">
        <v>-180.012228859076</v>
      </c>
      <c r="M324" s="258">
        <f t="shared" ref="M324:M387" si="20">SUM(K324:L324)</f>
        <v>1644.955754952498</v>
      </c>
      <c r="N324" s="258">
        <v>-505.53657398552735</v>
      </c>
      <c r="O324" s="258">
        <v>-16.654423944568176</v>
      </c>
      <c r="P324" s="258">
        <v>-402.23776448097976</v>
      </c>
      <c r="Q324" s="258">
        <f t="shared" ref="Q324:Q387" si="21">SUM(M324:P324)</f>
        <v>720.5269925414226</v>
      </c>
      <c r="R324" s="259">
        <f t="shared" ref="R324:R387" si="22">Q324/M324</f>
        <v>0.43802211115534201</v>
      </c>
      <c r="S324" s="255">
        <f t="shared" ref="S324:T387" si="23">$K324/I324</f>
        <v>608.32266127052469</v>
      </c>
      <c r="T324" s="255">
        <f t="shared" si="23"/>
        <v>26.45</v>
      </c>
      <c r="U324" s="254">
        <v>101602</v>
      </c>
      <c r="V324" s="254" t="s">
        <v>983</v>
      </c>
      <c r="W324" s="254" t="s">
        <v>865</v>
      </c>
      <c r="X324" s="254" t="s">
        <v>157</v>
      </c>
      <c r="Y324" s="254" t="s">
        <v>843</v>
      </c>
      <c r="Z324" s="254" t="s">
        <v>1063</v>
      </c>
      <c r="AA324" s="254" t="s">
        <v>838</v>
      </c>
    </row>
    <row r="325" spans="1:27" ht="14.4" x14ac:dyDescent="0.3">
      <c r="A325" s="253">
        <v>11</v>
      </c>
      <c r="B325" s="254" t="s">
        <v>845</v>
      </c>
      <c r="C325" s="254">
        <v>7060</v>
      </c>
      <c r="D325" s="254" t="s">
        <v>165</v>
      </c>
      <c r="E325" s="254" t="str">
        <f>_xlfn.XLOOKUP(C325,Clientes!I:I,Clientes!F:F)</f>
        <v>AGROVIVA</v>
      </c>
      <c r="F325" s="254">
        <v>8368</v>
      </c>
      <c r="G325" s="254" t="s">
        <v>855</v>
      </c>
      <c r="H325" s="254" t="s">
        <v>989</v>
      </c>
      <c r="I325" s="255">
        <v>100</v>
      </c>
      <c r="J325" s="256">
        <v>1644.2036273934677</v>
      </c>
      <c r="K325" s="258">
        <v>17812.961919119989</v>
      </c>
      <c r="L325" s="258">
        <v>-1603.1012841433039</v>
      </c>
      <c r="M325" s="258">
        <f t="shared" si="20"/>
        <v>16209.860634976685</v>
      </c>
      <c r="N325" s="258">
        <v>-7983.1885430865605</v>
      </c>
      <c r="O325" s="258">
        <v>-396.8767376466991</v>
      </c>
      <c r="P325" s="258">
        <v>-4265.2456998500393</v>
      </c>
      <c r="Q325" s="258">
        <f t="shared" si="21"/>
        <v>3564.5496543933859</v>
      </c>
      <c r="R325" s="259">
        <f t="shared" si="22"/>
        <v>0.21990008024510774</v>
      </c>
      <c r="S325" s="255">
        <f t="shared" si="23"/>
        <v>178.12961919119988</v>
      </c>
      <c r="T325" s="255">
        <f t="shared" si="23"/>
        <v>10.833793103448276</v>
      </c>
      <c r="U325" s="254">
        <v>101602</v>
      </c>
      <c r="V325" s="254" t="s">
        <v>983</v>
      </c>
      <c r="W325" s="254" t="s">
        <v>1053</v>
      </c>
      <c r="X325" s="254" t="s">
        <v>157</v>
      </c>
      <c r="Y325" s="254" t="s">
        <v>843</v>
      </c>
      <c r="Z325" s="254" t="s">
        <v>1063</v>
      </c>
      <c r="AA325" s="254" t="s">
        <v>838</v>
      </c>
    </row>
    <row r="326" spans="1:27" ht="14.4" x14ac:dyDescent="0.3">
      <c r="A326" s="253">
        <v>11</v>
      </c>
      <c r="B326" s="254" t="s">
        <v>845</v>
      </c>
      <c r="C326" s="254">
        <v>11326</v>
      </c>
      <c r="D326" s="254" t="s">
        <v>179</v>
      </c>
      <c r="E326" s="254" t="str">
        <f>_xlfn.XLOOKUP(C326,Clientes!I:I,Clientes!F:F)</f>
        <v>VEGA AGRO</v>
      </c>
      <c r="F326" s="254">
        <v>8301</v>
      </c>
      <c r="G326" s="254" t="s">
        <v>855</v>
      </c>
      <c r="H326" s="254" t="s">
        <v>986</v>
      </c>
      <c r="I326" s="255">
        <v>3</v>
      </c>
      <c r="J326" s="256">
        <v>68.996899198925291</v>
      </c>
      <c r="K326" s="258">
        <v>1824.967983811574</v>
      </c>
      <c r="L326" s="258">
        <v>-178.29408650563514</v>
      </c>
      <c r="M326" s="258">
        <f t="shared" si="20"/>
        <v>1646.6738973059389</v>
      </c>
      <c r="N326" s="258">
        <v>-505.53657398552735</v>
      </c>
      <c r="O326" s="258">
        <v>0</v>
      </c>
      <c r="P326" s="258">
        <v>-400.26155328843697</v>
      </c>
      <c r="Q326" s="258">
        <f t="shared" si="21"/>
        <v>740.87577003197453</v>
      </c>
      <c r="R326" s="259">
        <f t="shared" si="22"/>
        <v>0.44992258105511568</v>
      </c>
      <c r="S326" s="255">
        <f t="shared" si="23"/>
        <v>608.32266127052469</v>
      </c>
      <c r="T326" s="255">
        <f t="shared" si="23"/>
        <v>26.45</v>
      </c>
      <c r="U326" s="254">
        <v>101602</v>
      </c>
      <c r="V326" s="254" t="s">
        <v>983</v>
      </c>
      <c r="W326" s="254" t="s">
        <v>952</v>
      </c>
      <c r="X326" s="254" t="s">
        <v>157</v>
      </c>
      <c r="Y326" s="254" t="s">
        <v>843</v>
      </c>
      <c r="Z326" s="254" t="s">
        <v>1063</v>
      </c>
      <c r="AA326" s="254" t="s">
        <v>838</v>
      </c>
    </row>
    <row r="327" spans="1:27" ht="14.4" x14ac:dyDescent="0.3">
      <c r="A327" s="253">
        <v>11</v>
      </c>
      <c r="B327" s="254" t="s">
        <v>845</v>
      </c>
      <c r="C327" s="254">
        <v>15905</v>
      </c>
      <c r="D327" s="254" t="s">
        <v>750</v>
      </c>
      <c r="E327" s="254" t="str">
        <f>_xlfn.XLOOKUP(C327,Clientes!I:I,Clientes!F:F)</f>
        <v>ADUFÉRTIL - CAMPEVO</v>
      </c>
      <c r="F327" s="254">
        <v>8368</v>
      </c>
      <c r="G327" s="254" t="s">
        <v>908</v>
      </c>
      <c r="H327" s="254" t="s">
        <v>989</v>
      </c>
      <c r="I327" s="255">
        <v>170</v>
      </c>
      <c r="J327" s="256">
        <v>2795.1461665688953</v>
      </c>
      <c r="K327" s="258">
        <v>30282.035262503981</v>
      </c>
      <c r="L327" s="258">
        <v>-2725.2721830436167</v>
      </c>
      <c r="M327" s="258">
        <f t="shared" si="20"/>
        <v>27556.763079460365</v>
      </c>
      <c r="N327" s="258">
        <v>-13571.420523247154</v>
      </c>
      <c r="O327" s="258">
        <v>-755.63618576813087</v>
      </c>
      <c r="P327" s="258">
        <v>-7247.8696403577596</v>
      </c>
      <c r="Q327" s="258">
        <f t="shared" si="21"/>
        <v>5981.8367300873197</v>
      </c>
      <c r="R327" s="259">
        <f t="shared" si="22"/>
        <v>0.21707327209798183</v>
      </c>
      <c r="S327" s="255">
        <f t="shared" si="23"/>
        <v>178.12961919119988</v>
      </c>
      <c r="T327" s="255">
        <f t="shared" si="23"/>
        <v>10.833793103448276</v>
      </c>
      <c r="U327" s="254">
        <v>101602</v>
      </c>
      <c r="V327" s="254" t="s">
        <v>983</v>
      </c>
      <c r="W327" s="254" t="s">
        <v>991</v>
      </c>
      <c r="X327" s="254" t="s">
        <v>157</v>
      </c>
      <c r="Y327" s="254" t="s">
        <v>843</v>
      </c>
      <c r="Z327" s="254" t="s">
        <v>1063</v>
      </c>
      <c r="AA327" s="254" t="s">
        <v>838</v>
      </c>
    </row>
    <row r="328" spans="1:27" ht="14.4" x14ac:dyDescent="0.3">
      <c r="A328" s="253">
        <v>11</v>
      </c>
      <c r="B328" s="254" t="s">
        <v>845</v>
      </c>
      <c r="C328" s="254">
        <v>15906</v>
      </c>
      <c r="D328" s="254" t="s">
        <v>993</v>
      </c>
      <c r="E328" s="254" t="str">
        <f>_xlfn.XLOOKUP(C328,Clientes!I:I,Clientes!F:F)</f>
        <v>ADUFÉRTIL - CAMPEVO</v>
      </c>
      <c r="F328" s="254">
        <v>8368</v>
      </c>
      <c r="G328" s="254" t="s">
        <v>908</v>
      </c>
      <c r="H328" s="254" t="s">
        <v>989</v>
      </c>
      <c r="I328" s="255">
        <v>500</v>
      </c>
      <c r="J328" s="256">
        <v>8221.0181369673392</v>
      </c>
      <c r="K328" s="258">
        <v>89064.809595599945</v>
      </c>
      <c r="L328" s="258">
        <v>-8015.5064207165206</v>
      </c>
      <c r="M328" s="258">
        <f t="shared" si="20"/>
        <v>81049.303174883418</v>
      </c>
      <c r="N328" s="258">
        <v>-39915.9427154328</v>
      </c>
      <c r="O328" s="258">
        <v>-2222.4593699062671</v>
      </c>
      <c r="P328" s="258">
        <v>-21308.465032622182</v>
      </c>
      <c r="Q328" s="258">
        <f t="shared" si="21"/>
        <v>17602.436056922168</v>
      </c>
      <c r="R328" s="259">
        <f t="shared" si="22"/>
        <v>0.21718183090286003</v>
      </c>
      <c r="S328" s="255">
        <f t="shared" si="23"/>
        <v>178.12961919119988</v>
      </c>
      <c r="T328" s="255">
        <f t="shared" si="23"/>
        <v>10.833793103448276</v>
      </c>
      <c r="U328" s="254">
        <v>101602</v>
      </c>
      <c r="V328" s="254" t="s">
        <v>983</v>
      </c>
      <c r="W328" s="254" t="s">
        <v>994</v>
      </c>
      <c r="X328" s="254" t="s">
        <v>157</v>
      </c>
      <c r="Y328" s="254" t="s">
        <v>843</v>
      </c>
      <c r="Z328" s="254" t="s">
        <v>1063</v>
      </c>
      <c r="AA328" s="254" t="s">
        <v>838</v>
      </c>
    </row>
    <row r="329" spans="1:27" ht="14.4" x14ac:dyDescent="0.3">
      <c r="A329" s="253">
        <v>11</v>
      </c>
      <c r="B329" s="254" t="s">
        <v>845</v>
      </c>
      <c r="C329" s="254">
        <v>15908</v>
      </c>
      <c r="D329" s="254" t="s">
        <v>981</v>
      </c>
      <c r="E329" s="254" t="str">
        <f>_xlfn.XLOOKUP(C329,Clientes!I:I,Clientes!F:F)</f>
        <v>ADUFÉRTIL - CAMPEVO</v>
      </c>
      <c r="F329" s="254">
        <v>13004</v>
      </c>
      <c r="G329" s="254" t="s">
        <v>908</v>
      </c>
      <c r="H329" s="254" t="s">
        <v>982</v>
      </c>
      <c r="I329" s="255">
        <v>63</v>
      </c>
      <c r="J329" s="256">
        <v>1448.9348831774312</v>
      </c>
      <c r="K329" s="258">
        <v>38324.327660043054</v>
      </c>
      <c r="L329" s="258">
        <v>-3627.6857650550473</v>
      </c>
      <c r="M329" s="258">
        <f t="shared" si="20"/>
        <v>34696.64189498801</v>
      </c>
      <c r="N329" s="258">
        <v>-10245.14613524024</v>
      </c>
      <c r="O329" s="258">
        <v>-391.70317518477435</v>
      </c>
      <c r="P329" s="258">
        <v>-8412.1195523733386</v>
      </c>
      <c r="Q329" s="258">
        <f t="shared" si="21"/>
        <v>15647.673032189656</v>
      </c>
      <c r="R329" s="259">
        <f t="shared" si="22"/>
        <v>0.45098523020033215</v>
      </c>
      <c r="S329" s="255">
        <f t="shared" si="23"/>
        <v>608.32266127052469</v>
      </c>
      <c r="T329" s="255">
        <f t="shared" si="23"/>
        <v>26.45</v>
      </c>
      <c r="U329" s="254">
        <v>101602</v>
      </c>
      <c r="V329" s="254" t="s">
        <v>983</v>
      </c>
      <c r="W329" s="254" t="s">
        <v>984</v>
      </c>
      <c r="X329" s="254" t="s">
        <v>157</v>
      </c>
      <c r="Y329" s="254" t="s">
        <v>843</v>
      </c>
      <c r="Z329" s="254" t="s">
        <v>1063</v>
      </c>
      <c r="AA329" s="254" t="s">
        <v>838</v>
      </c>
    </row>
    <row r="330" spans="1:27" ht="14.4" x14ac:dyDescent="0.3">
      <c r="A330" s="253">
        <v>11</v>
      </c>
      <c r="B330" s="254" t="s">
        <v>845</v>
      </c>
      <c r="C330" s="254">
        <v>14166</v>
      </c>
      <c r="D330" s="254" t="s">
        <v>1050</v>
      </c>
      <c r="E330" s="254" t="str">
        <f>_xlfn.XLOOKUP(C330,Clientes!I:I,Clientes!F:F)</f>
        <v>GRUPO TAKI AGRO</v>
      </c>
      <c r="F330" s="254">
        <v>8368</v>
      </c>
      <c r="G330" s="254" t="s">
        <v>855</v>
      </c>
      <c r="H330" s="254" t="s">
        <v>989</v>
      </c>
      <c r="I330" s="255">
        <v>1000</v>
      </c>
      <c r="J330" s="256">
        <v>16442.036273934678</v>
      </c>
      <c r="K330" s="258">
        <v>178129.61919119989</v>
      </c>
      <c r="L330" s="258">
        <v>-16031.012841433041</v>
      </c>
      <c r="M330" s="258">
        <f t="shared" si="20"/>
        <v>162098.60634976684</v>
      </c>
      <c r="N330" s="258">
        <v>-79831.885430865601</v>
      </c>
      <c r="O330" s="258">
        <v>-3968.7673764669912</v>
      </c>
      <c r="P330" s="258">
        <v>-42615.214275854159</v>
      </c>
      <c r="Q330" s="258">
        <f t="shared" si="21"/>
        <v>35682.739266580087</v>
      </c>
      <c r="R330" s="259">
        <f t="shared" si="22"/>
        <v>0.22012983374814446</v>
      </c>
      <c r="S330" s="255">
        <f t="shared" si="23"/>
        <v>178.12961919119988</v>
      </c>
      <c r="T330" s="255">
        <f t="shared" si="23"/>
        <v>10.833793103448276</v>
      </c>
      <c r="U330" s="254">
        <v>101602</v>
      </c>
      <c r="V330" s="254" t="s">
        <v>983</v>
      </c>
      <c r="W330" s="254" t="s">
        <v>1052</v>
      </c>
      <c r="X330" s="254" t="s">
        <v>157</v>
      </c>
      <c r="Y330" s="254" t="s">
        <v>843</v>
      </c>
      <c r="Z330" s="254" t="s">
        <v>1063</v>
      </c>
      <c r="AA330" s="254" t="s">
        <v>838</v>
      </c>
    </row>
    <row r="331" spans="1:27" ht="14.4" x14ac:dyDescent="0.3">
      <c r="A331" s="253">
        <v>11</v>
      </c>
      <c r="B331" s="254" t="s">
        <v>845</v>
      </c>
      <c r="C331" s="254">
        <v>15908</v>
      </c>
      <c r="D331" s="254" t="s">
        <v>981</v>
      </c>
      <c r="E331" s="254" t="str">
        <f>_xlfn.XLOOKUP(C331,Clientes!I:I,Clientes!F:F)</f>
        <v>ADUFÉRTIL - CAMPEVO</v>
      </c>
      <c r="F331" s="254">
        <v>8368</v>
      </c>
      <c r="G331" s="254" t="s">
        <v>908</v>
      </c>
      <c r="H331" s="254" t="s">
        <v>989</v>
      </c>
      <c r="I331" s="255">
        <v>500</v>
      </c>
      <c r="J331" s="256">
        <v>8221.0181369673392</v>
      </c>
      <c r="K331" s="258">
        <v>89064.809595599945</v>
      </c>
      <c r="L331" s="258">
        <v>-8015.5064207165206</v>
      </c>
      <c r="M331" s="258">
        <f t="shared" si="20"/>
        <v>81049.303174883418</v>
      </c>
      <c r="N331" s="258">
        <v>-39915.9427154328</v>
      </c>
      <c r="O331" s="258">
        <v>-2222.4593699062671</v>
      </c>
      <c r="P331" s="258">
        <v>-21307.85945989623</v>
      </c>
      <c r="Q331" s="258">
        <f t="shared" si="21"/>
        <v>17603.04162964812</v>
      </c>
      <c r="R331" s="259">
        <f t="shared" si="22"/>
        <v>0.21718930256149535</v>
      </c>
      <c r="S331" s="255">
        <f t="shared" si="23"/>
        <v>178.12961919119988</v>
      </c>
      <c r="T331" s="255">
        <f t="shared" si="23"/>
        <v>10.833793103448276</v>
      </c>
      <c r="U331" s="254">
        <v>101602</v>
      </c>
      <c r="V331" s="254" t="s">
        <v>983</v>
      </c>
      <c r="W331" s="254" t="s">
        <v>984</v>
      </c>
      <c r="X331" s="254" t="s">
        <v>157</v>
      </c>
      <c r="Y331" s="254" t="s">
        <v>843</v>
      </c>
      <c r="Z331" s="254" t="s">
        <v>1063</v>
      </c>
      <c r="AA331" s="254" t="s">
        <v>838</v>
      </c>
    </row>
    <row r="332" spans="1:27" ht="14.4" x14ac:dyDescent="0.3">
      <c r="A332" s="253">
        <v>11</v>
      </c>
      <c r="B332" s="254" t="s">
        <v>845</v>
      </c>
      <c r="C332" s="254">
        <v>15906</v>
      </c>
      <c r="D332" s="254" t="s">
        <v>993</v>
      </c>
      <c r="E332" s="254" t="str">
        <f>_xlfn.XLOOKUP(C332,Clientes!I:I,Clientes!F:F)</f>
        <v>ADUFÉRTIL - CAMPEVO</v>
      </c>
      <c r="F332" s="254">
        <v>13004</v>
      </c>
      <c r="G332" s="254" t="s">
        <v>908</v>
      </c>
      <c r="H332" s="254" t="s">
        <v>982</v>
      </c>
      <c r="I332" s="255">
        <v>63</v>
      </c>
      <c r="J332" s="256">
        <v>1448.9348831774312</v>
      </c>
      <c r="K332" s="258">
        <v>38324.327660043054</v>
      </c>
      <c r="L332" s="258">
        <v>-3627.6857650550473</v>
      </c>
      <c r="M332" s="258">
        <f t="shared" si="20"/>
        <v>34696.64189498801</v>
      </c>
      <c r="N332" s="258">
        <v>-10245.14613524024</v>
      </c>
      <c r="O332" s="258">
        <v>-391.70317518477435</v>
      </c>
      <c r="P332" s="258">
        <v>-8412.725125099294</v>
      </c>
      <c r="Q332" s="258">
        <f t="shared" si="21"/>
        <v>15647.0674594637</v>
      </c>
      <c r="R332" s="259">
        <f t="shared" si="22"/>
        <v>0.45096777684770545</v>
      </c>
      <c r="S332" s="255">
        <f t="shared" si="23"/>
        <v>608.32266127052469</v>
      </c>
      <c r="T332" s="255">
        <f t="shared" si="23"/>
        <v>26.45</v>
      </c>
      <c r="U332" s="254">
        <v>101602</v>
      </c>
      <c r="V332" s="254" t="s">
        <v>983</v>
      </c>
      <c r="W332" s="254" t="s">
        <v>994</v>
      </c>
      <c r="X332" s="254" t="s">
        <v>157</v>
      </c>
      <c r="Y332" s="254" t="s">
        <v>843</v>
      </c>
      <c r="Z332" s="254" t="s">
        <v>1063</v>
      </c>
      <c r="AA332" s="254" t="s">
        <v>838</v>
      </c>
    </row>
    <row r="333" spans="1:27" ht="14.4" x14ac:dyDescent="0.3">
      <c r="A333" s="253">
        <v>11</v>
      </c>
      <c r="B333" s="254" t="s">
        <v>845</v>
      </c>
      <c r="C333" s="254">
        <v>15904</v>
      </c>
      <c r="D333" s="254" t="s">
        <v>754</v>
      </c>
      <c r="E333" s="254" t="str">
        <f>_xlfn.XLOOKUP(C333,Clientes!I:I,Clientes!F:F)</f>
        <v>ADUFÉRTIL - CAMPEVO</v>
      </c>
      <c r="F333" s="254">
        <v>8368</v>
      </c>
      <c r="G333" s="254" t="s">
        <v>908</v>
      </c>
      <c r="H333" s="254" t="s">
        <v>989</v>
      </c>
      <c r="I333" s="255">
        <v>500</v>
      </c>
      <c r="J333" s="256">
        <v>8221.0181369673392</v>
      </c>
      <c r="K333" s="258">
        <v>89064.809595599945</v>
      </c>
      <c r="L333" s="258">
        <v>-8015.5064207165206</v>
      </c>
      <c r="M333" s="258">
        <f t="shared" si="20"/>
        <v>81049.303174883418</v>
      </c>
      <c r="N333" s="258">
        <v>-39915.9427154328</v>
      </c>
      <c r="O333" s="258">
        <v>-2222.4593699062671</v>
      </c>
      <c r="P333" s="258">
        <v>-21307.85945989623</v>
      </c>
      <c r="Q333" s="258">
        <f t="shared" si="21"/>
        <v>17603.04162964812</v>
      </c>
      <c r="R333" s="259">
        <f t="shared" si="22"/>
        <v>0.21718930256149535</v>
      </c>
      <c r="S333" s="255">
        <f t="shared" si="23"/>
        <v>178.12961919119988</v>
      </c>
      <c r="T333" s="255">
        <f t="shared" si="23"/>
        <v>10.833793103448276</v>
      </c>
      <c r="U333" s="254">
        <v>101602</v>
      </c>
      <c r="V333" s="254" t="s">
        <v>983</v>
      </c>
      <c r="W333" s="254" t="s">
        <v>992</v>
      </c>
      <c r="X333" s="254" t="s">
        <v>157</v>
      </c>
      <c r="Y333" s="254" t="s">
        <v>843</v>
      </c>
      <c r="Z333" s="254" t="s">
        <v>1063</v>
      </c>
      <c r="AA333" s="254" t="s">
        <v>838</v>
      </c>
    </row>
    <row r="334" spans="1:27" ht="14.4" x14ac:dyDescent="0.3">
      <c r="A334" s="253">
        <v>11</v>
      </c>
      <c r="B334" s="254" t="s">
        <v>845</v>
      </c>
      <c r="C334" s="254">
        <v>14298</v>
      </c>
      <c r="D334" s="254" t="s">
        <v>1056</v>
      </c>
      <c r="E334" s="254" t="str">
        <f>_xlfn.XLOOKUP(C334,Clientes!I:I,Clientes!F:F)</f>
        <v>GRUPO SAGRA</v>
      </c>
      <c r="F334" s="254">
        <v>8368</v>
      </c>
      <c r="G334" s="254" t="s">
        <v>855</v>
      </c>
      <c r="H334" s="254" t="s">
        <v>989</v>
      </c>
      <c r="I334" s="255">
        <v>200</v>
      </c>
      <c r="J334" s="256">
        <v>3288.4072547869355</v>
      </c>
      <c r="K334" s="258">
        <v>35625.923838239978</v>
      </c>
      <c r="L334" s="258">
        <v>-3206.2025682866079</v>
      </c>
      <c r="M334" s="258">
        <f t="shared" si="20"/>
        <v>32419.72126995337</v>
      </c>
      <c r="N334" s="258">
        <v>-15966.377086173121</v>
      </c>
      <c r="O334" s="258">
        <v>-793.7534752933982</v>
      </c>
      <c r="P334" s="258">
        <v>-8524.5840377583863</v>
      </c>
      <c r="Q334" s="258">
        <f t="shared" si="21"/>
        <v>7135.0066707284641</v>
      </c>
      <c r="R334" s="259">
        <f t="shared" si="22"/>
        <v>0.22008229532007714</v>
      </c>
      <c r="S334" s="255">
        <f t="shared" si="23"/>
        <v>178.12961919119988</v>
      </c>
      <c r="T334" s="255">
        <f t="shared" si="23"/>
        <v>10.833793103448276</v>
      </c>
      <c r="U334" s="254">
        <v>101602</v>
      </c>
      <c r="V334" s="254" t="s">
        <v>983</v>
      </c>
      <c r="W334" s="254" t="s">
        <v>1057</v>
      </c>
      <c r="X334" s="254" t="s">
        <v>157</v>
      </c>
      <c r="Y334" s="254" t="s">
        <v>843</v>
      </c>
      <c r="Z334" s="254" t="s">
        <v>1063</v>
      </c>
      <c r="AA334" s="254" t="s">
        <v>838</v>
      </c>
    </row>
    <row r="335" spans="1:27" ht="14.4" x14ac:dyDescent="0.3">
      <c r="A335" s="253">
        <v>11</v>
      </c>
      <c r="B335" s="254" t="s">
        <v>845</v>
      </c>
      <c r="C335" s="254">
        <v>12653</v>
      </c>
      <c r="D335" s="254" t="s">
        <v>232</v>
      </c>
      <c r="E335" s="254" t="str">
        <f>_xlfn.XLOOKUP(C335,Clientes!I:I,Clientes!F:F)</f>
        <v>APROVAR AGROPECUARIA COMERCIO</v>
      </c>
      <c r="F335" s="254">
        <v>8368</v>
      </c>
      <c r="G335" s="254" t="s">
        <v>855</v>
      </c>
      <c r="H335" s="254" t="s">
        <v>989</v>
      </c>
      <c r="I335" s="255">
        <v>1600</v>
      </c>
      <c r="J335" s="256">
        <v>26307.258038295484</v>
      </c>
      <c r="K335" s="258">
        <v>285007.39070591982</v>
      </c>
      <c r="L335" s="258">
        <v>-25649.620546292863</v>
      </c>
      <c r="M335" s="258">
        <f t="shared" si="20"/>
        <v>259357.77015962696</v>
      </c>
      <c r="N335" s="258">
        <v>-127731.01668938497</v>
      </c>
      <c r="O335" s="258">
        <v>-6350.0278023471856</v>
      </c>
      <c r="P335" s="258">
        <v>-68181.456278039594</v>
      </c>
      <c r="Q335" s="258">
        <f t="shared" si="21"/>
        <v>57095.26938985521</v>
      </c>
      <c r="R335" s="259">
        <f t="shared" si="22"/>
        <v>0.22014096340632006</v>
      </c>
      <c r="S335" s="255">
        <f t="shared" si="23"/>
        <v>178.12961919119988</v>
      </c>
      <c r="T335" s="255">
        <f t="shared" si="23"/>
        <v>10.833793103448276</v>
      </c>
      <c r="U335" s="254">
        <v>101602</v>
      </c>
      <c r="V335" s="254" t="s">
        <v>983</v>
      </c>
      <c r="W335" s="254" t="s">
        <v>1054</v>
      </c>
      <c r="X335" s="254" t="s">
        <v>157</v>
      </c>
      <c r="Y335" s="254" t="s">
        <v>843</v>
      </c>
      <c r="Z335" s="254" t="s">
        <v>1063</v>
      </c>
      <c r="AA335" s="254" t="s">
        <v>838</v>
      </c>
    </row>
    <row r="336" spans="1:27" ht="14.4" x14ac:dyDescent="0.3">
      <c r="A336" s="253">
        <v>11</v>
      </c>
      <c r="B336" s="254" t="s">
        <v>845</v>
      </c>
      <c r="C336" s="254">
        <v>15905</v>
      </c>
      <c r="D336" s="254" t="s">
        <v>750</v>
      </c>
      <c r="E336" s="254" t="str">
        <f>_xlfn.XLOOKUP(C336,Clientes!I:I,Clientes!F:F)</f>
        <v>ADUFÉRTIL - CAMPEVO</v>
      </c>
      <c r="F336" s="254">
        <v>13004</v>
      </c>
      <c r="G336" s="254" t="s">
        <v>908</v>
      </c>
      <c r="H336" s="254" t="s">
        <v>982</v>
      </c>
      <c r="I336" s="255">
        <v>23</v>
      </c>
      <c r="J336" s="256">
        <v>528.97622719176059</v>
      </c>
      <c r="K336" s="258">
        <v>13991.421209222068</v>
      </c>
      <c r="L336" s="258">
        <v>-1324.3932158137472</v>
      </c>
      <c r="M336" s="258">
        <f t="shared" si="20"/>
        <v>12667.027993408321</v>
      </c>
      <c r="N336" s="258">
        <v>-3740.291446198818</v>
      </c>
      <c r="O336" s="258">
        <v>-143.00274649602875</v>
      </c>
      <c r="P336" s="258">
        <v>-3074.2304708572215</v>
      </c>
      <c r="Q336" s="258">
        <f t="shared" si="21"/>
        <v>5709.5033298562521</v>
      </c>
      <c r="R336" s="259">
        <f t="shared" si="22"/>
        <v>0.45073740524039013</v>
      </c>
      <c r="S336" s="255">
        <f t="shared" si="23"/>
        <v>608.32266127052469</v>
      </c>
      <c r="T336" s="255">
        <f t="shared" si="23"/>
        <v>26.45</v>
      </c>
      <c r="U336" s="254">
        <v>101602</v>
      </c>
      <c r="V336" s="254" t="s">
        <v>983</v>
      </c>
      <c r="W336" s="254" t="s">
        <v>991</v>
      </c>
      <c r="X336" s="254" t="s">
        <v>157</v>
      </c>
      <c r="Y336" s="254" t="s">
        <v>843</v>
      </c>
      <c r="Z336" s="254" t="s">
        <v>1063</v>
      </c>
      <c r="AA336" s="254" t="s">
        <v>838</v>
      </c>
    </row>
    <row r="337" spans="1:27" ht="14.4" x14ac:dyDescent="0.3">
      <c r="A337" s="253">
        <v>11</v>
      </c>
      <c r="B337" s="254" t="s">
        <v>845</v>
      </c>
      <c r="C337" s="254">
        <v>15904</v>
      </c>
      <c r="D337" s="254" t="s">
        <v>754</v>
      </c>
      <c r="E337" s="254" t="str">
        <f>_xlfn.XLOOKUP(C337,Clientes!I:I,Clientes!F:F)</f>
        <v>ADUFÉRTIL - CAMPEVO</v>
      </c>
      <c r="F337" s="254">
        <v>13004</v>
      </c>
      <c r="G337" s="254" t="s">
        <v>908</v>
      </c>
      <c r="H337" s="254" t="s">
        <v>982</v>
      </c>
      <c r="I337" s="255">
        <v>71</v>
      </c>
      <c r="J337" s="256">
        <v>1632.9266143745651</v>
      </c>
      <c r="K337" s="258">
        <v>43190.908950207246</v>
      </c>
      <c r="L337" s="258">
        <v>-4088.3442749033075</v>
      </c>
      <c r="M337" s="258">
        <f t="shared" si="20"/>
        <v>39102.56467530394</v>
      </c>
      <c r="N337" s="258">
        <v>-11546.117073048525</v>
      </c>
      <c r="O337" s="258">
        <v>-441.44326092252351</v>
      </c>
      <c r="P337" s="258">
        <v>-9480.0304336758363</v>
      </c>
      <c r="Q337" s="258">
        <f t="shared" si="21"/>
        <v>17634.973907657055</v>
      </c>
      <c r="R337" s="259">
        <f t="shared" si="22"/>
        <v>0.45099276873761684</v>
      </c>
      <c r="S337" s="255">
        <f t="shared" si="23"/>
        <v>608.32266127052458</v>
      </c>
      <c r="T337" s="255">
        <f t="shared" si="23"/>
        <v>26.45</v>
      </c>
      <c r="U337" s="254">
        <v>101602</v>
      </c>
      <c r="V337" s="254" t="s">
        <v>983</v>
      </c>
      <c r="W337" s="254" t="s">
        <v>992</v>
      </c>
      <c r="X337" s="254" t="s">
        <v>157</v>
      </c>
      <c r="Y337" s="254" t="s">
        <v>843</v>
      </c>
      <c r="Z337" s="254" t="s">
        <v>1063</v>
      </c>
      <c r="AA337" s="254" t="s">
        <v>838</v>
      </c>
    </row>
    <row r="338" spans="1:27" ht="14.4" x14ac:dyDescent="0.3">
      <c r="A338" s="253">
        <v>11</v>
      </c>
      <c r="B338" s="254" t="s">
        <v>845</v>
      </c>
      <c r="C338" s="254">
        <v>15906</v>
      </c>
      <c r="D338" s="254" t="s">
        <v>993</v>
      </c>
      <c r="E338" s="254" t="str">
        <f>_xlfn.XLOOKUP(C338,Clientes!I:I,Clientes!F:F)</f>
        <v>ADUFÉRTIL - CAMPEVO</v>
      </c>
      <c r="F338" s="254">
        <v>8369</v>
      </c>
      <c r="G338" s="254" t="s">
        <v>908</v>
      </c>
      <c r="H338" s="254" t="s">
        <v>988</v>
      </c>
      <c r="I338" s="255">
        <v>3500</v>
      </c>
      <c r="J338" s="256">
        <v>3197.0626088206318</v>
      </c>
      <c r="K338" s="258">
        <v>31669.661228824232</v>
      </c>
      <c r="L338" s="258">
        <v>-2850.1534340460607</v>
      </c>
      <c r="M338" s="258">
        <f t="shared" si="20"/>
        <v>28819.507794778172</v>
      </c>
      <c r="N338" s="258">
        <v>-17074.682582790541</v>
      </c>
      <c r="O338" s="258">
        <v>-864.28975496354849</v>
      </c>
      <c r="P338" s="258">
        <v>-7668.683384691275</v>
      </c>
      <c r="Q338" s="258">
        <f t="shared" si="21"/>
        <v>3211.8520723328065</v>
      </c>
      <c r="R338" s="259">
        <f t="shared" si="22"/>
        <v>0.11144715222772696</v>
      </c>
      <c r="S338" s="255">
        <f t="shared" si="23"/>
        <v>9.0484746368069242</v>
      </c>
      <c r="T338" s="255">
        <f t="shared" si="23"/>
        <v>9.905862068965515</v>
      </c>
      <c r="U338" s="254">
        <v>101602</v>
      </c>
      <c r="V338" s="254" t="s">
        <v>983</v>
      </c>
      <c r="W338" s="254" t="s">
        <v>994</v>
      </c>
      <c r="X338" s="254" t="s">
        <v>157</v>
      </c>
      <c r="Y338" s="254" t="s">
        <v>843</v>
      </c>
      <c r="Z338" s="254" t="s">
        <v>1063</v>
      </c>
      <c r="AA338" s="254" t="s">
        <v>838</v>
      </c>
    </row>
    <row r="339" spans="1:27" ht="14.4" x14ac:dyDescent="0.3">
      <c r="A339" s="253">
        <v>11</v>
      </c>
      <c r="B339" s="254" t="s">
        <v>845</v>
      </c>
      <c r="C339" s="254">
        <v>15917</v>
      </c>
      <c r="D339" s="254" t="s">
        <v>571</v>
      </c>
      <c r="E339" s="254" t="str">
        <f>_xlfn.XLOOKUP(C339,Clientes!I:I,Clientes!F:F)</f>
        <v>MINAS FARM</v>
      </c>
      <c r="F339" s="254">
        <v>8301</v>
      </c>
      <c r="G339" s="254" t="s">
        <v>855</v>
      </c>
      <c r="H339" s="254" t="s">
        <v>986</v>
      </c>
      <c r="I339" s="255">
        <v>5</v>
      </c>
      <c r="J339" s="256">
        <v>114.99483199820881</v>
      </c>
      <c r="K339" s="258">
        <v>3041.6133063526231</v>
      </c>
      <c r="L339" s="258">
        <v>-300.02038143179334</v>
      </c>
      <c r="M339" s="258">
        <f t="shared" si="20"/>
        <v>2741.5929249208298</v>
      </c>
      <c r="N339" s="258">
        <v>-842.56095664254553</v>
      </c>
      <c r="O339" s="258">
        <v>-27.757373240946958</v>
      </c>
      <c r="P339" s="258">
        <v>-669.03646400660443</v>
      </c>
      <c r="Q339" s="258">
        <f t="shared" si="21"/>
        <v>1202.2381310307328</v>
      </c>
      <c r="R339" s="259">
        <f t="shared" si="22"/>
        <v>0.43851810387402806</v>
      </c>
      <c r="S339" s="255">
        <f t="shared" si="23"/>
        <v>608.32266127052458</v>
      </c>
      <c r="T339" s="255">
        <f t="shared" si="23"/>
        <v>26.45</v>
      </c>
      <c r="U339" s="254">
        <v>101602</v>
      </c>
      <c r="V339" s="254" t="s">
        <v>983</v>
      </c>
      <c r="W339" s="254" t="s">
        <v>865</v>
      </c>
      <c r="X339" s="254" t="s">
        <v>157</v>
      </c>
      <c r="Y339" s="254" t="s">
        <v>843</v>
      </c>
      <c r="Z339" s="254" t="s">
        <v>1063</v>
      </c>
      <c r="AA339" s="254" t="s">
        <v>838</v>
      </c>
    </row>
    <row r="340" spans="1:27" ht="14.4" x14ac:dyDescent="0.3">
      <c r="A340" s="253">
        <v>11</v>
      </c>
      <c r="B340" s="254" t="s">
        <v>845</v>
      </c>
      <c r="C340" s="254">
        <v>2696</v>
      </c>
      <c r="D340" s="254" t="s">
        <v>119</v>
      </c>
      <c r="E340" s="254" t="str">
        <f>_xlfn.XLOOKUP(C340,Clientes!I:I,Clientes!F:F)</f>
        <v>MOSAIC FERTILIZANTES PARAGUAY S.R.L.</v>
      </c>
      <c r="F340" s="254">
        <v>4676</v>
      </c>
      <c r="G340" s="254" t="s">
        <v>832</v>
      </c>
      <c r="H340" s="254" t="s">
        <v>999</v>
      </c>
      <c r="I340" s="255">
        <v>30000</v>
      </c>
      <c r="J340" s="256">
        <v>30000</v>
      </c>
      <c r="K340" s="255">
        <v>338570.68054622674</v>
      </c>
      <c r="L340" s="258">
        <v>0</v>
      </c>
      <c r="M340" s="258">
        <f t="shared" si="20"/>
        <v>338570.68054622674</v>
      </c>
      <c r="N340" s="258">
        <v>-174191.38</v>
      </c>
      <c r="O340" s="258">
        <v>-27051.200000000012</v>
      </c>
      <c r="P340" s="258">
        <v>-10615.545055347675</v>
      </c>
      <c r="Q340" s="258">
        <f t="shared" si="21"/>
        <v>126712.55549087905</v>
      </c>
      <c r="R340" s="259">
        <f t="shared" si="22"/>
        <v>0.37425731987911565</v>
      </c>
      <c r="S340" s="255">
        <f t="shared" si="23"/>
        <v>11.285689351540892</v>
      </c>
      <c r="T340" s="255">
        <f t="shared" si="23"/>
        <v>11.285689351540892</v>
      </c>
      <c r="U340" s="254">
        <v>101900</v>
      </c>
      <c r="V340" s="254" t="s">
        <v>997</v>
      </c>
      <c r="W340" s="254" t="s">
        <v>1012</v>
      </c>
      <c r="X340" s="254" t="s">
        <v>446</v>
      </c>
      <c r="Y340" s="254" t="s">
        <v>836</v>
      </c>
      <c r="Z340" s="254" t="s">
        <v>1063</v>
      </c>
      <c r="AA340" s="254" t="s">
        <v>838</v>
      </c>
    </row>
    <row r="341" spans="1:27" ht="14.4" x14ac:dyDescent="0.3">
      <c r="A341" s="253">
        <v>11</v>
      </c>
      <c r="B341" s="254" t="s">
        <v>845</v>
      </c>
      <c r="C341" s="254">
        <v>6477</v>
      </c>
      <c r="D341" s="254" t="s">
        <v>87</v>
      </c>
      <c r="E341" s="254" t="str">
        <f>_xlfn.XLOOKUP(C341,Clientes!I:I,Clientes!F:F)</f>
        <v>GRUPO MOSAIC FERTILIZANTES DO BRASIL</v>
      </c>
      <c r="F341" s="254">
        <v>4676</v>
      </c>
      <c r="G341" s="254" t="s">
        <v>862</v>
      </c>
      <c r="H341" s="254" t="s">
        <v>999</v>
      </c>
      <c r="I341" s="255">
        <v>30000</v>
      </c>
      <c r="J341" s="256">
        <v>30000</v>
      </c>
      <c r="K341" s="255">
        <v>344726.51110161265</v>
      </c>
      <c r="L341" s="258">
        <v>-40320</v>
      </c>
      <c r="M341" s="258">
        <f t="shared" si="20"/>
        <v>304406.51110161265</v>
      </c>
      <c r="N341" s="258">
        <v>-174191.38</v>
      </c>
      <c r="O341" s="258">
        <v>-14049.6057</v>
      </c>
      <c r="P341" s="258">
        <v>-7.4031265748002992</v>
      </c>
      <c r="Q341" s="258">
        <f t="shared" si="21"/>
        <v>116158.12227503784</v>
      </c>
      <c r="R341" s="259">
        <f t="shared" si="22"/>
        <v>0.38158882296792784</v>
      </c>
      <c r="S341" s="255">
        <f t="shared" si="23"/>
        <v>11.490883703387087</v>
      </c>
      <c r="T341" s="255">
        <f t="shared" si="23"/>
        <v>11.490883703387087</v>
      </c>
      <c r="U341" s="254">
        <v>101900</v>
      </c>
      <c r="V341" s="254" t="s">
        <v>997</v>
      </c>
      <c r="W341" s="254" t="s">
        <v>864</v>
      </c>
      <c r="X341" s="254" t="s">
        <v>446</v>
      </c>
      <c r="Y341" s="254" t="s">
        <v>843</v>
      </c>
      <c r="Z341" s="254" t="s">
        <v>1063</v>
      </c>
      <c r="AA341" s="254" t="s">
        <v>838</v>
      </c>
    </row>
    <row r="342" spans="1:27" ht="14.4" x14ac:dyDescent="0.3">
      <c r="A342" s="253">
        <v>11</v>
      </c>
      <c r="B342" s="254" t="s">
        <v>845</v>
      </c>
      <c r="C342" s="254">
        <v>903</v>
      </c>
      <c r="D342" s="254" t="s">
        <v>47</v>
      </c>
      <c r="E342" s="254" t="str">
        <f>_xlfn.XLOOKUP(C342,Clientes!I:I,Clientes!F:F)</f>
        <v>GRUPO YARA</v>
      </c>
      <c r="F342" s="254">
        <v>4627</v>
      </c>
      <c r="G342" s="254" t="s">
        <v>862</v>
      </c>
      <c r="H342" s="254" t="s">
        <v>1000</v>
      </c>
      <c r="I342" s="255">
        <v>45000</v>
      </c>
      <c r="J342" s="256">
        <v>45000</v>
      </c>
      <c r="K342" s="258">
        <v>386029.5564195044</v>
      </c>
      <c r="L342" s="258">
        <v>-46170</v>
      </c>
      <c r="M342" s="258">
        <f t="shared" si="20"/>
        <v>339859.5564195044</v>
      </c>
      <c r="N342" s="258">
        <v>-239683.63909090907</v>
      </c>
      <c r="O342" s="258">
        <v>-17720.945424000001</v>
      </c>
      <c r="P342" s="258">
        <v>-9.3376572126148822</v>
      </c>
      <c r="Q342" s="258">
        <f t="shared" si="21"/>
        <v>82445.63424738271</v>
      </c>
      <c r="R342" s="259">
        <f t="shared" si="22"/>
        <v>0.24258736495735386</v>
      </c>
      <c r="S342" s="255">
        <f t="shared" si="23"/>
        <v>8.578434587100098</v>
      </c>
      <c r="T342" s="255">
        <f t="shared" si="23"/>
        <v>8.578434587100098</v>
      </c>
      <c r="U342" s="254">
        <v>102200</v>
      </c>
      <c r="V342" s="254" t="s">
        <v>1001</v>
      </c>
      <c r="W342" s="254" t="s">
        <v>1002</v>
      </c>
      <c r="X342" s="254" t="s">
        <v>446</v>
      </c>
      <c r="Y342" s="254" t="s">
        <v>843</v>
      </c>
      <c r="Z342" s="254" t="s">
        <v>1063</v>
      </c>
      <c r="AA342" s="254" t="s">
        <v>838</v>
      </c>
    </row>
    <row r="343" spans="1:27" ht="14.4" x14ac:dyDescent="0.3">
      <c r="A343" s="253">
        <v>11</v>
      </c>
      <c r="B343" s="254" t="s">
        <v>845</v>
      </c>
      <c r="C343" s="254">
        <v>1159</v>
      </c>
      <c r="D343" s="254" t="s">
        <v>50</v>
      </c>
      <c r="E343" s="254" t="str">
        <f>_xlfn.XLOOKUP(C343,Clientes!I:I,Clientes!F:F)</f>
        <v>GRUPO YARA</v>
      </c>
      <c r="F343" s="254">
        <v>4627</v>
      </c>
      <c r="G343" s="254" t="s">
        <v>877</v>
      </c>
      <c r="H343" s="254" t="s">
        <v>1000</v>
      </c>
      <c r="I343" s="255">
        <v>120000</v>
      </c>
      <c r="J343" s="256">
        <v>120000</v>
      </c>
      <c r="K343" s="258">
        <v>1089611.6914141176</v>
      </c>
      <c r="L343" s="258">
        <v>-130320</v>
      </c>
      <c r="M343" s="258">
        <f t="shared" si="20"/>
        <v>959291.69141411758</v>
      </c>
      <c r="N343" s="258">
        <v>-639156.37090909097</v>
      </c>
      <c r="O343" s="258">
        <v>-97686.42</v>
      </c>
      <c r="P343" s="258">
        <v>-51.473681706177949</v>
      </c>
      <c r="Q343" s="258">
        <f t="shared" si="21"/>
        <v>222397.42682332045</v>
      </c>
      <c r="R343" s="259">
        <f t="shared" si="22"/>
        <v>0.23183503913755205</v>
      </c>
      <c r="S343" s="255">
        <f t="shared" si="23"/>
        <v>9.0800974284509799</v>
      </c>
      <c r="T343" s="255">
        <f t="shared" si="23"/>
        <v>9.0800974284509799</v>
      </c>
      <c r="U343" s="254">
        <v>102200</v>
      </c>
      <c r="V343" s="254" t="s">
        <v>1001</v>
      </c>
      <c r="W343" s="254" t="s">
        <v>878</v>
      </c>
      <c r="X343" s="254" t="s">
        <v>446</v>
      </c>
      <c r="Y343" s="254" t="s">
        <v>843</v>
      </c>
      <c r="Z343" s="254" t="s">
        <v>1063</v>
      </c>
      <c r="AA343" s="254" t="s">
        <v>838</v>
      </c>
    </row>
    <row r="344" spans="1:27" ht="14.4" x14ac:dyDescent="0.3">
      <c r="A344" s="253">
        <v>11</v>
      </c>
      <c r="B344" s="254" t="s">
        <v>845</v>
      </c>
      <c r="C344" s="254">
        <v>2900</v>
      </c>
      <c r="D344" s="254" t="s">
        <v>463</v>
      </c>
      <c r="E344" s="254" t="str">
        <f>_xlfn.XLOOKUP(C344,Clientes!I:I,Clientes!F:F)</f>
        <v>BIOSAFRA - MARUIM</v>
      </c>
      <c r="F344" s="254">
        <v>12813</v>
      </c>
      <c r="G344" s="254" t="s">
        <v>887</v>
      </c>
      <c r="H344" s="254" t="s">
        <v>1060</v>
      </c>
      <c r="I344" s="255">
        <v>4800</v>
      </c>
      <c r="J344" s="256">
        <v>4800</v>
      </c>
      <c r="K344" s="258">
        <v>56096.967790668728</v>
      </c>
      <c r="L344" s="258">
        <v>-2184.96</v>
      </c>
      <c r="M344" s="258">
        <f t="shared" si="20"/>
        <v>53912.007790668729</v>
      </c>
      <c r="N344" s="258">
        <v>-29869.780000000002</v>
      </c>
      <c r="O344" s="258">
        <v>-7794.1996554239995</v>
      </c>
      <c r="P344" s="258">
        <v>-4.1069797850888259</v>
      </c>
      <c r="Q344" s="258">
        <f t="shared" si="21"/>
        <v>16243.921155459639</v>
      </c>
      <c r="R344" s="259">
        <f t="shared" si="22"/>
        <v>0.3013043257177892</v>
      </c>
      <c r="S344" s="255">
        <f t="shared" si="23"/>
        <v>11.686868289722652</v>
      </c>
      <c r="T344" s="255">
        <f t="shared" si="23"/>
        <v>11.686868289722652</v>
      </c>
      <c r="U344" s="254">
        <v>102300</v>
      </c>
      <c r="V344" s="254" t="s">
        <v>1059</v>
      </c>
      <c r="W344" s="254" t="s">
        <v>1009</v>
      </c>
      <c r="X344" s="254" t="s">
        <v>446</v>
      </c>
      <c r="Y344" s="254" t="s">
        <v>843</v>
      </c>
      <c r="Z344" s="254" t="s">
        <v>1063</v>
      </c>
      <c r="AA344" s="254" t="s">
        <v>838</v>
      </c>
    </row>
    <row r="345" spans="1:27" ht="14.4" x14ac:dyDescent="0.3">
      <c r="A345" s="253">
        <v>11</v>
      </c>
      <c r="B345" s="254" t="s">
        <v>845</v>
      </c>
      <c r="C345" s="254">
        <v>8855</v>
      </c>
      <c r="D345" s="254" t="s">
        <v>1003</v>
      </c>
      <c r="E345" s="254" t="str">
        <f>_xlfn.XLOOKUP(C345,Clientes!I:I,Clientes!F:F)</f>
        <v>TERMAG GUARUJA</v>
      </c>
      <c r="F345" s="254">
        <v>7398</v>
      </c>
      <c r="G345" s="254" t="s">
        <v>908</v>
      </c>
      <c r="H345" s="254" t="s">
        <v>1004</v>
      </c>
      <c r="I345" s="255">
        <v>30000</v>
      </c>
      <c r="J345" s="256">
        <v>30000</v>
      </c>
      <c r="K345" s="258">
        <v>73800</v>
      </c>
      <c r="L345" s="258">
        <v>-8856</v>
      </c>
      <c r="M345" s="258">
        <f t="shared" si="20"/>
        <v>64944</v>
      </c>
      <c r="N345" s="258">
        <v>-19277.265789473684</v>
      </c>
      <c r="O345" s="258">
        <v>-13045.632163199998</v>
      </c>
      <c r="P345" s="258">
        <v>-6.8741050969462743</v>
      </c>
      <c r="Q345" s="258">
        <f t="shared" si="21"/>
        <v>32614.227942229372</v>
      </c>
      <c r="R345" s="259">
        <f t="shared" si="22"/>
        <v>0.50219000896509869</v>
      </c>
      <c r="S345" s="255">
        <f t="shared" si="23"/>
        <v>2.46</v>
      </c>
      <c r="T345" s="255">
        <f t="shared" si="23"/>
        <v>2.46</v>
      </c>
      <c r="U345" s="254">
        <v>102600</v>
      </c>
      <c r="V345" s="254" t="s">
        <v>1005</v>
      </c>
      <c r="W345" s="254" t="s">
        <v>1006</v>
      </c>
      <c r="X345" s="254" t="s">
        <v>446</v>
      </c>
      <c r="Y345" s="254" t="s">
        <v>843</v>
      </c>
      <c r="Z345" s="254" t="s">
        <v>1063</v>
      </c>
      <c r="AA345" s="254" t="s">
        <v>838</v>
      </c>
    </row>
    <row r="346" spans="1:27" ht="14.4" x14ac:dyDescent="0.3">
      <c r="A346" s="253">
        <v>11</v>
      </c>
      <c r="B346" s="254" t="s">
        <v>845</v>
      </c>
      <c r="C346" s="254">
        <v>1953</v>
      </c>
      <c r="D346" s="254" t="s">
        <v>66</v>
      </c>
      <c r="E346" s="254" t="str">
        <f>_xlfn.XLOOKUP(C346,Clientes!I:I,Clientes!F:F)</f>
        <v>GRUPO AMAGGI</v>
      </c>
      <c r="F346" s="254">
        <v>7398</v>
      </c>
      <c r="G346" s="254" t="s">
        <v>840</v>
      </c>
      <c r="H346" s="254" t="s">
        <v>1004</v>
      </c>
      <c r="I346" s="255">
        <v>60000</v>
      </c>
      <c r="J346" s="256">
        <v>60000</v>
      </c>
      <c r="K346" s="258">
        <v>125400</v>
      </c>
      <c r="L346" s="258">
        <v>-8778</v>
      </c>
      <c r="M346" s="258">
        <f t="shared" si="20"/>
        <v>116622</v>
      </c>
      <c r="N346" s="258">
        <v>-38554.531578947368</v>
      </c>
      <c r="O346" s="258">
        <v>-41876.730604799995</v>
      </c>
      <c r="P346" s="258">
        <v>-22.066009810236018</v>
      </c>
      <c r="Q346" s="258">
        <f t="shared" si="21"/>
        <v>36168.671806442399</v>
      </c>
      <c r="R346" s="259">
        <f t="shared" si="22"/>
        <v>0.31013592466637857</v>
      </c>
      <c r="S346" s="255">
        <f t="shared" si="23"/>
        <v>2.09</v>
      </c>
      <c r="T346" s="255">
        <f t="shared" si="23"/>
        <v>2.09</v>
      </c>
      <c r="U346" s="254">
        <v>102600</v>
      </c>
      <c r="V346" s="254" t="s">
        <v>1005</v>
      </c>
      <c r="W346" s="254" t="s">
        <v>1008</v>
      </c>
      <c r="X346" s="254" t="s">
        <v>446</v>
      </c>
      <c r="Y346" s="254" t="s">
        <v>843</v>
      </c>
      <c r="Z346" s="254" t="s">
        <v>1063</v>
      </c>
      <c r="AA346" s="254" t="s">
        <v>838</v>
      </c>
    </row>
    <row r="347" spans="1:27" ht="14.4" x14ac:dyDescent="0.3">
      <c r="A347" s="253">
        <v>11</v>
      </c>
      <c r="B347" s="254" t="s">
        <v>845</v>
      </c>
      <c r="C347" s="254">
        <v>3142</v>
      </c>
      <c r="D347" s="254" t="s">
        <v>78</v>
      </c>
      <c r="E347" s="254" t="str">
        <f>_xlfn.XLOOKUP(C347,Clientes!I:I,Clientes!F:F)</f>
        <v>INTERFERTIL - SAO FRANCISCO DO SUL</v>
      </c>
      <c r="F347" s="254">
        <v>7398</v>
      </c>
      <c r="G347" s="254" t="s">
        <v>893</v>
      </c>
      <c r="H347" s="254" t="s">
        <v>1004</v>
      </c>
      <c r="I347" s="255">
        <v>15000</v>
      </c>
      <c r="J347" s="256">
        <v>15000</v>
      </c>
      <c r="K347" s="258">
        <v>41400</v>
      </c>
      <c r="L347" s="258">
        <v>-4968</v>
      </c>
      <c r="M347" s="258">
        <f t="shared" si="20"/>
        <v>36432</v>
      </c>
      <c r="N347" s="258">
        <v>-9638.632894736842</v>
      </c>
      <c r="O347" s="258">
        <v>-12045.7338550185</v>
      </c>
      <c r="P347" s="258">
        <v>-6.3472309699808234</v>
      </c>
      <c r="Q347" s="258">
        <f t="shared" si="21"/>
        <v>14741.286019274678</v>
      </c>
      <c r="R347" s="259">
        <f t="shared" si="22"/>
        <v>0.40462467114829481</v>
      </c>
      <c r="S347" s="255">
        <f t="shared" si="23"/>
        <v>2.76</v>
      </c>
      <c r="T347" s="255">
        <f t="shared" si="23"/>
        <v>2.76</v>
      </c>
      <c r="U347" s="254">
        <v>102600</v>
      </c>
      <c r="V347" s="254" t="s">
        <v>1005</v>
      </c>
      <c r="W347" s="254" t="s">
        <v>894</v>
      </c>
      <c r="X347" s="254" t="s">
        <v>446</v>
      </c>
      <c r="Y347" s="254" t="s">
        <v>843</v>
      </c>
      <c r="Z347" s="254" t="s">
        <v>1063</v>
      </c>
      <c r="AA347" s="254" t="s">
        <v>838</v>
      </c>
    </row>
    <row r="348" spans="1:27" ht="14.4" x14ac:dyDescent="0.3">
      <c r="A348" s="253">
        <v>11</v>
      </c>
      <c r="B348" s="254" t="s">
        <v>845</v>
      </c>
      <c r="C348" s="254">
        <v>8413</v>
      </c>
      <c r="D348" s="254" t="s">
        <v>97</v>
      </c>
      <c r="E348" s="254" t="str">
        <f>_xlfn.XLOOKUP(C348,Clientes!I:I,Clientes!F:F)</f>
        <v>GRUPO AMAGGI</v>
      </c>
      <c r="F348" s="254">
        <v>7398</v>
      </c>
      <c r="G348" s="254" t="s">
        <v>840</v>
      </c>
      <c r="H348" s="254" t="s">
        <v>1004</v>
      </c>
      <c r="I348" s="255">
        <v>32000</v>
      </c>
      <c r="J348" s="256">
        <v>32000</v>
      </c>
      <c r="K348" s="258">
        <v>66240</v>
      </c>
      <c r="L348" s="258">
        <v>-4636.8</v>
      </c>
      <c r="M348" s="258">
        <f t="shared" si="20"/>
        <v>61603.199999999997</v>
      </c>
      <c r="N348" s="258">
        <v>-20562.41684210526</v>
      </c>
      <c r="O348" s="258">
        <v>-23352.800640000001</v>
      </c>
      <c r="P348" s="258">
        <v>-12.305237791406306</v>
      </c>
      <c r="Q348" s="258">
        <f t="shared" si="21"/>
        <v>17675.677280103329</v>
      </c>
      <c r="R348" s="259">
        <f t="shared" si="22"/>
        <v>0.28692790764283888</v>
      </c>
      <c r="S348" s="255">
        <f t="shared" si="23"/>
        <v>2.0699999999999998</v>
      </c>
      <c r="T348" s="255">
        <f t="shared" si="23"/>
        <v>2.0699999999999998</v>
      </c>
      <c r="U348" s="254">
        <v>102600</v>
      </c>
      <c r="V348" s="254" t="s">
        <v>1005</v>
      </c>
      <c r="W348" s="254" t="s">
        <v>915</v>
      </c>
      <c r="X348" s="254" t="s">
        <v>446</v>
      </c>
      <c r="Y348" s="254" t="s">
        <v>843</v>
      </c>
      <c r="Z348" s="254" t="s">
        <v>1063</v>
      </c>
      <c r="AA348" s="254" t="s">
        <v>838</v>
      </c>
    </row>
    <row r="349" spans="1:27" ht="14.4" x14ac:dyDescent="0.3">
      <c r="A349" s="253">
        <v>11</v>
      </c>
      <c r="B349" s="254" t="s">
        <v>845</v>
      </c>
      <c r="C349" s="254">
        <v>8414</v>
      </c>
      <c r="D349" s="254" t="s">
        <v>98</v>
      </c>
      <c r="E349" s="254" t="str">
        <f>_xlfn.XLOOKUP(C349,Clientes!I:I,Clientes!F:F)</f>
        <v>GRUPO AMAGGI</v>
      </c>
      <c r="F349" s="254">
        <v>7398</v>
      </c>
      <c r="G349" s="254" t="s">
        <v>1061</v>
      </c>
      <c r="H349" s="254" t="s">
        <v>1004</v>
      </c>
      <c r="I349" s="255">
        <v>15000</v>
      </c>
      <c r="J349" s="256">
        <v>15000</v>
      </c>
      <c r="K349" s="258">
        <v>35400</v>
      </c>
      <c r="L349" s="258">
        <v>-2478.0000000000005</v>
      </c>
      <c r="M349" s="258">
        <f t="shared" si="20"/>
        <v>32922</v>
      </c>
      <c r="N349" s="258">
        <v>-9638.632894736842</v>
      </c>
      <c r="O349" s="258">
        <v>-24495.122433600001</v>
      </c>
      <c r="P349" s="258">
        <v>-12.907158799564826</v>
      </c>
      <c r="Q349" s="258">
        <f t="shared" si="21"/>
        <v>-1224.6624871364081</v>
      </c>
      <c r="R349" s="259">
        <f t="shared" si="22"/>
        <v>-3.719890915304077E-2</v>
      </c>
      <c r="S349" s="255">
        <f t="shared" si="23"/>
        <v>2.36</v>
      </c>
      <c r="T349" s="255">
        <f t="shared" si="23"/>
        <v>2.36</v>
      </c>
      <c r="U349" s="254">
        <v>102600</v>
      </c>
      <c r="V349" s="254" t="s">
        <v>1005</v>
      </c>
      <c r="W349" s="254" t="s">
        <v>1062</v>
      </c>
      <c r="X349" s="254" t="s">
        <v>446</v>
      </c>
      <c r="Y349" s="254" t="s">
        <v>843</v>
      </c>
      <c r="Z349" s="254" t="s">
        <v>1063</v>
      </c>
      <c r="AA349" s="254" t="s">
        <v>838</v>
      </c>
    </row>
    <row r="350" spans="1:27" ht="14.4" x14ac:dyDescent="0.3">
      <c r="A350" s="253">
        <v>11</v>
      </c>
      <c r="B350" s="254" t="s">
        <v>846</v>
      </c>
      <c r="C350" s="254">
        <v>1936</v>
      </c>
      <c r="D350" s="254" t="s">
        <v>889</v>
      </c>
      <c r="E350" s="254" t="str">
        <f>_xlfn.XLOOKUP(C350,Clientes!I:I,Clientes!F:F)</f>
        <v>GRUPO AGRO INDUSTRIAL SAO LUIZ LTDA</v>
      </c>
      <c r="F350" s="254">
        <v>4</v>
      </c>
      <c r="G350" s="254" t="s">
        <v>862</v>
      </c>
      <c r="H350" s="254" t="s">
        <v>863</v>
      </c>
      <c r="I350" s="255">
        <v>35000</v>
      </c>
      <c r="J350" s="256">
        <v>35000</v>
      </c>
      <c r="K350" s="258">
        <v>139650</v>
      </c>
      <c r="L350" s="258">
        <v>-16758</v>
      </c>
      <c r="M350" s="258">
        <f t="shared" si="20"/>
        <v>122892</v>
      </c>
      <c r="N350" s="258">
        <v>-34500.835833333338</v>
      </c>
      <c r="O350" s="258">
        <v>0</v>
      </c>
      <c r="P350" s="258">
        <v>0</v>
      </c>
      <c r="Q350" s="258">
        <f t="shared" si="21"/>
        <v>88391.164166666655</v>
      </c>
      <c r="R350" s="259">
        <f t="shared" si="22"/>
        <v>0.71925889534442156</v>
      </c>
      <c r="S350" s="255">
        <f t="shared" si="23"/>
        <v>3.99</v>
      </c>
      <c r="T350" s="255">
        <f t="shared" si="23"/>
        <v>3.99</v>
      </c>
      <c r="U350" s="254">
        <v>100100</v>
      </c>
      <c r="V350" s="254" t="s">
        <v>834</v>
      </c>
      <c r="W350" s="254" t="s">
        <v>864</v>
      </c>
      <c r="X350" s="254" t="s">
        <v>446</v>
      </c>
      <c r="Y350" s="254" t="s">
        <v>843</v>
      </c>
      <c r="Z350" s="254" t="s">
        <v>1073</v>
      </c>
      <c r="AA350" s="254" t="s">
        <v>838</v>
      </c>
    </row>
    <row r="351" spans="1:27" ht="14.4" x14ac:dyDescent="0.3">
      <c r="A351" s="253">
        <v>11</v>
      </c>
      <c r="B351" s="254" t="s">
        <v>846</v>
      </c>
      <c r="C351" s="254">
        <v>7024</v>
      </c>
      <c r="D351" s="254" t="s">
        <v>721</v>
      </c>
      <c r="E351" s="254" t="str">
        <f>_xlfn.XLOOKUP(C351,Clientes!I:I,Clientes!F:F)</f>
        <v>GRUPO MOSAIC FERTILIZANTES DO BRASIL</v>
      </c>
      <c r="F351" s="254">
        <v>1043</v>
      </c>
      <c r="G351" s="254" t="s">
        <v>840</v>
      </c>
      <c r="H351" s="254" t="s">
        <v>860</v>
      </c>
      <c r="I351" s="255">
        <v>30000</v>
      </c>
      <c r="J351" s="256">
        <v>30000</v>
      </c>
      <c r="K351" s="258">
        <v>68400</v>
      </c>
      <c r="L351" s="258">
        <v>-4788.0000000000009</v>
      </c>
      <c r="M351" s="258">
        <f t="shared" si="20"/>
        <v>63612</v>
      </c>
      <c r="N351" s="258">
        <v>-11986.197500000006</v>
      </c>
      <c r="O351" s="258">
        <v>-21002.580299999998</v>
      </c>
      <c r="P351" s="258">
        <v>-263.80073245950285</v>
      </c>
      <c r="Q351" s="258">
        <f t="shared" si="21"/>
        <v>30359.421467540491</v>
      </c>
      <c r="R351" s="259">
        <f t="shared" si="22"/>
        <v>0.47725934521065982</v>
      </c>
      <c r="S351" s="255">
        <f t="shared" si="23"/>
        <v>2.2799999999999998</v>
      </c>
      <c r="T351" s="255">
        <f t="shared" si="23"/>
        <v>2.2799999999999998</v>
      </c>
      <c r="U351" s="254">
        <v>100100</v>
      </c>
      <c r="V351" s="254" t="s">
        <v>834</v>
      </c>
      <c r="W351" s="254" t="s">
        <v>874</v>
      </c>
      <c r="X351" s="254" t="s">
        <v>446</v>
      </c>
      <c r="Y351" s="254" t="s">
        <v>843</v>
      </c>
      <c r="Z351" s="254" t="s">
        <v>1073</v>
      </c>
      <c r="AA351" s="254" t="s">
        <v>838</v>
      </c>
    </row>
    <row r="352" spans="1:27" ht="14.4" x14ac:dyDescent="0.3">
      <c r="A352" s="253">
        <v>11</v>
      </c>
      <c r="B352" s="254" t="s">
        <v>846</v>
      </c>
      <c r="C352" s="254">
        <v>2603</v>
      </c>
      <c r="D352" s="254" t="s">
        <v>1074</v>
      </c>
      <c r="E352" s="254" t="str">
        <f>_xlfn.XLOOKUP(C352,Clientes!I:I,Clientes!F:F)</f>
        <v>GRUPO MOSAIC FERTILIZANTES DO BRASIL</v>
      </c>
      <c r="F352" s="254">
        <v>1043</v>
      </c>
      <c r="G352" s="254" t="s">
        <v>897</v>
      </c>
      <c r="H352" s="254" t="s">
        <v>860</v>
      </c>
      <c r="I352" s="255">
        <v>30000</v>
      </c>
      <c r="J352" s="256">
        <v>30000</v>
      </c>
      <c r="K352" s="258">
        <v>73800</v>
      </c>
      <c r="L352" s="258">
        <v>-5166.0000000000009</v>
      </c>
      <c r="M352" s="258">
        <f t="shared" si="20"/>
        <v>68634</v>
      </c>
      <c r="N352" s="258">
        <v>-11986.197500000006</v>
      </c>
      <c r="O352" s="258">
        <v>0</v>
      </c>
      <c r="P352" s="258">
        <v>0</v>
      </c>
      <c r="Q352" s="258">
        <f t="shared" si="21"/>
        <v>56647.802499999991</v>
      </c>
      <c r="R352" s="259">
        <f t="shared" si="22"/>
        <v>0.82536064486988947</v>
      </c>
      <c r="S352" s="255">
        <f t="shared" si="23"/>
        <v>2.46</v>
      </c>
      <c r="T352" s="255">
        <f t="shared" si="23"/>
        <v>2.46</v>
      </c>
      <c r="U352" s="254">
        <v>100100</v>
      </c>
      <c r="V352" s="254" t="s">
        <v>834</v>
      </c>
      <c r="W352" s="254" t="s">
        <v>899</v>
      </c>
      <c r="X352" s="254" t="s">
        <v>446</v>
      </c>
      <c r="Y352" s="254" t="s">
        <v>843</v>
      </c>
      <c r="Z352" s="254" t="s">
        <v>1073</v>
      </c>
      <c r="AA352" s="254" t="s">
        <v>838</v>
      </c>
    </row>
    <row r="353" spans="1:27" ht="14.4" x14ac:dyDescent="0.3">
      <c r="A353" s="253">
        <v>11</v>
      </c>
      <c r="B353" s="254" t="s">
        <v>846</v>
      </c>
      <c r="C353" s="254">
        <v>3273</v>
      </c>
      <c r="D353" s="254" t="s">
        <v>79</v>
      </c>
      <c r="E353" s="254" t="str">
        <f>_xlfn.XLOOKUP(C353,Clientes!I:I,Clientes!F:F)</f>
        <v>FERTIMAXI - CONCEICAO DO JACUIPE</v>
      </c>
      <c r="F353" s="254">
        <v>2</v>
      </c>
      <c r="G353" s="254" t="s">
        <v>875</v>
      </c>
      <c r="H353" s="254" t="s">
        <v>883</v>
      </c>
      <c r="I353" s="255">
        <v>30000</v>
      </c>
      <c r="J353" s="256">
        <v>30000</v>
      </c>
      <c r="K353" s="258">
        <v>78900</v>
      </c>
      <c r="L353" s="258">
        <v>-5523.0000000000009</v>
      </c>
      <c r="M353" s="258">
        <f t="shared" si="20"/>
        <v>73377</v>
      </c>
      <c r="N353" s="258">
        <v>-17009.744999999999</v>
      </c>
      <c r="O353" s="258">
        <v>-18675.345000000001</v>
      </c>
      <c r="P353" s="258">
        <v>-234.56973474511202</v>
      </c>
      <c r="Q353" s="258">
        <f t="shared" si="21"/>
        <v>37457.34026525489</v>
      </c>
      <c r="R353" s="259">
        <f t="shared" si="22"/>
        <v>0.51047794629454579</v>
      </c>
      <c r="S353" s="255">
        <f t="shared" si="23"/>
        <v>2.63</v>
      </c>
      <c r="T353" s="255">
        <f t="shared" si="23"/>
        <v>2.63</v>
      </c>
      <c r="U353" s="254">
        <v>100100</v>
      </c>
      <c r="V353" s="254" t="s">
        <v>834</v>
      </c>
      <c r="W353" s="254" t="s">
        <v>884</v>
      </c>
      <c r="X353" s="254" t="s">
        <v>446</v>
      </c>
      <c r="Y353" s="254" t="s">
        <v>843</v>
      </c>
      <c r="Z353" s="254" t="s">
        <v>1073</v>
      </c>
      <c r="AA353" s="254" t="s">
        <v>838</v>
      </c>
    </row>
    <row r="354" spans="1:27" ht="14.4" x14ac:dyDescent="0.3">
      <c r="A354" s="253">
        <v>11</v>
      </c>
      <c r="B354" s="254" t="s">
        <v>846</v>
      </c>
      <c r="C354" s="254">
        <v>1023</v>
      </c>
      <c r="D354" s="254" t="s">
        <v>49</v>
      </c>
      <c r="E354" s="254" t="str">
        <f>_xlfn.XLOOKUP(C354,Clientes!I:I,Clientes!F:F)</f>
        <v>GRUPO ADUBOS ARAGUAIA</v>
      </c>
      <c r="F354" s="254">
        <v>14133</v>
      </c>
      <c r="G354" s="254" t="s">
        <v>840</v>
      </c>
      <c r="H354" s="254" t="s">
        <v>841</v>
      </c>
      <c r="I354" s="255">
        <v>12000</v>
      </c>
      <c r="J354" s="256">
        <v>12000</v>
      </c>
      <c r="K354" s="258">
        <v>34320</v>
      </c>
      <c r="L354" s="258">
        <v>-2402.4</v>
      </c>
      <c r="M354" s="258">
        <f t="shared" si="20"/>
        <v>31917.599999999999</v>
      </c>
      <c r="N354" s="258">
        <v>-15419.301068702283</v>
      </c>
      <c r="O354" s="258">
        <v>-7644.7315593636004</v>
      </c>
      <c r="P354" s="258">
        <v>-96.020858199808686</v>
      </c>
      <c r="Q354" s="258">
        <f t="shared" si="21"/>
        <v>8757.5465137343053</v>
      </c>
      <c r="R354" s="259">
        <f t="shared" si="22"/>
        <v>0.27437985668516135</v>
      </c>
      <c r="S354" s="255">
        <f t="shared" si="23"/>
        <v>2.86</v>
      </c>
      <c r="T354" s="255">
        <f t="shared" si="23"/>
        <v>2.86</v>
      </c>
      <c r="U354" s="254">
        <v>100100</v>
      </c>
      <c r="V354" s="254" t="s">
        <v>834</v>
      </c>
      <c r="W354" s="254" t="s">
        <v>861</v>
      </c>
      <c r="X354" s="254" t="s">
        <v>446</v>
      </c>
      <c r="Y354" s="254" t="s">
        <v>843</v>
      </c>
      <c r="Z354" s="254" t="s">
        <v>1073</v>
      </c>
      <c r="AA354" s="254" t="s">
        <v>838</v>
      </c>
    </row>
    <row r="355" spans="1:27" ht="14.4" x14ac:dyDescent="0.3">
      <c r="A355" s="253">
        <v>11</v>
      </c>
      <c r="B355" s="254" t="s">
        <v>846</v>
      </c>
      <c r="C355" s="254">
        <v>2287</v>
      </c>
      <c r="D355" s="254" t="s">
        <v>114</v>
      </c>
      <c r="E355" s="254" t="str">
        <f>_xlfn.XLOOKUP(C355,Clientes!I:I,Clientes!F:F)</f>
        <v>BUNGE PARAGUAY S.A</v>
      </c>
      <c r="F355" s="254">
        <v>4067</v>
      </c>
      <c r="G355" s="254" t="s">
        <v>832</v>
      </c>
      <c r="H355" s="254" t="s">
        <v>881</v>
      </c>
      <c r="I355" s="255">
        <v>30000</v>
      </c>
      <c r="J355" s="256">
        <v>30000</v>
      </c>
      <c r="K355" s="258">
        <v>159000</v>
      </c>
      <c r="L355" s="258">
        <v>0</v>
      </c>
      <c r="M355" s="258">
        <f t="shared" si="20"/>
        <v>159000</v>
      </c>
      <c r="N355" s="258">
        <v>-45775.780000000006</v>
      </c>
      <c r="O355" s="258">
        <v>-35721.999999999898</v>
      </c>
      <c r="P355" s="258">
        <v>-3720.5180456978801</v>
      </c>
      <c r="Q355" s="258">
        <f t="shared" si="21"/>
        <v>73781.701954302218</v>
      </c>
      <c r="R355" s="259">
        <f t="shared" si="22"/>
        <v>0.46403586134781272</v>
      </c>
      <c r="S355" s="255">
        <f t="shared" si="23"/>
        <v>5.3</v>
      </c>
      <c r="T355" s="255">
        <f t="shared" si="23"/>
        <v>5.3</v>
      </c>
      <c r="U355" s="254">
        <v>100100</v>
      </c>
      <c r="V355" s="254" t="s">
        <v>834</v>
      </c>
      <c r="W355" s="254" t="s">
        <v>882</v>
      </c>
      <c r="X355" s="254" t="s">
        <v>446</v>
      </c>
      <c r="Y355" s="254" t="s">
        <v>836</v>
      </c>
      <c r="Z355" s="254" t="s">
        <v>1073</v>
      </c>
      <c r="AA355" s="254" t="s">
        <v>838</v>
      </c>
    </row>
    <row r="356" spans="1:27" ht="14.4" x14ac:dyDescent="0.3">
      <c r="A356" s="253">
        <v>11</v>
      </c>
      <c r="B356" s="254" t="s">
        <v>846</v>
      </c>
      <c r="C356" s="254">
        <v>2011</v>
      </c>
      <c r="D356" s="254" t="s">
        <v>616</v>
      </c>
      <c r="E356" s="254" t="str">
        <f>_xlfn.XLOOKUP(C356,Clientes!I:I,Clientes!F:F)</f>
        <v>FERTGROW S.A</v>
      </c>
      <c r="F356" s="254">
        <v>6654</v>
      </c>
      <c r="G356" s="254" t="s">
        <v>897</v>
      </c>
      <c r="H356" s="254" t="s">
        <v>898</v>
      </c>
      <c r="I356" s="255">
        <v>30000</v>
      </c>
      <c r="J356" s="256">
        <v>30000</v>
      </c>
      <c r="K356" s="258">
        <v>81000</v>
      </c>
      <c r="L356" s="258">
        <v>-5670.0000000000009</v>
      </c>
      <c r="M356" s="258">
        <f t="shared" si="20"/>
        <v>75330</v>
      </c>
      <c r="N356" s="258">
        <v>-11564.710000000001</v>
      </c>
      <c r="O356" s="258">
        <v>-26461.527299999998</v>
      </c>
      <c r="P356" s="258">
        <v>-332.36727030807407</v>
      </c>
      <c r="Q356" s="258">
        <f t="shared" si="21"/>
        <v>36971.395429691933</v>
      </c>
      <c r="R356" s="259">
        <f t="shared" si="22"/>
        <v>0.49079245227255985</v>
      </c>
      <c r="S356" s="255">
        <f t="shared" si="23"/>
        <v>2.7</v>
      </c>
      <c r="T356" s="255">
        <f t="shared" si="23"/>
        <v>2.7</v>
      </c>
      <c r="U356" s="254">
        <v>100100</v>
      </c>
      <c r="V356" s="254" t="s">
        <v>834</v>
      </c>
      <c r="W356" s="254" t="s">
        <v>899</v>
      </c>
      <c r="X356" s="254" t="s">
        <v>446</v>
      </c>
      <c r="Y356" s="254" t="s">
        <v>843</v>
      </c>
      <c r="Z356" s="254" t="s">
        <v>1073</v>
      </c>
      <c r="AA356" s="254" t="s">
        <v>838</v>
      </c>
    </row>
    <row r="357" spans="1:27" ht="14.4" x14ac:dyDescent="0.3">
      <c r="A357" s="253">
        <v>11</v>
      </c>
      <c r="B357" s="254" t="s">
        <v>846</v>
      </c>
      <c r="C357" s="254">
        <v>2655</v>
      </c>
      <c r="D357" s="254" t="s">
        <v>318</v>
      </c>
      <c r="E357" s="254" t="str">
        <f>_xlfn.XLOOKUP(C357,Clientes!I:I,Clientes!F:F)</f>
        <v>EQUILIBRA PERU S.A</v>
      </c>
      <c r="F357" s="254">
        <v>14141</v>
      </c>
      <c r="G357" s="254" t="s">
        <v>832</v>
      </c>
      <c r="H357" s="254" t="s">
        <v>833</v>
      </c>
      <c r="I357" s="255">
        <v>4800</v>
      </c>
      <c r="J357" s="256">
        <v>4800</v>
      </c>
      <c r="K357" s="258">
        <v>29030.400000000001</v>
      </c>
      <c r="L357" s="258">
        <v>0</v>
      </c>
      <c r="M357" s="258">
        <f t="shared" si="20"/>
        <v>29030.400000000001</v>
      </c>
      <c r="N357" s="258">
        <v>-6201.112000000001</v>
      </c>
      <c r="O357" s="258">
        <v>-8680.725504</v>
      </c>
      <c r="P357" s="258">
        <v>-632.52704363316548</v>
      </c>
      <c r="Q357" s="258">
        <f t="shared" si="21"/>
        <v>13516.035452366836</v>
      </c>
      <c r="R357" s="259">
        <f t="shared" si="22"/>
        <v>0.46558212950447925</v>
      </c>
      <c r="S357" s="255">
        <f t="shared" si="23"/>
        <v>6.048</v>
      </c>
      <c r="T357" s="255">
        <f t="shared" si="23"/>
        <v>6.048</v>
      </c>
      <c r="U357" s="254">
        <v>100100</v>
      </c>
      <c r="V357" s="254" t="s">
        <v>834</v>
      </c>
      <c r="W357" s="254" t="s">
        <v>872</v>
      </c>
      <c r="X357" s="254" t="s">
        <v>446</v>
      </c>
      <c r="Y357" s="254" t="s">
        <v>836</v>
      </c>
      <c r="Z357" s="254" t="s">
        <v>1073</v>
      </c>
      <c r="AA357" s="254" t="s">
        <v>838</v>
      </c>
    </row>
    <row r="358" spans="1:27" ht="14.4" x14ac:dyDescent="0.3">
      <c r="A358" s="253">
        <v>11</v>
      </c>
      <c r="B358" s="254" t="s">
        <v>846</v>
      </c>
      <c r="C358" s="254">
        <v>214</v>
      </c>
      <c r="D358" s="254" t="s">
        <v>149</v>
      </c>
      <c r="E358" s="254" t="str">
        <f>_xlfn.XLOOKUP(C358,Clientes!I:I,Clientes!F:F)</f>
        <v>GRUPO UNIFERTIL</v>
      </c>
      <c r="F358" s="254">
        <v>3</v>
      </c>
      <c r="G358" s="254" t="s">
        <v>877</v>
      </c>
      <c r="H358" s="254" t="s">
        <v>879</v>
      </c>
      <c r="I358" s="255">
        <v>64000</v>
      </c>
      <c r="J358" s="256">
        <v>64000</v>
      </c>
      <c r="K358" s="258">
        <v>165760</v>
      </c>
      <c r="L358" s="258">
        <v>-19891.2</v>
      </c>
      <c r="M358" s="258">
        <f t="shared" si="20"/>
        <v>145868.79999999999</v>
      </c>
      <c r="N358" s="258">
        <v>-49328.845000000008</v>
      </c>
      <c r="O358" s="258">
        <v>-51609.076479999996</v>
      </c>
      <c r="P358" s="258">
        <v>-648.2304546638253</v>
      </c>
      <c r="Q358" s="258">
        <f t="shared" si="21"/>
        <v>44282.648065336165</v>
      </c>
      <c r="R358" s="259">
        <f t="shared" si="22"/>
        <v>0.3035786135577736</v>
      </c>
      <c r="S358" s="255">
        <f t="shared" si="23"/>
        <v>2.59</v>
      </c>
      <c r="T358" s="255">
        <f t="shared" si="23"/>
        <v>2.59</v>
      </c>
      <c r="U358" s="254">
        <v>100100</v>
      </c>
      <c r="V358" s="254" t="s">
        <v>834</v>
      </c>
      <c r="W358" s="254" t="s">
        <v>880</v>
      </c>
      <c r="X358" s="254" t="s">
        <v>446</v>
      </c>
      <c r="Y358" s="254" t="s">
        <v>843</v>
      </c>
      <c r="Z358" s="254" t="s">
        <v>1073</v>
      </c>
      <c r="AA358" s="254" t="s">
        <v>838</v>
      </c>
    </row>
    <row r="359" spans="1:27" ht="14.4" x14ac:dyDescent="0.3">
      <c r="A359" s="253">
        <v>11</v>
      </c>
      <c r="B359" s="254" t="s">
        <v>846</v>
      </c>
      <c r="C359" s="254">
        <v>2925</v>
      </c>
      <c r="D359" s="254" t="s">
        <v>341</v>
      </c>
      <c r="E359" s="254" t="str">
        <f>_xlfn.XLOOKUP(C359,Clientes!I:I,Clientes!F:F)</f>
        <v>COPEVAL - CHILE</v>
      </c>
      <c r="F359" s="254">
        <v>14145</v>
      </c>
      <c r="G359" s="254" t="s">
        <v>832</v>
      </c>
      <c r="H359" s="254" t="s">
        <v>1075</v>
      </c>
      <c r="I359" s="255">
        <v>12000</v>
      </c>
      <c r="J359" s="256">
        <v>12000</v>
      </c>
      <c r="K359" s="258">
        <v>82800</v>
      </c>
      <c r="L359" s="258">
        <v>0</v>
      </c>
      <c r="M359" s="258">
        <f t="shared" si="20"/>
        <v>82800</v>
      </c>
      <c r="N359" s="258">
        <v>-18791.510000000002</v>
      </c>
      <c r="O359" s="258">
        <v>-69762.908160000006</v>
      </c>
      <c r="P359" s="258">
        <v>-2184.9840026605307</v>
      </c>
      <c r="Q359" s="258">
        <f t="shared" si="21"/>
        <v>-7939.402162660539</v>
      </c>
      <c r="R359" s="259">
        <f t="shared" si="22"/>
        <v>-9.5886499549040327E-2</v>
      </c>
      <c r="S359" s="255">
        <f t="shared" si="23"/>
        <v>6.9</v>
      </c>
      <c r="T359" s="255">
        <f t="shared" si="23"/>
        <v>6.9</v>
      </c>
      <c r="U359" s="254">
        <v>100100</v>
      </c>
      <c r="V359" s="254" t="s">
        <v>834</v>
      </c>
      <c r="W359" s="254" t="s">
        <v>1076</v>
      </c>
      <c r="X359" s="254" t="s">
        <v>446</v>
      </c>
      <c r="Y359" s="254" t="s">
        <v>836</v>
      </c>
      <c r="Z359" s="254" t="s">
        <v>1073</v>
      </c>
      <c r="AA359" s="254" t="s">
        <v>838</v>
      </c>
    </row>
    <row r="360" spans="1:27" ht="14.4" x14ac:dyDescent="0.3">
      <c r="A360" s="253">
        <v>11</v>
      </c>
      <c r="B360" s="254" t="s">
        <v>846</v>
      </c>
      <c r="C360" s="254">
        <v>2247</v>
      </c>
      <c r="D360" s="254" t="s">
        <v>425</v>
      </c>
      <c r="E360" s="254" t="str">
        <f>_xlfn.XLOOKUP(C360,Clientes!I:I,Clientes!F:F)</f>
        <v>ADUBOS LEAO - LARANJEIRAS</v>
      </c>
      <c r="F360" s="254">
        <v>14133</v>
      </c>
      <c r="G360" s="254" t="s">
        <v>887</v>
      </c>
      <c r="H360" s="254" t="s">
        <v>841</v>
      </c>
      <c r="I360" s="255">
        <v>1000</v>
      </c>
      <c r="J360" s="256">
        <v>1000</v>
      </c>
      <c r="K360" s="258">
        <v>5500</v>
      </c>
      <c r="L360" s="258">
        <v>-385.00000000000006</v>
      </c>
      <c r="M360" s="258">
        <f t="shared" si="20"/>
        <v>5115</v>
      </c>
      <c r="N360" s="258">
        <v>-1284.9417557251904</v>
      </c>
      <c r="O360" s="258">
        <v>-1540.8424886400001</v>
      </c>
      <c r="P360" s="258">
        <v>-19.353592334935875</v>
      </c>
      <c r="Q360" s="258">
        <f t="shared" si="21"/>
        <v>2269.8621632998734</v>
      </c>
      <c r="R360" s="259">
        <f t="shared" si="22"/>
        <v>0.44376581882695471</v>
      </c>
      <c r="S360" s="255">
        <f t="shared" si="23"/>
        <v>5.5</v>
      </c>
      <c r="T360" s="255">
        <f t="shared" si="23"/>
        <v>5.5</v>
      </c>
      <c r="U360" s="254">
        <v>100100</v>
      </c>
      <c r="V360" s="254" t="s">
        <v>834</v>
      </c>
      <c r="W360" s="254" t="s">
        <v>1030</v>
      </c>
      <c r="X360" s="254" t="s">
        <v>446</v>
      </c>
      <c r="Y360" s="254" t="s">
        <v>843</v>
      </c>
      <c r="Z360" s="254" t="s">
        <v>1073</v>
      </c>
      <c r="AA360" s="254" t="s">
        <v>838</v>
      </c>
    </row>
    <row r="361" spans="1:27" ht="14.4" x14ac:dyDescent="0.3">
      <c r="A361" s="253">
        <v>11</v>
      </c>
      <c r="B361" s="254" t="s">
        <v>846</v>
      </c>
      <c r="C361" s="254">
        <v>7479</v>
      </c>
      <c r="D361" s="254" t="s">
        <v>1017</v>
      </c>
      <c r="E361" s="254" t="str">
        <f>_xlfn.XLOOKUP(C361,Clientes!I:I,Clientes!F:F)</f>
        <v>GRUPO MOSAIC FERTILIZANTES DO BRASIL</v>
      </c>
      <c r="F361" s="254">
        <v>1043</v>
      </c>
      <c r="G361" s="254" t="s">
        <v>908</v>
      </c>
      <c r="H361" s="254" t="s">
        <v>860</v>
      </c>
      <c r="I361" s="255">
        <v>30000</v>
      </c>
      <c r="J361" s="256">
        <v>30000</v>
      </c>
      <c r="K361" s="258">
        <v>64800</v>
      </c>
      <c r="L361" s="258">
        <v>-7776</v>
      </c>
      <c r="M361" s="258">
        <f t="shared" si="20"/>
        <v>57024</v>
      </c>
      <c r="N361" s="258">
        <v>-11986.197500000006</v>
      </c>
      <c r="O361" s="258">
        <v>0</v>
      </c>
      <c r="P361" s="258">
        <v>0</v>
      </c>
      <c r="Q361" s="258">
        <f t="shared" si="21"/>
        <v>45037.802499999991</v>
      </c>
      <c r="R361" s="259">
        <f t="shared" si="22"/>
        <v>0.78980433677048245</v>
      </c>
      <c r="S361" s="255">
        <f t="shared" si="23"/>
        <v>2.16</v>
      </c>
      <c r="T361" s="255">
        <f t="shared" si="23"/>
        <v>2.16</v>
      </c>
      <c r="U361" s="254">
        <v>100100</v>
      </c>
      <c r="V361" s="254" t="s">
        <v>834</v>
      </c>
      <c r="W361" s="254" t="s">
        <v>1018</v>
      </c>
      <c r="X361" s="254" t="s">
        <v>446</v>
      </c>
      <c r="Y361" s="254" t="s">
        <v>843</v>
      </c>
      <c r="Z361" s="254" t="s">
        <v>1073</v>
      </c>
      <c r="AA361" s="254" t="s">
        <v>838</v>
      </c>
    </row>
    <row r="362" spans="1:27" ht="14.4" x14ac:dyDescent="0.3">
      <c r="A362" s="253">
        <v>11</v>
      </c>
      <c r="B362" s="254" t="s">
        <v>846</v>
      </c>
      <c r="C362" s="254">
        <v>6477</v>
      </c>
      <c r="D362" s="254" t="s">
        <v>87</v>
      </c>
      <c r="E362" s="254" t="str">
        <f>_xlfn.XLOOKUP(C362,Clientes!I:I,Clientes!F:F)</f>
        <v>GRUPO MOSAIC FERTILIZANTES DO BRASIL</v>
      </c>
      <c r="F362" s="254">
        <v>1043</v>
      </c>
      <c r="G362" s="254" t="s">
        <v>862</v>
      </c>
      <c r="H362" s="254" t="s">
        <v>860</v>
      </c>
      <c r="I362" s="255">
        <v>60000</v>
      </c>
      <c r="J362" s="256">
        <v>60000</v>
      </c>
      <c r="K362" s="258">
        <v>131400</v>
      </c>
      <c r="L362" s="258">
        <v>-15768</v>
      </c>
      <c r="M362" s="258">
        <f t="shared" si="20"/>
        <v>115632</v>
      </c>
      <c r="N362" s="258">
        <v>-23972.395000000011</v>
      </c>
      <c r="O362" s="258">
        <v>-28099.2114</v>
      </c>
      <c r="P362" s="258">
        <v>-352.93723166264544</v>
      </c>
      <c r="Q362" s="258">
        <f t="shared" si="21"/>
        <v>63207.456368337334</v>
      </c>
      <c r="R362" s="259">
        <f t="shared" si="22"/>
        <v>0.54662598907168725</v>
      </c>
      <c r="S362" s="255">
        <f t="shared" si="23"/>
        <v>2.19</v>
      </c>
      <c r="T362" s="255">
        <f t="shared" si="23"/>
        <v>2.19</v>
      </c>
      <c r="U362" s="254">
        <v>100100</v>
      </c>
      <c r="V362" s="254" t="s">
        <v>834</v>
      </c>
      <c r="W362" s="254" t="s">
        <v>864</v>
      </c>
      <c r="X362" s="254" t="s">
        <v>446</v>
      </c>
      <c r="Y362" s="254" t="s">
        <v>843</v>
      </c>
      <c r="Z362" s="254" t="s">
        <v>1073</v>
      </c>
      <c r="AA362" s="254" t="s">
        <v>838</v>
      </c>
    </row>
    <row r="363" spans="1:27" ht="14.4" x14ac:dyDescent="0.3">
      <c r="A363" s="253">
        <v>11</v>
      </c>
      <c r="B363" s="254" t="s">
        <v>846</v>
      </c>
      <c r="C363" s="254">
        <v>2559</v>
      </c>
      <c r="D363" s="254" t="s">
        <v>451</v>
      </c>
      <c r="E363" s="254" t="str">
        <f>_xlfn.XLOOKUP(C363,Clientes!I:I,Clientes!F:F)</f>
        <v>GRUPO MOSAIC FERTILIZANTES DO BRASIL</v>
      </c>
      <c r="F363" s="254">
        <v>1043</v>
      </c>
      <c r="G363" s="254" t="s">
        <v>877</v>
      </c>
      <c r="H363" s="254" t="s">
        <v>860</v>
      </c>
      <c r="I363" s="255">
        <v>30000</v>
      </c>
      <c r="J363" s="256">
        <v>30000</v>
      </c>
      <c r="K363" s="258">
        <v>75300</v>
      </c>
      <c r="L363" s="258">
        <v>-9036</v>
      </c>
      <c r="M363" s="258">
        <f t="shared" si="20"/>
        <v>66264</v>
      </c>
      <c r="N363" s="258">
        <v>-11986.197500000006</v>
      </c>
      <c r="O363" s="258">
        <v>-24421.605</v>
      </c>
      <c r="P363" s="258">
        <v>-306.74503774360795</v>
      </c>
      <c r="Q363" s="258">
        <f t="shared" si="21"/>
        <v>29549.452462256384</v>
      </c>
      <c r="R363" s="259">
        <f t="shared" si="22"/>
        <v>0.44593523575782301</v>
      </c>
      <c r="S363" s="255">
        <f t="shared" si="23"/>
        <v>2.5099999999999998</v>
      </c>
      <c r="T363" s="255">
        <f t="shared" si="23"/>
        <v>2.5099999999999998</v>
      </c>
      <c r="U363" s="254">
        <v>100100</v>
      </c>
      <c r="V363" s="254" t="s">
        <v>834</v>
      </c>
      <c r="W363" s="254" t="s">
        <v>878</v>
      </c>
      <c r="X363" s="254" t="s">
        <v>446</v>
      </c>
      <c r="Y363" s="254" t="s">
        <v>843</v>
      </c>
      <c r="Z363" s="254" t="s">
        <v>1073</v>
      </c>
      <c r="AA363" s="254" t="s">
        <v>838</v>
      </c>
    </row>
    <row r="364" spans="1:27" ht="14.4" x14ac:dyDescent="0.3">
      <c r="A364" s="253">
        <v>11</v>
      </c>
      <c r="B364" s="254" t="s">
        <v>846</v>
      </c>
      <c r="C364" s="254">
        <v>11212</v>
      </c>
      <c r="D364" s="254" t="s">
        <v>230</v>
      </c>
      <c r="E364" s="254" t="str">
        <f>_xlfn.XLOOKUP(C364,Clientes!I:I,Clientes!F:F)</f>
        <v>INPEK FERTILIZANTES - PARANAGUA</v>
      </c>
      <c r="F364" s="254">
        <v>1043</v>
      </c>
      <c r="G364" s="254" t="s">
        <v>862</v>
      </c>
      <c r="H364" s="254" t="s">
        <v>860</v>
      </c>
      <c r="I364" s="255">
        <v>30000</v>
      </c>
      <c r="J364" s="256">
        <v>30000</v>
      </c>
      <c r="K364" s="258">
        <v>57000</v>
      </c>
      <c r="L364" s="258">
        <v>-6840</v>
      </c>
      <c r="M364" s="258">
        <f t="shared" si="20"/>
        <v>50160</v>
      </c>
      <c r="N364" s="258">
        <v>-11986.197500000006</v>
      </c>
      <c r="O364" s="258">
        <v>-14049.6057</v>
      </c>
      <c r="P364" s="258">
        <v>-176.46861583132272</v>
      </c>
      <c r="Q364" s="258">
        <f t="shared" si="21"/>
        <v>23947.728184168667</v>
      </c>
      <c r="R364" s="259">
        <f t="shared" si="22"/>
        <v>0.47742679792999737</v>
      </c>
      <c r="S364" s="255">
        <f t="shared" si="23"/>
        <v>1.9</v>
      </c>
      <c r="T364" s="255">
        <f t="shared" si="23"/>
        <v>1.9</v>
      </c>
      <c r="U364" s="254">
        <v>100100</v>
      </c>
      <c r="V364" s="254" t="s">
        <v>834</v>
      </c>
      <c r="W364" s="254" t="s">
        <v>864</v>
      </c>
      <c r="X364" s="254" t="s">
        <v>446</v>
      </c>
      <c r="Y364" s="254" t="s">
        <v>843</v>
      </c>
      <c r="Z364" s="254" t="s">
        <v>1073</v>
      </c>
      <c r="AA364" s="254" t="s">
        <v>838</v>
      </c>
    </row>
    <row r="365" spans="1:27" ht="14.4" x14ac:dyDescent="0.3">
      <c r="A365" s="253">
        <v>11</v>
      </c>
      <c r="B365" s="254" t="s">
        <v>846</v>
      </c>
      <c r="C365" s="254">
        <v>1462</v>
      </c>
      <c r="D365" s="254" t="s">
        <v>907</v>
      </c>
      <c r="E365" s="254" t="str">
        <f>_xlfn.XLOOKUP(C365,Clientes!I:I,Clientes!F:F)</f>
        <v>AURORA MINERAÇÃO LTDA</v>
      </c>
      <c r="F365" s="254">
        <v>1042</v>
      </c>
      <c r="G365" s="254" t="s">
        <v>908</v>
      </c>
      <c r="H365" s="254" t="s">
        <v>909</v>
      </c>
      <c r="I365" s="255">
        <v>45000</v>
      </c>
      <c r="J365" s="256">
        <v>45000</v>
      </c>
      <c r="K365" s="258">
        <v>75150</v>
      </c>
      <c r="L365" s="258">
        <v>-9018</v>
      </c>
      <c r="M365" s="258">
        <f t="shared" si="20"/>
        <v>66132</v>
      </c>
      <c r="N365" s="258">
        <v>-23408.18</v>
      </c>
      <c r="O365" s="258">
        <v>0</v>
      </c>
      <c r="P365" s="258">
        <v>0</v>
      </c>
      <c r="Q365" s="258">
        <f t="shared" si="21"/>
        <v>42723.82</v>
      </c>
      <c r="R365" s="259">
        <f t="shared" si="22"/>
        <v>0.64603852900260084</v>
      </c>
      <c r="S365" s="255">
        <f t="shared" si="23"/>
        <v>1.67</v>
      </c>
      <c r="T365" s="255">
        <f t="shared" si="23"/>
        <v>1.67</v>
      </c>
      <c r="U365" s="254">
        <v>100100</v>
      </c>
      <c r="V365" s="254" t="s">
        <v>834</v>
      </c>
      <c r="W365" s="254" t="s">
        <v>910</v>
      </c>
      <c r="X365" s="254" t="s">
        <v>446</v>
      </c>
      <c r="Y365" s="254" t="s">
        <v>843</v>
      </c>
      <c r="Z365" s="254" t="s">
        <v>1073</v>
      </c>
      <c r="AA365" s="254" t="s">
        <v>838</v>
      </c>
    </row>
    <row r="366" spans="1:27" ht="14.4" x14ac:dyDescent="0.3">
      <c r="A366" s="253">
        <v>11</v>
      </c>
      <c r="B366" s="254" t="s">
        <v>846</v>
      </c>
      <c r="C366" s="254">
        <v>7022</v>
      </c>
      <c r="D366" s="254" t="s">
        <v>89</v>
      </c>
      <c r="E366" s="254" t="str">
        <f>_xlfn.XLOOKUP(C366,Clientes!I:I,Clientes!F:F)</f>
        <v>STRATOS - ROSARIO DO CATETE</v>
      </c>
      <c r="F366" s="254">
        <v>1043</v>
      </c>
      <c r="G366" s="254" t="s">
        <v>887</v>
      </c>
      <c r="H366" s="254" t="s">
        <v>860</v>
      </c>
      <c r="I366" s="255">
        <v>120000</v>
      </c>
      <c r="J366" s="256">
        <v>120000</v>
      </c>
      <c r="K366" s="258">
        <v>289200</v>
      </c>
      <c r="L366" s="258">
        <v>-20244.000000000004</v>
      </c>
      <c r="M366" s="258">
        <f t="shared" si="20"/>
        <v>268956</v>
      </c>
      <c r="N366" s="258">
        <v>-47944.790000000023</v>
      </c>
      <c r="O366" s="258">
        <v>-100846.0043136</v>
      </c>
      <c r="P366" s="258">
        <v>-1266.6657821821</v>
      </c>
      <c r="Q366" s="258">
        <f t="shared" si="21"/>
        <v>118898.53990421786</v>
      </c>
      <c r="R366" s="259">
        <f t="shared" si="22"/>
        <v>0.44207431663252672</v>
      </c>
      <c r="S366" s="255">
        <f t="shared" si="23"/>
        <v>2.41</v>
      </c>
      <c r="T366" s="255">
        <f t="shared" si="23"/>
        <v>2.41</v>
      </c>
      <c r="U366" s="254">
        <v>100100</v>
      </c>
      <c r="V366" s="254" t="s">
        <v>834</v>
      </c>
      <c r="W366" s="254" t="s">
        <v>888</v>
      </c>
      <c r="X366" s="254" t="s">
        <v>446</v>
      </c>
      <c r="Y366" s="254" t="s">
        <v>843</v>
      </c>
      <c r="Z366" s="254" t="s">
        <v>1073</v>
      </c>
      <c r="AA366" s="254" t="s">
        <v>838</v>
      </c>
    </row>
    <row r="367" spans="1:27" ht="14.4" x14ac:dyDescent="0.3">
      <c r="A367" s="253">
        <v>11</v>
      </c>
      <c r="B367" s="254" t="s">
        <v>846</v>
      </c>
      <c r="C367" s="254">
        <v>1874</v>
      </c>
      <c r="D367" s="254" t="s">
        <v>210</v>
      </c>
      <c r="E367" s="254" t="str">
        <f>_xlfn.XLOOKUP(C367,Clientes!I:I,Clientes!F:F)</f>
        <v>GRUPO FERTILIZ TOCANTINS</v>
      </c>
      <c r="F367" s="254">
        <v>148</v>
      </c>
      <c r="G367" s="254" t="s">
        <v>926</v>
      </c>
      <c r="H367" s="254" t="s">
        <v>904</v>
      </c>
      <c r="I367" s="255">
        <v>30000</v>
      </c>
      <c r="J367" s="256">
        <v>30000</v>
      </c>
      <c r="K367" s="258">
        <v>84300</v>
      </c>
      <c r="L367" s="258">
        <v>-5901.0000000000009</v>
      </c>
      <c r="M367" s="258">
        <f t="shared" si="20"/>
        <v>78399</v>
      </c>
      <c r="N367" s="258">
        <v>-19902.14086956521</v>
      </c>
      <c r="O367" s="258">
        <v>-26978.690699999999</v>
      </c>
      <c r="P367" s="258">
        <v>-338.86304757793869</v>
      </c>
      <c r="Q367" s="258">
        <f t="shared" si="21"/>
        <v>31179.305382856855</v>
      </c>
      <c r="R367" s="259">
        <f t="shared" si="22"/>
        <v>0.39770029442795002</v>
      </c>
      <c r="S367" s="255">
        <f t="shared" si="23"/>
        <v>2.81</v>
      </c>
      <c r="T367" s="255">
        <f t="shared" si="23"/>
        <v>2.81</v>
      </c>
      <c r="U367" s="254">
        <v>100100</v>
      </c>
      <c r="V367" s="254" t="s">
        <v>834</v>
      </c>
      <c r="W367" s="254" t="s">
        <v>928</v>
      </c>
      <c r="X367" s="254" t="s">
        <v>446</v>
      </c>
      <c r="Y367" s="254" t="s">
        <v>843</v>
      </c>
      <c r="Z367" s="254" t="s">
        <v>1073</v>
      </c>
      <c r="AA367" s="254" t="s">
        <v>838</v>
      </c>
    </row>
    <row r="368" spans="1:27" ht="14.4" x14ac:dyDescent="0.3">
      <c r="A368" s="253">
        <v>11</v>
      </c>
      <c r="B368" s="254" t="s">
        <v>846</v>
      </c>
      <c r="C368" s="254">
        <v>3142</v>
      </c>
      <c r="D368" s="254" t="s">
        <v>78</v>
      </c>
      <c r="E368" s="254" t="str">
        <f>_xlfn.XLOOKUP(C368,Clientes!I:I,Clientes!F:F)</f>
        <v>INTERFERTIL - SAO FRANCISCO DO SUL</v>
      </c>
      <c r="F368" s="254">
        <v>1</v>
      </c>
      <c r="G368" s="254" t="s">
        <v>893</v>
      </c>
      <c r="H368" s="254" t="s">
        <v>873</v>
      </c>
      <c r="I368" s="255">
        <v>30000</v>
      </c>
      <c r="J368" s="256">
        <v>30000</v>
      </c>
      <c r="K368" s="258">
        <v>83100</v>
      </c>
      <c r="L368" s="258">
        <v>-9972</v>
      </c>
      <c r="M368" s="258">
        <f t="shared" si="20"/>
        <v>73128</v>
      </c>
      <c r="N368" s="258">
        <v>-22055.75</v>
      </c>
      <c r="O368" s="258">
        <v>-16807.8105</v>
      </c>
      <c r="P368" s="258">
        <v>-211.1127612706008</v>
      </c>
      <c r="Q368" s="258">
        <f t="shared" si="21"/>
        <v>34053.326738729396</v>
      </c>
      <c r="R368" s="259">
        <f t="shared" si="22"/>
        <v>0.46566741519977844</v>
      </c>
      <c r="S368" s="255">
        <f t="shared" si="23"/>
        <v>2.77</v>
      </c>
      <c r="T368" s="255">
        <f t="shared" si="23"/>
        <v>2.77</v>
      </c>
      <c r="U368" s="254">
        <v>100100</v>
      </c>
      <c r="V368" s="254" t="s">
        <v>834</v>
      </c>
      <c r="W368" s="254" t="s">
        <v>894</v>
      </c>
      <c r="X368" s="254" t="s">
        <v>446</v>
      </c>
      <c r="Y368" s="254" t="s">
        <v>843</v>
      </c>
      <c r="Z368" s="254" t="s">
        <v>1073</v>
      </c>
      <c r="AA368" s="254" t="s">
        <v>838</v>
      </c>
    </row>
    <row r="369" spans="1:27" ht="14.4" x14ac:dyDescent="0.3">
      <c r="A369" s="253">
        <v>11</v>
      </c>
      <c r="B369" s="254" t="s">
        <v>846</v>
      </c>
      <c r="C369" s="254">
        <v>43</v>
      </c>
      <c r="D369" s="254" t="s">
        <v>674</v>
      </c>
      <c r="E369" s="254" t="str">
        <f>_xlfn.XLOOKUP(C369,Clientes!I:I,Clientes!F:F)</f>
        <v>GRUPO CIBRA</v>
      </c>
      <c r="F369" s="254">
        <v>148</v>
      </c>
      <c r="G369" s="254" t="s">
        <v>875</v>
      </c>
      <c r="H369" s="254" t="s">
        <v>904</v>
      </c>
      <c r="I369" s="255">
        <v>180000</v>
      </c>
      <c r="J369" s="256">
        <v>180000</v>
      </c>
      <c r="K369" s="258">
        <v>426600</v>
      </c>
      <c r="L369" s="258">
        <v>-29862.000000000004</v>
      </c>
      <c r="M369" s="258">
        <f t="shared" si="20"/>
        <v>396738</v>
      </c>
      <c r="N369" s="258">
        <v>-119412.84521739128</v>
      </c>
      <c r="O369" s="258">
        <v>-124574.4759168</v>
      </c>
      <c r="P369" s="258">
        <v>-1564.7047897543589</v>
      </c>
      <c r="Q369" s="258">
        <f t="shared" si="21"/>
        <v>151185.97407605438</v>
      </c>
      <c r="R369" s="259">
        <f t="shared" si="22"/>
        <v>0.38107258209713812</v>
      </c>
      <c r="S369" s="255">
        <f t="shared" si="23"/>
        <v>2.37</v>
      </c>
      <c r="T369" s="255">
        <f t="shared" si="23"/>
        <v>2.37</v>
      </c>
      <c r="U369" s="254">
        <v>100100</v>
      </c>
      <c r="V369" s="254" t="s">
        <v>834</v>
      </c>
      <c r="W369" s="254" t="s">
        <v>905</v>
      </c>
      <c r="X369" s="254" t="s">
        <v>446</v>
      </c>
      <c r="Y369" s="254" t="s">
        <v>843</v>
      </c>
      <c r="Z369" s="254" t="s">
        <v>1073</v>
      </c>
      <c r="AA369" s="254" t="s">
        <v>838</v>
      </c>
    </row>
    <row r="370" spans="1:27" ht="14.4" x14ac:dyDescent="0.3">
      <c r="A370" s="253">
        <v>11</v>
      </c>
      <c r="B370" s="254" t="s">
        <v>846</v>
      </c>
      <c r="C370" s="254">
        <v>452</v>
      </c>
      <c r="D370" s="254" t="s">
        <v>900</v>
      </c>
      <c r="E370" s="254" t="str">
        <f>_xlfn.XLOOKUP(C370,Clientes!I:I,Clientes!F:F)</f>
        <v>GRUPO FERTIPAR FERTILIZANTES MARANHAO</v>
      </c>
      <c r="F370" s="254">
        <v>2</v>
      </c>
      <c r="G370" s="254" t="s">
        <v>897</v>
      </c>
      <c r="H370" s="254" t="s">
        <v>883</v>
      </c>
      <c r="I370" s="255">
        <v>30000</v>
      </c>
      <c r="J370" s="256">
        <v>30000</v>
      </c>
      <c r="K370" s="258">
        <v>71100</v>
      </c>
      <c r="L370" s="258">
        <v>-4977.0000000000009</v>
      </c>
      <c r="M370" s="258">
        <f t="shared" si="20"/>
        <v>66123</v>
      </c>
      <c r="N370" s="258">
        <v>-17009.744999999999</v>
      </c>
      <c r="O370" s="258">
        <v>-26461.527299999998</v>
      </c>
      <c r="P370" s="258">
        <v>-332.36727030807407</v>
      </c>
      <c r="Q370" s="258">
        <f t="shared" si="21"/>
        <v>22319.360429691933</v>
      </c>
      <c r="R370" s="259">
        <f t="shared" si="22"/>
        <v>0.33754307018271906</v>
      </c>
      <c r="S370" s="255">
        <f t="shared" si="23"/>
        <v>2.37</v>
      </c>
      <c r="T370" s="255">
        <f t="shared" si="23"/>
        <v>2.37</v>
      </c>
      <c r="U370" s="254">
        <v>100100</v>
      </c>
      <c r="V370" s="254" t="s">
        <v>834</v>
      </c>
      <c r="W370" s="254" t="s">
        <v>899</v>
      </c>
      <c r="X370" s="254" t="s">
        <v>446</v>
      </c>
      <c r="Y370" s="254" t="s">
        <v>843</v>
      </c>
      <c r="Z370" s="254" t="s">
        <v>1073</v>
      </c>
      <c r="AA370" s="254" t="s">
        <v>838</v>
      </c>
    </row>
    <row r="371" spans="1:27" ht="14.4" x14ac:dyDescent="0.3">
      <c r="A371" s="253">
        <v>11</v>
      </c>
      <c r="B371" s="254" t="s">
        <v>846</v>
      </c>
      <c r="C371" s="254">
        <v>7097</v>
      </c>
      <c r="D371" s="254" t="s">
        <v>1077</v>
      </c>
      <c r="E371" s="254" t="str">
        <f>_xlfn.XLOOKUP(C371,Clientes!I:I,Clientes!F:F)</f>
        <v>GRUPO MOSAIC FERTILIZANTES DO BRASIL</v>
      </c>
      <c r="F371" s="254">
        <v>14133</v>
      </c>
      <c r="G371" s="254" t="s">
        <v>893</v>
      </c>
      <c r="H371" s="254" t="s">
        <v>841</v>
      </c>
      <c r="I371" s="255">
        <v>13200</v>
      </c>
      <c r="J371" s="256">
        <v>13200</v>
      </c>
      <c r="K371" s="258">
        <v>35640</v>
      </c>
      <c r="L371" s="258">
        <v>-4276.8</v>
      </c>
      <c r="M371" s="258">
        <f t="shared" si="20"/>
        <v>31363.200000000001</v>
      </c>
      <c r="N371" s="258">
        <v>-16961.23117557251</v>
      </c>
      <c r="O371" s="258">
        <v>-10600.245792416279</v>
      </c>
      <c r="P371" s="258">
        <v>-133.14328831730157</v>
      </c>
      <c r="Q371" s="258">
        <f t="shared" si="21"/>
        <v>3668.5797436939106</v>
      </c>
      <c r="R371" s="259">
        <f t="shared" si="22"/>
        <v>0.11697083663956198</v>
      </c>
      <c r="S371" s="255">
        <f t="shared" si="23"/>
        <v>2.7</v>
      </c>
      <c r="T371" s="255">
        <f t="shared" si="23"/>
        <v>2.7</v>
      </c>
      <c r="U371" s="254">
        <v>100100</v>
      </c>
      <c r="V371" s="254" t="s">
        <v>834</v>
      </c>
      <c r="W371" s="254" t="s">
        <v>894</v>
      </c>
      <c r="X371" s="254" t="s">
        <v>446</v>
      </c>
      <c r="Y371" s="254" t="s">
        <v>843</v>
      </c>
      <c r="Z371" s="254" t="s">
        <v>1073</v>
      </c>
      <c r="AA371" s="254" t="s">
        <v>838</v>
      </c>
    </row>
    <row r="372" spans="1:27" ht="14.4" x14ac:dyDescent="0.3">
      <c r="A372" s="253">
        <v>11</v>
      </c>
      <c r="B372" s="254" t="s">
        <v>846</v>
      </c>
      <c r="C372" s="254">
        <v>7102</v>
      </c>
      <c r="D372" s="254" t="s">
        <v>906</v>
      </c>
      <c r="E372" s="254" t="str">
        <f>_xlfn.XLOOKUP(C372,Clientes!I:I,Clientes!F:F)</f>
        <v>GRUPO MOSAIC FERTILIZANTES DO BRASIL</v>
      </c>
      <c r="F372" s="254">
        <v>1043</v>
      </c>
      <c r="G372" s="254" t="s">
        <v>840</v>
      </c>
      <c r="H372" s="254" t="s">
        <v>860</v>
      </c>
      <c r="I372" s="255">
        <v>30000</v>
      </c>
      <c r="J372" s="256">
        <v>30000</v>
      </c>
      <c r="K372" s="258">
        <v>61200</v>
      </c>
      <c r="L372" s="258">
        <v>-4284</v>
      </c>
      <c r="M372" s="258">
        <f t="shared" si="20"/>
        <v>56916</v>
      </c>
      <c r="N372" s="258">
        <v>-11986.197500000006</v>
      </c>
      <c r="O372" s="258">
        <v>-11980.9521</v>
      </c>
      <c r="P372" s="258">
        <v>-150.48550675186416</v>
      </c>
      <c r="Q372" s="258">
        <f t="shared" si="21"/>
        <v>32798.364893248123</v>
      </c>
      <c r="R372" s="259">
        <f t="shared" si="22"/>
        <v>0.57625913439539189</v>
      </c>
      <c r="S372" s="255">
        <f t="shared" si="23"/>
        <v>2.04</v>
      </c>
      <c r="T372" s="255">
        <f t="shared" si="23"/>
        <v>2.04</v>
      </c>
      <c r="U372" s="254">
        <v>100100</v>
      </c>
      <c r="V372" s="254" t="s">
        <v>834</v>
      </c>
      <c r="W372" s="254" t="s">
        <v>861</v>
      </c>
      <c r="X372" s="254" t="s">
        <v>446</v>
      </c>
      <c r="Y372" s="254" t="s">
        <v>843</v>
      </c>
      <c r="Z372" s="254" t="s">
        <v>1073</v>
      </c>
      <c r="AA372" s="254" t="s">
        <v>838</v>
      </c>
    </row>
    <row r="373" spans="1:27" ht="14.4" x14ac:dyDescent="0.3">
      <c r="A373" s="253">
        <v>11</v>
      </c>
      <c r="B373" s="254" t="s">
        <v>846</v>
      </c>
      <c r="C373" s="254">
        <v>10492</v>
      </c>
      <c r="D373" s="254" t="s">
        <v>101</v>
      </c>
      <c r="E373" s="254" t="str">
        <f>_xlfn.XLOOKUP(C373,Clientes!I:I,Clientes!F:F)</f>
        <v>GRUPO UNIFERTIL</v>
      </c>
      <c r="F373" s="254">
        <v>3</v>
      </c>
      <c r="G373" s="254" t="s">
        <v>877</v>
      </c>
      <c r="H373" s="254" t="s">
        <v>879</v>
      </c>
      <c r="I373" s="255">
        <v>64000</v>
      </c>
      <c r="J373" s="256">
        <v>64000</v>
      </c>
      <c r="K373" s="258">
        <v>165760</v>
      </c>
      <c r="L373" s="258">
        <v>-19891.2</v>
      </c>
      <c r="M373" s="258">
        <f t="shared" si="20"/>
        <v>145868.79999999999</v>
      </c>
      <c r="N373" s="258">
        <v>-49328.845000000008</v>
      </c>
      <c r="O373" s="258">
        <v>-52099.423999999999</v>
      </c>
      <c r="P373" s="258">
        <v>-654.38941385303042</v>
      </c>
      <c r="Q373" s="258">
        <f t="shared" si="21"/>
        <v>43786.141586146958</v>
      </c>
      <c r="R373" s="259">
        <f t="shared" si="22"/>
        <v>0.30017482550173141</v>
      </c>
      <c r="S373" s="255">
        <f t="shared" si="23"/>
        <v>2.59</v>
      </c>
      <c r="T373" s="255">
        <f t="shared" si="23"/>
        <v>2.59</v>
      </c>
      <c r="U373" s="254">
        <v>100100</v>
      </c>
      <c r="V373" s="254" t="s">
        <v>834</v>
      </c>
      <c r="W373" s="254" t="s">
        <v>878</v>
      </c>
      <c r="X373" s="254" t="s">
        <v>446</v>
      </c>
      <c r="Y373" s="254" t="s">
        <v>843</v>
      </c>
      <c r="Z373" s="254" t="s">
        <v>1073</v>
      </c>
      <c r="AA373" s="254" t="s">
        <v>838</v>
      </c>
    </row>
    <row r="374" spans="1:27" ht="14.4" x14ac:dyDescent="0.3">
      <c r="A374" s="253">
        <v>11</v>
      </c>
      <c r="B374" s="254" t="s">
        <v>846</v>
      </c>
      <c r="C374" s="254">
        <v>11637</v>
      </c>
      <c r="D374" s="254" t="s">
        <v>625</v>
      </c>
      <c r="E374" s="254" t="str">
        <f>_xlfn.XLOOKUP(C374,Clientes!I:I,Clientes!F:F)</f>
        <v>AGROPECUARIA MARATA LTDA - MARUIM</v>
      </c>
      <c r="F374" s="254">
        <v>14130</v>
      </c>
      <c r="G374" s="254" t="s">
        <v>887</v>
      </c>
      <c r="H374" s="254" t="s">
        <v>903</v>
      </c>
      <c r="I374" s="255">
        <v>8000</v>
      </c>
      <c r="J374" s="256">
        <v>8000</v>
      </c>
      <c r="K374" s="258">
        <v>23760</v>
      </c>
      <c r="L374" s="258">
        <v>-1663.2</v>
      </c>
      <c r="M374" s="258">
        <f t="shared" si="20"/>
        <v>22096.799999999999</v>
      </c>
      <c r="N374" s="258">
        <v>-10181.189999999999</v>
      </c>
      <c r="O374" s="258">
        <v>0</v>
      </c>
      <c r="P374" s="258">
        <v>0</v>
      </c>
      <c r="Q374" s="258">
        <f t="shared" si="21"/>
        <v>11915.61</v>
      </c>
      <c r="R374" s="259">
        <f t="shared" si="22"/>
        <v>0.53924595416530907</v>
      </c>
      <c r="S374" s="255">
        <f t="shared" si="23"/>
        <v>2.97</v>
      </c>
      <c r="T374" s="255">
        <f t="shared" si="23"/>
        <v>2.97</v>
      </c>
      <c r="U374" s="254">
        <v>100100</v>
      </c>
      <c r="V374" s="254" t="s">
        <v>834</v>
      </c>
      <c r="W374" s="254" t="s">
        <v>1009</v>
      </c>
      <c r="X374" s="254" t="s">
        <v>446</v>
      </c>
      <c r="Y374" s="254" t="s">
        <v>843</v>
      </c>
      <c r="Z374" s="254" t="s">
        <v>1073</v>
      </c>
      <c r="AA374" s="254" t="s">
        <v>838</v>
      </c>
    </row>
    <row r="375" spans="1:27" ht="14.4" x14ac:dyDescent="0.3">
      <c r="A375" s="253">
        <v>11</v>
      </c>
      <c r="B375" s="254" t="s">
        <v>846</v>
      </c>
      <c r="C375" s="254">
        <v>11768</v>
      </c>
      <c r="D375" s="254" t="s">
        <v>274</v>
      </c>
      <c r="E375" s="254" t="str">
        <f>_xlfn.XLOOKUP(C375,Clientes!I:I,Clientes!F:F)</f>
        <v>CERES PERU S.A</v>
      </c>
      <c r="F375" s="254">
        <v>14141</v>
      </c>
      <c r="G375" s="254" t="s">
        <v>832</v>
      </c>
      <c r="H375" s="254" t="s">
        <v>833</v>
      </c>
      <c r="I375" s="255">
        <v>2400</v>
      </c>
      <c r="J375" s="256">
        <v>2400</v>
      </c>
      <c r="K375" s="258">
        <v>15264</v>
      </c>
      <c r="L375" s="258">
        <v>0</v>
      </c>
      <c r="M375" s="258">
        <f t="shared" si="20"/>
        <v>15264</v>
      </c>
      <c r="N375" s="258">
        <v>-3100.5560000000005</v>
      </c>
      <c r="O375" s="258">
        <v>0</v>
      </c>
      <c r="P375" s="258">
        <v>-261.74684544812987</v>
      </c>
      <c r="Q375" s="258">
        <f t="shared" si="21"/>
        <v>11901.69715455187</v>
      </c>
      <c r="R375" s="259">
        <f t="shared" si="22"/>
        <v>0.77972334607913196</v>
      </c>
      <c r="S375" s="255">
        <f t="shared" si="23"/>
        <v>6.36</v>
      </c>
      <c r="T375" s="255">
        <f t="shared" si="23"/>
        <v>6.36</v>
      </c>
      <c r="U375" s="254">
        <v>100100</v>
      </c>
      <c r="V375" s="254" t="s">
        <v>834</v>
      </c>
      <c r="W375" s="254" t="s">
        <v>1078</v>
      </c>
      <c r="X375" s="254" t="s">
        <v>446</v>
      </c>
      <c r="Y375" s="254" t="s">
        <v>836</v>
      </c>
      <c r="Z375" s="254" t="s">
        <v>1073</v>
      </c>
      <c r="AA375" s="254" t="s">
        <v>838</v>
      </c>
    </row>
    <row r="376" spans="1:27" ht="14.4" x14ac:dyDescent="0.3">
      <c r="A376" s="253">
        <v>11</v>
      </c>
      <c r="B376" s="254" t="s">
        <v>846</v>
      </c>
      <c r="C376" s="254">
        <v>2975</v>
      </c>
      <c r="D376" s="254" t="s">
        <v>420</v>
      </c>
      <c r="E376" s="254" t="str">
        <f>_xlfn.XLOOKUP(C376,Clientes!I:I,Clientes!F:F)</f>
        <v>COONAGRO COOPERATIVA - PARANAGUA</v>
      </c>
      <c r="F376" s="254">
        <v>4</v>
      </c>
      <c r="G376" s="254" t="s">
        <v>862</v>
      </c>
      <c r="H376" s="254" t="s">
        <v>863</v>
      </c>
      <c r="I376" s="255">
        <v>25000</v>
      </c>
      <c r="J376" s="256">
        <v>25000</v>
      </c>
      <c r="K376" s="258">
        <v>99750</v>
      </c>
      <c r="L376" s="258">
        <v>-11970</v>
      </c>
      <c r="M376" s="258">
        <f t="shared" si="20"/>
        <v>87780</v>
      </c>
      <c r="N376" s="258">
        <v>-24643.45416666667</v>
      </c>
      <c r="O376" s="258">
        <v>-11708.00475</v>
      </c>
      <c r="P376" s="258">
        <v>-147.05717985943559</v>
      </c>
      <c r="Q376" s="258">
        <f t="shared" si="21"/>
        <v>51281.483903473891</v>
      </c>
      <c r="R376" s="259">
        <f t="shared" si="22"/>
        <v>0.58420464688395868</v>
      </c>
      <c r="S376" s="255">
        <f t="shared" si="23"/>
        <v>3.99</v>
      </c>
      <c r="T376" s="255">
        <f t="shared" si="23"/>
        <v>3.99</v>
      </c>
      <c r="U376" s="254">
        <v>100100</v>
      </c>
      <c r="V376" s="254" t="s">
        <v>834</v>
      </c>
      <c r="W376" s="254" t="s">
        <v>864</v>
      </c>
      <c r="X376" s="254" t="s">
        <v>446</v>
      </c>
      <c r="Y376" s="254" t="s">
        <v>843</v>
      </c>
      <c r="Z376" s="254" t="s">
        <v>1073</v>
      </c>
      <c r="AA376" s="254" t="s">
        <v>838</v>
      </c>
    </row>
    <row r="377" spans="1:27" ht="14.4" x14ac:dyDescent="0.3">
      <c r="A377" s="253">
        <v>11</v>
      </c>
      <c r="B377" s="254" t="s">
        <v>846</v>
      </c>
      <c r="C377" s="254">
        <v>1292</v>
      </c>
      <c r="D377" s="254" t="s">
        <v>1079</v>
      </c>
      <c r="E377" s="254" t="str">
        <f>_xlfn.XLOOKUP(C377,Clientes!I:I,Clientes!F:F)</f>
        <v>GRUPO AGRO INDUSTRIAL SAO LUIZ LTDA</v>
      </c>
      <c r="F377" s="254">
        <v>148</v>
      </c>
      <c r="G377" s="254" t="s">
        <v>893</v>
      </c>
      <c r="H377" s="254" t="s">
        <v>904</v>
      </c>
      <c r="I377" s="255">
        <v>20000</v>
      </c>
      <c r="J377" s="256">
        <v>20000</v>
      </c>
      <c r="K377" s="258">
        <v>47000</v>
      </c>
      <c r="L377" s="258">
        <v>-5640</v>
      </c>
      <c r="M377" s="258">
        <f t="shared" si="20"/>
        <v>41360</v>
      </c>
      <c r="N377" s="258">
        <v>-13268.093913043474</v>
      </c>
      <c r="O377" s="258">
        <v>-10207.092555894</v>
      </c>
      <c r="P377" s="258">
        <v>-128.20512784930415</v>
      </c>
      <c r="Q377" s="258">
        <f t="shared" si="21"/>
        <v>17756.60840321322</v>
      </c>
      <c r="R377" s="259">
        <f t="shared" si="22"/>
        <v>0.42931838499064845</v>
      </c>
      <c r="S377" s="255">
        <f t="shared" si="23"/>
        <v>2.35</v>
      </c>
      <c r="T377" s="255">
        <f t="shared" si="23"/>
        <v>2.35</v>
      </c>
      <c r="U377" s="254">
        <v>100100</v>
      </c>
      <c r="V377" s="254" t="s">
        <v>834</v>
      </c>
      <c r="W377" s="254" t="s">
        <v>1080</v>
      </c>
      <c r="X377" s="254" t="s">
        <v>446</v>
      </c>
      <c r="Y377" s="254" t="s">
        <v>843</v>
      </c>
      <c r="Z377" s="254" t="s">
        <v>1073</v>
      </c>
      <c r="AA377" s="254" t="s">
        <v>838</v>
      </c>
    </row>
    <row r="378" spans="1:27" ht="14.4" x14ac:dyDescent="0.3">
      <c r="A378" s="253">
        <v>11</v>
      </c>
      <c r="B378" s="254" t="s">
        <v>846</v>
      </c>
      <c r="C378" s="254">
        <v>3232</v>
      </c>
      <c r="D378" s="254" t="s">
        <v>153</v>
      </c>
      <c r="E378" s="254" t="str">
        <f>_xlfn.XLOOKUP(C378,Clientes!I:I,Clientes!F:F)</f>
        <v>GRUPO FERTILIZ TOCANTINS</v>
      </c>
      <c r="F378" s="254">
        <v>7384</v>
      </c>
      <c r="G378" s="254" t="s">
        <v>855</v>
      </c>
      <c r="H378" s="254" t="s">
        <v>856</v>
      </c>
      <c r="I378" s="255">
        <v>30000</v>
      </c>
      <c r="J378" s="256">
        <v>30000</v>
      </c>
      <c r="K378" s="258">
        <v>56100</v>
      </c>
      <c r="L378" s="258">
        <v>-10098</v>
      </c>
      <c r="M378" s="258">
        <f t="shared" si="20"/>
        <v>46002</v>
      </c>
      <c r="N378" s="258">
        <v>-20378.219999999998</v>
      </c>
      <c r="O378" s="258">
        <v>-1723.8779999999999</v>
      </c>
      <c r="P378" s="258">
        <v>-21.652590899548798</v>
      </c>
      <c r="Q378" s="258">
        <f t="shared" si="21"/>
        <v>23878.249409100452</v>
      </c>
      <c r="R378" s="259">
        <f t="shared" si="22"/>
        <v>0.51906981020608778</v>
      </c>
      <c r="S378" s="255">
        <f t="shared" si="23"/>
        <v>1.87</v>
      </c>
      <c r="T378" s="255">
        <f t="shared" si="23"/>
        <v>1.87</v>
      </c>
      <c r="U378" s="254">
        <v>100100</v>
      </c>
      <c r="V378" s="254" t="s">
        <v>834</v>
      </c>
      <c r="W378" s="254" t="s">
        <v>857</v>
      </c>
      <c r="X378" s="254" t="s">
        <v>446</v>
      </c>
      <c r="Y378" s="254" t="s">
        <v>843</v>
      </c>
      <c r="Z378" s="254" t="s">
        <v>1073</v>
      </c>
      <c r="AA378" s="254" t="s">
        <v>838</v>
      </c>
    </row>
    <row r="379" spans="1:27" ht="14.4" x14ac:dyDescent="0.3">
      <c r="A379" s="253">
        <v>11</v>
      </c>
      <c r="B379" s="254" t="s">
        <v>846</v>
      </c>
      <c r="C379" s="254">
        <v>214</v>
      </c>
      <c r="D379" s="254" t="s">
        <v>149</v>
      </c>
      <c r="E379" s="254" t="str">
        <f>_xlfn.XLOOKUP(C379,Clientes!I:I,Clientes!F:F)</f>
        <v>GRUPO UNIFERTIL</v>
      </c>
      <c r="F379" s="254">
        <v>113</v>
      </c>
      <c r="G379" s="254" t="s">
        <v>877</v>
      </c>
      <c r="H379" s="254" t="s">
        <v>913</v>
      </c>
      <c r="I379" s="255">
        <v>30000</v>
      </c>
      <c r="J379" s="256">
        <v>30000</v>
      </c>
      <c r="K379" s="258">
        <v>92700</v>
      </c>
      <c r="L379" s="258">
        <v>-11124</v>
      </c>
      <c r="M379" s="258">
        <f t="shared" si="20"/>
        <v>81576</v>
      </c>
      <c r="N379" s="258">
        <v>-26824.123770491806</v>
      </c>
      <c r="O379" s="258">
        <v>-24191.754599999997</v>
      </c>
      <c r="P379" s="258">
        <v>-303.85802562366808</v>
      </c>
      <c r="Q379" s="258">
        <f t="shared" si="21"/>
        <v>30256.263603884534</v>
      </c>
      <c r="R379" s="259">
        <f t="shared" si="22"/>
        <v>0.37089663140978391</v>
      </c>
      <c r="S379" s="255">
        <f t="shared" si="23"/>
        <v>3.09</v>
      </c>
      <c r="T379" s="255">
        <f t="shared" si="23"/>
        <v>3.09</v>
      </c>
      <c r="U379" s="254">
        <v>100200</v>
      </c>
      <c r="V379" s="254" t="s">
        <v>912</v>
      </c>
      <c r="W379" s="254" t="s">
        <v>880</v>
      </c>
      <c r="X379" s="254" t="s">
        <v>446</v>
      </c>
      <c r="Y379" s="254" t="s">
        <v>843</v>
      </c>
      <c r="Z379" s="254" t="s">
        <v>1073</v>
      </c>
      <c r="AA379" s="254" t="s">
        <v>838</v>
      </c>
    </row>
    <row r="380" spans="1:27" ht="14.4" x14ac:dyDescent="0.3">
      <c r="A380" s="253">
        <v>11</v>
      </c>
      <c r="B380" s="254" t="s">
        <v>846</v>
      </c>
      <c r="C380" s="254">
        <v>10492</v>
      </c>
      <c r="D380" s="254" t="s">
        <v>101</v>
      </c>
      <c r="E380" s="254" t="str">
        <f>_xlfn.XLOOKUP(C380,Clientes!I:I,Clientes!F:F)</f>
        <v>GRUPO UNIFERTIL</v>
      </c>
      <c r="F380" s="254">
        <v>113</v>
      </c>
      <c r="G380" s="254" t="s">
        <v>877</v>
      </c>
      <c r="H380" s="254" t="s">
        <v>913</v>
      </c>
      <c r="I380" s="255">
        <v>32000</v>
      </c>
      <c r="J380" s="256">
        <v>32000</v>
      </c>
      <c r="K380" s="258">
        <v>98880</v>
      </c>
      <c r="L380" s="258">
        <v>-11865.6</v>
      </c>
      <c r="M380" s="258">
        <f t="shared" si="20"/>
        <v>87014.399999999994</v>
      </c>
      <c r="N380" s="258">
        <v>-28612.398688524598</v>
      </c>
      <c r="O380" s="258">
        <v>-26049.712</v>
      </c>
      <c r="P380" s="258">
        <v>-327.19470692651521</v>
      </c>
      <c r="Q380" s="258">
        <f t="shared" si="21"/>
        <v>32025.094604548882</v>
      </c>
      <c r="R380" s="259">
        <f t="shared" si="22"/>
        <v>0.36804361812009145</v>
      </c>
      <c r="S380" s="255">
        <f t="shared" si="23"/>
        <v>3.09</v>
      </c>
      <c r="T380" s="255">
        <f t="shared" si="23"/>
        <v>3.09</v>
      </c>
      <c r="U380" s="254">
        <v>100200</v>
      </c>
      <c r="V380" s="254" t="s">
        <v>912</v>
      </c>
      <c r="W380" s="254" t="s">
        <v>878</v>
      </c>
      <c r="X380" s="254" t="s">
        <v>446</v>
      </c>
      <c r="Y380" s="254" t="s">
        <v>843</v>
      </c>
      <c r="Z380" s="254" t="s">
        <v>1073</v>
      </c>
      <c r="AA380" s="254" t="s">
        <v>838</v>
      </c>
    </row>
    <row r="381" spans="1:27" ht="14.4" x14ac:dyDescent="0.3">
      <c r="A381" s="253">
        <v>11</v>
      </c>
      <c r="B381" s="254" t="s">
        <v>846</v>
      </c>
      <c r="C381" s="254">
        <v>5182</v>
      </c>
      <c r="D381" s="254" t="s">
        <v>1081</v>
      </c>
      <c r="E381" s="254" t="str">
        <f>_xlfn.XLOOKUP(C381,Clientes!I:I,Clientes!F:F)</f>
        <v>GRUPO FERTIPAR FERTILIZANTES MATO GROSSO</v>
      </c>
      <c r="F381" s="254">
        <v>113</v>
      </c>
      <c r="G381" s="254" t="s">
        <v>840</v>
      </c>
      <c r="H381" s="254" t="s">
        <v>913</v>
      </c>
      <c r="I381" s="255">
        <v>60000</v>
      </c>
      <c r="J381" s="256">
        <v>60000</v>
      </c>
      <c r="K381" s="258">
        <v>161400</v>
      </c>
      <c r="L381" s="258">
        <v>-11298.000000000002</v>
      </c>
      <c r="M381" s="258">
        <f t="shared" si="20"/>
        <v>150102</v>
      </c>
      <c r="N381" s="258">
        <v>-53648.247540983612</v>
      </c>
      <c r="O381" s="258">
        <v>-43786.501199999999</v>
      </c>
      <c r="P381" s="258">
        <v>-549.97580884853949</v>
      </c>
      <c r="Q381" s="258">
        <f t="shared" si="21"/>
        <v>52117.275450167857</v>
      </c>
      <c r="R381" s="259">
        <f t="shared" si="22"/>
        <v>0.3472123985700914</v>
      </c>
      <c r="S381" s="255">
        <f t="shared" si="23"/>
        <v>2.69</v>
      </c>
      <c r="T381" s="255">
        <f t="shared" si="23"/>
        <v>2.69</v>
      </c>
      <c r="U381" s="254">
        <v>100200</v>
      </c>
      <c r="V381" s="254" t="s">
        <v>912</v>
      </c>
      <c r="W381" s="254" t="s">
        <v>915</v>
      </c>
      <c r="X381" s="254" t="s">
        <v>446</v>
      </c>
      <c r="Y381" s="254" t="s">
        <v>843</v>
      </c>
      <c r="Z381" s="254" t="s">
        <v>1073</v>
      </c>
      <c r="AA381" s="254" t="s">
        <v>838</v>
      </c>
    </row>
    <row r="382" spans="1:27" ht="14.4" x14ac:dyDescent="0.3">
      <c r="A382" s="253">
        <v>11</v>
      </c>
      <c r="B382" s="254" t="s">
        <v>846</v>
      </c>
      <c r="C382" s="254">
        <v>10434</v>
      </c>
      <c r="D382" s="254" t="s">
        <v>99</v>
      </c>
      <c r="E382" s="254" t="str">
        <f>_xlfn.XLOOKUP(C382,Clientes!I:I,Clientes!F:F)</f>
        <v>GRUPO CIBRA</v>
      </c>
      <c r="F382" s="254">
        <v>6564</v>
      </c>
      <c r="G382" s="254" t="s">
        <v>840</v>
      </c>
      <c r="H382" s="254" t="s">
        <v>914</v>
      </c>
      <c r="I382" s="255">
        <v>60000</v>
      </c>
      <c r="J382" s="256">
        <v>60000</v>
      </c>
      <c r="K382" s="258">
        <v>184800</v>
      </c>
      <c r="L382" s="258">
        <v>-12936.000000000002</v>
      </c>
      <c r="M382" s="258">
        <f t="shared" si="20"/>
        <v>171864</v>
      </c>
      <c r="N382" s="258">
        <v>-58753.959999999992</v>
      </c>
      <c r="O382" s="258">
        <v>-43786.501199999999</v>
      </c>
      <c r="P382" s="258">
        <v>-549.97580884853949</v>
      </c>
      <c r="Q382" s="258">
        <f t="shared" si="21"/>
        <v>68773.56299115147</v>
      </c>
      <c r="R382" s="259">
        <f t="shared" si="22"/>
        <v>0.40016270417976696</v>
      </c>
      <c r="S382" s="255">
        <f t="shared" si="23"/>
        <v>3.08</v>
      </c>
      <c r="T382" s="255">
        <f t="shared" si="23"/>
        <v>3.08</v>
      </c>
      <c r="U382" s="254">
        <v>100200</v>
      </c>
      <c r="V382" s="254" t="s">
        <v>912</v>
      </c>
      <c r="W382" s="254" t="s">
        <v>915</v>
      </c>
      <c r="X382" s="254" t="s">
        <v>446</v>
      </c>
      <c r="Y382" s="254" t="s">
        <v>843</v>
      </c>
      <c r="Z382" s="254" t="s">
        <v>1073</v>
      </c>
      <c r="AA382" s="254" t="s">
        <v>838</v>
      </c>
    </row>
    <row r="383" spans="1:27" ht="14.4" x14ac:dyDescent="0.3">
      <c r="A383" s="253">
        <v>11</v>
      </c>
      <c r="B383" s="254" t="s">
        <v>846</v>
      </c>
      <c r="C383" s="254">
        <v>205</v>
      </c>
      <c r="D383" s="254" t="s">
        <v>859</v>
      </c>
      <c r="E383" s="254" t="str">
        <f>_xlfn.XLOOKUP(C383,Clientes!I:I,Clientes!F:F)</f>
        <v>GRUPO FERTIPAR FERTILIZANTES MATO GROSSO</v>
      </c>
      <c r="F383" s="254">
        <v>6564</v>
      </c>
      <c r="G383" s="254" t="s">
        <v>840</v>
      </c>
      <c r="H383" s="254" t="s">
        <v>914</v>
      </c>
      <c r="I383" s="255">
        <v>30000</v>
      </c>
      <c r="J383" s="256">
        <v>30000</v>
      </c>
      <c r="K383" s="258">
        <v>75600</v>
      </c>
      <c r="L383" s="258">
        <v>-5292.0000000000009</v>
      </c>
      <c r="M383" s="258">
        <f t="shared" si="20"/>
        <v>70308</v>
      </c>
      <c r="N383" s="258">
        <v>-29376.979999999996</v>
      </c>
      <c r="O383" s="258">
        <v>-11980.9521</v>
      </c>
      <c r="P383" s="258">
        <v>-150.48550675186416</v>
      </c>
      <c r="Q383" s="258">
        <f t="shared" si="21"/>
        <v>28799.582393248136</v>
      </c>
      <c r="R383" s="259">
        <f t="shared" si="22"/>
        <v>0.40962027640166321</v>
      </c>
      <c r="S383" s="255">
        <f t="shared" si="23"/>
        <v>2.52</v>
      </c>
      <c r="T383" s="255">
        <f t="shared" si="23"/>
        <v>2.52</v>
      </c>
      <c r="U383" s="254">
        <v>100200</v>
      </c>
      <c r="V383" s="254" t="s">
        <v>912</v>
      </c>
      <c r="W383" s="254" t="s">
        <v>861</v>
      </c>
      <c r="X383" s="254" t="s">
        <v>446</v>
      </c>
      <c r="Y383" s="254" t="s">
        <v>843</v>
      </c>
      <c r="Z383" s="254" t="s">
        <v>1073</v>
      </c>
      <c r="AA383" s="254" t="s">
        <v>838</v>
      </c>
    </row>
    <row r="384" spans="1:27" ht="14.4" x14ac:dyDescent="0.3">
      <c r="A384" s="253">
        <v>11</v>
      </c>
      <c r="B384" s="254" t="s">
        <v>846</v>
      </c>
      <c r="C384" s="254">
        <v>252</v>
      </c>
      <c r="D384" s="254" t="s">
        <v>37</v>
      </c>
      <c r="E384" s="254" t="str">
        <f>_xlfn.XLOOKUP(C384,Clientes!I:I,Clientes!F:F)</f>
        <v>GRUPO FERTIPAR FERTILIZANTES PARANA</v>
      </c>
      <c r="F384" s="254">
        <v>10343</v>
      </c>
      <c r="G384" s="254" t="s">
        <v>862</v>
      </c>
      <c r="H384" s="254" t="s">
        <v>911</v>
      </c>
      <c r="I384" s="255">
        <v>30000</v>
      </c>
      <c r="J384" s="256">
        <v>30000</v>
      </c>
      <c r="K384" s="258">
        <v>112800</v>
      </c>
      <c r="L384" s="258">
        <v>-13536</v>
      </c>
      <c r="M384" s="258">
        <f t="shared" si="20"/>
        <v>99264</v>
      </c>
      <c r="N384" s="258">
        <v>-48415.03</v>
      </c>
      <c r="O384" s="258">
        <v>-14049.6057</v>
      </c>
      <c r="P384" s="258">
        <v>-176.46861583132272</v>
      </c>
      <c r="Q384" s="258">
        <f t="shared" si="21"/>
        <v>36622.895684168681</v>
      </c>
      <c r="R384" s="259">
        <f t="shared" si="22"/>
        <v>0.3689443875339366</v>
      </c>
      <c r="S384" s="255">
        <f t="shared" si="23"/>
        <v>3.76</v>
      </c>
      <c r="T384" s="255">
        <f t="shared" si="23"/>
        <v>3.76</v>
      </c>
      <c r="U384" s="254">
        <v>100200</v>
      </c>
      <c r="V384" s="254" t="s">
        <v>912</v>
      </c>
      <c r="W384" s="254" t="s">
        <v>864</v>
      </c>
      <c r="X384" s="254" t="s">
        <v>446</v>
      </c>
      <c r="Y384" s="254" t="s">
        <v>843</v>
      </c>
      <c r="Z384" s="254" t="s">
        <v>1073</v>
      </c>
      <c r="AA384" s="254" t="s">
        <v>838</v>
      </c>
    </row>
    <row r="385" spans="1:27" ht="14.4" x14ac:dyDescent="0.3">
      <c r="A385" s="253">
        <v>13</v>
      </c>
      <c r="B385" s="254" t="s">
        <v>846</v>
      </c>
      <c r="C385" s="254">
        <v>2900</v>
      </c>
      <c r="D385" s="254" t="s">
        <v>463</v>
      </c>
      <c r="E385" s="254" t="str">
        <f>_xlfn.XLOOKUP(C385,Clientes!I:I,Clientes!F:F)</f>
        <v>BIOSAFRA - MARUIM</v>
      </c>
      <c r="F385" s="254">
        <v>8214</v>
      </c>
      <c r="G385" s="254" t="s">
        <v>887</v>
      </c>
      <c r="H385" s="254" t="s">
        <v>922</v>
      </c>
      <c r="I385" s="255">
        <v>2000</v>
      </c>
      <c r="J385" s="256">
        <v>2000</v>
      </c>
      <c r="K385" s="258">
        <v>68378.352918296208</v>
      </c>
      <c r="L385" s="258">
        <v>-4781</v>
      </c>
      <c r="M385" s="258">
        <f t="shared" si="20"/>
        <v>63597.352918296208</v>
      </c>
      <c r="N385" s="258">
        <v>-19608.706666666665</v>
      </c>
      <c r="O385" s="258">
        <v>-14851.871999999958</v>
      </c>
      <c r="P385" s="258">
        <v>-186.54539851918915</v>
      </c>
      <c r="Q385" s="258">
        <f t="shared" si="21"/>
        <v>28950.228853110395</v>
      </c>
      <c r="R385" s="259">
        <f t="shared" si="22"/>
        <v>0.45521122381151424</v>
      </c>
      <c r="S385" s="255">
        <f t="shared" si="23"/>
        <v>34.189176459148101</v>
      </c>
      <c r="T385" s="255">
        <f t="shared" si="23"/>
        <v>34.189176459148101</v>
      </c>
      <c r="U385" s="254">
        <v>100300</v>
      </c>
      <c r="V385" s="254" t="s">
        <v>917</v>
      </c>
      <c r="W385" s="254" t="s">
        <v>1009</v>
      </c>
      <c r="X385" s="254" t="s">
        <v>446</v>
      </c>
      <c r="Y385" s="254" t="s">
        <v>843</v>
      </c>
      <c r="Z385" s="254" t="s">
        <v>1073</v>
      </c>
      <c r="AA385" s="254" t="s">
        <v>838</v>
      </c>
    </row>
    <row r="386" spans="1:27" ht="14.4" x14ac:dyDescent="0.3">
      <c r="A386" s="253">
        <v>13</v>
      </c>
      <c r="B386" s="254" t="s">
        <v>846</v>
      </c>
      <c r="C386" s="254">
        <v>2622</v>
      </c>
      <c r="D386" s="254" t="s">
        <v>73</v>
      </c>
      <c r="E386" s="254" t="str">
        <f>_xlfn.XLOOKUP(C386,Clientes!I:I,Clientes!F:F)</f>
        <v>ADUFERTIL JUNDIAI</v>
      </c>
      <c r="F386" s="254">
        <v>8215</v>
      </c>
      <c r="G386" s="254" t="s">
        <v>908</v>
      </c>
      <c r="H386" s="254" t="s">
        <v>947</v>
      </c>
      <c r="I386" s="255">
        <v>12000</v>
      </c>
      <c r="J386" s="256">
        <v>12000</v>
      </c>
      <c r="K386" s="258">
        <v>416036.72531079315</v>
      </c>
      <c r="L386" s="258">
        <v>-49867.199999999997</v>
      </c>
      <c r="M386" s="258">
        <f t="shared" si="20"/>
        <v>366169.52531079313</v>
      </c>
      <c r="N386" s="258">
        <v>-113410.29000000001</v>
      </c>
      <c r="O386" s="258">
        <v>-5481.0480000000016</v>
      </c>
      <c r="P386" s="258">
        <v>-68.844135167796196</v>
      </c>
      <c r="Q386" s="258">
        <f t="shared" si="21"/>
        <v>247209.34317562531</v>
      </c>
      <c r="R386" s="259">
        <f t="shared" si="22"/>
        <v>0.67512265791589787</v>
      </c>
      <c r="S386" s="255">
        <f t="shared" si="23"/>
        <v>34.66972710923276</v>
      </c>
      <c r="T386" s="255">
        <f t="shared" si="23"/>
        <v>34.66972710923276</v>
      </c>
      <c r="U386" s="254">
        <v>100300</v>
      </c>
      <c r="V386" s="254" t="s">
        <v>917</v>
      </c>
      <c r="W386" s="254" t="s">
        <v>948</v>
      </c>
      <c r="X386" s="254" t="s">
        <v>446</v>
      </c>
      <c r="Y386" s="254" t="s">
        <v>843</v>
      </c>
      <c r="Z386" s="254" t="s">
        <v>1073</v>
      </c>
      <c r="AA386" s="254" t="s">
        <v>838</v>
      </c>
    </row>
    <row r="387" spans="1:27" ht="14.4" x14ac:dyDescent="0.3">
      <c r="A387" s="253">
        <v>13</v>
      </c>
      <c r="B387" s="254" t="s">
        <v>846</v>
      </c>
      <c r="C387" s="254">
        <v>1613</v>
      </c>
      <c r="D387" s="254" t="s">
        <v>211</v>
      </c>
      <c r="E387" s="254" t="str">
        <f>_xlfn.XLOOKUP(C387,Clientes!I:I,Clientes!F:F)</f>
        <v>GRUPO HERINGER</v>
      </c>
      <c r="F387" s="254">
        <v>8217</v>
      </c>
      <c r="G387" s="254" t="s">
        <v>875</v>
      </c>
      <c r="H387" s="254" t="s">
        <v>927</v>
      </c>
      <c r="I387" s="255">
        <v>12000</v>
      </c>
      <c r="J387" s="256">
        <v>12000</v>
      </c>
      <c r="K387" s="258">
        <v>405825.02399649413</v>
      </c>
      <c r="L387" s="258">
        <v>-28375.200000000004</v>
      </c>
      <c r="M387" s="258">
        <f t="shared" si="20"/>
        <v>377449.82399649412</v>
      </c>
      <c r="N387" s="258">
        <v>-191291.05</v>
      </c>
      <c r="O387" s="258">
        <v>-13083.792000000029</v>
      </c>
      <c r="P387" s="258">
        <v>-164.33761298119126</v>
      </c>
      <c r="Q387" s="258">
        <f t="shared" si="21"/>
        <v>172910.64438351293</v>
      </c>
      <c r="R387" s="259">
        <f t="shared" si="22"/>
        <v>0.45810233146411267</v>
      </c>
      <c r="S387" s="255">
        <f t="shared" si="23"/>
        <v>33.818751999707843</v>
      </c>
      <c r="T387" s="255">
        <f t="shared" si="23"/>
        <v>33.818751999707843</v>
      </c>
      <c r="U387" s="254">
        <v>100300</v>
      </c>
      <c r="V387" s="254" t="s">
        <v>917</v>
      </c>
      <c r="W387" s="254" t="s">
        <v>876</v>
      </c>
      <c r="X387" s="254" t="s">
        <v>446</v>
      </c>
      <c r="Y387" s="254" t="s">
        <v>843</v>
      </c>
      <c r="Z387" s="254" t="s">
        <v>1073</v>
      </c>
      <c r="AA387" s="254" t="s">
        <v>838</v>
      </c>
    </row>
    <row r="388" spans="1:27" ht="14.4" x14ac:dyDescent="0.3">
      <c r="A388" s="253">
        <v>13</v>
      </c>
      <c r="B388" s="254" t="s">
        <v>846</v>
      </c>
      <c r="C388" s="254">
        <v>10492</v>
      </c>
      <c r="D388" s="254" t="s">
        <v>101</v>
      </c>
      <c r="E388" s="254" t="str">
        <f>_xlfn.XLOOKUP(C388,Clientes!I:I,Clientes!F:F)</f>
        <v>GRUPO UNIFERTIL</v>
      </c>
      <c r="F388" s="254">
        <v>8216</v>
      </c>
      <c r="G388" s="254" t="s">
        <v>877</v>
      </c>
      <c r="H388" s="254" t="s">
        <v>938</v>
      </c>
      <c r="I388" s="255">
        <v>12000</v>
      </c>
      <c r="J388" s="256">
        <v>12000</v>
      </c>
      <c r="K388" s="258">
        <v>373267.71745325852</v>
      </c>
      <c r="L388" s="258">
        <v>-44740.799999999996</v>
      </c>
      <c r="M388" s="258">
        <f t="shared" ref="M388:M451" si="24">SUM(K388:L388)</f>
        <v>328526.91745325853</v>
      </c>
      <c r="N388" s="258">
        <v>-123909.72500000001</v>
      </c>
      <c r="O388" s="258">
        <v>-14498.255999999972</v>
      </c>
      <c r="P388" s="258">
        <v>-182.10384141158957</v>
      </c>
      <c r="Q388" s="258">
        <f t="shared" ref="Q388:Q451" si="25">SUM(M388:P388)</f>
        <v>189936.83261184697</v>
      </c>
      <c r="R388" s="259">
        <f t="shared" ref="R388:R451" si="26">Q388/M388</f>
        <v>0.5781469417612346</v>
      </c>
      <c r="S388" s="255">
        <f t="shared" ref="S388:T451" si="27">$K388/I388</f>
        <v>31.105643121104876</v>
      </c>
      <c r="T388" s="255">
        <f t="shared" si="27"/>
        <v>31.105643121104876</v>
      </c>
      <c r="U388" s="254">
        <v>100300</v>
      </c>
      <c r="V388" s="254" t="s">
        <v>917</v>
      </c>
      <c r="W388" s="254" t="s">
        <v>878</v>
      </c>
      <c r="X388" s="254" t="s">
        <v>446</v>
      </c>
      <c r="Y388" s="254" t="s">
        <v>843</v>
      </c>
      <c r="Z388" s="254" t="s">
        <v>1073</v>
      </c>
      <c r="AA388" s="254" t="s">
        <v>838</v>
      </c>
    </row>
    <row r="389" spans="1:27" ht="14.4" x14ac:dyDescent="0.3">
      <c r="A389" s="253">
        <v>13</v>
      </c>
      <c r="B389" s="254" t="s">
        <v>846</v>
      </c>
      <c r="C389" s="254">
        <v>14632</v>
      </c>
      <c r="D389" s="254" t="s">
        <v>399</v>
      </c>
      <c r="E389" s="254" t="str">
        <f>_xlfn.XLOOKUP(C389,Clientes!I:I,Clientes!F:F)</f>
        <v>BIGFERTIL - CANDEIAS</v>
      </c>
      <c r="F389" s="254">
        <v>8224</v>
      </c>
      <c r="G389" s="254" t="s">
        <v>875</v>
      </c>
      <c r="H389" s="254" t="s">
        <v>921</v>
      </c>
      <c r="I389" s="255">
        <v>6000</v>
      </c>
      <c r="J389" s="256">
        <v>6000</v>
      </c>
      <c r="K389" s="258">
        <v>145066.22749430631</v>
      </c>
      <c r="L389" s="258">
        <v>-10143.000000000002</v>
      </c>
      <c r="M389" s="258">
        <f t="shared" si="24"/>
        <v>134923.22749430631</v>
      </c>
      <c r="N389" s="258">
        <v>-42824.010000000009</v>
      </c>
      <c r="O389" s="258">
        <v>-13083.792000000029</v>
      </c>
      <c r="P389" s="258">
        <v>-164.33761298119126</v>
      </c>
      <c r="Q389" s="258">
        <f t="shared" si="25"/>
        <v>78851.087881325075</v>
      </c>
      <c r="R389" s="259">
        <f t="shared" si="26"/>
        <v>0.5844144803358825</v>
      </c>
      <c r="S389" s="255">
        <f t="shared" si="27"/>
        <v>24.177704582384386</v>
      </c>
      <c r="T389" s="255">
        <f t="shared" si="27"/>
        <v>24.177704582384386</v>
      </c>
      <c r="U389" s="254">
        <v>100300</v>
      </c>
      <c r="V389" s="254" t="s">
        <v>917</v>
      </c>
      <c r="W389" s="254" t="s">
        <v>876</v>
      </c>
      <c r="X389" s="254" t="s">
        <v>446</v>
      </c>
      <c r="Y389" s="254" t="s">
        <v>843</v>
      </c>
      <c r="Z389" s="254" t="s">
        <v>1073</v>
      </c>
      <c r="AA389" s="254" t="s">
        <v>838</v>
      </c>
    </row>
    <row r="390" spans="1:27" ht="14.4" x14ac:dyDescent="0.3">
      <c r="A390" s="253">
        <v>13</v>
      </c>
      <c r="B390" s="254" t="s">
        <v>846</v>
      </c>
      <c r="C390" s="254">
        <v>10676</v>
      </c>
      <c r="D390" s="254" t="s">
        <v>120</v>
      </c>
      <c r="E390" s="254" t="str">
        <f>_xlfn.XLOOKUP(C390,Clientes!I:I,Clientes!F:F)</f>
        <v>LYCSA ARGENTINA</v>
      </c>
      <c r="F390" s="254">
        <v>8208</v>
      </c>
      <c r="G390" s="254" t="s">
        <v>832</v>
      </c>
      <c r="H390" s="254" t="s">
        <v>933</v>
      </c>
      <c r="I390" s="255">
        <v>5000</v>
      </c>
      <c r="J390" s="256">
        <v>5000</v>
      </c>
      <c r="K390" s="258">
        <v>234263.43618033268</v>
      </c>
      <c r="L390" s="258">
        <v>0</v>
      </c>
      <c r="M390" s="258">
        <f t="shared" si="24"/>
        <v>234263.43618033268</v>
      </c>
      <c r="N390" s="258">
        <v>-65721.560000000012</v>
      </c>
      <c r="O390" s="258">
        <v>-20322.741119999999</v>
      </c>
      <c r="P390" s="258">
        <v>-800.56761093695718</v>
      </c>
      <c r="Q390" s="258">
        <f t="shared" si="25"/>
        <v>147418.56744939572</v>
      </c>
      <c r="R390" s="259">
        <f t="shared" si="26"/>
        <v>0.6292854311925784</v>
      </c>
      <c r="S390" s="255">
        <f t="shared" si="27"/>
        <v>46.852687236066537</v>
      </c>
      <c r="T390" s="255">
        <f t="shared" si="27"/>
        <v>46.852687236066537</v>
      </c>
      <c r="U390" s="254">
        <v>100300</v>
      </c>
      <c r="V390" s="254" t="s">
        <v>917</v>
      </c>
      <c r="W390" s="254" t="s">
        <v>1082</v>
      </c>
      <c r="X390" s="254" t="s">
        <v>446</v>
      </c>
      <c r="Y390" s="254" t="s">
        <v>836</v>
      </c>
      <c r="Z390" s="254" t="s">
        <v>1073</v>
      </c>
      <c r="AA390" s="254" t="s">
        <v>838</v>
      </c>
    </row>
    <row r="391" spans="1:27" ht="14.4" x14ac:dyDescent="0.3">
      <c r="A391" s="253">
        <v>13</v>
      </c>
      <c r="B391" s="254" t="s">
        <v>846</v>
      </c>
      <c r="C391" s="254">
        <v>97</v>
      </c>
      <c r="D391" s="254" t="s">
        <v>300</v>
      </c>
      <c r="E391" s="254" t="str">
        <f>_xlfn.XLOOKUP(C391,Clientes!I:I,Clientes!F:F)</f>
        <v>FECOAGRO FEDERACAO DAS COOPERATIVAS</v>
      </c>
      <c r="F391" s="254">
        <v>8223</v>
      </c>
      <c r="G391" s="254" t="s">
        <v>893</v>
      </c>
      <c r="H391" s="254" t="s">
        <v>920</v>
      </c>
      <c r="I391" s="255">
        <v>12000</v>
      </c>
      <c r="J391" s="256">
        <v>12000</v>
      </c>
      <c r="K391" s="258">
        <v>456523.11758042563</v>
      </c>
      <c r="L391" s="258">
        <v>-54720</v>
      </c>
      <c r="M391" s="258">
        <f t="shared" si="24"/>
        <v>401803.11758042563</v>
      </c>
      <c r="N391" s="258">
        <v>-143904.28</v>
      </c>
      <c r="O391" s="258">
        <v>-9901.2479999999723</v>
      </c>
      <c r="P391" s="258">
        <v>-124.36359901279276</v>
      </c>
      <c r="Q391" s="258">
        <f t="shared" si="25"/>
        <v>247873.22598141289</v>
      </c>
      <c r="R391" s="259">
        <f t="shared" si="26"/>
        <v>0.61690219696167026</v>
      </c>
      <c r="S391" s="255">
        <f t="shared" si="27"/>
        <v>38.043593131702139</v>
      </c>
      <c r="T391" s="255">
        <f t="shared" si="27"/>
        <v>38.043593131702139</v>
      </c>
      <c r="U391" s="254">
        <v>100300</v>
      </c>
      <c r="V391" s="254" t="s">
        <v>917</v>
      </c>
      <c r="W391" s="254" t="s">
        <v>894</v>
      </c>
      <c r="X391" s="254" t="s">
        <v>446</v>
      </c>
      <c r="Y391" s="254" t="s">
        <v>843</v>
      </c>
      <c r="Z391" s="254" t="s">
        <v>1073</v>
      </c>
      <c r="AA391" s="254" t="s">
        <v>838</v>
      </c>
    </row>
    <row r="392" spans="1:27" ht="14.4" x14ac:dyDescent="0.3">
      <c r="A392" s="253">
        <v>13</v>
      </c>
      <c r="B392" s="254" t="s">
        <v>846</v>
      </c>
      <c r="C392" s="254">
        <v>215</v>
      </c>
      <c r="D392" s="254" t="s">
        <v>221</v>
      </c>
      <c r="E392" s="254" t="str">
        <f>_xlfn.XLOOKUP(C392,Clientes!I:I,Clientes!F:F)</f>
        <v>GRUPO UNIFERTIL</v>
      </c>
      <c r="F392" s="254">
        <v>8216</v>
      </c>
      <c r="G392" s="254" t="s">
        <v>877</v>
      </c>
      <c r="H392" s="254" t="s">
        <v>938</v>
      </c>
      <c r="I392" s="255">
        <v>12000</v>
      </c>
      <c r="J392" s="256">
        <v>12000</v>
      </c>
      <c r="K392" s="258">
        <v>373267.71745325852</v>
      </c>
      <c r="L392" s="258">
        <v>-44740.799999999996</v>
      </c>
      <c r="M392" s="258">
        <f t="shared" si="24"/>
        <v>328526.91745325853</v>
      </c>
      <c r="N392" s="258">
        <v>-123909.72500000001</v>
      </c>
      <c r="O392" s="258">
        <v>-14321.447999999978</v>
      </c>
      <c r="P392" s="258">
        <v>-179.88306285778975</v>
      </c>
      <c r="Q392" s="258">
        <f t="shared" si="25"/>
        <v>190115.86139040077</v>
      </c>
      <c r="R392" s="259">
        <f t="shared" si="26"/>
        <v>0.57869188577964747</v>
      </c>
      <c r="S392" s="255">
        <f t="shared" si="27"/>
        <v>31.105643121104876</v>
      </c>
      <c r="T392" s="255">
        <f t="shared" si="27"/>
        <v>31.105643121104876</v>
      </c>
      <c r="U392" s="254">
        <v>100300</v>
      </c>
      <c r="V392" s="254" t="s">
        <v>917</v>
      </c>
      <c r="W392" s="254" t="s">
        <v>880</v>
      </c>
      <c r="X392" s="254" t="s">
        <v>446</v>
      </c>
      <c r="Y392" s="254" t="s">
        <v>843</v>
      </c>
      <c r="Z392" s="254" t="s">
        <v>1073</v>
      </c>
      <c r="AA392" s="254" t="s">
        <v>838</v>
      </c>
    </row>
    <row r="393" spans="1:27" ht="14.4" x14ac:dyDescent="0.3">
      <c r="A393" s="253">
        <v>13</v>
      </c>
      <c r="B393" s="254" t="s">
        <v>846</v>
      </c>
      <c r="C393" s="254">
        <v>7662</v>
      </c>
      <c r="D393" s="254" t="s">
        <v>95</v>
      </c>
      <c r="E393" s="254" t="str">
        <f>_xlfn.XLOOKUP(C393,Clientes!I:I,Clientes!F:F)</f>
        <v>BENTONIT UNIAO - CAMPINA GRANDE</v>
      </c>
      <c r="F393" s="254">
        <v>7</v>
      </c>
      <c r="G393" s="254" t="s">
        <v>1022</v>
      </c>
      <c r="H393" s="254" t="s">
        <v>1023</v>
      </c>
      <c r="I393" s="255">
        <v>2000</v>
      </c>
      <c r="J393" s="256">
        <v>2000</v>
      </c>
      <c r="K393" s="258">
        <v>78109.503582510544</v>
      </c>
      <c r="L393" s="258">
        <v>-12173.070500000002</v>
      </c>
      <c r="M393" s="258">
        <f t="shared" si="24"/>
        <v>65936.433082510543</v>
      </c>
      <c r="N393" s="258">
        <v>-18490.43</v>
      </c>
      <c r="O393" s="258">
        <v>0</v>
      </c>
      <c r="P393" s="258">
        <v>0</v>
      </c>
      <c r="Q393" s="258">
        <f t="shared" si="25"/>
        <v>47446.003082510542</v>
      </c>
      <c r="R393" s="259">
        <f t="shared" si="26"/>
        <v>0.71957187952733626</v>
      </c>
      <c r="S393" s="255">
        <f t="shared" si="27"/>
        <v>39.054751791255271</v>
      </c>
      <c r="T393" s="255">
        <f t="shared" si="27"/>
        <v>39.054751791255271</v>
      </c>
      <c r="U393" s="254">
        <v>100300</v>
      </c>
      <c r="V393" s="254" t="s">
        <v>917</v>
      </c>
      <c r="W393" s="254" t="s">
        <v>1024</v>
      </c>
      <c r="X393" s="254" t="s">
        <v>446</v>
      </c>
      <c r="Y393" s="254" t="s">
        <v>843</v>
      </c>
      <c r="Z393" s="254" t="s">
        <v>1073</v>
      </c>
      <c r="AA393" s="254" t="s">
        <v>838</v>
      </c>
    </row>
    <row r="394" spans="1:27" ht="14.4" x14ac:dyDescent="0.3">
      <c r="A394" s="253">
        <v>13</v>
      </c>
      <c r="B394" s="254" t="s">
        <v>846</v>
      </c>
      <c r="C394" s="254">
        <v>2642</v>
      </c>
      <c r="D394" s="254" t="s">
        <v>665</v>
      </c>
      <c r="E394" s="254" t="str">
        <f>_xlfn.XLOOKUP(C394,Clientes!I:I,Clientes!F:F)</f>
        <v>BUNGE - ARGENTINA</v>
      </c>
      <c r="F394" s="254">
        <v>13491</v>
      </c>
      <c r="G394" s="254" t="s">
        <v>832</v>
      </c>
      <c r="H394" s="254" t="s">
        <v>931</v>
      </c>
      <c r="I394" s="255">
        <v>5500</v>
      </c>
      <c r="J394" s="256">
        <v>5500</v>
      </c>
      <c r="K394" s="258">
        <v>145917.20260383122</v>
      </c>
      <c r="L394" s="258">
        <v>0</v>
      </c>
      <c r="M394" s="258">
        <f t="shared" si="24"/>
        <v>145917.20260383122</v>
      </c>
      <c r="N394" s="258">
        <v>-51947.72</v>
      </c>
      <c r="O394" s="258">
        <v>0</v>
      </c>
      <c r="P394" s="258">
        <v>-599.8365208186309</v>
      </c>
      <c r="Q394" s="258">
        <f t="shared" si="25"/>
        <v>93369.646083012587</v>
      </c>
      <c r="R394" s="259">
        <f t="shared" si="26"/>
        <v>0.63988100386294733</v>
      </c>
      <c r="S394" s="255">
        <f t="shared" si="27"/>
        <v>26.530400473423857</v>
      </c>
      <c r="T394" s="255">
        <f t="shared" si="27"/>
        <v>26.530400473423857</v>
      </c>
      <c r="U394" s="254">
        <v>100300</v>
      </c>
      <c r="V394" s="254" t="s">
        <v>917</v>
      </c>
      <c r="W394" s="254" t="s">
        <v>1036</v>
      </c>
      <c r="X394" s="254" t="s">
        <v>446</v>
      </c>
      <c r="Y394" s="254" t="s">
        <v>836</v>
      </c>
      <c r="Z394" s="254" t="s">
        <v>1073</v>
      </c>
      <c r="AA394" s="254" t="s">
        <v>838</v>
      </c>
    </row>
    <row r="395" spans="1:27" ht="14.4" x14ac:dyDescent="0.3">
      <c r="A395" s="253">
        <v>13</v>
      </c>
      <c r="B395" s="254" t="s">
        <v>846</v>
      </c>
      <c r="C395" s="254">
        <v>10891</v>
      </c>
      <c r="D395" s="254" t="s">
        <v>104</v>
      </c>
      <c r="E395" s="254" t="str">
        <f>_xlfn.XLOOKUP(C395,Clientes!I:I,Clientes!F:F)</f>
        <v>GRUPO HINOVE</v>
      </c>
      <c r="F395" s="254">
        <v>8214</v>
      </c>
      <c r="G395" s="254" t="s">
        <v>924</v>
      </c>
      <c r="H395" s="254" t="s">
        <v>922</v>
      </c>
      <c r="I395" s="255">
        <v>4000</v>
      </c>
      <c r="J395" s="256">
        <v>4000</v>
      </c>
      <c r="K395" s="258">
        <v>124542.71014694068</v>
      </c>
      <c r="L395" s="258">
        <v>-8708</v>
      </c>
      <c r="M395" s="258">
        <f t="shared" si="24"/>
        <v>115834.71014694068</v>
      </c>
      <c r="N395" s="258">
        <v>-39217.41333333333</v>
      </c>
      <c r="O395" s="258">
        <v>-7691.1480000000047</v>
      </c>
      <c r="P395" s="258">
        <v>-96.603867090294699</v>
      </c>
      <c r="Q395" s="258">
        <f t="shared" si="25"/>
        <v>68829.544946517053</v>
      </c>
      <c r="R395" s="259">
        <f t="shared" si="26"/>
        <v>0.59420483600471907</v>
      </c>
      <c r="S395" s="255">
        <f t="shared" si="27"/>
        <v>31.135677536735169</v>
      </c>
      <c r="T395" s="255">
        <f t="shared" si="27"/>
        <v>31.135677536735169</v>
      </c>
      <c r="U395" s="254">
        <v>100300</v>
      </c>
      <c r="V395" s="254" t="s">
        <v>917</v>
      </c>
      <c r="W395" s="254" t="s">
        <v>925</v>
      </c>
      <c r="X395" s="254" t="s">
        <v>446</v>
      </c>
      <c r="Y395" s="254" t="s">
        <v>843</v>
      </c>
      <c r="Z395" s="254" t="s">
        <v>1073</v>
      </c>
      <c r="AA395" s="254" t="s">
        <v>838</v>
      </c>
    </row>
    <row r="396" spans="1:27" ht="14.4" x14ac:dyDescent="0.3">
      <c r="A396" s="253">
        <v>13</v>
      </c>
      <c r="B396" s="254" t="s">
        <v>846</v>
      </c>
      <c r="C396" s="254">
        <v>12596</v>
      </c>
      <c r="D396" s="254" t="s">
        <v>1083</v>
      </c>
      <c r="E396" s="254" t="str">
        <f>_xlfn.XLOOKUP(C396,Clientes!I:I,Clientes!F:F)</f>
        <v>DREYFUS SUIÇA</v>
      </c>
      <c r="F396" s="254">
        <v>11792</v>
      </c>
      <c r="G396" s="254" t="s">
        <v>832</v>
      </c>
      <c r="H396" s="254" t="s">
        <v>1084</v>
      </c>
      <c r="I396" s="255">
        <v>22000</v>
      </c>
      <c r="J396" s="256">
        <v>22000</v>
      </c>
      <c r="K396" s="258">
        <v>919862.04521455197</v>
      </c>
      <c r="L396" s="258">
        <v>0</v>
      </c>
      <c r="M396" s="258">
        <f t="shared" si="24"/>
        <v>919862.04521455197</v>
      </c>
      <c r="N396" s="258">
        <v>-312312</v>
      </c>
      <c r="O396" s="258">
        <v>-18554.720448</v>
      </c>
      <c r="P396" s="258">
        <v>-2632.4007258397382</v>
      </c>
      <c r="Q396" s="258">
        <f t="shared" si="25"/>
        <v>586362.92404071218</v>
      </c>
      <c r="R396" s="259">
        <f t="shared" si="26"/>
        <v>0.6374465900524755</v>
      </c>
      <c r="S396" s="255">
        <f t="shared" si="27"/>
        <v>41.811911146115996</v>
      </c>
      <c r="T396" s="255">
        <f t="shared" si="27"/>
        <v>41.811911146115996</v>
      </c>
      <c r="U396" s="254">
        <v>100300</v>
      </c>
      <c r="V396" s="254" t="s">
        <v>917</v>
      </c>
      <c r="W396" s="254" t="s">
        <v>1085</v>
      </c>
      <c r="X396" s="254" t="s">
        <v>446</v>
      </c>
      <c r="Y396" s="254" t="s">
        <v>836</v>
      </c>
      <c r="Z396" s="254" t="s">
        <v>1073</v>
      </c>
      <c r="AA396" s="254" t="s">
        <v>838</v>
      </c>
    </row>
    <row r="397" spans="1:27" ht="14.4" x14ac:dyDescent="0.3">
      <c r="A397" s="253">
        <v>13</v>
      </c>
      <c r="B397" s="254" t="s">
        <v>846</v>
      </c>
      <c r="C397" s="254">
        <v>11768</v>
      </c>
      <c r="D397" s="254" t="s">
        <v>274</v>
      </c>
      <c r="E397" s="254" t="str">
        <f>_xlfn.XLOOKUP(C397,Clientes!I:I,Clientes!F:F)</f>
        <v>CERES PERU S.A</v>
      </c>
      <c r="F397" s="254">
        <v>8206</v>
      </c>
      <c r="G397" s="254" t="s">
        <v>832</v>
      </c>
      <c r="H397" s="254" t="s">
        <v>1025</v>
      </c>
      <c r="I397" s="255">
        <v>2000</v>
      </c>
      <c r="J397" s="256">
        <v>2000</v>
      </c>
      <c r="K397" s="258">
        <v>116733.76208306498</v>
      </c>
      <c r="L397" s="258">
        <v>0</v>
      </c>
      <c r="M397" s="258">
        <f t="shared" si="24"/>
        <v>116733.76208306498</v>
      </c>
      <c r="N397" s="258">
        <v>-27845.43</v>
      </c>
      <c r="O397" s="258">
        <v>-8233.9720319999997</v>
      </c>
      <c r="P397" s="258">
        <v>-321.54432327485773</v>
      </c>
      <c r="Q397" s="258">
        <f t="shared" si="25"/>
        <v>80332.815727790119</v>
      </c>
      <c r="R397" s="259">
        <f t="shared" si="26"/>
        <v>0.6881712222264128</v>
      </c>
      <c r="S397" s="255">
        <f t="shared" si="27"/>
        <v>58.366881041532494</v>
      </c>
      <c r="T397" s="255">
        <f t="shared" si="27"/>
        <v>58.366881041532494</v>
      </c>
      <c r="U397" s="254">
        <v>100300</v>
      </c>
      <c r="V397" s="254" t="s">
        <v>917</v>
      </c>
      <c r="W397" s="254" t="s">
        <v>1078</v>
      </c>
      <c r="X397" s="254" t="s">
        <v>446</v>
      </c>
      <c r="Y397" s="254" t="s">
        <v>836</v>
      </c>
      <c r="Z397" s="254" t="s">
        <v>1073</v>
      </c>
      <c r="AA397" s="254" t="s">
        <v>838</v>
      </c>
    </row>
    <row r="398" spans="1:27" ht="14.4" x14ac:dyDescent="0.3">
      <c r="A398" s="253">
        <v>13</v>
      </c>
      <c r="B398" s="254" t="s">
        <v>846</v>
      </c>
      <c r="C398" s="254">
        <v>2247</v>
      </c>
      <c r="D398" s="254" t="s">
        <v>425</v>
      </c>
      <c r="E398" s="254" t="str">
        <f>_xlfn.XLOOKUP(C398,Clientes!I:I,Clientes!F:F)</f>
        <v>ADUBOS LEAO - LARANJEIRAS</v>
      </c>
      <c r="F398" s="254">
        <v>8225</v>
      </c>
      <c r="G398" s="254" t="s">
        <v>887</v>
      </c>
      <c r="H398" s="254" t="s">
        <v>919</v>
      </c>
      <c r="I398" s="255">
        <v>2000</v>
      </c>
      <c r="J398" s="256">
        <v>2000</v>
      </c>
      <c r="K398" s="258">
        <v>61210.139054533385</v>
      </c>
      <c r="L398" s="258">
        <v>-4279.8</v>
      </c>
      <c r="M398" s="258">
        <f t="shared" si="24"/>
        <v>56930.339054533382</v>
      </c>
      <c r="N398" s="258">
        <v>-13424.509999999998</v>
      </c>
      <c r="O398" s="258">
        <v>-12188.49139872</v>
      </c>
      <c r="P398" s="258">
        <v>-153.09228259723338</v>
      </c>
      <c r="Q398" s="258">
        <f t="shared" si="25"/>
        <v>31164.245373216156</v>
      </c>
      <c r="R398" s="259">
        <f t="shared" si="26"/>
        <v>0.54741014880245187</v>
      </c>
      <c r="S398" s="255">
        <f t="shared" si="27"/>
        <v>30.605069527266693</v>
      </c>
      <c r="T398" s="255">
        <f t="shared" si="27"/>
        <v>30.605069527266693</v>
      </c>
      <c r="U398" s="254">
        <v>100300</v>
      </c>
      <c r="V398" s="254" t="s">
        <v>917</v>
      </c>
      <c r="W398" s="254" t="s">
        <v>1030</v>
      </c>
      <c r="X398" s="254" t="s">
        <v>446</v>
      </c>
      <c r="Y398" s="254" t="s">
        <v>843</v>
      </c>
      <c r="Z398" s="254" t="s">
        <v>1073</v>
      </c>
      <c r="AA398" s="254" t="s">
        <v>838</v>
      </c>
    </row>
    <row r="399" spans="1:27" ht="14.4" x14ac:dyDescent="0.3">
      <c r="A399" s="253">
        <v>13</v>
      </c>
      <c r="B399" s="254" t="s">
        <v>846</v>
      </c>
      <c r="C399" s="254">
        <v>11637</v>
      </c>
      <c r="D399" s="254" t="s">
        <v>625</v>
      </c>
      <c r="E399" s="254" t="str">
        <f>_xlfn.XLOOKUP(C399,Clientes!I:I,Clientes!F:F)</f>
        <v>AGROPECUARIA MARATA LTDA - MARUIM</v>
      </c>
      <c r="F399" s="254">
        <v>8224</v>
      </c>
      <c r="G399" s="254" t="s">
        <v>887</v>
      </c>
      <c r="H399" s="254" t="s">
        <v>921</v>
      </c>
      <c r="I399" s="255">
        <v>4000</v>
      </c>
      <c r="J399" s="256">
        <v>4000</v>
      </c>
      <c r="K399" s="258">
        <v>92506.000141296769</v>
      </c>
      <c r="L399" s="258">
        <v>-6468.0000000000009</v>
      </c>
      <c r="M399" s="258">
        <f t="shared" si="24"/>
        <v>86038.000141296769</v>
      </c>
      <c r="N399" s="258">
        <v>-28549.340000000011</v>
      </c>
      <c r="O399" s="258">
        <v>0</v>
      </c>
      <c r="P399" s="258">
        <v>0</v>
      </c>
      <c r="Q399" s="258">
        <f t="shared" si="25"/>
        <v>57488.660141296758</v>
      </c>
      <c r="R399" s="259">
        <f t="shared" si="26"/>
        <v>0.66817754999983059</v>
      </c>
      <c r="S399" s="255">
        <f t="shared" si="27"/>
        <v>23.126500035324192</v>
      </c>
      <c r="T399" s="255">
        <f t="shared" si="27"/>
        <v>23.126500035324192</v>
      </c>
      <c r="U399" s="254">
        <v>100300</v>
      </c>
      <c r="V399" s="254" t="s">
        <v>917</v>
      </c>
      <c r="W399" s="254" t="s">
        <v>1009</v>
      </c>
      <c r="X399" s="254" t="s">
        <v>446</v>
      </c>
      <c r="Y399" s="254" t="s">
        <v>843</v>
      </c>
      <c r="Z399" s="254" t="s">
        <v>1073</v>
      </c>
      <c r="AA399" s="254" t="s">
        <v>838</v>
      </c>
    </row>
    <row r="400" spans="1:27" ht="14.4" x14ac:dyDescent="0.3">
      <c r="A400" s="253">
        <v>11</v>
      </c>
      <c r="B400" s="254" t="s">
        <v>846</v>
      </c>
      <c r="C400" s="254">
        <v>2642</v>
      </c>
      <c r="D400" s="254" t="s">
        <v>665</v>
      </c>
      <c r="E400" s="254" t="str">
        <f>_xlfn.XLOOKUP(C400,Clientes!I:I,Clientes!F:F)</f>
        <v>BUNGE - ARGENTINA</v>
      </c>
      <c r="F400" s="254">
        <v>14142</v>
      </c>
      <c r="G400" s="254" t="s">
        <v>832</v>
      </c>
      <c r="H400" s="254" t="s">
        <v>962</v>
      </c>
      <c r="I400" s="255">
        <v>28000</v>
      </c>
      <c r="J400" s="256">
        <v>28000</v>
      </c>
      <c r="K400" s="258">
        <v>178080</v>
      </c>
      <c r="L400" s="258">
        <v>0</v>
      </c>
      <c r="M400" s="258">
        <f t="shared" si="24"/>
        <v>178080</v>
      </c>
      <c r="N400" s="258">
        <v>-80876.188109756098</v>
      </c>
      <c r="O400" s="258">
        <v>0</v>
      </c>
      <c r="P400" s="258">
        <v>-3053.7131968948484</v>
      </c>
      <c r="Q400" s="258">
        <f t="shared" si="25"/>
        <v>94150.098693349049</v>
      </c>
      <c r="R400" s="259">
        <f t="shared" si="26"/>
        <v>0.52869552276139409</v>
      </c>
      <c r="S400" s="255">
        <f t="shared" si="27"/>
        <v>6.36</v>
      </c>
      <c r="T400" s="255">
        <f t="shared" si="27"/>
        <v>6.36</v>
      </c>
      <c r="U400" s="254">
        <v>100700</v>
      </c>
      <c r="V400" s="254" t="s">
        <v>960</v>
      </c>
      <c r="W400" s="254" t="s">
        <v>1036</v>
      </c>
      <c r="X400" s="254" t="s">
        <v>446</v>
      </c>
      <c r="Y400" s="254" t="s">
        <v>836</v>
      </c>
      <c r="Z400" s="254" t="s">
        <v>1073</v>
      </c>
      <c r="AA400" s="254" t="s">
        <v>838</v>
      </c>
    </row>
    <row r="401" spans="1:27" ht="14.4" x14ac:dyDescent="0.3">
      <c r="A401" s="253">
        <v>11</v>
      </c>
      <c r="B401" s="254" t="s">
        <v>846</v>
      </c>
      <c r="C401" s="254">
        <v>8995</v>
      </c>
      <c r="D401" s="254" t="s">
        <v>172</v>
      </c>
      <c r="E401" s="254" t="str">
        <f>_xlfn.XLOOKUP(C401,Clientes!I:I,Clientes!F:F)</f>
        <v>FERTIPOL - DOURADOS</v>
      </c>
      <c r="F401" s="254">
        <v>3351</v>
      </c>
      <c r="G401" s="254" t="s">
        <v>924</v>
      </c>
      <c r="H401" s="254" t="s">
        <v>965</v>
      </c>
      <c r="I401" s="255">
        <v>30000</v>
      </c>
      <c r="J401" s="256">
        <v>30000</v>
      </c>
      <c r="K401" s="258">
        <v>160200</v>
      </c>
      <c r="L401" s="258">
        <v>-11214.000000000002</v>
      </c>
      <c r="M401" s="258">
        <f t="shared" si="24"/>
        <v>148986</v>
      </c>
      <c r="N401" s="258">
        <v>-88356.599999999991</v>
      </c>
      <c r="O401" s="258">
        <v>-11914.507987199999</v>
      </c>
      <c r="P401" s="258">
        <v>-149.65094236149434</v>
      </c>
      <c r="Q401" s="258">
        <f t="shared" si="25"/>
        <v>48565.241070438518</v>
      </c>
      <c r="R401" s="259">
        <f t="shared" si="26"/>
        <v>0.32597184346474511</v>
      </c>
      <c r="S401" s="255">
        <f t="shared" si="27"/>
        <v>5.34</v>
      </c>
      <c r="T401" s="255">
        <f t="shared" si="27"/>
        <v>5.34</v>
      </c>
      <c r="U401" s="254">
        <v>100700</v>
      </c>
      <c r="V401" s="254" t="s">
        <v>960</v>
      </c>
      <c r="W401" s="254" t="s">
        <v>1042</v>
      </c>
      <c r="X401" s="254" t="s">
        <v>446</v>
      </c>
      <c r="Y401" s="254" t="s">
        <v>843</v>
      </c>
      <c r="Z401" s="254" t="s">
        <v>1073</v>
      </c>
      <c r="AA401" s="254" t="s">
        <v>838</v>
      </c>
    </row>
    <row r="402" spans="1:27" ht="14.4" x14ac:dyDescent="0.3">
      <c r="A402" s="253">
        <v>11</v>
      </c>
      <c r="B402" s="254" t="s">
        <v>846</v>
      </c>
      <c r="C402" s="254">
        <v>12629</v>
      </c>
      <c r="D402" s="254" t="s">
        <v>109</v>
      </c>
      <c r="E402" s="254" t="str">
        <f>_xlfn.XLOOKUP(C402,Clientes!I:I,Clientes!F:F)</f>
        <v>EUROCHEM SERRA DO SALITRE</v>
      </c>
      <c r="F402" s="254">
        <v>3359</v>
      </c>
      <c r="G402" s="254" t="s">
        <v>855</v>
      </c>
      <c r="H402" s="254" t="s">
        <v>967</v>
      </c>
      <c r="I402" s="255">
        <v>60000</v>
      </c>
      <c r="J402" s="256">
        <v>60000</v>
      </c>
      <c r="K402" s="258">
        <v>327000</v>
      </c>
      <c r="L402" s="258">
        <v>-58860</v>
      </c>
      <c r="M402" s="258">
        <f t="shared" si="24"/>
        <v>268140</v>
      </c>
      <c r="N402" s="258">
        <v>-142976.79253012047</v>
      </c>
      <c r="O402" s="258">
        <v>-8445.7271808000005</v>
      </c>
      <c r="P402" s="258">
        <v>-106.08168066131248</v>
      </c>
      <c r="Q402" s="258">
        <f t="shared" si="25"/>
        <v>116611.39860841823</v>
      </c>
      <c r="R402" s="259">
        <f t="shared" si="26"/>
        <v>0.43488997765502435</v>
      </c>
      <c r="S402" s="255">
        <f t="shared" si="27"/>
        <v>5.45</v>
      </c>
      <c r="T402" s="255">
        <f t="shared" si="27"/>
        <v>5.45</v>
      </c>
      <c r="U402" s="254">
        <v>100700</v>
      </c>
      <c r="V402" s="254" t="s">
        <v>960</v>
      </c>
      <c r="W402" s="254" t="s">
        <v>968</v>
      </c>
      <c r="X402" s="254" t="s">
        <v>446</v>
      </c>
      <c r="Y402" s="254" t="s">
        <v>843</v>
      </c>
      <c r="Z402" s="254" t="s">
        <v>1073</v>
      </c>
      <c r="AA402" s="254" t="s">
        <v>838</v>
      </c>
    </row>
    <row r="403" spans="1:27" ht="14.4" x14ac:dyDescent="0.3">
      <c r="A403" s="253">
        <v>11</v>
      </c>
      <c r="B403" s="254" t="s">
        <v>846</v>
      </c>
      <c r="C403" s="254">
        <v>1789</v>
      </c>
      <c r="D403" s="254" t="s">
        <v>61</v>
      </c>
      <c r="E403" s="254" t="str">
        <f>_xlfn.XLOOKUP(C403,Clientes!I:I,Clientes!F:F)</f>
        <v>GRUPO MOSAIC FERTILIZANTES P K LTDA</v>
      </c>
      <c r="F403" s="254">
        <v>3359</v>
      </c>
      <c r="G403" s="254" t="s">
        <v>855</v>
      </c>
      <c r="H403" s="254" t="s">
        <v>967</v>
      </c>
      <c r="I403" s="255">
        <v>360000</v>
      </c>
      <c r="J403" s="256">
        <v>360000</v>
      </c>
      <c r="K403" s="258">
        <v>1396800</v>
      </c>
      <c r="L403" s="258">
        <v>0</v>
      </c>
      <c r="M403" s="258">
        <f t="shared" si="24"/>
        <v>1396800</v>
      </c>
      <c r="N403" s="258">
        <v>-857860.75518072292</v>
      </c>
      <c r="O403" s="258">
        <v>-38005.772313599999</v>
      </c>
      <c r="P403" s="258">
        <v>-477.36756297590614</v>
      </c>
      <c r="Q403" s="258">
        <f t="shared" si="25"/>
        <v>500456.10494270117</v>
      </c>
      <c r="R403" s="259">
        <f t="shared" si="26"/>
        <v>0.35828758944924194</v>
      </c>
      <c r="S403" s="255">
        <f t="shared" si="27"/>
        <v>3.88</v>
      </c>
      <c r="T403" s="255">
        <f t="shared" si="27"/>
        <v>3.88</v>
      </c>
      <c r="U403" s="254">
        <v>100700</v>
      </c>
      <c r="V403" s="254" t="s">
        <v>960</v>
      </c>
      <c r="W403" s="254" t="s">
        <v>969</v>
      </c>
      <c r="X403" s="254" t="s">
        <v>446</v>
      </c>
      <c r="Y403" s="254" t="s">
        <v>843</v>
      </c>
      <c r="Z403" s="254" t="s">
        <v>1073</v>
      </c>
      <c r="AA403" s="254" t="s">
        <v>838</v>
      </c>
    </row>
    <row r="404" spans="1:27" ht="14.4" x14ac:dyDescent="0.3">
      <c r="A404" s="253">
        <v>11</v>
      </c>
      <c r="B404" s="254" t="s">
        <v>846</v>
      </c>
      <c r="C404" s="254">
        <v>456</v>
      </c>
      <c r="D404" s="254" t="s">
        <v>312</v>
      </c>
      <c r="E404" s="254" t="str">
        <f>_xlfn.XLOOKUP(C404,Clientes!I:I,Clientes!F:F)</f>
        <v>GRUPO FERTIPAR FERTILIZANTES DO NORDESTE</v>
      </c>
      <c r="F404" s="254">
        <v>3353</v>
      </c>
      <c r="G404" s="254" t="s">
        <v>875</v>
      </c>
      <c r="H404" s="254" t="s">
        <v>972</v>
      </c>
      <c r="I404" s="255">
        <v>30000</v>
      </c>
      <c r="J404" s="256">
        <v>30000</v>
      </c>
      <c r="K404" s="258">
        <v>185400</v>
      </c>
      <c r="L404" s="258">
        <v>-12978.000000000002</v>
      </c>
      <c r="M404" s="258">
        <f t="shared" si="24"/>
        <v>172422</v>
      </c>
      <c r="N404" s="258">
        <v>-91396.349999999991</v>
      </c>
      <c r="O404" s="258">
        <v>-21548.474999999999</v>
      </c>
      <c r="P404" s="258">
        <v>-270.65738624436</v>
      </c>
      <c r="Q404" s="258">
        <f t="shared" si="25"/>
        <v>59206.517613755648</v>
      </c>
      <c r="R404" s="259">
        <f t="shared" si="26"/>
        <v>0.34338145720241992</v>
      </c>
      <c r="S404" s="255">
        <f t="shared" si="27"/>
        <v>6.18</v>
      </c>
      <c r="T404" s="255">
        <f t="shared" si="27"/>
        <v>6.18</v>
      </c>
      <c r="U404" s="254">
        <v>100700</v>
      </c>
      <c r="V404" s="254" t="s">
        <v>960</v>
      </c>
      <c r="W404" s="254" t="s">
        <v>876</v>
      </c>
      <c r="X404" s="254" t="s">
        <v>446</v>
      </c>
      <c r="Y404" s="254" t="s">
        <v>843</v>
      </c>
      <c r="Z404" s="254" t="s">
        <v>1073</v>
      </c>
      <c r="AA404" s="254" t="s">
        <v>838</v>
      </c>
    </row>
    <row r="405" spans="1:27" ht="14.4" x14ac:dyDescent="0.3">
      <c r="A405" s="253">
        <v>11</v>
      </c>
      <c r="B405" s="254" t="s">
        <v>846</v>
      </c>
      <c r="C405" s="254">
        <v>507</v>
      </c>
      <c r="D405" s="254" t="s">
        <v>42</v>
      </c>
      <c r="E405" s="254" t="str">
        <f>_xlfn.XLOOKUP(C405,Clientes!I:I,Clientes!F:F)</f>
        <v>FERTIAL FERTILIZANTES USIFERTIL - MACEIO</v>
      </c>
      <c r="F405" s="254">
        <v>14142</v>
      </c>
      <c r="G405" s="254" t="s">
        <v>1040</v>
      </c>
      <c r="H405" s="254" t="s">
        <v>962</v>
      </c>
      <c r="I405" s="255">
        <v>12000</v>
      </c>
      <c r="J405" s="256">
        <v>12000</v>
      </c>
      <c r="K405" s="258">
        <v>72960</v>
      </c>
      <c r="L405" s="258">
        <v>-5107.2000000000007</v>
      </c>
      <c r="M405" s="258">
        <f t="shared" si="24"/>
        <v>67852.800000000003</v>
      </c>
      <c r="N405" s="258">
        <v>-34661.22347560976</v>
      </c>
      <c r="O405" s="258">
        <v>-21003.719143679999</v>
      </c>
      <c r="P405" s="258">
        <v>-263.81503678747828</v>
      </c>
      <c r="Q405" s="258">
        <f t="shared" si="25"/>
        <v>11924.042343922765</v>
      </c>
      <c r="R405" s="259">
        <f t="shared" si="26"/>
        <v>0.175733976253342</v>
      </c>
      <c r="S405" s="255">
        <f t="shared" si="27"/>
        <v>6.08</v>
      </c>
      <c r="T405" s="255">
        <f t="shared" si="27"/>
        <v>6.08</v>
      </c>
      <c r="U405" s="254">
        <v>100700</v>
      </c>
      <c r="V405" s="254" t="s">
        <v>960</v>
      </c>
      <c r="W405" s="254" t="s">
        <v>1041</v>
      </c>
      <c r="X405" s="254" t="s">
        <v>446</v>
      </c>
      <c r="Y405" s="254" t="s">
        <v>843</v>
      </c>
      <c r="Z405" s="254" t="s">
        <v>1073</v>
      </c>
      <c r="AA405" s="254" t="s">
        <v>838</v>
      </c>
    </row>
    <row r="406" spans="1:27" ht="14.4" x14ac:dyDescent="0.3">
      <c r="A406" s="253">
        <v>11</v>
      </c>
      <c r="B406" s="254" t="s">
        <v>846</v>
      </c>
      <c r="C406" s="254">
        <v>12741</v>
      </c>
      <c r="D406" s="254" t="s">
        <v>964</v>
      </c>
      <c r="E406" s="254" t="str">
        <f>_xlfn.XLOOKUP(C406,Clientes!I:I,Clientes!F:F)</f>
        <v>GRUPO HINOVE</v>
      </c>
      <c r="F406" s="254">
        <v>3351</v>
      </c>
      <c r="G406" s="254" t="s">
        <v>908</v>
      </c>
      <c r="H406" s="254" t="s">
        <v>965</v>
      </c>
      <c r="I406" s="255">
        <v>30000</v>
      </c>
      <c r="J406" s="256">
        <v>30000</v>
      </c>
      <c r="K406" s="258">
        <v>175500</v>
      </c>
      <c r="L406" s="258">
        <v>-21060</v>
      </c>
      <c r="M406" s="258">
        <f t="shared" si="24"/>
        <v>154440</v>
      </c>
      <c r="N406" s="258">
        <v>-88356.599999999991</v>
      </c>
      <c r="O406" s="258">
        <v>0</v>
      </c>
      <c r="P406" s="258">
        <v>0</v>
      </c>
      <c r="Q406" s="258">
        <f t="shared" si="25"/>
        <v>66083.400000000009</v>
      </c>
      <c r="R406" s="259">
        <f t="shared" si="26"/>
        <v>0.42789044289044292</v>
      </c>
      <c r="S406" s="255">
        <f t="shared" si="27"/>
        <v>5.85</v>
      </c>
      <c r="T406" s="255">
        <f t="shared" si="27"/>
        <v>5.85</v>
      </c>
      <c r="U406" s="254">
        <v>100700</v>
      </c>
      <c r="V406" s="254" t="s">
        <v>960</v>
      </c>
      <c r="W406" s="254" t="s">
        <v>966</v>
      </c>
      <c r="X406" s="254" t="s">
        <v>446</v>
      </c>
      <c r="Y406" s="254" t="s">
        <v>843</v>
      </c>
      <c r="Z406" s="254" t="s">
        <v>1073</v>
      </c>
      <c r="AA406" s="254" t="s">
        <v>838</v>
      </c>
    </row>
    <row r="407" spans="1:27" ht="14.4" x14ac:dyDescent="0.3">
      <c r="A407" s="253">
        <v>11</v>
      </c>
      <c r="B407" s="254" t="s">
        <v>846</v>
      </c>
      <c r="C407" s="254">
        <v>6370</v>
      </c>
      <c r="D407" s="254" t="s">
        <v>264</v>
      </c>
      <c r="E407" s="254" t="str">
        <f>_xlfn.XLOOKUP(C407,Clientes!I:I,Clientes!F:F)</f>
        <v>YTL S.A. - PARAGUAI</v>
      </c>
      <c r="F407" s="254">
        <v>7010</v>
      </c>
      <c r="G407" s="254" t="s">
        <v>832</v>
      </c>
      <c r="H407" s="254" t="s">
        <v>971</v>
      </c>
      <c r="I407" s="255">
        <v>28000</v>
      </c>
      <c r="J407" s="256">
        <v>28000</v>
      </c>
      <c r="K407" s="258">
        <v>189840</v>
      </c>
      <c r="L407" s="258">
        <v>0</v>
      </c>
      <c r="M407" s="258">
        <f t="shared" si="24"/>
        <v>189840</v>
      </c>
      <c r="N407" s="258">
        <v>-71993.25</v>
      </c>
      <c r="O407" s="258">
        <v>-28440.27648</v>
      </c>
      <c r="P407" s="258">
        <v>-3410.934341135624</v>
      </c>
      <c r="Q407" s="258">
        <f t="shared" si="25"/>
        <v>85995.539178864376</v>
      </c>
      <c r="R407" s="259">
        <f t="shared" si="26"/>
        <v>0.45298956583894001</v>
      </c>
      <c r="S407" s="255">
        <f t="shared" si="27"/>
        <v>6.78</v>
      </c>
      <c r="T407" s="255">
        <f t="shared" si="27"/>
        <v>6.78</v>
      </c>
      <c r="U407" s="254">
        <v>100700</v>
      </c>
      <c r="V407" s="254" t="s">
        <v>960</v>
      </c>
      <c r="W407" s="254" t="s">
        <v>896</v>
      </c>
      <c r="X407" s="254" t="s">
        <v>446</v>
      </c>
      <c r="Y407" s="254" t="s">
        <v>836</v>
      </c>
      <c r="Z407" s="254" t="s">
        <v>1073</v>
      </c>
      <c r="AA407" s="254" t="s">
        <v>838</v>
      </c>
    </row>
    <row r="408" spans="1:27" ht="14.4" x14ac:dyDescent="0.3">
      <c r="A408" s="253">
        <v>11</v>
      </c>
      <c r="B408" s="254" t="s">
        <v>846</v>
      </c>
      <c r="C408" s="254">
        <v>2133</v>
      </c>
      <c r="D408" s="254" t="s">
        <v>260</v>
      </c>
      <c r="E408" s="254" t="str">
        <f>_xlfn.XLOOKUP(C408,Clientes!I:I,Clientes!F:F)</f>
        <v>GRUPO FERTIPAR FERTILIZANTES PARANA</v>
      </c>
      <c r="F408" s="254">
        <v>3353</v>
      </c>
      <c r="G408" s="254" t="s">
        <v>908</v>
      </c>
      <c r="H408" s="254" t="s">
        <v>972</v>
      </c>
      <c r="I408" s="255">
        <v>30000</v>
      </c>
      <c r="J408" s="256">
        <v>30000</v>
      </c>
      <c r="K408" s="258">
        <v>179700</v>
      </c>
      <c r="L408" s="258">
        <v>-21564</v>
      </c>
      <c r="M408" s="258">
        <f t="shared" si="24"/>
        <v>158136</v>
      </c>
      <c r="N408" s="258">
        <v>-91396.349999999991</v>
      </c>
      <c r="O408" s="258">
        <v>-11663.147059199999</v>
      </c>
      <c r="P408" s="258">
        <v>-146.49374948466959</v>
      </c>
      <c r="Q408" s="258">
        <f t="shared" si="25"/>
        <v>54930.009191315345</v>
      </c>
      <c r="R408" s="259">
        <f t="shared" si="26"/>
        <v>0.34735929321163644</v>
      </c>
      <c r="S408" s="255">
        <f t="shared" si="27"/>
        <v>5.99</v>
      </c>
      <c r="T408" s="255">
        <f t="shared" si="27"/>
        <v>5.99</v>
      </c>
      <c r="U408" s="254">
        <v>100700</v>
      </c>
      <c r="V408" s="254" t="s">
        <v>960</v>
      </c>
      <c r="W408" s="254" t="s">
        <v>973</v>
      </c>
      <c r="X408" s="254" t="s">
        <v>446</v>
      </c>
      <c r="Y408" s="254" t="s">
        <v>843</v>
      </c>
      <c r="Z408" s="254" t="s">
        <v>1073</v>
      </c>
      <c r="AA408" s="254" t="s">
        <v>838</v>
      </c>
    </row>
    <row r="409" spans="1:27" ht="14.4" x14ac:dyDescent="0.3">
      <c r="A409" s="253">
        <v>11</v>
      </c>
      <c r="B409" s="254" t="s">
        <v>846</v>
      </c>
      <c r="C409" s="254">
        <v>1792</v>
      </c>
      <c r="D409" s="254" t="s">
        <v>970</v>
      </c>
      <c r="E409" s="254" t="str">
        <f>_xlfn.XLOOKUP(C409,Clientes!I:I,Clientes!F:F)</f>
        <v>GRUPO MOSAIC FERTILIZANTES P K LTDA</v>
      </c>
      <c r="F409" s="254">
        <v>3359</v>
      </c>
      <c r="G409" s="254" t="s">
        <v>867</v>
      </c>
      <c r="H409" s="254" t="s">
        <v>967</v>
      </c>
      <c r="I409" s="255">
        <v>150000</v>
      </c>
      <c r="J409" s="256">
        <v>150000</v>
      </c>
      <c r="K409" s="258">
        <v>585000</v>
      </c>
      <c r="L409" s="258">
        <v>-40950.000000000007</v>
      </c>
      <c r="M409" s="258">
        <f t="shared" si="24"/>
        <v>544050</v>
      </c>
      <c r="N409" s="258">
        <v>-357441.98132530117</v>
      </c>
      <c r="O409" s="258">
        <v>-12210.8025</v>
      </c>
      <c r="P409" s="258">
        <v>-153.37251887180398</v>
      </c>
      <c r="Q409" s="258">
        <f t="shared" si="25"/>
        <v>174243.84365582705</v>
      </c>
      <c r="R409" s="259">
        <f t="shared" si="26"/>
        <v>0.32027174644945694</v>
      </c>
      <c r="S409" s="255">
        <f t="shared" si="27"/>
        <v>3.9</v>
      </c>
      <c r="T409" s="255">
        <f t="shared" si="27"/>
        <v>3.9</v>
      </c>
      <c r="U409" s="254">
        <v>100700</v>
      </c>
      <c r="V409" s="254" t="s">
        <v>960</v>
      </c>
      <c r="W409" s="254" t="s">
        <v>871</v>
      </c>
      <c r="X409" s="254" t="s">
        <v>446</v>
      </c>
      <c r="Y409" s="254" t="s">
        <v>843</v>
      </c>
      <c r="Z409" s="254" t="s">
        <v>1073</v>
      </c>
      <c r="AA409" s="254" t="s">
        <v>838</v>
      </c>
    </row>
    <row r="410" spans="1:27" ht="14.4" x14ac:dyDescent="0.3">
      <c r="A410" s="253">
        <v>11</v>
      </c>
      <c r="B410" s="254" t="s">
        <v>846</v>
      </c>
      <c r="C410" s="254">
        <v>14382</v>
      </c>
      <c r="D410" s="254" t="s">
        <v>244</v>
      </c>
      <c r="E410" s="254" t="str">
        <f>_xlfn.XLOOKUP(C410,Clientes!I:I,Clientes!F:F)</f>
        <v>GECAL - PAINS-MG</v>
      </c>
      <c r="F410" s="254">
        <v>3351</v>
      </c>
      <c r="G410" s="254" t="s">
        <v>855</v>
      </c>
      <c r="H410" s="254" t="s">
        <v>965</v>
      </c>
      <c r="I410" s="255">
        <v>15000</v>
      </c>
      <c r="J410" s="256">
        <v>15000</v>
      </c>
      <c r="K410" s="258">
        <v>102900</v>
      </c>
      <c r="L410" s="258">
        <v>-18522</v>
      </c>
      <c r="M410" s="258">
        <f t="shared" si="24"/>
        <v>84378</v>
      </c>
      <c r="N410" s="258">
        <v>-44178.299999999996</v>
      </c>
      <c r="O410" s="258">
        <v>-6648.4965456</v>
      </c>
      <c r="P410" s="258">
        <v>-83.507751592015325</v>
      </c>
      <c r="Q410" s="258">
        <f t="shared" si="25"/>
        <v>33467.695702807992</v>
      </c>
      <c r="R410" s="259">
        <f t="shared" si="26"/>
        <v>0.39664006853454681</v>
      </c>
      <c r="S410" s="255">
        <f t="shared" si="27"/>
        <v>6.86</v>
      </c>
      <c r="T410" s="255">
        <f t="shared" si="27"/>
        <v>6.86</v>
      </c>
      <c r="U410" s="254">
        <v>100700</v>
      </c>
      <c r="V410" s="254" t="s">
        <v>960</v>
      </c>
      <c r="W410" s="254" t="s">
        <v>1086</v>
      </c>
      <c r="X410" s="254" t="s">
        <v>446</v>
      </c>
      <c r="Y410" s="254" t="s">
        <v>843</v>
      </c>
      <c r="Z410" s="254" t="s">
        <v>1073</v>
      </c>
      <c r="AA410" s="254" t="s">
        <v>838</v>
      </c>
    </row>
    <row r="411" spans="1:27" ht="14.4" x14ac:dyDescent="0.3">
      <c r="A411" s="253">
        <v>11</v>
      </c>
      <c r="B411" s="254" t="s">
        <v>846</v>
      </c>
      <c r="C411" s="254">
        <v>1787</v>
      </c>
      <c r="D411" s="254" t="s">
        <v>57</v>
      </c>
      <c r="E411" s="254" t="str">
        <f>_xlfn.XLOOKUP(C411,Clientes!I:I,Clientes!F:F)</f>
        <v>GRUPO MOSAIC FERTILIZANTES P K LTDA</v>
      </c>
      <c r="F411" s="254">
        <v>3359</v>
      </c>
      <c r="G411" s="254" t="s">
        <v>855</v>
      </c>
      <c r="H411" s="254" t="s">
        <v>967</v>
      </c>
      <c r="I411" s="255">
        <v>260000</v>
      </c>
      <c r="J411" s="256">
        <v>260000</v>
      </c>
      <c r="K411" s="258">
        <v>1008800</v>
      </c>
      <c r="L411" s="258">
        <v>0</v>
      </c>
      <c r="M411" s="258">
        <f t="shared" si="24"/>
        <v>1008800</v>
      </c>
      <c r="N411" s="258">
        <v>-619566.1009638554</v>
      </c>
      <c r="O411" s="258">
        <v>-21165.391</v>
      </c>
      <c r="P411" s="258">
        <v>-265.84569937779361</v>
      </c>
      <c r="Q411" s="258">
        <f t="shared" si="25"/>
        <v>367802.66233676684</v>
      </c>
      <c r="R411" s="259">
        <f t="shared" si="26"/>
        <v>0.36459423308561345</v>
      </c>
      <c r="S411" s="255">
        <f t="shared" si="27"/>
        <v>3.88</v>
      </c>
      <c r="T411" s="255">
        <f t="shared" si="27"/>
        <v>3.88</v>
      </c>
      <c r="U411" s="254">
        <v>100700</v>
      </c>
      <c r="V411" s="254" t="s">
        <v>960</v>
      </c>
      <c r="W411" s="254" t="s">
        <v>892</v>
      </c>
      <c r="X411" s="254" t="s">
        <v>446</v>
      </c>
      <c r="Y411" s="254" t="s">
        <v>843</v>
      </c>
      <c r="Z411" s="254" t="s">
        <v>1073</v>
      </c>
      <c r="AA411" s="254" t="s">
        <v>838</v>
      </c>
    </row>
    <row r="412" spans="1:27" ht="14.4" x14ac:dyDescent="0.3">
      <c r="A412" s="253">
        <v>11</v>
      </c>
      <c r="B412" s="254" t="s">
        <v>846</v>
      </c>
      <c r="C412" s="254">
        <v>5300</v>
      </c>
      <c r="D412" s="254" t="s">
        <v>25</v>
      </c>
      <c r="E412" s="254" t="str">
        <f>_xlfn.XLOOKUP(C412,Clientes!I:I,Clientes!F:F)</f>
        <v>FOSNOR - LUIS EDUARDO MAGALHAES</v>
      </c>
      <c r="F412" s="254">
        <v>4246</v>
      </c>
      <c r="G412" s="254" t="s">
        <v>875</v>
      </c>
      <c r="H412" s="254" t="s">
        <v>959</v>
      </c>
      <c r="I412" s="255">
        <v>150000</v>
      </c>
      <c r="J412" s="256">
        <v>150000</v>
      </c>
      <c r="K412" s="258">
        <v>877500</v>
      </c>
      <c r="L412" s="258">
        <v>-61425.000000000007</v>
      </c>
      <c r="M412" s="258">
        <f t="shared" si="24"/>
        <v>816075</v>
      </c>
      <c r="N412" s="258">
        <v>-392112</v>
      </c>
      <c r="O412" s="258">
        <v>-77419.165823999996</v>
      </c>
      <c r="P412" s="258">
        <v>-972.41540606203102</v>
      </c>
      <c r="Q412" s="258">
        <f t="shared" si="25"/>
        <v>345571.41876993794</v>
      </c>
      <c r="R412" s="259">
        <f t="shared" si="26"/>
        <v>0.42345546520839134</v>
      </c>
      <c r="S412" s="255">
        <f t="shared" si="27"/>
        <v>5.85</v>
      </c>
      <c r="T412" s="255">
        <f t="shared" si="27"/>
        <v>5.85</v>
      </c>
      <c r="U412" s="254">
        <v>100700</v>
      </c>
      <c r="V412" s="254" t="s">
        <v>960</v>
      </c>
      <c r="W412" s="254" t="s">
        <v>961</v>
      </c>
      <c r="X412" s="254" t="s">
        <v>446</v>
      </c>
      <c r="Y412" s="254" t="s">
        <v>843</v>
      </c>
      <c r="Z412" s="254" t="s">
        <v>1073</v>
      </c>
      <c r="AA412" s="254" t="s">
        <v>838</v>
      </c>
    </row>
    <row r="413" spans="1:27" ht="14.4" x14ac:dyDescent="0.3">
      <c r="A413" s="253">
        <v>11</v>
      </c>
      <c r="B413" s="254" t="s">
        <v>846</v>
      </c>
      <c r="C413" s="254">
        <v>2225</v>
      </c>
      <c r="D413" s="254" t="s">
        <v>617</v>
      </c>
      <c r="E413" s="254" t="str">
        <f>_xlfn.XLOOKUP(C413,Clientes!I:I,Clientes!F:F)</f>
        <v>ITAFOS - ARRAIAS/TO</v>
      </c>
      <c r="F413" s="254">
        <v>3351</v>
      </c>
      <c r="G413" s="254" t="s">
        <v>974</v>
      </c>
      <c r="H413" s="254" t="s">
        <v>965</v>
      </c>
      <c r="I413" s="255">
        <v>30000</v>
      </c>
      <c r="J413" s="256">
        <v>30000</v>
      </c>
      <c r="K413" s="258">
        <v>162000</v>
      </c>
      <c r="L413" s="258">
        <v>-11340.000000000002</v>
      </c>
      <c r="M413" s="258">
        <f t="shared" si="24"/>
        <v>150660</v>
      </c>
      <c r="N413" s="258">
        <v>-88356.599999999991</v>
      </c>
      <c r="O413" s="258">
        <v>-13774.578854399999</v>
      </c>
      <c r="P413" s="258">
        <v>-173.01416964999771</v>
      </c>
      <c r="Q413" s="258">
        <f t="shared" si="25"/>
        <v>48355.806975950014</v>
      </c>
      <c r="R413" s="259">
        <f t="shared" si="26"/>
        <v>0.32095982328388434</v>
      </c>
      <c r="S413" s="255">
        <f t="shared" si="27"/>
        <v>5.4</v>
      </c>
      <c r="T413" s="255">
        <f t="shared" si="27"/>
        <v>5.4</v>
      </c>
      <c r="U413" s="254">
        <v>100700</v>
      </c>
      <c r="V413" s="254" t="s">
        <v>960</v>
      </c>
      <c r="W413" s="254" t="s">
        <v>975</v>
      </c>
      <c r="X413" s="254" t="s">
        <v>446</v>
      </c>
      <c r="Y413" s="254" t="s">
        <v>843</v>
      </c>
      <c r="Z413" s="254" t="s">
        <v>1073</v>
      </c>
      <c r="AA413" s="254" t="s">
        <v>838</v>
      </c>
    </row>
    <row r="414" spans="1:27" ht="14.4" x14ac:dyDescent="0.3">
      <c r="A414" s="253">
        <v>11</v>
      </c>
      <c r="B414" s="254" t="s">
        <v>846</v>
      </c>
      <c r="C414" s="254">
        <v>11724</v>
      </c>
      <c r="D414" s="254" t="s">
        <v>107</v>
      </c>
      <c r="E414" s="254" t="str">
        <f>_xlfn.XLOOKUP(C414,Clientes!I:I,Clientes!F:F)</f>
        <v>GRUPO HINOVE</v>
      </c>
      <c r="F414" s="254">
        <v>14142</v>
      </c>
      <c r="G414" s="254" t="s">
        <v>908</v>
      </c>
      <c r="H414" s="254" t="s">
        <v>962</v>
      </c>
      <c r="I414" s="255">
        <v>91200</v>
      </c>
      <c r="J414" s="256">
        <v>91200</v>
      </c>
      <c r="K414" s="258">
        <v>551760</v>
      </c>
      <c r="L414" s="258">
        <v>-66211.199999999997</v>
      </c>
      <c r="M414" s="258">
        <f t="shared" si="24"/>
        <v>485548.79999999999</v>
      </c>
      <c r="N414" s="258">
        <v>-263425.29841463413</v>
      </c>
      <c r="O414" s="258">
        <v>-35838.035670527999</v>
      </c>
      <c r="P414" s="258">
        <v>-450.13993160616928</v>
      </c>
      <c r="Q414" s="258">
        <f t="shared" si="25"/>
        <v>185835.32598323168</v>
      </c>
      <c r="R414" s="259">
        <f t="shared" si="26"/>
        <v>0.38273254095825526</v>
      </c>
      <c r="S414" s="255">
        <f t="shared" si="27"/>
        <v>6.05</v>
      </c>
      <c r="T414" s="255">
        <f t="shared" si="27"/>
        <v>6.05</v>
      </c>
      <c r="U414" s="254">
        <v>100700</v>
      </c>
      <c r="V414" s="254" t="s">
        <v>960</v>
      </c>
      <c r="W414" s="254" t="s">
        <v>963</v>
      </c>
      <c r="X414" s="254" t="s">
        <v>446</v>
      </c>
      <c r="Y414" s="254" t="s">
        <v>843</v>
      </c>
      <c r="Z414" s="254" t="s">
        <v>1073</v>
      </c>
      <c r="AA414" s="254" t="s">
        <v>838</v>
      </c>
    </row>
    <row r="415" spans="1:27" ht="14.4" x14ac:dyDescent="0.3">
      <c r="A415" s="253">
        <v>13</v>
      </c>
      <c r="B415" s="254" t="s">
        <v>846</v>
      </c>
      <c r="C415" s="254">
        <v>2</v>
      </c>
      <c r="D415" s="254" t="s">
        <v>976</v>
      </c>
      <c r="E415" s="254" t="str">
        <f>_xlfn.XLOOKUP(C415,Clientes!I:I,Clientes!F:F)</f>
        <v>GRUPO CARGILL</v>
      </c>
      <c r="F415" s="254">
        <v>3700</v>
      </c>
      <c r="G415" s="254" t="s">
        <v>855</v>
      </c>
      <c r="H415" s="254" t="s">
        <v>977</v>
      </c>
      <c r="I415" s="254">
        <v>84000</v>
      </c>
      <c r="J415" s="256">
        <v>84000</v>
      </c>
      <c r="K415" s="258">
        <v>92400</v>
      </c>
      <c r="L415" s="258">
        <v>-23640.539999999997</v>
      </c>
      <c r="M415" s="258">
        <f t="shared" si="24"/>
        <v>68759.460000000006</v>
      </c>
      <c r="N415" s="258">
        <v>-14936.119999999999</v>
      </c>
      <c r="O415" s="258">
        <v>0</v>
      </c>
      <c r="P415" s="258">
        <v>0</v>
      </c>
      <c r="Q415" s="258">
        <f t="shared" si="25"/>
        <v>53823.340000000011</v>
      </c>
      <c r="R415" s="259">
        <f t="shared" si="26"/>
        <v>0.7827772353069673</v>
      </c>
      <c r="S415" s="255">
        <f t="shared" si="27"/>
        <v>1.1000000000000001</v>
      </c>
      <c r="T415" s="255">
        <f t="shared" si="27"/>
        <v>1.1000000000000001</v>
      </c>
      <c r="U415" s="254">
        <v>100900</v>
      </c>
      <c r="V415" s="254" t="s">
        <v>978</v>
      </c>
      <c r="W415" s="254" t="s">
        <v>865</v>
      </c>
      <c r="X415" s="254" t="s">
        <v>157</v>
      </c>
      <c r="Y415" s="254" t="s">
        <v>843</v>
      </c>
      <c r="Z415" s="254" t="s">
        <v>1073</v>
      </c>
      <c r="AA415" s="254" t="s">
        <v>838</v>
      </c>
    </row>
    <row r="416" spans="1:27" ht="14.4" x14ac:dyDescent="0.3">
      <c r="A416" s="253">
        <v>11</v>
      </c>
      <c r="B416" s="254" t="s">
        <v>846</v>
      </c>
      <c r="C416" s="254">
        <v>11768</v>
      </c>
      <c r="D416" s="254" t="s">
        <v>274</v>
      </c>
      <c r="E416" s="254" t="str">
        <f>_xlfn.XLOOKUP(C416,Clientes!I:I,Clientes!F:F)</f>
        <v>CERES PERU S.A</v>
      </c>
      <c r="F416" s="254">
        <v>4542</v>
      </c>
      <c r="G416" s="254" t="s">
        <v>832</v>
      </c>
      <c r="H416" s="254" t="s">
        <v>1047</v>
      </c>
      <c r="I416" s="255">
        <v>2000</v>
      </c>
      <c r="J416" s="256">
        <v>2000</v>
      </c>
      <c r="K416" s="258">
        <v>15600</v>
      </c>
      <c r="L416" s="258">
        <v>0</v>
      </c>
      <c r="M416" s="258">
        <f t="shared" si="24"/>
        <v>15600</v>
      </c>
      <c r="N416" s="258">
        <v>-5951.47</v>
      </c>
      <c r="O416" s="258">
        <v>-8233.9720319999997</v>
      </c>
      <c r="P416" s="258">
        <v>-321.54432327485773</v>
      </c>
      <c r="Q416" s="258">
        <f t="shared" si="25"/>
        <v>1093.0136447251414</v>
      </c>
      <c r="R416" s="259">
        <f t="shared" si="26"/>
        <v>7.0064977225970604E-2</v>
      </c>
      <c r="S416" s="255">
        <f t="shared" si="27"/>
        <v>7.8</v>
      </c>
      <c r="T416" s="255">
        <f t="shared" si="27"/>
        <v>7.8</v>
      </c>
      <c r="U416" s="254">
        <v>101300</v>
      </c>
      <c r="V416" s="254" t="s">
        <v>980</v>
      </c>
      <c r="W416" s="254" t="s">
        <v>1078</v>
      </c>
      <c r="X416" s="254" t="s">
        <v>446</v>
      </c>
      <c r="Y416" s="254" t="s">
        <v>836</v>
      </c>
      <c r="Z416" s="254" t="s">
        <v>1073</v>
      </c>
      <c r="AA416" s="254" t="s">
        <v>838</v>
      </c>
    </row>
    <row r="417" spans="1:27" ht="14.4" x14ac:dyDescent="0.3">
      <c r="A417" s="253">
        <v>11</v>
      </c>
      <c r="B417" s="254" t="s">
        <v>846</v>
      </c>
      <c r="C417" s="254">
        <v>15908</v>
      </c>
      <c r="D417" s="254" t="s">
        <v>981</v>
      </c>
      <c r="E417" s="254" t="str">
        <f>_xlfn.XLOOKUP(C417,Clientes!I:I,Clientes!F:F)</f>
        <v>ADUFÉRTIL - CAMPEVO</v>
      </c>
      <c r="F417" s="254">
        <v>8368</v>
      </c>
      <c r="G417" s="254" t="s">
        <v>908</v>
      </c>
      <c r="H417" s="254" t="s">
        <v>989</v>
      </c>
      <c r="I417" s="255">
        <v>171</v>
      </c>
      <c r="J417" s="256">
        <v>2811.58820284283</v>
      </c>
      <c r="K417" s="258">
        <v>32474.497261273536</v>
      </c>
      <c r="L417" s="258">
        <v>-2925.9297654468542</v>
      </c>
      <c r="M417" s="258">
        <f t="shared" si="24"/>
        <v>29548.567495826683</v>
      </c>
      <c r="N417" s="258">
        <v>-10141.160465614783</v>
      </c>
      <c r="O417" s="258">
        <v>-760.08110450794345</v>
      </c>
      <c r="P417" s="258">
        <v>-8959.594491166652</v>
      </c>
      <c r="Q417" s="258">
        <f t="shared" si="25"/>
        <v>9687.7314345373052</v>
      </c>
      <c r="R417" s="259">
        <f t="shared" si="26"/>
        <v>0.32785790498661432</v>
      </c>
      <c r="S417" s="255">
        <f t="shared" si="27"/>
        <v>189.90934070920196</v>
      </c>
      <c r="T417" s="255">
        <f t="shared" si="27"/>
        <v>11.550232437466549</v>
      </c>
      <c r="U417" s="254">
        <v>101602</v>
      </c>
      <c r="V417" s="254" t="s">
        <v>983</v>
      </c>
      <c r="W417" s="254" t="s">
        <v>984</v>
      </c>
      <c r="X417" s="254" t="s">
        <v>157</v>
      </c>
      <c r="Y417" s="254" t="s">
        <v>843</v>
      </c>
      <c r="Z417" s="254" t="s">
        <v>1073</v>
      </c>
      <c r="AA417" s="254" t="s">
        <v>838</v>
      </c>
    </row>
    <row r="418" spans="1:27" ht="14.4" x14ac:dyDescent="0.3">
      <c r="A418" s="253">
        <v>11</v>
      </c>
      <c r="B418" s="254" t="s">
        <v>846</v>
      </c>
      <c r="C418" s="254">
        <v>15908</v>
      </c>
      <c r="D418" s="254" t="s">
        <v>981</v>
      </c>
      <c r="E418" s="254" t="str">
        <f>_xlfn.XLOOKUP(C418,Clientes!I:I,Clientes!F:F)</f>
        <v>ADUFÉRTIL - CAMPEVO</v>
      </c>
      <c r="F418" s="254">
        <v>13004</v>
      </c>
      <c r="G418" s="254" t="s">
        <v>908</v>
      </c>
      <c r="H418" s="254" t="s">
        <v>982</v>
      </c>
      <c r="I418" s="255">
        <v>63</v>
      </c>
      <c r="J418" s="256">
        <v>1448.9348831774312</v>
      </c>
      <c r="K418" s="258">
        <v>38280.526874248979</v>
      </c>
      <c r="L418" s="258">
        <v>-3627.6857650550473</v>
      </c>
      <c r="M418" s="258">
        <f t="shared" si="24"/>
        <v>34652.841109193934</v>
      </c>
      <c r="N418" s="258">
        <v>-10245.14613524024</v>
      </c>
      <c r="O418" s="258">
        <v>-391.70317518477435</v>
      </c>
      <c r="P418" s="258">
        <v>-9866.9608342075626</v>
      </c>
      <c r="Q418" s="258">
        <f t="shared" si="25"/>
        <v>14149.030964561356</v>
      </c>
      <c r="R418" s="259">
        <f t="shared" si="26"/>
        <v>0.40830796297413546</v>
      </c>
      <c r="S418" s="255">
        <f t="shared" si="27"/>
        <v>607.62741070236473</v>
      </c>
      <c r="T418" s="255">
        <f t="shared" si="27"/>
        <v>26.419770355933441</v>
      </c>
      <c r="U418" s="254">
        <v>101602</v>
      </c>
      <c r="V418" s="254" t="s">
        <v>983</v>
      </c>
      <c r="W418" s="254" t="s">
        <v>984</v>
      </c>
      <c r="X418" s="254" t="s">
        <v>157</v>
      </c>
      <c r="Y418" s="254" t="s">
        <v>843</v>
      </c>
      <c r="Z418" s="254" t="s">
        <v>1073</v>
      </c>
      <c r="AA418" s="254" t="s">
        <v>838</v>
      </c>
    </row>
    <row r="419" spans="1:27" ht="14.4" x14ac:dyDescent="0.3">
      <c r="A419" s="253">
        <v>11</v>
      </c>
      <c r="B419" s="254" t="s">
        <v>846</v>
      </c>
      <c r="C419" s="254">
        <v>2247</v>
      </c>
      <c r="D419" s="254" t="s">
        <v>425</v>
      </c>
      <c r="E419" s="254" t="str">
        <f>_xlfn.XLOOKUP(C419,Clientes!I:I,Clientes!F:F)</f>
        <v>ADUBOS LEAO - LARANJEIRAS</v>
      </c>
      <c r="F419" s="254">
        <v>8369</v>
      </c>
      <c r="G419" s="254" t="s">
        <v>887</v>
      </c>
      <c r="H419" s="254" t="s">
        <v>988</v>
      </c>
      <c r="I419" s="255">
        <v>1000</v>
      </c>
      <c r="J419" s="256">
        <v>913.44645966303767</v>
      </c>
      <c r="K419" s="258">
        <v>6440.3030495042594</v>
      </c>
      <c r="L419" s="258">
        <v>-580.26685492416641</v>
      </c>
      <c r="M419" s="258">
        <f t="shared" si="24"/>
        <v>5860.0361945800933</v>
      </c>
      <c r="N419" s="258">
        <v>-3544.4828212896909</v>
      </c>
      <c r="O419" s="258">
        <v>-1065.5393244422107</v>
      </c>
      <c r="P419" s="258">
        <v>-2035.8468107409017</v>
      </c>
      <c r="Q419" s="258">
        <f t="shared" si="25"/>
        <v>-785.8327618927101</v>
      </c>
      <c r="R419" s="259">
        <f t="shared" si="26"/>
        <v>-0.13410032562930607</v>
      </c>
      <c r="S419" s="255">
        <f t="shared" si="27"/>
        <v>6.4403030495042595</v>
      </c>
      <c r="T419" s="255">
        <f t="shared" si="27"/>
        <v>7.0505534083300629</v>
      </c>
      <c r="U419" s="254">
        <v>101602</v>
      </c>
      <c r="V419" s="254" t="s">
        <v>983</v>
      </c>
      <c r="W419" s="254" t="s">
        <v>1030</v>
      </c>
      <c r="X419" s="254" t="s">
        <v>157</v>
      </c>
      <c r="Y419" s="254" t="s">
        <v>843</v>
      </c>
      <c r="Z419" s="254" t="s">
        <v>1073</v>
      </c>
      <c r="AA419" s="254" t="s">
        <v>838</v>
      </c>
    </row>
    <row r="420" spans="1:27" ht="14.4" x14ac:dyDescent="0.3">
      <c r="A420" s="253">
        <v>11</v>
      </c>
      <c r="B420" s="254" t="s">
        <v>846</v>
      </c>
      <c r="C420" s="254">
        <v>15905</v>
      </c>
      <c r="D420" s="254" t="s">
        <v>750</v>
      </c>
      <c r="E420" s="254" t="str">
        <f>_xlfn.XLOOKUP(C420,Clientes!I:I,Clientes!F:F)</f>
        <v>ADUFÉRTIL - CAMPEVO</v>
      </c>
      <c r="F420" s="254">
        <v>8368</v>
      </c>
      <c r="G420" s="254" t="s">
        <v>908</v>
      </c>
      <c r="H420" s="254" t="s">
        <v>989</v>
      </c>
      <c r="I420" s="255">
        <v>171</v>
      </c>
      <c r="J420" s="256">
        <v>2811.58820284283</v>
      </c>
      <c r="K420" s="258">
        <v>32474.497261273536</v>
      </c>
      <c r="L420" s="258">
        <v>-2925.9297654468542</v>
      </c>
      <c r="M420" s="258">
        <f t="shared" si="24"/>
        <v>29548.567495826683</v>
      </c>
      <c r="N420" s="258">
        <v>-10141.160465614783</v>
      </c>
      <c r="O420" s="258">
        <v>-760.08110450794345</v>
      </c>
      <c r="P420" s="258">
        <v>-8999.2909078158264</v>
      </c>
      <c r="Q420" s="258">
        <f t="shared" si="25"/>
        <v>9648.0350178881308</v>
      </c>
      <c r="R420" s="259">
        <f t="shared" si="26"/>
        <v>0.32651447550717239</v>
      </c>
      <c r="S420" s="255">
        <f t="shared" si="27"/>
        <v>189.90934070920196</v>
      </c>
      <c r="T420" s="255">
        <f t="shared" si="27"/>
        <v>11.550232437466549</v>
      </c>
      <c r="U420" s="254">
        <v>101602</v>
      </c>
      <c r="V420" s="254" t="s">
        <v>983</v>
      </c>
      <c r="W420" s="254" t="s">
        <v>991</v>
      </c>
      <c r="X420" s="254" t="s">
        <v>157</v>
      </c>
      <c r="Y420" s="254" t="s">
        <v>843</v>
      </c>
      <c r="Z420" s="254" t="s">
        <v>1073</v>
      </c>
      <c r="AA420" s="254" t="s">
        <v>838</v>
      </c>
    </row>
    <row r="421" spans="1:27" ht="14.4" x14ac:dyDescent="0.3">
      <c r="A421" s="253">
        <v>11</v>
      </c>
      <c r="B421" s="254" t="s">
        <v>846</v>
      </c>
      <c r="C421" s="254">
        <v>15904</v>
      </c>
      <c r="D421" s="254" t="s">
        <v>754</v>
      </c>
      <c r="E421" s="254" t="str">
        <f>_xlfn.XLOOKUP(C421,Clientes!I:I,Clientes!F:F)</f>
        <v>ADUFÉRTIL - CAMPEVO</v>
      </c>
      <c r="F421" s="254">
        <v>13004</v>
      </c>
      <c r="G421" s="254" t="s">
        <v>908</v>
      </c>
      <c r="H421" s="254" t="s">
        <v>982</v>
      </c>
      <c r="I421" s="255">
        <v>71</v>
      </c>
      <c r="J421" s="256">
        <v>1632.9266143745651</v>
      </c>
      <c r="K421" s="258">
        <v>43141.546159867888</v>
      </c>
      <c r="L421" s="258">
        <v>-4088.3442749033075</v>
      </c>
      <c r="M421" s="258">
        <f t="shared" si="24"/>
        <v>39053.201884964583</v>
      </c>
      <c r="N421" s="258">
        <v>-11546.117073048525</v>
      </c>
      <c r="O421" s="258">
        <v>-441.44326092252351</v>
      </c>
      <c r="P421" s="258">
        <v>-11112.881651381154</v>
      </c>
      <c r="Q421" s="258">
        <f t="shared" si="25"/>
        <v>15952.759899612382</v>
      </c>
      <c r="R421" s="259">
        <f t="shared" si="26"/>
        <v>0.40848788651447726</v>
      </c>
      <c r="S421" s="255">
        <f t="shared" si="27"/>
        <v>607.62741070236461</v>
      </c>
      <c r="T421" s="255">
        <f t="shared" si="27"/>
        <v>26.419770355933437</v>
      </c>
      <c r="U421" s="254">
        <v>101602</v>
      </c>
      <c r="V421" s="254" t="s">
        <v>983</v>
      </c>
      <c r="W421" s="254" t="s">
        <v>992</v>
      </c>
      <c r="X421" s="254" t="s">
        <v>157</v>
      </c>
      <c r="Y421" s="254" t="s">
        <v>843</v>
      </c>
      <c r="Z421" s="254" t="s">
        <v>1073</v>
      </c>
      <c r="AA421" s="254" t="s">
        <v>838</v>
      </c>
    </row>
    <row r="422" spans="1:27" ht="14.4" x14ac:dyDescent="0.3">
      <c r="A422" s="253">
        <v>11</v>
      </c>
      <c r="B422" s="254" t="s">
        <v>846</v>
      </c>
      <c r="C422" s="254">
        <v>15906</v>
      </c>
      <c r="D422" s="254" t="s">
        <v>993</v>
      </c>
      <c r="E422" s="254" t="str">
        <f>_xlfn.XLOOKUP(C422,Clientes!I:I,Clientes!F:F)</f>
        <v>ADUFÉRTIL - CAMPEVO</v>
      </c>
      <c r="F422" s="254">
        <v>8368</v>
      </c>
      <c r="G422" s="254" t="s">
        <v>908</v>
      </c>
      <c r="H422" s="254" t="s">
        <v>989</v>
      </c>
      <c r="I422" s="255">
        <v>171</v>
      </c>
      <c r="J422" s="256">
        <v>2811.58820284283</v>
      </c>
      <c r="K422" s="258">
        <v>32474.497261273536</v>
      </c>
      <c r="L422" s="258">
        <v>-2925.9297654468542</v>
      </c>
      <c r="M422" s="258">
        <f t="shared" si="24"/>
        <v>29548.567495826683</v>
      </c>
      <c r="N422" s="258">
        <v>-10141.160465614783</v>
      </c>
      <c r="O422" s="258">
        <v>-760.08110450794345</v>
      </c>
      <c r="P422" s="258">
        <v>-8974.0295517663508</v>
      </c>
      <c r="Q422" s="258">
        <f t="shared" si="25"/>
        <v>9673.2963739376064</v>
      </c>
      <c r="R422" s="259">
        <f t="shared" si="26"/>
        <v>0.32736938517590819</v>
      </c>
      <c r="S422" s="255">
        <f t="shared" si="27"/>
        <v>189.90934070920196</v>
      </c>
      <c r="T422" s="255">
        <f t="shared" si="27"/>
        <v>11.550232437466549</v>
      </c>
      <c r="U422" s="254">
        <v>101602</v>
      </c>
      <c r="V422" s="254" t="s">
        <v>983</v>
      </c>
      <c r="W422" s="254" t="s">
        <v>994</v>
      </c>
      <c r="X422" s="254" t="s">
        <v>157</v>
      </c>
      <c r="Y422" s="254" t="s">
        <v>843</v>
      </c>
      <c r="Z422" s="254" t="s">
        <v>1073</v>
      </c>
      <c r="AA422" s="254" t="s">
        <v>838</v>
      </c>
    </row>
    <row r="423" spans="1:27" ht="14.4" x14ac:dyDescent="0.3">
      <c r="A423" s="253">
        <v>11</v>
      </c>
      <c r="B423" s="254" t="s">
        <v>846</v>
      </c>
      <c r="C423" s="254">
        <v>15906</v>
      </c>
      <c r="D423" s="254" t="s">
        <v>993</v>
      </c>
      <c r="E423" s="254" t="str">
        <f>_xlfn.XLOOKUP(C423,Clientes!I:I,Clientes!F:F)</f>
        <v>ADUFÉRTIL - CAMPEVO</v>
      </c>
      <c r="F423" s="254">
        <v>13004</v>
      </c>
      <c r="G423" s="254" t="s">
        <v>908</v>
      </c>
      <c r="H423" s="254" t="s">
        <v>982</v>
      </c>
      <c r="I423" s="255">
        <v>63</v>
      </c>
      <c r="J423" s="256">
        <v>1448.9348831774312</v>
      </c>
      <c r="K423" s="258">
        <v>38280.526874248979</v>
      </c>
      <c r="L423" s="258">
        <v>-3627.6857650550473</v>
      </c>
      <c r="M423" s="258">
        <f t="shared" si="24"/>
        <v>34652.841109193934</v>
      </c>
      <c r="N423" s="258">
        <v>-10245.14613524024</v>
      </c>
      <c r="O423" s="258">
        <v>-391.70317518477435</v>
      </c>
      <c r="P423" s="258">
        <v>-9881.3958948072632</v>
      </c>
      <c r="Q423" s="258">
        <f t="shared" si="25"/>
        <v>14134.595903961655</v>
      </c>
      <c r="R423" s="259">
        <f t="shared" si="26"/>
        <v>0.40789140086443099</v>
      </c>
      <c r="S423" s="255">
        <f t="shared" si="27"/>
        <v>607.62741070236473</v>
      </c>
      <c r="T423" s="255">
        <f t="shared" si="27"/>
        <v>26.419770355933441</v>
      </c>
      <c r="U423" s="254">
        <v>101602</v>
      </c>
      <c r="V423" s="254" t="s">
        <v>983</v>
      </c>
      <c r="W423" s="254" t="s">
        <v>994</v>
      </c>
      <c r="X423" s="254" t="s">
        <v>157</v>
      </c>
      <c r="Y423" s="254" t="s">
        <v>843</v>
      </c>
      <c r="Z423" s="254" t="s">
        <v>1073</v>
      </c>
      <c r="AA423" s="254" t="s">
        <v>838</v>
      </c>
    </row>
    <row r="424" spans="1:27" ht="14.4" x14ac:dyDescent="0.3">
      <c r="A424" s="253">
        <v>11</v>
      </c>
      <c r="B424" s="254" t="s">
        <v>846</v>
      </c>
      <c r="C424" s="254">
        <v>15917</v>
      </c>
      <c r="D424" s="254" t="s">
        <v>571</v>
      </c>
      <c r="E424" s="254" t="str">
        <f>_xlfn.XLOOKUP(C424,Clientes!I:I,Clientes!F:F)</f>
        <v>MINAS FARM</v>
      </c>
      <c r="F424" s="254">
        <v>8301</v>
      </c>
      <c r="G424" s="254" t="s">
        <v>855</v>
      </c>
      <c r="H424" s="254" t="s">
        <v>986</v>
      </c>
      <c r="I424" s="255">
        <v>4</v>
      </c>
      <c r="J424" s="256">
        <v>91.99586559856705</v>
      </c>
      <c r="K424" s="258">
        <v>2430.5096428094585</v>
      </c>
      <c r="L424" s="258">
        <v>-240.01630514543467</v>
      </c>
      <c r="M424" s="258">
        <f t="shared" si="24"/>
        <v>2190.4933376640238</v>
      </c>
      <c r="N424" s="258">
        <v>-674.04743479531908</v>
      </c>
      <c r="O424" s="258">
        <v>-22.205898592757567</v>
      </c>
      <c r="P424" s="258">
        <v>-671.2231372898982</v>
      </c>
      <c r="Q424" s="258">
        <f t="shared" si="25"/>
        <v>823.01686698604885</v>
      </c>
      <c r="R424" s="259">
        <f t="shared" si="26"/>
        <v>0.37572215027311012</v>
      </c>
      <c r="S424" s="255">
        <f t="shared" si="27"/>
        <v>607.62741070236461</v>
      </c>
      <c r="T424" s="255">
        <f t="shared" si="27"/>
        <v>26.419770355933437</v>
      </c>
      <c r="U424" s="254">
        <v>101602</v>
      </c>
      <c r="V424" s="254" t="s">
        <v>983</v>
      </c>
      <c r="W424" s="254" t="s">
        <v>865</v>
      </c>
      <c r="X424" s="254" t="s">
        <v>157</v>
      </c>
      <c r="Y424" s="254" t="s">
        <v>843</v>
      </c>
      <c r="Z424" s="254" t="s">
        <v>1073</v>
      </c>
      <c r="AA424" s="254" t="s">
        <v>838</v>
      </c>
    </row>
    <row r="425" spans="1:27" ht="14.4" x14ac:dyDescent="0.3">
      <c r="A425" s="253">
        <v>11</v>
      </c>
      <c r="B425" s="254" t="s">
        <v>846</v>
      </c>
      <c r="C425" s="254">
        <v>15904</v>
      </c>
      <c r="D425" s="254" t="s">
        <v>754</v>
      </c>
      <c r="E425" s="254" t="str">
        <f>_xlfn.XLOOKUP(C425,Clientes!I:I,Clientes!F:F)</f>
        <v>ADUFÉRTIL - CAMPEVO</v>
      </c>
      <c r="F425" s="254">
        <v>8368</v>
      </c>
      <c r="G425" s="254" t="s">
        <v>908</v>
      </c>
      <c r="H425" s="254" t="s">
        <v>989</v>
      </c>
      <c r="I425" s="255">
        <v>171</v>
      </c>
      <c r="J425" s="256">
        <v>2811.58820284283</v>
      </c>
      <c r="K425" s="258">
        <v>32474.497261273536</v>
      </c>
      <c r="L425" s="258">
        <v>-2925.9297654468542</v>
      </c>
      <c r="M425" s="258">
        <f t="shared" si="24"/>
        <v>29548.567495826683</v>
      </c>
      <c r="N425" s="258">
        <v>-10141.160465614783</v>
      </c>
      <c r="O425" s="258">
        <v>-760.08110450794345</v>
      </c>
      <c r="P425" s="258">
        <v>-8959.594491166652</v>
      </c>
      <c r="Q425" s="258">
        <f t="shared" si="25"/>
        <v>9687.7314345373052</v>
      </c>
      <c r="R425" s="259">
        <f t="shared" si="26"/>
        <v>0.32785790498661432</v>
      </c>
      <c r="S425" s="255">
        <f t="shared" si="27"/>
        <v>189.90934070920196</v>
      </c>
      <c r="T425" s="255">
        <f t="shared" si="27"/>
        <v>11.550232437466549</v>
      </c>
      <c r="U425" s="254">
        <v>101602</v>
      </c>
      <c r="V425" s="254" t="s">
        <v>983</v>
      </c>
      <c r="W425" s="254" t="s">
        <v>992</v>
      </c>
      <c r="X425" s="254" t="s">
        <v>157</v>
      </c>
      <c r="Y425" s="254" t="s">
        <v>843</v>
      </c>
      <c r="Z425" s="254" t="s">
        <v>1073</v>
      </c>
      <c r="AA425" s="254" t="s">
        <v>838</v>
      </c>
    </row>
    <row r="426" spans="1:27" ht="14.4" x14ac:dyDescent="0.3">
      <c r="A426" s="253">
        <v>11</v>
      </c>
      <c r="B426" s="254" t="s">
        <v>846</v>
      </c>
      <c r="C426" s="254">
        <v>15906</v>
      </c>
      <c r="D426" s="254" t="s">
        <v>993</v>
      </c>
      <c r="E426" s="254" t="str">
        <f>_xlfn.XLOOKUP(C426,Clientes!I:I,Clientes!F:F)</f>
        <v>ADUFÉRTIL - CAMPEVO</v>
      </c>
      <c r="F426" s="254">
        <v>8369</v>
      </c>
      <c r="G426" s="254" t="s">
        <v>908</v>
      </c>
      <c r="H426" s="254" t="s">
        <v>988</v>
      </c>
      <c r="I426" s="255">
        <v>3500</v>
      </c>
      <c r="J426" s="256">
        <v>3197.0626088206318</v>
      </c>
      <c r="K426" s="258">
        <v>32342.62301096549</v>
      </c>
      <c r="L426" s="258">
        <v>-2914.0479866107439</v>
      </c>
      <c r="M426" s="258">
        <f t="shared" si="24"/>
        <v>29428.575024354745</v>
      </c>
      <c r="N426" s="258">
        <v>-12405.689874513919</v>
      </c>
      <c r="O426" s="258">
        <v>-864.28975496354849</v>
      </c>
      <c r="P426" s="258">
        <v>-9068.220429832767</v>
      </c>
      <c r="Q426" s="258">
        <f t="shared" si="25"/>
        <v>7090.3749650445097</v>
      </c>
      <c r="R426" s="259">
        <f t="shared" si="26"/>
        <v>0.24093504218864142</v>
      </c>
      <c r="S426" s="255">
        <f t="shared" si="27"/>
        <v>9.2407494317044261</v>
      </c>
      <c r="T426" s="255">
        <f t="shared" si="27"/>
        <v>10.116355845435383</v>
      </c>
      <c r="U426" s="254">
        <v>101602</v>
      </c>
      <c r="V426" s="254" t="s">
        <v>983</v>
      </c>
      <c r="W426" s="254" t="s">
        <v>994</v>
      </c>
      <c r="X426" s="254" t="s">
        <v>157</v>
      </c>
      <c r="Y426" s="254" t="s">
        <v>843</v>
      </c>
      <c r="Z426" s="254" t="s">
        <v>1073</v>
      </c>
      <c r="AA426" s="254" t="s">
        <v>838</v>
      </c>
    </row>
    <row r="427" spans="1:27" ht="14.4" x14ac:dyDescent="0.3">
      <c r="A427" s="253">
        <v>11</v>
      </c>
      <c r="B427" s="254" t="s">
        <v>846</v>
      </c>
      <c r="C427" s="254">
        <v>15905</v>
      </c>
      <c r="D427" s="254" t="s">
        <v>750</v>
      </c>
      <c r="E427" s="254" t="str">
        <f>_xlfn.XLOOKUP(C427,Clientes!I:I,Clientes!F:F)</f>
        <v>ADUFÉRTIL - CAMPEVO</v>
      </c>
      <c r="F427" s="254">
        <v>13004</v>
      </c>
      <c r="G427" s="254" t="s">
        <v>908</v>
      </c>
      <c r="H427" s="254" t="s">
        <v>982</v>
      </c>
      <c r="I427" s="255">
        <v>23</v>
      </c>
      <c r="J427" s="256">
        <v>528.97622719176059</v>
      </c>
      <c r="K427" s="258">
        <v>13975.430446154387</v>
      </c>
      <c r="L427" s="258">
        <v>-1324.3932158137472</v>
      </c>
      <c r="M427" s="258">
        <f t="shared" si="24"/>
        <v>12651.03723034064</v>
      </c>
      <c r="N427" s="258">
        <v>-3740.291446198818</v>
      </c>
      <c r="O427" s="258">
        <v>-143.00274649602875</v>
      </c>
      <c r="P427" s="258">
        <v>-3677.053164988768</v>
      </c>
      <c r="Q427" s="258">
        <f t="shared" si="25"/>
        <v>5090.6898726570244</v>
      </c>
      <c r="R427" s="259">
        <f t="shared" si="26"/>
        <v>0.40239308287293318</v>
      </c>
      <c r="S427" s="255">
        <f t="shared" si="27"/>
        <v>607.62741070236461</v>
      </c>
      <c r="T427" s="255">
        <f t="shared" si="27"/>
        <v>26.419770355933437</v>
      </c>
      <c r="U427" s="254">
        <v>101602</v>
      </c>
      <c r="V427" s="254" t="s">
        <v>983</v>
      </c>
      <c r="W427" s="254" t="s">
        <v>991</v>
      </c>
      <c r="X427" s="254" t="s">
        <v>157</v>
      </c>
      <c r="Y427" s="254" t="s">
        <v>843</v>
      </c>
      <c r="Z427" s="254" t="s">
        <v>1073</v>
      </c>
      <c r="AA427" s="254" t="s">
        <v>838</v>
      </c>
    </row>
    <row r="428" spans="1:27" ht="14.4" x14ac:dyDescent="0.3">
      <c r="A428" s="253">
        <v>11</v>
      </c>
      <c r="B428" s="254" t="s">
        <v>846</v>
      </c>
      <c r="C428" s="254">
        <v>1159</v>
      </c>
      <c r="D428" s="254" t="s">
        <v>50</v>
      </c>
      <c r="E428" s="254" t="str">
        <f>_xlfn.XLOOKUP(C428,Clientes!I:I,Clientes!F:F)</f>
        <v>GRUPO YARA</v>
      </c>
      <c r="F428" s="254">
        <v>4627</v>
      </c>
      <c r="G428" s="254" t="s">
        <v>877</v>
      </c>
      <c r="H428" s="254" t="s">
        <v>1000</v>
      </c>
      <c r="I428" s="255">
        <v>180000</v>
      </c>
      <c r="J428" s="256">
        <v>180000</v>
      </c>
      <c r="K428" s="258">
        <v>1634417.5371211765</v>
      </c>
      <c r="L428" s="258">
        <v>-195480</v>
      </c>
      <c r="M428" s="258">
        <f t="shared" si="24"/>
        <v>1438937.5371211765</v>
      </c>
      <c r="N428" s="258">
        <v>-898540.35199999996</v>
      </c>
      <c r="O428" s="258">
        <v>-146529.63</v>
      </c>
      <c r="P428" s="258">
        <v>-1840.4702264616481</v>
      </c>
      <c r="Q428" s="258">
        <f t="shared" si="25"/>
        <v>392027.08489471488</v>
      </c>
      <c r="R428" s="259">
        <f t="shared" si="26"/>
        <v>0.27244204475965472</v>
      </c>
      <c r="S428" s="255">
        <f t="shared" si="27"/>
        <v>9.0800974284509799</v>
      </c>
      <c r="T428" s="255">
        <f t="shared" si="27"/>
        <v>9.0800974284509799</v>
      </c>
      <c r="U428" s="254">
        <v>102200</v>
      </c>
      <c r="V428" s="254" t="s">
        <v>1001</v>
      </c>
      <c r="W428" s="254" t="s">
        <v>878</v>
      </c>
      <c r="X428" s="254" t="s">
        <v>446</v>
      </c>
      <c r="Y428" s="254" t="s">
        <v>843</v>
      </c>
      <c r="Z428" s="254" t="s">
        <v>1073</v>
      </c>
      <c r="AA428" s="254" t="s">
        <v>838</v>
      </c>
    </row>
    <row r="429" spans="1:27" ht="14.4" x14ac:dyDescent="0.3">
      <c r="A429" s="253">
        <v>11</v>
      </c>
      <c r="B429" s="254" t="s">
        <v>846</v>
      </c>
      <c r="C429" s="254">
        <v>903</v>
      </c>
      <c r="D429" s="254" t="s">
        <v>47</v>
      </c>
      <c r="E429" s="254" t="str">
        <f>_xlfn.XLOOKUP(C429,Clientes!I:I,Clientes!F:F)</f>
        <v>GRUPO YARA</v>
      </c>
      <c r="F429" s="254">
        <v>4627</v>
      </c>
      <c r="G429" s="254" t="s">
        <v>862</v>
      </c>
      <c r="H429" s="254" t="s">
        <v>1000</v>
      </c>
      <c r="I429" s="255">
        <v>45000</v>
      </c>
      <c r="J429" s="256">
        <v>45000</v>
      </c>
      <c r="K429" s="258">
        <v>386029.5564195044</v>
      </c>
      <c r="L429" s="258">
        <v>-46170</v>
      </c>
      <c r="M429" s="258">
        <f t="shared" si="24"/>
        <v>339859.5564195044</v>
      </c>
      <c r="N429" s="258">
        <v>-224635.08799999999</v>
      </c>
      <c r="O429" s="258">
        <v>-17720.945424000001</v>
      </c>
      <c r="P429" s="258">
        <v>-222.58209781614673</v>
      </c>
      <c r="Q429" s="258">
        <f t="shared" si="25"/>
        <v>97280.940897688255</v>
      </c>
      <c r="R429" s="259">
        <f t="shared" si="26"/>
        <v>0.28623865081966354</v>
      </c>
      <c r="S429" s="255">
        <f t="shared" si="27"/>
        <v>8.578434587100098</v>
      </c>
      <c r="T429" s="255">
        <f t="shared" si="27"/>
        <v>8.578434587100098</v>
      </c>
      <c r="U429" s="254">
        <v>102200</v>
      </c>
      <c r="V429" s="254" t="s">
        <v>1001</v>
      </c>
      <c r="W429" s="254" t="s">
        <v>1002</v>
      </c>
      <c r="X429" s="254" t="s">
        <v>446</v>
      </c>
      <c r="Y429" s="254" t="s">
        <v>843</v>
      </c>
      <c r="Z429" s="254" t="s">
        <v>1073</v>
      </c>
      <c r="AA429" s="254" t="s">
        <v>838</v>
      </c>
    </row>
    <row r="430" spans="1:27" ht="14.4" x14ac:dyDescent="0.3">
      <c r="A430" s="253">
        <v>11</v>
      </c>
      <c r="B430" s="254" t="s">
        <v>846</v>
      </c>
      <c r="C430" s="254">
        <v>252</v>
      </c>
      <c r="D430" s="254" t="s">
        <v>37</v>
      </c>
      <c r="E430" s="254" t="str">
        <f>_xlfn.XLOOKUP(C430,Clientes!I:I,Clientes!F:F)</f>
        <v>GRUPO FERTIPAR FERTILIZANTES PARANA</v>
      </c>
      <c r="F430" s="254">
        <v>12293</v>
      </c>
      <c r="G430" s="254" t="s">
        <v>862</v>
      </c>
      <c r="H430" s="254" t="s">
        <v>1058</v>
      </c>
      <c r="I430" s="255">
        <v>14400</v>
      </c>
      <c r="J430" s="256">
        <v>14400</v>
      </c>
      <c r="K430" s="258">
        <v>118306.43470791297</v>
      </c>
      <c r="L430" s="258">
        <v>-4608</v>
      </c>
      <c r="M430" s="258">
        <f t="shared" si="24"/>
        <v>113698.43470791297</v>
      </c>
      <c r="N430" s="258">
        <v>-58990.45</v>
      </c>
      <c r="O430" s="258">
        <v>-10498.551068753279</v>
      </c>
      <c r="P430" s="258">
        <v>-131.86596228372053</v>
      </c>
      <c r="Q430" s="258">
        <f t="shared" si="25"/>
        <v>44077.567676875966</v>
      </c>
      <c r="R430" s="259">
        <f t="shared" si="26"/>
        <v>0.38767083988543549</v>
      </c>
      <c r="S430" s="255">
        <f t="shared" si="27"/>
        <v>8.2157246324939557</v>
      </c>
      <c r="T430" s="255">
        <f t="shared" si="27"/>
        <v>8.2157246324939557</v>
      </c>
      <c r="U430" s="254">
        <v>102300</v>
      </c>
      <c r="V430" s="254" t="s">
        <v>1059</v>
      </c>
      <c r="W430" s="254" t="s">
        <v>864</v>
      </c>
      <c r="X430" s="254" t="s">
        <v>446</v>
      </c>
      <c r="Y430" s="254" t="s">
        <v>843</v>
      </c>
      <c r="Z430" s="254" t="s">
        <v>1073</v>
      </c>
      <c r="AA430" s="254" t="s">
        <v>838</v>
      </c>
    </row>
    <row r="431" spans="1:27" ht="14.4" x14ac:dyDescent="0.3">
      <c r="A431" s="253">
        <v>11</v>
      </c>
      <c r="B431" s="254" t="s">
        <v>846</v>
      </c>
      <c r="C431" s="254">
        <v>2900</v>
      </c>
      <c r="D431" s="254" t="s">
        <v>463</v>
      </c>
      <c r="E431" s="254" t="str">
        <f>_xlfn.XLOOKUP(C431,Clientes!I:I,Clientes!F:F)</f>
        <v>BIOSAFRA - MARUIM</v>
      </c>
      <c r="F431" s="254">
        <v>12813</v>
      </c>
      <c r="G431" s="254" t="s">
        <v>887</v>
      </c>
      <c r="H431" s="254" t="s">
        <v>1060</v>
      </c>
      <c r="I431" s="255">
        <v>2400</v>
      </c>
      <c r="J431" s="256">
        <v>2400</v>
      </c>
      <c r="K431" s="258">
        <v>28048.483895334364</v>
      </c>
      <c r="L431" s="258">
        <v>-1092.48</v>
      </c>
      <c r="M431" s="258">
        <f t="shared" si="24"/>
        <v>26956.003895334365</v>
      </c>
      <c r="N431" s="258">
        <v>-14873.920000000002</v>
      </c>
      <c r="O431" s="258">
        <v>-3897.0998277119998</v>
      </c>
      <c r="P431" s="258">
        <v>-48.949118362291323</v>
      </c>
      <c r="Q431" s="258">
        <f t="shared" si="25"/>
        <v>8136.0349492600717</v>
      </c>
      <c r="R431" s="259">
        <f t="shared" si="26"/>
        <v>0.30182644953053611</v>
      </c>
      <c r="S431" s="255">
        <f t="shared" si="27"/>
        <v>11.686868289722652</v>
      </c>
      <c r="T431" s="255">
        <f t="shared" si="27"/>
        <v>11.686868289722652</v>
      </c>
      <c r="U431" s="254">
        <v>102300</v>
      </c>
      <c r="V431" s="254" t="s">
        <v>1059</v>
      </c>
      <c r="W431" s="254" t="s">
        <v>1009</v>
      </c>
      <c r="X431" s="254" t="s">
        <v>446</v>
      </c>
      <c r="Y431" s="254" t="s">
        <v>843</v>
      </c>
      <c r="Z431" s="254" t="s">
        <v>1073</v>
      </c>
      <c r="AA431" s="254" t="s">
        <v>838</v>
      </c>
    </row>
    <row r="432" spans="1:27" ht="14.4" x14ac:dyDescent="0.3">
      <c r="A432" s="253">
        <v>11</v>
      </c>
      <c r="B432" s="254" t="s">
        <v>846</v>
      </c>
      <c r="C432" s="254">
        <v>1953</v>
      </c>
      <c r="D432" s="254" t="s">
        <v>66</v>
      </c>
      <c r="E432" s="254" t="str">
        <f>_xlfn.XLOOKUP(C432,Clientes!I:I,Clientes!F:F)</f>
        <v>GRUPO AMAGGI</v>
      </c>
      <c r="F432" s="254">
        <v>7398</v>
      </c>
      <c r="G432" s="254" t="s">
        <v>840</v>
      </c>
      <c r="H432" s="254" t="s">
        <v>1004</v>
      </c>
      <c r="I432" s="255">
        <v>60000</v>
      </c>
      <c r="J432" s="256">
        <v>60000</v>
      </c>
      <c r="K432" s="258">
        <v>125400</v>
      </c>
      <c r="L432" s="258">
        <v>-8778</v>
      </c>
      <c r="M432" s="258">
        <f t="shared" si="24"/>
        <v>116622</v>
      </c>
      <c r="N432" s="258">
        <v>-37933.040000000008</v>
      </c>
      <c r="O432" s="258">
        <v>-41876.730604799995</v>
      </c>
      <c r="P432" s="258">
        <v>-525.98833327900763</v>
      </c>
      <c r="Q432" s="258">
        <f t="shared" si="25"/>
        <v>36286.241061920991</v>
      </c>
      <c r="R432" s="259">
        <f t="shared" si="26"/>
        <v>0.31114404710878729</v>
      </c>
      <c r="S432" s="255">
        <f t="shared" si="27"/>
        <v>2.09</v>
      </c>
      <c r="T432" s="255">
        <f t="shared" si="27"/>
        <v>2.09</v>
      </c>
      <c r="U432" s="254">
        <v>102600</v>
      </c>
      <c r="V432" s="254" t="s">
        <v>1005</v>
      </c>
      <c r="W432" s="254" t="s">
        <v>1008</v>
      </c>
      <c r="X432" s="254" t="s">
        <v>446</v>
      </c>
      <c r="Y432" s="254" t="s">
        <v>843</v>
      </c>
      <c r="Z432" s="254" t="s">
        <v>1073</v>
      </c>
      <c r="AA432" s="254" t="s">
        <v>838</v>
      </c>
    </row>
    <row r="433" spans="1:27" ht="14.4" x14ac:dyDescent="0.3">
      <c r="A433" s="253">
        <v>11</v>
      </c>
      <c r="B433" s="254" t="s">
        <v>846</v>
      </c>
      <c r="C433" s="254">
        <v>8414</v>
      </c>
      <c r="D433" s="254" t="s">
        <v>98</v>
      </c>
      <c r="E433" s="254" t="str">
        <f>_xlfn.XLOOKUP(C433,Clientes!I:I,Clientes!F:F)</f>
        <v>GRUPO AMAGGI</v>
      </c>
      <c r="F433" s="254">
        <v>7398</v>
      </c>
      <c r="G433" s="254" t="s">
        <v>1061</v>
      </c>
      <c r="H433" s="254" t="s">
        <v>1004</v>
      </c>
      <c r="I433" s="255">
        <v>30000</v>
      </c>
      <c r="J433" s="256">
        <v>30000</v>
      </c>
      <c r="K433" s="258">
        <v>70800</v>
      </c>
      <c r="L433" s="258">
        <v>-4956.0000000000009</v>
      </c>
      <c r="M433" s="258">
        <f t="shared" si="24"/>
        <v>65844</v>
      </c>
      <c r="N433" s="258">
        <v>-18966.520000000004</v>
      </c>
      <c r="O433" s="258">
        <v>-24507.690479999997</v>
      </c>
      <c r="P433" s="258">
        <v>-307.82630549041562</v>
      </c>
      <c r="Q433" s="258">
        <f t="shared" si="25"/>
        <v>22061.963214509582</v>
      </c>
      <c r="R433" s="259">
        <f t="shared" si="26"/>
        <v>0.33506413970156101</v>
      </c>
      <c r="S433" s="255">
        <f t="shared" si="27"/>
        <v>2.36</v>
      </c>
      <c r="T433" s="255">
        <f t="shared" si="27"/>
        <v>2.36</v>
      </c>
      <c r="U433" s="254">
        <v>102600</v>
      </c>
      <c r="V433" s="254" t="s">
        <v>1005</v>
      </c>
      <c r="W433" s="254" t="s">
        <v>1062</v>
      </c>
      <c r="X433" s="254" t="s">
        <v>446</v>
      </c>
      <c r="Y433" s="254" t="s">
        <v>843</v>
      </c>
      <c r="Z433" s="254" t="s">
        <v>1073</v>
      </c>
      <c r="AA433" s="254" t="s">
        <v>838</v>
      </c>
    </row>
    <row r="434" spans="1:27" ht="14.4" x14ac:dyDescent="0.3">
      <c r="A434" s="253">
        <v>11</v>
      </c>
      <c r="B434" s="254" t="s">
        <v>846</v>
      </c>
      <c r="C434" s="254">
        <v>8855</v>
      </c>
      <c r="D434" s="254" t="s">
        <v>1003</v>
      </c>
      <c r="E434" s="254" t="str">
        <f>_xlfn.XLOOKUP(C434,Clientes!I:I,Clientes!F:F)</f>
        <v>TERMAG GUARUJA</v>
      </c>
      <c r="F434" s="254">
        <v>7398</v>
      </c>
      <c r="G434" s="254" t="s">
        <v>908</v>
      </c>
      <c r="H434" s="254" t="s">
        <v>1004</v>
      </c>
      <c r="I434" s="255">
        <v>30000</v>
      </c>
      <c r="J434" s="256">
        <v>30000</v>
      </c>
      <c r="K434" s="258">
        <v>73800</v>
      </c>
      <c r="L434" s="258">
        <v>-8856</v>
      </c>
      <c r="M434" s="258">
        <f t="shared" si="24"/>
        <v>64944</v>
      </c>
      <c r="N434" s="258">
        <v>-18966.520000000004</v>
      </c>
      <c r="O434" s="258">
        <v>-13045.632163199998</v>
      </c>
      <c r="P434" s="258">
        <v>-163.85831030720584</v>
      </c>
      <c r="Q434" s="258">
        <f t="shared" si="25"/>
        <v>32767.989526492795</v>
      </c>
      <c r="R434" s="259">
        <f t="shared" si="26"/>
        <v>0.5045576115806355</v>
      </c>
      <c r="S434" s="255">
        <f t="shared" si="27"/>
        <v>2.46</v>
      </c>
      <c r="T434" s="255">
        <f t="shared" si="27"/>
        <v>2.46</v>
      </c>
      <c r="U434" s="254">
        <v>102600</v>
      </c>
      <c r="V434" s="254" t="s">
        <v>1005</v>
      </c>
      <c r="W434" s="254" t="s">
        <v>1006</v>
      </c>
      <c r="X434" s="254" t="s">
        <v>446</v>
      </c>
      <c r="Y434" s="254" t="s">
        <v>843</v>
      </c>
      <c r="Z434" s="254" t="s">
        <v>1073</v>
      </c>
      <c r="AA434" s="254" t="s">
        <v>838</v>
      </c>
    </row>
    <row r="435" spans="1:27" ht="14.4" x14ac:dyDescent="0.3">
      <c r="A435" s="253">
        <v>11</v>
      </c>
      <c r="B435" s="254" t="s">
        <v>847</v>
      </c>
      <c r="C435" s="254">
        <v>3273</v>
      </c>
      <c r="D435" s="254" t="s">
        <v>79</v>
      </c>
      <c r="E435" s="254" t="str">
        <f>_xlfn.XLOOKUP(C435,Clientes!I:I,Clientes!F:F)</f>
        <v>FERTIMAXI - CONCEICAO DO JACUIPE</v>
      </c>
      <c r="F435" s="254">
        <v>2</v>
      </c>
      <c r="G435" s="254" t="s">
        <v>875</v>
      </c>
      <c r="H435" s="254" t="s">
        <v>883</v>
      </c>
      <c r="I435" s="255">
        <v>30000</v>
      </c>
      <c r="J435" s="256">
        <v>30000</v>
      </c>
      <c r="K435" s="258">
        <v>78900</v>
      </c>
      <c r="L435" s="258">
        <v>-5523.0000000000009</v>
      </c>
      <c r="M435" s="258">
        <f t="shared" si="24"/>
        <v>73377</v>
      </c>
      <c r="N435" s="258">
        <v>-11421.65</v>
      </c>
      <c r="O435" s="258">
        <v>-18675.345000000001</v>
      </c>
      <c r="P435" s="258">
        <v>-10.246016425349165</v>
      </c>
      <c r="Q435" s="258">
        <f t="shared" si="25"/>
        <v>43269.758983574648</v>
      </c>
      <c r="R435" s="259">
        <f t="shared" si="26"/>
        <v>0.5896910337513751</v>
      </c>
      <c r="S435" s="255">
        <f t="shared" si="27"/>
        <v>2.63</v>
      </c>
      <c r="T435" s="255">
        <f t="shared" si="27"/>
        <v>2.63</v>
      </c>
      <c r="U435" s="254">
        <v>100100</v>
      </c>
      <c r="V435" s="254" t="s">
        <v>834</v>
      </c>
      <c r="W435" s="254" t="s">
        <v>884</v>
      </c>
      <c r="X435" s="254" t="s">
        <v>446</v>
      </c>
      <c r="Y435" s="254" t="s">
        <v>843</v>
      </c>
      <c r="Z435" s="254" t="s">
        <v>1087</v>
      </c>
      <c r="AA435" s="254" t="s">
        <v>838</v>
      </c>
    </row>
    <row r="436" spans="1:27" ht="14.4" x14ac:dyDescent="0.3">
      <c r="A436" s="253">
        <v>11</v>
      </c>
      <c r="B436" s="254" t="s">
        <v>847</v>
      </c>
      <c r="C436" s="254">
        <v>2352</v>
      </c>
      <c r="D436" s="254" t="s">
        <v>68</v>
      </c>
      <c r="E436" s="254" t="str">
        <f>_xlfn.XLOOKUP(C436,Clientes!I:I,Clientes!F:F)</f>
        <v>BR FERTIL - PARANAGUA</v>
      </c>
      <c r="F436" s="254">
        <v>1</v>
      </c>
      <c r="G436" s="254" t="s">
        <v>862</v>
      </c>
      <c r="H436" s="254" t="s">
        <v>873</v>
      </c>
      <c r="I436" s="255">
        <v>30000</v>
      </c>
      <c r="J436" s="256">
        <v>30000</v>
      </c>
      <c r="K436" s="258">
        <v>70800</v>
      </c>
      <c r="L436" s="258">
        <v>-8496</v>
      </c>
      <c r="M436" s="258">
        <f t="shared" si="24"/>
        <v>62304</v>
      </c>
      <c r="N436" s="258">
        <v>-20722.112000000008</v>
      </c>
      <c r="O436" s="258">
        <v>-14049.6057</v>
      </c>
      <c r="P436" s="258">
        <v>-7.7081569723011398</v>
      </c>
      <c r="Q436" s="258">
        <f t="shared" si="25"/>
        <v>27524.57414302769</v>
      </c>
      <c r="R436" s="259">
        <f t="shared" si="26"/>
        <v>0.44177860399055741</v>
      </c>
      <c r="S436" s="255">
        <f t="shared" si="27"/>
        <v>2.36</v>
      </c>
      <c r="T436" s="255">
        <f t="shared" si="27"/>
        <v>2.36</v>
      </c>
      <c r="U436" s="254">
        <v>100100</v>
      </c>
      <c r="V436" s="254" t="s">
        <v>834</v>
      </c>
      <c r="W436" s="254" t="s">
        <v>864</v>
      </c>
      <c r="X436" s="254" t="s">
        <v>446</v>
      </c>
      <c r="Y436" s="254" t="s">
        <v>843</v>
      </c>
      <c r="Z436" s="254" t="s">
        <v>1087</v>
      </c>
      <c r="AA436" s="254" t="s">
        <v>838</v>
      </c>
    </row>
    <row r="437" spans="1:27" ht="14.4" x14ac:dyDescent="0.3">
      <c r="A437" s="253">
        <v>11</v>
      </c>
      <c r="B437" s="254" t="s">
        <v>847</v>
      </c>
      <c r="C437" s="254">
        <v>11212</v>
      </c>
      <c r="D437" s="254" t="s">
        <v>230</v>
      </c>
      <c r="E437" s="254" t="str">
        <f>_xlfn.XLOOKUP(C437,Clientes!I:I,Clientes!F:F)</f>
        <v>INPEK FERTILIZANTES - PARANAGUA</v>
      </c>
      <c r="F437" s="254">
        <v>1043</v>
      </c>
      <c r="G437" s="254" t="s">
        <v>862</v>
      </c>
      <c r="H437" s="254" t="s">
        <v>860</v>
      </c>
      <c r="I437" s="255">
        <v>30000</v>
      </c>
      <c r="J437" s="256">
        <v>30000</v>
      </c>
      <c r="K437" s="258">
        <v>57000</v>
      </c>
      <c r="L437" s="258">
        <v>-6840</v>
      </c>
      <c r="M437" s="258">
        <f t="shared" si="24"/>
        <v>50160</v>
      </c>
      <c r="N437" s="258">
        <v>-11949.90071428571</v>
      </c>
      <c r="O437" s="258">
        <v>-14049.6057</v>
      </c>
      <c r="P437" s="258">
        <v>-7.7081569723011398</v>
      </c>
      <c r="Q437" s="258">
        <f t="shared" si="25"/>
        <v>24152.78542874199</v>
      </c>
      <c r="R437" s="259">
        <f t="shared" si="26"/>
        <v>0.48151486101957719</v>
      </c>
      <c r="S437" s="255">
        <f t="shared" si="27"/>
        <v>1.9</v>
      </c>
      <c r="T437" s="255">
        <f t="shared" si="27"/>
        <v>1.9</v>
      </c>
      <c r="U437" s="254">
        <v>100100</v>
      </c>
      <c r="V437" s="254" t="s">
        <v>834</v>
      </c>
      <c r="W437" s="254" t="s">
        <v>864</v>
      </c>
      <c r="X437" s="254" t="s">
        <v>446</v>
      </c>
      <c r="Y437" s="254" t="s">
        <v>843</v>
      </c>
      <c r="Z437" s="254" t="s">
        <v>1087</v>
      </c>
      <c r="AA437" s="254" t="s">
        <v>838</v>
      </c>
    </row>
    <row r="438" spans="1:27" ht="14.4" x14ac:dyDescent="0.3">
      <c r="A438" s="253">
        <v>11</v>
      </c>
      <c r="B438" s="254" t="s">
        <v>847</v>
      </c>
      <c r="C438" s="254">
        <v>3142</v>
      </c>
      <c r="D438" s="254" t="s">
        <v>78</v>
      </c>
      <c r="E438" s="254" t="str">
        <f>_xlfn.XLOOKUP(C438,Clientes!I:I,Clientes!F:F)</f>
        <v>INTERFERTIL - SAO FRANCISCO DO SUL</v>
      </c>
      <c r="F438" s="254">
        <v>1</v>
      </c>
      <c r="G438" s="254" t="s">
        <v>893</v>
      </c>
      <c r="H438" s="254" t="s">
        <v>873</v>
      </c>
      <c r="I438" s="255">
        <v>30000</v>
      </c>
      <c r="J438" s="256">
        <v>30000</v>
      </c>
      <c r="K438" s="258">
        <v>83100</v>
      </c>
      <c r="L438" s="258">
        <v>-9972</v>
      </c>
      <c r="M438" s="258">
        <f t="shared" si="24"/>
        <v>73128</v>
      </c>
      <c r="N438" s="258">
        <v>-20722.112000000008</v>
      </c>
      <c r="O438" s="258">
        <v>-16807.8105</v>
      </c>
      <c r="P438" s="258">
        <v>-9.2214147828142465</v>
      </c>
      <c r="Q438" s="258">
        <f t="shared" si="25"/>
        <v>35588.856085217179</v>
      </c>
      <c r="R438" s="259">
        <f t="shared" si="26"/>
        <v>0.48666524566810498</v>
      </c>
      <c r="S438" s="255">
        <f t="shared" si="27"/>
        <v>2.77</v>
      </c>
      <c r="T438" s="255">
        <f t="shared" si="27"/>
        <v>2.77</v>
      </c>
      <c r="U438" s="254">
        <v>100100</v>
      </c>
      <c r="V438" s="254" t="s">
        <v>834</v>
      </c>
      <c r="W438" s="254" t="s">
        <v>894</v>
      </c>
      <c r="X438" s="254" t="s">
        <v>446</v>
      </c>
      <c r="Y438" s="254" t="s">
        <v>843</v>
      </c>
      <c r="Z438" s="254" t="s">
        <v>1087</v>
      </c>
      <c r="AA438" s="254" t="s">
        <v>838</v>
      </c>
    </row>
    <row r="439" spans="1:27" ht="14.4" x14ac:dyDescent="0.3">
      <c r="A439" s="253">
        <v>11</v>
      </c>
      <c r="B439" s="254" t="s">
        <v>847</v>
      </c>
      <c r="C439" s="254">
        <v>452</v>
      </c>
      <c r="D439" s="254" t="s">
        <v>900</v>
      </c>
      <c r="E439" s="254" t="str">
        <f>_xlfn.XLOOKUP(C439,Clientes!I:I,Clientes!F:F)</f>
        <v>GRUPO FERTIPAR FERTILIZANTES MARANHAO</v>
      </c>
      <c r="F439" s="254">
        <v>1043</v>
      </c>
      <c r="G439" s="254" t="s">
        <v>897</v>
      </c>
      <c r="H439" s="254" t="s">
        <v>860</v>
      </c>
      <c r="I439" s="255">
        <v>60000</v>
      </c>
      <c r="J439" s="256">
        <v>60000</v>
      </c>
      <c r="K439" s="258">
        <v>142200</v>
      </c>
      <c r="L439" s="258">
        <v>-9954.0000000000018</v>
      </c>
      <c r="M439" s="258">
        <f t="shared" si="24"/>
        <v>132246</v>
      </c>
      <c r="N439" s="258">
        <v>-23899.80142857142</v>
      </c>
      <c r="O439" s="258">
        <v>-52923.054599999996</v>
      </c>
      <c r="P439" s="258">
        <v>-29.035634239220244</v>
      </c>
      <c r="Q439" s="258">
        <f t="shared" si="25"/>
        <v>55394.108337189369</v>
      </c>
      <c r="R439" s="259">
        <f t="shared" si="26"/>
        <v>0.41887171133485601</v>
      </c>
      <c r="S439" s="255">
        <f t="shared" si="27"/>
        <v>2.37</v>
      </c>
      <c r="T439" s="255">
        <f t="shared" si="27"/>
        <v>2.37</v>
      </c>
      <c r="U439" s="254">
        <v>100100</v>
      </c>
      <c r="V439" s="254" t="s">
        <v>834</v>
      </c>
      <c r="W439" s="254" t="s">
        <v>899</v>
      </c>
      <c r="X439" s="254" t="s">
        <v>446</v>
      </c>
      <c r="Y439" s="254" t="s">
        <v>843</v>
      </c>
      <c r="Z439" s="254" t="s">
        <v>1087</v>
      </c>
      <c r="AA439" s="254" t="s">
        <v>838</v>
      </c>
    </row>
    <row r="440" spans="1:27" ht="14.4" x14ac:dyDescent="0.3">
      <c r="A440" s="253">
        <v>11</v>
      </c>
      <c r="B440" s="254" t="s">
        <v>847</v>
      </c>
      <c r="C440" s="254">
        <v>7024</v>
      </c>
      <c r="D440" s="254" t="s">
        <v>721</v>
      </c>
      <c r="E440" s="254" t="str">
        <f>_xlfn.XLOOKUP(C440,Clientes!I:I,Clientes!F:F)</f>
        <v>GRUPO MOSAIC FERTILIZANTES DO BRASIL</v>
      </c>
      <c r="F440" s="254">
        <v>1043</v>
      </c>
      <c r="G440" s="254" t="s">
        <v>840</v>
      </c>
      <c r="H440" s="254" t="s">
        <v>860</v>
      </c>
      <c r="I440" s="255">
        <v>60000</v>
      </c>
      <c r="J440" s="256">
        <v>60000</v>
      </c>
      <c r="K440" s="258">
        <v>136800</v>
      </c>
      <c r="L440" s="258">
        <v>-9576.0000000000018</v>
      </c>
      <c r="M440" s="258">
        <f t="shared" si="24"/>
        <v>127224</v>
      </c>
      <c r="N440" s="258">
        <v>-23899.80142857142</v>
      </c>
      <c r="O440" s="258">
        <v>-42005.160599999996</v>
      </c>
      <c r="P440" s="258">
        <v>-23.045655405939193</v>
      </c>
      <c r="Q440" s="258">
        <f t="shared" si="25"/>
        <v>61295.992316022646</v>
      </c>
      <c r="R440" s="259">
        <f t="shared" si="26"/>
        <v>0.48179582717115205</v>
      </c>
      <c r="S440" s="255">
        <f t="shared" si="27"/>
        <v>2.2799999999999998</v>
      </c>
      <c r="T440" s="255">
        <f t="shared" si="27"/>
        <v>2.2799999999999998</v>
      </c>
      <c r="U440" s="254">
        <v>100100</v>
      </c>
      <c r="V440" s="254" t="s">
        <v>834</v>
      </c>
      <c r="W440" s="254" t="s">
        <v>874</v>
      </c>
      <c r="X440" s="254" t="s">
        <v>446</v>
      </c>
      <c r="Y440" s="254" t="s">
        <v>843</v>
      </c>
      <c r="Z440" s="254" t="s">
        <v>1087</v>
      </c>
      <c r="AA440" s="254" t="s">
        <v>838</v>
      </c>
    </row>
    <row r="441" spans="1:27" ht="14.4" x14ac:dyDescent="0.3">
      <c r="A441" s="253">
        <v>11</v>
      </c>
      <c r="B441" s="254" t="s">
        <v>847</v>
      </c>
      <c r="C441" s="254">
        <v>14561</v>
      </c>
      <c r="D441" s="254" t="s">
        <v>293</v>
      </c>
      <c r="E441" s="254" t="str">
        <f>_xlfn.XLOOKUP(C441,Clientes!I:I,Clientes!F:F)</f>
        <v>EXTRA CARGO ARMAZENS GERAIS</v>
      </c>
      <c r="F441" s="254">
        <v>148</v>
      </c>
      <c r="G441" s="254" t="s">
        <v>893</v>
      </c>
      <c r="H441" s="254" t="s">
        <v>904</v>
      </c>
      <c r="I441" s="255">
        <v>15000</v>
      </c>
      <c r="J441" s="256">
        <v>15000</v>
      </c>
      <c r="K441" s="258">
        <v>52800</v>
      </c>
      <c r="L441" s="258">
        <v>-6336</v>
      </c>
      <c r="M441" s="258">
        <f t="shared" si="24"/>
        <v>46464</v>
      </c>
      <c r="N441" s="258">
        <v>-10224.230973451326</v>
      </c>
      <c r="O441" s="258">
        <v>-12045.7338550185</v>
      </c>
      <c r="P441" s="258">
        <v>-6.6087553902701144</v>
      </c>
      <c r="Q441" s="258">
        <f t="shared" si="25"/>
        <v>24187.426416139904</v>
      </c>
      <c r="R441" s="259">
        <f t="shared" si="26"/>
        <v>0.5205627241765648</v>
      </c>
      <c r="S441" s="255">
        <f t="shared" si="27"/>
        <v>3.52</v>
      </c>
      <c r="T441" s="255">
        <f t="shared" si="27"/>
        <v>3.52</v>
      </c>
      <c r="U441" s="254">
        <v>100100</v>
      </c>
      <c r="V441" s="254" t="s">
        <v>834</v>
      </c>
      <c r="W441" s="254" t="s">
        <v>1080</v>
      </c>
      <c r="X441" s="254" t="s">
        <v>446</v>
      </c>
      <c r="Y441" s="254" t="s">
        <v>843</v>
      </c>
      <c r="Z441" s="254" t="s">
        <v>1087</v>
      </c>
      <c r="AA441" s="254" t="s">
        <v>838</v>
      </c>
    </row>
    <row r="442" spans="1:27" ht="14.4" x14ac:dyDescent="0.3">
      <c r="A442" s="253">
        <v>11</v>
      </c>
      <c r="B442" s="254" t="s">
        <v>847</v>
      </c>
      <c r="C442" s="254">
        <v>1023</v>
      </c>
      <c r="D442" s="254" t="s">
        <v>49</v>
      </c>
      <c r="E442" s="254" t="str">
        <f>_xlfn.XLOOKUP(C442,Clientes!I:I,Clientes!F:F)</f>
        <v>GRUPO ADUBOS ARAGUAIA</v>
      </c>
      <c r="F442" s="254">
        <v>14133</v>
      </c>
      <c r="G442" s="254" t="s">
        <v>840</v>
      </c>
      <c r="H442" s="254" t="s">
        <v>841</v>
      </c>
      <c r="I442" s="255">
        <v>12000</v>
      </c>
      <c r="J442" s="256">
        <v>12000</v>
      </c>
      <c r="K442" s="258">
        <v>34320</v>
      </c>
      <c r="L442" s="258">
        <v>-2402.4</v>
      </c>
      <c r="M442" s="258">
        <f t="shared" si="24"/>
        <v>31917.599999999999</v>
      </c>
      <c r="N442" s="258">
        <v>-13905.095160349851</v>
      </c>
      <c r="O442" s="258">
        <v>-7644.7315593636004</v>
      </c>
      <c r="P442" s="258">
        <v>-4.1941953481782841</v>
      </c>
      <c r="Q442" s="258">
        <f t="shared" si="25"/>
        <v>10363.579084938368</v>
      </c>
      <c r="R442" s="259">
        <f t="shared" si="26"/>
        <v>0.32469794360911752</v>
      </c>
      <c r="S442" s="255">
        <f t="shared" si="27"/>
        <v>2.86</v>
      </c>
      <c r="T442" s="255">
        <f t="shared" si="27"/>
        <v>2.86</v>
      </c>
      <c r="U442" s="254">
        <v>100100</v>
      </c>
      <c r="V442" s="254" t="s">
        <v>834</v>
      </c>
      <c r="W442" s="254" t="s">
        <v>861</v>
      </c>
      <c r="X442" s="254" t="s">
        <v>446</v>
      </c>
      <c r="Y442" s="254" t="s">
        <v>843</v>
      </c>
      <c r="Z442" s="254" t="s">
        <v>1087</v>
      </c>
      <c r="AA442" s="254" t="s">
        <v>838</v>
      </c>
    </row>
    <row r="443" spans="1:27" ht="14.4" x14ac:dyDescent="0.3">
      <c r="A443" s="253">
        <v>11</v>
      </c>
      <c r="B443" s="254" t="s">
        <v>847</v>
      </c>
      <c r="C443" s="254">
        <v>43</v>
      </c>
      <c r="D443" s="254" t="s">
        <v>674</v>
      </c>
      <c r="E443" s="254" t="str">
        <f>_xlfn.XLOOKUP(C443,Clientes!I:I,Clientes!F:F)</f>
        <v>GRUPO CIBRA</v>
      </c>
      <c r="F443" s="254">
        <v>148</v>
      </c>
      <c r="G443" s="254" t="s">
        <v>875</v>
      </c>
      <c r="H443" s="254" t="s">
        <v>904</v>
      </c>
      <c r="I443" s="255">
        <v>210000</v>
      </c>
      <c r="J443" s="256">
        <v>210000</v>
      </c>
      <c r="K443" s="258">
        <v>497700</v>
      </c>
      <c r="L443" s="258">
        <v>-34839</v>
      </c>
      <c r="M443" s="258">
        <f t="shared" si="24"/>
        <v>462861</v>
      </c>
      <c r="N443" s="258">
        <v>-143139.23362831856</v>
      </c>
      <c r="O443" s="258">
        <v>-145336.88856959998</v>
      </c>
      <c r="P443" s="258">
        <v>-79.737437112581446</v>
      </c>
      <c r="Q443" s="258">
        <f t="shared" si="25"/>
        <v>174305.14036496892</v>
      </c>
      <c r="R443" s="259">
        <f t="shared" si="26"/>
        <v>0.37658204161717862</v>
      </c>
      <c r="S443" s="255">
        <f t="shared" si="27"/>
        <v>2.37</v>
      </c>
      <c r="T443" s="255">
        <f t="shared" si="27"/>
        <v>2.37</v>
      </c>
      <c r="U443" s="254">
        <v>100100</v>
      </c>
      <c r="V443" s="254" t="s">
        <v>834</v>
      </c>
      <c r="W443" s="254" t="s">
        <v>905</v>
      </c>
      <c r="X443" s="254" t="s">
        <v>446</v>
      </c>
      <c r="Y443" s="254" t="s">
        <v>843</v>
      </c>
      <c r="Z443" s="254" t="s">
        <v>1087</v>
      </c>
      <c r="AA443" s="254" t="s">
        <v>838</v>
      </c>
    </row>
    <row r="444" spans="1:27" ht="14.4" x14ac:dyDescent="0.3">
      <c r="A444" s="253">
        <v>11</v>
      </c>
      <c r="B444" s="254" t="s">
        <v>847</v>
      </c>
      <c r="C444" s="254">
        <v>205</v>
      </c>
      <c r="D444" s="254" t="s">
        <v>859</v>
      </c>
      <c r="E444" s="254" t="str">
        <f>_xlfn.XLOOKUP(C444,Clientes!I:I,Clientes!F:F)</f>
        <v>GRUPO FERTIPAR FERTILIZANTES MATO GROSSO</v>
      </c>
      <c r="F444" s="254">
        <v>231</v>
      </c>
      <c r="G444" s="254" t="s">
        <v>840</v>
      </c>
      <c r="H444" s="254" t="s">
        <v>1088</v>
      </c>
      <c r="I444" s="255">
        <v>15000</v>
      </c>
      <c r="J444" s="256">
        <v>15000</v>
      </c>
      <c r="K444" s="258">
        <v>36900</v>
      </c>
      <c r="L444" s="258">
        <v>-2583.0000000000005</v>
      </c>
      <c r="M444" s="258">
        <f t="shared" si="24"/>
        <v>34317</v>
      </c>
      <c r="N444" s="258">
        <v>-16471.719999999998</v>
      </c>
      <c r="O444" s="258">
        <v>-9555.9144492044998</v>
      </c>
      <c r="P444" s="258">
        <v>-5.242744185222854</v>
      </c>
      <c r="Q444" s="258">
        <f t="shared" si="25"/>
        <v>8284.1228066102794</v>
      </c>
      <c r="R444" s="259">
        <f t="shared" si="26"/>
        <v>0.24139997105254771</v>
      </c>
      <c r="S444" s="255">
        <f t="shared" si="27"/>
        <v>2.46</v>
      </c>
      <c r="T444" s="255">
        <f t="shared" si="27"/>
        <v>2.46</v>
      </c>
      <c r="U444" s="254">
        <v>100100</v>
      </c>
      <c r="V444" s="254" t="s">
        <v>834</v>
      </c>
      <c r="W444" s="254" t="s">
        <v>861</v>
      </c>
      <c r="X444" s="254" t="s">
        <v>446</v>
      </c>
      <c r="Y444" s="254" t="s">
        <v>843</v>
      </c>
      <c r="Z444" s="254" t="s">
        <v>1087</v>
      </c>
      <c r="AA444" s="254" t="s">
        <v>838</v>
      </c>
    </row>
    <row r="445" spans="1:27" ht="14.4" x14ac:dyDescent="0.3">
      <c r="A445" s="253">
        <v>11</v>
      </c>
      <c r="B445" s="254" t="s">
        <v>847</v>
      </c>
      <c r="C445" s="254">
        <v>7102</v>
      </c>
      <c r="D445" s="254" t="s">
        <v>906</v>
      </c>
      <c r="E445" s="254" t="str">
        <f>_xlfn.XLOOKUP(C445,Clientes!I:I,Clientes!F:F)</f>
        <v>GRUPO MOSAIC FERTILIZANTES DO BRASIL</v>
      </c>
      <c r="F445" s="254">
        <v>1043</v>
      </c>
      <c r="G445" s="254" t="s">
        <v>840</v>
      </c>
      <c r="H445" s="254" t="s">
        <v>860</v>
      </c>
      <c r="I445" s="255">
        <v>240000</v>
      </c>
      <c r="J445" s="256">
        <v>240000</v>
      </c>
      <c r="K445" s="258">
        <v>489600</v>
      </c>
      <c r="L445" s="258">
        <v>-34272</v>
      </c>
      <c r="M445" s="258">
        <f t="shared" si="24"/>
        <v>455328</v>
      </c>
      <c r="N445" s="258">
        <v>-95599.205714285679</v>
      </c>
      <c r="O445" s="258">
        <v>-95847.616800000003</v>
      </c>
      <c r="P445" s="258">
        <v>-52.585708915330478</v>
      </c>
      <c r="Q445" s="258">
        <f t="shared" si="25"/>
        <v>263828.591776799</v>
      </c>
      <c r="R445" s="259">
        <f t="shared" si="26"/>
        <v>0.57942536320366633</v>
      </c>
      <c r="S445" s="255">
        <f t="shared" si="27"/>
        <v>2.04</v>
      </c>
      <c r="T445" s="255">
        <f t="shared" si="27"/>
        <v>2.04</v>
      </c>
      <c r="U445" s="254">
        <v>100100</v>
      </c>
      <c r="V445" s="254" t="s">
        <v>834</v>
      </c>
      <c r="W445" s="254" t="s">
        <v>861</v>
      </c>
      <c r="X445" s="254" t="s">
        <v>446</v>
      </c>
      <c r="Y445" s="254" t="s">
        <v>843</v>
      </c>
      <c r="Z445" s="254" t="s">
        <v>1087</v>
      </c>
      <c r="AA445" s="254" t="s">
        <v>838</v>
      </c>
    </row>
    <row r="446" spans="1:27" ht="14.4" x14ac:dyDescent="0.3">
      <c r="A446" s="253">
        <v>11</v>
      </c>
      <c r="B446" s="254" t="s">
        <v>847</v>
      </c>
      <c r="C446" s="254">
        <v>11637</v>
      </c>
      <c r="D446" s="254" t="s">
        <v>625</v>
      </c>
      <c r="E446" s="254" t="str">
        <f>_xlfn.XLOOKUP(C446,Clientes!I:I,Clientes!F:F)</f>
        <v>AGROPECUARIA MARATA LTDA - MARUIM</v>
      </c>
      <c r="F446" s="254">
        <v>14130</v>
      </c>
      <c r="G446" s="254" t="s">
        <v>887</v>
      </c>
      <c r="H446" s="254" t="s">
        <v>903</v>
      </c>
      <c r="I446" s="255">
        <v>4000</v>
      </c>
      <c r="J446" s="256">
        <v>4000</v>
      </c>
      <c r="K446" s="258">
        <v>11880</v>
      </c>
      <c r="L446" s="258">
        <v>-831.6</v>
      </c>
      <c r="M446" s="258">
        <f t="shared" si="24"/>
        <v>11048.4</v>
      </c>
      <c r="N446" s="258">
        <v>-5069.97</v>
      </c>
      <c r="O446" s="258">
        <v>0</v>
      </c>
      <c r="P446" s="258">
        <v>0</v>
      </c>
      <c r="Q446" s="258">
        <f t="shared" si="25"/>
        <v>5978.4299999999994</v>
      </c>
      <c r="R446" s="259">
        <f t="shared" si="26"/>
        <v>0.54111274030628864</v>
      </c>
      <c r="S446" s="255">
        <f t="shared" si="27"/>
        <v>2.97</v>
      </c>
      <c r="T446" s="255">
        <f t="shared" si="27"/>
        <v>2.97</v>
      </c>
      <c r="U446" s="254">
        <v>100100</v>
      </c>
      <c r="V446" s="254" t="s">
        <v>834</v>
      </c>
      <c r="W446" s="254" t="s">
        <v>1009</v>
      </c>
      <c r="X446" s="254" t="s">
        <v>446</v>
      </c>
      <c r="Y446" s="254" t="s">
        <v>843</v>
      </c>
      <c r="Z446" s="254" t="s">
        <v>1087</v>
      </c>
      <c r="AA446" s="254" t="s">
        <v>838</v>
      </c>
    </row>
    <row r="447" spans="1:27" ht="14.4" x14ac:dyDescent="0.3">
      <c r="A447" s="253">
        <v>11</v>
      </c>
      <c r="B447" s="254" t="s">
        <v>847</v>
      </c>
      <c r="C447" s="254">
        <v>7022</v>
      </c>
      <c r="D447" s="254" t="s">
        <v>89</v>
      </c>
      <c r="E447" s="254" t="str">
        <f>_xlfn.XLOOKUP(C447,Clientes!I:I,Clientes!F:F)</f>
        <v>STRATOS - ROSARIO DO CATETE</v>
      </c>
      <c r="F447" s="254">
        <v>1043</v>
      </c>
      <c r="G447" s="254" t="s">
        <v>887</v>
      </c>
      <c r="H447" s="254" t="s">
        <v>860</v>
      </c>
      <c r="I447" s="255">
        <v>150000</v>
      </c>
      <c r="J447" s="256">
        <v>150000</v>
      </c>
      <c r="K447" s="258">
        <v>361500</v>
      </c>
      <c r="L447" s="258">
        <v>-25305.000000000004</v>
      </c>
      <c r="M447" s="258">
        <f t="shared" si="24"/>
        <v>336195</v>
      </c>
      <c r="N447" s="258">
        <v>-59749.503571428555</v>
      </c>
      <c r="O447" s="258">
        <v>-126057.50539200001</v>
      </c>
      <c r="P447" s="258">
        <v>-69.160021985402295</v>
      </c>
      <c r="Q447" s="258">
        <f t="shared" si="25"/>
        <v>150318.83101458603</v>
      </c>
      <c r="R447" s="259">
        <f t="shared" si="26"/>
        <v>0.44711798514131984</v>
      </c>
      <c r="S447" s="255">
        <f t="shared" si="27"/>
        <v>2.41</v>
      </c>
      <c r="T447" s="255">
        <f t="shared" si="27"/>
        <v>2.41</v>
      </c>
      <c r="U447" s="254">
        <v>100100</v>
      </c>
      <c r="V447" s="254" t="s">
        <v>834</v>
      </c>
      <c r="W447" s="254" t="s">
        <v>888</v>
      </c>
      <c r="X447" s="254" t="s">
        <v>446</v>
      </c>
      <c r="Y447" s="254" t="s">
        <v>843</v>
      </c>
      <c r="Z447" s="254" t="s">
        <v>1087</v>
      </c>
      <c r="AA447" s="254" t="s">
        <v>838</v>
      </c>
    </row>
    <row r="448" spans="1:27" ht="14.4" x14ac:dyDescent="0.3">
      <c r="A448" s="253">
        <v>11</v>
      </c>
      <c r="B448" s="254" t="s">
        <v>847</v>
      </c>
      <c r="C448" s="254">
        <v>6370</v>
      </c>
      <c r="D448" s="254" t="s">
        <v>264</v>
      </c>
      <c r="E448" s="254" t="str">
        <f>_xlfn.XLOOKUP(C448,Clientes!I:I,Clientes!F:F)</f>
        <v>YTL S.A. - PARAGUAI</v>
      </c>
      <c r="F448" s="254">
        <v>4067</v>
      </c>
      <c r="G448" s="254" t="s">
        <v>832</v>
      </c>
      <c r="H448" s="254" t="s">
        <v>881</v>
      </c>
      <c r="I448" s="255">
        <v>30000</v>
      </c>
      <c r="J448" s="256">
        <v>30000</v>
      </c>
      <c r="K448" s="258">
        <v>154200</v>
      </c>
      <c r="L448" s="258">
        <v>0</v>
      </c>
      <c r="M448" s="258">
        <f t="shared" si="24"/>
        <v>154200</v>
      </c>
      <c r="N448" s="258">
        <v>-45847.56</v>
      </c>
      <c r="O448" s="258">
        <v>-30471.7248</v>
      </c>
      <c r="P448" s="258">
        <v>-4524.4411276908513</v>
      </c>
      <c r="Q448" s="258">
        <f t="shared" si="25"/>
        <v>73356.274072309156</v>
      </c>
      <c r="R448" s="259">
        <f t="shared" si="26"/>
        <v>0.47572162174000748</v>
      </c>
      <c r="S448" s="255">
        <f t="shared" si="27"/>
        <v>5.14</v>
      </c>
      <c r="T448" s="255">
        <f t="shared" si="27"/>
        <v>5.14</v>
      </c>
      <c r="U448" s="254">
        <v>100100</v>
      </c>
      <c r="V448" s="254" t="s">
        <v>834</v>
      </c>
      <c r="W448" s="254" t="s">
        <v>896</v>
      </c>
      <c r="X448" s="254" t="s">
        <v>446</v>
      </c>
      <c r="Y448" s="254" t="s">
        <v>836</v>
      </c>
      <c r="Z448" s="254" t="s">
        <v>1087</v>
      </c>
      <c r="AA448" s="254" t="s">
        <v>838</v>
      </c>
    </row>
    <row r="449" spans="1:27" ht="14.4" x14ac:dyDescent="0.3">
      <c r="A449" s="253">
        <v>11</v>
      </c>
      <c r="B449" s="254" t="s">
        <v>847</v>
      </c>
      <c r="C449" s="254">
        <v>2011</v>
      </c>
      <c r="D449" s="254" t="s">
        <v>616</v>
      </c>
      <c r="E449" s="254" t="str">
        <f>_xlfn.XLOOKUP(C449,Clientes!I:I,Clientes!F:F)</f>
        <v>FERTGROW S.A</v>
      </c>
      <c r="F449" s="254">
        <v>6654</v>
      </c>
      <c r="G449" s="254" t="s">
        <v>897</v>
      </c>
      <c r="H449" s="254" t="s">
        <v>898</v>
      </c>
      <c r="I449" s="255">
        <v>80000</v>
      </c>
      <c r="J449" s="256">
        <v>80000</v>
      </c>
      <c r="K449" s="258">
        <v>216000</v>
      </c>
      <c r="L449" s="258">
        <v>-15120.000000000002</v>
      </c>
      <c r="M449" s="258">
        <f t="shared" si="24"/>
        <v>200880</v>
      </c>
      <c r="N449" s="258">
        <v>-31141.629999999997</v>
      </c>
      <c r="O449" s="258">
        <v>-70564.072799999994</v>
      </c>
      <c r="P449" s="258">
        <v>-38.714178985626987</v>
      </c>
      <c r="Q449" s="258">
        <f t="shared" si="25"/>
        <v>99135.583021014376</v>
      </c>
      <c r="R449" s="259">
        <f t="shared" si="26"/>
        <v>0.49350648656418944</v>
      </c>
      <c r="S449" s="255">
        <f t="shared" si="27"/>
        <v>2.7</v>
      </c>
      <c r="T449" s="255">
        <f t="shared" si="27"/>
        <v>2.7</v>
      </c>
      <c r="U449" s="254">
        <v>100100</v>
      </c>
      <c r="V449" s="254" t="s">
        <v>834</v>
      </c>
      <c r="W449" s="254" t="s">
        <v>899</v>
      </c>
      <c r="X449" s="254" t="s">
        <v>446</v>
      </c>
      <c r="Y449" s="254" t="s">
        <v>843</v>
      </c>
      <c r="Z449" s="254" t="s">
        <v>1087</v>
      </c>
      <c r="AA449" s="254" t="s">
        <v>838</v>
      </c>
    </row>
    <row r="450" spans="1:27" ht="14.4" x14ac:dyDescent="0.3">
      <c r="A450" s="253">
        <v>11</v>
      </c>
      <c r="B450" s="254" t="s">
        <v>847</v>
      </c>
      <c r="C450" s="254">
        <v>86</v>
      </c>
      <c r="D450" s="254" t="s">
        <v>31</v>
      </c>
      <c r="E450" s="254" t="str">
        <f>_xlfn.XLOOKUP(C450,Clientes!I:I,Clientes!F:F)</f>
        <v>GRUPO ADUBOS ARAGUAIA</v>
      </c>
      <c r="F450" s="254">
        <v>14133</v>
      </c>
      <c r="G450" s="254" t="s">
        <v>867</v>
      </c>
      <c r="H450" s="254" t="s">
        <v>841</v>
      </c>
      <c r="I450" s="255">
        <v>12000</v>
      </c>
      <c r="J450" s="256">
        <v>12000</v>
      </c>
      <c r="K450" s="258">
        <v>33000</v>
      </c>
      <c r="L450" s="258">
        <v>-2310</v>
      </c>
      <c r="M450" s="258">
        <f t="shared" si="24"/>
        <v>30690</v>
      </c>
      <c r="N450" s="258">
        <v>-13905.095160349851</v>
      </c>
      <c r="O450" s="258">
        <v>-4650.7495518743999</v>
      </c>
      <c r="P450" s="258">
        <v>-2.5515810443496685</v>
      </c>
      <c r="Q450" s="258">
        <f t="shared" si="25"/>
        <v>12131.603706731399</v>
      </c>
      <c r="R450" s="259">
        <f t="shared" si="26"/>
        <v>0.39529500510692078</v>
      </c>
      <c r="S450" s="255">
        <f t="shared" si="27"/>
        <v>2.75</v>
      </c>
      <c r="T450" s="255">
        <f t="shared" si="27"/>
        <v>2.75</v>
      </c>
      <c r="U450" s="254">
        <v>100100</v>
      </c>
      <c r="V450" s="254" t="s">
        <v>834</v>
      </c>
      <c r="W450" s="254" t="s">
        <v>955</v>
      </c>
      <c r="X450" s="254" t="s">
        <v>446</v>
      </c>
      <c r="Y450" s="254" t="s">
        <v>843</v>
      </c>
      <c r="Z450" s="254" t="s">
        <v>1087</v>
      </c>
      <c r="AA450" s="254" t="s">
        <v>838</v>
      </c>
    </row>
    <row r="451" spans="1:27" ht="14.4" x14ac:dyDescent="0.3">
      <c r="A451" s="253">
        <v>11</v>
      </c>
      <c r="B451" s="254" t="s">
        <v>847</v>
      </c>
      <c r="C451" s="254">
        <v>1292</v>
      </c>
      <c r="D451" s="254" t="s">
        <v>1079</v>
      </c>
      <c r="E451" s="254" t="str">
        <f>_xlfn.XLOOKUP(C451,Clientes!I:I,Clientes!F:F)</f>
        <v>GRUPO AGRO INDUSTRIAL SAO LUIZ LTDA</v>
      </c>
      <c r="F451" s="254">
        <v>148</v>
      </c>
      <c r="G451" s="254" t="s">
        <v>893</v>
      </c>
      <c r="H451" s="254" t="s">
        <v>904</v>
      </c>
      <c r="I451" s="255">
        <v>20000</v>
      </c>
      <c r="J451" s="256">
        <v>20000</v>
      </c>
      <c r="K451" s="258">
        <v>47000</v>
      </c>
      <c r="L451" s="258">
        <v>-5640</v>
      </c>
      <c r="M451" s="258">
        <f t="shared" si="24"/>
        <v>41360</v>
      </c>
      <c r="N451" s="258">
        <v>-13632.307964601769</v>
      </c>
      <c r="O451" s="258">
        <v>-10207.092555894</v>
      </c>
      <c r="P451" s="258">
        <v>-5.6000056750089007</v>
      </c>
      <c r="Q451" s="258">
        <f t="shared" si="25"/>
        <v>17514.999473829223</v>
      </c>
      <c r="R451" s="259">
        <f t="shared" si="26"/>
        <v>0.42347677644654791</v>
      </c>
      <c r="S451" s="255">
        <f t="shared" si="27"/>
        <v>2.35</v>
      </c>
      <c r="T451" s="255">
        <f t="shared" si="27"/>
        <v>2.35</v>
      </c>
      <c r="U451" s="254">
        <v>100100</v>
      </c>
      <c r="V451" s="254" t="s">
        <v>834</v>
      </c>
      <c r="W451" s="254" t="s">
        <v>1080</v>
      </c>
      <c r="X451" s="254" t="s">
        <v>446</v>
      </c>
      <c r="Y451" s="254" t="s">
        <v>843</v>
      </c>
      <c r="Z451" s="254" t="s">
        <v>1087</v>
      </c>
      <c r="AA451" s="254" t="s">
        <v>838</v>
      </c>
    </row>
    <row r="452" spans="1:27" ht="14.4" x14ac:dyDescent="0.3">
      <c r="A452" s="253">
        <v>11</v>
      </c>
      <c r="B452" s="254" t="s">
        <v>847</v>
      </c>
      <c r="C452" s="254">
        <v>3232</v>
      </c>
      <c r="D452" s="254" t="s">
        <v>153</v>
      </c>
      <c r="E452" s="254" t="str">
        <f>_xlfn.XLOOKUP(C452,Clientes!I:I,Clientes!F:F)</f>
        <v>GRUPO FERTILIZ TOCANTINS</v>
      </c>
      <c r="F452" s="254">
        <v>7384</v>
      </c>
      <c r="G452" s="254" t="s">
        <v>855</v>
      </c>
      <c r="H452" s="254" t="s">
        <v>856</v>
      </c>
      <c r="I452" s="255">
        <v>150000</v>
      </c>
      <c r="J452" s="256">
        <v>150000</v>
      </c>
      <c r="K452" s="258">
        <v>280500</v>
      </c>
      <c r="L452" s="258">
        <v>-50490</v>
      </c>
      <c r="M452" s="258">
        <f t="shared" ref="M452:M515" si="28">SUM(K452:L452)</f>
        <v>230010</v>
      </c>
      <c r="N452" s="258">
        <v>-102550.68965517241</v>
      </c>
      <c r="O452" s="258">
        <v>-8619.39</v>
      </c>
      <c r="P452" s="258">
        <v>-4.7289306578534598</v>
      </c>
      <c r="Q452" s="258">
        <f t="shared" ref="Q452:Q515" si="29">SUM(M452:P452)</f>
        <v>118835.19141416973</v>
      </c>
      <c r="R452" s="259">
        <f t="shared" ref="R452:R515" si="30">Q452/M452</f>
        <v>0.51665228213629721</v>
      </c>
      <c r="S452" s="255">
        <f t="shared" ref="S452:T483" si="31">$K452/I452</f>
        <v>1.87</v>
      </c>
      <c r="T452" s="255">
        <f t="shared" si="31"/>
        <v>1.87</v>
      </c>
      <c r="U452" s="254">
        <v>100100</v>
      </c>
      <c r="V452" s="254" t="s">
        <v>834</v>
      </c>
      <c r="W452" s="254" t="s">
        <v>857</v>
      </c>
      <c r="X452" s="254" t="s">
        <v>446</v>
      </c>
      <c r="Y452" s="254" t="s">
        <v>843</v>
      </c>
      <c r="Z452" s="254" t="s">
        <v>1087</v>
      </c>
      <c r="AA452" s="254" t="s">
        <v>838</v>
      </c>
    </row>
    <row r="453" spans="1:27" ht="14.4" x14ac:dyDescent="0.3">
      <c r="A453" s="253">
        <v>11</v>
      </c>
      <c r="B453" s="254" t="s">
        <v>847</v>
      </c>
      <c r="C453" s="254">
        <v>1874</v>
      </c>
      <c r="D453" s="254" t="s">
        <v>210</v>
      </c>
      <c r="E453" s="254" t="str">
        <f>_xlfn.XLOOKUP(C453,Clientes!I:I,Clientes!F:F)</f>
        <v>GRUPO FERTILIZ TOCANTINS</v>
      </c>
      <c r="F453" s="254">
        <v>148</v>
      </c>
      <c r="G453" s="254" t="s">
        <v>926</v>
      </c>
      <c r="H453" s="254" t="s">
        <v>904</v>
      </c>
      <c r="I453" s="255">
        <v>30000</v>
      </c>
      <c r="J453" s="256">
        <v>30000</v>
      </c>
      <c r="K453" s="258">
        <v>84300</v>
      </c>
      <c r="L453" s="258">
        <v>-5901.0000000000009</v>
      </c>
      <c r="M453" s="258">
        <f t="shared" si="28"/>
        <v>78399</v>
      </c>
      <c r="N453" s="258">
        <v>-20448.461946902651</v>
      </c>
      <c r="O453" s="258">
        <v>-26978.690699999999</v>
      </c>
      <c r="P453" s="258">
        <v>-14.801552959081329</v>
      </c>
      <c r="Q453" s="258">
        <f t="shared" si="29"/>
        <v>30957.045800138269</v>
      </c>
      <c r="R453" s="259">
        <f t="shared" si="30"/>
        <v>0.39486531461036833</v>
      </c>
      <c r="S453" s="255">
        <f t="shared" si="31"/>
        <v>2.81</v>
      </c>
      <c r="T453" s="255">
        <f t="shared" si="31"/>
        <v>2.81</v>
      </c>
      <c r="U453" s="254">
        <v>100100</v>
      </c>
      <c r="V453" s="254" t="s">
        <v>834</v>
      </c>
      <c r="W453" s="254" t="s">
        <v>928</v>
      </c>
      <c r="X453" s="254" t="s">
        <v>446</v>
      </c>
      <c r="Y453" s="254" t="s">
        <v>843</v>
      </c>
      <c r="Z453" s="254" t="s">
        <v>1087</v>
      </c>
      <c r="AA453" s="254" t="s">
        <v>838</v>
      </c>
    </row>
    <row r="454" spans="1:27" ht="14.4" x14ac:dyDescent="0.3">
      <c r="A454" s="253">
        <v>11</v>
      </c>
      <c r="B454" s="254" t="s">
        <v>847</v>
      </c>
      <c r="C454" s="254">
        <v>214</v>
      </c>
      <c r="D454" s="254" t="s">
        <v>149</v>
      </c>
      <c r="E454" s="254" t="str">
        <f>_xlfn.XLOOKUP(C454,Clientes!I:I,Clientes!F:F)</f>
        <v>GRUPO UNIFERTIL</v>
      </c>
      <c r="F454" s="254">
        <v>3</v>
      </c>
      <c r="G454" s="254" t="s">
        <v>877</v>
      </c>
      <c r="H454" s="254" t="s">
        <v>879</v>
      </c>
      <c r="I454" s="255">
        <v>64000</v>
      </c>
      <c r="J454" s="256">
        <v>64000</v>
      </c>
      <c r="K454" s="258">
        <v>165760</v>
      </c>
      <c r="L454" s="258">
        <v>-19891.2</v>
      </c>
      <c r="M454" s="258">
        <f t="shared" si="28"/>
        <v>145868.79999999999</v>
      </c>
      <c r="N454" s="258">
        <v>-49603.92</v>
      </c>
      <c r="O454" s="258">
        <v>-51609.076479999996</v>
      </c>
      <c r="P454" s="258">
        <v>-28.314735032267471</v>
      </c>
      <c r="Q454" s="258">
        <f t="shared" si="29"/>
        <v>44627.488784967725</v>
      </c>
      <c r="R454" s="259">
        <f t="shared" si="30"/>
        <v>0.30594266069898246</v>
      </c>
      <c r="S454" s="255">
        <f t="shared" si="31"/>
        <v>2.59</v>
      </c>
      <c r="T454" s="255">
        <f t="shared" si="31"/>
        <v>2.59</v>
      </c>
      <c r="U454" s="254">
        <v>100100</v>
      </c>
      <c r="V454" s="254" t="s">
        <v>834</v>
      </c>
      <c r="W454" s="254" t="s">
        <v>880</v>
      </c>
      <c r="X454" s="254" t="s">
        <v>446</v>
      </c>
      <c r="Y454" s="254" t="s">
        <v>843</v>
      </c>
      <c r="Z454" s="254" t="s">
        <v>1087</v>
      </c>
      <c r="AA454" s="254" t="s">
        <v>838</v>
      </c>
    </row>
    <row r="455" spans="1:27" ht="14.4" x14ac:dyDescent="0.3">
      <c r="A455" s="253">
        <v>11</v>
      </c>
      <c r="B455" s="254" t="s">
        <v>847</v>
      </c>
      <c r="C455" s="254">
        <v>1936</v>
      </c>
      <c r="D455" s="254" t="s">
        <v>889</v>
      </c>
      <c r="E455" s="254" t="str">
        <f>_xlfn.XLOOKUP(C455,Clientes!I:I,Clientes!F:F)</f>
        <v>GRUPO AGRO INDUSTRIAL SAO LUIZ LTDA</v>
      </c>
      <c r="F455" s="254">
        <v>4</v>
      </c>
      <c r="G455" s="254" t="s">
        <v>862</v>
      </c>
      <c r="H455" s="254" t="s">
        <v>863</v>
      </c>
      <c r="I455" s="255">
        <v>40000</v>
      </c>
      <c r="J455" s="256">
        <v>40000</v>
      </c>
      <c r="K455" s="258">
        <v>159600</v>
      </c>
      <c r="L455" s="258">
        <v>-19152</v>
      </c>
      <c r="M455" s="258">
        <f t="shared" si="28"/>
        <v>140448</v>
      </c>
      <c r="N455" s="258">
        <v>-39155.822222222218</v>
      </c>
      <c r="O455" s="258">
        <v>0</v>
      </c>
      <c r="P455" s="258">
        <v>0</v>
      </c>
      <c r="Q455" s="258">
        <f t="shared" si="29"/>
        <v>101292.17777777778</v>
      </c>
      <c r="R455" s="259">
        <f t="shared" si="30"/>
        <v>0.72120769094453308</v>
      </c>
      <c r="S455" s="255">
        <f t="shared" si="31"/>
        <v>3.99</v>
      </c>
      <c r="T455" s="255">
        <f t="shared" si="31"/>
        <v>3.99</v>
      </c>
      <c r="U455" s="254">
        <v>100100</v>
      </c>
      <c r="V455" s="254" t="s">
        <v>834</v>
      </c>
      <c r="W455" s="254" t="s">
        <v>864</v>
      </c>
      <c r="X455" s="254" t="s">
        <v>446</v>
      </c>
      <c r="Y455" s="254" t="s">
        <v>843</v>
      </c>
      <c r="Z455" s="254" t="s">
        <v>1087</v>
      </c>
      <c r="AA455" s="254" t="s">
        <v>838</v>
      </c>
    </row>
    <row r="456" spans="1:27" ht="14.4" x14ac:dyDescent="0.3">
      <c r="A456" s="253">
        <v>11</v>
      </c>
      <c r="B456" s="254" t="s">
        <v>847</v>
      </c>
      <c r="C456" s="254">
        <v>6477</v>
      </c>
      <c r="D456" s="254" t="s">
        <v>87</v>
      </c>
      <c r="E456" s="254" t="str">
        <f>_xlfn.XLOOKUP(C456,Clientes!I:I,Clientes!F:F)</f>
        <v>GRUPO MOSAIC FERTILIZANTES DO BRASIL</v>
      </c>
      <c r="F456" s="254">
        <v>1043</v>
      </c>
      <c r="G456" s="254" t="s">
        <v>862</v>
      </c>
      <c r="H456" s="254" t="s">
        <v>860</v>
      </c>
      <c r="I456" s="255">
        <v>90000</v>
      </c>
      <c r="J456" s="256">
        <v>90000</v>
      </c>
      <c r="K456" s="258">
        <v>197100</v>
      </c>
      <c r="L456" s="258">
        <v>-23652</v>
      </c>
      <c r="M456" s="258">
        <f t="shared" si="28"/>
        <v>173448</v>
      </c>
      <c r="N456" s="258">
        <v>-35849.702142857132</v>
      </c>
      <c r="O456" s="258">
        <v>-42148.8171</v>
      </c>
      <c r="P456" s="258">
        <v>-23.124470916903419</v>
      </c>
      <c r="Q456" s="258">
        <f t="shared" si="29"/>
        <v>95426.356286225971</v>
      </c>
      <c r="R456" s="259">
        <f t="shared" si="30"/>
        <v>0.55017271047360572</v>
      </c>
      <c r="S456" s="255">
        <f t="shared" si="31"/>
        <v>2.19</v>
      </c>
      <c r="T456" s="255">
        <f t="shared" si="31"/>
        <v>2.19</v>
      </c>
      <c r="U456" s="254">
        <v>100100</v>
      </c>
      <c r="V456" s="254" t="s">
        <v>834</v>
      </c>
      <c r="W456" s="254" t="s">
        <v>864</v>
      </c>
      <c r="X456" s="254" t="s">
        <v>446</v>
      </c>
      <c r="Y456" s="254" t="s">
        <v>843</v>
      </c>
      <c r="Z456" s="254" t="s">
        <v>1087</v>
      </c>
      <c r="AA456" s="254" t="s">
        <v>838</v>
      </c>
    </row>
    <row r="457" spans="1:27" ht="14.4" x14ac:dyDescent="0.3">
      <c r="A457" s="253">
        <v>11</v>
      </c>
      <c r="B457" s="254" t="s">
        <v>847</v>
      </c>
      <c r="C457" s="254">
        <v>6124</v>
      </c>
      <c r="D457" s="254" t="s">
        <v>891</v>
      </c>
      <c r="E457" s="254" t="str">
        <f>_xlfn.XLOOKUP(C457,Clientes!I:I,Clientes!F:F)</f>
        <v>GRUPO MOSAIC FERTILIZANTES DO BRASIL</v>
      </c>
      <c r="F457" s="254">
        <v>1043</v>
      </c>
      <c r="G457" s="254" t="s">
        <v>855</v>
      </c>
      <c r="H457" s="254" t="s">
        <v>860</v>
      </c>
      <c r="I457" s="255">
        <v>30000</v>
      </c>
      <c r="J457" s="256">
        <v>30000</v>
      </c>
      <c r="K457" s="258">
        <v>50700</v>
      </c>
      <c r="L457" s="258">
        <v>0</v>
      </c>
      <c r="M457" s="258">
        <f t="shared" si="28"/>
        <v>50700</v>
      </c>
      <c r="N457" s="258">
        <v>-11949.90071428571</v>
      </c>
      <c r="O457" s="258">
        <v>-2442.1605</v>
      </c>
      <c r="P457" s="258">
        <v>-1.3398636863918136</v>
      </c>
      <c r="Q457" s="258">
        <f t="shared" si="29"/>
        <v>36306.598922027901</v>
      </c>
      <c r="R457" s="259">
        <f t="shared" si="30"/>
        <v>0.71610648761396256</v>
      </c>
      <c r="S457" s="255">
        <f t="shared" si="31"/>
        <v>1.69</v>
      </c>
      <c r="T457" s="255">
        <f t="shared" si="31"/>
        <v>1.69</v>
      </c>
      <c r="U457" s="254">
        <v>100100</v>
      </c>
      <c r="V457" s="254" t="s">
        <v>834</v>
      </c>
      <c r="W457" s="254" t="s">
        <v>892</v>
      </c>
      <c r="X457" s="254" t="s">
        <v>446</v>
      </c>
      <c r="Y457" s="254" t="s">
        <v>843</v>
      </c>
      <c r="Z457" s="254" t="s">
        <v>1087</v>
      </c>
      <c r="AA457" s="254" t="s">
        <v>838</v>
      </c>
    </row>
    <row r="458" spans="1:27" ht="14.4" x14ac:dyDescent="0.3">
      <c r="A458" s="253">
        <v>11</v>
      </c>
      <c r="B458" s="254" t="s">
        <v>847</v>
      </c>
      <c r="C458" s="254">
        <v>10492</v>
      </c>
      <c r="D458" s="254" t="s">
        <v>101</v>
      </c>
      <c r="E458" s="254" t="str">
        <f>_xlfn.XLOOKUP(C458,Clientes!I:I,Clientes!F:F)</f>
        <v>GRUPO UNIFERTIL</v>
      </c>
      <c r="F458" s="254">
        <v>3</v>
      </c>
      <c r="G458" s="254" t="s">
        <v>877</v>
      </c>
      <c r="H458" s="254" t="s">
        <v>879</v>
      </c>
      <c r="I458" s="255">
        <v>32000</v>
      </c>
      <c r="J458" s="256">
        <v>32000</v>
      </c>
      <c r="K458" s="258">
        <v>82880</v>
      </c>
      <c r="L458" s="258">
        <v>-9945.6</v>
      </c>
      <c r="M458" s="258">
        <f t="shared" si="28"/>
        <v>72934.399999999994</v>
      </c>
      <c r="N458" s="258">
        <v>-24801.96</v>
      </c>
      <c r="O458" s="258">
        <v>-26049.712</v>
      </c>
      <c r="P458" s="258">
        <v>-14.291879321512678</v>
      </c>
      <c r="Q458" s="258">
        <f t="shared" si="29"/>
        <v>22068.436120678482</v>
      </c>
      <c r="R458" s="259">
        <f t="shared" si="30"/>
        <v>0.30257925095261612</v>
      </c>
      <c r="S458" s="255">
        <f t="shared" si="31"/>
        <v>2.59</v>
      </c>
      <c r="T458" s="255">
        <f t="shared" si="31"/>
        <v>2.59</v>
      </c>
      <c r="U458" s="254">
        <v>100100</v>
      </c>
      <c r="V458" s="254" t="s">
        <v>834</v>
      </c>
      <c r="W458" s="254" t="s">
        <v>878</v>
      </c>
      <c r="X458" s="254" t="s">
        <v>446</v>
      </c>
      <c r="Y458" s="254" t="s">
        <v>843</v>
      </c>
      <c r="Z458" s="254" t="s">
        <v>1087</v>
      </c>
      <c r="AA458" s="254" t="s">
        <v>838</v>
      </c>
    </row>
    <row r="459" spans="1:27" ht="14.4" x14ac:dyDescent="0.3">
      <c r="A459" s="253">
        <v>11</v>
      </c>
      <c r="B459" s="254" t="s">
        <v>847</v>
      </c>
      <c r="C459" s="254">
        <v>9295</v>
      </c>
      <c r="D459" s="254" t="s">
        <v>333</v>
      </c>
      <c r="E459" s="254" t="str">
        <f>_xlfn.XLOOKUP(C459,Clientes!I:I,Clientes!F:F)</f>
        <v>TECNOMYL S.A. - PARAGUAY</v>
      </c>
      <c r="F459" s="254">
        <v>14146</v>
      </c>
      <c r="G459" s="254" t="s">
        <v>832</v>
      </c>
      <c r="H459" s="254" t="s">
        <v>1011</v>
      </c>
      <c r="I459" s="255">
        <v>52800</v>
      </c>
      <c r="J459" s="256">
        <v>52800</v>
      </c>
      <c r="K459" s="258">
        <v>271444.8</v>
      </c>
      <c r="L459" s="258">
        <v>0</v>
      </c>
      <c r="M459" s="258">
        <f t="shared" si="28"/>
        <v>271444.8</v>
      </c>
      <c r="N459" s="258">
        <v>-105225.20000000001</v>
      </c>
      <c r="O459" s="258">
        <v>-47610.112000000016</v>
      </c>
      <c r="P459" s="258">
        <v>-7959.7135121099836</v>
      </c>
      <c r="Q459" s="258">
        <f t="shared" si="29"/>
        <v>110649.77448788997</v>
      </c>
      <c r="R459" s="259">
        <f t="shared" si="30"/>
        <v>0.4076326917586558</v>
      </c>
      <c r="S459" s="255">
        <f t="shared" si="31"/>
        <v>5.141</v>
      </c>
      <c r="T459" s="255">
        <f t="shared" si="31"/>
        <v>5.141</v>
      </c>
      <c r="U459" s="254">
        <v>100100</v>
      </c>
      <c r="V459" s="254" t="s">
        <v>834</v>
      </c>
      <c r="W459" s="254" t="s">
        <v>1012</v>
      </c>
      <c r="X459" s="254" t="s">
        <v>446</v>
      </c>
      <c r="Y459" s="254" t="s">
        <v>836</v>
      </c>
      <c r="Z459" s="254" t="s">
        <v>1087</v>
      </c>
      <c r="AA459" s="254" t="s">
        <v>838</v>
      </c>
    </row>
    <row r="460" spans="1:27" ht="14.4" x14ac:dyDescent="0.3">
      <c r="A460" s="253">
        <v>11</v>
      </c>
      <c r="B460" s="254" t="s">
        <v>847</v>
      </c>
      <c r="C460" s="254">
        <v>2352</v>
      </c>
      <c r="D460" s="254" t="s">
        <v>68</v>
      </c>
      <c r="E460" s="254" t="str">
        <f>_xlfn.XLOOKUP(C460,Clientes!I:I,Clientes!F:F)</f>
        <v>BR FERTIL - PARANAGUA</v>
      </c>
      <c r="F460" s="254">
        <v>1043</v>
      </c>
      <c r="G460" s="254" t="s">
        <v>862</v>
      </c>
      <c r="H460" s="254" t="s">
        <v>860</v>
      </c>
      <c r="I460" s="255">
        <v>30000</v>
      </c>
      <c r="J460" s="256">
        <v>30000</v>
      </c>
      <c r="K460" s="258">
        <v>56700</v>
      </c>
      <c r="L460" s="258">
        <v>-6804</v>
      </c>
      <c r="M460" s="258">
        <f t="shared" si="28"/>
        <v>49896</v>
      </c>
      <c r="N460" s="258">
        <v>-11949.90071428571</v>
      </c>
      <c r="O460" s="258">
        <v>-14049.6057</v>
      </c>
      <c r="P460" s="258">
        <v>-7.7081569723011398</v>
      </c>
      <c r="Q460" s="258">
        <f t="shared" si="29"/>
        <v>23888.78542874199</v>
      </c>
      <c r="R460" s="259">
        <f t="shared" si="30"/>
        <v>0.47877155340592414</v>
      </c>
      <c r="S460" s="255">
        <f t="shared" si="31"/>
        <v>1.89</v>
      </c>
      <c r="T460" s="255">
        <f t="shared" si="31"/>
        <v>1.89</v>
      </c>
      <c r="U460" s="254">
        <v>100100</v>
      </c>
      <c r="V460" s="254" t="s">
        <v>834</v>
      </c>
      <c r="W460" s="254" t="s">
        <v>864</v>
      </c>
      <c r="X460" s="254" t="s">
        <v>446</v>
      </c>
      <c r="Y460" s="254" t="s">
        <v>843</v>
      </c>
      <c r="Z460" s="254" t="s">
        <v>1087</v>
      </c>
      <c r="AA460" s="254" t="s">
        <v>838</v>
      </c>
    </row>
    <row r="461" spans="1:27" ht="14.4" x14ac:dyDescent="0.3">
      <c r="A461" s="253">
        <v>11</v>
      </c>
      <c r="B461" s="254" t="s">
        <v>847</v>
      </c>
      <c r="C461" s="254">
        <v>97</v>
      </c>
      <c r="D461" s="254" t="s">
        <v>300</v>
      </c>
      <c r="E461" s="254" t="str">
        <f>_xlfn.XLOOKUP(C461,Clientes!I:I,Clientes!F:F)</f>
        <v>FECOAGRO FEDERACAO DAS COOPERATIVAS</v>
      </c>
      <c r="F461" s="254">
        <v>148</v>
      </c>
      <c r="G461" s="254" t="s">
        <v>893</v>
      </c>
      <c r="H461" s="254" t="s">
        <v>904</v>
      </c>
      <c r="I461" s="255">
        <v>64000</v>
      </c>
      <c r="J461" s="256">
        <v>64000</v>
      </c>
      <c r="K461" s="258">
        <v>224000</v>
      </c>
      <c r="L461" s="258">
        <v>-26880</v>
      </c>
      <c r="M461" s="258">
        <f t="shared" si="28"/>
        <v>197120</v>
      </c>
      <c r="N461" s="258">
        <v>-43623.38548672566</v>
      </c>
      <c r="O461" s="258">
        <v>-35856.662400000001</v>
      </c>
      <c r="P461" s="258">
        <v>-19.672351536670394</v>
      </c>
      <c r="Q461" s="258">
        <f t="shared" si="29"/>
        <v>117620.27976173766</v>
      </c>
      <c r="R461" s="259">
        <f t="shared" si="30"/>
        <v>0.59669378937569839</v>
      </c>
      <c r="S461" s="255">
        <f t="shared" si="31"/>
        <v>3.5</v>
      </c>
      <c r="T461" s="255">
        <f t="shared" si="31"/>
        <v>3.5</v>
      </c>
      <c r="U461" s="254">
        <v>100100</v>
      </c>
      <c r="V461" s="254" t="s">
        <v>834</v>
      </c>
      <c r="W461" s="254" t="s">
        <v>894</v>
      </c>
      <c r="X461" s="254" t="s">
        <v>446</v>
      </c>
      <c r="Y461" s="254" t="s">
        <v>843</v>
      </c>
      <c r="Z461" s="254" t="s">
        <v>1087</v>
      </c>
      <c r="AA461" s="254" t="s">
        <v>838</v>
      </c>
    </row>
    <row r="462" spans="1:27" ht="14.4" x14ac:dyDescent="0.3">
      <c r="A462" s="253">
        <v>11</v>
      </c>
      <c r="B462" s="254" t="s">
        <v>847</v>
      </c>
      <c r="C462" s="254">
        <v>1023</v>
      </c>
      <c r="D462" s="254" t="s">
        <v>49</v>
      </c>
      <c r="E462" s="254" t="str">
        <f>_xlfn.XLOOKUP(C462,Clientes!I:I,Clientes!F:F)</f>
        <v>GRUPO ADUBOS ARAGUAIA</v>
      </c>
      <c r="F462" s="254">
        <v>1</v>
      </c>
      <c r="G462" s="254" t="s">
        <v>840</v>
      </c>
      <c r="H462" s="254" t="s">
        <v>873</v>
      </c>
      <c r="I462" s="255">
        <v>30000</v>
      </c>
      <c r="J462" s="256">
        <v>30000</v>
      </c>
      <c r="K462" s="258">
        <v>72900</v>
      </c>
      <c r="L462" s="258">
        <v>-5103.0000000000009</v>
      </c>
      <c r="M462" s="258">
        <f t="shared" si="28"/>
        <v>67797</v>
      </c>
      <c r="N462" s="258">
        <v>-20722.112000000008</v>
      </c>
      <c r="O462" s="258">
        <v>-11980.9521</v>
      </c>
      <c r="P462" s="258">
        <v>-6.5732136144163098</v>
      </c>
      <c r="Q462" s="258">
        <f t="shared" si="29"/>
        <v>35087.362686385575</v>
      </c>
      <c r="R462" s="259">
        <f t="shared" si="30"/>
        <v>0.51753562379435036</v>
      </c>
      <c r="S462" s="255">
        <f t="shared" si="31"/>
        <v>2.4300000000000002</v>
      </c>
      <c r="T462" s="255">
        <f t="shared" si="31"/>
        <v>2.4300000000000002</v>
      </c>
      <c r="U462" s="254">
        <v>100100</v>
      </c>
      <c r="V462" s="254" t="s">
        <v>834</v>
      </c>
      <c r="W462" s="254" t="s">
        <v>861</v>
      </c>
      <c r="X462" s="254" t="s">
        <v>446</v>
      </c>
      <c r="Y462" s="254" t="s">
        <v>843</v>
      </c>
      <c r="Z462" s="254" t="s">
        <v>1087</v>
      </c>
      <c r="AA462" s="254" t="s">
        <v>838</v>
      </c>
    </row>
    <row r="463" spans="1:27" ht="14.4" x14ac:dyDescent="0.3">
      <c r="A463" s="253">
        <v>11</v>
      </c>
      <c r="B463" s="254" t="s">
        <v>847</v>
      </c>
      <c r="C463" s="254">
        <v>729</v>
      </c>
      <c r="D463" s="254" t="s">
        <v>937</v>
      </c>
      <c r="E463" s="254" t="str">
        <f>_xlfn.XLOOKUP(C463,Clientes!I:I,Clientes!F:F)</f>
        <v>GRUPO FERTILIZ TOCANTINS</v>
      </c>
      <c r="F463" s="254">
        <v>8061</v>
      </c>
      <c r="G463" s="254" t="s">
        <v>897</v>
      </c>
      <c r="H463" s="254" t="s">
        <v>1089</v>
      </c>
      <c r="I463" s="255">
        <v>30000</v>
      </c>
      <c r="J463" s="256">
        <v>30000</v>
      </c>
      <c r="K463" s="258">
        <v>85500</v>
      </c>
      <c r="L463" s="258">
        <v>-5985.0000000000009</v>
      </c>
      <c r="M463" s="258">
        <f t="shared" si="28"/>
        <v>79515</v>
      </c>
      <c r="N463" s="258">
        <v>-16638.560000000001</v>
      </c>
      <c r="O463" s="258">
        <v>-26461.527299999998</v>
      </c>
      <c r="P463" s="258">
        <v>-14.517817119610122</v>
      </c>
      <c r="Q463" s="258">
        <f t="shared" si="29"/>
        <v>36400.394882880391</v>
      </c>
      <c r="R463" s="259">
        <f t="shared" si="30"/>
        <v>0.45778022867233092</v>
      </c>
      <c r="S463" s="255">
        <f t="shared" si="31"/>
        <v>2.85</v>
      </c>
      <c r="T463" s="255">
        <f t="shared" si="31"/>
        <v>2.85</v>
      </c>
      <c r="U463" s="254">
        <v>100100</v>
      </c>
      <c r="V463" s="254" t="s">
        <v>834</v>
      </c>
      <c r="W463" s="254" t="s">
        <v>899</v>
      </c>
      <c r="X463" s="254" t="s">
        <v>446</v>
      </c>
      <c r="Y463" s="254" t="s">
        <v>843</v>
      </c>
      <c r="Z463" s="254" t="s">
        <v>1087</v>
      </c>
      <c r="AA463" s="254" t="s">
        <v>838</v>
      </c>
    </row>
    <row r="464" spans="1:27" ht="14.4" x14ac:dyDescent="0.3">
      <c r="A464" s="253">
        <v>11</v>
      </c>
      <c r="B464" s="254" t="s">
        <v>847</v>
      </c>
      <c r="C464" s="254">
        <v>1613</v>
      </c>
      <c r="D464" s="254" t="s">
        <v>211</v>
      </c>
      <c r="E464" s="254" t="str">
        <f>_xlfn.XLOOKUP(C464,Clientes!I:I,Clientes!F:F)</f>
        <v>GRUPO HERINGER</v>
      </c>
      <c r="F464" s="254">
        <v>7384</v>
      </c>
      <c r="G464" s="254" t="s">
        <v>875</v>
      </c>
      <c r="H464" s="254" t="s">
        <v>856</v>
      </c>
      <c r="I464" s="255">
        <v>24000</v>
      </c>
      <c r="J464" s="256">
        <v>24000</v>
      </c>
      <c r="K464" s="258">
        <v>89760</v>
      </c>
      <c r="L464" s="258">
        <v>-6283.2000000000007</v>
      </c>
      <c r="M464" s="258">
        <f t="shared" si="28"/>
        <v>83476.800000000003</v>
      </c>
      <c r="N464" s="258">
        <v>-16408.110344827586</v>
      </c>
      <c r="O464" s="258">
        <v>-17238.78</v>
      </c>
      <c r="P464" s="258">
        <v>-9.4578613157069196</v>
      </c>
      <c r="Q464" s="258">
        <f t="shared" si="29"/>
        <v>49820.451793856715</v>
      </c>
      <c r="R464" s="259">
        <f t="shared" si="30"/>
        <v>0.59681793976118769</v>
      </c>
      <c r="S464" s="255">
        <f t="shared" si="31"/>
        <v>3.74</v>
      </c>
      <c r="T464" s="255">
        <f t="shared" si="31"/>
        <v>3.74</v>
      </c>
      <c r="U464" s="254">
        <v>100100</v>
      </c>
      <c r="V464" s="254" t="s">
        <v>834</v>
      </c>
      <c r="W464" s="254" t="s">
        <v>876</v>
      </c>
      <c r="X464" s="254" t="s">
        <v>446</v>
      </c>
      <c r="Y464" s="254" t="s">
        <v>843</v>
      </c>
      <c r="Z464" s="254" t="s">
        <v>1087</v>
      </c>
      <c r="AA464" s="254" t="s">
        <v>838</v>
      </c>
    </row>
    <row r="465" spans="1:27" ht="14.4" x14ac:dyDescent="0.3">
      <c r="A465" s="253">
        <v>11</v>
      </c>
      <c r="B465" s="254" t="s">
        <v>847</v>
      </c>
      <c r="C465" s="254">
        <v>7648</v>
      </c>
      <c r="D465" s="254" t="s">
        <v>958</v>
      </c>
      <c r="E465" s="254" t="str">
        <f>_xlfn.XLOOKUP(C465,Clientes!I:I,Clientes!F:F)</f>
        <v>GRUPO LOUIS DREYFUS</v>
      </c>
      <c r="F465" s="254">
        <v>14133</v>
      </c>
      <c r="G465" s="254" t="s">
        <v>862</v>
      </c>
      <c r="H465" s="254" t="s">
        <v>841</v>
      </c>
      <c r="I465" s="255">
        <v>26400</v>
      </c>
      <c r="J465" s="256">
        <v>26400</v>
      </c>
      <c r="K465" s="258">
        <v>74184</v>
      </c>
      <c r="L465" s="258">
        <v>-8902.08</v>
      </c>
      <c r="M465" s="258">
        <f t="shared" si="28"/>
        <v>65281.919999999998</v>
      </c>
      <c r="N465" s="258">
        <v>-30591.209352769671</v>
      </c>
      <c r="O465" s="258">
        <v>-12363.653015999998</v>
      </c>
      <c r="P465" s="258">
        <v>-6.7831781356250023</v>
      </c>
      <c r="Q465" s="258">
        <f t="shared" si="29"/>
        <v>22320.274453094706</v>
      </c>
      <c r="R465" s="259">
        <f t="shared" si="30"/>
        <v>0.34190591289433131</v>
      </c>
      <c r="S465" s="255">
        <f t="shared" si="31"/>
        <v>2.81</v>
      </c>
      <c r="T465" s="255">
        <f t="shared" si="31"/>
        <v>2.81</v>
      </c>
      <c r="U465" s="254">
        <v>100100</v>
      </c>
      <c r="V465" s="254" t="s">
        <v>834</v>
      </c>
      <c r="W465" s="254" t="s">
        <v>864</v>
      </c>
      <c r="X465" s="254" t="s">
        <v>446</v>
      </c>
      <c r="Y465" s="254" t="s">
        <v>843</v>
      </c>
      <c r="Z465" s="254" t="s">
        <v>1087</v>
      </c>
      <c r="AA465" s="254" t="s">
        <v>838</v>
      </c>
    </row>
    <row r="466" spans="1:27" ht="14.4" x14ac:dyDescent="0.3">
      <c r="A466" s="253">
        <v>11</v>
      </c>
      <c r="B466" s="254" t="s">
        <v>847</v>
      </c>
      <c r="C466" s="254">
        <v>7097</v>
      </c>
      <c r="D466" s="254" t="s">
        <v>1077</v>
      </c>
      <c r="E466" s="254" t="str">
        <f>_xlfn.XLOOKUP(C466,Clientes!I:I,Clientes!F:F)</f>
        <v>GRUPO MOSAIC FERTILIZANTES DO BRASIL</v>
      </c>
      <c r="F466" s="254">
        <v>14133</v>
      </c>
      <c r="G466" s="254" t="s">
        <v>893</v>
      </c>
      <c r="H466" s="254" t="s">
        <v>841</v>
      </c>
      <c r="I466" s="255">
        <v>13200</v>
      </c>
      <c r="J466" s="256">
        <v>13200</v>
      </c>
      <c r="K466" s="258">
        <v>35640</v>
      </c>
      <c r="L466" s="258">
        <v>-4276.8</v>
      </c>
      <c r="M466" s="258">
        <f t="shared" si="28"/>
        <v>31363.200000000001</v>
      </c>
      <c r="N466" s="258">
        <v>-15295.604676384835</v>
      </c>
      <c r="O466" s="258">
        <v>-10600.245792416279</v>
      </c>
      <c r="P466" s="258">
        <v>-5.8157047434377009</v>
      </c>
      <c r="Q466" s="258">
        <f t="shared" si="29"/>
        <v>5461.5338264554484</v>
      </c>
      <c r="R466" s="259">
        <f t="shared" si="30"/>
        <v>0.17413828392687764</v>
      </c>
      <c r="S466" s="255">
        <f t="shared" si="31"/>
        <v>2.7</v>
      </c>
      <c r="T466" s="255">
        <f t="shared" si="31"/>
        <v>2.7</v>
      </c>
      <c r="U466" s="254">
        <v>100100</v>
      </c>
      <c r="V466" s="254" t="s">
        <v>834</v>
      </c>
      <c r="W466" s="254" t="s">
        <v>894</v>
      </c>
      <c r="X466" s="254" t="s">
        <v>446</v>
      </c>
      <c r="Y466" s="254" t="s">
        <v>843</v>
      </c>
      <c r="Z466" s="254" t="s">
        <v>1087</v>
      </c>
      <c r="AA466" s="254" t="s">
        <v>838</v>
      </c>
    </row>
    <row r="467" spans="1:27" ht="14.4" x14ac:dyDescent="0.3">
      <c r="A467" s="253">
        <v>11</v>
      </c>
      <c r="B467" s="254" t="s">
        <v>847</v>
      </c>
      <c r="C467" s="254">
        <v>2287</v>
      </c>
      <c r="D467" s="254" t="s">
        <v>114</v>
      </c>
      <c r="E467" s="254" t="str">
        <f>_xlfn.XLOOKUP(C467,Clientes!I:I,Clientes!F:F)</f>
        <v>BUNGE PARAGUAY S.A</v>
      </c>
      <c r="F467" s="254">
        <v>4067</v>
      </c>
      <c r="G467" s="254" t="s">
        <v>832</v>
      </c>
      <c r="H467" s="254" t="s">
        <v>881</v>
      </c>
      <c r="I467" s="255">
        <v>90000</v>
      </c>
      <c r="J467" s="256">
        <v>90000</v>
      </c>
      <c r="K467" s="258">
        <v>477000</v>
      </c>
      <c r="L467" s="258">
        <v>0</v>
      </c>
      <c r="M467" s="258">
        <f t="shared" si="28"/>
        <v>477000</v>
      </c>
      <c r="N467" s="258">
        <v>-137542.68</v>
      </c>
      <c r="O467" s="258">
        <v>-107165.99999999969</v>
      </c>
      <c r="P467" s="258">
        <v>-13581.9648950666</v>
      </c>
      <c r="Q467" s="258">
        <f t="shared" si="29"/>
        <v>218709.3551049337</v>
      </c>
      <c r="R467" s="259">
        <f t="shared" si="30"/>
        <v>0.45851017841705177</v>
      </c>
      <c r="S467" s="255">
        <f t="shared" si="31"/>
        <v>5.3</v>
      </c>
      <c r="T467" s="255">
        <f t="shared" si="31"/>
        <v>5.3</v>
      </c>
      <c r="U467" s="254">
        <v>100100</v>
      </c>
      <c r="V467" s="254" t="s">
        <v>834</v>
      </c>
      <c r="W467" s="254" t="s">
        <v>882</v>
      </c>
      <c r="X467" s="254" t="s">
        <v>446</v>
      </c>
      <c r="Y467" s="254" t="s">
        <v>836</v>
      </c>
      <c r="Z467" s="254" t="s">
        <v>1087</v>
      </c>
      <c r="AA467" s="254" t="s">
        <v>838</v>
      </c>
    </row>
    <row r="468" spans="1:27" ht="14.4" x14ac:dyDescent="0.3">
      <c r="A468" s="253">
        <v>11</v>
      </c>
      <c r="B468" s="254" t="s">
        <v>847</v>
      </c>
      <c r="C468" s="254">
        <v>2975</v>
      </c>
      <c r="D468" s="254" t="s">
        <v>420</v>
      </c>
      <c r="E468" s="254" t="str">
        <f>_xlfn.XLOOKUP(C468,Clientes!I:I,Clientes!F:F)</f>
        <v>COONAGRO COOPERATIVA - PARANAGUA</v>
      </c>
      <c r="F468" s="254">
        <v>4</v>
      </c>
      <c r="G468" s="254" t="s">
        <v>862</v>
      </c>
      <c r="H468" s="254" t="s">
        <v>863</v>
      </c>
      <c r="I468" s="255">
        <v>50000</v>
      </c>
      <c r="J468" s="256">
        <v>50000</v>
      </c>
      <c r="K468" s="258">
        <v>199500</v>
      </c>
      <c r="L468" s="258">
        <v>-23940</v>
      </c>
      <c r="M468" s="258">
        <f t="shared" si="28"/>
        <v>175560</v>
      </c>
      <c r="N468" s="258">
        <v>-48944.777777777774</v>
      </c>
      <c r="O468" s="258">
        <v>-23416.0095</v>
      </c>
      <c r="P468" s="258">
        <v>-12.846928287168566</v>
      </c>
      <c r="Q468" s="258">
        <f t="shared" si="29"/>
        <v>103186.36579393505</v>
      </c>
      <c r="R468" s="259">
        <f t="shared" si="30"/>
        <v>0.5877555581791698</v>
      </c>
      <c r="S468" s="255">
        <f t="shared" si="31"/>
        <v>3.99</v>
      </c>
      <c r="T468" s="255">
        <f t="shared" si="31"/>
        <v>3.99</v>
      </c>
      <c r="U468" s="254">
        <v>100100</v>
      </c>
      <c r="V468" s="254" t="s">
        <v>834</v>
      </c>
      <c r="W468" s="254" t="s">
        <v>864</v>
      </c>
      <c r="X468" s="254" t="s">
        <v>446</v>
      </c>
      <c r="Y468" s="254" t="s">
        <v>843</v>
      </c>
      <c r="Z468" s="254" t="s">
        <v>1087</v>
      </c>
      <c r="AA468" s="254" t="s">
        <v>838</v>
      </c>
    </row>
    <row r="469" spans="1:27" ht="14.4" x14ac:dyDescent="0.3">
      <c r="A469" s="253">
        <v>11</v>
      </c>
      <c r="B469" s="254" t="s">
        <v>847</v>
      </c>
      <c r="C469" s="254">
        <v>13861</v>
      </c>
      <c r="D469" s="254" t="s">
        <v>1090</v>
      </c>
      <c r="E469" s="254" t="str">
        <f>_xlfn.XLOOKUP(C469,Clientes!I:I,Clientes!F:F)</f>
        <v>GRUPO ADUBOS ARAGUAIA</v>
      </c>
      <c r="F469" s="254">
        <v>1</v>
      </c>
      <c r="G469" s="254" t="s">
        <v>840</v>
      </c>
      <c r="H469" s="254" t="s">
        <v>873</v>
      </c>
      <c r="I469" s="255">
        <v>30000</v>
      </c>
      <c r="J469" s="256">
        <v>30000</v>
      </c>
      <c r="K469" s="258">
        <v>85200</v>
      </c>
      <c r="L469" s="258">
        <v>-5964.0000000000009</v>
      </c>
      <c r="M469" s="258">
        <f t="shared" si="28"/>
        <v>79236</v>
      </c>
      <c r="N469" s="258">
        <v>-20722.112000000008</v>
      </c>
      <c r="O469" s="258">
        <v>-22431.382390052997</v>
      </c>
      <c r="P469" s="258">
        <v>-12.306723780030353</v>
      </c>
      <c r="Q469" s="258">
        <f t="shared" si="29"/>
        <v>36070.198886166967</v>
      </c>
      <c r="R469" s="259">
        <f t="shared" si="30"/>
        <v>0.45522488371658043</v>
      </c>
      <c r="S469" s="255">
        <f t="shared" si="31"/>
        <v>2.84</v>
      </c>
      <c r="T469" s="255">
        <f t="shared" si="31"/>
        <v>2.84</v>
      </c>
      <c r="U469" s="254">
        <v>100100</v>
      </c>
      <c r="V469" s="254" t="s">
        <v>834</v>
      </c>
      <c r="W469" s="254" t="s">
        <v>1091</v>
      </c>
      <c r="X469" s="254" t="s">
        <v>446</v>
      </c>
      <c r="Y469" s="254" t="s">
        <v>843</v>
      </c>
      <c r="Z469" s="254" t="s">
        <v>1087</v>
      </c>
      <c r="AA469" s="254" t="s">
        <v>838</v>
      </c>
    </row>
    <row r="470" spans="1:27" ht="14.4" x14ac:dyDescent="0.3">
      <c r="A470" s="253">
        <v>11</v>
      </c>
      <c r="B470" s="254" t="s">
        <v>847</v>
      </c>
      <c r="C470" s="254">
        <v>2997</v>
      </c>
      <c r="D470" s="254" t="s">
        <v>287</v>
      </c>
      <c r="E470" s="254" t="str">
        <f>_xlfn.XLOOKUP(C470,Clientes!I:I,Clientes!F:F)</f>
        <v>AGROPLANTA - BATATAIS</v>
      </c>
      <c r="F470" s="254">
        <v>1043</v>
      </c>
      <c r="G470" s="254" t="s">
        <v>908</v>
      </c>
      <c r="H470" s="254" t="s">
        <v>860</v>
      </c>
      <c r="I470" s="255">
        <v>30000</v>
      </c>
      <c r="J470" s="256">
        <v>30000</v>
      </c>
      <c r="K470" s="258">
        <v>52200</v>
      </c>
      <c r="L470" s="258">
        <v>-6264</v>
      </c>
      <c r="M470" s="258">
        <f t="shared" si="28"/>
        <v>45936</v>
      </c>
      <c r="N470" s="258">
        <v>-11949.90071428571</v>
      </c>
      <c r="O470" s="258">
        <v>-4800.9937247999997</v>
      </c>
      <c r="P470" s="258">
        <v>-2.6340108074201067</v>
      </c>
      <c r="Q470" s="258">
        <f t="shared" si="29"/>
        <v>29182.471550106871</v>
      </c>
      <c r="R470" s="259">
        <f t="shared" si="30"/>
        <v>0.63528543081911515</v>
      </c>
      <c r="S470" s="255">
        <f t="shared" si="31"/>
        <v>1.74</v>
      </c>
      <c r="T470" s="255">
        <f t="shared" si="31"/>
        <v>1.74</v>
      </c>
      <c r="U470" s="254">
        <v>100100</v>
      </c>
      <c r="V470" s="254" t="s">
        <v>834</v>
      </c>
      <c r="W470" s="254" t="s">
        <v>1092</v>
      </c>
      <c r="X470" s="254" t="s">
        <v>446</v>
      </c>
      <c r="Y470" s="254" t="s">
        <v>843</v>
      </c>
      <c r="Z470" s="254" t="s">
        <v>1087</v>
      </c>
      <c r="AA470" s="254" t="s">
        <v>838</v>
      </c>
    </row>
    <row r="471" spans="1:27" ht="14.4" x14ac:dyDescent="0.3">
      <c r="A471" s="253">
        <v>11</v>
      </c>
      <c r="B471" s="254" t="s">
        <v>847</v>
      </c>
      <c r="C471" s="254">
        <v>14632</v>
      </c>
      <c r="D471" s="254" t="s">
        <v>399</v>
      </c>
      <c r="E471" s="254" t="str">
        <f>_xlfn.XLOOKUP(C471,Clientes!I:I,Clientes!F:F)</f>
        <v>BIGFERTIL - CANDEIAS</v>
      </c>
      <c r="F471" s="254">
        <v>1043</v>
      </c>
      <c r="G471" s="254" t="s">
        <v>875</v>
      </c>
      <c r="H471" s="254" t="s">
        <v>860</v>
      </c>
      <c r="I471" s="255">
        <v>30000</v>
      </c>
      <c r="J471" s="256">
        <v>30000</v>
      </c>
      <c r="K471" s="258">
        <v>96900</v>
      </c>
      <c r="L471" s="258">
        <v>-6783.0000000000009</v>
      </c>
      <c r="M471" s="258">
        <f t="shared" si="28"/>
        <v>90117</v>
      </c>
      <c r="N471" s="258">
        <v>-11949.90071428571</v>
      </c>
      <c r="O471" s="258">
        <v>-21548.474999999999</v>
      </c>
      <c r="P471" s="258">
        <v>-11.82232664463365</v>
      </c>
      <c r="Q471" s="258">
        <f t="shared" si="29"/>
        <v>56606.801959069649</v>
      </c>
      <c r="R471" s="259">
        <f t="shared" si="30"/>
        <v>0.62814787397571659</v>
      </c>
      <c r="S471" s="255">
        <f t="shared" si="31"/>
        <v>3.23</v>
      </c>
      <c r="T471" s="255">
        <f t="shared" si="31"/>
        <v>3.23</v>
      </c>
      <c r="U471" s="254">
        <v>100100</v>
      </c>
      <c r="V471" s="254" t="s">
        <v>834</v>
      </c>
      <c r="W471" s="254" t="s">
        <v>876</v>
      </c>
      <c r="X471" s="254" t="s">
        <v>446</v>
      </c>
      <c r="Y471" s="254" t="s">
        <v>843</v>
      </c>
      <c r="Z471" s="254" t="s">
        <v>1087</v>
      </c>
      <c r="AA471" s="254" t="s">
        <v>838</v>
      </c>
    </row>
    <row r="472" spans="1:27" ht="14.4" x14ac:dyDescent="0.3">
      <c r="A472" s="253">
        <v>11</v>
      </c>
      <c r="B472" s="254" t="s">
        <v>847</v>
      </c>
      <c r="C472" s="254">
        <v>2696</v>
      </c>
      <c r="D472" s="254" t="s">
        <v>119</v>
      </c>
      <c r="E472" s="254" t="str">
        <f>_xlfn.XLOOKUP(C472,Clientes!I:I,Clientes!F:F)</f>
        <v>MOSAIC FERTILIZANTES PARAGUAY S.R.L.</v>
      </c>
      <c r="F472" s="254">
        <v>3245</v>
      </c>
      <c r="G472" s="254" t="s">
        <v>832</v>
      </c>
      <c r="H472" s="254" t="s">
        <v>1093</v>
      </c>
      <c r="I472" s="255">
        <v>30000</v>
      </c>
      <c r="J472" s="256">
        <v>30000</v>
      </c>
      <c r="K472" s="258">
        <v>93810</v>
      </c>
      <c r="L472" s="258">
        <v>0</v>
      </c>
      <c r="M472" s="258">
        <f t="shared" si="28"/>
        <v>93810</v>
      </c>
      <c r="N472" s="258">
        <v>-14069.44</v>
      </c>
      <c r="O472" s="258">
        <v>-27051.200000000012</v>
      </c>
      <c r="P472" s="258">
        <v>-4522.5644955170355</v>
      </c>
      <c r="Q472" s="258">
        <f t="shared" si="29"/>
        <v>48166.79550448295</v>
      </c>
      <c r="R472" s="259">
        <f t="shared" si="30"/>
        <v>0.51345054369985021</v>
      </c>
      <c r="S472" s="255">
        <f t="shared" si="31"/>
        <v>3.1269999999999998</v>
      </c>
      <c r="T472" s="255">
        <f t="shared" si="31"/>
        <v>3.1269999999999998</v>
      </c>
      <c r="U472" s="254">
        <v>100100</v>
      </c>
      <c r="V472" s="254" t="s">
        <v>834</v>
      </c>
      <c r="W472" s="254" t="s">
        <v>1012</v>
      </c>
      <c r="X472" s="254" t="s">
        <v>446</v>
      </c>
      <c r="Y472" s="254" t="s">
        <v>836</v>
      </c>
      <c r="Z472" s="254" t="s">
        <v>1087</v>
      </c>
      <c r="AA472" s="254" t="s">
        <v>838</v>
      </c>
    </row>
    <row r="473" spans="1:27" ht="14.4" x14ac:dyDescent="0.3">
      <c r="A473" s="253">
        <v>11</v>
      </c>
      <c r="B473" s="254" t="s">
        <v>847</v>
      </c>
      <c r="C473" s="254">
        <v>15508</v>
      </c>
      <c r="D473" s="254" t="s">
        <v>484</v>
      </c>
      <c r="E473" s="254" t="str">
        <f>_xlfn.XLOOKUP(C473,Clientes!I:I,Clientes!F:F)</f>
        <v>SOMAX - PARAGUAI</v>
      </c>
      <c r="F473" s="254">
        <v>14141</v>
      </c>
      <c r="G473" s="254" t="s">
        <v>832</v>
      </c>
      <c r="H473" s="254" t="s">
        <v>833</v>
      </c>
      <c r="I473" s="255">
        <v>45600</v>
      </c>
      <c r="J473" s="256">
        <v>45600</v>
      </c>
      <c r="K473" s="258">
        <v>241680</v>
      </c>
      <c r="L473" s="258">
        <v>0</v>
      </c>
      <c r="M473" s="258">
        <f t="shared" si="28"/>
        <v>241680</v>
      </c>
      <c r="N473" s="258">
        <v>-44612.762000000002</v>
      </c>
      <c r="O473" s="258">
        <v>0</v>
      </c>
      <c r="P473" s="258">
        <v>-6851.7392049512018</v>
      </c>
      <c r="Q473" s="258">
        <f t="shared" si="29"/>
        <v>190215.4987950488</v>
      </c>
      <c r="R473" s="259">
        <f t="shared" si="30"/>
        <v>0.78705519196892093</v>
      </c>
      <c r="S473" s="255">
        <f t="shared" si="31"/>
        <v>5.3</v>
      </c>
      <c r="T473" s="255">
        <f t="shared" si="31"/>
        <v>5.3</v>
      </c>
      <c r="U473" s="254">
        <v>100100</v>
      </c>
      <c r="V473" s="254" t="s">
        <v>834</v>
      </c>
      <c r="W473" s="254" t="s">
        <v>1094</v>
      </c>
      <c r="X473" s="254" t="s">
        <v>446</v>
      </c>
      <c r="Y473" s="254" t="s">
        <v>836</v>
      </c>
      <c r="Z473" s="254" t="s">
        <v>1087</v>
      </c>
      <c r="AA473" s="254" t="s">
        <v>838</v>
      </c>
    </row>
    <row r="474" spans="1:27" ht="14.4" x14ac:dyDescent="0.3">
      <c r="A474" s="253">
        <v>11</v>
      </c>
      <c r="B474" s="254" t="s">
        <v>847</v>
      </c>
      <c r="C474" s="254">
        <v>2559</v>
      </c>
      <c r="D474" s="254" t="s">
        <v>451</v>
      </c>
      <c r="E474" s="254" t="str">
        <f>_xlfn.XLOOKUP(C474,Clientes!I:I,Clientes!F:F)</f>
        <v>GRUPO MOSAIC FERTILIZANTES DO BRASIL</v>
      </c>
      <c r="F474" s="254">
        <v>1043</v>
      </c>
      <c r="G474" s="254" t="s">
        <v>877</v>
      </c>
      <c r="H474" s="254" t="s">
        <v>860</v>
      </c>
      <c r="I474" s="255">
        <v>30000</v>
      </c>
      <c r="J474" s="256">
        <v>30000</v>
      </c>
      <c r="K474" s="258">
        <v>75300</v>
      </c>
      <c r="L474" s="258">
        <v>-9036</v>
      </c>
      <c r="M474" s="258">
        <f t="shared" si="28"/>
        <v>66264</v>
      </c>
      <c r="N474" s="258">
        <v>-11949.90071428571</v>
      </c>
      <c r="O474" s="258">
        <v>-24421.605</v>
      </c>
      <c r="P474" s="258">
        <v>-13.398636863918137</v>
      </c>
      <c r="Q474" s="258">
        <f t="shared" si="29"/>
        <v>29879.095648850373</v>
      </c>
      <c r="R474" s="259">
        <f t="shared" si="30"/>
        <v>0.45090993071426977</v>
      </c>
      <c r="S474" s="255">
        <f t="shared" si="31"/>
        <v>2.5099999999999998</v>
      </c>
      <c r="T474" s="255">
        <f t="shared" si="31"/>
        <v>2.5099999999999998</v>
      </c>
      <c r="U474" s="254">
        <v>100100</v>
      </c>
      <c r="V474" s="254" t="s">
        <v>834</v>
      </c>
      <c r="W474" s="254" t="s">
        <v>878</v>
      </c>
      <c r="X474" s="254" t="s">
        <v>446</v>
      </c>
      <c r="Y474" s="254" t="s">
        <v>843</v>
      </c>
      <c r="Z474" s="254" t="s">
        <v>1087</v>
      </c>
      <c r="AA474" s="254" t="s">
        <v>838</v>
      </c>
    </row>
    <row r="475" spans="1:27" ht="14.4" x14ac:dyDescent="0.3">
      <c r="A475" s="253">
        <v>11</v>
      </c>
      <c r="B475" s="254" t="s">
        <v>847</v>
      </c>
      <c r="C475" s="254">
        <v>7103</v>
      </c>
      <c r="D475" s="254" t="s">
        <v>482</v>
      </c>
      <c r="E475" s="254" t="str">
        <f>_xlfn.XLOOKUP(C475,Clientes!I:I,Clientes!F:F)</f>
        <v>GRUPO MOSAIC FERTILIZANTES DO BRASIL</v>
      </c>
      <c r="F475" s="254">
        <v>1043</v>
      </c>
      <c r="G475" s="254" t="s">
        <v>867</v>
      </c>
      <c r="H475" s="254" t="s">
        <v>860</v>
      </c>
      <c r="I475" s="255">
        <v>30000</v>
      </c>
      <c r="J475" s="256">
        <v>30000</v>
      </c>
      <c r="K475" s="258">
        <v>57000</v>
      </c>
      <c r="L475" s="258">
        <v>-3990.0000000000005</v>
      </c>
      <c r="M475" s="258">
        <f t="shared" si="28"/>
        <v>53010</v>
      </c>
      <c r="N475" s="258">
        <v>-11949.90071428571</v>
      </c>
      <c r="O475" s="258">
        <v>-5688.7973999999995</v>
      </c>
      <c r="P475" s="258">
        <v>-3.1210942341832828</v>
      </c>
      <c r="Q475" s="258">
        <f t="shared" si="29"/>
        <v>35368.180791480103</v>
      </c>
      <c r="R475" s="259">
        <f t="shared" si="30"/>
        <v>0.66719827940916998</v>
      </c>
      <c r="S475" s="255">
        <f t="shared" si="31"/>
        <v>1.9</v>
      </c>
      <c r="T475" s="255">
        <f t="shared" si="31"/>
        <v>1.9</v>
      </c>
      <c r="U475" s="254">
        <v>100100</v>
      </c>
      <c r="V475" s="254" t="s">
        <v>834</v>
      </c>
      <c r="W475" s="254" t="s">
        <v>890</v>
      </c>
      <c r="X475" s="254" t="s">
        <v>446</v>
      </c>
      <c r="Y475" s="254" t="s">
        <v>843</v>
      </c>
      <c r="Z475" s="254" t="s">
        <v>1087</v>
      </c>
      <c r="AA475" s="254" t="s">
        <v>838</v>
      </c>
    </row>
    <row r="476" spans="1:27" ht="14.4" x14ac:dyDescent="0.3">
      <c r="A476" s="253">
        <v>11</v>
      </c>
      <c r="B476" s="254" t="s">
        <v>847</v>
      </c>
      <c r="C476" s="254">
        <v>5657</v>
      </c>
      <c r="D476" s="254" t="s">
        <v>84</v>
      </c>
      <c r="E476" s="254" t="str">
        <f>_xlfn.XLOOKUP(C476,Clientes!I:I,Clientes!F:F)</f>
        <v>FERTIPLANTA - VARGEM GRANDE DO SUL</v>
      </c>
      <c r="F476" s="254">
        <v>14133</v>
      </c>
      <c r="G476" s="254" t="s">
        <v>908</v>
      </c>
      <c r="H476" s="254" t="s">
        <v>841</v>
      </c>
      <c r="I476" s="255">
        <v>5000</v>
      </c>
      <c r="J476" s="256">
        <v>5000</v>
      </c>
      <c r="K476" s="258">
        <v>17300</v>
      </c>
      <c r="L476" s="258">
        <v>-2076</v>
      </c>
      <c r="M476" s="258">
        <f t="shared" si="28"/>
        <v>15224</v>
      </c>
      <c r="N476" s="258">
        <v>-5793.7896501457717</v>
      </c>
      <c r="O476" s="258">
        <v>-2572.2601631999996</v>
      </c>
      <c r="P476" s="258">
        <v>-1.4112413924571952</v>
      </c>
      <c r="Q476" s="258">
        <f t="shared" si="29"/>
        <v>6856.538945261771</v>
      </c>
      <c r="R476" s="259">
        <f t="shared" si="30"/>
        <v>0.45037696697725771</v>
      </c>
      <c r="S476" s="255">
        <f t="shared" si="31"/>
        <v>3.46</v>
      </c>
      <c r="T476" s="255">
        <f t="shared" si="31"/>
        <v>3.46</v>
      </c>
      <c r="U476" s="254">
        <v>100100</v>
      </c>
      <c r="V476" s="254" t="s">
        <v>834</v>
      </c>
      <c r="W476" s="254" t="s">
        <v>1067</v>
      </c>
      <c r="X476" s="254" t="s">
        <v>446</v>
      </c>
      <c r="Y476" s="254" t="s">
        <v>843</v>
      </c>
      <c r="Z476" s="254" t="s">
        <v>1087</v>
      </c>
      <c r="AA476" s="254" t="s">
        <v>838</v>
      </c>
    </row>
    <row r="477" spans="1:27" ht="14.4" x14ac:dyDescent="0.3">
      <c r="A477" s="253">
        <v>11</v>
      </c>
      <c r="B477" s="254" t="s">
        <v>847</v>
      </c>
      <c r="C477" s="254">
        <v>4577</v>
      </c>
      <c r="D477" s="254" t="s">
        <v>620</v>
      </c>
      <c r="E477" s="254" t="str">
        <f>_xlfn.XLOOKUP(C477,Clientes!I:I,Clientes!F:F)</f>
        <v>MICROSOLO INDUSTRIAL - SETE LAGOAS</v>
      </c>
      <c r="F477" s="254">
        <v>1</v>
      </c>
      <c r="G477" s="254" t="s">
        <v>855</v>
      </c>
      <c r="H477" s="254" t="s">
        <v>873</v>
      </c>
      <c r="I477" s="255">
        <v>30000</v>
      </c>
      <c r="J477" s="256">
        <v>30000</v>
      </c>
      <c r="K477" s="258">
        <v>69600</v>
      </c>
      <c r="L477" s="258">
        <v>-6438</v>
      </c>
      <c r="M477" s="258">
        <f t="shared" si="28"/>
        <v>63162</v>
      </c>
      <c r="N477" s="258">
        <v>-20722.112000000008</v>
      </c>
      <c r="O477" s="258">
        <v>-10004.1649344</v>
      </c>
      <c r="P477" s="258">
        <v>-5.4886717348335212</v>
      </c>
      <c r="Q477" s="258">
        <f t="shared" si="29"/>
        <v>32430.234393865157</v>
      </c>
      <c r="R477" s="259">
        <f t="shared" si="30"/>
        <v>0.51344533728927455</v>
      </c>
      <c r="S477" s="255">
        <f t="shared" si="31"/>
        <v>2.3199999999999998</v>
      </c>
      <c r="T477" s="255">
        <f t="shared" si="31"/>
        <v>2.3199999999999998</v>
      </c>
      <c r="U477" s="254">
        <v>100100</v>
      </c>
      <c r="V477" s="254" t="s">
        <v>834</v>
      </c>
      <c r="W477" s="254" t="s">
        <v>1066</v>
      </c>
      <c r="X477" s="254" t="s">
        <v>446</v>
      </c>
      <c r="Y477" s="254" t="s">
        <v>843</v>
      </c>
      <c r="Z477" s="254" t="s">
        <v>1087</v>
      </c>
      <c r="AA477" s="254" t="s">
        <v>838</v>
      </c>
    </row>
    <row r="478" spans="1:27" ht="14.4" x14ac:dyDescent="0.3">
      <c r="A478" s="253">
        <v>11</v>
      </c>
      <c r="B478" s="254" t="s">
        <v>847</v>
      </c>
      <c r="C478" s="254">
        <v>7479</v>
      </c>
      <c r="D478" s="254" t="s">
        <v>1017</v>
      </c>
      <c r="E478" s="254" t="str">
        <f>_xlfn.XLOOKUP(C478,Clientes!I:I,Clientes!F:F)</f>
        <v>GRUPO MOSAIC FERTILIZANTES DO BRASIL</v>
      </c>
      <c r="F478" s="254">
        <v>1043</v>
      </c>
      <c r="G478" s="254" t="s">
        <v>908</v>
      </c>
      <c r="H478" s="254" t="s">
        <v>860</v>
      </c>
      <c r="I478" s="255">
        <v>30000</v>
      </c>
      <c r="J478" s="256">
        <v>30000</v>
      </c>
      <c r="K478" s="258">
        <v>64800</v>
      </c>
      <c r="L478" s="258">
        <v>-7776</v>
      </c>
      <c r="M478" s="258">
        <f t="shared" si="28"/>
        <v>57024</v>
      </c>
      <c r="N478" s="258">
        <v>-11949.90071428571</v>
      </c>
      <c r="O478" s="258">
        <v>0</v>
      </c>
      <c r="P478" s="258">
        <v>0</v>
      </c>
      <c r="Q478" s="258">
        <f t="shared" si="29"/>
        <v>45074.099285714292</v>
      </c>
      <c r="R478" s="259">
        <f t="shared" si="30"/>
        <v>0.79044085447731294</v>
      </c>
      <c r="S478" s="255">
        <f t="shared" si="31"/>
        <v>2.16</v>
      </c>
      <c r="T478" s="255">
        <f t="shared" si="31"/>
        <v>2.16</v>
      </c>
      <c r="U478" s="254">
        <v>100100</v>
      </c>
      <c r="V478" s="254" t="s">
        <v>834</v>
      </c>
      <c r="W478" s="254" t="s">
        <v>1018</v>
      </c>
      <c r="X478" s="254" t="s">
        <v>446</v>
      </c>
      <c r="Y478" s="254" t="s">
        <v>843</v>
      </c>
      <c r="Z478" s="254" t="s">
        <v>1087</v>
      </c>
      <c r="AA478" s="254" t="s">
        <v>838</v>
      </c>
    </row>
    <row r="479" spans="1:27" ht="14.4" x14ac:dyDescent="0.3">
      <c r="A479" s="253">
        <v>11</v>
      </c>
      <c r="B479" s="254" t="s">
        <v>847</v>
      </c>
      <c r="C479" s="254">
        <v>1462</v>
      </c>
      <c r="D479" s="254" t="s">
        <v>907</v>
      </c>
      <c r="E479" s="254" t="str">
        <f>_xlfn.XLOOKUP(C479,Clientes!I:I,Clientes!F:F)</f>
        <v>AURORA MINERAÇÃO LTDA</v>
      </c>
      <c r="F479" s="254">
        <v>1042</v>
      </c>
      <c r="G479" s="254" t="s">
        <v>908</v>
      </c>
      <c r="H479" s="254" t="s">
        <v>909</v>
      </c>
      <c r="I479" s="255">
        <v>45000</v>
      </c>
      <c r="J479" s="256">
        <v>45000</v>
      </c>
      <c r="K479" s="258">
        <v>75150</v>
      </c>
      <c r="L479" s="258">
        <v>-9018</v>
      </c>
      <c r="M479" s="258">
        <f t="shared" si="28"/>
        <v>66132</v>
      </c>
      <c r="N479" s="258">
        <v>-23251.69</v>
      </c>
      <c r="O479" s="258">
        <v>0</v>
      </c>
      <c r="P479" s="258">
        <v>0</v>
      </c>
      <c r="Q479" s="258">
        <f t="shared" si="29"/>
        <v>42880.31</v>
      </c>
      <c r="R479" s="259">
        <f t="shared" si="30"/>
        <v>0.64840485695276107</v>
      </c>
      <c r="S479" s="255">
        <f t="shared" si="31"/>
        <v>1.67</v>
      </c>
      <c r="T479" s="255">
        <f t="shared" si="31"/>
        <v>1.67</v>
      </c>
      <c r="U479" s="254">
        <v>100100</v>
      </c>
      <c r="V479" s="254" t="s">
        <v>834</v>
      </c>
      <c r="W479" s="254" t="s">
        <v>910</v>
      </c>
      <c r="X479" s="254" t="s">
        <v>446</v>
      </c>
      <c r="Y479" s="254" t="s">
        <v>843</v>
      </c>
      <c r="Z479" s="254" t="s">
        <v>1087</v>
      </c>
      <c r="AA479" s="254" t="s">
        <v>838</v>
      </c>
    </row>
    <row r="480" spans="1:27" ht="14.4" x14ac:dyDescent="0.3">
      <c r="A480" s="253">
        <v>11</v>
      </c>
      <c r="B480" s="254" t="s">
        <v>847</v>
      </c>
      <c r="C480" s="254">
        <v>14632</v>
      </c>
      <c r="D480" s="254" t="s">
        <v>399</v>
      </c>
      <c r="E480" s="254" t="str">
        <f>_xlfn.XLOOKUP(C480,Clientes!I:I,Clientes!F:F)</f>
        <v>BIGFERTIL - CANDEIAS</v>
      </c>
      <c r="F480" s="254">
        <v>113</v>
      </c>
      <c r="G480" s="254" t="s">
        <v>875</v>
      </c>
      <c r="H480" s="254" t="s">
        <v>913</v>
      </c>
      <c r="I480" s="255">
        <v>30000</v>
      </c>
      <c r="J480" s="256">
        <v>30000</v>
      </c>
      <c r="K480" s="258">
        <v>109500</v>
      </c>
      <c r="L480" s="258">
        <v>-7665.0000000000009</v>
      </c>
      <c r="M480" s="258">
        <f t="shared" si="28"/>
        <v>101835</v>
      </c>
      <c r="N480" s="258">
        <v>-27042.963636363627</v>
      </c>
      <c r="O480" s="258">
        <v>-21548.474999999999</v>
      </c>
      <c r="P480" s="258">
        <v>-11.82232664463365</v>
      </c>
      <c r="Q480" s="258">
        <f t="shared" si="29"/>
        <v>53231.739036991741</v>
      </c>
      <c r="R480" s="259">
        <f t="shared" si="30"/>
        <v>0.5227253796532797</v>
      </c>
      <c r="S480" s="255">
        <f t="shared" si="31"/>
        <v>3.65</v>
      </c>
      <c r="T480" s="255">
        <f t="shared" si="31"/>
        <v>3.65</v>
      </c>
      <c r="U480" s="254">
        <v>100200</v>
      </c>
      <c r="V480" s="254" t="s">
        <v>912</v>
      </c>
      <c r="W480" s="254" t="s">
        <v>876</v>
      </c>
      <c r="X480" s="254" t="s">
        <v>446</v>
      </c>
      <c r="Y480" s="254" t="s">
        <v>843</v>
      </c>
      <c r="Z480" s="254" t="s">
        <v>1087</v>
      </c>
      <c r="AA480" s="254" t="s">
        <v>838</v>
      </c>
    </row>
    <row r="481" spans="1:27" ht="14.4" x14ac:dyDescent="0.3">
      <c r="A481" s="253">
        <v>11</v>
      </c>
      <c r="B481" s="254" t="s">
        <v>847</v>
      </c>
      <c r="C481" s="254">
        <v>2975</v>
      </c>
      <c r="D481" s="254" t="s">
        <v>420</v>
      </c>
      <c r="E481" s="254" t="str">
        <f>_xlfn.XLOOKUP(C481,Clientes!I:I,Clientes!F:F)</f>
        <v>COONAGRO COOPERATIVA - PARANAGUA</v>
      </c>
      <c r="F481" s="254">
        <v>10343</v>
      </c>
      <c r="G481" s="254" t="s">
        <v>862</v>
      </c>
      <c r="H481" s="254" t="s">
        <v>911</v>
      </c>
      <c r="I481" s="255">
        <v>15000</v>
      </c>
      <c r="J481" s="256">
        <v>15000</v>
      </c>
      <c r="K481" s="258">
        <v>61350</v>
      </c>
      <c r="L481" s="258">
        <v>-7362</v>
      </c>
      <c r="M481" s="258">
        <f t="shared" si="28"/>
        <v>53988</v>
      </c>
      <c r="N481" s="258">
        <v>-23041.119999999999</v>
      </c>
      <c r="O481" s="258">
        <v>-10935.990696618001</v>
      </c>
      <c r="P481" s="258">
        <v>-5.9999073808282342</v>
      </c>
      <c r="Q481" s="258">
        <f t="shared" si="29"/>
        <v>20004.88939600117</v>
      </c>
      <c r="R481" s="259">
        <f t="shared" si="30"/>
        <v>0.37054325768691504</v>
      </c>
      <c r="S481" s="255">
        <f t="shared" si="31"/>
        <v>4.09</v>
      </c>
      <c r="T481" s="255">
        <f t="shared" si="31"/>
        <v>4.09</v>
      </c>
      <c r="U481" s="254">
        <v>100200</v>
      </c>
      <c r="V481" s="254" t="s">
        <v>912</v>
      </c>
      <c r="W481" s="254" t="s">
        <v>864</v>
      </c>
      <c r="X481" s="254" t="s">
        <v>446</v>
      </c>
      <c r="Y481" s="254" t="s">
        <v>843</v>
      </c>
      <c r="Z481" s="254" t="s">
        <v>1087</v>
      </c>
      <c r="AA481" s="254" t="s">
        <v>838</v>
      </c>
    </row>
    <row r="482" spans="1:27" ht="14.4" x14ac:dyDescent="0.3">
      <c r="A482" s="253">
        <v>11</v>
      </c>
      <c r="B482" s="254" t="s">
        <v>847</v>
      </c>
      <c r="C482" s="254">
        <v>912</v>
      </c>
      <c r="D482" s="254" t="s">
        <v>217</v>
      </c>
      <c r="E482" s="254" t="str">
        <f>_xlfn.XLOOKUP(C482,Clientes!I:I,Clientes!F:F)</f>
        <v>GRUPO FERTILIZE</v>
      </c>
      <c r="F482" s="254">
        <v>113</v>
      </c>
      <c r="G482" s="254" t="s">
        <v>862</v>
      </c>
      <c r="H482" s="254" t="s">
        <v>913</v>
      </c>
      <c r="I482" s="255">
        <v>15000</v>
      </c>
      <c r="J482" s="256">
        <v>15000</v>
      </c>
      <c r="K482" s="258">
        <v>47250</v>
      </c>
      <c r="L482" s="258">
        <v>-5670</v>
      </c>
      <c r="M482" s="258">
        <f t="shared" si="28"/>
        <v>41580</v>
      </c>
      <c r="N482" s="258">
        <v>-13521.481818181814</v>
      </c>
      <c r="O482" s="258">
        <v>-10700.094943784999</v>
      </c>
      <c r="P482" s="258">
        <v>-5.8704858489530798</v>
      </c>
      <c r="Q482" s="258">
        <f t="shared" si="29"/>
        <v>17352.552752184234</v>
      </c>
      <c r="R482" s="259">
        <f t="shared" si="30"/>
        <v>0.41732931101934184</v>
      </c>
      <c r="S482" s="255">
        <f t="shared" si="31"/>
        <v>3.15</v>
      </c>
      <c r="T482" s="255">
        <f t="shared" si="31"/>
        <v>3.15</v>
      </c>
      <c r="U482" s="254">
        <v>100200</v>
      </c>
      <c r="V482" s="254" t="s">
        <v>912</v>
      </c>
      <c r="W482" s="254" t="s">
        <v>1028</v>
      </c>
      <c r="X482" s="254" t="s">
        <v>446</v>
      </c>
      <c r="Y482" s="254" t="s">
        <v>843</v>
      </c>
      <c r="Z482" s="254" t="s">
        <v>1087</v>
      </c>
      <c r="AA482" s="254" t="s">
        <v>838</v>
      </c>
    </row>
    <row r="483" spans="1:27" ht="14.4" x14ac:dyDescent="0.3">
      <c r="A483" s="253">
        <v>11</v>
      </c>
      <c r="B483" s="254" t="s">
        <v>847</v>
      </c>
      <c r="C483" s="254">
        <v>8413</v>
      </c>
      <c r="D483" s="254" t="s">
        <v>97</v>
      </c>
      <c r="E483" s="254" t="str">
        <f>_xlfn.XLOOKUP(C483,Clientes!I:I,Clientes!F:F)</f>
        <v>GRUPO AMAGGI</v>
      </c>
      <c r="F483" s="254">
        <v>113</v>
      </c>
      <c r="G483" s="254" t="s">
        <v>840</v>
      </c>
      <c r="H483" s="254" t="s">
        <v>913</v>
      </c>
      <c r="I483" s="255">
        <v>64000</v>
      </c>
      <c r="J483" s="256">
        <v>64000</v>
      </c>
      <c r="K483" s="258">
        <v>185600</v>
      </c>
      <c r="L483" s="258">
        <v>-12992.000000000002</v>
      </c>
      <c r="M483" s="258">
        <f t="shared" si="28"/>
        <v>172608</v>
      </c>
      <c r="N483" s="258">
        <v>-57691.65575757574</v>
      </c>
      <c r="O483" s="258">
        <v>-46705.601280000003</v>
      </c>
      <c r="P483" s="258">
        <v>-25.624498924688613</v>
      </c>
      <c r="Q483" s="258">
        <f t="shared" si="29"/>
        <v>68185.118463499573</v>
      </c>
      <c r="R483" s="259">
        <f t="shared" si="30"/>
        <v>0.39502872673050826</v>
      </c>
      <c r="S483" s="255">
        <f t="shared" si="31"/>
        <v>2.9</v>
      </c>
      <c r="T483" s="255">
        <f t="shared" si="31"/>
        <v>2.9</v>
      </c>
      <c r="U483" s="254">
        <v>100200</v>
      </c>
      <c r="V483" s="254" t="s">
        <v>912</v>
      </c>
      <c r="W483" s="254" t="s">
        <v>915</v>
      </c>
      <c r="X483" s="254" t="s">
        <v>446</v>
      </c>
      <c r="Y483" s="254" t="s">
        <v>843</v>
      </c>
      <c r="Z483" s="254" t="s">
        <v>1087</v>
      </c>
      <c r="AA483" s="254" t="s">
        <v>838</v>
      </c>
    </row>
    <row r="484" spans="1:27" ht="14.4" x14ac:dyDescent="0.3">
      <c r="A484" s="253">
        <v>11</v>
      </c>
      <c r="B484" s="254" t="s">
        <v>847</v>
      </c>
      <c r="C484" s="254">
        <v>2588</v>
      </c>
      <c r="D484" s="254" t="s">
        <v>70</v>
      </c>
      <c r="E484" s="254" t="str">
        <f>_xlfn.XLOOKUP(C484,Clientes!I:I,Clientes!F:F)</f>
        <v>GRUPO FERTILIZ TOCANTINS</v>
      </c>
      <c r="F484" s="254">
        <v>6564</v>
      </c>
      <c r="G484" s="254" t="s">
        <v>840</v>
      </c>
      <c r="H484" s="254" t="s">
        <v>914</v>
      </c>
      <c r="I484" s="255">
        <v>32000</v>
      </c>
      <c r="J484" s="256">
        <v>32000</v>
      </c>
      <c r="K484" s="258">
        <v>100160</v>
      </c>
      <c r="L484" s="258">
        <v>-7011.2000000000007</v>
      </c>
      <c r="M484" s="258">
        <f t="shared" si="28"/>
        <v>93148.800000000003</v>
      </c>
      <c r="N484" s="258">
        <v>-31227.539622641511</v>
      </c>
      <c r="O484" s="258">
        <v>-23352.800640000001</v>
      </c>
      <c r="P484" s="258">
        <v>-12.812249462344306</v>
      </c>
      <c r="Q484" s="258">
        <f t="shared" si="29"/>
        <v>38555.647487896145</v>
      </c>
      <c r="R484" s="259">
        <f t="shared" si="30"/>
        <v>0.4139145913623809</v>
      </c>
      <c r="S484" s="255">
        <f t="shared" ref="S484:T514" si="32">$K484/I484</f>
        <v>3.13</v>
      </c>
      <c r="T484" s="255">
        <f t="shared" si="32"/>
        <v>3.13</v>
      </c>
      <c r="U484" s="254">
        <v>100200</v>
      </c>
      <c r="V484" s="254" t="s">
        <v>912</v>
      </c>
      <c r="W484" s="254" t="s">
        <v>915</v>
      </c>
      <c r="X484" s="254" t="s">
        <v>446</v>
      </c>
      <c r="Y484" s="254" t="s">
        <v>843</v>
      </c>
      <c r="Z484" s="254" t="s">
        <v>1087</v>
      </c>
      <c r="AA484" s="254" t="s">
        <v>838</v>
      </c>
    </row>
    <row r="485" spans="1:27" ht="14.4" x14ac:dyDescent="0.3">
      <c r="A485" s="253">
        <v>11</v>
      </c>
      <c r="B485" s="254" t="s">
        <v>847</v>
      </c>
      <c r="C485" s="254">
        <v>205</v>
      </c>
      <c r="D485" s="254" t="s">
        <v>859</v>
      </c>
      <c r="E485" s="254" t="str">
        <f>_xlfn.XLOOKUP(C485,Clientes!I:I,Clientes!F:F)</f>
        <v>GRUPO FERTIPAR FERTILIZANTES MATO GROSSO</v>
      </c>
      <c r="F485" s="254">
        <v>6564</v>
      </c>
      <c r="G485" s="254" t="s">
        <v>840</v>
      </c>
      <c r="H485" s="254" t="s">
        <v>914</v>
      </c>
      <c r="I485" s="255">
        <v>90000</v>
      </c>
      <c r="J485" s="256">
        <v>90000</v>
      </c>
      <c r="K485" s="258">
        <v>226800</v>
      </c>
      <c r="L485" s="258">
        <v>-15876.000000000002</v>
      </c>
      <c r="M485" s="258">
        <f t="shared" si="28"/>
        <v>210924</v>
      </c>
      <c r="N485" s="258">
        <v>-87827.455188679247</v>
      </c>
      <c r="O485" s="258">
        <v>-35942.856299999999</v>
      </c>
      <c r="P485" s="258">
        <v>-19.719640843248929</v>
      </c>
      <c r="Q485" s="258">
        <f t="shared" si="29"/>
        <v>87133.968870477504</v>
      </c>
      <c r="R485" s="259">
        <f t="shared" si="30"/>
        <v>0.41310599491038241</v>
      </c>
      <c r="S485" s="255">
        <f t="shared" si="32"/>
        <v>2.52</v>
      </c>
      <c r="T485" s="255">
        <f t="shared" si="32"/>
        <v>2.52</v>
      </c>
      <c r="U485" s="254">
        <v>100200</v>
      </c>
      <c r="V485" s="254" t="s">
        <v>912</v>
      </c>
      <c r="W485" s="254" t="s">
        <v>861</v>
      </c>
      <c r="X485" s="254" t="s">
        <v>446</v>
      </c>
      <c r="Y485" s="254" t="s">
        <v>843</v>
      </c>
      <c r="Z485" s="254" t="s">
        <v>1087</v>
      </c>
      <c r="AA485" s="254" t="s">
        <v>838</v>
      </c>
    </row>
    <row r="486" spans="1:27" ht="14.4" x14ac:dyDescent="0.3">
      <c r="A486" s="253">
        <v>11</v>
      </c>
      <c r="B486" s="254" t="s">
        <v>847</v>
      </c>
      <c r="C486" s="254">
        <v>10492</v>
      </c>
      <c r="D486" s="254" t="s">
        <v>101</v>
      </c>
      <c r="E486" s="254" t="str">
        <f>_xlfn.XLOOKUP(C486,Clientes!I:I,Clientes!F:F)</f>
        <v>GRUPO UNIFERTIL</v>
      </c>
      <c r="F486" s="254">
        <v>113</v>
      </c>
      <c r="G486" s="254" t="s">
        <v>877</v>
      </c>
      <c r="H486" s="254" t="s">
        <v>913</v>
      </c>
      <c r="I486" s="255">
        <v>32000</v>
      </c>
      <c r="J486" s="256">
        <v>32000</v>
      </c>
      <c r="K486" s="258">
        <v>98880</v>
      </c>
      <c r="L486" s="258">
        <v>-11865.6</v>
      </c>
      <c r="M486" s="258">
        <f t="shared" si="28"/>
        <v>87014.399999999994</v>
      </c>
      <c r="N486" s="258">
        <v>-28845.82787878787</v>
      </c>
      <c r="O486" s="258">
        <v>-26049.712</v>
      </c>
      <c r="P486" s="258">
        <v>-14.291879321512678</v>
      </c>
      <c r="Q486" s="258">
        <f t="shared" si="29"/>
        <v>32104.568241890614</v>
      </c>
      <c r="R486" s="259">
        <f t="shared" si="30"/>
        <v>0.36895695703114217</v>
      </c>
      <c r="S486" s="255">
        <f t="shared" si="32"/>
        <v>3.09</v>
      </c>
      <c r="T486" s="255">
        <f t="shared" si="32"/>
        <v>3.09</v>
      </c>
      <c r="U486" s="254">
        <v>100200</v>
      </c>
      <c r="V486" s="254" t="s">
        <v>912</v>
      </c>
      <c r="W486" s="254" t="s">
        <v>878</v>
      </c>
      <c r="X486" s="254" t="s">
        <v>446</v>
      </c>
      <c r="Y486" s="254" t="s">
        <v>843</v>
      </c>
      <c r="Z486" s="254" t="s">
        <v>1087</v>
      </c>
      <c r="AA486" s="254" t="s">
        <v>838</v>
      </c>
    </row>
    <row r="487" spans="1:27" ht="14.4" x14ac:dyDescent="0.3">
      <c r="A487" s="253">
        <v>11</v>
      </c>
      <c r="B487" s="254" t="s">
        <v>847</v>
      </c>
      <c r="C487" s="254">
        <v>8414</v>
      </c>
      <c r="D487" s="254" t="s">
        <v>98</v>
      </c>
      <c r="E487" s="254" t="str">
        <f>_xlfn.XLOOKUP(C487,Clientes!I:I,Clientes!F:F)</f>
        <v>GRUPO AMAGGI</v>
      </c>
      <c r="F487" s="254">
        <v>113</v>
      </c>
      <c r="G487" s="254" t="s">
        <v>1061</v>
      </c>
      <c r="H487" s="254" t="s">
        <v>913</v>
      </c>
      <c r="I487" s="255">
        <v>30000</v>
      </c>
      <c r="J487" s="256">
        <v>30000</v>
      </c>
      <c r="K487" s="258">
        <v>94500</v>
      </c>
      <c r="L487" s="258">
        <v>-6615.0000000000009</v>
      </c>
      <c r="M487" s="258">
        <f t="shared" si="28"/>
        <v>87885</v>
      </c>
      <c r="N487" s="258">
        <v>-27042.963636363627</v>
      </c>
      <c r="O487" s="258">
        <v>-24507.690479999997</v>
      </c>
      <c r="P487" s="258">
        <v>-13.445866687092169</v>
      </c>
      <c r="Q487" s="258">
        <f t="shared" si="29"/>
        <v>36320.900016949287</v>
      </c>
      <c r="R487" s="259">
        <f t="shared" si="30"/>
        <v>0.41327757884678029</v>
      </c>
      <c r="S487" s="255">
        <f t="shared" si="32"/>
        <v>3.15</v>
      </c>
      <c r="T487" s="255">
        <f t="shared" si="32"/>
        <v>3.15</v>
      </c>
      <c r="U487" s="254">
        <v>100200</v>
      </c>
      <c r="V487" s="254" t="s">
        <v>912</v>
      </c>
      <c r="W487" s="254" t="s">
        <v>1062</v>
      </c>
      <c r="X487" s="254" t="s">
        <v>446</v>
      </c>
      <c r="Y487" s="254" t="s">
        <v>843</v>
      </c>
      <c r="Z487" s="254" t="s">
        <v>1087</v>
      </c>
      <c r="AA487" s="254" t="s">
        <v>838</v>
      </c>
    </row>
    <row r="488" spans="1:27" ht="14.4" x14ac:dyDescent="0.3">
      <c r="A488" s="253">
        <v>11</v>
      </c>
      <c r="B488" s="254" t="s">
        <v>847</v>
      </c>
      <c r="C488" s="254">
        <v>10434</v>
      </c>
      <c r="D488" s="254" t="s">
        <v>99</v>
      </c>
      <c r="E488" s="254" t="str">
        <f>_xlfn.XLOOKUP(C488,Clientes!I:I,Clientes!F:F)</f>
        <v>GRUPO CIBRA</v>
      </c>
      <c r="F488" s="254">
        <v>6564</v>
      </c>
      <c r="G488" s="254" t="s">
        <v>840</v>
      </c>
      <c r="H488" s="254" t="s">
        <v>914</v>
      </c>
      <c r="I488" s="255">
        <v>90000</v>
      </c>
      <c r="J488" s="256">
        <v>90000</v>
      </c>
      <c r="K488" s="258">
        <v>277200</v>
      </c>
      <c r="L488" s="258">
        <v>-19404.000000000004</v>
      </c>
      <c r="M488" s="258">
        <f t="shared" si="28"/>
        <v>257796</v>
      </c>
      <c r="N488" s="258">
        <v>-87827.455188679247</v>
      </c>
      <c r="O488" s="258">
        <v>-65679.751799999998</v>
      </c>
      <c r="P488" s="258">
        <v>-36.034451612843363</v>
      </c>
      <c r="Q488" s="258">
        <f t="shared" si="29"/>
        <v>104252.75855970792</v>
      </c>
      <c r="R488" s="259">
        <f t="shared" si="30"/>
        <v>0.40440021784553648</v>
      </c>
      <c r="S488" s="255">
        <f t="shared" si="32"/>
        <v>3.08</v>
      </c>
      <c r="T488" s="255">
        <f t="shared" si="32"/>
        <v>3.08</v>
      </c>
      <c r="U488" s="254">
        <v>100200</v>
      </c>
      <c r="V488" s="254" t="s">
        <v>912</v>
      </c>
      <c r="W488" s="254" t="s">
        <v>915</v>
      </c>
      <c r="X488" s="254" t="s">
        <v>446</v>
      </c>
      <c r="Y488" s="254" t="s">
        <v>843</v>
      </c>
      <c r="Z488" s="254" t="s">
        <v>1087</v>
      </c>
      <c r="AA488" s="254" t="s">
        <v>838</v>
      </c>
    </row>
    <row r="489" spans="1:27" ht="14.4" x14ac:dyDescent="0.3">
      <c r="A489" s="253">
        <v>11</v>
      </c>
      <c r="B489" s="254" t="s">
        <v>847</v>
      </c>
      <c r="C489" s="254">
        <v>5182</v>
      </c>
      <c r="D489" s="254" t="s">
        <v>1081</v>
      </c>
      <c r="E489" s="254" t="str">
        <f>_xlfn.XLOOKUP(C489,Clientes!I:I,Clientes!F:F)</f>
        <v>GRUPO FERTIPAR FERTILIZANTES MATO GROSSO</v>
      </c>
      <c r="F489" s="254">
        <v>113</v>
      </c>
      <c r="G489" s="254" t="s">
        <v>840</v>
      </c>
      <c r="H489" s="254" t="s">
        <v>913</v>
      </c>
      <c r="I489" s="255">
        <v>30000</v>
      </c>
      <c r="J489" s="256">
        <v>30000</v>
      </c>
      <c r="K489" s="258">
        <v>80700</v>
      </c>
      <c r="L489" s="258">
        <v>-5649.0000000000009</v>
      </c>
      <c r="M489" s="258">
        <f t="shared" si="28"/>
        <v>75051</v>
      </c>
      <c r="N489" s="258">
        <v>-27042.963636363627</v>
      </c>
      <c r="O489" s="258">
        <v>-21893.250599999999</v>
      </c>
      <c r="P489" s="258">
        <v>-12.011483870947787</v>
      </c>
      <c r="Q489" s="258">
        <f t="shared" si="29"/>
        <v>26102.774279765428</v>
      </c>
      <c r="R489" s="259">
        <f t="shared" si="30"/>
        <v>0.34780048606634728</v>
      </c>
      <c r="S489" s="255">
        <f t="shared" si="32"/>
        <v>2.69</v>
      </c>
      <c r="T489" s="255">
        <f t="shared" si="32"/>
        <v>2.69</v>
      </c>
      <c r="U489" s="254">
        <v>100200</v>
      </c>
      <c r="V489" s="254" t="s">
        <v>912</v>
      </c>
      <c r="W489" s="254" t="s">
        <v>915</v>
      </c>
      <c r="X489" s="254" t="s">
        <v>446</v>
      </c>
      <c r="Y489" s="254" t="s">
        <v>843</v>
      </c>
      <c r="Z489" s="254" t="s">
        <v>1087</v>
      </c>
      <c r="AA489" s="254" t="s">
        <v>838</v>
      </c>
    </row>
    <row r="490" spans="1:27" ht="14.4" x14ac:dyDescent="0.3">
      <c r="A490" s="253">
        <v>11</v>
      </c>
      <c r="B490" s="254" t="s">
        <v>847</v>
      </c>
      <c r="C490" s="254">
        <v>214</v>
      </c>
      <c r="D490" s="254" t="s">
        <v>149</v>
      </c>
      <c r="E490" s="254" t="str">
        <f>_xlfn.XLOOKUP(C490,Clientes!I:I,Clientes!F:F)</f>
        <v>GRUPO UNIFERTIL</v>
      </c>
      <c r="F490" s="254">
        <v>113</v>
      </c>
      <c r="G490" s="254" t="s">
        <v>877</v>
      </c>
      <c r="H490" s="254" t="s">
        <v>913</v>
      </c>
      <c r="I490" s="255">
        <v>30000</v>
      </c>
      <c r="J490" s="256">
        <v>30000</v>
      </c>
      <c r="K490" s="258">
        <v>92700</v>
      </c>
      <c r="L490" s="258">
        <v>-11124</v>
      </c>
      <c r="M490" s="258">
        <f t="shared" si="28"/>
        <v>81576</v>
      </c>
      <c r="N490" s="258">
        <v>-27042.963636363627</v>
      </c>
      <c r="O490" s="258">
        <v>-24191.754599999997</v>
      </c>
      <c r="P490" s="258">
        <v>-13.272532046375376</v>
      </c>
      <c r="Q490" s="258">
        <f t="shared" si="29"/>
        <v>30328.009231590004</v>
      </c>
      <c r="R490" s="259">
        <f t="shared" si="30"/>
        <v>0.37177612571822599</v>
      </c>
      <c r="S490" s="255">
        <f t="shared" si="32"/>
        <v>3.09</v>
      </c>
      <c r="T490" s="255">
        <f t="shared" si="32"/>
        <v>3.09</v>
      </c>
      <c r="U490" s="254">
        <v>100200</v>
      </c>
      <c r="V490" s="254" t="s">
        <v>912</v>
      </c>
      <c r="W490" s="254" t="s">
        <v>880</v>
      </c>
      <c r="X490" s="254" t="s">
        <v>446</v>
      </c>
      <c r="Y490" s="254" t="s">
        <v>843</v>
      </c>
      <c r="Z490" s="254" t="s">
        <v>1087</v>
      </c>
      <c r="AA490" s="254" t="s">
        <v>838</v>
      </c>
    </row>
    <row r="491" spans="1:27" ht="14.4" x14ac:dyDescent="0.3">
      <c r="A491" s="253">
        <v>11</v>
      </c>
      <c r="B491" s="254" t="s">
        <v>847</v>
      </c>
      <c r="C491" s="254">
        <v>252</v>
      </c>
      <c r="D491" s="254" t="s">
        <v>37</v>
      </c>
      <c r="E491" s="254" t="str">
        <f>_xlfn.XLOOKUP(C491,Clientes!I:I,Clientes!F:F)</f>
        <v>GRUPO FERTIPAR FERTILIZANTES PARANA</v>
      </c>
      <c r="F491" s="254">
        <v>10343</v>
      </c>
      <c r="G491" s="254" t="s">
        <v>862</v>
      </c>
      <c r="H491" s="254" t="s">
        <v>911</v>
      </c>
      <c r="I491" s="255">
        <v>30000</v>
      </c>
      <c r="J491" s="256">
        <v>30000</v>
      </c>
      <c r="K491" s="258">
        <v>112800</v>
      </c>
      <c r="L491" s="258">
        <v>-13536</v>
      </c>
      <c r="M491" s="258">
        <f t="shared" si="28"/>
        <v>99264</v>
      </c>
      <c r="N491" s="258">
        <v>-46082.239999999998</v>
      </c>
      <c r="O491" s="258">
        <v>-14049.6057</v>
      </c>
      <c r="P491" s="258">
        <v>-7.7081569723011398</v>
      </c>
      <c r="Q491" s="258">
        <f t="shared" si="29"/>
        <v>39124.446143027701</v>
      </c>
      <c r="R491" s="259">
        <f t="shared" si="30"/>
        <v>0.39414537136351246</v>
      </c>
      <c r="S491" s="255">
        <f t="shared" si="32"/>
        <v>3.76</v>
      </c>
      <c r="T491" s="255">
        <f t="shared" si="32"/>
        <v>3.76</v>
      </c>
      <c r="U491" s="254">
        <v>100200</v>
      </c>
      <c r="V491" s="254" t="s">
        <v>912</v>
      </c>
      <c r="W491" s="254" t="s">
        <v>864</v>
      </c>
      <c r="X491" s="254" t="s">
        <v>446</v>
      </c>
      <c r="Y491" s="254" t="s">
        <v>843</v>
      </c>
      <c r="Z491" s="254" t="s">
        <v>1087</v>
      </c>
      <c r="AA491" s="254" t="s">
        <v>838</v>
      </c>
    </row>
    <row r="492" spans="1:27" ht="14.4" x14ac:dyDescent="0.3">
      <c r="A492" s="253">
        <v>13</v>
      </c>
      <c r="B492" s="254" t="s">
        <v>847</v>
      </c>
      <c r="C492" s="254">
        <v>2622</v>
      </c>
      <c r="D492" s="254" t="s">
        <v>73</v>
      </c>
      <c r="E492" s="254" t="str">
        <f>_xlfn.XLOOKUP(C492,Clientes!I:I,Clientes!F:F)</f>
        <v>ADUFERTIL JUNDIAI</v>
      </c>
      <c r="F492" s="254">
        <v>8215</v>
      </c>
      <c r="G492" s="254" t="s">
        <v>908</v>
      </c>
      <c r="H492" s="254" t="s">
        <v>947</v>
      </c>
      <c r="I492" s="255">
        <v>12000</v>
      </c>
      <c r="J492" s="256">
        <v>12000</v>
      </c>
      <c r="K492" s="258">
        <v>416036.72531079315</v>
      </c>
      <c r="L492" s="258">
        <v>-49867.199999999997</v>
      </c>
      <c r="M492" s="258">
        <f t="shared" si="28"/>
        <v>366169.52531079313</v>
      </c>
      <c r="N492" s="258">
        <v>-113882.79000000001</v>
      </c>
      <c r="O492" s="258">
        <v>-5481.0480000000016</v>
      </c>
      <c r="P492" s="258">
        <v>-3.0071148798657905</v>
      </c>
      <c r="Q492" s="258">
        <f t="shared" si="29"/>
        <v>246802.68019591324</v>
      </c>
      <c r="R492" s="259">
        <f t="shared" si="30"/>
        <v>0.67401207128429086</v>
      </c>
      <c r="S492" s="255">
        <f t="shared" si="32"/>
        <v>34.66972710923276</v>
      </c>
      <c r="T492" s="255">
        <f t="shared" si="32"/>
        <v>34.66972710923276</v>
      </c>
      <c r="U492" s="254">
        <v>100300</v>
      </c>
      <c r="V492" s="254" t="s">
        <v>917</v>
      </c>
      <c r="W492" s="254" t="s">
        <v>948</v>
      </c>
      <c r="X492" s="254" t="s">
        <v>446</v>
      </c>
      <c r="Y492" s="254" t="s">
        <v>843</v>
      </c>
      <c r="Z492" s="254" t="s">
        <v>1087</v>
      </c>
      <c r="AA492" s="254" t="s">
        <v>838</v>
      </c>
    </row>
    <row r="493" spans="1:27" ht="14.4" x14ac:dyDescent="0.3">
      <c r="A493" s="253">
        <v>13</v>
      </c>
      <c r="B493" s="254" t="s">
        <v>847</v>
      </c>
      <c r="C493" s="254">
        <v>7662</v>
      </c>
      <c r="D493" s="254" t="s">
        <v>95</v>
      </c>
      <c r="E493" s="254" t="str">
        <f>_xlfn.XLOOKUP(C493,Clientes!I:I,Clientes!F:F)</f>
        <v>BENTONIT UNIAO - CAMPINA GRANDE</v>
      </c>
      <c r="F493" s="254">
        <v>7</v>
      </c>
      <c r="G493" s="254" t="s">
        <v>1022</v>
      </c>
      <c r="H493" s="254" t="s">
        <v>1023</v>
      </c>
      <c r="I493" s="255">
        <v>5000</v>
      </c>
      <c r="J493" s="256">
        <v>5000</v>
      </c>
      <c r="K493" s="258">
        <v>195273.75895627635</v>
      </c>
      <c r="L493" s="258">
        <v>-30432.676250000004</v>
      </c>
      <c r="M493" s="258">
        <f t="shared" si="28"/>
        <v>164841.08270627633</v>
      </c>
      <c r="N493" s="258">
        <v>-46383.56</v>
      </c>
      <c r="O493" s="258">
        <v>0</v>
      </c>
      <c r="P493" s="258">
        <v>0</v>
      </c>
      <c r="Q493" s="258">
        <f t="shared" si="29"/>
        <v>118457.52270627633</v>
      </c>
      <c r="R493" s="259">
        <f t="shared" si="30"/>
        <v>0.71861650482696116</v>
      </c>
      <c r="S493" s="255">
        <f t="shared" si="32"/>
        <v>39.054751791255271</v>
      </c>
      <c r="T493" s="255">
        <f t="shared" si="32"/>
        <v>39.054751791255271</v>
      </c>
      <c r="U493" s="254">
        <v>100300</v>
      </c>
      <c r="V493" s="254" t="s">
        <v>917</v>
      </c>
      <c r="W493" s="254" t="s">
        <v>1024</v>
      </c>
      <c r="X493" s="254" t="s">
        <v>446</v>
      </c>
      <c r="Y493" s="254" t="s">
        <v>843</v>
      </c>
      <c r="Z493" s="254" t="s">
        <v>1087</v>
      </c>
      <c r="AA493" s="254" t="s">
        <v>838</v>
      </c>
    </row>
    <row r="494" spans="1:27" ht="14.4" x14ac:dyDescent="0.3">
      <c r="A494" s="253">
        <v>13</v>
      </c>
      <c r="B494" s="254" t="s">
        <v>847</v>
      </c>
      <c r="C494" s="254">
        <v>3426</v>
      </c>
      <c r="D494" s="254" t="s">
        <v>350</v>
      </c>
      <c r="E494" s="254" t="str">
        <f>_xlfn.XLOOKUP(C494,Clientes!I:I,Clientes!F:F)</f>
        <v>C I ACEPALMA SA - COLOMBIA</v>
      </c>
      <c r="F494" s="254">
        <v>8204</v>
      </c>
      <c r="G494" s="254" t="s">
        <v>832</v>
      </c>
      <c r="H494" s="254" t="s">
        <v>1035</v>
      </c>
      <c r="I494" s="255">
        <v>11000</v>
      </c>
      <c r="J494" s="256">
        <v>11000</v>
      </c>
      <c r="K494" s="258">
        <v>519465.24126963917</v>
      </c>
      <c r="L494" s="258">
        <v>0</v>
      </c>
      <c r="M494" s="258">
        <f t="shared" si="28"/>
        <v>519465.24126963917</v>
      </c>
      <c r="N494" s="258">
        <v>-217792.39999999997</v>
      </c>
      <c r="O494" s="258">
        <v>0</v>
      </c>
      <c r="P494" s="258">
        <v>-1652.8318257557726</v>
      </c>
      <c r="Q494" s="258">
        <f t="shared" si="29"/>
        <v>300020.00944388343</v>
      </c>
      <c r="R494" s="259">
        <f t="shared" si="30"/>
        <v>0.57755550440794912</v>
      </c>
      <c r="S494" s="255">
        <f t="shared" si="32"/>
        <v>47.224112842694467</v>
      </c>
      <c r="T494" s="255">
        <f t="shared" si="32"/>
        <v>47.224112842694467</v>
      </c>
      <c r="U494" s="254">
        <v>100300</v>
      </c>
      <c r="V494" s="254" t="s">
        <v>917</v>
      </c>
      <c r="W494" s="254" t="s">
        <v>1065</v>
      </c>
      <c r="X494" s="254" t="s">
        <v>446</v>
      </c>
      <c r="Y494" s="254" t="s">
        <v>836</v>
      </c>
      <c r="Z494" s="254" t="s">
        <v>1087</v>
      </c>
      <c r="AA494" s="254" t="s">
        <v>838</v>
      </c>
    </row>
    <row r="495" spans="1:27" ht="14.4" x14ac:dyDescent="0.3">
      <c r="A495" s="253">
        <v>13</v>
      </c>
      <c r="B495" s="254" t="s">
        <v>847</v>
      </c>
      <c r="C495" s="254">
        <v>5657</v>
      </c>
      <c r="D495" s="254" t="s">
        <v>84</v>
      </c>
      <c r="E495" s="254" t="str">
        <f>_xlfn.XLOOKUP(C495,Clientes!I:I,Clientes!F:F)</f>
        <v>FERTIPLANTA - VARGEM GRANDE DO SUL</v>
      </c>
      <c r="F495" s="254">
        <v>8214</v>
      </c>
      <c r="G495" s="254" t="s">
        <v>908</v>
      </c>
      <c r="H495" s="254" t="s">
        <v>922</v>
      </c>
      <c r="I495" s="255">
        <v>1000</v>
      </c>
      <c r="J495" s="256">
        <v>1000</v>
      </c>
      <c r="K495" s="258">
        <v>36792.159147106671</v>
      </c>
      <c r="L495" s="258">
        <v>-4410</v>
      </c>
      <c r="M495" s="258">
        <f t="shared" si="28"/>
        <v>32382.159147106671</v>
      </c>
      <c r="N495" s="258">
        <v>-10784.699999999999</v>
      </c>
      <c r="O495" s="258">
        <v>-5039.0280000000012</v>
      </c>
      <c r="P495" s="258">
        <v>-2.7646056153604848</v>
      </c>
      <c r="Q495" s="258">
        <f t="shared" si="29"/>
        <v>16555.666541491311</v>
      </c>
      <c r="R495" s="259">
        <f t="shared" si="30"/>
        <v>0.51125888382802764</v>
      </c>
      <c r="S495" s="255">
        <f t="shared" si="32"/>
        <v>36.792159147106673</v>
      </c>
      <c r="T495" s="255">
        <f t="shared" si="32"/>
        <v>36.792159147106673</v>
      </c>
      <c r="U495" s="254">
        <v>100300</v>
      </c>
      <c r="V495" s="254" t="s">
        <v>917</v>
      </c>
      <c r="W495" s="254" t="s">
        <v>1067</v>
      </c>
      <c r="X495" s="254" t="s">
        <v>446</v>
      </c>
      <c r="Y495" s="254" t="s">
        <v>843</v>
      </c>
      <c r="Z495" s="254" t="s">
        <v>1087</v>
      </c>
      <c r="AA495" s="254" t="s">
        <v>838</v>
      </c>
    </row>
    <row r="496" spans="1:27" ht="14.4" x14ac:dyDescent="0.3">
      <c r="A496" s="253">
        <v>13</v>
      </c>
      <c r="B496" s="254" t="s">
        <v>847</v>
      </c>
      <c r="C496" s="254">
        <v>1936</v>
      </c>
      <c r="D496" s="254" t="s">
        <v>889</v>
      </c>
      <c r="E496" s="254" t="str">
        <f>_xlfn.XLOOKUP(C496,Clientes!I:I,Clientes!F:F)</f>
        <v>GRUPO AGRO INDUSTRIAL SAO LUIZ LTDA</v>
      </c>
      <c r="F496" s="254">
        <v>8218</v>
      </c>
      <c r="G496" s="254" t="s">
        <v>862</v>
      </c>
      <c r="H496" s="254" t="s">
        <v>923</v>
      </c>
      <c r="I496" s="255">
        <v>8000</v>
      </c>
      <c r="J496" s="256">
        <v>8000</v>
      </c>
      <c r="K496" s="258">
        <v>240115.14149230107</v>
      </c>
      <c r="L496" s="258">
        <v>-28780.799999999999</v>
      </c>
      <c r="M496" s="258">
        <f t="shared" si="28"/>
        <v>211334.34149230109</v>
      </c>
      <c r="N496" s="258">
        <v>-96250.639999999985</v>
      </c>
      <c r="O496" s="258">
        <v>0</v>
      </c>
      <c r="P496" s="258">
        <v>0</v>
      </c>
      <c r="Q496" s="258">
        <f t="shared" si="29"/>
        <v>115083.7014923011</v>
      </c>
      <c r="R496" s="259">
        <f t="shared" si="30"/>
        <v>0.54455750390427482</v>
      </c>
      <c r="S496" s="255">
        <f t="shared" si="32"/>
        <v>30.014392686537633</v>
      </c>
      <c r="T496" s="255">
        <f t="shared" si="32"/>
        <v>30.014392686537633</v>
      </c>
      <c r="U496" s="254">
        <v>100300</v>
      </c>
      <c r="V496" s="254" t="s">
        <v>917</v>
      </c>
      <c r="W496" s="254" t="s">
        <v>864</v>
      </c>
      <c r="X496" s="254" t="s">
        <v>446</v>
      </c>
      <c r="Y496" s="254" t="s">
        <v>843</v>
      </c>
      <c r="Z496" s="254" t="s">
        <v>1087</v>
      </c>
      <c r="AA496" s="254" t="s">
        <v>838</v>
      </c>
    </row>
    <row r="497" spans="1:27" ht="14.4" x14ac:dyDescent="0.3">
      <c r="A497" s="253">
        <v>13</v>
      </c>
      <c r="B497" s="254" t="s">
        <v>847</v>
      </c>
      <c r="C497" s="254">
        <v>2975</v>
      </c>
      <c r="D497" s="254" t="s">
        <v>420</v>
      </c>
      <c r="E497" s="254" t="str">
        <f>_xlfn.XLOOKUP(C497,Clientes!I:I,Clientes!F:F)</f>
        <v>COONAGRO COOPERATIVA - PARANAGUA</v>
      </c>
      <c r="F497" s="254">
        <v>8218</v>
      </c>
      <c r="G497" s="254" t="s">
        <v>862</v>
      </c>
      <c r="H497" s="254" t="s">
        <v>923</v>
      </c>
      <c r="I497" s="255">
        <v>4000</v>
      </c>
      <c r="J497" s="256">
        <v>4000</v>
      </c>
      <c r="K497" s="258">
        <v>120057.57074615054</v>
      </c>
      <c r="L497" s="258">
        <v>-14390.4</v>
      </c>
      <c r="M497" s="258">
        <f t="shared" si="28"/>
        <v>105667.17074615054</v>
      </c>
      <c r="N497" s="258">
        <v>-48125.319999999992</v>
      </c>
      <c r="O497" s="258">
        <v>-9901.2479999999723</v>
      </c>
      <c r="P497" s="258">
        <v>-5.4322075249188311</v>
      </c>
      <c r="Q497" s="258">
        <f t="shared" si="29"/>
        <v>47635.170538625658</v>
      </c>
      <c r="R497" s="259">
        <f t="shared" si="30"/>
        <v>0.45080387978837794</v>
      </c>
      <c r="S497" s="255">
        <f t="shared" si="32"/>
        <v>30.014392686537633</v>
      </c>
      <c r="T497" s="255">
        <f t="shared" si="32"/>
        <v>30.014392686537633</v>
      </c>
      <c r="U497" s="254">
        <v>100300</v>
      </c>
      <c r="V497" s="254" t="s">
        <v>917</v>
      </c>
      <c r="W497" s="254" t="s">
        <v>864</v>
      </c>
      <c r="X497" s="254" t="s">
        <v>446</v>
      </c>
      <c r="Y497" s="254" t="s">
        <v>843</v>
      </c>
      <c r="Z497" s="254" t="s">
        <v>1087</v>
      </c>
      <c r="AA497" s="254" t="s">
        <v>838</v>
      </c>
    </row>
    <row r="498" spans="1:27" ht="14.4" x14ac:dyDescent="0.3">
      <c r="A498" s="253">
        <v>13</v>
      </c>
      <c r="B498" s="254" t="s">
        <v>847</v>
      </c>
      <c r="C498" s="254">
        <v>215</v>
      </c>
      <c r="D498" s="254" t="s">
        <v>221</v>
      </c>
      <c r="E498" s="254" t="str">
        <f>_xlfn.XLOOKUP(C498,Clientes!I:I,Clientes!F:F)</f>
        <v>GRUPO UNIFERTIL</v>
      </c>
      <c r="F498" s="254">
        <v>8216</v>
      </c>
      <c r="G498" s="254" t="s">
        <v>877</v>
      </c>
      <c r="H498" s="254" t="s">
        <v>938</v>
      </c>
      <c r="I498" s="255">
        <v>12000</v>
      </c>
      <c r="J498" s="256">
        <v>12000</v>
      </c>
      <c r="K498" s="258">
        <v>373267.71745325852</v>
      </c>
      <c r="L498" s="258">
        <v>-44740.799999999996</v>
      </c>
      <c r="M498" s="258">
        <f t="shared" si="28"/>
        <v>328526.91745325853</v>
      </c>
      <c r="N498" s="258">
        <v>-123909.73000000001</v>
      </c>
      <c r="O498" s="258">
        <v>-14321.447999999978</v>
      </c>
      <c r="P498" s="258">
        <v>-7.8573001699718912</v>
      </c>
      <c r="Q498" s="258">
        <f t="shared" si="29"/>
        <v>190287.88215308858</v>
      </c>
      <c r="R498" s="259">
        <f t="shared" si="30"/>
        <v>0.57921549816435347</v>
      </c>
      <c r="S498" s="255">
        <f t="shared" si="32"/>
        <v>31.105643121104876</v>
      </c>
      <c r="T498" s="255">
        <f t="shared" si="32"/>
        <v>31.105643121104876</v>
      </c>
      <c r="U498" s="254">
        <v>100300</v>
      </c>
      <c r="V498" s="254" t="s">
        <v>917</v>
      </c>
      <c r="W498" s="254" t="s">
        <v>880</v>
      </c>
      <c r="X498" s="254" t="s">
        <v>446</v>
      </c>
      <c r="Y498" s="254" t="s">
        <v>843</v>
      </c>
      <c r="Z498" s="254" t="s">
        <v>1087</v>
      </c>
      <c r="AA498" s="254" t="s">
        <v>838</v>
      </c>
    </row>
    <row r="499" spans="1:27" ht="14.4" x14ac:dyDescent="0.3">
      <c r="A499" s="253">
        <v>13</v>
      </c>
      <c r="B499" s="254" t="s">
        <v>847</v>
      </c>
      <c r="C499" s="254">
        <v>10492</v>
      </c>
      <c r="D499" s="254" t="s">
        <v>101</v>
      </c>
      <c r="E499" s="254" t="str">
        <f>_xlfn.XLOOKUP(C499,Clientes!I:I,Clientes!F:F)</f>
        <v>GRUPO UNIFERTIL</v>
      </c>
      <c r="F499" s="254">
        <v>8216</v>
      </c>
      <c r="G499" s="254" t="s">
        <v>877</v>
      </c>
      <c r="H499" s="254" t="s">
        <v>938</v>
      </c>
      <c r="I499" s="255">
        <v>24000</v>
      </c>
      <c r="J499" s="256">
        <v>24000</v>
      </c>
      <c r="K499" s="258">
        <v>746535.43490651704</v>
      </c>
      <c r="L499" s="258">
        <v>-89481.599999999991</v>
      </c>
      <c r="M499" s="258">
        <f t="shared" si="28"/>
        <v>657053.83490651706</v>
      </c>
      <c r="N499" s="258">
        <v>-247819.46000000002</v>
      </c>
      <c r="O499" s="258">
        <v>-25187.772999999997</v>
      </c>
      <c r="P499" s="258">
        <v>-13.818986255727333</v>
      </c>
      <c r="Q499" s="258">
        <f t="shared" si="29"/>
        <v>384032.78292026132</v>
      </c>
      <c r="R499" s="259">
        <f t="shared" si="30"/>
        <v>0.58447689141773285</v>
      </c>
      <c r="S499" s="255">
        <f t="shared" si="32"/>
        <v>31.105643121104876</v>
      </c>
      <c r="T499" s="255">
        <f t="shared" si="32"/>
        <v>31.105643121104876</v>
      </c>
      <c r="U499" s="254">
        <v>100300</v>
      </c>
      <c r="V499" s="254" t="s">
        <v>917</v>
      </c>
      <c r="W499" s="254" t="s">
        <v>878</v>
      </c>
      <c r="X499" s="254" t="s">
        <v>446</v>
      </c>
      <c r="Y499" s="254" t="s">
        <v>843</v>
      </c>
      <c r="Z499" s="254" t="s">
        <v>1087</v>
      </c>
      <c r="AA499" s="254" t="s">
        <v>838</v>
      </c>
    </row>
    <row r="500" spans="1:27" ht="14.4" x14ac:dyDescent="0.3">
      <c r="A500" s="253">
        <v>13</v>
      </c>
      <c r="B500" s="254" t="s">
        <v>847</v>
      </c>
      <c r="C500" s="254">
        <v>11637</v>
      </c>
      <c r="D500" s="254" t="s">
        <v>625</v>
      </c>
      <c r="E500" s="254" t="str">
        <f>_xlfn.XLOOKUP(C500,Clientes!I:I,Clientes!F:F)</f>
        <v>AGROPECUARIA MARATA LTDA - MARUIM</v>
      </c>
      <c r="F500" s="254">
        <v>8224</v>
      </c>
      <c r="G500" s="254" t="s">
        <v>887</v>
      </c>
      <c r="H500" s="254" t="s">
        <v>921</v>
      </c>
      <c r="I500" s="255">
        <v>8000</v>
      </c>
      <c r="J500" s="256">
        <v>8000</v>
      </c>
      <c r="K500" s="258">
        <v>185012.00028259354</v>
      </c>
      <c r="L500" s="258">
        <v>-12936.000000000002</v>
      </c>
      <c r="M500" s="258">
        <f t="shared" si="28"/>
        <v>172076.00028259354</v>
      </c>
      <c r="N500" s="258">
        <v>-57350.68</v>
      </c>
      <c r="O500" s="258">
        <v>0</v>
      </c>
      <c r="P500" s="258">
        <v>0</v>
      </c>
      <c r="Q500" s="258">
        <f t="shared" si="29"/>
        <v>114725.32028259354</v>
      </c>
      <c r="R500" s="259">
        <f t="shared" si="30"/>
        <v>0.66671308081420266</v>
      </c>
      <c r="S500" s="255">
        <f t="shared" si="32"/>
        <v>23.126500035324192</v>
      </c>
      <c r="T500" s="255">
        <f t="shared" si="32"/>
        <v>23.126500035324192</v>
      </c>
      <c r="U500" s="254">
        <v>100300</v>
      </c>
      <c r="V500" s="254" t="s">
        <v>917</v>
      </c>
      <c r="W500" s="254" t="s">
        <v>1009</v>
      </c>
      <c r="X500" s="254" t="s">
        <v>446</v>
      </c>
      <c r="Y500" s="254" t="s">
        <v>843</v>
      </c>
      <c r="Z500" s="254" t="s">
        <v>1087</v>
      </c>
      <c r="AA500" s="254" t="s">
        <v>838</v>
      </c>
    </row>
    <row r="501" spans="1:27" ht="14.4" x14ac:dyDescent="0.3">
      <c r="A501" s="253">
        <v>13</v>
      </c>
      <c r="B501" s="254" t="s">
        <v>847</v>
      </c>
      <c r="C501" s="254">
        <v>97</v>
      </c>
      <c r="D501" s="254" t="s">
        <v>300</v>
      </c>
      <c r="E501" s="254" t="str">
        <f>_xlfn.XLOOKUP(C501,Clientes!I:I,Clientes!F:F)</f>
        <v>FECOAGRO FEDERACAO DAS COOPERATIVAS</v>
      </c>
      <c r="F501" s="254">
        <v>8223</v>
      </c>
      <c r="G501" s="254" t="s">
        <v>893</v>
      </c>
      <c r="H501" s="254" t="s">
        <v>920</v>
      </c>
      <c r="I501" s="255">
        <v>12000</v>
      </c>
      <c r="J501" s="256">
        <v>12000</v>
      </c>
      <c r="K501" s="258">
        <v>456523.11758042563</v>
      </c>
      <c r="L501" s="258">
        <v>-54720</v>
      </c>
      <c r="M501" s="258">
        <f t="shared" si="28"/>
        <v>401803.11758042563</v>
      </c>
      <c r="N501" s="258">
        <v>-143904.28</v>
      </c>
      <c r="O501" s="258">
        <v>-9901.2479999999723</v>
      </c>
      <c r="P501" s="258">
        <v>-5.4322075249188311</v>
      </c>
      <c r="Q501" s="258">
        <f t="shared" si="29"/>
        <v>247992.15737290075</v>
      </c>
      <c r="R501" s="259">
        <f t="shared" si="30"/>
        <v>0.61719819115953523</v>
      </c>
      <c r="S501" s="255">
        <f t="shared" si="32"/>
        <v>38.043593131702139</v>
      </c>
      <c r="T501" s="255">
        <f t="shared" si="32"/>
        <v>38.043593131702139</v>
      </c>
      <c r="U501" s="254">
        <v>100300</v>
      </c>
      <c r="V501" s="254" t="s">
        <v>917</v>
      </c>
      <c r="W501" s="254" t="s">
        <v>894</v>
      </c>
      <c r="X501" s="254" t="s">
        <v>446</v>
      </c>
      <c r="Y501" s="254" t="s">
        <v>843</v>
      </c>
      <c r="Z501" s="254" t="s">
        <v>1087</v>
      </c>
      <c r="AA501" s="254" t="s">
        <v>838</v>
      </c>
    </row>
    <row r="502" spans="1:27" ht="14.4" x14ac:dyDescent="0.3">
      <c r="A502" s="253">
        <v>13</v>
      </c>
      <c r="B502" s="254" t="s">
        <v>847</v>
      </c>
      <c r="C502" s="254">
        <v>16073</v>
      </c>
      <c r="D502" s="254" t="s">
        <v>1095</v>
      </c>
      <c r="E502" s="254" t="str">
        <f>_xlfn.XLOOKUP(C502,Clientes!I:I,Clientes!F:F)</f>
        <v>IMEX SUL INSUMOS - SANTA MARIA</v>
      </c>
      <c r="F502" s="254">
        <v>8218</v>
      </c>
      <c r="G502" s="254" t="s">
        <v>877</v>
      </c>
      <c r="H502" s="254" t="s">
        <v>923</v>
      </c>
      <c r="I502" s="255">
        <v>6000</v>
      </c>
      <c r="J502" s="256">
        <v>6000</v>
      </c>
      <c r="K502" s="258">
        <v>150172.07815145579</v>
      </c>
      <c r="L502" s="258">
        <v>-18000</v>
      </c>
      <c r="M502" s="258">
        <f t="shared" si="28"/>
        <v>132172.07815145579</v>
      </c>
      <c r="N502" s="258">
        <v>-72187.979999999981</v>
      </c>
      <c r="O502" s="258">
        <v>-14498.255999999972</v>
      </c>
      <c r="P502" s="258">
        <v>-7.9543038757740101</v>
      </c>
      <c r="Q502" s="258">
        <f t="shared" si="29"/>
        <v>45477.887847580059</v>
      </c>
      <c r="R502" s="259">
        <f t="shared" si="30"/>
        <v>0.34408090183364609</v>
      </c>
      <c r="S502" s="255">
        <f t="shared" si="32"/>
        <v>25.0286796919093</v>
      </c>
      <c r="T502" s="255">
        <f t="shared" si="32"/>
        <v>25.0286796919093</v>
      </c>
      <c r="U502" s="254">
        <v>100300</v>
      </c>
      <c r="V502" s="254" t="s">
        <v>917</v>
      </c>
      <c r="W502" s="254" t="s">
        <v>878</v>
      </c>
      <c r="X502" s="254" t="s">
        <v>446</v>
      </c>
      <c r="Y502" s="254" t="s">
        <v>843</v>
      </c>
      <c r="Z502" s="254" t="s">
        <v>1087</v>
      </c>
      <c r="AA502" s="254" t="s">
        <v>838</v>
      </c>
    </row>
    <row r="503" spans="1:27" ht="14.4" x14ac:dyDescent="0.3">
      <c r="A503" s="253">
        <v>11</v>
      </c>
      <c r="B503" s="254" t="s">
        <v>847</v>
      </c>
      <c r="C503" s="254">
        <v>5300</v>
      </c>
      <c r="D503" s="254" t="s">
        <v>25</v>
      </c>
      <c r="E503" s="254" t="str">
        <f>_xlfn.XLOOKUP(C503,Clientes!I:I,Clientes!F:F)</f>
        <v>FOSNOR - LUIS EDUARDO MAGALHAES</v>
      </c>
      <c r="F503" s="254">
        <v>4246</v>
      </c>
      <c r="G503" s="254" t="s">
        <v>875</v>
      </c>
      <c r="H503" s="254" t="s">
        <v>959</v>
      </c>
      <c r="I503" s="255">
        <v>180000</v>
      </c>
      <c r="J503" s="256">
        <v>180000</v>
      </c>
      <c r="K503" s="258">
        <v>1053000</v>
      </c>
      <c r="L503" s="258">
        <v>-73710</v>
      </c>
      <c r="M503" s="258">
        <f t="shared" si="28"/>
        <v>979290</v>
      </c>
      <c r="N503" s="258">
        <v>-466281.9</v>
      </c>
      <c r="O503" s="258">
        <v>-92902.998988799998</v>
      </c>
      <c r="P503" s="258">
        <v>-50.970177718454011</v>
      </c>
      <c r="Q503" s="258">
        <f t="shared" si="29"/>
        <v>420054.13083348155</v>
      </c>
      <c r="R503" s="259">
        <f t="shared" si="30"/>
        <v>0.42893742490322739</v>
      </c>
      <c r="S503" s="255">
        <f t="shared" si="32"/>
        <v>5.85</v>
      </c>
      <c r="T503" s="255">
        <f t="shared" si="32"/>
        <v>5.85</v>
      </c>
      <c r="U503" s="254">
        <v>100700</v>
      </c>
      <c r="V503" s="254" t="s">
        <v>960</v>
      </c>
      <c r="W503" s="254" t="s">
        <v>961</v>
      </c>
      <c r="X503" s="254" t="s">
        <v>446</v>
      </c>
      <c r="Y503" s="254" t="s">
        <v>843</v>
      </c>
      <c r="Z503" s="254" t="s">
        <v>1087</v>
      </c>
      <c r="AA503" s="254" t="s">
        <v>838</v>
      </c>
    </row>
    <row r="504" spans="1:27" ht="14.4" x14ac:dyDescent="0.3">
      <c r="A504" s="253">
        <v>11</v>
      </c>
      <c r="B504" s="254" t="s">
        <v>847</v>
      </c>
      <c r="C504" s="254">
        <v>505</v>
      </c>
      <c r="D504" s="254" t="s">
        <v>41</v>
      </c>
      <c r="E504" s="254" t="str">
        <f>_xlfn.XLOOKUP(C504,Clientes!I:I,Clientes!F:F)</f>
        <v>FERTINE - RECIFE</v>
      </c>
      <c r="F504" s="254">
        <v>14142</v>
      </c>
      <c r="G504" s="254" t="s">
        <v>1043</v>
      </c>
      <c r="H504" s="254" t="s">
        <v>962</v>
      </c>
      <c r="I504" s="255">
        <v>12000</v>
      </c>
      <c r="J504" s="256">
        <v>12000</v>
      </c>
      <c r="K504" s="258">
        <v>84600</v>
      </c>
      <c r="L504" s="258">
        <v>-5922.0000000000009</v>
      </c>
      <c r="M504" s="258">
        <f t="shared" si="28"/>
        <v>78678</v>
      </c>
      <c r="N504" s="258">
        <v>-35782.33994910941</v>
      </c>
      <c r="O504" s="258">
        <v>-18671.089731839998</v>
      </c>
      <c r="P504" s="258">
        <v>-10.243681820689295</v>
      </c>
      <c r="Q504" s="258">
        <f t="shared" si="29"/>
        <v>24214.326637229904</v>
      </c>
      <c r="R504" s="259">
        <f t="shared" si="30"/>
        <v>0.30776489790322459</v>
      </c>
      <c r="S504" s="255">
        <f t="shared" si="32"/>
        <v>7.05</v>
      </c>
      <c r="T504" s="255">
        <f t="shared" si="32"/>
        <v>7.05</v>
      </c>
      <c r="U504" s="254">
        <v>100700</v>
      </c>
      <c r="V504" s="254" t="s">
        <v>960</v>
      </c>
      <c r="W504" s="254" t="s">
        <v>1044</v>
      </c>
      <c r="X504" s="254" t="s">
        <v>446</v>
      </c>
      <c r="Y504" s="254" t="s">
        <v>843</v>
      </c>
      <c r="Z504" s="254" t="s">
        <v>1087</v>
      </c>
      <c r="AA504" s="254" t="s">
        <v>838</v>
      </c>
    </row>
    <row r="505" spans="1:27" ht="14.4" x14ac:dyDescent="0.3">
      <c r="A505" s="253">
        <v>11</v>
      </c>
      <c r="B505" s="254" t="s">
        <v>847</v>
      </c>
      <c r="C505" s="254">
        <v>1788</v>
      </c>
      <c r="D505" s="254" t="s">
        <v>59</v>
      </c>
      <c r="E505" s="254" t="str">
        <f>_xlfn.XLOOKUP(C505,Clientes!I:I,Clientes!F:F)</f>
        <v>GRUPO MOSAIC FERTILIZANTES P K LTDA</v>
      </c>
      <c r="F505" s="254">
        <v>3359</v>
      </c>
      <c r="G505" s="254" t="s">
        <v>855</v>
      </c>
      <c r="H505" s="254" t="s">
        <v>967</v>
      </c>
      <c r="I505" s="255">
        <v>60000</v>
      </c>
      <c r="J505" s="256">
        <v>60000</v>
      </c>
      <c r="K505" s="258">
        <v>232800</v>
      </c>
      <c r="L505" s="258">
        <v>0</v>
      </c>
      <c r="M505" s="258">
        <f t="shared" si="28"/>
        <v>232800</v>
      </c>
      <c r="N505" s="258">
        <v>-138038.31325301205</v>
      </c>
      <c r="O505" s="258">
        <v>-4884.3209999999999</v>
      </c>
      <c r="P505" s="258">
        <v>-2.6797273727836273</v>
      </c>
      <c r="Q505" s="258">
        <f t="shared" si="29"/>
        <v>89874.686019615168</v>
      </c>
      <c r="R505" s="259">
        <f t="shared" si="30"/>
        <v>0.38605964785058061</v>
      </c>
      <c r="S505" s="255">
        <f t="shared" si="32"/>
        <v>3.88</v>
      </c>
      <c r="T505" s="255">
        <f t="shared" si="32"/>
        <v>3.88</v>
      </c>
      <c r="U505" s="254">
        <v>100700</v>
      </c>
      <c r="V505" s="254" t="s">
        <v>960</v>
      </c>
      <c r="W505" s="254" t="s">
        <v>892</v>
      </c>
      <c r="X505" s="254" t="s">
        <v>446</v>
      </c>
      <c r="Y505" s="254" t="s">
        <v>843</v>
      </c>
      <c r="Z505" s="254" t="s">
        <v>1087</v>
      </c>
      <c r="AA505" s="254" t="s">
        <v>838</v>
      </c>
    </row>
    <row r="506" spans="1:27" ht="14.4" x14ac:dyDescent="0.3">
      <c r="A506" s="253">
        <v>11</v>
      </c>
      <c r="B506" s="254" t="s">
        <v>847</v>
      </c>
      <c r="C506" s="254">
        <v>16465</v>
      </c>
      <c r="D506" s="254" t="s">
        <v>685</v>
      </c>
      <c r="E506" s="254" t="str">
        <f>_xlfn.XLOOKUP(C506,Clientes!I:I,Clientes!F:F)</f>
        <v>GRUPO NOBLEZA SRL</v>
      </c>
      <c r="F506" s="254">
        <v>14142</v>
      </c>
      <c r="G506" s="254" t="s">
        <v>832</v>
      </c>
      <c r="H506" s="254" t="s">
        <v>962</v>
      </c>
      <c r="I506" s="255">
        <v>9500</v>
      </c>
      <c r="J506" s="256">
        <v>9500</v>
      </c>
      <c r="K506" s="258">
        <v>60420</v>
      </c>
      <c r="L506" s="258">
        <v>0</v>
      </c>
      <c r="M506" s="258">
        <f t="shared" si="28"/>
        <v>60420</v>
      </c>
      <c r="N506" s="258">
        <v>-28327.685793044951</v>
      </c>
      <c r="O506" s="258">
        <v>0</v>
      </c>
      <c r="P506" s="258">
        <v>-1427.4456676981672</v>
      </c>
      <c r="Q506" s="258">
        <f t="shared" si="29"/>
        <v>30664.86853925688</v>
      </c>
      <c r="R506" s="259">
        <f t="shared" si="30"/>
        <v>0.50752844321841906</v>
      </c>
      <c r="S506" s="255">
        <f t="shared" si="32"/>
        <v>6.36</v>
      </c>
      <c r="T506" s="255">
        <f t="shared" si="32"/>
        <v>6.36</v>
      </c>
      <c r="U506" s="254">
        <v>100700</v>
      </c>
      <c r="V506" s="254" t="s">
        <v>960</v>
      </c>
      <c r="W506" s="254" t="s">
        <v>1096</v>
      </c>
      <c r="X506" s="254" t="s">
        <v>446</v>
      </c>
      <c r="Y506" s="254" t="s">
        <v>836</v>
      </c>
      <c r="Z506" s="254" t="s">
        <v>1087</v>
      </c>
      <c r="AA506" s="254" t="s">
        <v>838</v>
      </c>
    </row>
    <row r="507" spans="1:27" ht="14.4" x14ac:dyDescent="0.3">
      <c r="A507" s="253">
        <v>11</v>
      </c>
      <c r="B507" s="254" t="s">
        <v>847</v>
      </c>
      <c r="C507" s="254">
        <v>11724</v>
      </c>
      <c r="D507" s="254" t="s">
        <v>107</v>
      </c>
      <c r="E507" s="254" t="str">
        <f>_xlfn.XLOOKUP(C507,Clientes!I:I,Clientes!F:F)</f>
        <v>GRUPO HINOVE</v>
      </c>
      <c r="F507" s="254">
        <v>14142</v>
      </c>
      <c r="G507" s="254" t="s">
        <v>908</v>
      </c>
      <c r="H507" s="254" t="s">
        <v>962</v>
      </c>
      <c r="I507" s="255">
        <v>68400</v>
      </c>
      <c r="J507" s="256">
        <v>68400</v>
      </c>
      <c r="K507" s="258">
        <v>413820</v>
      </c>
      <c r="L507" s="258">
        <v>-49658.400000000001</v>
      </c>
      <c r="M507" s="258">
        <f t="shared" si="28"/>
        <v>364161.6</v>
      </c>
      <c r="N507" s="258">
        <v>-203959.33770992365</v>
      </c>
      <c r="O507" s="258">
        <v>-26878.526752895996</v>
      </c>
      <c r="P507" s="258">
        <v>-14.746599144452714</v>
      </c>
      <c r="Q507" s="258">
        <f t="shared" si="29"/>
        <v>133308.98893803588</v>
      </c>
      <c r="R507" s="259">
        <f t="shared" si="30"/>
        <v>0.36607096667533284</v>
      </c>
      <c r="S507" s="255">
        <f t="shared" si="32"/>
        <v>6.05</v>
      </c>
      <c r="T507" s="255">
        <f t="shared" si="32"/>
        <v>6.05</v>
      </c>
      <c r="U507" s="254">
        <v>100700</v>
      </c>
      <c r="V507" s="254" t="s">
        <v>960</v>
      </c>
      <c r="W507" s="254" t="s">
        <v>963</v>
      </c>
      <c r="X507" s="254" t="s">
        <v>446</v>
      </c>
      <c r="Y507" s="254" t="s">
        <v>843</v>
      </c>
      <c r="Z507" s="254" t="s">
        <v>1087</v>
      </c>
      <c r="AA507" s="254" t="s">
        <v>838</v>
      </c>
    </row>
    <row r="508" spans="1:27" ht="14.4" x14ac:dyDescent="0.3">
      <c r="A508" s="253">
        <v>11</v>
      </c>
      <c r="B508" s="254" t="s">
        <v>847</v>
      </c>
      <c r="C508" s="254">
        <v>1789</v>
      </c>
      <c r="D508" s="254" t="s">
        <v>61</v>
      </c>
      <c r="E508" s="254" t="str">
        <f>_xlfn.XLOOKUP(C508,Clientes!I:I,Clientes!F:F)</f>
        <v>GRUPO MOSAIC FERTILIZANTES P K LTDA</v>
      </c>
      <c r="F508" s="254">
        <v>3359</v>
      </c>
      <c r="G508" s="254" t="s">
        <v>855</v>
      </c>
      <c r="H508" s="254" t="s">
        <v>967</v>
      </c>
      <c r="I508" s="255">
        <v>270000</v>
      </c>
      <c r="J508" s="256">
        <v>270000</v>
      </c>
      <c r="K508" s="258">
        <v>1047600</v>
      </c>
      <c r="L508" s="258">
        <v>0</v>
      </c>
      <c r="M508" s="258">
        <f t="shared" si="28"/>
        <v>1047600</v>
      </c>
      <c r="N508" s="258">
        <v>-621172.40963855421</v>
      </c>
      <c r="O508" s="258">
        <v>-28504.329235199999</v>
      </c>
      <c r="P508" s="258">
        <v>-15.638577254525661</v>
      </c>
      <c r="Q508" s="258">
        <f t="shared" si="29"/>
        <v>397907.62254899123</v>
      </c>
      <c r="R508" s="259">
        <f t="shared" si="30"/>
        <v>0.37982781839346241</v>
      </c>
      <c r="S508" s="255">
        <f t="shared" si="32"/>
        <v>3.88</v>
      </c>
      <c r="T508" s="255">
        <f t="shared" si="32"/>
        <v>3.88</v>
      </c>
      <c r="U508" s="254">
        <v>100700</v>
      </c>
      <c r="V508" s="254" t="s">
        <v>960</v>
      </c>
      <c r="W508" s="254" t="s">
        <v>969</v>
      </c>
      <c r="X508" s="254" t="s">
        <v>446</v>
      </c>
      <c r="Y508" s="254" t="s">
        <v>843</v>
      </c>
      <c r="Z508" s="254" t="s">
        <v>1087</v>
      </c>
      <c r="AA508" s="254" t="s">
        <v>838</v>
      </c>
    </row>
    <row r="509" spans="1:27" ht="14.4" x14ac:dyDescent="0.3">
      <c r="A509" s="253">
        <v>11</v>
      </c>
      <c r="B509" s="254" t="s">
        <v>847</v>
      </c>
      <c r="C509" s="254">
        <v>1792</v>
      </c>
      <c r="D509" s="254" t="s">
        <v>970</v>
      </c>
      <c r="E509" s="254" t="str">
        <f>_xlfn.XLOOKUP(C509,Clientes!I:I,Clientes!F:F)</f>
        <v>GRUPO MOSAIC FERTILIZANTES P K LTDA</v>
      </c>
      <c r="F509" s="254">
        <v>3359</v>
      </c>
      <c r="G509" s="254" t="s">
        <v>867</v>
      </c>
      <c r="H509" s="254" t="s">
        <v>967</v>
      </c>
      <c r="I509" s="255">
        <v>150000</v>
      </c>
      <c r="J509" s="256">
        <v>150000</v>
      </c>
      <c r="K509" s="258">
        <v>585000</v>
      </c>
      <c r="L509" s="258">
        <v>-40950.000000000007</v>
      </c>
      <c r="M509" s="258">
        <f t="shared" si="28"/>
        <v>544050</v>
      </c>
      <c r="N509" s="258">
        <v>-345095.78313253011</v>
      </c>
      <c r="O509" s="258">
        <v>-12210.8025</v>
      </c>
      <c r="P509" s="258">
        <v>-6.6993184319590684</v>
      </c>
      <c r="Q509" s="258">
        <f t="shared" si="29"/>
        <v>186736.71504903794</v>
      </c>
      <c r="R509" s="259">
        <f t="shared" si="30"/>
        <v>0.34323447302460791</v>
      </c>
      <c r="S509" s="255">
        <f t="shared" si="32"/>
        <v>3.9</v>
      </c>
      <c r="T509" s="255">
        <f t="shared" si="32"/>
        <v>3.9</v>
      </c>
      <c r="U509" s="254">
        <v>100700</v>
      </c>
      <c r="V509" s="254" t="s">
        <v>960</v>
      </c>
      <c r="W509" s="254" t="s">
        <v>871</v>
      </c>
      <c r="X509" s="254" t="s">
        <v>446</v>
      </c>
      <c r="Y509" s="254" t="s">
        <v>843</v>
      </c>
      <c r="Z509" s="254" t="s">
        <v>1087</v>
      </c>
      <c r="AA509" s="254" t="s">
        <v>838</v>
      </c>
    </row>
    <row r="510" spans="1:27" ht="14.4" x14ac:dyDescent="0.3">
      <c r="A510" s="253">
        <v>11</v>
      </c>
      <c r="B510" s="254" t="s">
        <v>847</v>
      </c>
      <c r="C510" s="254">
        <v>13330</v>
      </c>
      <c r="D510" s="254" t="s">
        <v>579</v>
      </c>
      <c r="E510" s="254" t="str">
        <f>_xlfn.XLOOKUP(C510,Clientes!I:I,Clientes!F:F)</f>
        <v>ORGANITEC - PARAGUAY</v>
      </c>
      <c r="F510" s="254">
        <v>14142</v>
      </c>
      <c r="G510" s="254" t="s">
        <v>832</v>
      </c>
      <c r="H510" s="254" t="s">
        <v>962</v>
      </c>
      <c r="I510" s="255">
        <v>28000</v>
      </c>
      <c r="J510" s="256">
        <v>28000</v>
      </c>
      <c r="K510" s="258">
        <v>178080</v>
      </c>
      <c r="L510" s="258">
        <v>0</v>
      </c>
      <c r="M510" s="258">
        <f t="shared" si="28"/>
        <v>178080</v>
      </c>
      <c r="N510" s="258">
        <v>-83492.126547921973</v>
      </c>
      <c r="O510" s="258">
        <v>-25247.786666666678</v>
      </c>
      <c r="P510" s="258">
        <v>-4221.0601958159004</v>
      </c>
      <c r="Q510" s="258">
        <f t="shared" si="29"/>
        <v>65119.026589595444</v>
      </c>
      <c r="R510" s="259">
        <f t="shared" si="30"/>
        <v>0.36567288066933651</v>
      </c>
      <c r="S510" s="255">
        <f t="shared" si="32"/>
        <v>6.36</v>
      </c>
      <c r="T510" s="255">
        <f t="shared" si="32"/>
        <v>6.36</v>
      </c>
      <c r="U510" s="254">
        <v>100700</v>
      </c>
      <c r="V510" s="254" t="s">
        <v>960</v>
      </c>
      <c r="W510" s="254" t="s">
        <v>1070</v>
      </c>
      <c r="X510" s="254" t="s">
        <v>446</v>
      </c>
      <c r="Y510" s="254" t="s">
        <v>836</v>
      </c>
      <c r="Z510" s="254" t="s">
        <v>1087</v>
      </c>
      <c r="AA510" s="254" t="s">
        <v>838</v>
      </c>
    </row>
    <row r="511" spans="1:27" ht="14.4" x14ac:dyDescent="0.3">
      <c r="A511" s="253">
        <v>11</v>
      </c>
      <c r="B511" s="254" t="s">
        <v>847</v>
      </c>
      <c r="C511" s="254">
        <v>456</v>
      </c>
      <c r="D511" s="254" t="s">
        <v>312</v>
      </c>
      <c r="E511" s="254" t="str">
        <f>_xlfn.XLOOKUP(C511,Clientes!I:I,Clientes!F:F)</f>
        <v>GRUPO FERTIPAR FERTILIZANTES DO NORDESTE</v>
      </c>
      <c r="F511" s="254">
        <v>3353</v>
      </c>
      <c r="G511" s="254" t="s">
        <v>875</v>
      </c>
      <c r="H511" s="254" t="s">
        <v>972</v>
      </c>
      <c r="I511" s="255">
        <v>30000</v>
      </c>
      <c r="J511" s="256">
        <v>30000</v>
      </c>
      <c r="K511" s="258">
        <v>185400</v>
      </c>
      <c r="L511" s="258">
        <v>-12978.000000000002</v>
      </c>
      <c r="M511" s="258">
        <f t="shared" si="28"/>
        <v>172422</v>
      </c>
      <c r="N511" s="258">
        <v>-85490.34</v>
      </c>
      <c r="O511" s="258">
        <v>-21548.474999999999</v>
      </c>
      <c r="P511" s="258">
        <v>-11.82232664463365</v>
      </c>
      <c r="Q511" s="258">
        <f t="shared" si="29"/>
        <v>65371.362673355368</v>
      </c>
      <c r="R511" s="259">
        <f t="shared" si="30"/>
        <v>0.37913585663868515</v>
      </c>
      <c r="S511" s="255">
        <f t="shared" si="32"/>
        <v>6.18</v>
      </c>
      <c r="T511" s="255">
        <f t="shared" si="32"/>
        <v>6.18</v>
      </c>
      <c r="U511" s="254">
        <v>100700</v>
      </c>
      <c r="V511" s="254" t="s">
        <v>960</v>
      </c>
      <c r="W511" s="254" t="s">
        <v>876</v>
      </c>
      <c r="X511" s="254" t="s">
        <v>446</v>
      </c>
      <c r="Y511" s="254" t="s">
        <v>843</v>
      </c>
      <c r="Z511" s="254" t="s">
        <v>1087</v>
      </c>
      <c r="AA511" s="254" t="s">
        <v>838</v>
      </c>
    </row>
    <row r="512" spans="1:27" ht="14.4" x14ac:dyDescent="0.3">
      <c r="A512" s="253">
        <v>11</v>
      </c>
      <c r="B512" s="254" t="s">
        <v>847</v>
      </c>
      <c r="C512" s="254">
        <v>1787</v>
      </c>
      <c r="D512" s="254" t="s">
        <v>57</v>
      </c>
      <c r="E512" s="254" t="str">
        <f>_xlfn.XLOOKUP(C512,Clientes!I:I,Clientes!F:F)</f>
        <v>GRUPO MOSAIC FERTILIZANTES P K LTDA</v>
      </c>
      <c r="F512" s="254">
        <v>3359</v>
      </c>
      <c r="G512" s="254" t="s">
        <v>855</v>
      </c>
      <c r="H512" s="254" t="s">
        <v>967</v>
      </c>
      <c r="I512" s="255">
        <v>260000</v>
      </c>
      <c r="J512" s="256">
        <v>260000</v>
      </c>
      <c r="K512" s="258">
        <v>1008800</v>
      </c>
      <c r="L512" s="258">
        <v>0</v>
      </c>
      <c r="M512" s="258">
        <f t="shared" si="28"/>
        <v>1008800</v>
      </c>
      <c r="N512" s="258">
        <v>-598166.02409638558</v>
      </c>
      <c r="O512" s="258">
        <v>-21165.391</v>
      </c>
      <c r="P512" s="258">
        <v>-11.612151948729052</v>
      </c>
      <c r="Q512" s="258">
        <f t="shared" si="29"/>
        <v>389456.97275166569</v>
      </c>
      <c r="R512" s="259">
        <f t="shared" si="30"/>
        <v>0.38605964785058056</v>
      </c>
      <c r="S512" s="255">
        <f t="shared" si="32"/>
        <v>3.88</v>
      </c>
      <c r="T512" s="255">
        <f t="shared" si="32"/>
        <v>3.88</v>
      </c>
      <c r="U512" s="254">
        <v>100700</v>
      </c>
      <c r="V512" s="254" t="s">
        <v>960</v>
      </c>
      <c r="W512" s="254" t="s">
        <v>892</v>
      </c>
      <c r="X512" s="254" t="s">
        <v>446</v>
      </c>
      <c r="Y512" s="254" t="s">
        <v>843</v>
      </c>
      <c r="Z512" s="254" t="s">
        <v>1087</v>
      </c>
      <c r="AA512" s="254" t="s">
        <v>838</v>
      </c>
    </row>
    <row r="513" spans="1:27" ht="14.4" x14ac:dyDescent="0.3">
      <c r="A513" s="253">
        <v>11</v>
      </c>
      <c r="B513" s="254" t="s">
        <v>847</v>
      </c>
      <c r="C513" s="254">
        <v>6370</v>
      </c>
      <c r="D513" s="254" t="s">
        <v>264</v>
      </c>
      <c r="E513" s="254" t="str">
        <f>_xlfn.XLOOKUP(C513,Clientes!I:I,Clientes!F:F)</f>
        <v>YTL S.A. - PARAGUAI</v>
      </c>
      <c r="F513" s="254">
        <v>7010</v>
      </c>
      <c r="G513" s="254" t="s">
        <v>832</v>
      </c>
      <c r="H513" s="254" t="s">
        <v>971</v>
      </c>
      <c r="I513" s="255">
        <v>56000</v>
      </c>
      <c r="J513" s="256">
        <v>56000</v>
      </c>
      <c r="K513" s="258">
        <v>379680</v>
      </c>
      <c r="L513" s="258">
        <v>0</v>
      </c>
      <c r="M513" s="258">
        <f t="shared" si="28"/>
        <v>379680</v>
      </c>
      <c r="N513" s="258">
        <v>-136269</v>
      </c>
      <c r="O513" s="258">
        <v>-56880.552960000001</v>
      </c>
      <c r="P513" s="258">
        <v>-8445.6234383562569</v>
      </c>
      <c r="Q513" s="258">
        <f t="shared" si="29"/>
        <v>178084.82360164373</v>
      </c>
      <c r="R513" s="259">
        <f t="shared" si="30"/>
        <v>0.46903925305953365</v>
      </c>
      <c r="S513" s="255">
        <f t="shared" si="32"/>
        <v>6.78</v>
      </c>
      <c r="T513" s="255">
        <f t="shared" si="32"/>
        <v>6.78</v>
      </c>
      <c r="U513" s="254">
        <v>100700</v>
      </c>
      <c r="V513" s="254" t="s">
        <v>960</v>
      </c>
      <c r="W513" s="254" t="s">
        <v>896</v>
      </c>
      <c r="X513" s="254" t="s">
        <v>446</v>
      </c>
      <c r="Y513" s="254" t="s">
        <v>836</v>
      </c>
      <c r="Z513" s="254" t="s">
        <v>1087</v>
      </c>
      <c r="AA513" s="254" t="s">
        <v>838</v>
      </c>
    </row>
    <row r="514" spans="1:27" ht="14.4" x14ac:dyDescent="0.3">
      <c r="A514" s="253">
        <v>11</v>
      </c>
      <c r="B514" s="254" t="s">
        <v>847</v>
      </c>
      <c r="C514" s="254">
        <v>2949</v>
      </c>
      <c r="D514" s="254" t="s">
        <v>720</v>
      </c>
      <c r="E514" s="254" t="str">
        <f>_xlfn.XLOOKUP(C514,Clientes!I:I,Clientes!F:F)</f>
        <v>GRUPO MOSAIC FERTILIZANTES DO BRASIL</v>
      </c>
      <c r="F514" s="254">
        <v>3362</v>
      </c>
      <c r="G514" s="254" t="s">
        <v>875</v>
      </c>
      <c r="H514" s="254" t="s">
        <v>1097</v>
      </c>
      <c r="I514" s="255">
        <v>30000</v>
      </c>
      <c r="J514" s="256">
        <v>30000</v>
      </c>
      <c r="K514" s="258">
        <v>160200</v>
      </c>
      <c r="L514" s="258">
        <v>-11214.000000000002</v>
      </c>
      <c r="M514" s="258">
        <f t="shared" si="28"/>
        <v>148986</v>
      </c>
      <c r="N514" s="258">
        <v>-81203.850000000006</v>
      </c>
      <c r="O514" s="258">
        <v>-21548.474999999999</v>
      </c>
      <c r="P514" s="258">
        <v>-11.82232664463365</v>
      </c>
      <c r="Q514" s="258">
        <f t="shared" si="29"/>
        <v>46221.852673355359</v>
      </c>
      <c r="R514" s="259">
        <f t="shared" si="30"/>
        <v>0.31024292667334757</v>
      </c>
      <c r="S514" s="255">
        <f t="shared" si="32"/>
        <v>5.34</v>
      </c>
      <c r="T514" s="255">
        <f t="shared" si="32"/>
        <v>5.34</v>
      </c>
      <c r="U514" s="254">
        <v>100700</v>
      </c>
      <c r="V514" s="254" t="s">
        <v>960</v>
      </c>
      <c r="W514" s="254" t="s">
        <v>876</v>
      </c>
      <c r="X514" s="254" t="s">
        <v>446</v>
      </c>
      <c r="Y514" s="254" t="s">
        <v>843</v>
      </c>
      <c r="Z514" s="254" t="s">
        <v>1087</v>
      </c>
      <c r="AA514" s="254" t="s">
        <v>838</v>
      </c>
    </row>
    <row r="515" spans="1:27" ht="14.4" x14ac:dyDescent="0.3">
      <c r="A515" s="253">
        <v>11</v>
      </c>
      <c r="B515" s="254" t="s">
        <v>847</v>
      </c>
      <c r="C515" s="254">
        <v>12629</v>
      </c>
      <c r="D515" s="254" t="s">
        <v>109</v>
      </c>
      <c r="E515" s="254" t="str">
        <f>_xlfn.XLOOKUP(C515,Clientes!I:I,Clientes!F:F)</f>
        <v>EUROCHEM SERRA DO SALITRE</v>
      </c>
      <c r="F515" s="254">
        <v>3359</v>
      </c>
      <c r="G515" s="254" t="s">
        <v>855</v>
      </c>
      <c r="H515" s="254" t="s">
        <v>967</v>
      </c>
      <c r="I515" s="255">
        <v>90000</v>
      </c>
      <c r="J515" s="256">
        <v>90000</v>
      </c>
      <c r="K515" s="258">
        <v>490500</v>
      </c>
      <c r="L515" s="258">
        <v>-88290</v>
      </c>
      <c r="M515" s="258">
        <f t="shared" si="28"/>
        <v>402210</v>
      </c>
      <c r="N515" s="258">
        <v>-207057.46987951809</v>
      </c>
      <c r="O515" s="258">
        <v>-12668.590771199999</v>
      </c>
      <c r="P515" s="258">
        <v>-6.950478779789182</v>
      </c>
      <c r="Q515" s="258">
        <f t="shared" si="29"/>
        <v>182476.98887050213</v>
      </c>
      <c r="R515" s="259">
        <f t="shared" si="30"/>
        <v>0.45368585781184489</v>
      </c>
      <c r="S515" s="255">
        <f t="shared" ref="S515:T578" si="33">$K515/I515</f>
        <v>5.45</v>
      </c>
      <c r="T515" s="255">
        <f t="shared" si="33"/>
        <v>5.45</v>
      </c>
      <c r="U515" s="254">
        <v>100700</v>
      </c>
      <c r="V515" s="254" t="s">
        <v>960</v>
      </c>
      <c r="W515" s="254" t="s">
        <v>968</v>
      </c>
      <c r="X515" s="254" t="s">
        <v>446</v>
      </c>
      <c r="Y515" s="254" t="s">
        <v>843</v>
      </c>
      <c r="Z515" s="254" t="s">
        <v>1087</v>
      </c>
      <c r="AA515" s="254" t="s">
        <v>838</v>
      </c>
    </row>
    <row r="516" spans="1:27" ht="14.4" x14ac:dyDescent="0.3">
      <c r="A516" s="253">
        <v>13</v>
      </c>
      <c r="B516" s="254" t="s">
        <v>847</v>
      </c>
      <c r="C516" s="254">
        <v>2</v>
      </c>
      <c r="D516" s="254" t="s">
        <v>976</v>
      </c>
      <c r="E516" s="254" t="str">
        <f>_xlfn.XLOOKUP(C516,Clientes!I:I,Clientes!F:F)</f>
        <v>GRUPO CARGILL</v>
      </c>
      <c r="F516" s="254">
        <v>3700</v>
      </c>
      <c r="G516" s="254" t="s">
        <v>855</v>
      </c>
      <c r="H516" s="254" t="s">
        <v>977</v>
      </c>
      <c r="I516" s="254">
        <v>84000</v>
      </c>
      <c r="J516" s="256">
        <v>84000</v>
      </c>
      <c r="K516" s="258">
        <v>92400</v>
      </c>
      <c r="L516" s="258">
        <v>-23640.539999999997</v>
      </c>
      <c r="M516" s="258">
        <f t="shared" ref="M516:M579" si="34">SUM(K516:L516)</f>
        <v>68759.460000000006</v>
      </c>
      <c r="N516" s="258">
        <v>-15239.310000000001</v>
      </c>
      <c r="O516" s="258">
        <v>0</v>
      </c>
      <c r="P516" s="258">
        <v>0</v>
      </c>
      <c r="Q516" s="258">
        <f t="shared" ref="Q516:Q579" si="35">SUM(M516:P516)</f>
        <v>53520.150000000009</v>
      </c>
      <c r="R516" s="259">
        <f t="shared" ref="R516:R579" si="36">Q516/M516</f>
        <v>0.77836780568084751</v>
      </c>
      <c r="S516" s="255">
        <f t="shared" si="33"/>
        <v>1.1000000000000001</v>
      </c>
      <c r="T516" s="255">
        <f t="shared" si="33"/>
        <v>1.1000000000000001</v>
      </c>
      <c r="U516" s="254">
        <v>100900</v>
      </c>
      <c r="V516" s="254" t="s">
        <v>978</v>
      </c>
      <c r="W516" s="254" t="s">
        <v>865</v>
      </c>
      <c r="X516" s="254" t="s">
        <v>157</v>
      </c>
      <c r="Y516" s="254" t="s">
        <v>843</v>
      </c>
      <c r="Z516" s="254" t="s">
        <v>1087</v>
      </c>
      <c r="AA516" s="254" t="s">
        <v>838</v>
      </c>
    </row>
    <row r="517" spans="1:27" ht="14.4" x14ac:dyDescent="0.3">
      <c r="A517" s="253">
        <v>11</v>
      </c>
      <c r="B517" s="254" t="s">
        <v>847</v>
      </c>
      <c r="C517" s="254">
        <v>5882</v>
      </c>
      <c r="D517" s="254" t="s">
        <v>162</v>
      </c>
      <c r="E517" s="254" t="str">
        <f>_xlfn.XLOOKUP(C517,Clientes!I:I,Clientes!F:F)</f>
        <v>ABOPAR - PARAGUAY</v>
      </c>
      <c r="F517" s="254">
        <v>14144</v>
      </c>
      <c r="G517" s="254" t="s">
        <v>832</v>
      </c>
      <c r="H517" s="254" t="s">
        <v>979</v>
      </c>
      <c r="I517" s="255">
        <v>24000</v>
      </c>
      <c r="J517" s="256">
        <v>24000</v>
      </c>
      <c r="K517" s="258">
        <v>148800</v>
      </c>
      <c r="L517" s="258">
        <v>0</v>
      </c>
      <c r="M517" s="258">
        <f t="shared" si="34"/>
        <v>148800</v>
      </c>
      <c r="N517" s="258">
        <v>-35296.450000000004</v>
      </c>
      <c r="O517" s="258">
        <v>-15538.2</v>
      </c>
      <c r="P517" s="258">
        <v>-3614.7033862895337</v>
      </c>
      <c r="Q517" s="258">
        <f t="shared" si="35"/>
        <v>94350.646613710458</v>
      </c>
      <c r="R517" s="259">
        <f t="shared" si="36"/>
        <v>0.63407692616740896</v>
      </c>
      <c r="S517" s="255">
        <f t="shared" si="33"/>
        <v>6.2</v>
      </c>
      <c r="T517" s="255">
        <f t="shared" si="33"/>
        <v>6.2</v>
      </c>
      <c r="U517" s="254">
        <v>101300</v>
      </c>
      <c r="V517" s="254" t="s">
        <v>980</v>
      </c>
      <c r="W517" s="254" t="s">
        <v>1012</v>
      </c>
      <c r="X517" s="254" t="s">
        <v>446</v>
      </c>
      <c r="Y517" s="254" t="s">
        <v>836</v>
      </c>
      <c r="Z517" s="254" t="s">
        <v>1087</v>
      </c>
      <c r="AA517" s="254" t="s">
        <v>838</v>
      </c>
    </row>
    <row r="518" spans="1:27" ht="14.4" x14ac:dyDescent="0.3">
      <c r="A518" s="253">
        <v>11</v>
      </c>
      <c r="B518" s="254" t="s">
        <v>847</v>
      </c>
      <c r="C518" s="254">
        <v>15905</v>
      </c>
      <c r="D518" s="254" t="s">
        <v>750</v>
      </c>
      <c r="E518" s="254" t="str">
        <f>_xlfn.XLOOKUP(C518,Clientes!I:I,Clientes!F:F)</f>
        <v>ADUFÉRTIL - CAMPEVO</v>
      </c>
      <c r="F518" s="254">
        <v>8368</v>
      </c>
      <c r="G518" s="254" t="s">
        <v>908</v>
      </c>
      <c r="H518" s="254" t="s">
        <v>989</v>
      </c>
      <c r="I518" s="255">
        <v>170</v>
      </c>
      <c r="J518" s="256">
        <v>2795.1461665688953</v>
      </c>
      <c r="K518" s="258">
        <v>32321.528120593568</v>
      </c>
      <c r="L518" s="258">
        <v>-2908.8190650641241</v>
      </c>
      <c r="M518" s="258">
        <f t="shared" si="34"/>
        <v>29412.709055529445</v>
      </c>
      <c r="N518" s="258">
        <v>-9877.0573999735407</v>
      </c>
      <c r="O518" s="258">
        <v>-755.63618576813087</v>
      </c>
      <c r="P518" s="258">
        <v>-8321.40897778613</v>
      </c>
      <c r="Q518" s="258">
        <f t="shared" si="35"/>
        <v>10458.606492001647</v>
      </c>
      <c r="R518" s="259">
        <f t="shared" si="36"/>
        <v>0.35558120376659014</v>
      </c>
      <c r="S518" s="255">
        <f t="shared" si="33"/>
        <v>190.12663600349157</v>
      </c>
      <c r="T518" s="255">
        <f t="shared" si="33"/>
        <v>11.56344827586207</v>
      </c>
      <c r="U518" s="254">
        <v>101602</v>
      </c>
      <c r="V518" s="254" t="s">
        <v>983</v>
      </c>
      <c r="W518" s="254" t="s">
        <v>991</v>
      </c>
      <c r="X518" s="254" t="s">
        <v>157</v>
      </c>
      <c r="Y518" s="254" t="s">
        <v>843</v>
      </c>
      <c r="Z518" s="254" t="s">
        <v>1087</v>
      </c>
      <c r="AA518" s="254" t="s">
        <v>838</v>
      </c>
    </row>
    <row r="519" spans="1:27" ht="14.4" x14ac:dyDescent="0.3">
      <c r="A519" s="253">
        <v>11</v>
      </c>
      <c r="B519" s="254" t="s">
        <v>847</v>
      </c>
      <c r="C519" s="254">
        <v>15905</v>
      </c>
      <c r="D519" s="254" t="s">
        <v>750</v>
      </c>
      <c r="E519" s="254" t="str">
        <f>_xlfn.XLOOKUP(C519,Clientes!I:I,Clientes!F:F)</f>
        <v>ADUFÉRTIL - CAMPEVO</v>
      </c>
      <c r="F519" s="254">
        <v>13004</v>
      </c>
      <c r="G519" s="254" t="s">
        <v>908</v>
      </c>
      <c r="H519" s="254" t="s">
        <v>982</v>
      </c>
      <c r="I519" s="255">
        <v>23</v>
      </c>
      <c r="J519" s="256">
        <v>528.97622719176059</v>
      </c>
      <c r="K519" s="258">
        <v>13991.421209222068</v>
      </c>
      <c r="L519" s="258">
        <v>-1324.3932158137472</v>
      </c>
      <c r="M519" s="258">
        <f t="shared" si="34"/>
        <v>12667.027993408321</v>
      </c>
      <c r="N519" s="258">
        <v>-3740.291446198818</v>
      </c>
      <c r="O519" s="258">
        <v>-143.00274649602875</v>
      </c>
      <c r="P519" s="258">
        <v>-3354.6113489779145</v>
      </c>
      <c r="Q519" s="258">
        <f t="shared" si="35"/>
        <v>5429.1224517355586</v>
      </c>
      <c r="R519" s="259">
        <f t="shared" si="36"/>
        <v>0.42860270416713137</v>
      </c>
      <c r="S519" s="255">
        <f t="shared" si="33"/>
        <v>608.32266127052469</v>
      </c>
      <c r="T519" s="255">
        <f t="shared" si="33"/>
        <v>26.45</v>
      </c>
      <c r="U519" s="254">
        <v>101602</v>
      </c>
      <c r="V519" s="254" t="s">
        <v>983</v>
      </c>
      <c r="W519" s="254" t="s">
        <v>991</v>
      </c>
      <c r="X519" s="254" t="s">
        <v>157</v>
      </c>
      <c r="Y519" s="254" t="s">
        <v>843</v>
      </c>
      <c r="Z519" s="254" t="s">
        <v>1087</v>
      </c>
      <c r="AA519" s="254" t="s">
        <v>838</v>
      </c>
    </row>
    <row r="520" spans="1:27" ht="14.4" x14ac:dyDescent="0.3">
      <c r="A520" s="253">
        <v>11</v>
      </c>
      <c r="B520" s="254" t="s">
        <v>847</v>
      </c>
      <c r="C520" s="254">
        <v>15904</v>
      </c>
      <c r="D520" s="254" t="s">
        <v>754</v>
      </c>
      <c r="E520" s="254" t="str">
        <f>_xlfn.XLOOKUP(C520,Clientes!I:I,Clientes!F:F)</f>
        <v>ADUFÉRTIL - CAMPEVO</v>
      </c>
      <c r="F520" s="254">
        <v>8368</v>
      </c>
      <c r="G520" s="254" t="s">
        <v>908</v>
      </c>
      <c r="H520" s="254" t="s">
        <v>989</v>
      </c>
      <c r="I520" s="255">
        <v>500</v>
      </c>
      <c r="J520" s="256">
        <v>8221.0181369673392</v>
      </c>
      <c r="K520" s="258">
        <v>95063.318001745778</v>
      </c>
      <c r="L520" s="258">
        <v>-8555.3501913650707</v>
      </c>
      <c r="M520" s="258">
        <f t="shared" si="34"/>
        <v>86507.967810380709</v>
      </c>
      <c r="N520" s="258">
        <v>-29050.16882345159</v>
      </c>
      <c r="O520" s="258">
        <v>-2222.4593699062671</v>
      </c>
      <c r="P520" s="258">
        <v>-24464.940619420591</v>
      </c>
      <c r="Q520" s="258">
        <f t="shared" si="35"/>
        <v>30770.39899760226</v>
      </c>
      <c r="R520" s="259">
        <f t="shared" si="36"/>
        <v>0.35569439181658707</v>
      </c>
      <c r="S520" s="255">
        <f t="shared" si="33"/>
        <v>190.12663600349157</v>
      </c>
      <c r="T520" s="255">
        <f t="shared" si="33"/>
        <v>11.563448275862068</v>
      </c>
      <c r="U520" s="254">
        <v>101602</v>
      </c>
      <c r="V520" s="254" t="s">
        <v>983</v>
      </c>
      <c r="W520" s="254" t="s">
        <v>992</v>
      </c>
      <c r="X520" s="254" t="s">
        <v>157</v>
      </c>
      <c r="Y520" s="254" t="s">
        <v>843</v>
      </c>
      <c r="Z520" s="254" t="s">
        <v>1087</v>
      </c>
      <c r="AA520" s="254" t="s">
        <v>838</v>
      </c>
    </row>
    <row r="521" spans="1:27" ht="14.4" x14ac:dyDescent="0.3">
      <c r="A521" s="253">
        <v>11</v>
      </c>
      <c r="B521" s="254" t="s">
        <v>847</v>
      </c>
      <c r="C521" s="254">
        <v>15904</v>
      </c>
      <c r="D521" s="254" t="s">
        <v>754</v>
      </c>
      <c r="E521" s="254" t="str">
        <f>_xlfn.XLOOKUP(C521,Clientes!I:I,Clientes!F:F)</f>
        <v>ADUFÉRTIL - CAMPEVO</v>
      </c>
      <c r="F521" s="254">
        <v>13004</v>
      </c>
      <c r="G521" s="254" t="s">
        <v>908</v>
      </c>
      <c r="H521" s="254" t="s">
        <v>982</v>
      </c>
      <c r="I521" s="255">
        <v>71</v>
      </c>
      <c r="J521" s="256">
        <v>1632.9266143745651</v>
      </c>
      <c r="K521" s="258">
        <v>43190.908950207246</v>
      </c>
      <c r="L521" s="258">
        <v>-4088.3442749033075</v>
      </c>
      <c r="M521" s="258">
        <f t="shared" si="34"/>
        <v>39102.56467530394</v>
      </c>
      <c r="N521" s="258">
        <v>-11546.117073048525</v>
      </c>
      <c r="O521" s="258">
        <v>-441.44326092252351</v>
      </c>
      <c r="P521" s="258">
        <v>-10345.142587702889</v>
      </c>
      <c r="Q521" s="258">
        <f t="shared" si="35"/>
        <v>16769.861753630004</v>
      </c>
      <c r="R521" s="259">
        <f t="shared" si="36"/>
        <v>0.4288685893849149</v>
      </c>
      <c r="S521" s="255">
        <f t="shared" si="33"/>
        <v>608.32266127052458</v>
      </c>
      <c r="T521" s="255">
        <f t="shared" si="33"/>
        <v>26.45</v>
      </c>
      <c r="U521" s="254">
        <v>101602</v>
      </c>
      <c r="V521" s="254" t="s">
        <v>983</v>
      </c>
      <c r="W521" s="254" t="s">
        <v>992</v>
      </c>
      <c r="X521" s="254" t="s">
        <v>157</v>
      </c>
      <c r="Y521" s="254" t="s">
        <v>843</v>
      </c>
      <c r="Z521" s="254" t="s">
        <v>1087</v>
      </c>
      <c r="AA521" s="254" t="s">
        <v>838</v>
      </c>
    </row>
    <row r="522" spans="1:27" ht="14.4" x14ac:dyDescent="0.3">
      <c r="A522" s="253">
        <v>11</v>
      </c>
      <c r="B522" s="254" t="s">
        <v>847</v>
      </c>
      <c r="C522" s="254">
        <v>15906</v>
      </c>
      <c r="D522" s="254" t="s">
        <v>993</v>
      </c>
      <c r="E522" s="254" t="str">
        <f>_xlfn.XLOOKUP(C522,Clientes!I:I,Clientes!F:F)</f>
        <v>ADUFÉRTIL - CAMPEVO</v>
      </c>
      <c r="F522" s="254">
        <v>13004</v>
      </c>
      <c r="G522" s="254" t="s">
        <v>908</v>
      </c>
      <c r="H522" s="254" t="s">
        <v>982</v>
      </c>
      <c r="I522" s="255">
        <v>63</v>
      </c>
      <c r="J522" s="256">
        <v>1448.9348831774312</v>
      </c>
      <c r="K522" s="258">
        <v>38324.327660043054</v>
      </c>
      <c r="L522" s="258">
        <v>-3627.6857650550473</v>
      </c>
      <c r="M522" s="258">
        <f t="shared" si="34"/>
        <v>34696.64189498801</v>
      </c>
      <c r="N522" s="258">
        <v>-10245.14613524024</v>
      </c>
      <c r="O522" s="258">
        <v>-391.70317518477435</v>
      </c>
      <c r="P522" s="258">
        <v>-9180.3955817962378</v>
      </c>
      <c r="Q522" s="258">
        <f t="shared" si="35"/>
        <v>14879.397002766756</v>
      </c>
      <c r="R522" s="259">
        <f t="shared" si="36"/>
        <v>0.42884256775627938</v>
      </c>
      <c r="S522" s="255">
        <f t="shared" si="33"/>
        <v>608.32266127052469</v>
      </c>
      <c r="T522" s="255">
        <f t="shared" si="33"/>
        <v>26.45</v>
      </c>
      <c r="U522" s="254">
        <v>101602</v>
      </c>
      <c r="V522" s="254" t="s">
        <v>983</v>
      </c>
      <c r="W522" s="254" t="s">
        <v>994</v>
      </c>
      <c r="X522" s="254" t="s">
        <v>157</v>
      </c>
      <c r="Y522" s="254" t="s">
        <v>843</v>
      </c>
      <c r="Z522" s="254" t="s">
        <v>1087</v>
      </c>
      <c r="AA522" s="254" t="s">
        <v>838</v>
      </c>
    </row>
    <row r="523" spans="1:27" ht="14.4" x14ac:dyDescent="0.3">
      <c r="A523" s="253">
        <v>11</v>
      </c>
      <c r="B523" s="254" t="s">
        <v>847</v>
      </c>
      <c r="C523" s="254">
        <v>15906</v>
      </c>
      <c r="D523" s="254" t="s">
        <v>993</v>
      </c>
      <c r="E523" s="254" t="str">
        <f>_xlfn.XLOOKUP(C523,Clientes!I:I,Clientes!F:F)</f>
        <v>ADUFÉRTIL - CAMPEVO</v>
      </c>
      <c r="F523" s="254">
        <v>8368</v>
      </c>
      <c r="G523" s="254" t="s">
        <v>908</v>
      </c>
      <c r="H523" s="254" t="s">
        <v>989</v>
      </c>
      <c r="I523" s="255">
        <v>500</v>
      </c>
      <c r="J523" s="256">
        <v>8221.0181369673392</v>
      </c>
      <c r="K523" s="258">
        <v>95063.318001745778</v>
      </c>
      <c r="L523" s="258">
        <v>-8555.3501913650707</v>
      </c>
      <c r="M523" s="258">
        <f t="shared" si="34"/>
        <v>86507.967810380709</v>
      </c>
      <c r="N523" s="258">
        <v>-29050.16882345159</v>
      </c>
      <c r="O523" s="258">
        <v>-2222.4593699062671</v>
      </c>
      <c r="P523" s="258">
        <v>-24465.571143508307</v>
      </c>
      <c r="Q523" s="258">
        <f t="shared" si="35"/>
        <v>30769.768473514545</v>
      </c>
      <c r="R523" s="259">
        <f t="shared" si="36"/>
        <v>0.35568710319215546</v>
      </c>
      <c r="S523" s="255">
        <f t="shared" si="33"/>
        <v>190.12663600349157</v>
      </c>
      <c r="T523" s="255">
        <f t="shared" si="33"/>
        <v>11.563448275862068</v>
      </c>
      <c r="U523" s="254">
        <v>101602</v>
      </c>
      <c r="V523" s="254" t="s">
        <v>983</v>
      </c>
      <c r="W523" s="254" t="s">
        <v>994</v>
      </c>
      <c r="X523" s="254" t="s">
        <v>157</v>
      </c>
      <c r="Y523" s="254" t="s">
        <v>843</v>
      </c>
      <c r="Z523" s="254" t="s">
        <v>1087</v>
      </c>
      <c r="AA523" s="254" t="s">
        <v>838</v>
      </c>
    </row>
    <row r="524" spans="1:27" ht="14.4" x14ac:dyDescent="0.3">
      <c r="A524" s="253">
        <v>11</v>
      </c>
      <c r="B524" s="254" t="s">
        <v>847</v>
      </c>
      <c r="C524" s="254">
        <v>15908</v>
      </c>
      <c r="D524" s="254" t="s">
        <v>981</v>
      </c>
      <c r="E524" s="254" t="str">
        <f>_xlfn.XLOOKUP(C524,Clientes!I:I,Clientes!F:F)</f>
        <v>ADUFÉRTIL - CAMPEVO</v>
      </c>
      <c r="F524" s="254">
        <v>8368</v>
      </c>
      <c r="G524" s="254" t="s">
        <v>908</v>
      </c>
      <c r="H524" s="254" t="s">
        <v>989</v>
      </c>
      <c r="I524" s="255">
        <v>500</v>
      </c>
      <c r="J524" s="256">
        <v>8221.0181369673392</v>
      </c>
      <c r="K524" s="258">
        <v>95063.318001745778</v>
      </c>
      <c r="L524" s="258">
        <v>-8555.3501913650707</v>
      </c>
      <c r="M524" s="258">
        <f t="shared" si="34"/>
        <v>86507.967810380709</v>
      </c>
      <c r="N524" s="258">
        <v>-29050.16882345159</v>
      </c>
      <c r="O524" s="258">
        <v>-2222.4593699062671</v>
      </c>
      <c r="P524" s="258">
        <v>-24464.940619420591</v>
      </c>
      <c r="Q524" s="258">
        <f t="shared" si="35"/>
        <v>30770.39899760226</v>
      </c>
      <c r="R524" s="259">
        <f t="shared" si="36"/>
        <v>0.35569439181658707</v>
      </c>
      <c r="S524" s="255">
        <f t="shared" si="33"/>
        <v>190.12663600349157</v>
      </c>
      <c r="T524" s="255">
        <f t="shared" si="33"/>
        <v>11.563448275862068</v>
      </c>
      <c r="U524" s="254">
        <v>101602</v>
      </c>
      <c r="V524" s="254" t="s">
        <v>983</v>
      </c>
      <c r="W524" s="254" t="s">
        <v>984</v>
      </c>
      <c r="X524" s="254" t="s">
        <v>157</v>
      </c>
      <c r="Y524" s="254" t="s">
        <v>843</v>
      </c>
      <c r="Z524" s="254" t="s">
        <v>1087</v>
      </c>
      <c r="AA524" s="254" t="s">
        <v>838</v>
      </c>
    </row>
    <row r="525" spans="1:27" ht="14.4" x14ac:dyDescent="0.3">
      <c r="A525" s="253">
        <v>11</v>
      </c>
      <c r="B525" s="254" t="s">
        <v>847</v>
      </c>
      <c r="C525" s="254">
        <v>15908</v>
      </c>
      <c r="D525" s="254" t="s">
        <v>981</v>
      </c>
      <c r="E525" s="254" t="str">
        <f>_xlfn.XLOOKUP(C525,Clientes!I:I,Clientes!F:F)</f>
        <v>ADUFÉRTIL - CAMPEVO</v>
      </c>
      <c r="F525" s="254">
        <v>13004</v>
      </c>
      <c r="G525" s="254" t="s">
        <v>908</v>
      </c>
      <c r="H525" s="254" t="s">
        <v>982</v>
      </c>
      <c r="I525" s="255">
        <v>63</v>
      </c>
      <c r="J525" s="256">
        <v>1448.9348831774312</v>
      </c>
      <c r="K525" s="258">
        <v>38324.327660043054</v>
      </c>
      <c r="L525" s="258">
        <v>-3627.6857650550473</v>
      </c>
      <c r="M525" s="258">
        <f t="shared" si="34"/>
        <v>34696.64189498801</v>
      </c>
      <c r="N525" s="258">
        <v>-10245.14613524024</v>
      </c>
      <c r="O525" s="258">
        <v>-391.70317518477435</v>
      </c>
      <c r="P525" s="258">
        <v>-9179.765057708526</v>
      </c>
      <c r="Q525" s="258">
        <f t="shared" si="35"/>
        <v>14880.027526854468</v>
      </c>
      <c r="R525" s="259">
        <f t="shared" si="36"/>
        <v>0.42886074023791665</v>
      </c>
      <c r="S525" s="255">
        <f t="shared" si="33"/>
        <v>608.32266127052469</v>
      </c>
      <c r="T525" s="255">
        <f t="shared" si="33"/>
        <v>26.45</v>
      </c>
      <c r="U525" s="254">
        <v>101602</v>
      </c>
      <c r="V525" s="254" t="s">
        <v>983</v>
      </c>
      <c r="W525" s="254" t="s">
        <v>984</v>
      </c>
      <c r="X525" s="254" t="s">
        <v>157</v>
      </c>
      <c r="Y525" s="254" t="s">
        <v>843</v>
      </c>
      <c r="Z525" s="254" t="s">
        <v>1087</v>
      </c>
      <c r="AA525" s="254" t="s">
        <v>838</v>
      </c>
    </row>
    <row r="526" spans="1:27" ht="14.4" x14ac:dyDescent="0.3">
      <c r="A526" s="253">
        <v>11</v>
      </c>
      <c r="B526" s="254" t="s">
        <v>847</v>
      </c>
      <c r="C526" s="254">
        <v>9355</v>
      </c>
      <c r="D526" s="254" t="s">
        <v>302</v>
      </c>
      <c r="E526" s="254" t="str">
        <f>_xlfn.XLOOKUP(C526,Clientes!I:I,Clientes!F:F)</f>
        <v>NITROFERT SAS - COLOMBIA</v>
      </c>
      <c r="F526" s="254">
        <v>14147</v>
      </c>
      <c r="G526" s="254" t="s">
        <v>832</v>
      </c>
      <c r="H526" s="254" t="s">
        <v>996</v>
      </c>
      <c r="I526" s="255">
        <v>43200</v>
      </c>
      <c r="J526" s="256">
        <v>43200</v>
      </c>
      <c r="K526" s="255">
        <v>713229.30214034801</v>
      </c>
      <c r="L526" s="258">
        <v>0</v>
      </c>
      <c r="M526" s="258">
        <f t="shared" si="34"/>
        <v>713229.30214034801</v>
      </c>
      <c r="N526" s="258">
        <v>-212312.48199999999</v>
      </c>
      <c r="O526" s="258">
        <v>-49587.158016000001</v>
      </c>
      <c r="P526" s="258">
        <v>-6518.3267844362308</v>
      </c>
      <c r="Q526" s="258">
        <f t="shared" si="35"/>
        <v>444811.33533991181</v>
      </c>
      <c r="R526" s="259">
        <f t="shared" si="36"/>
        <v>0.62365824567928729</v>
      </c>
      <c r="S526" s="255">
        <f t="shared" si="33"/>
        <v>16.509937549545093</v>
      </c>
      <c r="T526" s="255">
        <f t="shared" si="33"/>
        <v>16.509937549545093</v>
      </c>
      <c r="U526" s="254">
        <v>101900</v>
      </c>
      <c r="V526" s="254" t="s">
        <v>997</v>
      </c>
      <c r="W526" s="254" t="s">
        <v>998</v>
      </c>
      <c r="X526" s="254" t="s">
        <v>446</v>
      </c>
      <c r="Y526" s="254" t="s">
        <v>836</v>
      </c>
      <c r="Z526" s="254" t="s">
        <v>1087</v>
      </c>
      <c r="AA526" s="254" t="s">
        <v>838</v>
      </c>
    </row>
    <row r="527" spans="1:27" ht="14.4" x14ac:dyDescent="0.3">
      <c r="A527" s="253">
        <v>11</v>
      </c>
      <c r="B527" s="254" t="s">
        <v>847</v>
      </c>
      <c r="C527" s="254">
        <v>903</v>
      </c>
      <c r="D527" s="254" t="s">
        <v>47</v>
      </c>
      <c r="E527" s="254" t="str">
        <f>_xlfn.XLOOKUP(C527,Clientes!I:I,Clientes!F:F)</f>
        <v>GRUPO YARA</v>
      </c>
      <c r="F527" s="254">
        <v>4627</v>
      </c>
      <c r="G527" s="254" t="s">
        <v>862</v>
      </c>
      <c r="H527" s="254" t="s">
        <v>1000</v>
      </c>
      <c r="I527" s="255">
        <v>60000</v>
      </c>
      <c r="J527" s="256">
        <v>60000</v>
      </c>
      <c r="K527" s="258">
        <v>514706.07522600587</v>
      </c>
      <c r="L527" s="258">
        <v>-61560</v>
      </c>
      <c r="M527" s="258">
        <f t="shared" si="34"/>
        <v>453146.07522600587</v>
      </c>
      <c r="N527" s="258">
        <v>-289404.5509090909</v>
      </c>
      <c r="O527" s="258">
        <v>-23627.927231999998</v>
      </c>
      <c r="P527" s="258">
        <v>-12.96319454960681</v>
      </c>
      <c r="Q527" s="258">
        <f t="shared" si="35"/>
        <v>140100.63389036537</v>
      </c>
      <c r="R527" s="259">
        <f t="shared" si="36"/>
        <v>0.30917322591945745</v>
      </c>
      <c r="S527" s="255">
        <f t="shared" si="33"/>
        <v>8.578434587100098</v>
      </c>
      <c r="T527" s="255">
        <f t="shared" si="33"/>
        <v>8.578434587100098</v>
      </c>
      <c r="U527" s="254">
        <v>102200</v>
      </c>
      <c r="V527" s="254" t="s">
        <v>1001</v>
      </c>
      <c r="W527" s="254" t="s">
        <v>1002</v>
      </c>
      <c r="X527" s="254" t="s">
        <v>446</v>
      </c>
      <c r="Y527" s="254" t="s">
        <v>843</v>
      </c>
      <c r="Z527" s="254" t="s">
        <v>1087</v>
      </c>
      <c r="AA527" s="254" t="s">
        <v>838</v>
      </c>
    </row>
    <row r="528" spans="1:27" ht="14.4" x14ac:dyDescent="0.3">
      <c r="A528" s="253">
        <v>11</v>
      </c>
      <c r="B528" s="254" t="s">
        <v>847</v>
      </c>
      <c r="C528" s="254">
        <v>1159</v>
      </c>
      <c r="D528" s="254" t="s">
        <v>50</v>
      </c>
      <c r="E528" s="254" t="str">
        <f>_xlfn.XLOOKUP(C528,Clientes!I:I,Clientes!F:F)</f>
        <v>GRUPO YARA</v>
      </c>
      <c r="F528" s="254">
        <v>4627</v>
      </c>
      <c r="G528" s="254" t="s">
        <v>877</v>
      </c>
      <c r="H528" s="254" t="s">
        <v>1000</v>
      </c>
      <c r="I528" s="255">
        <v>270000</v>
      </c>
      <c r="J528" s="256">
        <v>270000</v>
      </c>
      <c r="K528" s="258">
        <v>2451626.3056817646</v>
      </c>
      <c r="L528" s="258">
        <v>-293220</v>
      </c>
      <c r="M528" s="258">
        <f t="shared" si="34"/>
        <v>2158406.3056817646</v>
      </c>
      <c r="N528" s="258">
        <v>-1302320.4790909092</v>
      </c>
      <c r="O528" s="258">
        <v>-219794.44500000001</v>
      </c>
      <c r="P528" s="258">
        <v>-120.58773177526324</v>
      </c>
      <c r="Q528" s="258">
        <f t="shared" si="35"/>
        <v>636170.79385908006</v>
      </c>
      <c r="R528" s="259">
        <f t="shared" si="36"/>
        <v>0.29474098189225595</v>
      </c>
      <c r="S528" s="255">
        <f t="shared" si="33"/>
        <v>9.0800974284509799</v>
      </c>
      <c r="T528" s="255">
        <f t="shared" si="33"/>
        <v>9.0800974284509799</v>
      </c>
      <c r="U528" s="254">
        <v>102200</v>
      </c>
      <c r="V528" s="254" t="s">
        <v>1001</v>
      </c>
      <c r="W528" s="254" t="s">
        <v>878</v>
      </c>
      <c r="X528" s="254" t="s">
        <v>446</v>
      </c>
      <c r="Y528" s="254" t="s">
        <v>843</v>
      </c>
      <c r="Z528" s="254" t="s">
        <v>1087</v>
      </c>
      <c r="AA528" s="254" t="s">
        <v>838</v>
      </c>
    </row>
    <row r="529" spans="1:27" ht="14.4" x14ac:dyDescent="0.3">
      <c r="A529" s="253">
        <v>11</v>
      </c>
      <c r="B529" s="254" t="s">
        <v>847</v>
      </c>
      <c r="C529" s="254">
        <v>2352</v>
      </c>
      <c r="D529" s="254" t="s">
        <v>68</v>
      </c>
      <c r="E529" s="254" t="str">
        <f>_xlfn.XLOOKUP(C529,Clientes!I:I,Clientes!F:F)</f>
        <v>BR FERTIL - PARANAGUA</v>
      </c>
      <c r="F529" s="254">
        <v>12813</v>
      </c>
      <c r="G529" s="254" t="s">
        <v>862</v>
      </c>
      <c r="H529" s="254" t="s">
        <v>1060</v>
      </c>
      <c r="I529" s="255">
        <v>6000</v>
      </c>
      <c r="J529" s="256">
        <v>6000</v>
      </c>
      <c r="K529" s="258">
        <v>61617.934743704667</v>
      </c>
      <c r="L529" s="258">
        <v>-2400</v>
      </c>
      <c r="M529" s="258">
        <f t="shared" si="34"/>
        <v>59217.934743704667</v>
      </c>
      <c r="N529" s="258">
        <v>-27773.5</v>
      </c>
      <c r="O529" s="258">
        <v>-4374.3962786472002</v>
      </c>
      <c r="P529" s="258">
        <v>-2.3999629523312938</v>
      </c>
      <c r="Q529" s="258">
        <f t="shared" si="35"/>
        <v>27067.638502105136</v>
      </c>
      <c r="R529" s="259">
        <f t="shared" si="36"/>
        <v>0.45708514859989502</v>
      </c>
      <c r="S529" s="255">
        <f t="shared" si="33"/>
        <v>10.269655790617444</v>
      </c>
      <c r="T529" s="255">
        <f t="shared" si="33"/>
        <v>10.269655790617444</v>
      </c>
      <c r="U529" s="254">
        <v>102300</v>
      </c>
      <c r="V529" s="254" t="s">
        <v>1059</v>
      </c>
      <c r="W529" s="254" t="s">
        <v>864</v>
      </c>
      <c r="X529" s="254" t="s">
        <v>446</v>
      </c>
      <c r="Y529" s="254" t="s">
        <v>843</v>
      </c>
      <c r="Z529" s="254" t="s">
        <v>1087</v>
      </c>
      <c r="AA529" s="254" t="s">
        <v>838</v>
      </c>
    </row>
    <row r="530" spans="1:27" ht="14.4" x14ac:dyDescent="0.3">
      <c r="A530" s="253">
        <v>11</v>
      </c>
      <c r="B530" s="254" t="s">
        <v>847</v>
      </c>
      <c r="C530" s="254">
        <v>1292</v>
      </c>
      <c r="D530" s="254" t="s">
        <v>1079</v>
      </c>
      <c r="E530" s="254" t="str">
        <f>_xlfn.XLOOKUP(C530,Clientes!I:I,Clientes!F:F)</f>
        <v>GRUPO AGRO INDUSTRIAL SAO LUIZ LTDA</v>
      </c>
      <c r="F530" s="254">
        <v>12293</v>
      </c>
      <c r="G530" s="254" t="s">
        <v>893</v>
      </c>
      <c r="H530" s="254" t="s">
        <v>1058</v>
      </c>
      <c r="I530" s="255">
        <v>6000</v>
      </c>
      <c r="J530" s="256">
        <v>6000</v>
      </c>
      <c r="K530" s="258">
        <v>49294.347794963731</v>
      </c>
      <c r="L530" s="258">
        <v>-1920</v>
      </c>
      <c r="M530" s="258">
        <f t="shared" si="34"/>
        <v>47374.347794963731</v>
      </c>
      <c r="N530" s="258">
        <v>-20319.62</v>
      </c>
      <c r="O530" s="258">
        <v>-4818.2935420074</v>
      </c>
      <c r="P530" s="258">
        <v>-2.6435021561080458</v>
      </c>
      <c r="Q530" s="258">
        <f t="shared" si="35"/>
        <v>22233.790750800224</v>
      </c>
      <c r="R530" s="259">
        <f t="shared" si="36"/>
        <v>0.46932130542520845</v>
      </c>
      <c r="S530" s="255">
        <f t="shared" si="33"/>
        <v>8.2157246324939557</v>
      </c>
      <c r="T530" s="255">
        <f t="shared" si="33"/>
        <v>8.2157246324939557</v>
      </c>
      <c r="U530" s="254">
        <v>102300</v>
      </c>
      <c r="V530" s="254" t="s">
        <v>1059</v>
      </c>
      <c r="W530" s="254" t="s">
        <v>1080</v>
      </c>
      <c r="X530" s="254" t="s">
        <v>446</v>
      </c>
      <c r="Y530" s="254" t="s">
        <v>843</v>
      </c>
      <c r="Z530" s="254" t="s">
        <v>1087</v>
      </c>
      <c r="AA530" s="254" t="s">
        <v>838</v>
      </c>
    </row>
    <row r="531" spans="1:27" ht="14.4" x14ac:dyDescent="0.3">
      <c r="A531" s="253">
        <v>11</v>
      </c>
      <c r="B531" s="254" t="s">
        <v>847</v>
      </c>
      <c r="C531" s="254">
        <v>97</v>
      </c>
      <c r="D531" s="254" t="s">
        <v>300</v>
      </c>
      <c r="E531" s="254" t="str">
        <f>_xlfn.XLOOKUP(C531,Clientes!I:I,Clientes!F:F)</f>
        <v>FECOAGRO FEDERACAO DAS COOPERATIVAS</v>
      </c>
      <c r="F531" s="254">
        <v>13600</v>
      </c>
      <c r="G531" s="254" t="s">
        <v>893</v>
      </c>
      <c r="H531" s="254" t="s">
        <v>1098</v>
      </c>
      <c r="I531" s="255">
        <v>30000</v>
      </c>
      <c r="J531" s="256">
        <v>30000</v>
      </c>
      <c r="K531" s="258">
        <v>277280.70634667098</v>
      </c>
      <c r="L531" s="258">
        <v>-10800</v>
      </c>
      <c r="M531" s="258">
        <f t="shared" si="34"/>
        <v>266480.70634667098</v>
      </c>
      <c r="N531" s="258">
        <v>-177765.86000000002</v>
      </c>
      <c r="O531" s="258">
        <v>-16807.8105</v>
      </c>
      <c r="P531" s="258">
        <v>-9.2214147828142465</v>
      </c>
      <c r="Q531" s="258">
        <f t="shared" si="35"/>
        <v>71897.814431888153</v>
      </c>
      <c r="R531" s="259">
        <f t="shared" si="36"/>
        <v>0.26980495292726597</v>
      </c>
      <c r="S531" s="255">
        <f t="shared" si="33"/>
        <v>9.2426902115556988</v>
      </c>
      <c r="T531" s="255">
        <f t="shared" si="33"/>
        <v>9.2426902115556988</v>
      </c>
      <c r="U531" s="254">
        <v>102300</v>
      </c>
      <c r="V531" s="254" t="s">
        <v>1059</v>
      </c>
      <c r="W531" s="254" t="s">
        <v>894</v>
      </c>
      <c r="X531" s="254" t="s">
        <v>446</v>
      </c>
      <c r="Y531" s="254" t="s">
        <v>843</v>
      </c>
      <c r="Z531" s="254" t="s">
        <v>1087</v>
      </c>
      <c r="AA531" s="254" t="s">
        <v>838</v>
      </c>
    </row>
    <row r="532" spans="1:27" ht="14.4" x14ac:dyDescent="0.3">
      <c r="A532" s="253">
        <v>11</v>
      </c>
      <c r="B532" s="254" t="s">
        <v>847</v>
      </c>
      <c r="C532" s="254">
        <v>8413</v>
      </c>
      <c r="D532" s="254" t="s">
        <v>97</v>
      </c>
      <c r="E532" s="254" t="str">
        <f>_xlfn.XLOOKUP(C532,Clientes!I:I,Clientes!F:F)</f>
        <v>GRUPO AMAGGI</v>
      </c>
      <c r="F532" s="254">
        <v>7398</v>
      </c>
      <c r="G532" s="254" t="s">
        <v>840</v>
      </c>
      <c r="H532" s="254" t="s">
        <v>1004</v>
      </c>
      <c r="I532" s="255">
        <v>32000</v>
      </c>
      <c r="J532" s="256">
        <v>32000</v>
      </c>
      <c r="K532" s="258">
        <v>66240</v>
      </c>
      <c r="L532" s="258">
        <v>-4636.8</v>
      </c>
      <c r="M532" s="258">
        <f t="shared" si="34"/>
        <v>61603.199999999997</v>
      </c>
      <c r="N532" s="258">
        <v>-20064.697142857141</v>
      </c>
      <c r="O532" s="258">
        <v>-23352.800640000001</v>
      </c>
      <c r="P532" s="258">
        <v>-12.812249462344306</v>
      </c>
      <c r="Q532" s="258">
        <f t="shared" si="35"/>
        <v>18172.889967680509</v>
      </c>
      <c r="R532" s="259">
        <f t="shared" si="36"/>
        <v>0.29499912289752006</v>
      </c>
      <c r="S532" s="255">
        <f t="shared" si="33"/>
        <v>2.0699999999999998</v>
      </c>
      <c r="T532" s="255">
        <f t="shared" si="33"/>
        <v>2.0699999999999998</v>
      </c>
      <c r="U532" s="254">
        <v>102600</v>
      </c>
      <c r="V532" s="254" t="s">
        <v>1005</v>
      </c>
      <c r="W532" s="254" t="s">
        <v>915</v>
      </c>
      <c r="X532" s="254" t="s">
        <v>446</v>
      </c>
      <c r="Y532" s="254" t="s">
        <v>843</v>
      </c>
      <c r="Z532" s="254" t="s">
        <v>1087</v>
      </c>
      <c r="AA532" s="254" t="s">
        <v>838</v>
      </c>
    </row>
    <row r="533" spans="1:27" ht="14.4" x14ac:dyDescent="0.3">
      <c r="A533" s="253">
        <v>11</v>
      </c>
      <c r="B533" s="254" t="s">
        <v>847</v>
      </c>
      <c r="C533" s="254">
        <v>8414</v>
      </c>
      <c r="D533" s="254" t="s">
        <v>98</v>
      </c>
      <c r="E533" s="254" t="str">
        <f>_xlfn.XLOOKUP(C533,Clientes!I:I,Clientes!F:F)</f>
        <v>GRUPO AMAGGI</v>
      </c>
      <c r="F533" s="254">
        <v>7398</v>
      </c>
      <c r="G533" s="254" t="s">
        <v>1061</v>
      </c>
      <c r="H533" s="254" t="s">
        <v>1004</v>
      </c>
      <c r="I533" s="255">
        <v>16000</v>
      </c>
      <c r="J533" s="256">
        <v>16000</v>
      </c>
      <c r="K533" s="258">
        <v>37760</v>
      </c>
      <c r="L533" s="258">
        <v>-2643.2000000000003</v>
      </c>
      <c r="M533" s="258">
        <f t="shared" si="34"/>
        <v>35116.800000000003</v>
      </c>
      <c r="N533" s="258">
        <v>-10032.348571428571</v>
      </c>
      <c r="O533" s="258">
        <v>-26128.130595839997</v>
      </c>
      <c r="P533" s="258">
        <v>-14.334902795565203</v>
      </c>
      <c r="Q533" s="258">
        <f t="shared" si="35"/>
        <v>-1058.0140700641302</v>
      </c>
      <c r="R533" s="259">
        <f t="shared" si="36"/>
        <v>-3.0128430553584898E-2</v>
      </c>
      <c r="S533" s="255">
        <f t="shared" si="33"/>
        <v>2.36</v>
      </c>
      <c r="T533" s="255">
        <f t="shared" si="33"/>
        <v>2.36</v>
      </c>
      <c r="U533" s="254">
        <v>102600</v>
      </c>
      <c r="V533" s="254" t="s">
        <v>1005</v>
      </c>
      <c r="W533" s="254" t="s">
        <v>1062</v>
      </c>
      <c r="X533" s="254" t="s">
        <v>446</v>
      </c>
      <c r="Y533" s="254" t="s">
        <v>843</v>
      </c>
      <c r="Z533" s="254" t="s">
        <v>1087</v>
      </c>
      <c r="AA533" s="254" t="s">
        <v>838</v>
      </c>
    </row>
    <row r="534" spans="1:27" ht="14.4" x14ac:dyDescent="0.3">
      <c r="A534" s="253">
        <v>11</v>
      </c>
      <c r="B534" s="254" t="s">
        <v>847</v>
      </c>
      <c r="C534" s="254">
        <v>1953</v>
      </c>
      <c r="D534" s="254" t="s">
        <v>66</v>
      </c>
      <c r="E534" s="254" t="str">
        <f>_xlfn.XLOOKUP(C534,Clientes!I:I,Clientes!F:F)</f>
        <v>GRUPO AMAGGI</v>
      </c>
      <c r="F534" s="254">
        <v>7398</v>
      </c>
      <c r="G534" s="254" t="s">
        <v>840</v>
      </c>
      <c r="H534" s="254" t="s">
        <v>1004</v>
      </c>
      <c r="I534" s="255">
        <v>60000</v>
      </c>
      <c r="J534" s="256">
        <v>60000</v>
      </c>
      <c r="K534" s="258">
        <v>125400</v>
      </c>
      <c r="L534" s="258">
        <v>-8778</v>
      </c>
      <c r="M534" s="258">
        <f t="shared" si="34"/>
        <v>116622</v>
      </c>
      <c r="N534" s="258">
        <v>-37621.307142857142</v>
      </c>
      <c r="O534" s="258">
        <v>-41876.730604799995</v>
      </c>
      <c r="P534" s="258">
        <v>-22.97519374430313</v>
      </c>
      <c r="Q534" s="258">
        <f t="shared" si="35"/>
        <v>37100.987058598563</v>
      </c>
      <c r="R534" s="259">
        <f t="shared" si="36"/>
        <v>0.31813025894426922</v>
      </c>
      <c r="S534" s="255">
        <f t="shared" si="33"/>
        <v>2.09</v>
      </c>
      <c r="T534" s="255">
        <f t="shared" si="33"/>
        <v>2.09</v>
      </c>
      <c r="U534" s="254">
        <v>102600</v>
      </c>
      <c r="V534" s="254" t="s">
        <v>1005</v>
      </c>
      <c r="W534" s="254" t="s">
        <v>1008</v>
      </c>
      <c r="X534" s="254" t="s">
        <v>446</v>
      </c>
      <c r="Y534" s="254" t="s">
        <v>843</v>
      </c>
      <c r="Z534" s="254" t="s">
        <v>1087</v>
      </c>
      <c r="AA534" s="254" t="s">
        <v>838</v>
      </c>
    </row>
    <row r="535" spans="1:27" ht="14.4" x14ac:dyDescent="0.3">
      <c r="A535" s="253">
        <v>11</v>
      </c>
      <c r="B535" s="254" t="s">
        <v>847</v>
      </c>
      <c r="C535" s="254">
        <v>8855</v>
      </c>
      <c r="D535" s="254" t="s">
        <v>1003</v>
      </c>
      <c r="E535" s="254" t="str">
        <f>_xlfn.XLOOKUP(C535,Clientes!I:I,Clientes!F:F)</f>
        <v>TERMAG GUARUJA</v>
      </c>
      <c r="F535" s="254">
        <v>7398</v>
      </c>
      <c r="G535" s="254" t="s">
        <v>908</v>
      </c>
      <c r="H535" s="254" t="s">
        <v>1004</v>
      </c>
      <c r="I535" s="255">
        <v>60000</v>
      </c>
      <c r="J535" s="256">
        <v>60000</v>
      </c>
      <c r="K535" s="258">
        <v>147600</v>
      </c>
      <c r="L535" s="258">
        <v>-17712</v>
      </c>
      <c r="M535" s="258">
        <f t="shared" si="34"/>
        <v>129888</v>
      </c>
      <c r="N535" s="258">
        <v>-37621.307142857142</v>
      </c>
      <c r="O535" s="258">
        <v>-26091.264326399996</v>
      </c>
      <c r="P535" s="258">
        <v>-14.314676534565816</v>
      </c>
      <c r="Q535" s="258">
        <f t="shared" si="35"/>
        <v>66161.113854208306</v>
      </c>
      <c r="R535" s="259">
        <f t="shared" si="36"/>
        <v>0.50937048729835166</v>
      </c>
      <c r="S535" s="255">
        <f t="shared" si="33"/>
        <v>2.46</v>
      </c>
      <c r="T535" s="255">
        <f t="shared" si="33"/>
        <v>2.46</v>
      </c>
      <c r="U535" s="254">
        <v>102600</v>
      </c>
      <c r="V535" s="254" t="s">
        <v>1005</v>
      </c>
      <c r="W535" s="254" t="s">
        <v>1006</v>
      </c>
      <c r="X535" s="254" t="s">
        <v>446</v>
      </c>
      <c r="Y535" s="254" t="s">
        <v>843</v>
      </c>
      <c r="Z535" s="254" t="s">
        <v>1087</v>
      </c>
      <c r="AA535" s="254" t="s">
        <v>838</v>
      </c>
    </row>
    <row r="536" spans="1:27" ht="14.4" x14ac:dyDescent="0.3">
      <c r="A536" s="253">
        <v>11</v>
      </c>
      <c r="B536" s="254" t="s">
        <v>848</v>
      </c>
      <c r="C536" s="254">
        <v>9271</v>
      </c>
      <c r="D536" s="254" t="s">
        <v>587</v>
      </c>
      <c r="E536" s="254" t="str">
        <f>_xlfn.XLOOKUP(C536,Clientes!I:I,Clientes!F:F)</f>
        <v>BIOAGGIL ARGENTINA S. A.</v>
      </c>
      <c r="F536" s="254">
        <v>8060</v>
      </c>
      <c r="G536" s="254" t="s">
        <v>832</v>
      </c>
      <c r="H536" s="254" t="s">
        <v>1099</v>
      </c>
      <c r="I536" s="255">
        <v>22000</v>
      </c>
      <c r="J536" s="256">
        <v>22000</v>
      </c>
      <c r="K536" s="258">
        <v>174460</v>
      </c>
      <c r="L536" s="258">
        <v>0</v>
      </c>
      <c r="M536" s="258">
        <f t="shared" si="34"/>
        <v>174460</v>
      </c>
      <c r="N536" s="258">
        <v>-14513.55</v>
      </c>
      <c r="O536" s="258">
        <v>-34905.065066666742</v>
      </c>
      <c r="P536" s="258">
        <v>-1577.0946890899108</v>
      </c>
      <c r="Q536" s="258">
        <f t="shared" si="35"/>
        <v>123464.29024424336</v>
      </c>
      <c r="R536" s="259">
        <f t="shared" si="36"/>
        <v>0.70769397136445811</v>
      </c>
      <c r="S536" s="255">
        <f t="shared" si="33"/>
        <v>7.93</v>
      </c>
      <c r="T536" s="255">
        <f t="shared" si="33"/>
        <v>7.93</v>
      </c>
      <c r="U536" s="254">
        <v>100100</v>
      </c>
      <c r="V536" s="254" t="s">
        <v>834</v>
      </c>
      <c r="W536" s="254" t="s">
        <v>1100</v>
      </c>
      <c r="X536" s="254" t="s">
        <v>446</v>
      </c>
      <c r="Y536" s="254" t="s">
        <v>836</v>
      </c>
      <c r="Z536" s="254" t="s">
        <v>1101</v>
      </c>
      <c r="AA536" s="254" t="s">
        <v>838</v>
      </c>
    </row>
    <row r="537" spans="1:27" ht="14.4" x14ac:dyDescent="0.3">
      <c r="A537" s="253">
        <v>11</v>
      </c>
      <c r="B537" s="254" t="s">
        <v>848</v>
      </c>
      <c r="C537" s="254">
        <v>7022</v>
      </c>
      <c r="D537" s="254" t="s">
        <v>89</v>
      </c>
      <c r="E537" s="254" t="str">
        <f>_xlfn.XLOOKUP(C537,Clientes!I:I,Clientes!F:F)</f>
        <v>STRATOS - ROSARIO DO CATETE</v>
      </c>
      <c r="F537" s="254">
        <v>1043</v>
      </c>
      <c r="G537" s="254" t="s">
        <v>887</v>
      </c>
      <c r="H537" s="254" t="s">
        <v>860</v>
      </c>
      <c r="I537" s="255">
        <v>180000</v>
      </c>
      <c r="J537" s="256">
        <v>180000</v>
      </c>
      <c r="K537" s="258">
        <v>433800</v>
      </c>
      <c r="L537" s="258">
        <v>-30366.000000000004</v>
      </c>
      <c r="M537" s="258">
        <f t="shared" si="34"/>
        <v>403434</v>
      </c>
      <c r="N537" s="258">
        <v>-71781.034854771759</v>
      </c>
      <c r="O537" s="258">
        <v>-151269.0064704</v>
      </c>
      <c r="P537" s="258">
        <v>-68.985398118213709</v>
      </c>
      <c r="Q537" s="258">
        <f t="shared" si="35"/>
        <v>180314.97327671005</v>
      </c>
      <c r="R537" s="259">
        <f t="shared" si="36"/>
        <v>0.44695036431413826</v>
      </c>
      <c r="S537" s="255">
        <f t="shared" si="33"/>
        <v>2.41</v>
      </c>
      <c r="T537" s="255">
        <f t="shared" si="33"/>
        <v>2.41</v>
      </c>
      <c r="U537" s="254">
        <v>100100</v>
      </c>
      <c r="V537" s="254" t="s">
        <v>834</v>
      </c>
      <c r="W537" s="254" t="s">
        <v>888</v>
      </c>
      <c r="X537" s="254" t="s">
        <v>446</v>
      </c>
      <c r="Y537" s="254" t="s">
        <v>843</v>
      </c>
      <c r="Z537" s="254" t="s">
        <v>1101</v>
      </c>
      <c r="AA537" s="254" t="s">
        <v>838</v>
      </c>
    </row>
    <row r="538" spans="1:27" ht="14.4" x14ac:dyDescent="0.3">
      <c r="A538" s="253">
        <v>11</v>
      </c>
      <c r="B538" s="254" t="s">
        <v>848</v>
      </c>
      <c r="C538" s="254">
        <v>2003</v>
      </c>
      <c r="D538" s="254" t="s">
        <v>316</v>
      </c>
      <c r="E538" s="254" t="str">
        <f>_xlfn.XLOOKUP(C538,Clientes!I:I,Clientes!F:F)</f>
        <v>GRUPO HERINGER</v>
      </c>
      <c r="F538" s="254">
        <v>7384</v>
      </c>
      <c r="G538" s="254" t="s">
        <v>877</v>
      </c>
      <c r="H538" s="254" t="s">
        <v>856</v>
      </c>
      <c r="I538" s="255">
        <v>20000</v>
      </c>
      <c r="J538" s="256">
        <v>20000</v>
      </c>
      <c r="K538" s="258">
        <v>70000</v>
      </c>
      <c r="L538" s="258">
        <v>-8400</v>
      </c>
      <c r="M538" s="258">
        <f t="shared" si="34"/>
        <v>61600</v>
      </c>
      <c r="N538" s="258">
        <v>-13679.237391304348</v>
      </c>
      <c r="O538" s="258">
        <v>-16281.07</v>
      </c>
      <c r="P538" s="258">
        <v>-7.4248923949948891</v>
      </c>
      <c r="Q538" s="258">
        <f t="shared" si="35"/>
        <v>31632.267716300656</v>
      </c>
      <c r="R538" s="259">
        <f t="shared" si="36"/>
        <v>0.51351083955033527</v>
      </c>
      <c r="S538" s="255">
        <f t="shared" si="33"/>
        <v>3.5</v>
      </c>
      <c r="T538" s="255">
        <f t="shared" si="33"/>
        <v>3.5</v>
      </c>
      <c r="U538" s="254">
        <v>100100</v>
      </c>
      <c r="V538" s="254" t="s">
        <v>834</v>
      </c>
      <c r="W538" s="254" t="s">
        <v>878</v>
      </c>
      <c r="X538" s="254" t="s">
        <v>446</v>
      </c>
      <c r="Y538" s="254" t="s">
        <v>843</v>
      </c>
      <c r="Z538" s="254" t="s">
        <v>1101</v>
      </c>
      <c r="AA538" s="254" t="s">
        <v>838</v>
      </c>
    </row>
    <row r="539" spans="1:27" ht="14.4" x14ac:dyDescent="0.3">
      <c r="A539" s="253">
        <v>11</v>
      </c>
      <c r="B539" s="254" t="s">
        <v>848</v>
      </c>
      <c r="C539" s="254">
        <v>1462</v>
      </c>
      <c r="D539" s="254" t="s">
        <v>907</v>
      </c>
      <c r="E539" s="254" t="str">
        <f>_xlfn.XLOOKUP(C539,Clientes!I:I,Clientes!F:F)</f>
        <v>AURORA MINERAÇÃO LTDA</v>
      </c>
      <c r="F539" s="254">
        <v>1042</v>
      </c>
      <c r="G539" s="254" t="s">
        <v>908</v>
      </c>
      <c r="H539" s="254" t="s">
        <v>909</v>
      </c>
      <c r="I539" s="255">
        <v>45000</v>
      </c>
      <c r="J539" s="256">
        <v>45000</v>
      </c>
      <c r="K539" s="258">
        <v>75150</v>
      </c>
      <c r="L539" s="258">
        <v>-9018</v>
      </c>
      <c r="M539" s="258">
        <f t="shared" si="34"/>
        <v>66132</v>
      </c>
      <c r="N539" s="258">
        <v>-25190.484</v>
      </c>
      <c r="O539" s="258">
        <v>0</v>
      </c>
      <c r="P539" s="258">
        <v>0</v>
      </c>
      <c r="Q539" s="258">
        <f t="shared" si="35"/>
        <v>40941.516000000003</v>
      </c>
      <c r="R539" s="259">
        <f t="shared" si="36"/>
        <v>0.6190878243512975</v>
      </c>
      <c r="S539" s="255">
        <f t="shared" si="33"/>
        <v>1.67</v>
      </c>
      <c r="T539" s="255">
        <f t="shared" si="33"/>
        <v>1.67</v>
      </c>
      <c r="U539" s="254">
        <v>100100</v>
      </c>
      <c r="V539" s="254" t="s">
        <v>834</v>
      </c>
      <c r="W539" s="254" t="s">
        <v>910</v>
      </c>
      <c r="X539" s="254" t="s">
        <v>446</v>
      </c>
      <c r="Y539" s="254" t="s">
        <v>843</v>
      </c>
      <c r="Z539" s="254" t="s">
        <v>1101</v>
      </c>
      <c r="AA539" s="254" t="s">
        <v>838</v>
      </c>
    </row>
    <row r="540" spans="1:27" ht="14.4" x14ac:dyDescent="0.3">
      <c r="A540" s="253">
        <v>11</v>
      </c>
      <c r="B540" s="254" t="s">
        <v>848</v>
      </c>
      <c r="C540" s="254">
        <v>2287</v>
      </c>
      <c r="D540" s="254" t="s">
        <v>114</v>
      </c>
      <c r="E540" s="254" t="str">
        <f>_xlfn.XLOOKUP(C540,Clientes!I:I,Clientes!F:F)</f>
        <v>BUNGE PARAGUAY S.A</v>
      </c>
      <c r="F540" s="254">
        <v>4067</v>
      </c>
      <c r="G540" s="254" t="s">
        <v>832</v>
      </c>
      <c r="H540" s="254" t="s">
        <v>881</v>
      </c>
      <c r="I540" s="255">
        <v>90000</v>
      </c>
      <c r="J540" s="256">
        <v>90000</v>
      </c>
      <c r="K540" s="258">
        <v>477000</v>
      </c>
      <c r="L540" s="258">
        <v>0</v>
      </c>
      <c r="M540" s="258">
        <f t="shared" si="34"/>
        <v>477000</v>
      </c>
      <c r="N540" s="258">
        <v>-137558.40499999997</v>
      </c>
      <c r="O540" s="258">
        <v>-107165.99999999969</v>
      </c>
      <c r="P540" s="258">
        <v>-6435.5032991843091</v>
      </c>
      <c r="Q540" s="258">
        <f t="shared" si="35"/>
        <v>225840.091700816</v>
      </c>
      <c r="R540" s="259">
        <f t="shared" si="36"/>
        <v>0.47345931174175265</v>
      </c>
      <c r="S540" s="255">
        <f t="shared" si="33"/>
        <v>5.3</v>
      </c>
      <c r="T540" s="255">
        <f t="shared" si="33"/>
        <v>5.3</v>
      </c>
      <c r="U540" s="254">
        <v>100100</v>
      </c>
      <c r="V540" s="254" t="s">
        <v>834</v>
      </c>
      <c r="W540" s="254" t="s">
        <v>882</v>
      </c>
      <c r="X540" s="254" t="s">
        <v>446</v>
      </c>
      <c r="Y540" s="254" t="s">
        <v>836</v>
      </c>
      <c r="Z540" s="254" t="s">
        <v>1101</v>
      </c>
      <c r="AA540" s="254" t="s">
        <v>838</v>
      </c>
    </row>
    <row r="541" spans="1:27" ht="14.4" x14ac:dyDescent="0.3">
      <c r="A541" s="253">
        <v>11</v>
      </c>
      <c r="B541" s="254" t="s">
        <v>848</v>
      </c>
      <c r="C541" s="254">
        <v>6370</v>
      </c>
      <c r="D541" s="254" t="s">
        <v>264</v>
      </c>
      <c r="E541" s="254" t="str">
        <f>_xlfn.XLOOKUP(C541,Clientes!I:I,Clientes!F:F)</f>
        <v>YTL S.A. - PARAGUAI</v>
      </c>
      <c r="F541" s="254">
        <v>4067</v>
      </c>
      <c r="G541" s="254" t="s">
        <v>832</v>
      </c>
      <c r="H541" s="254" t="s">
        <v>881</v>
      </c>
      <c r="I541" s="255">
        <v>60000</v>
      </c>
      <c r="J541" s="256">
        <v>60000</v>
      </c>
      <c r="K541" s="258">
        <v>308400</v>
      </c>
      <c r="L541" s="258">
        <v>0</v>
      </c>
      <c r="M541" s="258">
        <f t="shared" si="34"/>
        <v>308400</v>
      </c>
      <c r="N541" s="258">
        <v>-91705.603333333303</v>
      </c>
      <c r="O541" s="258">
        <v>-60943.4496</v>
      </c>
      <c r="P541" s="258">
        <v>-4285.5468145536852</v>
      </c>
      <c r="Q541" s="258">
        <f t="shared" si="35"/>
        <v>151465.40025211303</v>
      </c>
      <c r="R541" s="259">
        <f t="shared" si="36"/>
        <v>0.4911329450457621</v>
      </c>
      <c r="S541" s="255">
        <f t="shared" si="33"/>
        <v>5.14</v>
      </c>
      <c r="T541" s="255">
        <f t="shared" si="33"/>
        <v>5.14</v>
      </c>
      <c r="U541" s="254">
        <v>100100</v>
      </c>
      <c r="V541" s="254" t="s">
        <v>834</v>
      </c>
      <c r="W541" s="254" t="s">
        <v>896</v>
      </c>
      <c r="X541" s="254" t="s">
        <v>446</v>
      </c>
      <c r="Y541" s="254" t="s">
        <v>836</v>
      </c>
      <c r="Z541" s="254" t="s">
        <v>1101</v>
      </c>
      <c r="AA541" s="254" t="s">
        <v>838</v>
      </c>
    </row>
    <row r="542" spans="1:27" ht="14.4" x14ac:dyDescent="0.3">
      <c r="A542" s="253">
        <v>11</v>
      </c>
      <c r="B542" s="254" t="s">
        <v>848</v>
      </c>
      <c r="C542" s="254">
        <v>2011</v>
      </c>
      <c r="D542" s="254" t="s">
        <v>616</v>
      </c>
      <c r="E542" s="254" t="str">
        <f>_xlfn.XLOOKUP(C542,Clientes!I:I,Clientes!F:F)</f>
        <v>FERTGROW S.A</v>
      </c>
      <c r="F542" s="254">
        <v>6654</v>
      </c>
      <c r="G542" s="254" t="s">
        <v>897</v>
      </c>
      <c r="H542" s="254" t="s">
        <v>898</v>
      </c>
      <c r="I542" s="255">
        <v>180000</v>
      </c>
      <c r="J542" s="256">
        <v>180000</v>
      </c>
      <c r="K542" s="258">
        <v>486000</v>
      </c>
      <c r="L542" s="258">
        <v>-34020</v>
      </c>
      <c r="M542" s="258">
        <f t="shared" si="34"/>
        <v>451980</v>
      </c>
      <c r="N542" s="258">
        <v>-70102.73</v>
      </c>
      <c r="O542" s="258">
        <v>-158769.16379999998</v>
      </c>
      <c r="P542" s="258">
        <v>-72.405803602485449</v>
      </c>
      <c r="Q542" s="258">
        <f t="shared" si="35"/>
        <v>223035.70039639756</v>
      </c>
      <c r="R542" s="259">
        <f t="shared" si="36"/>
        <v>0.49346364971104378</v>
      </c>
      <c r="S542" s="255">
        <f t="shared" si="33"/>
        <v>2.7</v>
      </c>
      <c r="T542" s="255">
        <f t="shared" si="33"/>
        <v>2.7</v>
      </c>
      <c r="U542" s="254">
        <v>100100</v>
      </c>
      <c r="V542" s="254" t="s">
        <v>834</v>
      </c>
      <c r="W542" s="254" t="s">
        <v>899</v>
      </c>
      <c r="X542" s="254" t="s">
        <v>446</v>
      </c>
      <c r="Y542" s="254" t="s">
        <v>843</v>
      </c>
      <c r="Z542" s="254" t="s">
        <v>1101</v>
      </c>
      <c r="AA542" s="254" t="s">
        <v>838</v>
      </c>
    </row>
    <row r="543" spans="1:27" ht="14.4" x14ac:dyDescent="0.3">
      <c r="A543" s="253">
        <v>11</v>
      </c>
      <c r="B543" s="254" t="s">
        <v>848</v>
      </c>
      <c r="C543" s="254">
        <v>205</v>
      </c>
      <c r="D543" s="254" t="s">
        <v>859</v>
      </c>
      <c r="E543" s="254" t="str">
        <f>_xlfn.XLOOKUP(C543,Clientes!I:I,Clientes!F:F)</f>
        <v>GRUPO FERTIPAR FERTILIZANTES MATO GROSSO</v>
      </c>
      <c r="F543" s="254">
        <v>231</v>
      </c>
      <c r="G543" s="254" t="s">
        <v>840</v>
      </c>
      <c r="H543" s="254" t="s">
        <v>1088</v>
      </c>
      <c r="I543" s="255">
        <v>15000</v>
      </c>
      <c r="J543" s="256">
        <v>15000</v>
      </c>
      <c r="K543" s="258">
        <v>36900</v>
      </c>
      <c r="L543" s="258">
        <v>-2583.0000000000005</v>
      </c>
      <c r="M543" s="258">
        <f t="shared" si="34"/>
        <v>34317</v>
      </c>
      <c r="N543" s="258">
        <v>-16474.36</v>
      </c>
      <c r="O543" s="258">
        <v>-9555.9144492044998</v>
      </c>
      <c r="P543" s="258">
        <v>-4.3579222078843882</v>
      </c>
      <c r="Q543" s="258">
        <f t="shared" si="35"/>
        <v>8282.3676285876154</v>
      </c>
      <c r="R543" s="259">
        <f t="shared" si="36"/>
        <v>0.24134882503096469</v>
      </c>
      <c r="S543" s="255">
        <f t="shared" si="33"/>
        <v>2.46</v>
      </c>
      <c r="T543" s="255">
        <f t="shared" si="33"/>
        <v>2.46</v>
      </c>
      <c r="U543" s="254">
        <v>100100</v>
      </c>
      <c r="V543" s="254" t="s">
        <v>834</v>
      </c>
      <c r="W543" s="254" t="s">
        <v>861</v>
      </c>
      <c r="X543" s="254" t="s">
        <v>446</v>
      </c>
      <c r="Y543" s="254" t="s">
        <v>843</v>
      </c>
      <c r="Z543" s="254" t="s">
        <v>1101</v>
      </c>
      <c r="AA543" s="254" t="s">
        <v>838</v>
      </c>
    </row>
    <row r="544" spans="1:27" ht="14.4" x14ac:dyDescent="0.3">
      <c r="A544" s="253">
        <v>11</v>
      </c>
      <c r="B544" s="254" t="s">
        <v>848</v>
      </c>
      <c r="C544" s="254">
        <v>7443</v>
      </c>
      <c r="D544" s="254" t="s">
        <v>1016</v>
      </c>
      <c r="E544" s="254" t="str">
        <f>_xlfn.XLOOKUP(C544,Clientes!I:I,Clientes!F:F)</f>
        <v>GRUPO MOSAIC FERTILIZANTES DO BRASIL</v>
      </c>
      <c r="F544" s="254">
        <v>1043</v>
      </c>
      <c r="G544" s="254" t="s">
        <v>867</v>
      </c>
      <c r="H544" s="254" t="s">
        <v>860</v>
      </c>
      <c r="I544" s="255">
        <v>30000</v>
      </c>
      <c r="J544" s="256">
        <v>30000</v>
      </c>
      <c r="K544" s="258">
        <v>72000</v>
      </c>
      <c r="L544" s="258">
        <v>-5040.0000000000009</v>
      </c>
      <c r="M544" s="258">
        <f t="shared" si="34"/>
        <v>66960</v>
      </c>
      <c r="N544" s="258">
        <v>-11963.505809128625</v>
      </c>
      <c r="O544" s="258">
        <v>-2442.1605</v>
      </c>
      <c r="P544" s="258">
        <v>-1.1137338592492334</v>
      </c>
      <c r="Q544" s="258">
        <f t="shared" si="35"/>
        <v>52553.219957012123</v>
      </c>
      <c r="R544" s="259">
        <f t="shared" si="36"/>
        <v>0.78484498143685966</v>
      </c>
      <c r="S544" s="255">
        <f t="shared" si="33"/>
        <v>2.4</v>
      </c>
      <c r="T544" s="255">
        <f t="shared" si="33"/>
        <v>2.4</v>
      </c>
      <c r="U544" s="254">
        <v>100100</v>
      </c>
      <c r="V544" s="254" t="s">
        <v>834</v>
      </c>
      <c r="W544" s="254" t="s">
        <v>871</v>
      </c>
      <c r="X544" s="254" t="s">
        <v>446</v>
      </c>
      <c r="Y544" s="254" t="s">
        <v>843</v>
      </c>
      <c r="Z544" s="254" t="s">
        <v>1101</v>
      </c>
      <c r="AA544" s="254" t="s">
        <v>838</v>
      </c>
    </row>
    <row r="545" spans="1:27" ht="14.4" x14ac:dyDescent="0.3">
      <c r="A545" s="253">
        <v>11</v>
      </c>
      <c r="B545" s="254" t="s">
        <v>848</v>
      </c>
      <c r="C545" s="254">
        <v>5209</v>
      </c>
      <c r="D545" s="254" t="s">
        <v>870</v>
      </c>
      <c r="E545" s="254" t="str">
        <f>_xlfn.XLOOKUP(C545,Clientes!I:I,Clientes!F:F)</f>
        <v>NUTRISOYA - CATALÃO</v>
      </c>
      <c r="F545" s="254">
        <v>1043</v>
      </c>
      <c r="G545" s="254" t="s">
        <v>867</v>
      </c>
      <c r="H545" s="254" t="s">
        <v>860</v>
      </c>
      <c r="I545" s="255">
        <v>15000</v>
      </c>
      <c r="J545" s="256">
        <v>15000</v>
      </c>
      <c r="K545" s="258">
        <v>28500</v>
      </c>
      <c r="L545" s="258">
        <v>-1995.0000000000002</v>
      </c>
      <c r="M545" s="258">
        <f t="shared" si="34"/>
        <v>26505</v>
      </c>
      <c r="N545" s="258">
        <v>-5981.7529045643123</v>
      </c>
      <c r="O545" s="258">
        <v>-2614.5482999999999</v>
      </c>
      <c r="P545" s="258">
        <v>-1.1923503669609441</v>
      </c>
      <c r="Q545" s="258">
        <f t="shared" si="35"/>
        <v>17907.506445068728</v>
      </c>
      <c r="R545" s="259">
        <f t="shared" si="36"/>
        <v>0.67562748330762978</v>
      </c>
      <c r="S545" s="255">
        <f t="shared" si="33"/>
        <v>1.9</v>
      </c>
      <c r="T545" s="255">
        <f t="shared" si="33"/>
        <v>1.9</v>
      </c>
      <c r="U545" s="254">
        <v>100100</v>
      </c>
      <c r="V545" s="254" t="s">
        <v>834</v>
      </c>
      <c r="W545" s="254" t="s">
        <v>871</v>
      </c>
      <c r="X545" s="254" t="s">
        <v>446</v>
      </c>
      <c r="Y545" s="254" t="s">
        <v>843</v>
      </c>
      <c r="Z545" s="254" t="s">
        <v>1101</v>
      </c>
      <c r="AA545" s="254" t="s">
        <v>838</v>
      </c>
    </row>
    <row r="546" spans="1:27" ht="14.4" x14ac:dyDescent="0.3">
      <c r="A546" s="253">
        <v>11</v>
      </c>
      <c r="B546" s="254" t="s">
        <v>848</v>
      </c>
      <c r="C546" s="254">
        <v>2975</v>
      </c>
      <c r="D546" s="254" t="s">
        <v>420</v>
      </c>
      <c r="E546" s="254" t="str">
        <f>_xlfn.XLOOKUP(C546,Clientes!I:I,Clientes!F:F)</f>
        <v>COONAGRO COOPERATIVA - PARANAGUA</v>
      </c>
      <c r="F546" s="254">
        <v>4</v>
      </c>
      <c r="G546" s="254" t="s">
        <v>862</v>
      </c>
      <c r="H546" s="254" t="s">
        <v>863</v>
      </c>
      <c r="I546" s="255">
        <v>60000</v>
      </c>
      <c r="J546" s="256">
        <v>60000</v>
      </c>
      <c r="K546" s="258">
        <v>239400</v>
      </c>
      <c r="L546" s="258">
        <v>-28728</v>
      </c>
      <c r="M546" s="258">
        <f t="shared" si="34"/>
        <v>210672</v>
      </c>
      <c r="N546" s="258">
        <v>-58744.789090909086</v>
      </c>
      <c r="O546" s="258">
        <v>-28099.2114</v>
      </c>
      <c r="P546" s="258">
        <v>-12.814490757008826</v>
      </c>
      <c r="Q546" s="258">
        <f t="shared" si="35"/>
        <v>123815.1850183339</v>
      </c>
      <c r="R546" s="259">
        <f t="shared" si="36"/>
        <v>0.58771542975969226</v>
      </c>
      <c r="S546" s="255">
        <f t="shared" si="33"/>
        <v>3.99</v>
      </c>
      <c r="T546" s="255">
        <f t="shared" si="33"/>
        <v>3.99</v>
      </c>
      <c r="U546" s="254">
        <v>100100</v>
      </c>
      <c r="V546" s="254" t="s">
        <v>834</v>
      </c>
      <c r="W546" s="254" t="s">
        <v>864</v>
      </c>
      <c r="X546" s="254" t="s">
        <v>446</v>
      </c>
      <c r="Y546" s="254" t="s">
        <v>843</v>
      </c>
      <c r="Z546" s="254" t="s">
        <v>1101</v>
      </c>
      <c r="AA546" s="254" t="s">
        <v>838</v>
      </c>
    </row>
    <row r="547" spans="1:27" ht="14.4" x14ac:dyDescent="0.3">
      <c r="A547" s="253">
        <v>11</v>
      </c>
      <c r="B547" s="254" t="s">
        <v>848</v>
      </c>
      <c r="C547" s="254">
        <v>2247</v>
      </c>
      <c r="D547" s="254" t="s">
        <v>425</v>
      </c>
      <c r="E547" s="254" t="str">
        <f>_xlfn.XLOOKUP(C547,Clientes!I:I,Clientes!F:F)</f>
        <v>ADUBOS LEAO - LARANJEIRAS</v>
      </c>
      <c r="F547" s="254">
        <v>14133</v>
      </c>
      <c r="G547" s="254" t="s">
        <v>887</v>
      </c>
      <c r="H547" s="254" t="s">
        <v>841</v>
      </c>
      <c r="I547" s="255">
        <v>1000</v>
      </c>
      <c r="J547" s="256">
        <v>1000</v>
      </c>
      <c r="K547" s="258">
        <v>5500</v>
      </c>
      <c r="L547" s="258">
        <v>-385.00000000000006</v>
      </c>
      <c r="M547" s="258">
        <f t="shared" si="34"/>
        <v>5115</v>
      </c>
      <c r="N547" s="258">
        <v>-1175.7023037974682</v>
      </c>
      <c r="O547" s="258">
        <v>-1540.8424886400001</v>
      </c>
      <c r="P547" s="258">
        <v>-0.70269273922341324</v>
      </c>
      <c r="Q547" s="258">
        <f t="shared" si="35"/>
        <v>2397.752514823308</v>
      </c>
      <c r="R547" s="259">
        <f t="shared" si="36"/>
        <v>0.46876882010230853</v>
      </c>
      <c r="S547" s="255">
        <f t="shared" si="33"/>
        <v>5.5</v>
      </c>
      <c r="T547" s="255">
        <f t="shared" si="33"/>
        <v>5.5</v>
      </c>
      <c r="U547" s="254">
        <v>100100</v>
      </c>
      <c r="V547" s="254" t="s">
        <v>834</v>
      </c>
      <c r="W547" s="254" t="s">
        <v>1030</v>
      </c>
      <c r="X547" s="254" t="s">
        <v>446</v>
      </c>
      <c r="Y547" s="254" t="s">
        <v>843</v>
      </c>
      <c r="Z547" s="254" t="s">
        <v>1101</v>
      </c>
      <c r="AA547" s="254" t="s">
        <v>838</v>
      </c>
    </row>
    <row r="548" spans="1:27" ht="14.4" x14ac:dyDescent="0.3">
      <c r="A548" s="253">
        <v>11</v>
      </c>
      <c r="B548" s="254" t="s">
        <v>848</v>
      </c>
      <c r="C548" s="254">
        <v>1023</v>
      </c>
      <c r="D548" s="254" t="s">
        <v>49</v>
      </c>
      <c r="E548" s="254" t="str">
        <f>_xlfn.XLOOKUP(C548,Clientes!I:I,Clientes!F:F)</f>
        <v>GRUPO ADUBOS ARAGUAIA</v>
      </c>
      <c r="F548" s="254">
        <v>1</v>
      </c>
      <c r="G548" s="254" t="s">
        <v>840</v>
      </c>
      <c r="H548" s="254" t="s">
        <v>873</v>
      </c>
      <c r="I548" s="255">
        <v>30000</v>
      </c>
      <c r="J548" s="256">
        <v>30000</v>
      </c>
      <c r="K548" s="258">
        <v>72900</v>
      </c>
      <c r="L548" s="258">
        <v>-5103.0000000000009</v>
      </c>
      <c r="M548" s="258">
        <f t="shared" si="34"/>
        <v>67797</v>
      </c>
      <c r="N548" s="258">
        <v>-19666.866000000005</v>
      </c>
      <c r="O548" s="258">
        <v>-11980.9521</v>
      </c>
      <c r="P548" s="258">
        <v>-5.4638472859638867</v>
      </c>
      <c r="Q548" s="258">
        <f t="shared" si="35"/>
        <v>36143.718052714023</v>
      </c>
      <c r="R548" s="259">
        <f t="shared" si="36"/>
        <v>0.53311677585607065</v>
      </c>
      <c r="S548" s="255">
        <f t="shared" si="33"/>
        <v>2.4300000000000002</v>
      </c>
      <c r="T548" s="255">
        <f t="shared" si="33"/>
        <v>2.4300000000000002</v>
      </c>
      <c r="U548" s="254">
        <v>100100</v>
      </c>
      <c r="V548" s="254" t="s">
        <v>834</v>
      </c>
      <c r="W548" s="254" t="s">
        <v>861</v>
      </c>
      <c r="X548" s="254" t="s">
        <v>446</v>
      </c>
      <c r="Y548" s="254" t="s">
        <v>843</v>
      </c>
      <c r="Z548" s="254" t="s">
        <v>1101</v>
      </c>
      <c r="AA548" s="254" t="s">
        <v>838</v>
      </c>
    </row>
    <row r="549" spans="1:27" ht="14.4" x14ac:dyDescent="0.3">
      <c r="A549" s="253">
        <v>11</v>
      </c>
      <c r="B549" s="254" t="s">
        <v>848</v>
      </c>
      <c r="C549" s="254">
        <v>43</v>
      </c>
      <c r="D549" s="254" t="s">
        <v>674</v>
      </c>
      <c r="E549" s="254" t="str">
        <f>_xlfn.XLOOKUP(C549,Clientes!I:I,Clientes!F:F)</f>
        <v>GRUPO CIBRA</v>
      </c>
      <c r="F549" s="254">
        <v>148</v>
      </c>
      <c r="G549" s="254" t="s">
        <v>875</v>
      </c>
      <c r="H549" s="254" t="s">
        <v>904</v>
      </c>
      <c r="I549" s="255">
        <v>180000</v>
      </c>
      <c r="J549" s="256">
        <v>180000</v>
      </c>
      <c r="K549" s="258">
        <v>426600</v>
      </c>
      <c r="L549" s="258">
        <v>-29862.000000000004</v>
      </c>
      <c r="M549" s="258">
        <f t="shared" si="34"/>
        <v>396738</v>
      </c>
      <c r="N549" s="258">
        <v>-120712.2870229008</v>
      </c>
      <c r="O549" s="258">
        <v>-124574.4759168</v>
      </c>
      <c r="P549" s="258">
        <v>-56.811504332646592</v>
      </c>
      <c r="Q549" s="258">
        <f t="shared" si="35"/>
        <v>151394.42555596659</v>
      </c>
      <c r="R549" s="259">
        <f t="shared" si="36"/>
        <v>0.38159799554357432</v>
      </c>
      <c r="S549" s="255">
        <f t="shared" si="33"/>
        <v>2.37</v>
      </c>
      <c r="T549" s="255">
        <f t="shared" si="33"/>
        <v>2.37</v>
      </c>
      <c r="U549" s="254">
        <v>100100</v>
      </c>
      <c r="V549" s="254" t="s">
        <v>834</v>
      </c>
      <c r="W549" s="254" t="s">
        <v>905</v>
      </c>
      <c r="X549" s="254" t="s">
        <v>446</v>
      </c>
      <c r="Y549" s="254" t="s">
        <v>843</v>
      </c>
      <c r="Z549" s="254" t="s">
        <v>1101</v>
      </c>
      <c r="AA549" s="254" t="s">
        <v>838</v>
      </c>
    </row>
    <row r="550" spans="1:27" ht="14.4" x14ac:dyDescent="0.3">
      <c r="A550" s="253">
        <v>11</v>
      </c>
      <c r="B550" s="254" t="s">
        <v>848</v>
      </c>
      <c r="C550" s="254">
        <v>33</v>
      </c>
      <c r="D550" s="254" t="s">
        <v>885</v>
      </c>
      <c r="E550" s="254" t="str">
        <f>_xlfn.XLOOKUP(C550,Clientes!I:I,Clientes!F:F)</f>
        <v>GRUPO HERINGER</v>
      </c>
      <c r="F550" s="254">
        <v>7384</v>
      </c>
      <c r="G550" s="254" t="s">
        <v>862</v>
      </c>
      <c r="H550" s="254" t="s">
        <v>856</v>
      </c>
      <c r="I550" s="255">
        <v>30000</v>
      </c>
      <c r="J550" s="256">
        <v>30000</v>
      </c>
      <c r="K550" s="258">
        <v>98400</v>
      </c>
      <c r="L550" s="258">
        <v>-11808</v>
      </c>
      <c r="M550" s="258">
        <f t="shared" si="34"/>
        <v>86592</v>
      </c>
      <c r="N550" s="258">
        <v>-20518.856086956523</v>
      </c>
      <c r="O550" s="258">
        <v>-14049.6057</v>
      </c>
      <c r="P550" s="258">
        <v>-6.4072453785044132</v>
      </c>
      <c r="Q550" s="258">
        <f t="shared" si="35"/>
        <v>52017.130967664969</v>
      </c>
      <c r="R550" s="259">
        <f t="shared" si="36"/>
        <v>0.6007152042644236</v>
      </c>
      <c r="S550" s="255">
        <f t="shared" si="33"/>
        <v>3.28</v>
      </c>
      <c r="T550" s="255">
        <f t="shared" si="33"/>
        <v>3.28</v>
      </c>
      <c r="U550" s="254">
        <v>100100</v>
      </c>
      <c r="V550" s="254" t="s">
        <v>834</v>
      </c>
      <c r="W550" s="254" t="s">
        <v>864</v>
      </c>
      <c r="X550" s="254" t="s">
        <v>446</v>
      </c>
      <c r="Y550" s="254" t="s">
        <v>843</v>
      </c>
      <c r="Z550" s="254" t="s">
        <v>1101</v>
      </c>
      <c r="AA550" s="254" t="s">
        <v>838</v>
      </c>
    </row>
    <row r="551" spans="1:27" ht="14.4" x14ac:dyDescent="0.3">
      <c r="A551" s="253">
        <v>11</v>
      </c>
      <c r="B551" s="254" t="s">
        <v>848</v>
      </c>
      <c r="C551" s="254">
        <v>7479</v>
      </c>
      <c r="D551" s="254" t="s">
        <v>1017</v>
      </c>
      <c r="E551" s="254" t="str">
        <f>_xlfn.XLOOKUP(C551,Clientes!I:I,Clientes!F:F)</f>
        <v>GRUPO MOSAIC FERTILIZANTES DO BRASIL</v>
      </c>
      <c r="F551" s="254">
        <v>1043</v>
      </c>
      <c r="G551" s="254" t="s">
        <v>908</v>
      </c>
      <c r="H551" s="254" t="s">
        <v>860</v>
      </c>
      <c r="I551" s="255">
        <v>60000</v>
      </c>
      <c r="J551" s="256">
        <v>60000</v>
      </c>
      <c r="K551" s="258">
        <v>129600</v>
      </c>
      <c r="L551" s="258">
        <v>-15552</v>
      </c>
      <c r="M551" s="258">
        <f t="shared" si="34"/>
        <v>114048</v>
      </c>
      <c r="N551" s="258">
        <v>-23927.011618257249</v>
      </c>
      <c r="O551" s="258">
        <v>0</v>
      </c>
      <c r="P551" s="258">
        <v>0</v>
      </c>
      <c r="Q551" s="258">
        <f t="shared" si="35"/>
        <v>90120.988381742747</v>
      </c>
      <c r="R551" s="259">
        <f t="shared" si="36"/>
        <v>0.79020226905989366</v>
      </c>
      <c r="S551" s="255">
        <f t="shared" si="33"/>
        <v>2.16</v>
      </c>
      <c r="T551" s="255">
        <f t="shared" si="33"/>
        <v>2.16</v>
      </c>
      <c r="U551" s="254">
        <v>100100</v>
      </c>
      <c r="V551" s="254" t="s">
        <v>834</v>
      </c>
      <c r="W551" s="254" t="s">
        <v>1018</v>
      </c>
      <c r="X551" s="254" t="s">
        <v>446</v>
      </c>
      <c r="Y551" s="254" t="s">
        <v>843</v>
      </c>
      <c r="Z551" s="254" t="s">
        <v>1101</v>
      </c>
      <c r="AA551" s="254" t="s">
        <v>838</v>
      </c>
    </row>
    <row r="552" spans="1:27" ht="14.4" x14ac:dyDescent="0.3">
      <c r="A552" s="253">
        <v>11</v>
      </c>
      <c r="B552" s="254" t="s">
        <v>848</v>
      </c>
      <c r="C552" s="254">
        <v>2559</v>
      </c>
      <c r="D552" s="254" t="s">
        <v>451</v>
      </c>
      <c r="E552" s="254" t="str">
        <f>_xlfn.XLOOKUP(C552,Clientes!I:I,Clientes!F:F)</f>
        <v>GRUPO MOSAIC FERTILIZANTES DO BRASIL</v>
      </c>
      <c r="F552" s="254">
        <v>1043</v>
      </c>
      <c r="G552" s="254" t="s">
        <v>877</v>
      </c>
      <c r="H552" s="254" t="s">
        <v>860</v>
      </c>
      <c r="I552" s="255">
        <v>30000</v>
      </c>
      <c r="J552" s="256">
        <v>30000</v>
      </c>
      <c r="K552" s="258">
        <v>75300</v>
      </c>
      <c r="L552" s="258">
        <v>-9036</v>
      </c>
      <c r="M552" s="258">
        <f t="shared" si="34"/>
        <v>66264</v>
      </c>
      <c r="N552" s="258">
        <v>-11963.505809128625</v>
      </c>
      <c r="O552" s="258">
        <v>-24421.605</v>
      </c>
      <c r="P552" s="258">
        <v>-11.137338592492336</v>
      </c>
      <c r="Q552" s="258">
        <f t="shared" si="35"/>
        <v>29867.751852278881</v>
      </c>
      <c r="R552" s="259">
        <f t="shared" si="36"/>
        <v>0.45073873977240858</v>
      </c>
      <c r="S552" s="255">
        <f t="shared" si="33"/>
        <v>2.5099999999999998</v>
      </c>
      <c r="T552" s="255">
        <f t="shared" si="33"/>
        <v>2.5099999999999998</v>
      </c>
      <c r="U552" s="254">
        <v>100100</v>
      </c>
      <c r="V552" s="254" t="s">
        <v>834</v>
      </c>
      <c r="W552" s="254" t="s">
        <v>878</v>
      </c>
      <c r="X552" s="254" t="s">
        <v>446</v>
      </c>
      <c r="Y552" s="254" t="s">
        <v>843</v>
      </c>
      <c r="Z552" s="254" t="s">
        <v>1101</v>
      </c>
      <c r="AA552" s="254" t="s">
        <v>838</v>
      </c>
    </row>
    <row r="553" spans="1:27" ht="14.4" x14ac:dyDescent="0.3">
      <c r="A553" s="253">
        <v>11</v>
      </c>
      <c r="B553" s="254" t="s">
        <v>848</v>
      </c>
      <c r="C553" s="254">
        <v>7097</v>
      </c>
      <c r="D553" s="254" t="s">
        <v>1077</v>
      </c>
      <c r="E553" s="254" t="str">
        <f>_xlfn.XLOOKUP(C553,Clientes!I:I,Clientes!F:F)</f>
        <v>GRUPO MOSAIC FERTILIZANTES DO BRASIL</v>
      </c>
      <c r="F553" s="254">
        <v>14133</v>
      </c>
      <c r="G553" s="254" t="s">
        <v>893</v>
      </c>
      <c r="H553" s="254" t="s">
        <v>841</v>
      </c>
      <c r="I553" s="255">
        <v>26400</v>
      </c>
      <c r="J553" s="256">
        <v>26400</v>
      </c>
      <c r="K553" s="258">
        <v>71280</v>
      </c>
      <c r="L553" s="258">
        <v>-8553.6</v>
      </c>
      <c r="M553" s="258">
        <f t="shared" si="34"/>
        <v>62726.400000000001</v>
      </c>
      <c r="N553" s="258">
        <v>-31038.540820253162</v>
      </c>
      <c r="O553" s="258">
        <v>-14790.873239999999</v>
      </c>
      <c r="P553" s="258">
        <v>-6.7452963616647699</v>
      </c>
      <c r="Q553" s="258">
        <f t="shared" si="35"/>
        <v>16890.240643385176</v>
      </c>
      <c r="R553" s="259">
        <f t="shared" si="36"/>
        <v>0.26926845225272256</v>
      </c>
      <c r="S553" s="255">
        <f t="shared" si="33"/>
        <v>2.7</v>
      </c>
      <c r="T553" s="255">
        <f t="shared" si="33"/>
        <v>2.7</v>
      </c>
      <c r="U553" s="254">
        <v>100100</v>
      </c>
      <c r="V553" s="254" t="s">
        <v>834</v>
      </c>
      <c r="W553" s="254" t="s">
        <v>894</v>
      </c>
      <c r="X553" s="254" t="s">
        <v>446</v>
      </c>
      <c r="Y553" s="254" t="s">
        <v>843</v>
      </c>
      <c r="Z553" s="254" t="s">
        <v>1101</v>
      </c>
      <c r="AA553" s="254" t="s">
        <v>838</v>
      </c>
    </row>
    <row r="554" spans="1:27" ht="14.4" x14ac:dyDescent="0.3">
      <c r="A554" s="253">
        <v>11</v>
      </c>
      <c r="B554" s="254" t="s">
        <v>848</v>
      </c>
      <c r="C554" s="254">
        <v>10492</v>
      </c>
      <c r="D554" s="254" t="s">
        <v>101</v>
      </c>
      <c r="E554" s="254" t="str">
        <f>_xlfn.XLOOKUP(C554,Clientes!I:I,Clientes!F:F)</f>
        <v>GRUPO UNIFERTIL</v>
      </c>
      <c r="F554" s="254">
        <v>3</v>
      </c>
      <c r="G554" s="254" t="s">
        <v>877</v>
      </c>
      <c r="H554" s="254" t="s">
        <v>879</v>
      </c>
      <c r="I554" s="255">
        <v>32000</v>
      </c>
      <c r="J554" s="256">
        <v>32000</v>
      </c>
      <c r="K554" s="258">
        <v>82880</v>
      </c>
      <c r="L554" s="258">
        <v>-9945.6</v>
      </c>
      <c r="M554" s="258">
        <f t="shared" si="34"/>
        <v>72934.399999999994</v>
      </c>
      <c r="N554" s="258">
        <v>-24807.856666666667</v>
      </c>
      <c r="O554" s="258">
        <v>-26049.712</v>
      </c>
      <c r="P554" s="258">
        <v>-11.879827831991824</v>
      </c>
      <c r="Q554" s="258">
        <f t="shared" si="35"/>
        <v>22064.951505501336</v>
      </c>
      <c r="R554" s="259">
        <f t="shared" si="36"/>
        <v>0.30253147356393334</v>
      </c>
      <c r="S554" s="255">
        <f t="shared" si="33"/>
        <v>2.59</v>
      </c>
      <c r="T554" s="255">
        <f t="shared" si="33"/>
        <v>2.59</v>
      </c>
      <c r="U554" s="254">
        <v>100100</v>
      </c>
      <c r="V554" s="254" t="s">
        <v>834</v>
      </c>
      <c r="W554" s="254" t="s">
        <v>878</v>
      </c>
      <c r="X554" s="254" t="s">
        <v>446</v>
      </c>
      <c r="Y554" s="254" t="s">
        <v>843</v>
      </c>
      <c r="Z554" s="254" t="s">
        <v>1101</v>
      </c>
      <c r="AA554" s="254" t="s">
        <v>838</v>
      </c>
    </row>
    <row r="555" spans="1:27" ht="14.4" x14ac:dyDescent="0.3">
      <c r="A555" s="253">
        <v>11</v>
      </c>
      <c r="B555" s="254" t="s">
        <v>848</v>
      </c>
      <c r="C555" s="254">
        <v>5882</v>
      </c>
      <c r="D555" s="254" t="s">
        <v>162</v>
      </c>
      <c r="E555" s="254" t="str">
        <f>_xlfn.XLOOKUP(C555,Clientes!I:I,Clientes!F:F)</f>
        <v>ABOPAR - PARAGUAY</v>
      </c>
      <c r="F555" s="254">
        <v>14146</v>
      </c>
      <c r="G555" s="254" t="s">
        <v>832</v>
      </c>
      <c r="H555" s="254" t="s">
        <v>1011</v>
      </c>
      <c r="I555" s="255">
        <v>26400</v>
      </c>
      <c r="J555" s="256">
        <v>26400</v>
      </c>
      <c r="K555" s="258">
        <v>135696</v>
      </c>
      <c r="L555" s="258">
        <v>0</v>
      </c>
      <c r="M555" s="258">
        <f t="shared" si="34"/>
        <v>135696</v>
      </c>
      <c r="N555" s="258">
        <v>-53523.840000000011</v>
      </c>
      <c r="O555" s="258">
        <v>-23805.056000000008</v>
      </c>
      <c r="P555" s="258">
        <v>-1884.2678762701569</v>
      </c>
      <c r="Q555" s="258">
        <f t="shared" si="35"/>
        <v>56482.836123729823</v>
      </c>
      <c r="R555" s="259">
        <f t="shared" si="36"/>
        <v>0.41624540239749014</v>
      </c>
      <c r="S555" s="255">
        <f t="shared" si="33"/>
        <v>5.14</v>
      </c>
      <c r="T555" s="255">
        <f t="shared" si="33"/>
        <v>5.14</v>
      </c>
      <c r="U555" s="254">
        <v>100100</v>
      </c>
      <c r="V555" s="254" t="s">
        <v>834</v>
      </c>
      <c r="W555" s="254" t="s">
        <v>1012</v>
      </c>
      <c r="X555" s="254" t="s">
        <v>446</v>
      </c>
      <c r="Y555" s="254" t="s">
        <v>836</v>
      </c>
      <c r="Z555" s="254" t="s">
        <v>1101</v>
      </c>
      <c r="AA555" s="254" t="s">
        <v>838</v>
      </c>
    </row>
    <row r="556" spans="1:27" ht="14.4" x14ac:dyDescent="0.3">
      <c r="A556" s="253">
        <v>11</v>
      </c>
      <c r="B556" s="254" t="s">
        <v>848</v>
      </c>
      <c r="C556" s="254">
        <v>1023</v>
      </c>
      <c r="D556" s="254" t="s">
        <v>49</v>
      </c>
      <c r="E556" s="254" t="str">
        <f>_xlfn.XLOOKUP(C556,Clientes!I:I,Clientes!F:F)</f>
        <v>GRUPO ADUBOS ARAGUAIA</v>
      </c>
      <c r="F556" s="254">
        <v>14133</v>
      </c>
      <c r="G556" s="254" t="s">
        <v>840</v>
      </c>
      <c r="H556" s="254" t="s">
        <v>841</v>
      </c>
      <c r="I556" s="255">
        <v>12000</v>
      </c>
      <c r="J556" s="256">
        <v>12000</v>
      </c>
      <c r="K556" s="258">
        <v>34320</v>
      </c>
      <c r="L556" s="258">
        <v>-2402.4</v>
      </c>
      <c r="M556" s="258">
        <f t="shared" si="34"/>
        <v>31917.599999999999</v>
      </c>
      <c r="N556" s="258">
        <v>-14108.427645569618</v>
      </c>
      <c r="O556" s="258">
        <v>-7644.7315593636004</v>
      </c>
      <c r="P556" s="258">
        <v>-3.4863377663075106</v>
      </c>
      <c r="Q556" s="258">
        <f t="shared" si="35"/>
        <v>10160.954457300473</v>
      </c>
      <c r="R556" s="259">
        <f t="shared" si="36"/>
        <v>0.31834957695128935</v>
      </c>
      <c r="S556" s="255">
        <f t="shared" si="33"/>
        <v>2.86</v>
      </c>
      <c r="T556" s="255">
        <f t="shared" si="33"/>
        <v>2.86</v>
      </c>
      <c r="U556" s="254">
        <v>100100</v>
      </c>
      <c r="V556" s="254" t="s">
        <v>834</v>
      </c>
      <c r="W556" s="254" t="s">
        <v>861</v>
      </c>
      <c r="X556" s="254" t="s">
        <v>446</v>
      </c>
      <c r="Y556" s="254" t="s">
        <v>843</v>
      </c>
      <c r="Z556" s="254" t="s">
        <v>1101</v>
      </c>
      <c r="AA556" s="254" t="s">
        <v>838</v>
      </c>
    </row>
    <row r="557" spans="1:27" ht="14.4" x14ac:dyDescent="0.3">
      <c r="A557" s="253">
        <v>11</v>
      </c>
      <c r="B557" s="254" t="s">
        <v>848</v>
      </c>
      <c r="C557" s="254">
        <v>729</v>
      </c>
      <c r="D557" s="254" t="s">
        <v>937</v>
      </c>
      <c r="E557" s="254" t="str">
        <f>_xlfn.XLOOKUP(C557,Clientes!I:I,Clientes!F:F)</f>
        <v>GRUPO FERTILIZ TOCANTINS</v>
      </c>
      <c r="F557" s="254">
        <v>8061</v>
      </c>
      <c r="G557" s="254" t="s">
        <v>897</v>
      </c>
      <c r="H557" s="254" t="s">
        <v>1089</v>
      </c>
      <c r="I557" s="255">
        <v>30000</v>
      </c>
      <c r="J557" s="256">
        <v>30000</v>
      </c>
      <c r="K557" s="258">
        <v>85500</v>
      </c>
      <c r="L557" s="258">
        <v>-5985.0000000000009</v>
      </c>
      <c r="M557" s="258">
        <f t="shared" si="34"/>
        <v>79515</v>
      </c>
      <c r="N557" s="258">
        <v>-16647.27</v>
      </c>
      <c r="O557" s="258">
        <v>-26461.527299999998</v>
      </c>
      <c r="P557" s="258">
        <v>-12.067633933747578</v>
      </c>
      <c r="Q557" s="258">
        <f t="shared" si="35"/>
        <v>36394.13506606625</v>
      </c>
      <c r="R557" s="259">
        <f t="shared" si="36"/>
        <v>0.45770150369196066</v>
      </c>
      <c r="S557" s="255">
        <f t="shared" si="33"/>
        <v>2.85</v>
      </c>
      <c r="T557" s="255">
        <f t="shared" si="33"/>
        <v>2.85</v>
      </c>
      <c r="U557" s="254">
        <v>100100</v>
      </c>
      <c r="V557" s="254" t="s">
        <v>834</v>
      </c>
      <c r="W557" s="254" t="s">
        <v>899</v>
      </c>
      <c r="X557" s="254" t="s">
        <v>446</v>
      </c>
      <c r="Y557" s="254" t="s">
        <v>843</v>
      </c>
      <c r="Z557" s="254" t="s">
        <v>1101</v>
      </c>
      <c r="AA557" s="254" t="s">
        <v>838</v>
      </c>
    </row>
    <row r="558" spans="1:27" ht="14.4" x14ac:dyDescent="0.3">
      <c r="A558" s="253">
        <v>11</v>
      </c>
      <c r="B558" s="254" t="s">
        <v>848</v>
      </c>
      <c r="C558" s="254">
        <v>812</v>
      </c>
      <c r="D558" s="254" t="s">
        <v>151</v>
      </c>
      <c r="E558" s="254" t="str">
        <f>_xlfn.XLOOKUP(C558,Clientes!I:I,Clientes!F:F)</f>
        <v>GRUPO FERTIPAR SUDESTE</v>
      </c>
      <c r="F558" s="254">
        <v>1042</v>
      </c>
      <c r="G558" s="254" t="s">
        <v>855</v>
      </c>
      <c r="H558" s="254" t="s">
        <v>909</v>
      </c>
      <c r="I558" s="255">
        <v>30000</v>
      </c>
      <c r="J558" s="256">
        <v>30000</v>
      </c>
      <c r="K558" s="258">
        <v>51000</v>
      </c>
      <c r="L558" s="258">
        <v>-9180</v>
      </c>
      <c r="M558" s="258">
        <f t="shared" si="34"/>
        <v>41820</v>
      </c>
      <c r="N558" s="258">
        <v>-16793.655999999999</v>
      </c>
      <c r="O558" s="258">
        <v>-6895.5119999999997</v>
      </c>
      <c r="P558" s="258">
        <v>-3.1446603084684241</v>
      </c>
      <c r="Q558" s="258">
        <f t="shared" si="35"/>
        <v>18127.687339691533</v>
      </c>
      <c r="R558" s="259">
        <f t="shared" si="36"/>
        <v>0.43346932902179658</v>
      </c>
      <c r="S558" s="255">
        <f t="shared" si="33"/>
        <v>1.7</v>
      </c>
      <c r="T558" s="255">
        <f t="shared" si="33"/>
        <v>1.7</v>
      </c>
      <c r="U558" s="254">
        <v>100100</v>
      </c>
      <c r="V558" s="254" t="s">
        <v>834</v>
      </c>
      <c r="W558" s="254" t="s">
        <v>1054</v>
      </c>
      <c r="X558" s="254" t="s">
        <v>446</v>
      </c>
      <c r="Y558" s="254" t="s">
        <v>843</v>
      </c>
      <c r="Z558" s="254" t="s">
        <v>1101</v>
      </c>
      <c r="AA558" s="254" t="s">
        <v>838</v>
      </c>
    </row>
    <row r="559" spans="1:27" ht="14.4" x14ac:dyDescent="0.3">
      <c r="A559" s="253">
        <v>11</v>
      </c>
      <c r="B559" s="254" t="s">
        <v>848</v>
      </c>
      <c r="C559" s="254">
        <v>3273</v>
      </c>
      <c r="D559" s="254" t="s">
        <v>79</v>
      </c>
      <c r="E559" s="254" t="str">
        <f>_xlfn.XLOOKUP(C559,Clientes!I:I,Clientes!F:F)</f>
        <v>FERTIMAXI - CONCEICAO DO JACUIPE</v>
      </c>
      <c r="F559" s="254">
        <v>2</v>
      </c>
      <c r="G559" s="254" t="s">
        <v>875</v>
      </c>
      <c r="H559" s="254" t="s">
        <v>883</v>
      </c>
      <c r="I559" s="255">
        <v>30000</v>
      </c>
      <c r="J559" s="256">
        <v>30000</v>
      </c>
      <c r="K559" s="258">
        <v>78900</v>
      </c>
      <c r="L559" s="258">
        <v>-5523.0000000000009</v>
      </c>
      <c r="M559" s="258">
        <f t="shared" si="34"/>
        <v>73377</v>
      </c>
      <c r="N559" s="258">
        <v>-19040.262765957446</v>
      </c>
      <c r="O559" s="258">
        <v>-18675.345000000001</v>
      </c>
      <c r="P559" s="258">
        <v>-8.5167883354353151</v>
      </c>
      <c r="Q559" s="258">
        <f t="shared" si="35"/>
        <v>35652.875445707112</v>
      </c>
      <c r="R559" s="259">
        <f t="shared" si="36"/>
        <v>0.48588625108286126</v>
      </c>
      <c r="S559" s="255">
        <f t="shared" si="33"/>
        <v>2.63</v>
      </c>
      <c r="T559" s="255">
        <f t="shared" si="33"/>
        <v>2.63</v>
      </c>
      <c r="U559" s="254">
        <v>100100</v>
      </c>
      <c r="V559" s="254" t="s">
        <v>834</v>
      </c>
      <c r="W559" s="254" t="s">
        <v>884</v>
      </c>
      <c r="X559" s="254" t="s">
        <v>446</v>
      </c>
      <c r="Y559" s="254" t="s">
        <v>843</v>
      </c>
      <c r="Z559" s="254" t="s">
        <v>1101</v>
      </c>
      <c r="AA559" s="254" t="s">
        <v>838</v>
      </c>
    </row>
    <row r="560" spans="1:27" ht="14.4" x14ac:dyDescent="0.3">
      <c r="A560" s="253">
        <v>11</v>
      </c>
      <c r="B560" s="254" t="s">
        <v>848</v>
      </c>
      <c r="C560" s="254">
        <v>3297</v>
      </c>
      <c r="D560" s="254" t="s">
        <v>550</v>
      </c>
      <c r="E560" s="254" t="str">
        <f>_xlfn.XLOOKUP(C560,Clientes!I:I,Clientes!F:F)</f>
        <v>MACROSOURCE PERU S.R.L.</v>
      </c>
      <c r="F560" s="254">
        <v>14141</v>
      </c>
      <c r="G560" s="254" t="s">
        <v>832</v>
      </c>
      <c r="H560" s="254" t="s">
        <v>833</v>
      </c>
      <c r="I560" s="255">
        <v>2400</v>
      </c>
      <c r="J560" s="256">
        <v>2400</v>
      </c>
      <c r="K560" s="258">
        <v>17044.8</v>
      </c>
      <c r="L560" s="258">
        <v>0</v>
      </c>
      <c r="M560" s="258">
        <f t="shared" si="34"/>
        <v>17044.8</v>
      </c>
      <c r="N560" s="258">
        <v>-2528.8399999999992</v>
      </c>
      <c r="O560" s="258">
        <v>-4340.362752</v>
      </c>
      <c r="P560" s="258">
        <v>-172.28955413934554</v>
      </c>
      <c r="Q560" s="258">
        <f t="shared" si="35"/>
        <v>10003.307693860652</v>
      </c>
      <c r="R560" s="259">
        <f t="shared" si="36"/>
        <v>0.58688325435679223</v>
      </c>
      <c r="S560" s="255">
        <f t="shared" si="33"/>
        <v>7.1019999999999994</v>
      </c>
      <c r="T560" s="255">
        <f t="shared" si="33"/>
        <v>7.1019999999999994</v>
      </c>
      <c r="U560" s="254">
        <v>100100</v>
      </c>
      <c r="V560" s="254" t="s">
        <v>834</v>
      </c>
      <c r="W560" s="254" t="s">
        <v>872</v>
      </c>
      <c r="X560" s="254" t="s">
        <v>446</v>
      </c>
      <c r="Y560" s="254" t="s">
        <v>836</v>
      </c>
      <c r="Z560" s="254" t="s">
        <v>1101</v>
      </c>
      <c r="AA560" s="254" t="s">
        <v>838</v>
      </c>
    </row>
    <row r="561" spans="1:27" ht="14.4" x14ac:dyDescent="0.3">
      <c r="A561" s="253">
        <v>11</v>
      </c>
      <c r="B561" s="254" t="s">
        <v>848</v>
      </c>
      <c r="C561" s="254">
        <v>2925</v>
      </c>
      <c r="D561" s="254" t="s">
        <v>341</v>
      </c>
      <c r="E561" s="254" t="str">
        <f>_xlfn.XLOOKUP(C561,Clientes!I:I,Clientes!F:F)</f>
        <v>COPEVAL - CHILE</v>
      </c>
      <c r="F561" s="254">
        <v>14145</v>
      </c>
      <c r="G561" s="254" t="s">
        <v>832</v>
      </c>
      <c r="H561" s="254" t="s">
        <v>1075</v>
      </c>
      <c r="I561" s="255">
        <v>18000</v>
      </c>
      <c r="J561" s="256">
        <v>18000</v>
      </c>
      <c r="K561" s="258">
        <v>124200</v>
      </c>
      <c r="L561" s="258">
        <v>0</v>
      </c>
      <c r="M561" s="258">
        <f t="shared" si="34"/>
        <v>124200</v>
      </c>
      <c r="N561" s="258">
        <v>-28542.738000000001</v>
      </c>
      <c r="O561" s="258">
        <v>0</v>
      </c>
      <c r="P561" s="258">
        <v>-1277.3261669024046</v>
      </c>
      <c r="Q561" s="258">
        <f t="shared" si="35"/>
        <v>94379.935833097596</v>
      </c>
      <c r="R561" s="259">
        <f t="shared" si="36"/>
        <v>0.75990286500078574</v>
      </c>
      <c r="S561" s="255">
        <f t="shared" si="33"/>
        <v>6.9</v>
      </c>
      <c r="T561" s="255">
        <f t="shared" si="33"/>
        <v>6.9</v>
      </c>
      <c r="U561" s="254">
        <v>100100</v>
      </c>
      <c r="V561" s="254" t="s">
        <v>834</v>
      </c>
      <c r="W561" s="254" t="s">
        <v>1076</v>
      </c>
      <c r="X561" s="254" t="s">
        <v>446</v>
      </c>
      <c r="Y561" s="254" t="s">
        <v>836</v>
      </c>
      <c r="Z561" s="254" t="s">
        <v>1101</v>
      </c>
      <c r="AA561" s="254" t="s">
        <v>838</v>
      </c>
    </row>
    <row r="562" spans="1:27" ht="14.4" x14ac:dyDescent="0.3">
      <c r="A562" s="253">
        <v>11</v>
      </c>
      <c r="B562" s="254" t="s">
        <v>848</v>
      </c>
      <c r="C562" s="254">
        <v>341</v>
      </c>
      <c r="D562" s="254" t="s">
        <v>422</v>
      </c>
      <c r="E562" s="254" t="str">
        <f>_xlfn.XLOOKUP(C562,Clientes!I:I,Clientes!F:F)</f>
        <v>ADUBOS PARANAIBA - UBERLANDIA</v>
      </c>
      <c r="F562" s="254">
        <v>1043</v>
      </c>
      <c r="G562" s="254" t="s">
        <v>855</v>
      </c>
      <c r="H562" s="254" t="s">
        <v>860</v>
      </c>
      <c r="I562" s="255">
        <v>3000</v>
      </c>
      <c r="J562" s="256">
        <v>3000</v>
      </c>
      <c r="K562" s="258">
        <v>6000</v>
      </c>
      <c r="L562" s="258">
        <v>-1080</v>
      </c>
      <c r="M562" s="258">
        <f t="shared" si="34"/>
        <v>4920</v>
      </c>
      <c r="N562" s="258">
        <v>-1196.3505809128626</v>
      </c>
      <c r="O562" s="258">
        <v>0</v>
      </c>
      <c r="P562" s="258">
        <v>0</v>
      </c>
      <c r="Q562" s="258">
        <f t="shared" si="35"/>
        <v>3723.6494190871372</v>
      </c>
      <c r="R562" s="259">
        <f t="shared" si="36"/>
        <v>0.75683931282258887</v>
      </c>
      <c r="S562" s="255">
        <f t="shared" si="33"/>
        <v>2</v>
      </c>
      <c r="T562" s="255">
        <f t="shared" si="33"/>
        <v>2</v>
      </c>
      <c r="U562" s="254">
        <v>100100</v>
      </c>
      <c r="V562" s="254" t="s">
        <v>834</v>
      </c>
      <c r="W562" s="254" t="s">
        <v>865</v>
      </c>
      <c r="X562" s="254" t="s">
        <v>446</v>
      </c>
      <c r="Y562" s="254" t="s">
        <v>843</v>
      </c>
      <c r="Z562" s="254" t="s">
        <v>1101</v>
      </c>
      <c r="AA562" s="254" t="s">
        <v>838</v>
      </c>
    </row>
    <row r="563" spans="1:27" ht="14.4" x14ac:dyDescent="0.3">
      <c r="A563" s="253">
        <v>11</v>
      </c>
      <c r="B563" s="254" t="s">
        <v>848</v>
      </c>
      <c r="C563" s="254">
        <v>2410</v>
      </c>
      <c r="D563" s="254" t="s">
        <v>953</v>
      </c>
      <c r="E563" s="254" t="str">
        <f>_xlfn.XLOOKUP(C563,Clientes!I:I,Clientes!F:F)</f>
        <v>PEDRO MACCÍO Y CIA S.A. - URUGUAI</v>
      </c>
      <c r="F563" s="254">
        <v>14141</v>
      </c>
      <c r="G563" s="254" t="s">
        <v>832</v>
      </c>
      <c r="H563" s="254" t="s">
        <v>833</v>
      </c>
      <c r="I563" s="255">
        <v>12000</v>
      </c>
      <c r="J563" s="256">
        <v>12000</v>
      </c>
      <c r="K563" s="258">
        <v>57000</v>
      </c>
      <c r="L563" s="258">
        <v>0</v>
      </c>
      <c r="M563" s="258">
        <f t="shared" si="34"/>
        <v>57000</v>
      </c>
      <c r="N563" s="258">
        <v>-12644.199999999999</v>
      </c>
      <c r="O563" s="258">
        <v>0</v>
      </c>
      <c r="P563" s="258">
        <v>-851.55077793493626</v>
      </c>
      <c r="Q563" s="258">
        <f t="shared" si="35"/>
        <v>43504.249222065067</v>
      </c>
      <c r="R563" s="259">
        <f t="shared" si="36"/>
        <v>0.76323244249236966</v>
      </c>
      <c r="S563" s="255">
        <f t="shared" si="33"/>
        <v>4.75</v>
      </c>
      <c r="T563" s="255">
        <f t="shared" si="33"/>
        <v>4.75</v>
      </c>
      <c r="U563" s="254">
        <v>100100</v>
      </c>
      <c r="V563" s="254" t="s">
        <v>834</v>
      </c>
      <c r="W563" s="254" t="s">
        <v>954</v>
      </c>
      <c r="X563" s="254" t="s">
        <v>446</v>
      </c>
      <c r="Y563" s="254" t="s">
        <v>836</v>
      </c>
      <c r="Z563" s="254" t="s">
        <v>1101</v>
      </c>
      <c r="AA563" s="254" t="s">
        <v>838</v>
      </c>
    </row>
    <row r="564" spans="1:27" ht="14.4" x14ac:dyDescent="0.3">
      <c r="A564" s="253">
        <v>11</v>
      </c>
      <c r="B564" s="254" t="s">
        <v>848</v>
      </c>
      <c r="C564" s="254">
        <v>11133</v>
      </c>
      <c r="D564" s="254" t="s">
        <v>895</v>
      </c>
      <c r="E564" s="254" t="str">
        <f>_xlfn.XLOOKUP(C564,Clientes!I:I,Clientes!F:F)</f>
        <v>GRUPO ADUBOS ARAGUAIA</v>
      </c>
      <c r="F564" s="254">
        <v>14133</v>
      </c>
      <c r="G564" s="254" t="s">
        <v>862</v>
      </c>
      <c r="H564" s="254" t="s">
        <v>841</v>
      </c>
      <c r="I564" s="255">
        <v>13200</v>
      </c>
      <c r="J564" s="256">
        <v>13200</v>
      </c>
      <c r="K564" s="258">
        <v>38280</v>
      </c>
      <c r="L564" s="258">
        <v>-4593.5999999999995</v>
      </c>
      <c r="M564" s="258">
        <f t="shared" si="34"/>
        <v>33686.400000000001</v>
      </c>
      <c r="N564" s="258">
        <v>-15519.270410126581</v>
      </c>
      <c r="O564" s="258">
        <v>-9623.6718130238405</v>
      </c>
      <c r="P564" s="258">
        <v>-4.3888225808529411</v>
      </c>
      <c r="Q564" s="258">
        <f t="shared" si="35"/>
        <v>8539.0689542687269</v>
      </c>
      <c r="R564" s="259">
        <f t="shared" si="36"/>
        <v>0.25348713291621328</v>
      </c>
      <c r="S564" s="255">
        <f t="shared" si="33"/>
        <v>2.9</v>
      </c>
      <c r="T564" s="255">
        <f t="shared" si="33"/>
        <v>2.9</v>
      </c>
      <c r="U564" s="254">
        <v>100100</v>
      </c>
      <c r="V564" s="254" t="s">
        <v>834</v>
      </c>
      <c r="W564" s="254" t="s">
        <v>864</v>
      </c>
      <c r="X564" s="254" t="s">
        <v>446</v>
      </c>
      <c r="Y564" s="254" t="s">
        <v>843</v>
      </c>
      <c r="Z564" s="254" t="s">
        <v>1101</v>
      </c>
      <c r="AA564" s="254" t="s">
        <v>838</v>
      </c>
    </row>
    <row r="565" spans="1:27" ht="14.4" x14ac:dyDescent="0.3">
      <c r="A565" s="253">
        <v>11</v>
      </c>
      <c r="B565" s="254" t="s">
        <v>848</v>
      </c>
      <c r="C565" s="254">
        <v>3232</v>
      </c>
      <c r="D565" s="254" t="s">
        <v>153</v>
      </c>
      <c r="E565" s="254" t="str">
        <f>_xlfn.XLOOKUP(C565,Clientes!I:I,Clientes!F:F)</f>
        <v>GRUPO FERTILIZ TOCANTINS</v>
      </c>
      <c r="F565" s="254">
        <v>7384</v>
      </c>
      <c r="G565" s="254" t="s">
        <v>855</v>
      </c>
      <c r="H565" s="254" t="s">
        <v>856</v>
      </c>
      <c r="I565" s="255">
        <v>180000</v>
      </c>
      <c r="J565" s="256">
        <v>180000</v>
      </c>
      <c r="K565" s="258">
        <v>336600</v>
      </c>
      <c r="L565" s="258">
        <v>-60588</v>
      </c>
      <c r="M565" s="258">
        <f t="shared" si="34"/>
        <v>276012</v>
      </c>
      <c r="N565" s="258">
        <v>-123113.13652173914</v>
      </c>
      <c r="O565" s="258">
        <v>-10343.268</v>
      </c>
      <c r="P565" s="258">
        <v>-4.7169904627026362</v>
      </c>
      <c r="Q565" s="258">
        <f t="shared" si="35"/>
        <v>142550.87848779815</v>
      </c>
      <c r="R565" s="259">
        <f t="shared" si="36"/>
        <v>0.51646623511948087</v>
      </c>
      <c r="S565" s="255">
        <f t="shared" si="33"/>
        <v>1.87</v>
      </c>
      <c r="T565" s="255">
        <f t="shared" si="33"/>
        <v>1.87</v>
      </c>
      <c r="U565" s="254">
        <v>100100</v>
      </c>
      <c r="V565" s="254" t="s">
        <v>834</v>
      </c>
      <c r="W565" s="254" t="s">
        <v>857</v>
      </c>
      <c r="X565" s="254" t="s">
        <v>446</v>
      </c>
      <c r="Y565" s="254" t="s">
        <v>843</v>
      </c>
      <c r="Z565" s="254" t="s">
        <v>1101</v>
      </c>
      <c r="AA565" s="254" t="s">
        <v>838</v>
      </c>
    </row>
    <row r="566" spans="1:27" ht="14.4" x14ac:dyDescent="0.3">
      <c r="A566" s="253">
        <v>11</v>
      </c>
      <c r="B566" s="254" t="s">
        <v>848</v>
      </c>
      <c r="C566" s="254">
        <v>7648</v>
      </c>
      <c r="D566" s="254" t="s">
        <v>958</v>
      </c>
      <c r="E566" s="254" t="str">
        <f>_xlfn.XLOOKUP(C566,Clientes!I:I,Clientes!F:F)</f>
        <v>GRUPO LOUIS DREYFUS</v>
      </c>
      <c r="F566" s="254">
        <v>14133</v>
      </c>
      <c r="G566" s="254" t="s">
        <v>862</v>
      </c>
      <c r="H566" s="254" t="s">
        <v>841</v>
      </c>
      <c r="I566" s="255">
        <v>26400</v>
      </c>
      <c r="J566" s="256">
        <v>26400</v>
      </c>
      <c r="K566" s="258">
        <v>74184</v>
      </c>
      <c r="L566" s="258">
        <v>-8902.08</v>
      </c>
      <c r="M566" s="258">
        <f t="shared" si="34"/>
        <v>65281.919999999998</v>
      </c>
      <c r="N566" s="258">
        <v>-31038.540820253162</v>
      </c>
      <c r="O566" s="258">
        <v>-12363.653015999998</v>
      </c>
      <c r="P566" s="258">
        <v>-5.6383759330838839</v>
      </c>
      <c r="Q566" s="258">
        <f t="shared" si="35"/>
        <v>21874.087787813754</v>
      </c>
      <c r="R566" s="259">
        <f t="shared" si="36"/>
        <v>0.33507114661783471</v>
      </c>
      <c r="S566" s="255">
        <f t="shared" si="33"/>
        <v>2.81</v>
      </c>
      <c r="T566" s="255">
        <f t="shared" si="33"/>
        <v>2.81</v>
      </c>
      <c r="U566" s="254">
        <v>100100</v>
      </c>
      <c r="V566" s="254" t="s">
        <v>834</v>
      </c>
      <c r="W566" s="254" t="s">
        <v>864</v>
      </c>
      <c r="X566" s="254" t="s">
        <v>446</v>
      </c>
      <c r="Y566" s="254" t="s">
        <v>843</v>
      </c>
      <c r="Z566" s="254" t="s">
        <v>1101</v>
      </c>
      <c r="AA566" s="254" t="s">
        <v>838</v>
      </c>
    </row>
    <row r="567" spans="1:27" ht="14.4" x14ac:dyDescent="0.3">
      <c r="A567" s="253">
        <v>11</v>
      </c>
      <c r="B567" s="254" t="s">
        <v>848</v>
      </c>
      <c r="C567" s="254">
        <v>214</v>
      </c>
      <c r="D567" s="254" t="s">
        <v>149</v>
      </c>
      <c r="E567" s="254" t="str">
        <f>_xlfn.XLOOKUP(C567,Clientes!I:I,Clientes!F:F)</f>
        <v>GRUPO UNIFERTIL</v>
      </c>
      <c r="F567" s="254">
        <v>3</v>
      </c>
      <c r="G567" s="254" t="s">
        <v>877</v>
      </c>
      <c r="H567" s="254" t="s">
        <v>879</v>
      </c>
      <c r="I567" s="255">
        <v>64000</v>
      </c>
      <c r="J567" s="256">
        <v>64000</v>
      </c>
      <c r="K567" s="258">
        <v>165760</v>
      </c>
      <c r="L567" s="258">
        <v>-19891.2</v>
      </c>
      <c r="M567" s="258">
        <f t="shared" si="34"/>
        <v>145868.79999999999</v>
      </c>
      <c r="N567" s="258">
        <v>-49615.713333333333</v>
      </c>
      <c r="O567" s="258">
        <v>-51609.076479999996</v>
      </c>
      <c r="P567" s="258">
        <v>-23.536035375381449</v>
      </c>
      <c r="Q567" s="258">
        <f t="shared" si="35"/>
        <v>44620.474151291281</v>
      </c>
      <c r="R567" s="259">
        <f t="shared" si="36"/>
        <v>0.30589457204893222</v>
      </c>
      <c r="S567" s="255">
        <f t="shared" si="33"/>
        <v>2.59</v>
      </c>
      <c r="T567" s="255">
        <f t="shared" si="33"/>
        <v>2.59</v>
      </c>
      <c r="U567" s="254">
        <v>100100</v>
      </c>
      <c r="V567" s="254" t="s">
        <v>834</v>
      </c>
      <c r="W567" s="254" t="s">
        <v>880</v>
      </c>
      <c r="X567" s="254" t="s">
        <v>446</v>
      </c>
      <c r="Y567" s="254" t="s">
        <v>843</v>
      </c>
      <c r="Z567" s="254" t="s">
        <v>1101</v>
      </c>
      <c r="AA567" s="254" t="s">
        <v>838</v>
      </c>
    </row>
    <row r="568" spans="1:27" ht="14.4" x14ac:dyDescent="0.3">
      <c r="A568" s="253">
        <v>11</v>
      </c>
      <c r="B568" s="254" t="s">
        <v>848</v>
      </c>
      <c r="C568" s="254">
        <v>9295</v>
      </c>
      <c r="D568" s="254" t="s">
        <v>333</v>
      </c>
      <c r="E568" s="254" t="str">
        <f>_xlfn.XLOOKUP(C568,Clientes!I:I,Clientes!F:F)</f>
        <v>TECNOMYL S.A. - PARAGUAY</v>
      </c>
      <c r="F568" s="254">
        <v>14146</v>
      </c>
      <c r="G568" s="254" t="s">
        <v>832</v>
      </c>
      <c r="H568" s="254" t="s">
        <v>1011</v>
      </c>
      <c r="I568" s="255">
        <v>26400</v>
      </c>
      <c r="J568" s="256">
        <v>26400</v>
      </c>
      <c r="K568" s="258">
        <v>135722.4</v>
      </c>
      <c r="L568" s="258">
        <v>0</v>
      </c>
      <c r="M568" s="258">
        <f t="shared" si="34"/>
        <v>135722.4</v>
      </c>
      <c r="N568" s="258">
        <v>-53523.840000000011</v>
      </c>
      <c r="O568" s="258">
        <v>-23805.056000000008</v>
      </c>
      <c r="P568" s="258">
        <v>-1884.2678762701569</v>
      </c>
      <c r="Q568" s="258">
        <f t="shared" si="35"/>
        <v>56509.236123729817</v>
      </c>
      <c r="R568" s="259">
        <f t="shared" si="36"/>
        <v>0.41635895123966138</v>
      </c>
      <c r="S568" s="255">
        <f t="shared" si="33"/>
        <v>5.141</v>
      </c>
      <c r="T568" s="255">
        <f t="shared" si="33"/>
        <v>5.141</v>
      </c>
      <c r="U568" s="254">
        <v>100100</v>
      </c>
      <c r="V568" s="254" t="s">
        <v>834</v>
      </c>
      <c r="W568" s="254" t="s">
        <v>1012</v>
      </c>
      <c r="X568" s="254" t="s">
        <v>446</v>
      </c>
      <c r="Y568" s="254" t="s">
        <v>836</v>
      </c>
      <c r="Z568" s="254" t="s">
        <v>1101</v>
      </c>
      <c r="AA568" s="254" t="s">
        <v>838</v>
      </c>
    </row>
    <row r="569" spans="1:27" ht="14.4" x14ac:dyDescent="0.3">
      <c r="A569" s="253">
        <v>11</v>
      </c>
      <c r="B569" s="254" t="s">
        <v>848</v>
      </c>
      <c r="C569" s="254">
        <v>86</v>
      </c>
      <c r="D569" s="254" t="s">
        <v>31</v>
      </c>
      <c r="E569" s="254" t="str">
        <f>_xlfn.XLOOKUP(C569,Clientes!I:I,Clientes!F:F)</f>
        <v>GRUPO ADUBOS ARAGUAIA</v>
      </c>
      <c r="F569" s="254">
        <v>1</v>
      </c>
      <c r="G569" s="254" t="s">
        <v>867</v>
      </c>
      <c r="H569" s="254" t="s">
        <v>873</v>
      </c>
      <c r="I569" s="255">
        <v>30000</v>
      </c>
      <c r="J569" s="256">
        <v>30000</v>
      </c>
      <c r="K569" s="258">
        <v>63600</v>
      </c>
      <c r="L569" s="258">
        <v>-4452</v>
      </c>
      <c r="M569" s="258">
        <f t="shared" si="34"/>
        <v>59148</v>
      </c>
      <c r="N569" s="258">
        <v>-19666.866000000005</v>
      </c>
      <c r="O569" s="258">
        <v>-7470.1379999999999</v>
      </c>
      <c r="P569" s="258">
        <v>-3.4067153341741259</v>
      </c>
      <c r="Q569" s="258">
        <f t="shared" si="35"/>
        <v>32007.589284665817</v>
      </c>
      <c r="R569" s="259">
        <f t="shared" si="36"/>
        <v>0.54114406716483765</v>
      </c>
      <c r="S569" s="255">
        <f t="shared" si="33"/>
        <v>2.12</v>
      </c>
      <c r="T569" s="255">
        <f t="shared" si="33"/>
        <v>2.12</v>
      </c>
      <c r="U569" s="254">
        <v>100100</v>
      </c>
      <c r="V569" s="254" t="s">
        <v>834</v>
      </c>
      <c r="W569" s="254" t="s">
        <v>955</v>
      </c>
      <c r="X569" s="254" t="s">
        <v>446</v>
      </c>
      <c r="Y569" s="254" t="s">
        <v>843</v>
      </c>
      <c r="Z569" s="254" t="s">
        <v>1101</v>
      </c>
      <c r="AA569" s="254" t="s">
        <v>838</v>
      </c>
    </row>
    <row r="570" spans="1:27" ht="14.4" x14ac:dyDescent="0.3">
      <c r="A570" s="253">
        <v>11</v>
      </c>
      <c r="B570" s="254" t="s">
        <v>848</v>
      </c>
      <c r="C570" s="254">
        <v>5053</v>
      </c>
      <c r="D570" s="254" t="s">
        <v>223</v>
      </c>
      <c r="E570" s="254" t="str">
        <f>_xlfn.XLOOKUP(C570,Clientes!I:I,Clientes!F:F)</f>
        <v>GRUPO ADUBOS ARAGUAIA</v>
      </c>
      <c r="F570" s="254">
        <v>1</v>
      </c>
      <c r="G570" s="254" t="s">
        <v>840</v>
      </c>
      <c r="H570" s="254" t="s">
        <v>873</v>
      </c>
      <c r="I570" s="255">
        <v>30000</v>
      </c>
      <c r="J570" s="256">
        <v>30000</v>
      </c>
      <c r="K570" s="258">
        <v>73800</v>
      </c>
      <c r="L570" s="258">
        <v>-5166.0000000000009</v>
      </c>
      <c r="M570" s="258">
        <f t="shared" si="34"/>
        <v>68634</v>
      </c>
      <c r="N570" s="258">
        <v>-19666.866000000005</v>
      </c>
      <c r="O570" s="258">
        <v>-20973.848999999998</v>
      </c>
      <c r="P570" s="258">
        <v>-9.565008438258122</v>
      </c>
      <c r="Q570" s="258">
        <f t="shared" si="35"/>
        <v>27983.719991561735</v>
      </c>
      <c r="R570" s="259">
        <f t="shared" si="36"/>
        <v>0.40772386851358999</v>
      </c>
      <c r="S570" s="255">
        <f t="shared" si="33"/>
        <v>2.46</v>
      </c>
      <c r="T570" s="255">
        <f t="shared" si="33"/>
        <v>2.46</v>
      </c>
      <c r="U570" s="254">
        <v>100100</v>
      </c>
      <c r="V570" s="254" t="s">
        <v>834</v>
      </c>
      <c r="W570" s="254" t="s">
        <v>842</v>
      </c>
      <c r="X570" s="254" t="s">
        <v>446</v>
      </c>
      <c r="Y570" s="254" t="s">
        <v>843</v>
      </c>
      <c r="Z570" s="254" t="s">
        <v>1101</v>
      </c>
      <c r="AA570" s="254" t="s">
        <v>838</v>
      </c>
    </row>
    <row r="571" spans="1:27" ht="14.4" x14ac:dyDescent="0.3">
      <c r="A571" s="253">
        <v>11</v>
      </c>
      <c r="B571" s="254" t="s">
        <v>848</v>
      </c>
      <c r="C571" s="254">
        <v>1874</v>
      </c>
      <c r="D571" s="254" t="s">
        <v>210</v>
      </c>
      <c r="E571" s="254" t="str">
        <f>_xlfn.XLOOKUP(C571,Clientes!I:I,Clientes!F:F)</f>
        <v>GRUPO FERTILIZ TOCANTINS</v>
      </c>
      <c r="F571" s="254">
        <v>148</v>
      </c>
      <c r="G571" s="254" t="s">
        <v>926</v>
      </c>
      <c r="H571" s="254" t="s">
        <v>904</v>
      </c>
      <c r="I571" s="255">
        <v>30000</v>
      </c>
      <c r="J571" s="256">
        <v>30000</v>
      </c>
      <c r="K571" s="258">
        <v>84300</v>
      </c>
      <c r="L571" s="258">
        <v>-5901.0000000000009</v>
      </c>
      <c r="M571" s="258">
        <f t="shared" si="34"/>
        <v>78399</v>
      </c>
      <c r="N571" s="258">
        <v>-20118.714503816798</v>
      </c>
      <c r="O571" s="258">
        <v>-26978.690699999999</v>
      </c>
      <c r="P571" s="258">
        <v>-12.303483456882708</v>
      </c>
      <c r="Q571" s="258">
        <f t="shared" si="35"/>
        <v>31289.291312726324</v>
      </c>
      <c r="R571" s="259">
        <f t="shared" si="36"/>
        <v>0.3991031940806174</v>
      </c>
      <c r="S571" s="255">
        <f t="shared" si="33"/>
        <v>2.81</v>
      </c>
      <c r="T571" s="255">
        <f t="shared" si="33"/>
        <v>2.81</v>
      </c>
      <c r="U571" s="254">
        <v>100100</v>
      </c>
      <c r="V571" s="254" t="s">
        <v>834</v>
      </c>
      <c r="W571" s="254" t="s">
        <v>928</v>
      </c>
      <c r="X571" s="254" t="s">
        <v>446</v>
      </c>
      <c r="Y571" s="254" t="s">
        <v>843</v>
      </c>
      <c r="Z571" s="254" t="s">
        <v>1101</v>
      </c>
      <c r="AA571" s="254" t="s">
        <v>838</v>
      </c>
    </row>
    <row r="572" spans="1:27" ht="14.4" x14ac:dyDescent="0.3">
      <c r="A572" s="253">
        <v>11</v>
      </c>
      <c r="B572" s="254" t="s">
        <v>848</v>
      </c>
      <c r="C572" s="254">
        <v>7024</v>
      </c>
      <c r="D572" s="254" t="s">
        <v>721</v>
      </c>
      <c r="E572" s="254" t="str">
        <f>_xlfn.XLOOKUP(C572,Clientes!I:I,Clientes!F:F)</f>
        <v>GRUPO MOSAIC FERTILIZANTES DO BRASIL</v>
      </c>
      <c r="F572" s="254">
        <v>1043</v>
      </c>
      <c r="G572" s="254" t="s">
        <v>840</v>
      </c>
      <c r="H572" s="254" t="s">
        <v>860</v>
      </c>
      <c r="I572" s="255">
        <v>30000</v>
      </c>
      <c r="J572" s="256">
        <v>30000</v>
      </c>
      <c r="K572" s="258">
        <v>68400</v>
      </c>
      <c r="L572" s="258">
        <v>-4788.0000000000009</v>
      </c>
      <c r="M572" s="258">
        <f t="shared" si="34"/>
        <v>63612</v>
      </c>
      <c r="N572" s="258">
        <v>-11963.505809128625</v>
      </c>
      <c r="O572" s="258">
        <v>-21002.580299999998</v>
      </c>
      <c r="P572" s="258">
        <v>-9.5781111895434066</v>
      </c>
      <c r="Q572" s="258">
        <f t="shared" si="35"/>
        <v>30636.335779681831</v>
      </c>
      <c r="R572" s="259">
        <f t="shared" si="36"/>
        <v>0.4816125224750335</v>
      </c>
      <c r="S572" s="255">
        <f t="shared" si="33"/>
        <v>2.2799999999999998</v>
      </c>
      <c r="T572" s="255">
        <f t="shared" si="33"/>
        <v>2.2799999999999998</v>
      </c>
      <c r="U572" s="254">
        <v>100100</v>
      </c>
      <c r="V572" s="254" t="s">
        <v>834</v>
      </c>
      <c r="W572" s="254" t="s">
        <v>874</v>
      </c>
      <c r="X572" s="254" t="s">
        <v>446</v>
      </c>
      <c r="Y572" s="254" t="s">
        <v>843</v>
      </c>
      <c r="Z572" s="254" t="s">
        <v>1101</v>
      </c>
      <c r="AA572" s="254" t="s">
        <v>838</v>
      </c>
    </row>
    <row r="573" spans="1:27" ht="14.4" x14ac:dyDescent="0.3">
      <c r="A573" s="253">
        <v>11</v>
      </c>
      <c r="B573" s="254" t="s">
        <v>848</v>
      </c>
      <c r="C573" s="254">
        <v>13329</v>
      </c>
      <c r="D573" s="254" t="s">
        <v>346</v>
      </c>
      <c r="E573" s="254" t="str">
        <f>_xlfn.XLOOKUP(C573,Clientes!I:I,Clientes!F:F)</f>
        <v>CARGILL PARAGUAI</v>
      </c>
      <c r="F573" s="254">
        <v>4067</v>
      </c>
      <c r="G573" s="254" t="s">
        <v>832</v>
      </c>
      <c r="H573" s="254" t="s">
        <v>881</v>
      </c>
      <c r="I573" s="255">
        <v>30000</v>
      </c>
      <c r="J573" s="256">
        <v>30000</v>
      </c>
      <c r="K573" s="258">
        <v>154230</v>
      </c>
      <c r="L573" s="258">
        <v>0</v>
      </c>
      <c r="M573" s="258">
        <f t="shared" si="34"/>
        <v>154230</v>
      </c>
      <c r="N573" s="258">
        <v>-45852.801666666652</v>
      </c>
      <c r="O573" s="258">
        <v>-21107.24352</v>
      </c>
      <c r="P573" s="258">
        <v>-2138.502787112508</v>
      </c>
      <c r="Q573" s="258">
        <f t="shared" si="35"/>
        <v>85131.452026220839</v>
      </c>
      <c r="R573" s="259">
        <f t="shared" si="36"/>
        <v>0.55197725491941152</v>
      </c>
      <c r="S573" s="255">
        <f t="shared" si="33"/>
        <v>5.141</v>
      </c>
      <c r="T573" s="255">
        <f t="shared" si="33"/>
        <v>5.141</v>
      </c>
      <c r="U573" s="254">
        <v>100100</v>
      </c>
      <c r="V573" s="254" t="s">
        <v>834</v>
      </c>
      <c r="W573" s="254" t="s">
        <v>1102</v>
      </c>
      <c r="X573" s="254" t="s">
        <v>446</v>
      </c>
      <c r="Y573" s="254" t="s">
        <v>836</v>
      </c>
      <c r="Z573" s="254" t="s">
        <v>1101</v>
      </c>
      <c r="AA573" s="254" t="s">
        <v>838</v>
      </c>
    </row>
    <row r="574" spans="1:27" ht="14.4" x14ac:dyDescent="0.3">
      <c r="A574" s="253">
        <v>11</v>
      </c>
      <c r="B574" s="254" t="s">
        <v>848</v>
      </c>
      <c r="C574" s="254">
        <v>3142</v>
      </c>
      <c r="D574" s="254" t="s">
        <v>78</v>
      </c>
      <c r="E574" s="254" t="str">
        <f>_xlfn.XLOOKUP(C574,Clientes!I:I,Clientes!F:F)</f>
        <v>INTERFERTIL - SAO FRANCISCO DO SUL</v>
      </c>
      <c r="F574" s="254">
        <v>1</v>
      </c>
      <c r="G574" s="254" t="s">
        <v>893</v>
      </c>
      <c r="H574" s="254" t="s">
        <v>873</v>
      </c>
      <c r="I574" s="255">
        <v>45000</v>
      </c>
      <c r="J574" s="256">
        <v>45000</v>
      </c>
      <c r="K574" s="258">
        <v>124650</v>
      </c>
      <c r="L574" s="258">
        <v>-14958</v>
      </c>
      <c r="M574" s="258">
        <f t="shared" si="34"/>
        <v>109692</v>
      </c>
      <c r="N574" s="258">
        <v>-29500.299000000003</v>
      </c>
      <c r="O574" s="258">
        <v>-25211.715749999999</v>
      </c>
      <c r="P574" s="258">
        <v>-11.497664252837675</v>
      </c>
      <c r="Q574" s="258">
        <f t="shared" si="35"/>
        <v>54968.487585747163</v>
      </c>
      <c r="R574" s="259">
        <f t="shared" si="36"/>
        <v>0.50111665012714846</v>
      </c>
      <c r="S574" s="255">
        <f t="shared" si="33"/>
        <v>2.77</v>
      </c>
      <c r="T574" s="255">
        <f t="shared" si="33"/>
        <v>2.77</v>
      </c>
      <c r="U574" s="254">
        <v>100100</v>
      </c>
      <c r="V574" s="254" t="s">
        <v>834</v>
      </c>
      <c r="W574" s="254" t="s">
        <v>894</v>
      </c>
      <c r="X574" s="254" t="s">
        <v>446</v>
      </c>
      <c r="Y574" s="254" t="s">
        <v>843</v>
      </c>
      <c r="Z574" s="254" t="s">
        <v>1101</v>
      </c>
      <c r="AA574" s="254" t="s">
        <v>838</v>
      </c>
    </row>
    <row r="575" spans="1:27" ht="14.4" x14ac:dyDescent="0.3">
      <c r="A575" s="253">
        <v>11</v>
      </c>
      <c r="B575" s="254" t="s">
        <v>848</v>
      </c>
      <c r="C575" s="254">
        <v>2410</v>
      </c>
      <c r="D575" s="254" t="s">
        <v>953</v>
      </c>
      <c r="E575" s="254" t="str">
        <f>_xlfn.XLOOKUP(C575,Clientes!I:I,Clientes!F:F)</f>
        <v>PEDRO MACCÍO Y CIA S.A. - URUGUAI</v>
      </c>
      <c r="F575" s="254">
        <v>14145</v>
      </c>
      <c r="G575" s="254" t="s">
        <v>832</v>
      </c>
      <c r="H575" s="254" t="s">
        <v>1075</v>
      </c>
      <c r="I575" s="255">
        <v>12000</v>
      </c>
      <c r="J575" s="256">
        <v>12000</v>
      </c>
      <c r="K575" s="258">
        <v>73080</v>
      </c>
      <c r="L575" s="258">
        <v>0</v>
      </c>
      <c r="M575" s="258">
        <f t="shared" si="34"/>
        <v>73080</v>
      </c>
      <c r="N575" s="258">
        <v>-19028.492000000002</v>
      </c>
      <c r="O575" s="258">
        <v>0</v>
      </c>
      <c r="P575" s="258">
        <v>-851.55077793493626</v>
      </c>
      <c r="Q575" s="258">
        <f t="shared" si="35"/>
        <v>53199.957222065066</v>
      </c>
      <c r="R575" s="259">
        <f t="shared" si="36"/>
        <v>0.72796876330138294</v>
      </c>
      <c r="S575" s="255">
        <f t="shared" si="33"/>
        <v>6.09</v>
      </c>
      <c r="T575" s="255">
        <f t="shared" si="33"/>
        <v>6.09</v>
      </c>
      <c r="U575" s="254">
        <v>100100</v>
      </c>
      <c r="V575" s="254" t="s">
        <v>834</v>
      </c>
      <c r="W575" s="254" t="s">
        <v>954</v>
      </c>
      <c r="X575" s="254" t="s">
        <v>446</v>
      </c>
      <c r="Y575" s="254" t="s">
        <v>836</v>
      </c>
      <c r="Z575" s="254" t="s">
        <v>1101</v>
      </c>
      <c r="AA575" s="254" t="s">
        <v>838</v>
      </c>
    </row>
    <row r="576" spans="1:27" ht="14.4" x14ac:dyDescent="0.3">
      <c r="A576" s="253">
        <v>11</v>
      </c>
      <c r="B576" s="254" t="s">
        <v>848</v>
      </c>
      <c r="C576" s="254">
        <v>1936</v>
      </c>
      <c r="D576" s="254" t="s">
        <v>889</v>
      </c>
      <c r="E576" s="254" t="str">
        <f>_xlfn.XLOOKUP(C576,Clientes!I:I,Clientes!F:F)</f>
        <v>GRUPO AGRO INDUSTRIAL SAO LUIZ LTDA</v>
      </c>
      <c r="F576" s="254">
        <v>4</v>
      </c>
      <c r="G576" s="254" t="s">
        <v>862</v>
      </c>
      <c r="H576" s="254" t="s">
        <v>863</v>
      </c>
      <c r="I576" s="255">
        <v>50000</v>
      </c>
      <c r="J576" s="256">
        <v>50000</v>
      </c>
      <c r="K576" s="258">
        <v>199500</v>
      </c>
      <c r="L576" s="258">
        <v>-23940</v>
      </c>
      <c r="M576" s="258">
        <f t="shared" si="34"/>
        <v>175560</v>
      </c>
      <c r="N576" s="258">
        <v>-48953.990909090906</v>
      </c>
      <c r="O576" s="258">
        <v>0</v>
      </c>
      <c r="P576" s="258">
        <v>0</v>
      </c>
      <c r="Q576" s="258">
        <f t="shared" si="35"/>
        <v>126606.00909090909</v>
      </c>
      <c r="R576" s="259">
        <f t="shared" si="36"/>
        <v>0.72115521241119329</v>
      </c>
      <c r="S576" s="255">
        <f t="shared" si="33"/>
        <v>3.99</v>
      </c>
      <c r="T576" s="255">
        <f t="shared" si="33"/>
        <v>3.99</v>
      </c>
      <c r="U576" s="254">
        <v>100100</v>
      </c>
      <c r="V576" s="254" t="s">
        <v>834</v>
      </c>
      <c r="W576" s="254" t="s">
        <v>864</v>
      </c>
      <c r="X576" s="254" t="s">
        <v>446</v>
      </c>
      <c r="Y576" s="254" t="s">
        <v>843</v>
      </c>
      <c r="Z576" s="254" t="s">
        <v>1101</v>
      </c>
      <c r="AA576" s="254" t="s">
        <v>838</v>
      </c>
    </row>
    <row r="577" spans="1:27" ht="14.4" x14ac:dyDescent="0.3">
      <c r="A577" s="253">
        <v>11</v>
      </c>
      <c r="B577" s="254" t="s">
        <v>848</v>
      </c>
      <c r="C577" s="254">
        <v>1292</v>
      </c>
      <c r="D577" s="254" t="s">
        <v>1079</v>
      </c>
      <c r="E577" s="254" t="str">
        <f>_xlfn.XLOOKUP(C577,Clientes!I:I,Clientes!F:F)</f>
        <v>GRUPO AGRO INDUSTRIAL SAO LUIZ LTDA</v>
      </c>
      <c r="F577" s="254">
        <v>148</v>
      </c>
      <c r="G577" s="254" t="s">
        <v>893</v>
      </c>
      <c r="H577" s="254" t="s">
        <v>904</v>
      </c>
      <c r="I577" s="255">
        <v>20000</v>
      </c>
      <c r="J577" s="256">
        <v>20000</v>
      </c>
      <c r="K577" s="258">
        <v>47000</v>
      </c>
      <c r="L577" s="258">
        <v>-5640</v>
      </c>
      <c r="M577" s="258">
        <f t="shared" si="34"/>
        <v>41360</v>
      </c>
      <c r="N577" s="258">
        <v>-13412.476335877865</v>
      </c>
      <c r="O577" s="258">
        <v>-10207.092555894</v>
      </c>
      <c r="P577" s="258">
        <v>-4.6548884006558726</v>
      </c>
      <c r="Q577" s="258">
        <f t="shared" si="35"/>
        <v>17735.77621982748</v>
      </c>
      <c r="R577" s="259">
        <f t="shared" si="36"/>
        <v>0.42881470550840134</v>
      </c>
      <c r="S577" s="255">
        <f t="shared" si="33"/>
        <v>2.35</v>
      </c>
      <c r="T577" s="255">
        <f t="shared" si="33"/>
        <v>2.35</v>
      </c>
      <c r="U577" s="254">
        <v>100100</v>
      </c>
      <c r="V577" s="254" t="s">
        <v>834</v>
      </c>
      <c r="W577" s="254" t="s">
        <v>1080</v>
      </c>
      <c r="X577" s="254" t="s">
        <v>446</v>
      </c>
      <c r="Y577" s="254" t="s">
        <v>843</v>
      </c>
      <c r="Z577" s="254" t="s">
        <v>1101</v>
      </c>
      <c r="AA577" s="254" t="s">
        <v>838</v>
      </c>
    </row>
    <row r="578" spans="1:27" ht="14.4" x14ac:dyDescent="0.3">
      <c r="A578" s="253">
        <v>11</v>
      </c>
      <c r="B578" s="254" t="s">
        <v>848</v>
      </c>
      <c r="C578" s="254">
        <v>912</v>
      </c>
      <c r="D578" s="254" t="s">
        <v>217</v>
      </c>
      <c r="E578" s="254" t="str">
        <f>_xlfn.XLOOKUP(C578,Clientes!I:I,Clientes!F:F)</f>
        <v>GRUPO FERTILIZE</v>
      </c>
      <c r="F578" s="254">
        <v>14130</v>
      </c>
      <c r="G578" s="254" t="s">
        <v>862</v>
      </c>
      <c r="H578" s="254" t="s">
        <v>903</v>
      </c>
      <c r="I578" s="255">
        <v>6000</v>
      </c>
      <c r="J578" s="256">
        <v>6000</v>
      </c>
      <c r="K578" s="258">
        <v>22260</v>
      </c>
      <c r="L578" s="258">
        <v>-2671.2</v>
      </c>
      <c r="M578" s="258">
        <f t="shared" si="34"/>
        <v>19588.8</v>
      </c>
      <c r="N578" s="258">
        <v>-7606.09</v>
      </c>
      <c r="O578" s="258">
        <v>-4280.0379775139991</v>
      </c>
      <c r="P578" s="258">
        <v>-1.9518877708610678</v>
      </c>
      <c r="Q578" s="258">
        <f t="shared" si="35"/>
        <v>7700.7201347151386</v>
      </c>
      <c r="R578" s="259">
        <f t="shared" si="36"/>
        <v>0.39311852358057353</v>
      </c>
      <c r="S578" s="255">
        <f t="shared" si="33"/>
        <v>3.71</v>
      </c>
      <c r="T578" s="255">
        <f t="shared" si="33"/>
        <v>3.71</v>
      </c>
      <c r="U578" s="254">
        <v>100100</v>
      </c>
      <c r="V578" s="254" t="s">
        <v>834</v>
      </c>
      <c r="W578" s="254" t="s">
        <v>1028</v>
      </c>
      <c r="X578" s="254" t="s">
        <v>446</v>
      </c>
      <c r="Y578" s="254" t="s">
        <v>843</v>
      </c>
      <c r="Z578" s="254" t="s">
        <v>1101</v>
      </c>
      <c r="AA578" s="254" t="s">
        <v>838</v>
      </c>
    </row>
    <row r="579" spans="1:27" ht="14.4" x14ac:dyDescent="0.3">
      <c r="A579" s="253">
        <v>11</v>
      </c>
      <c r="B579" s="254" t="s">
        <v>848</v>
      </c>
      <c r="C579" s="254">
        <v>2949</v>
      </c>
      <c r="D579" s="254" t="s">
        <v>720</v>
      </c>
      <c r="E579" s="254" t="str">
        <f>_xlfn.XLOOKUP(C579,Clientes!I:I,Clientes!F:F)</f>
        <v>GRUPO MOSAIC FERTILIZANTES DO BRASIL</v>
      </c>
      <c r="F579" s="254">
        <v>1043</v>
      </c>
      <c r="G579" s="254" t="s">
        <v>875</v>
      </c>
      <c r="H579" s="254" t="s">
        <v>860</v>
      </c>
      <c r="I579" s="255">
        <v>30000</v>
      </c>
      <c r="J579" s="256">
        <v>30000</v>
      </c>
      <c r="K579" s="258">
        <v>69900</v>
      </c>
      <c r="L579" s="258">
        <v>-4893.0000000000009</v>
      </c>
      <c r="M579" s="258">
        <f t="shared" si="34"/>
        <v>65007</v>
      </c>
      <c r="N579" s="258">
        <v>-11963.505809128625</v>
      </c>
      <c r="O579" s="258">
        <v>-21548.474999999999</v>
      </c>
      <c r="P579" s="258">
        <v>-9.8270634639638246</v>
      </c>
      <c r="Q579" s="258">
        <f t="shared" si="35"/>
        <v>31485.192127407412</v>
      </c>
      <c r="R579" s="259">
        <f t="shared" si="36"/>
        <v>0.48433541199266866</v>
      </c>
      <c r="S579" s="255">
        <f t="shared" ref="S579:T642" si="37">$K579/I579</f>
        <v>2.33</v>
      </c>
      <c r="T579" s="255">
        <f t="shared" si="37"/>
        <v>2.33</v>
      </c>
      <c r="U579" s="254">
        <v>100100</v>
      </c>
      <c r="V579" s="254" t="s">
        <v>834</v>
      </c>
      <c r="W579" s="254" t="s">
        <v>876</v>
      </c>
      <c r="X579" s="254" t="s">
        <v>446</v>
      </c>
      <c r="Y579" s="254" t="s">
        <v>843</v>
      </c>
      <c r="Z579" s="254" t="s">
        <v>1101</v>
      </c>
      <c r="AA579" s="254" t="s">
        <v>838</v>
      </c>
    </row>
    <row r="580" spans="1:27" ht="14.4" x14ac:dyDescent="0.3">
      <c r="A580" s="253">
        <v>11</v>
      </c>
      <c r="B580" s="254" t="s">
        <v>848</v>
      </c>
      <c r="C580" s="254">
        <v>6477</v>
      </c>
      <c r="D580" s="254" t="s">
        <v>87</v>
      </c>
      <c r="E580" s="254" t="str">
        <f>_xlfn.XLOOKUP(C580,Clientes!I:I,Clientes!F:F)</f>
        <v>GRUPO MOSAIC FERTILIZANTES DO BRASIL</v>
      </c>
      <c r="F580" s="254">
        <v>1043</v>
      </c>
      <c r="G580" s="254" t="s">
        <v>862</v>
      </c>
      <c r="H580" s="254" t="s">
        <v>860</v>
      </c>
      <c r="I580" s="255">
        <v>75000</v>
      </c>
      <c r="J580" s="256">
        <v>75000</v>
      </c>
      <c r="K580" s="258">
        <v>164250</v>
      </c>
      <c r="L580" s="258">
        <v>-19710</v>
      </c>
      <c r="M580" s="258">
        <f t="shared" ref="M580:M643" si="38">SUM(K580:L580)</f>
        <v>144540</v>
      </c>
      <c r="N580" s="258">
        <v>-29908.764522821566</v>
      </c>
      <c r="O580" s="258">
        <v>-35124.01425</v>
      </c>
      <c r="P580" s="258">
        <v>-16.018113446261037</v>
      </c>
      <c r="Q580" s="258">
        <f t="shared" ref="Q580:Q643" si="39">SUM(M580:P580)</f>
        <v>79491.203113732176</v>
      </c>
      <c r="R580" s="259">
        <f t="shared" ref="R580:R643" si="40">Q580/M580</f>
        <v>0.54995989424195502</v>
      </c>
      <c r="S580" s="255">
        <f t="shared" si="37"/>
        <v>2.19</v>
      </c>
      <c r="T580" s="255">
        <f t="shared" si="37"/>
        <v>2.19</v>
      </c>
      <c r="U580" s="254">
        <v>100100</v>
      </c>
      <c r="V580" s="254" t="s">
        <v>834</v>
      </c>
      <c r="W580" s="254" t="s">
        <v>864</v>
      </c>
      <c r="X580" s="254" t="s">
        <v>446</v>
      </c>
      <c r="Y580" s="254" t="s">
        <v>843</v>
      </c>
      <c r="Z580" s="254" t="s">
        <v>1101</v>
      </c>
      <c r="AA580" s="254" t="s">
        <v>838</v>
      </c>
    </row>
    <row r="581" spans="1:27" ht="14.4" x14ac:dyDescent="0.3">
      <c r="A581" s="253">
        <v>11</v>
      </c>
      <c r="B581" s="254" t="s">
        <v>848</v>
      </c>
      <c r="C581" s="254">
        <v>7103</v>
      </c>
      <c r="D581" s="254" t="s">
        <v>482</v>
      </c>
      <c r="E581" s="254" t="str">
        <f>_xlfn.XLOOKUP(C581,Clientes!I:I,Clientes!F:F)</f>
        <v>GRUPO MOSAIC FERTILIZANTES DO BRASIL</v>
      </c>
      <c r="F581" s="254">
        <v>1043</v>
      </c>
      <c r="G581" s="254" t="s">
        <v>867</v>
      </c>
      <c r="H581" s="254" t="s">
        <v>860</v>
      </c>
      <c r="I581" s="255">
        <v>60000</v>
      </c>
      <c r="J581" s="256">
        <v>60000</v>
      </c>
      <c r="K581" s="258">
        <v>114000</v>
      </c>
      <c r="L581" s="258">
        <v>-7980.0000000000009</v>
      </c>
      <c r="M581" s="258">
        <f t="shared" si="38"/>
        <v>106020</v>
      </c>
      <c r="N581" s="258">
        <v>-23927.011618257249</v>
      </c>
      <c r="O581" s="258">
        <v>-11377.594799999999</v>
      </c>
      <c r="P581" s="258">
        <v>-5.1886895089728995</v>
      </c>
      <c r="Q581" s="258">
        <f t="shared" si="39"/>
        <v>70710.204892233771</v>
      </c>
      <c r="R581" s="259">
        <f t="shared" si="40"/>
        <v>0.66695156472584205</v>
      </c>
      <c r="S581" s="255">
        <f t="shared" si="37"/>
        <v>1.9</v>
      </c>
      <c r="T581" s="255">
        <f t="shared" si="37"/>
        <v>1.9</v>
      </c>
      <c r="U581" s="254">
        <v>100100</v>
      </c>
      <c r="V581" s="254" t="s">
        <v>834</v>
      </c>
      <c r="W581" s="254" t="s">
        <v>890</v>
      </c>
      <c r="X581" s="254" t="s">
        <v>446</v>
      </c>
      <c r="Y581" s="254" t="s">
        <v>843</v>
      </c>
      <c r="Z581" s="254" t="s">
        <v>1101</v>
      </c>
      <c r="AA581" s="254" t="s">
        <v>838</v>
      </c>
    </row>
    <row r="582" spans="1:27" ht="14.4" x14ac:dyDescent="0.3">
      <c r="A582" s="253">
        <v>11</v>
      </c>
      <c r="B582" s="254" t="s">
        <v>848</v>
      </c>
      <c r="C582" s="254">
        <v>6124</v>
      </c>
      <c r="D582" s="254" t="s">
        <v>891</v>
      </c>
      <c r="E582" s="254" t="str">
        <f>_xlfn.XLOOKUP(C582,Clientes!I:I,Clientes!F:F)</f>
        <v>GRUPO MOSAIC FERTILIZANTES DO BRASIL</v>
      </c>
      <c r="F582" s="254">
        <v>1043</v>
      </c>
      <c r="G582" s="254" t="s">
        <v>855</v>
      </c>
      <c r="H582" s="254" t="s">
        <v>860</v>
      </c>
      <c r="I582" s="255">
        <v>30000</v>
      </c>
      <c r="J582" s="256">
        <v>30000</v>
      </c>
      <c r="K582" s="258">
        <v>50700</v>
      </c>
      <c r="L582" s="258">
        <v>0</v>
      </c>
      <c r="M582" s="258">
        <f t="shared" si="38"/>
        <v>50700</v>
      </c>
      <c r="N582" s="258">
        <v>-11963.505809128625</v>
      </c>
      <c r="O582" s="258">
        <v>-2442.1605</v>
      </c>
      <c r="P582" s="258">
        <v>-1.1137338592492334</v>
      </c>
      <c r="Q582" s="258">
        <f t="shared" si="39"/>
        <v>36293.219957012123</v>
      </c>
      <c r="R582" s="259">
        <f t="shared" si="40"/>
        <v>0.71584260270240874</v>
      </c>
      <c r="S582" s="255">
        <f t="shared" si="37"/>
        <v>1.69</v>
      </c>
      <c r="T582" s="255">
        <f t="shared" si="37"/>
        <v>1.69</v>
      </c>
      <c r="U582" s="254">
        <v>100100</v>
      </c>
      <c r="V582" s="254" t="s">
        <v>834</v>
      </c>
      <c r="W582" s="254" t="s">
        <v>892</v>
      </c>
      <c r="X582" s="254" t="s">
        <v>446</v>
      </c>
      <c r="Y582" s="254" t="s">
        <v>843</v>
      </c>
      <c r="Z582" s="254" t="s">
        <v>1101</v>
      </c>
      <c r="AA582" s="254" t="s">
        <v>838</v>
      </c>
    </row>
    <row r="583" spans="1:27" ht="14.4" x14ac:dyDescent="0.3">
      <c r="A583" s="253">
        <v>11</v>
      </c>
      <c r="B583" s="254" t="s">
        <v>848</v>
      </c>
      <c r="C583" s="254">
        <v>7102</v>
      </c>
      <c r="D583" s="254" t="s">
        <v>906</v>
      </c>
      <c r="E583" s="254" t="str">
        <f>_xlfn.XLOOKUP(C583,Clientes!I:I,Clientes!F:F)</f>
        <v>GRUPO MOSAIC FERTILIZANTES DO BRASIL</v>
      </c>
      <c r="F583" s="254">
        <v>1043</v>
      </c>
      <c r="G583" s="254" t="s">
        <v>840</v>
      </c>
      <c r="H583" s="254" t="s">
        <v>860</v>
      </c>
      <c r="I583" s="255">
        <v>120000</v>
      </c>
      <c r="J583" s="256">
        <v>120000</v>
      </c>
      <c r="K583" s="258">
        <v>244800</v>
      </c>
      <c r="L583" s="258">
        <v>-17136</v>
      </c>
      <c r="M583" s="258">
        <f t="shared" si="38"/>
        <v>227664</v>
      </c>
      <c r="N583" s="258">
        <v>-47854.023236514498</v>
      </c>
      <c r="O583" s="258">
        <v>-47923.808400000002</v>
      </c>
      <c r="P583" s="258">
        <v>-21.855389143855547</v>
      </c>
      <c r="Q583" s="258">
        <f t="shared" si="39"/>
        <v>131864.31297434162</v>
      </c>
      <c r="R583" s="259">
        <f t="shared" si="40"/>
        <v>0.57920581635366863</v>
      </c>
      <c r="S583" s="255">
        <f t="shared" si="37"/>
        <v>2.04</v>
      </c>
      <c r="T583" s="255">
        <f t="shared" si="37"/>
        <v>2.04</v>
      </c>
      <c r="U583" s="254">
        <v>100100</v>
      </c>
      <c r="V583" s="254" t="s">
        <v>834</v>
      </c>
      <c r="W583" s="254" t="s">
        <v>861</v>
      </c>
      <c r="X583" s="254" t="s">
        <v>446</v>
      </c>
      <c r="Y583" s="254" t="s">
        <v>843</v>
      </c>
      <c r="Z583" s="254" t="s">
        <v>1101</v>
      </c>
      <c r="AA583" s="254" t="s">
        <v>838</v>
      </c>
    </row>
    <row r="584" spans="1:27" ht="14.4" x14ac:dyDescent="0.3">
      <c r="A584" s="253">
        <v>11</v>
      </c>
      <c r="B584" s="254" t="s">
        <v>848</v>
      </c>
      <c r="C584" s="254">
        <v>97</v>
      </c>
      <c r="D584" s="254" t="s">
        <v>300</v>
      </c>
      <c r="E584" s="254" t="str">
        <f>_xlfn.XLOOKUP(C584,Clientes!I:I,Clientes!F:F)</f>
        <v>FECOAGRO FEDERACAO DAS COOPERATIVAS</v>
      </c>
      <c r="F584" s="254">
        <v>148</v>
      </c>
      <c r="G584" s="254" t="s">
        <v>893</v>
      </c>
      <c r="H584" s="254" t="s">
        <v>904</v>
      </c>
      <c r="I584" s="255">
        <v>32000</v>
      </c>
      <c r="J584" s="256">
        <v>32000</v>
      </c>
      <c r="K584" s="258">
        <v>112000</v>
      </c>
      <c r="L584" s="258">
        <v>-13440</v>
      </c>
      <c r="M584" s="258">
        <f t="shared" si="38"/>
        <v>98560</v>
      </c>
      <c r="N584" s="258">
        <v>-21459.962137404582</v>
      </c>
      <c r="O584" s="258">
        <v>-17928.331200000001</v>
      </c>
      <c r="P584" s="258">
        <v>-8.1761168020179031</v>
      </c>
      <c r="Q584" s="258">
        <f t="shared" si="39"/>
        <v>59163.530545793401</v>
      </c>
      <c r="R584" s="259">
        <f t="shared" si="40"/>
        <v>0.60027932777793624</v>
      </c>
      <c r="S584" s="255">
        <f t="shared" si="37"/>
        <v>3.5</v>
      </c>
      <c r="T584" s="255">
        <f t="shared" si="37"/>
        <v>3.5</v>
      </c>
      <c r="U584" s="254">
        <v>100100</v>
      </c>
      <c r="V584" s="254" t="s">
        <v>834</v>
      </c>
      <c r="W584" s="254" t="s">
        <v>894</v>
      </c>
      <c r="X584" s="254" t="s">
        <v>446</v>
      </c>
      <c r="Y584" s="254" t="s">
        <v>843</v>
      </c>
      <c r="Z584" s="254" t="s">
        <v>1101</v>
      </c>
      <c r="AA584" s="254" t="s">
        <v>838</v>
      </c>
    </row>
    <row r="585" spans="1:27" ht="14.4" x14ac:dyDescent="0.3">
      <c r="A585" s="253">
        <v>11</v>
      </c>
      <c r="B585" s="254" t="s">
        <v>848</v>
      </c>
      <c r="C585" s="254">
        <v>11133</v>
      </c>
      <c r="D585" s="254" t="s">
        <v>895</v>
      </c>
      <c r="E585" s="254" t="str">
        <f>_xlfn.XLOOKUP(C585,Clientes!I:I,Clientes!F:F)</f>
        <v>GRUPO ADUBOS ARAGUAIA</v>
      </c>
      <c r="F585" s="254">
        <v>1</v>
      </c>
      <c r="G585" s="254" t="s">
        <v>862</v>
      </c>
      <c r="H585" s="254" t="s">
        <v>873</v>
      </c>
      <c r="I585" s="255">
        <v>15000</v>
      </c>
      <c r="J585" s="256">
        <v>15000</v>
      </c>
      <c r="K585" s="258">
        <v>38400</v>
      </c>
      <c r="L585" s="258">
        <v>-4608</v>
      </c>
      <c r="M585" s="258">
        <f t="shared" si="38"/>
        <v>33792</v>
      </c>
      <c r="N585" s="258">
        <v>-9833.4330000000027</v>
      </c>
      <c r="O585" s="258">
        <v>-10935.990696618001</v>
      </c>
      <c r="P585" s="258">
        <v>-4.9872983873328876</v>
      </c>
      <c r="Q585" s="258">
        <f t="shared" si="39"/>
        <v>13017.589004994661</v>
      </c>
      <c r="R585" s="259">
        <f t="shared" si="40"/>
        <v>0.3852269473542454</v>
      </c>
      <c r="S585" s="255">
        <f t="shared" si="37"/>
        <v>2.56</v>
      </c>
      <c r="T585" s="255">
        <f t="shared" si="37"/>
        <v>2.56</v>
      </c>
      <c r="U585" s="254">
        <v>100100</v>
      </c>
      <c r="V585" s="254" t="s">
        <v>834</v>
      </c>
      <c r="W585" s="254" t="s">
        <v>864</v>
      </c>
      <c r="X585" s="254" t="s">
        <v>446</v>
      </c>
      <c r="Y585" s="254" t="s">
        <v>843</v>
      </c>
      <c r="Z585" s="254" t="s">
        <v>1101</v>
      </c>
      <c r="AA585" s="254" t="s">
        <v>838</v>
      </c>
    </row>
    <row r="586" spans="1:27" ht="14.4" x14ac:dyDescent="0.3">
      <c r="A586" s="253">
        <v>11</v>
      </c>
      <c r="B586" s="254" t="s">
        <v>848</v>
      </c>
      <c r="C586" s="254">
        <v>452</v>
      </c>
      <c r="D586" s="254" t="s">
        <v>900</v>
      </c>
      <c r="E586" s="254" t="str">
        <f>_xlfn.XLOOKUP(C586,Clientes!I:I,Clientes!F:F)</f>
        <v>GRUPO FERTIPAR FERTILIZANTES MARANHAO</v>
      </c>
      <c r="F586" s="254">
        <v>2</v>
      </c>
      <c r="G586" s="254" t="s">
        <v>897</v>
      </c>
      <c r="H586" s="254" t="s">
        <v>883</v>
      </c>
      <c r="I586" s="255">
        <v>64000</v>
      </c>
      <c r="J586" s="256">
        <v>64000</v>
      </c>
      <c r="K586" s="258">
        <v>151680</v>
      </c>
      <c r="L586" s="258">
        <v>-10617.6</v>
      </c>
      <c r="M586" s="258">
        <f t="shared" si="38"/>
        <v>141062.39999999999</v>
      </c>
      <c r="N586" s="258">
        <v>-40619.227234042548</v>
      </c>
      <c r="O586" s="258">
        <v>-56451.258239999996</v>
      </c>
      <c r="P586" s="258">
        <v>-25.744285725328165</v>
      </c>
      <c r="Q586" s="258">
        <f t="shared" si="39"/>
        <v>43966.170240232132</v>
      </c>
      <c r="R586" s="259">
        <f t="shared" si="40"/>
        <v>0.31167887573323672</v>
      </c>
      <c r="S586" s="255">
        <f t="shared" si="37"/>
        <v>2.37</v>
      </c>
      <c r="T586" s="255">
        <f t="shared" si="37"/>
        <v>2.37</v>
      </c>
      <c r="U586" s="254">
        <v>100100</v>
      </c>
      <c r="V586" s="254" t="s">
        <v>834</v>
      </c>
      <c r="W586" s="254" t="s">
        <v>899</v>
      </c>
      <c r="X586" s="254" t="s">
        <v>446</v>
      </c>
      <c r="Y586" s="254" t="s">
        <v>843</v>
      </c>
      <c r="Z586" s="254" t="s">
        <v>1101</v>
      </c>
      <c r="AA586" s="254" t="s">
        <v>838</v>
      </c>
    </row>
    <row r="587" spans="1:27" ht="14.4" x14ac:dyDescent="0.3">
      <c r="A587" s="253">
        <v>11</v>
      </c>
      <c r="B587" s="254" t="s">
        <v>848</v>
      </c>
      <c r="C587" s="254">
        <v>2603</v>
      </c>
      <c r="D587" s="254" t="s">
        <v>1074</v>
      </c>
      <c r="E587" s="254" t="str">
        <f>_xlfn.XLOOKUP(C587,Clientes!I:I,Clientes!F:F)</f>
        <v>GRUPO MOSAIC FERTILIZANTES DO BRASIL</v>
      </c>
      <c r="F587" s="254">
        <v>1043</v>
      </c>
      <c r="G587" s="254" t="s">
        <v>897</v>
      </c>
      <c r="H587" s="254" t="s">
        <v>860</v>
      </c>
      <c r="I587" s="255">
        <v>60000</v>
      </c>
      <c r="J587" s="256">
        <v>60000</v>
      </c>
      <c r="K587" s="258">
        <v>147600</v>
      </c>
      <c r="L587" s="258">
        <v>-10332.000000000002</v>
      </c>
      <c r="M587" s="258">
        <f t="shared" si="38"/>
        <v>137268</v>
      </c>
      <c r="N587" s="258">
        <v>-23927.011618257249</v>
      </c>
      <c r="O587" s="258">
        <v>0</v>
      </c>
      <c r="P587" s="258">
        <v>0</v>
      </c>
      <c r="Q587" s="258">
        <f t="shared" si="39"/>
        <v>113340.98838174275</v>
      </c>
      <c r="R587" s="259">
        <f t="shared" si="40"/>
        <v>0.82569126367210677</v>
      </c>
      <c r="S587" s="255">
        <f t="shared" si="37"/>
        <v>2.46</v>
      </c>
      <c r="T587" s="255">
        <f t="shared" si="37"/>
        <v>2.46</v>
      </c>
      <c r="U587" s="254">
        <v>100100</v>
      </c>
      <c r="V587" s="254" t="s">
        <v>834</v>
      </c>
      <c r="W587" s="254" t="s">
        <v>899</v>
      </c>
      <c r="X587" s="254" t="s">
        <v>446</v>
      </c>
      <c r="Y587" s="254" t="s">
        <v>843</v>
      </c>
      <c r="Z587" s="254" t="s">
        <v>1101</v>
      </c>
      <c r="AA587" s="254" t="s">
        <v>838</v>
      </c>
    </row>
    <row r="588" spans="1:27" ht="14.4" x14ac:dyDescent="0.3">
      <c r="A588" s="253">
        <v>11</v>
      </c>
      <c r="B588" s="254" t="s">
        <v>848</v>
      </c>
      <c r="C588" s="254">
        <v>2588</v>
      </c>
      <c r="D588" s="254" t="s">
        <v>70</v>
      </c>
      <c r="E588" s="254" t="str">
        <f>_xlfn.XLOOKUP(C588,Clientes!I:I,Clientes!F:F)</f>
        <v>GRUPO FERTILIZ TOCANTINS</v>
      </c>
      <c r="F588" s="254">
        <v>6564</v>
      </c>
      <c r="G588" s="254" t="s">
        <v>840</v>
      </c>
      <c r="H588" s="254" t="s">
        <v>914</v>
      </c>
      <c r="I588" s="255">
        <v>32000</v>
      </c>
      <c r="J588" s="256">
        <v>32000</v>
      </c>
      <c r="K588" s="258">
        <v>100160</v>
      </c>
      <c r="L588" s="258">
        <v>-7011.2000000000007</v>
      </c>
      <c r="M588" s="258">
        <f t="shared" si="38"/>
        <v>93148.800000000003</v>
      </c>
      <c r="N588" s="258">
        <v>-31407.542222222215</v>
      </c>
      <c r="O588" s="258">
        <v>-23352.800640000001</v>
      </c>
      <c r="P588" s="258">
        <v>-10.64991624467973</v>
      </c>
      <c r="Q588" s="258">
        <f t="shared" si="39"/>
        <v>38377.807221533112</v>
      </c>
      <c r="R588" s="259">
        <f t="shared" si="40"/>
        <v>0.41200538516366408</v>
      </c>
      <c r="S588" s="255">
        <f t="shared" si="37"/>
        <v>3.13</v>
      </c>
      <c r="T588" s="255">
        <f t="shared" si="37"/>
        <v>3.13</v>
      </c>
      <c r="U588" s="254">
        <v>100200</v>
      </c>
      <c r="V588" s="254" t="s">
        <v>912</v>
      </c>
      <c r="W588" s="254" t="s">
        <v>915</v>
      </c>
      <c r="X588" s="254" t="s">
        <v>446</v>
      </c>
      <c r="Y588" s="254" t="s">
        <v>843</v>
      </c>
      <c r="Z588" s="254" t="s">
        <v>1101</v>
      </c>
      <c r="AA588" s="254" t="s">
        <v>838</v>
      </c>
    </row>
    <row r="589" spans="1:27" ht="14.4" x14ac:dyDescent="0.3">
      <c r="A589" s="253">
        <v>11</v>
      </c>
      <c r="B589" s="254" t="s">
        <v>848</v>
      </c>
      <c r="C589" s="254">
        <v>456</v>
      </c>
      <c r="D589" s="254" t="s">
        <v>312</v>
      </c>
      <c r="E589" s="254" t="str">
        <f>_xlfn.XLOOKUP(C589,Clientes!I:I,Clientes!F:F)</f>
        <v>GRUPO FERTIPAR FERTILIZANTES DO NORDESTE</v>
      </c>
      <c r="F589" s="254">
        <v>113</v>
      </c>
      <c r="G589" s="254" t="s">
        <v>875</v>
      </c>
      <c r="H589" s="254" t="s">
        <v>913</v>
      </c>
      <c r="I589" s="255">
        <v>30000</v>
      </c>
      <c r="J589" s="256">
        <v>30000</v>
      </c>
      <c r="K589" s="258">
        <v>100200</v>
      </c>
      <c r="L589" s="258">
        <v>-7014.0000000000009</v>
      </c>
      <c r="M589" s="258">
        <f t="shared" si="38"/>
        <v>93186</v>
      </c>
      <c r="N589" s="258">
        <v>-27048.628051948057</v>
      </c>
      <c r="O589" s="258">
        <v>-21548.474999999999</v>
      </c>
      <c r="P589" s="258">
        <v>-9.8270634639638246</v>
      </c>
      <c r="Q589" s="258">
        <f t="shared" si="39"/>
        <v>44579.069884587974</v>
      </c>
      <c r="R589" s="259">
        <f t="shared" si="40"/>
        <v>0.47838806134599593</v>
      </c>
      <c r="S589" s="255">
        <f t="shared" si="37"/>
        <v>3.34</v>
      </c>
      <c r="T589" s="255">
        <f t="shared" si="37"/>
        <v>3.34</v>
      </c>
      <c r="U589" s="254">
        <v>100200</v>
      </c>
      <c r="V589" s="254" t="s">
        <v>912</v>
      </c>
      <c r="W589" s="254" t="s">
        <v>876</v>
      </c>
      <c r="X589" s="254" t="s">
        <v>446</v>
      </c>
      <c r="Y589" s="254" t="s">
        <v>843</v>
      </c>
      <c r="Z589" s="254" t="s">
        <v>1101</v>
      </c>
      <c r="AA589" s="254" t="s">
        <v>838</v>
      </c>
    </row>
    <row r="590" spans="1:27" ht="14.4" x14ac:dyDescent="0.3">
      <c r="A590" s="253">
        <v>11</v>
      </c>
      <c r="B590" s="254" t="s">
        <v>848</v>
      </c>
      <c r="C590" s="254">
        <v>205</v>
      </c>
      <c r="D590" s="254" t="s">
        <v>859</v>
      </c>
      <c r="E590" s="254" t="str">
        <f>_xlfn.XLOOKUP(C590,Clientes!I:I,Clientes!F:F)</f>
        <v>GRUPO FERTIPAR FERTILIZANTES MATO GROSSO</v>
      </c>
      <c r="F590" s="254">
        <v>6564</v>
      </c>
      <c r="G590" s="254" t="s">
        <v>840</v>
      </c>
      <c r="H590" s="254" t="s">
        <v>914</v>
      </c>
      <c r="I590" s="255">
        <v>340000</v>
      </c>
      <c r="J590" s="256">
        <v>340000</v>
      </c>
      <c r="K590" s="258">
        <v>856800</v>
      </c>
      <c r="L590" s="258">
        <v>-59976.000000000007</v>
      </c>
      <c r="M590" s="258">
        <f t="shared" si="38"/>
        <v>796824</v>
      </c>
      <c r="N590" s="258">
        <v>-333705.13611111109</v>
      </c>
      <c r="O590" s="258">
        <v>-135784.12379999997</v>
      </c>
      <c r="P590" s="258">
        <v>-61.923602574257373</v>
      </c>
      <c r="Q590" s="258">
        <f t="shared" si="39"/>
        <v>327272.81648631464</v>
      </c>
      <c r="R590" s="259">
        <f t="shared" si="40"/>
        <v>0.4107215853015404</v>
      </c>
      <c r="S590" s="255">
        <f t="shared" si="37"/>
        <v>2.52</v>
      </c>
      <c r="T590" s="255">
        <f t="shared" si="37"/>
        <v>2.52</v>
      </c>
      <c r="U590" s="254">
        <v>100200</v>
      </c>
      <c r="V590" s="254" t="s">
        <v>912</v>
      </c>
      <c r="W590" s="254" t="s">
        <v>861</v>
      </c>
      <c r="X590" s="254" t="s">
        <v>446</v>
      </c>
      <c r="Y590" s="254" t="s">
        <v>843</v>
      </c>
      <c r="Z590" s="254" t="s">
        <v>1101</v>
      </c>
      <c r="AA590" s="254" t="s">
        <v>838</v>
      </c>
    </row>
    <row r="591" spans="1:27" ht="14.4" x14ac:dyDescent="0.3">
      <c r="A591" s="253">
        <v>11</v>
      </c>
      <c r="B591" s="254" t="s">
        <v>848</v>
      </c>
      <c r="C591" s="254">
        <v>10434</v>
      </c>
      <c r="D591" s="254" t="s">
        <v>99</v>
      </c>
      <c r="E591" s="254" t="str">
        <f>_xlfn.XLOOKUP(C591,Clientes!I:I,Clientes!F:F)</f>
        <v>GRUPO CIBRA</v>
      </c>
      <c r="F591" s="254">
        <v>6564</v>
      </c>
      <c r="G591" s="254" t="s">
        <v>840</v>
      </c>
      <c r="H591" s="254" t="s">
        <v>914</v>
      </c>
      <c r="I591" s="255">
        <v>60000</v>
      </c>
      <c r="J591" s="256">
        <v>60000</v>
      </c>
      <c r="K591" s="258">
        <v>184800</v>
      </c>
      <c r="L591" s="258">
        <v>-12936.000000000002</v>
      </c>
      <c r="M591" s="258">
        <f t="shared" si="38"/>
        <v>171864</v>
      </c>
      <c r="N591" s="258">
        <v>-58889.141666666663</v>
      </c>
      <c r="O591" s="258">
        <v>-43786.501199999999</v>
      </c>
      <c r="P591" s="258">
        <v>-19.96859295877449</v>
      </c>
      <c r="Q591" s="258">
        <f t="shared" si="39"/>
        <v>69168.388540374566</v>
      </c>
      <c r="R591" s="259">
        <f t="shared" si="40"/>
        <v>0.4024600180396975</v>
      </c>
      <c r="S591" s="255">
        <f t="shared" si="37"/>
        <v>3.08</v>
      </c>
      <c r="T591" s="255">
        <f t="shared" si="37"/>
        <v>3.08</v>
      </c>
      <c r="U591" s="254">
        <v>100200</v>
      </c>
      <c r="V591" s="254" t="s">
        <v>912</v>
      </c>
      <c r="W591" s="254" t="s">
        <v>915</v>
      </c>
      <c r="X591" s="254" t="s">
        <v>446</v>
      </c>
      <c r="Y591" s="254" t="s">
        <v>843</v>
      </c>
      <c r="Z591" s="254" t="s">
        <v>1101</v>
      </c>
      <c r="AA591" s="254" t="s">
        <v>838</v>
      </c>
    </row>
    <row r="592" spans="1:27" ht="14.4" x14ac:dyDescent="0.3">
      <c r="A592" s="253">
        <v>11</v>
      </c>
      <c r="B592" s="254" t="s">
        <v>848</v>
      </c>
      <c r="C592" s="254">
        <v>5182</v>
      </c>
      <c r="D592" s="254" t="s">
        <v>1081</v>
      </c>
      <c r="E592" s="254" t="str">
        <f>_xlfn.XLOOKUP(C592,Clientes!I:I,Clientes!F:F)</f>
        <v>GRUPO FERTIPAR FERTILIZANTES MATO GROSSO</v>
      </c>
      <c r="F592" s="254">
        <v>113</v>
      </c>
      <c r="G592" s="254" t="s">
        <v>840</v>
      </c>
      <c r="H592" s="254" t="s">
        <v>913</v>
      </c>
      <c r="I592" s="255">
        <v>60000</v>
      </c>
      <c r="J592" s="256">
        <v>60000</v>
      </c>
      <c r="K592" s="258">
        <v>161400</v>
      </c>
      <c r="L592" s="258">
        <v>-11298.000000000002</v>
      </c>
      <c r="M592" s="258">
        <f t="shared" si="38"/>
        <v>150102</v>
      </c>
      <c r="N592" s="258">
        <v>-54097.256103896114</v>
      </c>
      <c r="O592" s="258">
        <v>-43786.501199999999</v>
      </c>
      <c r="P592" s="258">
        <v>-19.96859295877449</v>
      </c>
      <c r="Q592" s="258">
        <f t="shared" si="39"/>
        <v>52198.274103145115</v>
      </c>
      <c r="R592" s="259">
        <f t="shared" si="40"/>
        <v>0.34775202264556843</v>
      </c>
      <c r="S592" s="255">
        <f t="shared" si="37"/>
        <v>2.69</v>
      </c>
      <c r="T592" s="255">
        <f t="shared" si="37"/>
        <v>2.69</v>
      </c>
      <c r="U592" s="254">
        <v>100200</v>
      </c>
      <c r="V592" s="254" t="s">
        <v>912</v>
      </c>
      <c r="W592" s="254" t="s">
        <v>915</v>
      </c>
      <c r="X592" s="254" t="s">
        <v>446</v>
      </c>
      <c r="Y592" s="254" t="s">
        <v>843</v>
      </c>
      <c r="Z592" s="254" t="s">
        <v>1101</v>
      </c>
      <c r="AA592" s="254" t="s">
        <v>838</v>
      </c>
    </row>
    <row r="593" spans="1:27" ht="14.4" x14ac:dyDescent="0.3">
      <c r="A593" s="253">
        <v>11</v>
      </c>
      <c r="B593" s="254" t="s">
        <v>848</v>
      </c>
      <c r="C593" s="254">
        <v>10492</v>
      </c>
      <c r="D593" s="254" t="s">
        <v>101</v>
      </c>
      <c r="E593" s="254" t="str">
        <f>_xlfn.XLOOKUP(C593,Clientes!I:I,Clientes!F:F)</f>
        <v>GRUPO UNIFERTIL</v>
      </c>
      <c r="F593" s="254">
        <v>113</v>
      </c>
      <c r="G593" s="254" t="s">
        <v>877</v>
      </c>
      <c r="H593" s="254" t="s">
        <v>913</v>
      </c>
      <c r="I593" s="255">
        <v>64000</v>
      </c>
      <c r="J593" s="256">
        <v>64000</v>
      </c>
      <c r="K593" s="258">
        <v>197760</v>
      </c>
      <c r="L593" s="258">
        <v>-23731.200000000001</v>
      </c>
      <c r="M593" s="258">
        <f t="shared" si="38"/>
        <v>174028.79999999999</v>
      </c>
      <c r="N593" s="258">
        <v>-57703.739844155854</v>
      </c>
      <c r="O593" s="258">
        <v>-52099.423999999999</v>
      </c>
      <c r="P593" s="258">
        <v>-23.759655663983647</v>
      </c>
      <c r="Q593" s="258">
        <f t="shared" si="39"/>
        <v>64201.876500180158</v>
      </c>
      <c r="R593" s="259">
        <f t="shared" si="40"/>
        <v>0.36891523989236358</v>
      </c>
      <c r="S593" s="255">
        <f t="shared" si="37"/>
        <v>3.09</v>
      </c>
      <c r="T593" s="255">
        <f t="shared" si="37"/>
        <v>3.09</v>
      </c>
      <c r="U593" s="254">
        <v>100200</v>
      </c>
      <c r="V593" s="254" t="s">
        <v>912</v>
      </c>
      <c r="W593" s="254" t="s">
        <v>878</v>
      </c>
      <c r="X593" s="254" t="s">
        <v>446</v>
      </c>
      <c r="Y593" s="254" t="s">
        <v>843</v>
      </c>
      <c r="Z593" s="254" t="s">
        <v>1101</v>
      </c>
      <c r="AA593" s="254" t="s">
        <v>838</v>
      </c>
    </row>
    <row r="594" spans="1:27" ht="14.4" x14ac:dyDescent="0.3">
      <c r="A594" s="253">
        <v>11</v>
      </c>
      <c r="B594" s="254" t="s">
        <v>848</v>
      </c>
      <c r="C594" s="254">
        <v>252</v>
      </c>
      <c r="D594" s="254" t="s">
        <v>37</v>
      </c>
      <c r="E594" s="254" t="str">
        <f>_xlfn.XLOOKUP(C594,Clientes!I:I,Clientes!F:F)</f>
        <v>GRUPO FERTIPAR FERTILIZANTES PARANA</v>
      </c>
      <c r="F594" s="254">
        <v>10343</v>
      </c>
      <c r="G594" s="254" t="s">
        <v>862</v>
      </c>
      <c r="H594" s="254" t="s">
        <v>911</v>
      </c>
      <c r="I594" s="255">
        <v>60000</v>
      </c>
      <c r="J594" s="256">
        <v>60000</v>
      </c>
      <c r="K594" s="258">
        <v>225600</v>
      </c>
      <c r="L594" s="258">
        <v>-27072</v>
      </c>
      <c r="M594" s="258">
        <f t="shared" si="38"/>
        <v>198528</v>
      </c>
      <c r="N594" s="258">
        <v>-95500.520000000019</v>
      </c>
      <c r="O594" s="258">
        <v>-28099.2114</v>
      </c>
      <c r="P594" s="258">
        <v>-12.814490757008826</v>
      </c>
      <c r="Q594" s="258">
        <f t="shared" si="39"/>
        <v>74915.454109242972</v>
      </c>
      <c r="R594" s="259">
        <f t="shared" si="40"/>
        <v>0.37735460040519708</v>
      </c>
      <c r="S594" s="255">
        <f t="shared" si="37"/>
        <v>3.76</v>
      </c>
      <c r="T594" s="255">
        <f t="shared" si="37"/>
        <v>3.76</v>
      </c>
      <c r="U594" s="254">
        <v>100200</v>
      </c>
      <c r="V594" s="254" t="s">
        <v>912</v>
      </c>
      <c r="W594" s="254" t="s">
        <v>864</v>
      </c>
      <c r="X594" s="254" t="s">
        <v>446</v>
      </c>
      <c r="Y594" s="254" t="s">
        <v>843</v>
      </c>
      <c r="Z594" s="254" t="s">
        <v>1101</v>
      </c>
      <c r="AA594" s="254" t="s">
        <v>838</v>
      </c>
    </row>
    <row r="595" spans="1:27" ht="14.4" x14ac:dyDescent="0.3">
      <c r="A595" s="253">
        <v>11</v>
      </c>
      <c r="B595" s="254" t="s">
        <v>848</v>
      </c>
      <c r="C595" s="254">
        <v>2975</v>
      </c>
      <c r="D595" s="254" t="s">
        <v>420</v>
      </c>
      <c r="E595" s="254" t="str">
        <f>_xlfn.XLOOKUP(C595,Clientes!I:I,Clientes!F:F)</f>
        <v>COONAGRO COOPERATIVA - PARANAGUA</v>
      </c>
      <c r="F595" s="254">
        <v>10343</v>
      </c>
      <c r="G595" s="254" t="s">
        <v>862</v>
      </c>
      <c r="H595" s="254" t="s">
        <v>911</v>
      </c>
      <c r="I595" s="255">
        <v>15000</v>
      </c>
      <c r="J595" s="256">
        <v>15000</v>
      </c>
      <c r="K595" s="258">
        <v>61350</v>
      </c>
      <c r="L595" s="258">
        <v>-7362</v>
      </c>
      <c r="M595" s="258">
        <f t="shared" si="38"/>
        <v>53988</v>
      </c>
      <c r="N595" s="258">
        <v>-23875.130000000005</v>
      </c>
      <c r="O595" s="258">
        <v>-10935.990696618001</v>
      </c>
      <c r="P595" s="258">
        <v>-4.9872983873328876</v>
      </c>
      <c r="Q595" s="258">
        <f t="shared" si="39"/>
        <v>19171.892004994665</v>
      </c>
      <c r="R595" s="259">
        <f t="shared" si="40"/>
        <v>0.35511395134093993</v>
      </c>
      <c r="S595" s="255">
        <f t="shared" si="37"/>
        <v>4.09</v>
      </c>
      <c r="T595" s="255">
        <f t="shared" si="37"/>
        <v>4.09</v>
      </c>
      <c r="U595" s="254">
        <v>100200</v>
      </c>
      <c r="V595" s="254" t="s">
        <v>912</v>
      </c>
      <c r="W595" s="254" t="s">
        <v>864</v>
      </c>
      <c r="X595" s="254" t="s">
        <v>446</v>
      </c>
      <c r="Y595" s="254" t="s">
        <v>843</v>
      </c>
      <c r="Z595" s="254" t="s">
        <v>1101</v>
      </c>
      <c r="AA595" s="254" t="s">
        <v>838</v>
      </c>
    </row>
    <row r="596" spans="1:27" ht="14.4" x14ac:dyDescent="0.3">
      <c r="A596" s="253">
        <v>11</v>
      </c>
      <c r="B596" s="254" t="s">
        <v>848</v>
      </c>
      <c r="C596" s="254">
        <v>1953</v>
      </c>
      <c r="D596" s="254" t="s">
        <v>66</v>
      </c>
      <c r="E596" s="254" t="str">
        <f>_xlfn.XLOOKUP(C596,Clientes!I:I,Clientes!F:F)</f>
        <v>GRUPO AMAGGI</v>
      </c>
      <c r="F596" s="254">
        <v>113</v>
      </c>
      <c r="G596" s="254" t="s">
        <v>840</v>
      </c>
      <c r="H596" s="254" t="s">
        <v>913</v>
      </c>
      <c r="I596" s="255">
        <v>60000</v>
      </c>
      <c r="J596" s="256">
        <v>60000</v>
      </c>
      <c r="K596" s="258">
        <v>174000</v>
      </c>
      <c r="L596" s="258">
        <v>-12180.000000000002</v>
      </c>
      <c r="M596" s="258">
        <f t="shared" si="38"/>
        <v>161820</v>
      </c>
      <c r="N596" s="258">
        <v>-54097.256103896114</v>
      </c>
      <c r="O596" s="258">
        <v>-41876.730604799995</v>
      </c>
      <c r="P596" s="258">
        <v>-19.097652586398144</v>
      </c>
      <c r="Q596" s="258">
        <f t="shared" si="39"/>
        <v>65826.915638717488</v>
      </c>
      <c r="R596" s="259">
        <f t="shared" si="40"/>
        <v>0.40679097539684517</v>
      </c>
      <c r="S596" s="255">
        <f t="shared" si="37"/>
        <v>2.9</v>
      </c>
      <c r="T596" s="255">
        <f t="shared" si="37"/>
        <v>2.9</v>
      </c>
      <c r="U596" s="254">
        <v>100200</v>
      </c>
      <c r="V596" s="254" t="s">
        <v>912</v>
      </c>
      <c r="W596" s="254" t="s">
        <v>1008</v>
      </c>
      <c r="X596" s="254" t="s">
        <v>446</v>
      </c>
      <c r="Y596" s="254" t="s">
        <v>843</v>
      </c>
      <c r="Z596" s="254" t="s">
        <v>1101</v>
      </c>
      <c r="AA596" s="254" t="s">
        <v>838</v>
      </c>
    </row>
    <row r="597" spans="1:27" ht="14.4" x14ac:dyDescent="0.3">
      <c r="A597" s="253">
        <v>11</v>
      </c>
      <c r="B597" s="254" t="s">
        <v>848</v>
      </c>
      <c r="C597" s="254">
        <v>8414</v>
      </c>
      <c r="D597" s="254" t="s">
        <v>98</v>
      </c>
      <c r="E597" s="254" t="str">
        <f>_xlfn.XLOOKUP(C597,Clientes!I:I,Clientes!F:F)</f>
        <v>GRUPO AMAGGI</v>
      </c>
      <c r="F597" s="254">
        <v>113</v>
      </c>
      <c r="G597" s="254" t="s">
        <v>1061</v>
      </c>
      <c r="H597" s="254" t="s">
        <v>913</v>
      </c>
      <c r="I597" s="255">
        <v>15000</v>
      </c>
      <c r="J597" s="256">
        <v>15000</v>
      </c>
      <c r="K597" s="258">
        <v>47250</v>
      </c>
      <c r="L597" s="258">
        <v>-3307.5000000000005</v>
      </c>
      <c r="M597" s="258">
        <f t="shared" si="38"/>
        <v>43942.5</v>
      </c>
      <c r="N597" s="258">
        <v>-13524.314025974028</v>
      </c>
      <c r="O597" s="258">
        <v>-24495.122433600001</v>
      </c>
      <c r="P597" s="258">
        <v>-11.170865813592433</v>
      </c>
      <c r="Q597" s="258">
        <f t="shared" si="39"/>
        <v>5911.892674612378</v>
      </c>
      <c r="R597" s="259">
        <f t="shared" si="40"/>
        <v>0.13453701256442802</v>
      </c>
      <c r="S597" s="255">
        <f t="shared" si="37"/>
        <v>3.15</v>
      </c>
      <c r="T597" s="255">
        <f t="shared" si="37"/>
        <v>3.15</v>
      </c>
      <c r="U597" s="254">
        <v>100200</v>
      </c>
      <c r="V597" s="254" t="s">
        <v>912</v>
      </c>
      <c r="W597" s="254" t="s">
        <v>1062</v>
      </c>
      <c r="X597" s="254" t="s">
        <v>446</v>
      </c>
      <c r="Y597" s="254" t="s">
        <v>843</v>
      </c>
      <c r="Z597" s="254" t="s">
        <v>1101</v>
      </c>
      <c r="AA597" s="254" t="s">
        <v>838</v>
      </c>
    </row>
    <row r="598" spans="1:27" ht="14.4" x14ac:dyDescent="0.3">
      <c r="A598" s="253">
        <v>11</v>
      </c>
      <c r="B598" s="254" t="s">
        <v>848</v>
      </c>
      <c r="C598" s="254">
        <v>214</v>
      </c>
      <c r="D598" s="254" t="s">
        <v>149</v>
      </c>
      <c r="E598" s="254" t="str">
        <f>_xlfn.XLOOKUP(C598,Clientes!I:I,Clientes!F:F)</f>
        <v>GRUPO UNIFERTIL</v>
      </c>
      <c r="F598" s="254">
        <v>113</v>
      </c>
      <c r="G598" s="254" t="s">
        <v>877</v>
      </c>
      <c r="H598" s="254" t="s">
        <v>913</v>
      </c>
      <c r="I598" s="255">
        <v>60000</v>
      </c>
      <c r="J598" s="256">
        <v>60000</v>
      </c>
      <c r="K598" s="258">
        <v>185400</v>
      </c>
      <c r="L598" s="258">
        <v>-22248</v>
      </c>
      <c r="M598" s="258">
        <f t="shared" si="38"/>
        <v>163152</v>
      </c>
      <c r="N598" s="258">
        <v>-54097.256103896114</v>
      </c>
      <c r="O598" s="258">
        <v>-48383.509199999993</v>
      </c>
      <c r="P598" s="258">
        <v>-22.065033164420107</v>
      </c>
      <c r="Q598" s="258">
        <f t="shared" si="39"/>
        <v>60649.169662939472</v>
      </c>
      <c r="R598" s="259">
        <f t="shared" si="40"/>
        <v>0.37173414768399698</v>
      </c>
      <c r="S598" s="255">
        <f t="shared" si="37"/>
        <v>3.09</v>
      </c>
      <c r="T598" s="255">
        <f t="shared" si="37"/>
        <v>3.09</v>
      </c>
      <c r="U598" s="254">
        <v>100200</v>
      </c>
      <c r="V598" s="254" t="s">
        <v>912</v>
      </c>
      <c r="W598" s="254" t="s">
        <v>880</v>
      </c>
      <c r="X598" s="254" t="s">
        <v>446</v>
      </c>
      <c r="Y598" s="254" t="s">
        <v>843</v>
      </c>
      <c r="Z598" s="254" t="s">
        <v>1101</v>
      </c>
      <c r="AA598" s="254" t="s">
        <v>838</v>
      </c>
    </row>
    <row r="599" spans="1:27" ht="14.4" x14ac:dyDescent="0.3">
      <c r="A599" s="253">
        <v>11</v>
      </c>
      <c r="B599" s="254" t="s">
        <v>848</v>
      </c>
      <c r="C599" s="254">
        <v>8413</v>
      </c>
      <c r="D599" s="254" t="s">
        <v>97</v>
      </c>
      <c r="E599" s="254" t="str">
        <f>_xlfn.XLOOKUP(C599,Clientes!I:I,Clientes!F:F)</f>
        <v>GRUPO AMAGGI</v>
      </c>
      <c r="F599" s="254">
        <v>113</v>
      </c>
      <c r="G599" s="254" t="s">
        <v>840</v>
      </c>
      <c r="H599" s="254" t="s">
        <v>913</v>
      </c>
      <c r="I599" s="255">
        <v>96000</v>
      </c>
      <c r="J599" s="256">
        <v>96000</v>
      </c>
      <c r="K599" s="258">
        <v>278400</v>
      </c>
      <c r="L599" s="258">
        <v>-19488.000000000004</v>
      </c>
      <c r="M599" s="258">
        <f t="shared" si="38"/>
        <v>258912</v>
      </c>
      <c r="N599" s="258">
        <v>-86555.609766233785</v>
      </c>
      <c r="O599" s="258">
        <v>-70058.401919999989</v>
      </c>
      <c r="P599" s="258">
        <v>-31.949748734039183</v>
      </c>
      <c r="Q599" s="258">
        <f t="shared" si="39"/>
        <v>102266.0385650322</v>
      </c>
      <c r="R599" s="259">
        <f t="shared" si="40"/>
        <v>0.39498377272985491</v>
      </c>
      <c r="S599" s="255">
        <f t="shared" si="37"/>
        <v>2.9</v>
      </c>
      <c r="T599" s="255">
        <f t="shared" si="37"/>
        <v>2.9</v>
      </c>
      <c r="U599" s="254">
        <v>100200</v>
      </c>
      <c r="V599" s="254" t="s">
        <v>912</v>
      </c>
      <c r="W599" s="254" t="s">
        <v>915</v>
      </c>
      <c r="X599" s="254" t="s">
        <v>446</v>
      </c>
      <c r="Y599" s="254" t="s">
        <v>843</v>
      </c>
      <c r="Z599" s="254" t="s">
        <v>1101</v>
      </c>
      <c r="AA599" s="254" t="s">
        <v>838</v>
      </c>
    </row>
    <row r="600" spans="1:27" ht="14.4" x14ac:dyDescent="0.3">
      <c r="A600" s="253">
        <v>13</v>
      </c>
      <c r="B600" s="254" t="s">
        <v>848</v>
      </c>
      <c r="C600" s="254">
        <v>97</v>
      </c>
      <c r="D600" s="254" t="s">
        <v>300</v>
      </c>
      <c r="E600" s="254" t="str">
        <f>_xlfn.XLOOKUP(C600,Clientes!I:I,Clientes!F:F)</f>
        <v>FECOAGRO FEDERACAO DAS COOPERATIVAS</v>
      </c>
      <c r="F600" s="254">
        <v>8223</v>
      </c>
      <c r="G600" s="254" t="s">
        <v>893</v>
      </c>
      <c r="H600" s="254" t="s">
        <v>920</v>
      </c>
      <c r="I600" s="255">
        <v>12000</v>
      </c>
      <c r="J600" s="256">
        <v>12000</v>
      </c>
      <c r="K600" s="258">
        <v>456523.11758042563</v>
      </c>
      <c r="L600" s="258">
        <v>-54720</v>
      </c>
      <c r="M600" s="258">
        <f t="shared" si="38"/>
        <v>401803.11758042563</v>
      </c>
      <c r="N600" s="258">
        <v>-142094.79999999996</v>
      </c>
      <c r="O600" s="258">
        <v>-9901.2479999999723</v>
      </c>
      <c r="P600" s="258">
        <v>-4.5154096736982376</v>
      </c>
      <c r="Q600" s="258">
        <f t="shared" si="39"/>
        <v>249802.554170752</v>
      </c>
      <c r="R600" s="259">
        <f t="shared" si="40"/>
        <v>0.62170387247120118</v>
      </c>
      <c r="S600" s="255">
        <f t="shared" si="37"/>
        <v>38.043593131702139</v>
      </c>
      <c r="T600" s="255">
        <f t="shared" si="37"/>
        <v>38.043593131702139</v>
      </c>
      <c r="U600" s="254">
        <v>100300</v>
      </c>
      <c r="V600" s="254" t="s">
        <v>917</v>
      </c>
      <c r="W600" s="254" t="s">
        <v>894</v>
      </c>
      <c r="X600" s="254" t="s">
        <v>446</v>
      </c>
      <c r="Y600" s="254" t="s">
        <v>843</v>
      </c>
      <c r="Z600" s="254" t="s">
        <v>1101</v>
      </c>
      <c r="AA600" s="254" t="s">
        <v>838</v>
      </c>
    </row>
    <row r="601" spans="1:27" ht="14.4" x14ac:dyDescent="0.3">
      <c r="A601" s="253">
        <v>13</v>
      </c>
      <c r="B601" s="254" t="s">
        <v>848</v>
      </c>
      <c r="C601" s="254">
        <v>2622</v>
      </c>
      <c r="D601" s="254" t="s">
        <v>73</v>
      </c>
      <c r="E601" s="254" t="str">
        <f>_xlfn.XLOOKUP(C601,Clientes!I:I,Clientes!F:F)</f>
        <v>ADUFERTIL JUNDIAI</v>
      </c>
      <c r="F601" s="254">
        <v>8215</v>
      </c>
      <c r="G601" s="254" t="s">
        <v>908</v>
      </c>
      <c r="H601" s="254" t="s">
        <v>947</v>
      </c>
      <c r="I601" s="255">
        <v>12000</v>
      </c>
      <c r="J601" s="256">
        <v>12000</v>
      </c>
      <c r="K601" s="258">
        <v>416036.72531079315</v>
      </c>
      <c r="L601" s="258">
        <v>-49867.199999999997</v>
      </c>
      <c r="M601" s="258">
        <f t="shared" si="38"/>
        <v>366169.52531079313</v>
      </c>
      <c r="N601" s="258">
        <v>-168555.81333333332</v>
      </c>
      <c r="O601" s="258">
        <v>-5481.0480000000016</v>
      </c>
      <c r="P601" s="258">
        <v>-2.4996017836543891</v>
      </c>
      <c r="Q601" s="258">
        <f t="shared" si="39"/>
        <v>192130.16437567613</v>
      </c>
      <c r="R601" s="259">
        <f t="shared" si="40"/>
        <v>0.52470277042471547</v>
      </c>
      <c r="S601" s="255">
        <f t="shared" si="37"/>
        <v>34.66972710923276</v>
      </c>
      <c r="T601" s="255">
        <f t="shared" si="37"/>
        <v>34.66972710923276</v>
      </c>
      <c r="U601" s="254">
        <v>100300</v>
      </c>
      <c r="V601" s="254" t="s">
        <v>917</v>
      </c>
      <c r="W601" s="254" t="s">
        <v>948</v>
      </c>
      <c r="X601" s="254" t="s">
        <v>446</v>
      </c>
      <c r="Y601" s="254" t="s">
        <v>843</v>
      </c>
      <c r="Z601" s="254" t="s">
        <v>1101</v>
      </c>
      <c r="AA601" s="254" t="s">
        <v>838</v>
      </c>
    </row>
    <row r="602" spans="1:27" ht="14.4" x14ac:dyDescent="0.3">
      <c r="A602" s="253">
        <v>13</v>
      </c>
      <c r="B602" s="254" t="s">
        <v>848</v>
      </c>
      <c r="C602" s="254">
        <v>10891</v>
      </c>
      <c r="D602" s="254" t="s">
        <v>104</v>
      </c>
      <c r="E602" s="254" t="str">
        <f>_xlfn.XLOOKUP(C602,Clientes!I:I,Clientes!F:F)</f>
        <v>GRUPO HINOVE</v>
      </c>
      <c r="F602" s="254">
        <v>8214</v>
      </c>
      <c r="G602" s="254" t="s">
        <v>924</v>
      </c>
      <c r="H602" s="254" t="s">
        <v>922</v>
      </c>
      <c r="I602" s="255">
        <v>12000</v>
      </c>
      <c r="J602" s="256">
        <v>12000</v>
      </c>
      <c r="K602" s="258">
        <v>373628.13044082205</v>
      </c>
      <c r="L602" s="258">
        <v>-26124.000000000004</v>
      </c>
      <c r="M602" s="258">
        <f t="shared" si="38"/>
        <v>347504.13044082205</v>
      </c>
      <c r="N602" s="258">
        <v>-117422.79</v>
      </c>
      <c r="O602" s="258">
        <v>-7691.1480000000047</v>
      </c>
      <c r="P602" s="258">
        <v>-3.5075057286763212</v>
      </c>
      <c r="Q602" s="258">
        <f t="shared" si="39"/>
        <v>222386.68493509336</v>
      </c>
      <c r="R602" s="259">
        <f t="shared" si="40"/>
        <v>0.63995407666949888</v>
      </c>
      <c r="S602" s="255">
        <f t="shared" si="37"/>
        <v>31.135677536735169</v>
      </c>
      <c r="T602" s="255">
        <f t="shared" si="37"/>
        <v>31.135677536735169</v>
      </c>
      <c r="U602" s="254">
        <v>100300</v>
      </c>
      <c r="V602" s="254" t="s">
        <v>917</v>
      </c>
      <c r="W602" s="254" t="s">
        <v>925</v>
      </c>
      <c r="X602" s="254" t="s">
        <v>446</v>
      </c>
      <c r="Y602" s="254" t="s">
        <v>843</v>
      </c>
      <c r="Z602" s="254" t="s">
        <v>1101</v>
      </c>
      <c r="AA602" s="254" t="s">
        <v>838</v>
      </c>
    </row>
    <row r="603" spans="1:27" ht="14.4" x14ac:dyDescent="0.3">
      <c r="A603" s="253">
        <v>13</v>
      </c>
      <c r="B603" s="254" t="s">
        <v>848</v>
      </c>
      <c r="C603" s="254">
        <v>6124</v>
      </c>
      <c r="D603" s="254" t="s">
        <v>891</v>
      </c>
      <c r="E603" s="254" t="str">
        <f>_xlfn.XLOOKUP(C603,Clientes!I:I,Clientes!F:F)</f>
        <v>GRUPO MOSAIC FERTILIZANTES DO BRASIL</v>
      </c>
      <c r="F603" s="254">
        <v>8215</v>
      </c>
      <c r="G603" s="254" t="s">
        <v>855</v>
      </c>
      <c r="H603" s="254" t="s">
        <v>947</v>
      </c>
      <c r="I603" s="255">
        <v>24000</v>
      </c>
      <c r="J603" s="256">
        <v>24000</v>
      </c>
      <c r="K603" s="258">
        <v>870517.50262835901</v>
      </c>
      <c r="L603" s="258">
        <v>0</v>
      </c>
      <c r="M603" s="258">
        <f t="shared" si="38"/>
        <v>870517.50262835901</v>
      </c>
      <c r="N603" s="258">
        <v>-337111.62666666665</v>
      </c>
      <c r="O603" s="258">
        <v>-4003.2278000000001</v>
      </c>
      <c r="P603" s="258">
        <v>-1.8256500124163906</v>
      </c>
      <c r="Q603" s="258">
        <f t="shared" si="39"/>
        <v>529400.82251167984</v>
      </c>
      <c r="R603" s="259">
        <f t="shared" si="40"/>
        <v>0.60814494931262908</v>
      </c>
      <c r="S603" s="255">
        <f t="shared" si="37"/>
        <v>36.271562609514959</v>
      </c>
      <c r="T603" s="255">
        <f t="shared" si="37"/>
        <v>36.271562609514959</v>
      </c>
      <c r="U603" s="254">
        <v>100300</v>
      </c>
      <c r="V603" s="254" t="s">
        <v>917</v>
      </c>
      <c r="W603" s="254" t="s">
        <v>892</v>
      </c>
      <c r="X603" s="254" t="s">
        <v>446</v>
      </c>
      <c r="Y603" s="254" t="s">
        <v>843</v>
      </c>
      <c r="Z603" s="254" t="s">
        <v>1101</v>
      </c>
      <c r="AA603" s="254" t="s">
        <v>838</v>
      </c>
    </row>
    <row r="604" spans="1:27" ht="14.4" x14ac:dyDescent="0.3">
      <c r="A604" s="253">
        <v>13</v>
      </c>
      <c r="B604" s="254" t="s">
        <v>848</v>
      </c>
      <c r="C604" s="254">
        <v>215</v>
      </c>
      <c r="D604" s="254" t="s">
        <v>221</v>
      </c>
      <c r="E604" s="254" t="str">
        <f>_xlfn.XLOOKUP(C604,Clientes!I:I,Clientes!F:F)</f>
        <v>GRUPO UNIFERTIL</v>
      </c>
      <c r="F604" s="254">
        <v>8216</v>
      </c>
      <c r="G604" s="254" t="s">
        <v>877</v>
      </c>
      <c r="H604" s="254" t="s">
        <v>938</v>
      </c>
      <c r="I604" s="255">
        <v>12000</v>
      </c>
      <c r="J604" s="256">
        <v>12000</v>
      </c>
      <c r="K604" s="258">
        <v>373267.71745325852</v>
      </c>
      <c r="L604" s="258">
        <v>-44740.799999999996</v>
      </c>
      <c r="M604" s="258">
        <f t="shared" si="38"/>
        <v>328526.91745325853</v>
      </c>
      <c r="N604" s="258">
        <v>-120535.75749999999</v>
      </c>
      <c r="O604" s="258">
        <v>-14321.447999999978</v>
      </c>
      <c r="P604" s="258">
        <v>-6.5312175637421008</v>
      </c>
      <c r="Q604" s="258">
        <f t="shared" si="39"/>
        <v>193663.1807356948</v>
      </c>
      <c r="R604" s="259">
        <f t="shared" si="40"/>
        <v>0.58948953783444058</v>
      </c>
      <c r="S604" s="255">
        <f t="shared" si="37"/>
        <v>31.105643121104876</v>
      </c>
      <c r="T604" s="255">
        <f t="shared" si="37"/>
        <v>31.105643121104876</v>
      </c>
      <c r="U604" s="254">
        <v>100300</v>
      </c>
      <c r="V604" s="254" t="s">
        <v>917</v>
      </c>
      <c r="W604" s="254" t="s">
        <v>880</v>
      </c>
      <c r="X604" s="254" t="s">
        <v>446</v>
      </c>
      <c r="Y604" s="254" t="s">
        <v>843</v>
      </c>
      <c r="Z604" s="254" t="s">
        <v>1101</v>
      </c>
      <c r="AA604" s="254" t="s">
        <v>838</v>
      </c>
    </row>
    <row r="605" spans="1:27" ht="14.4" x14ac:dyDescent="0.3">
      <c r="A605" s="253">
        <v>13</v>
      </c>
      <c r="B605" s="254" t="s">
        <v>848</v>
      </c>
      <c r="C605" s="254">
        <v>12031</v>
      </c>
      <c r="D605" s="254" t="s">
        <v>296</v>
      </c>
      <c r="E605" s="254" t="str">
        <f>_xlfn.XLOOKUP(C605,Clientes!I:I,Clientes!F:F)</f>
        <v>EVOAGRO NUTRICION S.A.S - COLOMBIA</v>
      </c>
      <c r="F605" s="254">
        <v>8203</v>
      </c>
      <c r="G605" s="254" t="s">
        <v>832</v>
      </c>
      <c r="H605" s="254" t="s">
        <v>1103</v>
      </c>
      <c r="I605" s="255">
        <v>8800</v>
      </c>
      <c r="J605" s="256">
        <v>8800</v>
      </c>
      <c r="K605" s="258">
        <v>447323.77630230499</v>
      </c>
      <c r="L605" s="258">
        <v>0</v>
      </c>
      <c r="M605" s="258">
        <f t="shared" si="38"/>
        <v>447323.77630230499</v>
      </c>
      <c r="N605" s="258">
        <v>-180293.40000000002</v>
      </c>
      <c r="O605" s="258">
        <v>-9290.16</v>
      </c>
      <c r="P605" s="258">
        <v>-628.70729683912657</v>
      </c>
      <c r="Q605" s="258">
        <f t="shared" si="39"/>
        <v>257111.50900546584</v>
      </c>
      <c r="R605" s="259">
        <f t="shared" si="40"/>
        <v>0.57477720306042446</v>
      </c>
      <c r="S605" s="255">
        <f t="shared" si="37"/>
        <v>50.83224730708011</v>
      </c>
      <c r="T605" s="255">
        <f t="shared" si="37"/>
        <v>50.83224730708011</v>
      </c>
      <c r="U605" s="254">
        <v>100300</v>
      </c>
      <c r="V605" s="254" t="s">
        <v>917</v>
      </c>
      <c r="W605" s="254" t="s">
        <v>998</v>
      </c>
      <c r="X605" s="254" t="s">
        <v>446</v>
      </c>
      <c r="Y605" s="254" t="s">
        <v>836</v>
      </c>
      <c r="Z605" s="254" t="s">
        <v>1101</v>
      </c>
      <c r="AA605" s="254" t="s">
        <v>838</v>
      </c>
    </row>
    <row r="606" spans="1:27" ht="14.4" x14ac:dyDescent="0.3">
      <c r="A606" s="253">
        <v>13</v>
      </c>
      <c r="B606" s="254" t="s">
        <v>848</v>
      </c>
      <c r="C606" s="254">
        <v>10492</v>
      </c>
      <c r="D606" s="254" t="s">
        <v>101</v>
      </c>
      <c r="E606" s="254" t="str">
        <f>_xlfn.XLOOKUP(C606,Clientes!I:I,Clientes!F:F)</f>
        <v>GRUPO UNIFERTIL</v>
      </c>
      <c r="F606" s="254">
        <v>8216</v>
      </c>
      <c r="G606" s="254" t="s">
        <v>877</v>
      </c>
      <c r="H606" s="254" t="s">
        <v>938</v>
      </c>
      <c r="I606" s="255">
        <v>36000</v>
      </c>
      <c r="J606" s="256">
        <v>36000</v>
      </c>
      <c r="K606" s="258">
        <v>1119803.1523597757</v>
      </c>
      <c r="L606" s="258">
        <v>-134222.39999999999</v>
      </c>
      <c r="M606" s="258">
        <f t="shared" si="38"/>
        <v>985580.75235977571</v>
      </c>
      <c r="N606" s="258">
        <v>-361607.27249999996</v>
      </c>
      <c r="O606" s="258">
        <v>-25187.772999999997</v>
      </c>
      <c r="P606" s="258">
        <v>-11.48674529343327</v>
      </c>
      <c r="Q606" s="258">
        <f t="shared" si="39"/>
        <v>598774.22011448222</v>
      </c>
      <c r="R606" s="259">
        <f t="shared" si="40"/>
        <v>0.60753440921085089</v>
      </c>
      <c r="S606" s="255">
        <f t="shared" si="37"/>
        <v>31.105643121104883</v>
      </c>
      <c r="T606" s="255">
        <f t="shared" si="37"/>
        <v>31.105643121104883</v>
      </c>
      <c r="U606" s="254">
        <v>100300</v>
      </c>
      <c r="V606" s="254" t="s">
        <v>917</v>
      </c>
      <c r="W606" s="254" t="s">
        <v>878</v>
      </c>
      <c r="X606" s="254" t="s">
        <v>446</v>
      </c>
      <c r="Y606" s="254" t="s">
        <v>843</v>
      </c>
      <c r="Z606" s="254" t="s">
        <v>1101</v>
      </c>
      <c r="AA606" s="254" t="s">
        <v>838</v>
      </c>
    </row>
    <row r="607" spans="1:27" ht="14.4" x14ac:dyDescent="0.3">
      <c r="A607" s="253">
        <v>13</v>
      </c>
      <c r="B607" s="254" t="s">
        <v>848</v>
      </c>
      <c r="C607" s="254">
        <v>7662</v>
      </c>
      <c r="D607" s="254" t="s">
        <v>95</v>
      </c>
      <c r="E607" s="254" t="str">
        <f>_xlfn.XLOOKUP(C607,Clientes!I:I,Clientes!F:F)</f>
        <v>BENTONIT UNIAO - CAMPINA GRANDE</v>
      </c>
      <c r="F607" s="254">
        <v>7</v>
      </c>
      <c r="G607" s="254" t="s">
        <v>1022</v>
      </c>
      <c r="H607" s="254" t="s">
        <v>1023</v>
      </c>
      <c r="I607" s="255">
        <v>6000</v>
      </c>
      <c r="J607" s="256">
        <v>6000</v>
      </c>
      <c r="K607" s="258">
        <v>234328.51074753163</v>
      </c>
      <c r="L607" s="258">
        <v>-36519.211500000005</v>
      </c>
      <c r="M607" s="258">
        <f t="shared" si="38"/>
        <v>197809.29924753163</v>
      </c>
      <c r="N607" s="258">
        <v>-54507.659999999996</v>
      </c>
      <c r="O607" s="258">
        <v>0</v>
      </c>
      <c r="P607" s="258">
        <v>0</v>
      </c>
      <c r="Q607" s="258">
        <f t="shared" si="39"/>
        <v>143301.63924753162</v>
      </c>
      <c r="R607" s="259">
        <f t="shared" si="40"/>
        <v>0.72444338963159149</v>
      </c>
      <c r="S607" s="255">
        <f t="shared" si="37"/>
        <v>39.054751791255271</v>
      </c>
      <c r="T607" s="255">
        <f t="shared" si="37"/>
        <v>39.054751791255271</v>
      </c>
      <c r="U607" s="254">
        <v>100300</v>
      </c>
      <c r="V607" s="254" t="s">
        <v>917</v>
      </c>
      <c r="W607" s="254" t="s">
        <v>1024</v>
      </c>
      <c r="X607" s="254" t="s">
        <v>446</v>
      </c>
      <c r="Y607" s="254" t="s">
        <v>843</v>
      </c>
      <c r="Z607" s="254" t="s">
        <v>1101</v>
      </c>
      <c r="AA607" s="254" t="s">
        <v>838</v>
      </c>
    </row>
    <row r="608" spans="1:27" ht="14.4" x14ac:dyDescent="0.3">
      <c r="A608" s="253">
        <v>13</v>
      </c>
      <c r="B608" s="254" t="s">
        <v>848</v>
      </c>
      <c r="C608" s="254">
        <v>14632</v>
      </c>
      <c r="D608" s="254" t="s">
        <v>399</v>
      </c>
      <c r="E608" s="254" t="str">
        <f>_xlfn.XLOOKUP(C608,Clientes!I:I,Clientes!F:F)</f>
        <v>BIGFERTIL - CANDEIAS</v>
      </c>
      <c r="F608" s="254">
        <v>8224</v>
      </c>
      <c r="G608" s="254" t="s">
        <v>875</v>
      </c>
      <c r="H608" s="254" t="s">
        <v>921</v>
      </c>
      <c r="I608" s="255">
        <v>5000</v>
      </c>
      <c r="J608" s="256">
        <v>5000</v>
      </c>
      <c r="K608" s="258">
        <v>120888.52291192191</v>
      </c>
      <c r="L608" s="258">
        <v>-8452.5</v>
      </c>
      <c r="M608" s="258">
        <f t="shared" si="38"/>
        <v>112436.02291192191</v>
      </c>
      <c r="N608" s="258">
        <v>-34954.53</v>
      </c>
      <c r="O608" s="258">
        <v>-13083.792000000029</v>
      </c>
      <c r="P608" s="258">
        <v>-5.9667913545298426</v>
      </c>
      <c r="Q608" s="258">
        <f t="shared" si="39"/>
        <v>64391.734120567358</v>
      </c>
      <c r="R608" s="259">
        <f t="shared" si="40"/>
        <v>0.57269665408753723</v>
      </c>
      <c r="S608" s="255">
        <f t="shared" si="37"/>
        <v>24.177704582384383</v>
      </c>
      <c r="T608" s="255">
        <f t="shared" si="37"/>
        <v>24.177704582384383</v>
      </c>
      <c r="U608" s="254">
        <v>100300</v>
      </c>
      <c r="V608" s="254" t="s">
        <v>917</v>
      </c>
      <c r="W608" s="254" t="s">
        <v>876</v>
      </c>
      <c r="X608" s="254" t="s">
        <v>446</v>
      </c>
      <c r="Y608" s="254" t="s">
        <v>843</v>
      </c>
      <c r="Z608" s="254" t="s">
        <v>1101</v>
      </c>
      <c r="AA608" s="254" t="s">
        <v>838</v>
      </c>
    </row>
    <row r="609" spans="1:27" ht="14.4" x14ac:dyDescent="0.3">
      <c r="A609" s="253">
        <v>13</v>
      </c>
      <c r="B609" s="254" t="s">
        <v>848</v>
      </c>
      <c r="C609" s="254">
        <v>12249</v>
      </c>
      <c r="D609" s="254" t="s">
        <v>681</v>
      </c>
      <c r="E609" s="254" t="str">
        <f>_xlfn.XLOOKUP(C609,Clientes!I:I,Clientes!F:F)</f>
        <v>LYCSA BOLIVIA</v>
      </c>
      <c r="F609" s="254">
        <v>13938</v>
      </c>
      <c r="G609" s="254" t="s">
        <v>832</v>
      </c>
      <c r="H609" s="254" t="s">
        <v>1104</v>
      </c>
      <c r="I609" s="255">
        <v>2200</v>
      </c>
      <c r="J609" s="256">
        <v>2200</v>
      </c>
      <c r="K609" s="258">
        <v>58366.881041532492</v>
      </c>
      <c r="L609" s="258">
        <v>0</v>
      </c>
      <c r="M609" s="258">
        <f t="shared" si="38"/>
        <v>58366.881041532492</v>
      </c>
      <c r="N609" s="258">
        <v>-21240.350000000002</v>
      </c>
      <c r="O609" s="258">
        <v>-1987.6813440000001</v>
      </c>
      <c r="P609" s="258">
        <v>-157.02411376210637</v>
      </c>
      <c r="Q609" s="258">
        <f t="shared" si="39"/>
        <v>34981.825583770391</v>
      </c>
      <c r="R609" s="259">
        <f t="shared" si="40"/>
        <v>0.59934375384694882</v>
      </c>
      <c r="S609" s="255">
        <f t="shared" si="37"/>
        <v>26.53040047342386</v>
      </c>
      <c r="T609" s="255">
        <f t="shared" si="37"/>
        <v>26.53040047342386</v>
      </c>
      <c r="U609" s="254">
        <v>100300</v>
      </c>
      <c r="V609" s="254" t="s">
        <v>917</v>
      </c>
      <c r="W609" s="254" t="s">
        <v>1105</v>
      </c>
      <c r="X609" s="254" t="s">
        <v>446</v>
      </c>
      <c r="Y609" s="254" t="s">
        <v>836</v>
      </c>
      <c r="Z609" s="254" t="s">
        <v>1101</v>
      </c>
      <c r="AA609" s="254" t="s">
        <v>838</v>
      </c>
    </row>
    <row r="610" spans="1:27" ht="14.4" x14ac:dyDescent="0.3">
      <c r="A610" s="253">
        <v>13</v>
      </c>
      <c r="B610" s="254" t="s">
        <v>848</v>
      </c>
      <c r="C610" s="254">
        <v>2247</v>
      </c>
      <c r="D610" s="254" t="s">
        <v>425</v>
      </c>
      <c r="E610" s="254" t="str">
        <f>_xlfn.XLOOKUP(C610,Clientes!I:I,Clientes!F:F)</f>
        <v>ADUBOS LEAO - LARANJEIRAS</v>
      </c>
      <c r="F610" s="254">
        <v>8225</v>
      </c>
      <c r="G610" s="254" t="s">
        <v>887</v>
      </c>
      <c r="H610" s="254" t="s">
        <v>919</v>
      </c>
      <c r="I610" s="255">
        <v>2000</v>
      </c>
      <c r="J610" s="256">
        <v>2000</v>
      </c>
      <c r="K610" s="258">
        <v>61210.139054533385</v>
      </c>
      <c r="L610" s="258">
        <v>-4279.8</v>
      </c>
      <c r="M610" s="258">
        <f t="shared" si="38"/>
        <v>56930.339054533382</v>
      </c>
      <c r="N610" s="258">
        <v>-13153.539999999997</v>
      </c>
      <c r="O610" s="258">
        <v>-12188.49139872</v>
      </c>
      <c r="P610" s="258">
        <v>-5.558494441263182</v>
      </c>
      <c r="Q610" s="258">
        <f t="shared" si="39"/>
        <v>31582.749161372129</v>
      </c>
      <c r="R610" s="259">
        <f t="shared" si="40"/>
        <v>0.55476130453252914</v>
      </c>
      <c r="S610" s="255">
        <f t="shared" si="37"/>
        <v>30.605069527266693</v>
      </c>
      <c r="T610" s="255">
        <f t="shared" si="37"/>
        <v>30.605069527266693</v>
      </c>
      <c r="U610" s="254">
        <v>100300</v>
      </c>
      <c r="V610" s="254" t="s">
        <v>917</v>
      </c>
      <c r="W610" s="254" t="s">
        <v>1030</v>
      </c>
      <c r="X610" s="254" t="s">
        <v>446</v>
      </c>
      <c r="Y610" s="254" t="s">
        <v>843</v>
      </c>
      <c r="Z610" s="254" t="s">
        <v>1101</v>
      </c>
      <c r="AA610" s="254" t="s">
        <v>838</v>
      </c>
    </row>
    <row r="611" spans="1:27" ht="14.4" x14ac:dyDescent="0.3">
      <c r="A611" s="253">
        <v>13</v>
      </c>
      <c r="B611" s="254" t="s">
        <v>848</v>
      </c>
      <c r="C611" s="254">
        <v>1936</v>
      </c>
      <c r="D611" s="254" t="s">
        <v>889</v>
      </c>
      <c r="E611" s="254" t="str">
        <f>_xlfn.XLOOKUP(C611,Clientes!I:I,Clientes!F:F)</f>
        <v>GRUPO AGRO INDUSTRIAL SAO LUIZ LTDA</v>
      </c>
      <c r="F611" s="254">
        <v>8218</v>
      </c>
      <c r="G611" s="254" t="s">
        <v>862</v>
      </c>
      <c r="H611" s="254" t="s">
        <v>923</v>
      </c>
      <c r="I611" s="255">
        <v>12000</v>
      </c>
      <c r="J611" s="256">
        <v>12000</v>
      </c>
      <c r="K611" s="258">
        <v>360172.71223845158</v>
      </c>
      <c r="L611" s="258">
        <v>-43171.199999999997</v>
      </c>
      <c r="M611" s="258">
        <f t="shared" si="38"/>
        <v>317001.51223845157</v>
      </c>
      <c r="N611" s="258">
        <v>-144881.16</v>
      </c>
      <c r="O611" s="258">
        <v>0</v>
      </c>
      <c r="P611" s="258">
        <v>0</v>
      </c>
      <c r="Q611" s="258">
        <f t="shared" si="39"/>
        <v>172120.35223845157</v>
      </c>
      <c r="R611" s="259">
        <f t="shared" si="40"/>
        <v>0.54296382065515503</v>
      </c>
      <c r="S611" s="255">
        <f t="shared" si="37"/>
        <v>30.014392686537633</v>
      </c>
      <c r="T611" s="255">
        <f t="shared" si="37"/>
        <v>30.014392686537633</v>
      </c>
      <c r="U611" s="254">
        <v>100300</v>
      </c>
      <c r="V611" s="254" t="s">
        <v>917</v>
      </c>
      <c r="W611" s="254" t="s">
        <v>864</v>
      </c>
      <c r="X611" s="254" t="s">
        <v>446</v>
      </c>
      <c r="Y611" s="254" t="s">
        <v>843</v>
      </c>
      <c r="Z611" s="254" t="s">
        <v>1101</v>
      </c>
      <c r="AA611" s="254" t="s">
        <v>838</v>
      </c>
    </row>
    <row r="612" spans="1:27" ht="14.4" x14ac:dyDescent="0.3">
      <c r="A612" s="253">
        <v>13</v>
      </c>
      <c r="B612" s="254" t="s">
        <v>848</v>
      </c>
      <c r="C612" s="254">
        <v>1062</v>
      </c>
      <c r="D612" s="254" t="s">
        <v>504</v>
      </c>
      <c r="E612" s="254" t="str">
        <f>_xlfn.XLOOKUP(C612,Clientes!I:I,Clientes!F:F)</f>
        <v>NUTRIEN - URUGUAY</v>
      </c>
      <c r="F612" s="254">
        <v>11403</v>
      </c>
      <c r="G612" s="254" t="s">
        <v>832</v>
      </c>
      <c r="H612" s="254" t="s">
        <v>1106</v>
      </c>
      <c r="I612" s="255">
        <v>7000</v>
      </c>
      <c r="J612" s="256">
        <v>7000</v>
      </c>
      <c r="K612" s="258">
        <v>363997.09449537535</v>
      </c>
      <c r="L612" s="258">
        <v>0</v>
      </c>
      <c r="M612" s="258">
        <f t="shared" si="38"/>
        <v>363997.09449537535</v>
      </c>
      <c r="N612" s="258">
        <v>-156114.82999999999</v>
      </c>
      <c r="O612" s="258">
        <v>-21958.799999999999</v>
      </c>
      <c r="P612" s="258">
        <v>-506.7521437179837</v>
      </c>
      <c r="Q612" s="258">
        <f t="shared" si="39"/>
        <v>185416.71235165739</v>
      </c>
      <c r="R612" s="259">
        <f t="shared" si="40"/>
        <v>0.509390638429981</v>
      </c>
      <c r="S612" s="255">
        <f t="shared" si="37"/>
        <v>51.999584927910767</v>
      </c>
      <c r="T612" s="255">
        <f t="shared" si="37"/>
        <v>51.999584927910767</v>
      </c>
      <c r="U612" s="254">
        <v>100300</v>
      </c>
      <c r="V612" s="254" t="s">
        <v>917</v>
      </c>
      <c r="W612" s="254" t="s">
        <v>954</v>
      </c>
      <c r="X612" s="254" t="s">
        <v>446</v>
      </c>
      <c r="Y612" s="254" t="s">
        <v>836</v>
      </c>
      <c r="Z612" s="254" t="s">
        <v>1101</v>
      </c>
      <c r="AA612" s="254" t="s">
        <v>838</v>
      </c>
    </row>
    <row r="613" spans="1:27" ht="14.4" x14ac:dyDescent="0.3">
      <c r="A613" s="253">
        <v>13</v>
      </c>
      <c r="B613" s="254" t="s">
        <v>848</v>
      </c>
      <c r="C613" s="254">
        <v>2003</v>
      </c>
      <c r="D613" s="254" t="s">
        <v>316</v>
      </c>
      <c r="E613" s="254" t="str">
        <f>_xlfn.XLOOKUP(C613,Clientes!I:I,Clientes!F:F)</f>
        <v>GRUPO HERINGER</v>
      </c>
      <c r="F613" s="254">
        <v>8217</v>
      </c>
      <c r="G613" s="254" t="s">
        <v>877</v>
      </c>
      <c r="H613" s="254" t="s">
        <v>927</v>
      </c>
      <c r="I613" s="255">
        <v>6000</v>
      </c>
      <c r="J613" s="256">
        <v>6000</v>
      </c>
      <c r="K613" s="258">
        <v>221894.26267659108</v>
      </c>
      <c r="L613" s="258">
        <v>-26596.799999999999</v>
      </c>
      <c r="M613" s="258">
        <f t="shared" si="38"/>
        <v>195297.46267659109</v>
      </c>
      <c r="N613" s="258">
        <v>-93758.069999999978</v>
      </c>
      <c r="O613" s="258">
        <v>-14498.255999999972</v>
      </c>
      <c r="P613" s="258">
        <v>-6.6118498793438532</v>
      </c>
      <c r="Q613" s="258">
        <f t="shared" si="39"/>
        <v>87034.524826711815</v>
      </c>
      <c r="R613" s="259">
        <f t="shared" si="40"/>
        <v>0.44565107827764944</v>
      </c>
      <c r="S613" s="255">
        <f t="shared" si="37"/>
        <v>36.982377112765178</v>
      </c>
      <c r="T613" s="255">
        <f t="shared" si="37"/>
        <v>36.982377112765178</v>
      </c>
      <c r="U613" s="254">
        <v>100300</v>
      </c>
      <c r="V613" s="254" t="s">
        <v>917</v>
      </c>
      <c r="W613" s="254" t="s">
        <v>878</v>
      </c>
      <c r="X613" s="254" t="s">
        <v>446</v>
      </c>
      <c r="Y613" s="254" t="s">
        <v>843</v>
      </c>
      <c r="Z613" s="254" t="s">
        <v>1101</v>
      </c>
      <c r="AA613" s="254" t="s">
        <v>838</v>
      </c>
    </row>
    <row r="614" spans="1:27" ht="14.4" x14ac:dyDescent="0.3">
      <c r="A614" s="253">
        <v>11</v>
      </c>
      <c r="B614" s="254" t="s">
        <v>848</v>
      </c>
      <c r="C614" s="254">
        <v>507</v>
      </c>
      <c r="D614" s="254" t="s">
        <v>42</v>
      </c>
      <c r="E614" s="254" t="str">
        <f>_xlfn.XLOOKUP(C614,Clientes!I:I,Clientes!F:F)</f>
        <v>FERTIAL FERTILIZANTES USIFERTIL - MACEIO</v>
      </c>
      <c r="F614" s="254">
        <v>14142</v>
      </c>
      <c r="G614" s="254" t="s">
        <v>1040</v>
      </c>
      <c r="H614" s="254" t="s">
        <v>962</v>
      </c>
      <c r="I614" s="255">
        <v>12000</v>
      </c>
      <c r="J614" s="256">
        <v>12000</v>
      </c>
      <c r="K614" s="258">
        <v>72960</v>
      </c>
      <c r="L614" s="258">
        <v>-5107.2000000000007</v>
      </c>
      <c r="M614" s="258">
        <f t="shared" si="38"/>
        <v>67852.800000000003</v>
      </c>
      <c r="N614" s="258">
        <v>-32677.060674157299</v>
      </c>
      <c r="O614" s="258">
        <v>-21003.719143679999</v>
      </c>
      <c r="P614" s="258">
        <v>-9.5786305529377493</v>
      </c>
      <c r="Q614" s="258">
        <f t="shared" si="39"/>
        <v>14162.441551609767</v>
      </c>
      <c r="R614" s="259">
        <f t="shared" si="40"/>
        <v>0.20872302324457895</v>
      </c>
      <c r="S614" s="255">
        <f t="shared" si="37"/>
        <v>6.08</v>
      </c>
      <c r="T614" s="255">
        <f t="shared" si="37"/>
        <v>6.08</v>
      </c>
      <c r="U614" s="254">
        <v>100700</v>
      </c>
      <c r="V614" s="254" t="s">
        <v>960</v>
      </c>
      <c r="W614" s="254" t="s">
        <v>1041</v>
      </c>
      <c r="X614" s="254" t="s">
        <v>446</v>
      </c>
      <c r="Y614" s="254" t="s">
        <v>843</v>
      </c>
      <c r="Z614" s="254" t="s">
        <v>1101</v>
      </c>
      <c r="AA614" s="254" t="s">
        <v>838</v>
      </c>
    </row>
    <row r="615" spans="1:27" ht="14.4" x14ac:dyDescent="0.3">
      <c r="A615" s="253">
        <v>11</v>
      </c>
      <c r="B615" s="254" t="s">
        <v>848</v>
      </c>
      <c r="C615" s="254">
        <v>12629</v>
      </c>
      <c r="D615" s="254" t="s">
        <v>109</v>
      </c>
      <c r="E615" s="254" t="str">
        <f>_xlfn.XLOOKUP(C615,Clientes!I:I,Clientes!F:F)</f>
        <v>EUROCHEM SERRA DO SALITRE</v>
      </c>
      <c r="F615" s="254">
        <v>3359</v>
      </c>
      <c r="G615" s="254" t="s">
        <v>855</v>
      </c>
      <c r="H615" s="254" t="s">
        <v>967</v>
      </c>
      <c r="I615" s="255">
        <v>90000</v>
      </c>
      <c r="J615" s="256">
        <v>90000</v>
      </c>
      <c r="K615" s="258">
        <v>490500</v>
      </c>
      <c r="L615" s="258">
        <v>-88290</v>
      </c>
      <c r="M615" s="258">
        <f t="shared" si="38"/>
        <v>402210</v>
      </c>
      <c r="N615" s="258">
        <v>-206859.4382022472</v>
      </c>
      <c r="O615" s="258">
        <v>-12668.590771199999</v>
      </c>
      <c r="P615" s="258">
        <v>-5.7774411185742283</v>
      </c>
      <c r="Q615" s="258">
        <f t="shared" si="39"/>
        <v>182676.19358543423</v>
      </c>
      <c r="R615" s="259">
        <f t="shared" si="40"/>
        <v>0.45418113320264097</v>
      </c>
      <c r="S615" s="255">
        <f t="shared" si="37"/>
        <v>5.45</v>
      </c>
      <c r="T615" s="255">
        <f t="shared" si="37"/>
        <v>5.45</v>
      </c>
      <c r="U615" s="254">
        <v>100700</v>
      </c>
      <c r="V615" s="254" t="s">
        <v>960</v>
      </c>
      <c r="W615" s="254" t="s">
        <v>968</v>
      </c>
      <c r="X615" s="254" t="s">
        <v>446</v>
      </c>
      <c r="Y615" s="254" t="s">
        <v>843</v>
      </c>
      <c r="Z615" s="254" t="s">
        <v>1101</v>
      </c>
      <c r="AA615" s="254" t="s">
        <v>838</v>
      </c>
    </row>
    <row r="616" spans="1:27" ht="14.4" x14ac:dyDescent="0.3">
      <c r="A616" s="253">
        <v>11</v>
      </c>
      <c r="B616" s="254" t="s">
        <v>848</v>
      </c>
      <c r="C616" s="254">
        <v>506</v>
      </c>
      <c r="D616" s="254" t="s">
        <v>1039</v>
      </c>
      <c r="E616" s="254" t="str">
        <f>_xlfn.XLOOKUP(C616,Clientes!I:I,Clientes!F:F)</f>
        <v>GRUPO FERTINOR</v>
      </c>
      <c r="F616" s="254">
        <v>14142</v>
      </c>
      <c r="G616" s="254" t="s">
        <v>887</v>
      </c>
      <c r="H616" s="254" t="s">
        <v>962</v>
      </c>
      <c r="I616" s="255">
        <v>15000</v>
      </c>
      <c r="J616" s="256">
        <v>15000</v>
      </c>
      <c r="K616" s="258">
        <v>94800</v>
      </c>
      <c r="L616" s="258">
        <v>-6636.0000000000009</v>
      </c>
      <c r="M616" s="258">
        <f t="shared" si="38"/>
        <v>88164</v>
      </c>
      <c r="N616" s="258">
        <v>-40846.325842696628</v>
      </c>
      <c r="O616" s="258">
        <v>-24356.873923200001</v>
      </c>
      <c r="P616" s="258">
        <v>-11.10781834106831</v>
      </c>
      <c r="Q616" s="258">
        <f t="shared" si="39"/>
        <v>22949.692415762303</v>
      </c>
      <c r="R616" s="259">
        <f t="shared" si="40"/>
        <v>0.26030684197362081</v>
      </c>
      <c r="S616" s="255">
        <f t="shared" si="37"/>
        <v>6.32</v>
      </c>
      <c r="T616" s="255">
        <f t="shared" si="37"/>
        <v>6.32</v>
      </c>
      <c r="U616" s="254">
        <v>100700</v>
      </c>
      <c r="V616" s="254" t="s">
        <v>960</v>
      </c>
      <c r="W616" s="254" t="s">
        <v>1009</v>
      </c>
      <c r="X616" s="254" t="s">
        <v>446</v>
      </c>
      <c r="Y616" s="254" t="s">
        <v>843</v>
      </c>
      <c r="Z616" s="254" t="s">
        <v>1101</v>
      </c>
      <c r="AA616" s="254" t="s">
        <v>838</v>
      </c>
    </row>
    <row r="617" spans="1:27" ht="14.4" x14ac:dyDescent="0.3">
      <c r="A617" s="253">
        <v>11</v>
      </c>
      <c r="B617" s="254" t="s">
        <v>848</v>
      </c>
      <c r="C617" s="254">
        <v>11724</v>
      </c>
      <c r="D617" s="254" t="s">
        <v>107</v>
      </c>
      <c r="E617" s="254" t="str">
        <f>_xlfn.XLOOKUP(C617,Clientes!I:I,Clientes!F:F)</f>
        <v>GRUPO HINOVE</v>
      </c>
      <c r="F617" s="254">
        <v>14142</v>
      </c>
      <c r="G617" s="254" t="s">
        <v>908</v>
      </c>
      <c r="H617" s="254" t="s">
        <v>962</v>
      </c>
      <c r="I617" s="255">
        <v>68400</v>
      </c>
      <c r="J617" s="256">
        <v>68400</v>
      </c>
      <c r="K617" s="258">
        <v>413820</v>
      </c>
      <c r="L617" s="258">
        <v>-49658.400000000001</v>
      </c>
      <c r="M617" s="258">
        <f t="shared" si="38"/>
        <v>364161.6</v>
      </c>
      <c r="N617" s="258">
        <v>-186259.2458426966</v>
      </c>
      <c r="O617" s="258">
        <v>-26878.526752895996</v>
      </c>
      <c r="P617" s="258">
        <v>-12.257804239908323</v>
      </c>
      <c r="Q617" s="258">
        <f t="shared" si="39"/>
        <v>151011.56960016748</v>
      </c>
      <c r="R617" s="259">
        <f t="shared" si="40"/>
        <v>0.4146828484940957</v>
      </c>
      <c r="S617" s="255">
        <f t="shared" si="37"/>
        <v>6.05</v>
      </c>
      <c r="T617" s="255">
        <f t="shared" si="37"/>
        <v>6.05</v>
      </c>
      <c r="U617" s="254">
        <v>100700</v>
      </c>
      <c r="V617" s="254" t="s">
        <v>960</v>
      </c>
      <c r="W617" s="254" t="s">
        <v>963</v>
      </c>
      <c r="X617" s="254" t="s">
        <v>446</v>
      </c>
      <c r="Y617" s="254" t="s">
        <v>843</v>
      </c>
      <c r="Z617" s="254" t="s">
        <v>1101</v>
      </c>
      <c r="AA617" s="254" t="s">
        <v>838</v>
      </c>
    </row>
    <row r="618" spans="1:27" ht="14.4" x14ac:dyDescent="0.3">
      <c r="A618" s="253">
        <v>11</v>
      </c>
      <c r="B618" s="254" t="s">
        <v>848</v>
      </c>
      <c r="C618" s="254">
        <v>2619</v>
      </c>
      <c r="D618" s="254" t="s">
        <v>1107</v>
      </c>
      <c r="E618" s="254" t="str">
        <f>_xlfn.XLOOKUP(C618,Clientes!I:I,Clientes!F:F)</f>
        <v>FOSPAR - PARANAGUÁ</v>
      </c>
      <c r="F618" s="254">
        <v>4552</v>
      </c>
      <c r="G618" s="254" t="s">
        <v>862</v>
      </c>
      <c r="H618" s="254" t="s">
        <v>1108</v>
      </c>
      <c r="I618" s="255">
        <v>60000</v>
      </c>
      <c r="J618" s="256">
        <v>60000</v>
      </c>
      <c r="K618" s="258">
        <v>384000</v>
      </c>
      <c r="L618" s="258">
        <v>-46080</v>
      </c>
      <c r="M618" s="258">
        <f t="shared" si="38"/>
        <v>337920</v>
      </c>
      <c r="N618" s="258">
        <v>-171491.22</v>
      </c>
      <c r="O618" s="258">
        <v>-28099.2114</v>
      </c>
      <c r="P618" s="258">
        <v>-12.814490757008826</v>
      </c>
      <c r="Q618" s="258">
        <f t="shared" si="39"/>
        <v>138316.75410924299</v>
      </c>
      <c r="R618" s="259">
        <f t="shared" si="40"/>
        <v>0.4093180460145685</v>
      </c>
      <c r="S618" s="255">
        <f t="shared" si="37"/>
        <v>6.4</v>
      </c>
      <c r="T618" s="255">
        <f t="shared" si="37"/>
        <v>6.4</v>
      </c>
      <c r="U618" s="254">
        <v>100700</v>
      </c>
      <c r="V618" s="254" t="s">
        <v>960</v>
      </c>
      <c r="W618" s="254" t="s">
        <v>864</v>
      </c>
      <c r="X618" s="254" t="s">
        <v>446</v>
      </c>
      <c r="Y618" s="254" t="s">
        <v>843</v>
      </c>
      <c r="Z618" s="254" t="s">
        <v>1101</v>
      </c>
      <c r="AA618" s="254" t="s">
        <v>838</v>
      </c>
    </row>
    <row r="619" spans="1:27" ht="14.4" x14ac:dyDescent="0.3">
      <c r="A619" s="253">
        <v>11</v>
      </c>
      <c r="B619" s="254" t="s">
        <v>848</v>
      </c>
      <c r="C619" s="254">
        <v>8995</v>
      </c>
      <c r="D619" s="254" t="s">
        <v>172</v>
      </c>
      <c r="E619" s="254" t="str">
        <f>_xlfn.XLOOKUP(C619,Clientes!I:I,Clientes!F:F)</f>
        <v>FERTIPOL - DOURADOS</v>
      </c>
      <c r="F619" s="254">
        <v>3351</v>
      </c>
      <c r="G619" s="254" t="s">
        <v>924</v>
      </c>
      <c r="H619" s="254" t="s">
        <v>965</v>
      </c>
      <c r="I619" s="255">
        <v>30000</v>
      </c>
      <c r="J619" s="256">
        <v>30000</v>
      </c>
      <c r="K619" s="258">
        <v>160200</v>
      </c>
      <c r="L619" s="258">
        <v>-11214.000000000002</v>
      </c>
      <c r="M619" s="258">
        <f t="shared" si="38"/>
        <v>148986</v>
      </c>
      <c r="N619" s="258">
        <v>-81269.34</v>
      </c>
      <c r="O619" s="258">
        <v>-11914.507987199999</v>
      </c>
      <c r="P619" s="258">
        <v>-5.433545813897191</v>
      </c>
      <c r="Q619" s="258">
        <f t="shared" si="39"/>
        <v>55796.718466986109</v>
      </c>
      <c r="R619" s="259">
        <f t="shared" si="40"/>
        <v>0.37450980942495343</v>
      </c>
      <c r="S619" s="255">
        <f t="shared" si="37"/>
        <v>5.34</v>
      </c>
      <c r="T619" s="255">
        <f t="shared" si="37"/>
        <v>5.34</v>
      </c>
      <c r="U619" s="254">
        <v>100700</v>
      </c>
      <c r="V619" s="254" t="s">
        <v>960</v>
      </c>
      <c r="W619" s="254" t="s">
        <v>1042</v>
      </c>
      <c r="X619" s="254" t="s">
        <v>446</v>
      </c>
      <c r="Y619" s="254" t="s">
        <v>843</v>
      </c>
      <c r="Z619" s="254" t="s">
        <v>1101</v>
      </c>
      <c r="AA619" s="254" t="s">
        <v>838</v>
      </c>
    </row>
    <row r="620" spans="1:27" ht="14.4" x14ac:dyDescent="0.3">
      <c r="A620" s="253">
        <v>11</v>
      </c>
      <c r="B620" s="254" t="s">
        <v>848</v>
      </c>
      <c r="C620" s="254">
        <v>5519</v>
      </c>
      <c r="D620" s="254" t="s">
        <v>272</v>
      </c>
      <c r="E620" s="254" t="str">
        <f>_xlfn.XLOOKUP(C620,Clientes!I:I,Clientes!F:F)</f>
        <v>GRANUPAR - RIO BRANCO DO SUL</v>
      </c>
      <c r="F620" s="254">
        <v>3351</v>
      </c>
      <c r="G620" s="254" t="s">
        <v>862</v>
      </c>
      <c r="H620" s="254" t="s">
        <v>965</v>
      </c>
      <c r="I620" s="255">
        <v>15000</v>
      </c>
      <c r="J620" s="256">
        <v>15000</v>
      </c>
      <c r="K620" s="258">
        <v>92250</v>
      </c>
      <c r="L620" s="258">
        <v>-11070</v>
      </c>
      <c r="M620" s="258">
        <f t="shared" si="38"/>
        <v>81180</v>
      </c>
      <c r="N620" s="258">
        <v>-40634.67</v>
      </c>
      <c r="O620" s="258">
        <v>-12630.886632</v>
      </c>
      <c r="P620" s="258">
        <v>-5.7602463533403769</v>
      </c>
      <c r="Q620" s="258">
        <f t="shared" si="39"/>
        <v>27908.68312164666</v>
      </c>
      <c r="R620" s="259">
        <f t="shared" si="40"/>
        <v>0.34378767087517442</v>
      </c>
      <c r="S620" s="255">
        <f t="shared" si="37"/>
        <v>6.15</v>
      </c>
      <c r="T620" s="255">
        <f t="shared" si="37"/>
        <v>6.15</v>
      </c>
      <c r="U620" s="254">
        <v>100700</v>
      </c>
      <c r="V620" s="254" t="s">
        <v>960</v>
      </c>
      <c r="W620" s="254" t="s">
        <v>1071</v>
      </c>
      <c r="X620" s="254" t="s">
        <v>446</v>
      </c>
      <c r="Y620" s="254" t="s">
        <v>843</v>
      </c>
      <c r="Z620" s="254" t="s">
        <v>1101</v>
      </c>
      <c r="AA620" s="254" t="s">
        <v>838</v>
      </c>
    </row>
    <row r="621" spans="1:27" ht="14.4" x14ac:dyDescent="0.3">
      <c r="A621" s="253">
        <v>11</v>
      </c>
      <c r="B621" s="254" t="s">
        <v>848</v>
      </c>
      <c r="C621" s="254">
        <v>201</v>
      </c>
      <c r="D621" s="254" t="s">
        <v>288</v>
      </c>
      <c r="E621" s="254" t="str">
        <f>_xlfn.XLOOKUP(C621,Clientes!I:I,Clientes!F:F)</f>
        <v>GRUPO JOSAPAR</v>
      </c>
      <c r="F621" s="254">
        <v>14142</v>
      </c>
      <c r="G621" s="254" t="s">
        <v>877</v>
      </c>
      <c r="H621" s="254" t="s">
        <v>962</v>
      </c>
      <c r="I621" s="255">
        <v>11400</v>
      </c>
      <c r="J621" s="256">
        <v>11400</v>
      </c>
      <c r="K621" s="258">
        <v>87666</v>
      </c>
      <c r="L621" s="258">
        <v>-10519.92</v>
      </c>
      <c r="M621" s="258">
        <f t="shared" si="38"/>
        <v>77146.080000000002</v>
      </c>
      <c r="N621" s="258">
        <v>-31043.207640449433</v>
      </c>
      <c r="O621" s="258">
        <v>-20182.774352831999</v>
      </c>
      <c r="P621" s="258">
        <v>-9.2042431979126818</v>
      </c>
      <c r="Q621" s="258">
        <f t="shared" si="39"/>
        <v>25910.89376352066</v>
      </c>
      <c r="R621" s="259">
        <f t="shared" si="40"/>
        <v>0.33586792437827895</v>
      </c>
      <c r="S621" s="255">
        <f t="shared" si="37"/>
        <v>7.69</v>
      </c>
      <c r="T621" s="255">
        <f t="shared" si="37"/>
        <v>7.69</v>
      </c>
      <c r="U621" s="254">
        <v>100700</v>
      </c>
      <c r="V621" s="254" t="s">
        <v>960</v>
      </c>
      <c r="W621" s="254" t="s">
        <v>1109</v>
      </c>
      <c r="X621" s="254" t="s">
        <v>446</v>
      </c>
      <c r="Y621" s="254" t="s">
        <v>843</v>
      </c>
      <c r="Z621" s="254" t="s">
        <v>1101</v>
      </c>
      <c r="AA621" s="254" t="s">
        <v>838</v>
      </c>
    </row>
    <row r="622" spans="1:27" ht="14.4" x14ac:dyDescent="0.3">
      <c r="A622" s="253">
        <v>11</v>
      </c>
      <c r="B622" s="254" t="s">
        <v>848</v>
      </c>
      <c r="C622" s="254">
        <v>1788</v>
      </c>
      <c r="D622" s="254" t="s">
        <v>59</v>
      </c>
      <c r="E622" s="254" t="str">
        <f>_xlfn.XLOOKUP(C622,Clientes!I:I,Clientes!F:F)</f>
        <v>GRUPO MOSAIC FERTILIZANTES P K LTDA</v>
      </c>
      <c r="F622" s="254">
        <v>3359</v>
      </c>
      <c r="G622" s="254" t="s">
        <v>855</v>
      </c>
      <c r="H622" s="254" t="s">
        <v>967</v>
      </c>
      <c r="I622" s="255">
        <v>30000</v>
      </c>
      <c r="J622" s="256">
        <v>30000</v>
      </c>
      <c r="K622" s="258">
        <v>116400</v>
      </c>
      <c r="L622" s="258">
        <v>0</v>
      </c>
      <c r="M622" s="258">
        <f t="shared" si="38"/>
        <v>116400</v>
      </c>
      <c r="N622" s="258">
        <v>-68953.146067415728</v>
      </c>
      <c r="O622" s="258">
        <v>-2442.1605</v>
      </c>
      <c r="P622" s="258">
        <v>-1.1137338592492334</v>
      </c>
      <c r="Q622" s="258">
        <f t="shared" si="39"/>
        <v>45003.579698725021</v>
      </c>
      <c r="R622" s="259">
        <f t="shared" si="40"/>
        <v>0.38662869156980256</v>
      </c>
      <c r="S622" s="255">
        <f t="shared" si="37"/>
        <v>3.88</v>
      </c>
      <c r="T622" s="255">
        <f t="shared" si="37"/>
        <v>3.88</v>
      </c>
      <c r="U622" s="254">
        <v>100700</v>
      </c>
      <c r="V622" s="254" t="s">
        <v>960</v>
      </c>
      <c r="W622" s="254" t="s">
        <v>892</v>
      </c>
      <c r="X622" s="254" t="s">
        <v>446</v>
      </c>
      <c r="Y622" s="254" t="s">
        <v>843</v>
      </c>
      <c r="Z622" s="254" t="s">
        <v>1101</v>
      </c>
      <c r="AA622" s="254" t="s">
        <v>838</v>
      </c>
    </row>
    <row r="623" spans="1:27" ht="14.4" x14ac:dyDescent="0.3">
      <c r="A623" s="253">
        <v>11</v>
      </c>
      <c r="B623" s="254" t="s">
        <v>848</v>
      </c>
      <c r="C623" s="254">
        <v>2225</v>
      </c>
      <c r="D623" s="254" t="s">
        <v>617</v>
      </c>
      <c r="E623" s="254" t="str">
        <f>_xlfn.XLOOKUP(C623,Clientes!I:I,Clientes!F:F)</f>
        <v>ITAFOS - ARRAIAS/TO</v>
      </c>
      <c r="F623" s="254">
        <v>3351</v>
      </c>
      <c r="G623" s="254" t="s">
        <v>974</v>
      </c>
      <c r="H623" s="254" t="s">
        <v>965</v>
      </c>
      <c r="I623" s="255">
        <v>30000</v>
      </c>
      <c r="J623" s="256">
        <v>30000</v>
      </c>
      <c r="K623" s="258">
        <v>162000</v>
      </c>
      <c r="L623" s="258">
        <v>-11340.000000000002</v>
      </c>
      <c r="M623" s="258">
        <f t="shared" si="38"/>
        <v>150660</v>
      </c>
      <c r="N623" s="258">
        <v>-81269.34</v>
      </c>
      <c r="O623" s="258">
        <v>-13774.578854399999</v>
      </c>
      <c r="P623" s="258">
        <v>-6.2818208987672168</v>
      </c>
      <c r="Q623" s="258">
        <f t="shared" si="39"/>
        <v>55609.799324701242</v>
      </c>
      <c r="R623" s="259">
        <f t="shared" si="40"/>
        <v>0.36910792064716075</v>
      </c>
      <c r="S623" s="255">
        <f t="shared" si="37"/>
        <v>5.4</v>
      </c>
      <c r="T623" s="255">
        <f t="shared" si="37"/>
        <v>5.4</v>
      </c>
      <c r="U623" s="254">
        <v>100700</v>
      </c>
      <c r="V623" s="254" t="s">
        <v>960</v>
      </c>
      <c r="W623" s="254" t="s">
        <v>975</v>
      </c>
      <c r="X623" s="254" t="s">
        <v>446</v>
      </c>
      <c r="Y623" s="254" t="s">
        <v>843</v>
      </c>
      <c r="Z623" s="254" t="s">
        <v>1101</v>
      </c>
      <c r="AA623" s="254" t="s">
        <v>838</v>
      </c>
    </row>
    <row r="624" spans="1:27" ht="14.4" x14ac:dyDescent="0.3">
      <c r="A624" s="253">
        <v>11</v>
      </c>
      <c r="B624" s="254" t="s">
        <v>848</v>
      </c>
      <c r="C624" s="254">
        <v>6370</v>
      </c>
      <c r="D624" s="254" t="s">
        <v>264</v>
      </c>
      <c r="E624" s="254" t="str">
        <f>_xlfn.XLOOKUP(C624,Clientes!I:I,Clientes!F:F)</f>
        <v>YTL S.A. - PARAGUAI</v>
      </c>
      <c r="F624" s="254">
        <v>7010</v>
      </c>
      <c r="G624" s="254" t="s">
        <v>832</v>
      </c>
      <c r="H624" s="254" t="s">
        <v>971</v>
      </c>
      <c r="I624" s="255">
        <v>84000</v>
      </c>
      <c r="J624" s="256">
        <v>84000</v>
      </c>
      <c r="K624" s="258">
        <v>569520</v>
      </c>
      <c r="L624" s="258">
        <v>0</v>
      </c>
      <c r="M624" s="258">
        <f t="shared" si="38"/>
        <v>569520</v>
      </c>
      <c r="N624" s="258">
        <v>-204403.5</v>
      </c>
      <c r="O624" s="258">
        <v>-85320.829440000001</v>
      </c>
      <c r="P624" s="258">
        <v>-5999.7655403751596</v>
      </c>
      <c r="Q624" s="258">
        <f t="shared" si="39"/>
        <v>273795.90501962486</v>
      </c>
      <c r="R624" s="259">
        <f t="shared" si="40"/>
        <v>0.48074853388752786</v>
      </c>
      <c r="S624" s="255">
        <f t="shared" si="37"/>
        <v>6.78</v>
      </c>
      <c r="T624" s="255">
        <f t="shared" si="37"/>
        <v>6.78</v>
      </c>
      <c r="U624" s="254">
        <v>100700</v>
      </c>
      <c r="V624" s="254" t="s">
        <v>960</v>
      </c>
      <c r="W624" s="254" t="s">
        <v>896</v>
      </c>
      <c r="X624" s="254" t="s">
        <v>446</v>
      </c>
      <c r="Y624" s="254" t="s">
        <v>836</v>
      </c>
      <c r="Z624" s="254" t="s">
        <v>1101</v>
      </c>
      <c r="AA624" s="254" t="s">
        <v>838</v>
      </c>
    </row>
    <row r="625" spans="1:27" ht="14.4" x14ac:dyDescent="0.3">
      <c r="A625" s="253">
        <v>11</v>
      </c>
      <c r="B625" s="254" t="s">
        <v>848</v>
      </c>
      <c r="C625" s="254">
        <v>2603</v>
      </c>
      <c r="D625" s="254" t="s">
        <v>1074</v>
      </c>
      <c r="E625" s="254" t="str">
        <f>_xlfn.XLOOKUP(C625,Clientes!I:I,Clientes!F:F)</f>
        <v>GRUPO MOSAIC FERTILIZANTES DO BRASIL</v>
      </c>
      <c r="F625" s="254">
        <v>3362</v>
      </c>
      <c r="G625" s="254" t="s">
        <v>897</v>
      </c>
      <c r="H625" s="254" t="s">
        <v>1097</v>
      </c>
      <c r="I625" s="255">
        <v>30000</v>
      </c>
      <c r="J625" s="256">
        <v>30000</v>
      </c>
      <c r="K625" s="258">
        <v>193200</v>
      </c>
      <c r="L625" s="258">
        <v>-13524.000000000002</v>
      </c>
      <c r="M625" s="258">
        <f t="shared" si="38"/>
        <v>179676</v>
      </c>
      <c r="N625" s="258">
        <v>-81203.850000000006</v>
      </c>
      <c r="O625" s="258">
        <v>0</v>
      </c>
      <c r="P625" s="258">
        <v>0</v>
      </c>
      <c r="Q625" s="258">
        <f t="shared" si="39"/>
        <v>98472.15</v>
      </c>
      <c r="R625" s="259">
        <f t="shared" si="40"/>
        <v>0.54805399719495085</v>
      </c>
      <c r="S625" s="255">
        <f t="shared" si="37"/>
        <v>6.44</v>
      </c>
      <c r="T625" s="255">
        <f t="shared" si="37"/>
        <v>6.44</v>
      </c>
      <c r="U625" s="254">
        <v>100700</v>
      </c>
      <c r="V625" s="254" t="s">
        <v>960</v>
      </c>
      <c r="W625" s="254" t="s">
        <v>899</v>
      </c>
      <c r="X625" s="254" t="s">
        <v>446</v>
      </c>
      <c r="Y625" s="254" t="s">
        <v>843</v>
      </c>
      <c r="Z625" s="254" t="s">
        <v>1101</v>
      </c>
      <c r="AA625" s="254" t="s">
        <v>838</v>
      </c>
    </row>
    <row r="626" spans="1:27" ht="14.4" x14ac:dyDescent="0.3">
      <c r="A626" s="253">
        <v>11</v>
      </c>
      <c r="B626" s="254" t="s">
        <v>848</v>
      </c>
      <c r="C626" s="254">
        <v>5300</v>
      </c>
      <c r="D626" s="254" t="s">
        <v>25</v>
      </c>
      <c r="E626" s="254" t="str">
        <f>_xlfn.XLOOKUP(C626,Clientes!I:I,Clientes!F:F)</f>
        <v>FOSNOR - LUIS EDUARDO MAGALHAES</v>
      </c>
      <c r="F626" s="254">
        <v>4246</v>
      </c>
      <c r="G626" s="254" t="s">
        <v>875</v>
      </c>
      <c r="H626" s="254" t="s">
        <v>959</v>
      </c>
      <c r="I626" s="255">
        <v>120000</v>
      </c>
      <c r="J626" s="256">
        <v>120000</v>
      </c>
      <c r="K626" s="258">
        <v>702000</v>
      </c>
      <c r="L626" s="258">
        <v>-49140.000000000007</v>
      </c>
      <c r="M626" s="258">
        <f t="shared" si="38"/>
        <v>652860</v>
      </c>
      <c r="N626" s="258">
        <v>-310854.59999999998</v>
      </c>
      <c r="O626" s="258">
        <v>-61935.332659199994</v>
      </c>
      <c r="P626" s="258">
        <v>-28.245267690807342</v>
      </c>
      <c r="Q626" s="258">
        <f t="shared" si="39"/>
        <v>280041.82207310922</v>
      </c>
      <c r="R626" s="259">
        <f t="shared" si="40"/>
        <v>0.42894620910012748</v>
      </c>
      <c r="S626" s="255">
        <f t="shared" si="37"/>
        <v>5.85</v>
      </c>
      <c r="T626" s="255">
        <f t="shared" si="37"/>
        <v>5.85</v>
      </c>
      <c r="U626" s="254">
        <v>100700</v>
      </c>
      <c r="V626" s="254" t="s">
        <v>960</v>
      </c>
      <c r="W626" s="254" t="s">
        <v>961</v>
      </c>
      <c r="X626" s="254" t="s">
        <v>446</v>
      </c>
      <c r="Y626" s="254" t="s">
        <v>843</v>
      </c>
      <c r="Z626" s="254" t="s">
        <v>1101</v>
      </c>
      <c r="AA626" s="254" t="s">
        <v>838</v>
      </c>
    </row>
    <row r="627" spans="1:27" ht="14.4" x14ac:dyDescent="0.3">
      <c r="A627" s="253">
        <v>11</v>
      </c>
      <c r="B627" s="254" t="s">
        <v>848</v>
      </c>
      <c r="C627" s="254">
        <v>14382</v>
      </c>
      <c r="D627" s="254" t="s">
        <v>244</v>
      </c>
      <c r="E627" s="254" t="str">
        <f>_xlfn.XLOOKUP(C627,Clientes!I:I,Clientes!F:F)</f>
        <v>GECAL - PAINS-MG</v>
      </c>
      <c r="F627" s="254">
        <v>3351</v>
      </c>
      <c r="G627" s="254" t="s">
        <v>855</v>
      </c>
      <c r="H627" s="254" t="s">
        <v>965</v>
      </c>
      <c r="I627" s="255">
        <v>15000</v>
      </c>
      <c r="J627" s="256">
        <v>15000</v>
      </c>
      <c r="K627" s="258">
        <v>102900</v>
      </c>
      <c r="L627" s="258">
        <v>-18522</v>
      </c>
      <c r="M627" s="258">
        <f t="shared" si="38"/>
        <v>84378</v>
      </c>
      <c r="N627" s="258">
        <v>-40634.67</v>
      </c>
      <c r="O627" s="258">
        <v>-6648.4965456</v>
      </c>
      <c r="P627" s="258">
        <v>-3.0320102695692137</v>
      </c>
      <c r="Q627" s="258">
        <f t="shared" si="39"/>
        <v>37091.801444130433</v>
      </c>
      <c r="R627" s="259">
        <f t="shared" si="40"/>
        <v>0.43959090573526788</v>
      </c>
      <c r="S627" s="255">
        <f t="shared" si="37"/>
        <v>6.86</v>
      </c>
      <c r="T627" s="255">
        <f t="shared" si="37"/>
        <v>6.86</v>
      </c>
      <c r="U627" s="254">
        <v>100700</v>
      </c>
      <c r="V627" s="254" t="s">
        <v>960</v>
      </c>
      <c r="W627" s="254" t="s">
        <v>1086</v>
      </c>
      <c r="X627" s="254" t="s">
        <v>446</v>
      </c>
      <c r="Y627" s="254" t="s">
        <v>843</v>
      </c>
      <c r="Z627" s="254" t="s">
        <v>1101</v>
      </c>
      <c r="AA627" s="254" t="s">
        <v>838</v>
      </c>
    </row>
    <row r="628" spans="1:27" ht="14.4" x14ac:dyDescent="0.3">
      <c r="A628" s="253">
        <v>11</v>
      </c>
      <c r="B628" s="254" t="s">
        <v>848</v>
      </c>
      <c r="C628" s="254">
        <v>1789</v>
      </c>
      <c r="D628" s="254" t="s">
        <v>61</v>
      </c>
      <c r="E628" s="254" t="str">
        <f>_xlfn.XLOOKUP(C628,Clientes!I:I,Clientes!F:F)</f>
        <v>GRUPO MOSAIC FERTILIZANTES P K LTDA</v>
      </c>
      <c r="F628" s="254">
        <v>3359</v>
      </c>
      <c r="G628" s="254" t="s">
        <v>855</v>
      </c>
      <c r="H628" s="254" t="s">
        <v>967</v>
      </c>
      <c r="I628" s="255">
        <v>320000</v>
      </c>
      <c r="J628" s="256">
        <v>320000</v>
      </c>
      <c r="K628" s="258">
        <v>1241600</v>
      </c>
      <c r="L628" s="258">
        <v>0</v>
      </c>
      <c r="M628" s="258">
        <f t="shared" si="38"/>
        <v>1241600</v>
      </c>
      <c r="N628" s="258">
        <v>-735500.2247191011</v>
      </c>
      <c r="O628" s="258">
        <v>-33782.908723200002</v>
      </c>
      <c r="P628" s="258">
        <v>-15.40650964953128</v>
      </c>
      <c r="Q628" s="258">
        <f t="shared" si="39"/>
        <v>472301.4600480494</v>
      </c>
      <c r="R628" s="259">
        <f t="shared" si="40"/>
        <v>0.38039743882735938</v>
      </c>
      <c r="S628" s="255">
        <f t="shared" si="37"/>
        <v>3.88</v>
      </c>
      <c r="T628" s="255">
        <f t="shared" si="37"/>
        <v>3.88</v>
      </c>
      <c r="U628" s="254">
        <v>100700</v>
      </c>
      <c r="V628" s="254" t="s">
        <v>960</v>
      </c>
      <c r="W628" s="254" t="s">
        <v>969</v>
      </c>
      <c r="X628" s="254" t="s">
        <v>446</v>
      </c>
      <c r="Y628" s="254" t="s">
        <v>843</v>
      </c>
      <c r="Z628" s="254" t="s">
        <v>1101</v>
      </c>
      <c r="AA628" s="254" t="s">
        <v>838</v>
      </c>
    </row>
    <row r="629" spans="1:27" ht="14.4" x14ac:dyDescent="0.3">
      <c r="A629" s="253">
        <v>11</v>
      </c>
      <c r="B629" s="254" t="s">
        <v>848</v>
      </c>
      <c r="C629" s="254">
        <v>1792</v>
      </c>
      <c r="D629" s="254" t="s">
        <v>970</v>
      </c>
      <c r="E629" s="254" t="str">
        <f>_xlfn.XLOOKUP(C629,Clientes!I:I,Clientes!F:F)</f>
        <v>GRUPO MOSAIC FERTILIZANTES P K LTDA</v>
      </c>
      <c r="F629" s="254">
        <v>3359</v>
      </c>
      <c r="G629" s="254" t="s">
        <v>867</v>
      </c>
      <c r="H629" s="254" t="s">
        <v>967</v>
      </c>
      <c r="I629" s="255">
        <v>150000</v>
      </c>
      <c r="J629" s="256">
        <v>150000</v>
      </c>
      <c r="K629" s="258">
        <v>585000</v>
      </c>
      <c r="L629" s="258">
        <v>-40950.000000000007</v>
      </c>
      <c r="M629" s="258">
        <f t="shared" si="38"/>
        <v>544050</v>
      </c>
      <c r="N629" s="258">
        <v>-344765.73033707862</v>
      </c>
      <c r="O629" s="258">
        <v>-12210.8025</v>
      </c>
      <c r="P629" s="258">
        <v>-5.5686692962461679</v>
      </c>
      <c r="Q629" s="258">
        <f t="shared" si="39"/>
        <v>187067.89849362514</v>
      </c>
      <c r="R629" s="259">
        <f t="shared" si="40"/>
        <v>0.3438432101711702</v>
      </c>
      <c r="S629" s="255">
        <f t="shared" si="37"/>
        <v>3.9</v>
      </c>
      <c r="T629" s="255">
        <f t="shared" si="37"/>
        <v>3.9</v>
      </c>
      <c r="U629" s="254">
        <v>100700</v>
      </c>
      <c r="V629" s="254" t="s">
        <v>960</v>
      </c>
      <c r="W629" s="254" t="s">
        <v>871</v>
      </c>
      <c r="X629" s="254" t="s">
        <v>446</v>
      </c>
      <c r="Y629" s="254" t="s">
        <v>843</v>
      </c>
      <c r="Z629" s="254" t="s">
        <v>1101</v>
      </c>
      <c r="AA629" s="254" t="s">
        <v>838</v>
      </c>
    </row>
    <row r="630" spans="1:27" ht="14.4" x14ac:dyDescent="0.3">
      <c r="A630" s="253">
        <v>11</v>
      </c>
      <c r="B630" s="254" t="s">
        <v>848</v>
      </c>
      <c r="C630" s="254">
        <v>1787</v>
      </c>
      <c r="D630" s="254" t="s">
        <v>57</v>
      </c>
      <c r="E630" s="254" t="str">
        <f>_xlfn.XLOOKUP(C630,Clientes!I:I,Clientes!F:F)</f>
        <v>GRUPO MOSAIC FERTILIZANTES P K LTDA</v>
      </c>
      <c r="F630" s="254">
        <v>3359</v>
      </c>
      <c r="G630" s="254" t="s">
        <v>855</v>
      </c>
      <c r="H630" s="254" t="s">
        <v>967</v>
      </c>
      <c r="I630" s="255">
        <v>300000</v>
      </c>
      <c r="J630" s="256">
        <v>300000</v>
      </c>
      <c r="K630" s="258">
        <v>1164000</v>
      </c>
      <c r="L630" s="258">
        <v>0</v>
      </c>
      <c r="M630" s="258">
        <f t="shared" si="38"/>
        <v>1164000</v>
      </c>
      <c r="N630" s="258">
        <v>-689531.46067415725</v>
      </c>
      <c r="O630" s="258">
        <v>-24421.605</v>
      </c>
      <c r="P630" s="258">
        <v>-11.137338592492336</v>
      </c>
      <c r="Q630" s="258">
        <f t="shared" si="39"/>
        <v>450035.79698725027</v>
      </c>
      <c r="R630" s="259">
        <f t="shared" si="40"/>
        <v>0.38662869156980262</v>
      </c>
      <c r="S630" s="255">
        <f t="shared" si="37"/>
        <v>3.88</v>
      </c>
      <c r="T630" s="255">
        <f t="shared" si="37"/>
        <v>3.88</v>
      </c>
      <c r="U630" s="254">
        <v>100700</v>
      </c>
      <c r="V630" s="254" t="s">
        <v>960</v>
      </c>
      <c r="W630" s="254" t="s">
        <v>892</v>
      </c>
      <c r="X630" s="254" t="s">
        <v>446</v>
      </c>
      <c r="Y630" s="254" t="s">
        <v>843</v>
      </c>
      <c r="Z630" s="254" t="s">
        <v>1101</v>
      </c>
      <c r="AA630" s="254" t="s">
        <v>838</v>
      </c>
    </row>
    <row r="631" spans="1:27" ht="14.4" x14ac:dyDescent="0.3">
      <c r="A631" s="253">
        <v>13</v>
      </c>
      <c r="B631" s="254" t="s">
        <v>848</v>
      </c>
      <c r="C631" s="254">
        <v>2</v>
      </c>
      <c r="D631" s="254" t="s">
        <v>976</v>
      </c>
      <c r="E631" s="254" t="str">
        <f>_xlfn.XLOOKUP(C631,Clientes!I:I,Clientes!F:F)</f>
        <v>GRUPO CARGILL</v>
      </c>
      <c r="F631" s="254">
        <v>3700</v>
      </c>
      <c r="G631" s="254" t="s">
        <v>855</v>
      </c>
      <c r="H631" s="254" t="s">
        <v>977</v>
      </c>
      <c r="I631" s="254">
        <v>84000</v>
      </c>
      <c r="J631" s="256">
        <v>84000</v>
      </c>
      <c r="K631" s="258">
        <v>92400</v>
      </c>
      <c r="L631" s="258">
        <v>-23640.539999999997</v>
      </c>
      <c r="M631" s="258">
        <f t="shared" si="38"/>
        <v>68759.460000000006</v>
      </c>
      <c r="N631" s="258">
        <v>-15239.31</v>
      </c>
      <c r="O631" s="258">
        <v>0</v>
      </c>
      <c r="P631" s="258">
        <v>0</v>
      </c>
      <c r="Q631" s="258">
        <f t="shared" si="39"/>
        <v>53520.150000000009</v>
      </c>
      <c r="R631" s="259">
        <f t="shared" si="40"/>
        <v>0.77836780568084751</v>
      </c>
      <c r="S631" s="255">
        <f t="shared" si="37"/>
        <v>1.1000000000000001</v>
      </c>
      <c r="T631" s="255">
        <f t="shared" si="37"/>
        <v>1.1000000000000001</v>
      </c>
      <c r="U631" s="254">
        <v>100900</v>
      </c>
      <c r="V631" s="254" t="s">
        <v>978</v>
      </c>
      <c r="W631" s="254" t="s">
        <v>865</v>
      </c>
      <c r="X631" s="254" t="s">
        <v>157</v>
      </c>
      <c r="Y631" s="254" t="s">
        <v>843</v>
      </c>
      <c r="Z631" s="254" t="s">
        <v>1101</v>
      </c>
      <c r="AA631" s="254" t="s">
        <v>838</v>
      </c>
    </row>
    <row r="632" spans="1:27" ht="14.4" x14ac:dyDescent="0.3">
      <c r="A632" s="253">
        <v>11</v>
      </c>
      <c r="B632" s="254" t="s">
        <v>848</v>
      </c>
      <c r="C632" s="254">
        <v>2900</v>
      </c>
      <c r="D632" s="254" t="s">
        <v>463</v>
      </c>
      <c r="E632" s="254" t="str">
        <f>_xlfn.XLOOKUP(C632,Clientes!I:I,Clientes!F:F)</f>
        <v>BIOSAFRA - MARUIM</v>
      </c>
      <c r="F632" s="254">
        <v>7305</v>
      </c>
      <c r="G632" s="254" t="s">
        <v>887</v>
      </c>
      <c r="H632" s="254" t="s">
        <v>1072</v>
      </c>
      <c r="I632" s="255">
        <v>3000</v>
      </c>
      <c r="J632" s="256">
        <v>3000</v>
      </c>
      <c r="K632" s="258">
        <v>70319.603994926554</v>
      </c>
      <c r="L632" s="258">
        <v>-2620.8000000000002</v>
      </c>
      <c r="M632" s="258">
        <f t="shared" si="38"/>
        <v>67698.803994926551</v>
      </c>
      <c r="N632" s="258">
        <v>-19540.41</v>
      </c>
      <c r="O632" s="258">
        <v>-14851.871999999958</v>
      </c>
      <c r="P632" s="258">
        <v>-6.7731145105473551</v>
      </c>
      <c r="Q632" s="258">
        <f t="shared" si="39"/>
        <v>33299.748880416038</v>
      </c>
      <c r="R632" s="259">
        <f t="shared" si="40"/>
        <v>0.4918809035815695</v>
      </c>
      <c r="S632" s="255">
        <f t="shared" si="37"/>
        <v>23.439867998308852</v>
      </c>
      <c r="T632" s="255">
        <f t="shared" si="37"/>
        <v>23.439867998308852</v>
      </c>
      <c r="U632" s="254">
        <v>101000</v>
      </c>
      <c r="V632" s="254" t="s">
        <v>1046</v>
      </c>
      <c r="W632" s="254" t="s">
        <v>1009</v>
      </c>
      <c r="X632" s="254" t="s">
        <v>446</v>
      </c>
      <c r="Y632" s="254" t="s">
        <v>843</v>
      </c>
      <c r="Z632" s="254" t="s">
        <v>1101</v>
      </c>
      <c r="AA632" s="254" t="s">
        <v>838</v>
      </c>
    </row>
    <row r="633" spans="1:27" ht="14.4" x14ac:dyDescent="0.3">
      <c r="A633" s="253">
        <v>11</v>
      </c>
      <c r="B633" s="254" t="s">
        <v>848</v>
      </c>
      <c r="C633" s="254">
        <v>11770</v>
      </c>
      <c r="D633" s="254" t="s">
        <v>376</v>
      </c>
      <c r="E633" s="254" t="str">
        <f>_xlfn.XLOOKUP(C633,Clientes!I:I,Clientes!F:F)</f>
        <v>FERTIBAL - EQUADOR</v>
      </c>
      <c r="F633" s="254">
        <v>14134</v>
      </c>
      <c r="G633" s="254" t="s">
        <v>832</v>
      </c>
      <c r="H633" s="254" t="s">
        <v>1048</v>
      </c>
      <c r="I633" s="255">
        <v>5000</v>
      </c>
      <c r="J633" s="256">
        <v>5000</v>
      </c>
      <c r="K633" s="258">
        <v>26500</v>
      </c>
      <c r="L633" s="258">
        <v>0</v>
      </c>
      <c r="M633" s="258">
        <f t="shared" si="38"/>
        <v>26500</v>
      </c>
      <c r="N633" s="258">
        <v>-6017.33</v>
      </c>
      <c r="O633" s="258">
        <v>-8553.5535359999994</v>
      </c>
      <c r="P633" s="258">
        <v>-358.71362516796762</v>
      </c>
      <c r="Q633" s="258">
        <f t="shared" si="39"/>
        <v>11570.402838832031</v>
      </c>
      <c r="R633" s="259">
        <f t="shared" si="40"/>
        <v>0.43661897505026531</v>
      </c>
      <c r="S633" s="255">
        <f t="shared" si="37"/>
        <v>5.3</v>
      </c>
      <c r="T633" s="255">
        <f t="shared" si="37"/>
        <v>5.3</v>
      </c>
      <c r="U633" s="254">
        <v>101300</v>
      </c>
      <c r="V633" s="254" t="s">
        <v>980</v>
      </c>
      <c r="W633" s="254" t="s">
        <v>1110</v>
      </c>
      <c r="X633" s="254" t="s">
        <v>446</v>
      </c>
      <c r="Y633" s="254" t="s">
        <v>836</v>
      </c>
      <c r="Z633" s="254" t="s">
        <v>1101</v>
      </c>
      <c r="AA633" s="254" t="s">
        <v>838</v>
      </c>
    </row>
    <row r="634" spans="1:27" ht="14.4" x14ac:dyDescent="0.3">
      <c r="A634" s="253">
        <v>11</v>
      </c>
      <c r="B634" s="254" t="s">
        <v>848</v>
      </c>
      <c r="C634" s="254">
        <v>3297</v>
      </c>
      <c r="D634" s="254" t="s">
        <v>550</v>
      </c>
      <c r="E634" s="254" t="str">
        <f>_xlfn.XLOOKUP(C634,Clientes!I:I,Clientes!F:F)</f>
        <v>MACROSOURCE PERU S.R.L.</v>
      </c>
      <c r="F634" s="254">
        <v>14144</v>
      </c>
      <c r="G634" s="254" t="s">
        <v>832</v>
      </c>
      <c r="H634" s="254" t="s">
        <v>979</v>
      </c>
      <c r="I634" s="255">
        <v>2000</v>
      </c>
      <c r="J634" s="256">
        <v>2000</v>
      </c>
      <c r="K634" s="258">
        <v>12402</v>
      </c>
      <c r="L634" s="258">
        <v>0</v>
      </c>
      <c r="M634" s="258">
        <f t="shared" si="38"/>
        <v>12402</v>
      </c>
      <c r="N634" s="258">
        <v>-2941.7077777777781</v>
      </c>
      <c r="O634" s="258">
        <v>-9057.2866560000002</v>
      </c>
      <c r="P634" s="258">
        <v>-146.05565540206811</v>
      </c>
      <c r="Q634" s="258">
        <f t="shared" si="39"/>
        <v>256.949910820154</v>
      </c>
      <c r="R634" s="259">
        <f t="shared" si="40"/>
        <v>2.0718425320122077E-2</v>
      </c>
      <c r="S634" s="255">
        <f t="shared" si="37"/>
        <v>6.2009999999999996</v>
      </c>
      <c r="T634" s="255">
        <f t="shared" si="37"/>
        <v>6.2009999999999996</v>
      </c>
      <c r="U634" s="254">
        <v>101300</v>
      </c>
      <c r="V634" s="254" t="s">
        <v>980</v>
      </c>
      <c r="W634" s="254" t="s">
        <v>872</v>
      </c>
      <c r="X634" s="254" t="s">
        <v>446</v>
      </c>
      <c r="Y634" s="254" t="s">
        <v>836</v>
      </c>
      <c r="Z634" s="254" t="s">
        <v>1101</v>
      </c>
      <c r="AA634" s="254" t="s">
        <v>838</v>
      </c>
    </row>
    <row r="635" spans="1:27" ht="14.4" x14ac:dyDescent="0.3">
      <c r="A635" s="253">
        <v>11</v>
      </c>
      <c r="B635" s="254" t="s">
        <v>848</v>
      </c>
      <c r="C635" s="254">
        <v>5882</v>
      </c>
      <c r="D635" s="254" t="s">
        <v>162</v>
      </c>
      <c r="E635" s="254" t="str">
        <f>_xlfn.XLOOKUP(C635,Clientes!I:I,Clientes!F:F)</f>
        <v>ABOPAR - PARAGUAY</v>
      </c>
      <c r="F635" s="254">
        <v>14144</v>
      </c>
      <c r="G635" s="254" t="s">
        <v>832</v>
      </c>
      <c r="H635" s="254" t="s">
        <v>979</v>
      </c>
      <c r="I635" s="255">
        <v>16000</v>
      </c>
      <c r="J635" s="256">
        <v>16000</v>
      </c>
      <c r="K635" s="258">
        <v>99200</v>
      </c>
      <c r="L635" s="258">
        <v>0</v>
      </c>
      <c r="M635" s="258">
        <f t="shared" si="38"/>
        <v>99200</v>
      </c>
      <c r="N635" s="258">
        <v>-23533.662222222225</v>
      </c>
      <c r="O635" s="258">
        <v>-15538.2</v>
      </c>
      <c r="P635" s="258">
        <v>-1142.4871478653502</v>
      </c>
      <c r="Q635" s="258">
        <f t="shared" si="39"/>
        <v>58985.65062991243</v>
      </c>
      <c r="R635" s="259">
        <f t="shared" si="40"/>
        <v>0.59461341360798825</v>
      </c>
      <c r="S635" s="255">
        <f t="shared" si="37"/>
        <v>6.2</v>
      </c>
      <c r="T635" s="255">
        <f t="shared" si="37"/>
        <v>6.2</v>
      </c>
      <c r="U635" s="254">
        <v>101300</v>
      </c>
      <c r="V635" s="254" t="s">
        <v>980</v>
      </c>
      <c r="W635" s="254" t="s">
        <v>1012</v>
      </c>
      <c r="X635" s="254" t="s">
        <v>446</v>
      </c>
      <c r="Y635" s="254" t="s">
        <v>836</v>
      </c>
      <c r="Z635" s="254" t="s">
        <v>1101</v>
      </c>
      <c r="AA635" s="254" t="s">
        <v>838</v>
      </c>
    </row>
    <row r="636" spans="1:27" ht="14.4" x14ac:dyDescent="0.3">
      <c r="A636" s="253">
        <v>11</v>
      </c>
      <c r="B636" s="254" t="s">
        <v>848</v>
      </c>
      <c r="C636" s="254">
        <v>15905</v>
      </c>
      <c r="D636" s="254" t="s">
        <v>750</v>
      </c>
      <c r="E636" s="254" t="str">
        <f>_xlfn.XLOOKUP(C636,Clientes!I:I,Clientes!F:F)</f>
        <v>ADUFÉRTIL - CAMPEVO</v>
      </c>
      <c r="F636" s="254">
        <v>8368</v>
      </c>
      <c r="G636" s="254" t="s">
        <v>908</v>
      </c>
      <c r="H636" s="254" t="s">
        <v>989</v>
      </c>
      <c r="I636" s="255">
        <v>170</v>
      </c>
      <c r="J636" s="256">
        <v>2795.1461665688953</v>
      </c>
      <c r="K636" s="258">
        <v>32321.528120593568</v>
      </c>
      <c r="L636" s="258">
        <v>-2908.8190650641241</v>
      </c>
      <c r="M636" s="258">
        <f t="shared" si="38"/>
        <v>29412.709055529445</v>
      </c>
      <c r="N636" s="258">
        <v>-9839.794413430669</v>
      </c>
      <c r="O636" s="258">
        <v>-755.63618576813087</v>
      </c>
      <c r="P636" s="258">
        <v>-8312.7190005213597</v>
      </c>
      <c r="Q636" s="258">
        <f t="shared" si="39"/>
        <v>10504.559455809285</v>
      </c>
      <c r="R636" s="259">
        <f t="shared" si="40"/>
        <v>0.35714355437227158</v>
      </c>
      <c r="S636" s="255">
        <f t="shared" si="37"/>
        <v>190.12663600349157</v>
      </c>
      <c r="T636" s="255">
        <f t="shared" si="37"/>
        <v>11.56344827586207</v>
      </c>
      <c r="U636" s="254">
        <v>101602</v>
      </c>
      <c r="V636" s="254" t="s">
        <v>983</v>
      </c>
      <c r="W636" s="254" t="s">
        <v>991</v>
      </c>
      <c r="X636" s="254" t="s">
        <v>157</v>
      </c>
      <c r="Y636" s="254" t="s">
        <v>843</v>
      </c>
      <c r="Z636" s="254" t="s">
        <v>1101</v>
      </c>
      <c r="AA636" s="254" t="s">
        <v>838</v>
      </c>
    </row>
    <row r="637" spans="1:27" ht="14.4" x14ac:dyDescent="0.3">
      <c r="A637" s="253">
        <v>11</v>
      </c>
      <c r="B637" s="254" t="s">
        <v>848</v>
      </c>
      <c r="C637" s="254">
        <v>15904</v>
      </c>
      <c r="D637" s="254" t="s">
        <v>754</v>
      </c>
      <c r="E637" s="254" t="str">
        <f>_xlfn.XLOOKUP(C637,Clientes!I:I,Clientes!F:F)</f>
        <v>ADUFÉRTIL - CAMPEVO</v>
      </c>
      <c r="F637" s="254">
        <v>8368</v>
      </c>
      <c r="G637" s="254" t="s">
        <v>908</v>
      </c>
      <c r="H637" s="254" t="s">
        <v>989</v>
      </c>
      <c r="I637" s="255">
        <v>500</v>
      </c>
      <c r="J637" s="256">
        <v>8221.0181369673392</v>
      </c>
      <c r="K637" s="258">
        <v>95063.318001745778</v>
      </c>
      <c r="L637" s="258">
        <v>-8555.3501913650707</v>
      </c>
      <c r="M637" s="258">
        <f t="shared" si="38"/>
        <v>86507.967810380709</v>
      </c>
      <c r="N637" s="258">
        <v>-28940.571804207852</v>
      </c>
      <c r="O637" s="258">
        <v>-2222.4593699062671</v>
      </c>
      <c r="P637" s="258">
        <v>-24441.034410146785</v>
      </c>
      <c r="Q637" s="258">
        <f t="shared" si="39"/>
        <v>30903.902226119804</v>
      </c>
      <c r="R637" s="259">
        <f t="shared" si="40"/>
        <v>0.35723763958782329</v>
      </c>
      <c r="S637" s="255">
        <f t="shared" si="37"/>
        <v>190.12663600349157</v>
      </c>
      <c r="T637" s="255">
        <f t="shared" si="37"/>
        <v>11.563448275862068</v>
      </c>
      <c r="U637" s="254">
        <v>101602</v>
      </c>
      <c r="V637" s="254" t="s">
        <v>983</v>
      </c>
      <c r="W637" s="254" t="s">
        <v>992</v>
      </c>
      <c r="X637" s="254" t="s">
        <v>157</v>
      </c>
      <c r="Y637" s="254" t="s">
        <v>843</v>
      </c>
      <c r="Z637" s="254" t="s">
        <v>1101</v>
      </c>
      <c r="AA637" s="254" t="s">
        <v>838</v>
      </c>
    </row>
    <row r="638" spans="1:27" ht="14.4" x14ac:dyDescent="0.3">
      <c r="A638" s="253">
        <v>11</v>
      </c>
      <c r="B638" s="254" t="s">
        <v>848</v>
      </c>
      <c r="C638" s="254">
        <v>15904</v>
      </c>
      <c r="D638" s="254" t="s">
        <v>754</v>
      </c>
      <c r="E638" s="254" t="str">
        <f>_xlfn.XLOOKUP(C638,Clientes!I:I,Clientes!F:F)</f>
        <v>ADUFÉRTIL - CAMPEVO</v>
      </c>
      <c r="F638" s="254">
        <v>13004</v>
      </c>
      <c r="G638" s="254" t="s">
        <v>908</v>
      </c>
      <c r="H638" s="254" t="s">
        <v>982</v>
      </c>
      <c r="I638" s="255">
        <v>71</v>
      </c>
      <c r="J638" s="256">
        <v>1632.9266143745651</v>
      </c>
      <c r="K638" s="258">
        <v>43190.908950207246</v>
      </c>
      <c r="L638" s="258">
        <v>-4088.3442749033075</v>
      </c>
      <c r="M638" s="258">
        <f t="shared" si="38"/>
        <v>39102.56467530394</v>
      </c>
      <c r="N638" s="258">
        <v>-11546.117073048521</v>
      </c>
      <c r="O638" s="258">
        <v>-441.44326092252351</v>
      </c>
      <c r="P638" s="258">
        <v>-10334.05849398674</v>
      </c>
      <c r="Q638" s="258">
        <f t="shared" si="39"/>
        <v>16780.945847346156</v>
      </c>
      <c r="R638" s="259">
        <f t="shared" si="40"/>
        <v>0.42915205144956953</v>
      </c>
      <c r="S638" s="255">
        <f t="shared" si="37"/>
        <v>608.32266127052458</v>
      </c>
      <c r="T638" s="255">
        <f t="shared" si="37"/>
        <v>26.45</v>
      </c>
      <c r="U638" s="254">
        <v>101602</v>
      </c>
      <c r="V638" s="254" t="s">
        <v>983</v>
      </c>
      <c r="W638" s="254" t="s">
        <v>992</v>
      </c>
      <c r="X638" s="254" t="s">
        <v>157</v>
      </c>
      <c r="Y638" s="254" t="s">
        <v>843</v>
      </c>
      <c r="Z638" s="254" t="s">
        <v>1101</v>
      </c>
      <c r="AA638" s="254" t="s">
        <v>838</v>
      </c>
    </row>
    <row r="639" spans="1:27" ht="14.4" x14ac:dyDescent="0.3">
      <c r="A639" s="253">
        <v>11</v>
      </c>
      <c r="B639" s="254" t="s">
        <v>848</v>
      </c>
      <c r="C639" s="254">
        <v>15906</v>
      </c>
      <c r="D639" s="254" t="s">
        <v>993</v>
      </c>
      <c r="E639" s="254" t="str">
        <f>_xlfn.XLOOKUP(C639,Clientes!I:I,Clientes!F:F)</f>
        <v>ADUFÉRTIL - CAMPEVO</v>
      </c>
      <c r="F639" s="254">
        <v>8368</v>
      </c>
      <c r="G639" s="254" t="s">
        <v>908</v>
      </c>
      <c r="H639" s="254" t="s">
        <v>989</v>
      </c>
      <c r="I639" s="255">
        <v>500</v>
      </c>
      <c r="J639" s="256">
        <v>8221.0181369673392</v>
      </c>
      <c r="K639" s="258">
        <v>95063.318001745778</v>
      </c>
      <c r="L639" s="258">
        <v>-8555.3501913650707</v>
      </c>
      <c r="M639" s="258">
        <f t="shared" si="38"/>
        <v>86507.967810380709</v>
      </c>
      <c r="N639" s="258">
        <v>-28940.571804207852</v>
      </c>
      <c r="O639" s="258">
        <v>-2222.4593699062671</v>
      </c>
      <c r="P639" s="258">
        <v>-24441.558520198196</v>
      </c>
      <c r="Q639" s="258">
        <f t="shared" si="39"/>
        <v>30903.378116068394</v>
      </c>
      <c r="R639" s="259">
        <f t="shared" si="40"/>
        <v>0.35723158107015524</v>
      </c>
      <c r="S639" s="255">
        <f t="shared" si="37"/>
        <v>190.12663600349157</v>
      </c>
      <c r="T639" s="255">
        <f t="shared" si="37"/>
        <v>11.563448275862068</v>
      </c>
      <c r="U639" s="254">
        <v>101602</v>
      </c>
      <c r="V639" s="254" t="s">
        <v>983</v>
      </c>
      <c r="W639" s="254" t="s">
        <v>994</v>
      </c>
      <c r="X639" s="254" t="s">
        <v>157</v>
      </c>
      <c r="Y639" s="254" t="s">
        <v>843</v>
      </c>
      <c r="Z639" s="254" t="s">
        <v>1101</v>
      </c>
      <c r="AA639" s="254" t="s">
        <v>838</v>
      </c>
    </row>
    <row r="640" spans="1:27" ht="14.4" x14ac:dyDescent="0.3">
      <c r="A640" s="253">
        <v>11</v>
      </c>
      <c r="B640" s="254" t="s">
        <v>848</v>
      </c>
      <c r="C640" s="254">
        <v>15905</v>
      </c>
      <c r="D640" s="254" t="s">
        <v>750</v>
      </c>
      <c r="E640" s="254" t="str">
        <f>_xlfn.XLOOKUP(C640,Clientes!I:I,Clientes!F:F)</f>
        <v>ADUFÉRTIL - CAMPEVO</v>
      </c>
      <c r="F640" s="254">
        <v>13004</v>
      </c>
      <c r="G640" s="254" t="s">
        <v>908</v>
      </c>
      <c r="H640" s="254" t="s">
        <v>982</v>
      </c>
      <c r="I640" s="255">
        <v>23</v>
      </c>
      <c r="J640" s="256">
        <v>528.97622719176059</v>
      </c>
      <c r="K640" s="258">
        <v>13991.421209222068</v>
      </c>
      <c r="L640" s="258">
        <v>-1324.3932158137472</v>
      </c>
      <c r="M640" s="258">
        <f t="shared" si="38"/>
        <v>12667.027993408321</v>
      </c>
      <c r="N640" s="258">
        <v>-3740.2914461988175</v>
      </c>
      <c r="O640" s="258">
        <v>-143.00274649602875</v>
      </c>
      <c r="P640" s="258">
        <v>-3350.4523112491952</v>
      </c>
      <c r="Q640" s="258">
        <f t="shared" si="39"/>
        <v>5433.2814894642797</v>
      </c>
      <c r="R640" s="259">
        <f t="shared" si="40"/>
        <v>0.4289310398849403</v>
      </c>
      <c r="S640" s="255">
        <f t="shared" si="37"/>
        <v>608.32266127052469</v>
      </c>
      <c r="T640" s="255">
        <f t="shared" si="37"/>
        <v>26.45</v>
      </c>
      <c r="U640" s="254">
        <v>101602</v>
      </c>
      <c r="V640" s="254" t="s">
        <v>983</v>
      </c>
      <c r="W640" s="254" t="s">
        <v>991</v>
      </c>
      <c r="X640" s="254" t="s">
        <v>157</v>
      </c>
      <c r="Y640" s="254" t="s">
        <v>843</v>
      </c>
      <c r="Z640" s="254" t="s">
        <v>1101</v>
      </c>
      <c r="AA640" s="254" t="s">
        <v>838</v>
      </c>
    </row>
    <row r="641" spans="1:27" ht="14.4" x14ac:dyDescent="0.3">
      <c r="A641" s="253">
        <v>11</v>
      </c>
      <c r="B641" s="254" t="s">
        <v>848</v>
      </c>
      <c r="C641" s="254">
        <v>15906</v>
      </c>
      <c r="D641" s="254" t="s">
        <v>993</v>
      </c>
      <c r="E641" s="254" t="str">
        <f>_xlfn.XLOOKUP(C641,Clientes!I:I,Clientes!F:F)</f>
        <v>ADUFÉRTIL - CAMPEVO</v>
      </c>
      <c r="F641" s="254">
        <v>13004</v>
      </c>
      <c r="G641" s="254" t="s">
        <v>908</v>
      </c>
      <c r="H641" s="254" t="s">
        <v>982</v>
      </c>
      <c r="I641" s="255">
        <v>63</v>
      </c>
      <c r="J641" s="256">
        <v>1448.9348831774312</v>
      </c>
      <c r="K641" s="258">
        <v>38324.327660043054</v>
      </c>
      <c r="L641" s="258">
        <v>-3627.6857650550473</v>
      </c>
      <c r="M641" s="258">
        <f t="shared" si="38"/>
        <v>34696.64189498801</v>
      </c>
      <c r="N641" s="258">
        <v>-10245.146135240238</v>
      </c>
      <c r="O641" s="258">
        <v>-391.70317518477435</v>
      </c>
      <c r="P641" s="258">
        <v>-9170.4080231416665</v>
      </c>
      <c r="Q641" s="258">
        <f t="shared" si="39"/>
        <v>14889.384561421328</v>
      </c>
      <c r="R641" s="259">
        <f t="shared" si="40"/>
        <v>0.42913042151125652</v>
      </c>
      <c r="S641" s="255">
        <f t="shared" si="37"/>
        <v>608.32266127052469</v>
      </c>
      <c r="T641" s="255">
        <f t="shared" si="37"/>
        <v>26.45</v>
      </c>
      <c r="U641" s="254">
        <v>101602</v>
      </c>
      <c r="V641" s="254" t="s">
        <v>983</v>
      </c>
      <c r="W641" s="254" t="s">
        <v>994</v>
      </c>
      <c r="X641" s="254" t="s">
        <v>157</v>
      </c>
      <c r="Y641" s="254" t="s">
        <v>843</v>
      </c>
      <c r="Z641" s="254" t="s">
        <v>1101</v>
      </c>
      <c r="AA641" s="254" t="s">
        <v>838</v>
      </c>
    </row>
    <row r="642" spans="1:27" ht="14.4" x14ac:dyDescent="0.3">
      <c r="A642" s="253">
        <v>11</v>
      </c>
      <c r="B642" s="254" t="s">
        <v>848</v>
      </c>
      <c r="C642" s="254">
        <v>15908</v>
      </c>
      <c r="D642" s="254" t="s">
        <v>981</v>
      </c>
      <c r="E642" s="254" t="str">
        <f>_xlfn.XLOOKUP(C642,Clientes!I:I,Clientes!F:F)</f>
        <v>ADUFÉRTIL - CAMPEVO</v>
      </c>
      <c r="F642" s="254">
        <v>8368</v>
      </c>
      <c r="G642" s="254" t="s">
        <v>908</v>
      </c>
      <c r="H642" s="254" t="s">
        <v>989</v>
      </c>
      <c r="I642" s="255">
        <v>500</v>
      </c>
      <c r="J642" s="256">
        <v>8221.0181369673392</v>
      </c>
      <c r="K642" s="258">
        <v>95063.318001745778</v>
      </c>
      <c r="L642" s="258">
        <v>-8555.3501913650707</v>
      </c>
      <c r="M642" s="258">
        <f t="shared" si="38"/>
        <v>86507.967810380709</v>
      </c>
      <c r="N642" s="258">
        <v>-28940.571804207852</v>
      </c>
      <c r="O642" s="258">
        <v>-2222.4593699062671</v>
      </c>
      <c r="P642" s="258">
        <v>-24441.034410146785</v>
      </c>
      <c r="Q642" s="258">
        <f t="shared" si="39"/>
        <v>30903.902226119804</v>
      </c>
      <c r="R642" s="259">
        <f t="shared" si="40"/>
        <v>0.35723763958782329</v>
      </c>
      <c r="S642" s="255">
        <f t="shared" si="37"/>
        <v>190.12663600349157</v>
      </c>
      <c r="T642" s="255">
        <f t="shared" si="37"/>
        <v>11.563448275862068</v>
      </c>
      <c r="U642" s="254">
        <v>101602</v>
      </c>
      <c r="V642" s="254" t="s">
        <v>983</v>
      </c>
      <c r="W642" s="254" t="s">
        <v>984</v>
      </c>
      <c r="X642" s="254" t="s">
        <v>157</v>
      </c>
      <c r="Y642" s="254" t="s">
        <v>843</v>
      </c>
      <c r="Z642" s="254" t="s">
        <v>1101</v>
      </c>
      <c r="AA642" s="254" t="s">
        <v>838</v>
      </c>
    </row>
    <row r="643" spans="1:27" ht="14.4" x14ac:dyDescent="0.3">
      <c r="A643" s="253">
        <v>11</v>
      </c>
      <c r="B643" s="254" t="s">
        <v>848</v>
      </c>
      <c r="C643" s="254">
        <v>15908</v>
      </c>
      <c r="D643" s="254" t="s">
        <v>981</v>
      </c>
      <c r="E643" s="254" t="str">
        <f>_xlfn.XLOOKUP(C643,Clientes!I:I,Clientes!F:F)</f>
        <v>ADUFÉRTIL - CAMPEVO</v>
      </c>
      <c r="F643" s="254">
        <v>13004</v>
      </c>
      <c r="G643" s="254" t="s">
        <v>908</v>
      </c>
      <c r="H643" s="254" t="s">
        <v>982</v>
      </c>
      <c r="I643" s="255">
        <v>63</v>
      </c>
      <c r="J643" s="256">
        <v>1448.9348831774312</v>
      </c>
      <c r="K643" s="258">
        <v>38324.327660043054</v>
      </c>
      <c r="L643" s="258">
        <v>-3627.6857650550473</v>
      </c>
      <c r="M643" s="258">
        <f t="shared" si="38"/>
        <v>34696.64189498801</v>
      </c>
      <c r="N643" s="258">
        <v>-10245.146135240238</v>
      </c>
      <c r="O643" s="258">
        <v>-391.70317518477435</v>
      </c>
      <c r="P643" s="258">
        <v>-9169.8839130902543</v>
      </c>
      <c r="Q643" s="258">
        <f t="shared" si="39"/>
        <v>14889.90867147274</v>
      </c>
      <c r="R643" s="259">
        <f t="shared" si="40"/>
        <v>0.42914552700916031</v>
      </c>
      <c r="S643" s="255">
        <f t="shared" ref="S643:T706" si="41">$K643/I643</f>
        <v>608.32266127052469</v>
      </c>
      <c r="T643" s="255">
        <f t="shared" si="41"/>
        <v>26.45</v>
      </c>
      <c r="U643" s="254">
        <v>101602</v>
      </c>
      <c r="V643" s="254" t="s">
        <v>983</v>
      </c>
      <c r="W643" s="254" t="s">
        <v>984</v>
      </c>
      <c r="X643" s="254" t="s">
        <v>157</v>
      </c>
      <c r="Y643" s="254" t="s">
        <v>843</v>
      </c>
      <c r="Z643" s="254" t="s">
        <v>1101</v>
      </c>
      <c r="AA643" s="254" t="s">
        <v>838</v>
      </c>
    </row>
    <row r="644" spans="1:27" ht="14.4" x14ac:dyDescent="0.3">
      <c r="A644" s="253">
        <v>11</v>
      </c>
      <c r="B644" s="254" t="s">
        <v>848</v>
      </c>
      <c r="C644" s="254">
        <v>15917</v>
      </c>
      <c r="D644" s="254" t="s">
        <v>571</v>
      </c>
      <c r="E644" s="254" t="str">
        <f>_xlfn.XLOOKUP(C644,Clientes!I:I,Clientes!F:F)</f>
        <v>MINAS FARM</v>
      </c>
      <c r="F644" s="254">
        <v>8301</v>
      </c>
      <c r="G644" s="254" t="s">
        <v>855</v>
      </c>
      <c r="H644" s="254" t="s">
        <v>986</v>
      </c>
      <c r="I644" s="255">
        <v>5</v>
      </c>
      <c r="J644" s="256">
        <v>114.99483199820881</v>
      </c>
      <c r="K644" s="258">
        <v>3041.6133063526231</v>
      </c>
      <c r="L644" s="258">
        <v>-300.02038143179334</v>
      </c>
      <c r="M644" s="258">
        <f t="shared" ref="M644:M707" si="42">SUM(K644:L644)</f>
        <v>2741.5929249208298</v>
      </c>
      <c r="N644" s="258">
        <v>-842.55772538280348</v>
      </c>
      <c r="O644" s="258">
        <v>-27.757373240946958</v>
      </c>
      <c r="P644" s="258">
        <v>-728.92689029098028</v>
      </c>
      <c r="Q644" s="258">
        <f t="shared" ref="Q644:Q707" si="43">SUM(M644:P644)</f>
        <v>1142.3509360060991</v>
      </c>
      <c r="R644" s="259">
        <f t="shared" ref="R644:R707" si="44">Q644/M644</f>
        <v>0.41667416253603268</v>
      </c>
      <c r="S644" s="255">
        <f t="shared" si="41"/>
        <v>608.32266127052458</v>
      </c>
      <c r="T644" s="255">
        <f t="shared" si="41"/>
        <v>26.45</v>
      </c>
      <c r="U644" s="254">
        <v>101602</v>
      </c>
      <c r="V644" s="254" t="s">
        <v>983</v>
      </c>
      <c r="W644" s="254" t="s">
        <v>865</v>
      </c>
      <c r="X644" s="254" t="s">
        <v>157</v>
      </c>
      <c r="Y644" s="254" t="s">
        <v>843</v>
      </c>
      <c r="Z644" s="254" t="s">
        <v>1101</v>
      </c>
      <c r="AA644" s="254" t="s">
        <v>838</v>
      </c>
    </row>
    <row r="645" spans="1:27" ht="14.4" x14ac:dyDescent="0.3">
      <c r="A645" s="253">
        <v>11</v>
      </c>
      <c r="B645" s="254" t="s">
        <v>848</v>
      </c>
      <c r="C645" s="254">
        <v>1159</v>
      </c>
      <c r="D645" s="254" t="s">
        <v>50</v>
      </c>
      <c r="E645" s="254" t="str">
        <f>_xlfn.XLOOKUP(C645,Clientes!I:I,Clientes!F:F)</f>
        <v>GRUPO YARA</v>
      </c>
      <c r="F645" s="254">
        <v>4627</v>
      </c>
      <c r="G645" s="254" t="s">
        <v>877</v>
      </c>
      <c r="H645" s="254" t="s">
        <v>1000</v>
      </c>
      <c r="I645" s="255">
        <v>360000</v>
      </c>
      <c r="J645" s="256">
        <v>360000</v>
      </c>
      <c r="K645" s="258">
        <v>3268835.074242353</v>
      </c>
      <c r="L645" s="258">
        <v>-390960</v>
      </c>
      <c r="M645" s="258">
        <f t="shared" si="42"/>
        <v>2877875.074242353</v>
      </c>
      <c r="N645" s="258">
        <v>-1736427.2914285711</v>
      </c>
      <c r="O645" s="258">
        <v>-293059.26</v>
      </c>
      <c r="P645" s="258">
        <v>-133.64806310990801</v>
      </c>
      <c r="Q645" s="258">
        <f t="shared" si="43"/>
        <v>848254.87475067191</v>
      </c>
      <c r="R645" s="259">
        <f t="shared" si="44"/>
        <v>0.29475041579905575</v>
      </c>
      <c r="S645" s="255">
        <f t="shared" si="41"/>
        <v>9.0800974284509799</v>
      </c>
      <c r="T645" s="255">
        <f t="shared" si="41"/>
        <v>9.0800974284509799</v>
      </c>
      <c r="U645" s="254">
        <v>102200</v>
      </c>
      <c r="V645" s="254" t="s">
        <v>1001</v>
      </c>
      <c r="W645" s="254" t="s">
        <v>878</v>
      </c>
      <c r="X645" s="254" t="s">
        <v>446</v>
      </c>
      <c r="Y645" s="254" t="s">
        <v>843</v>
      </c>
      <c r="Z645" s="254" t="s">
        <v>1101</v>
      </c>
      <c r="AA645" s="254" t="s">
        <v>838</v>
      </c>
    </row>
    <row r="646" spans="1:27" ht="14.4" x14ac:dyDescent="0.3">
      <c r="A646" s="253">
        <v>11</v>
      </c>
      <c r="B646" s="254" t="s">
        <v>848</v>
      </c>
      <c r="C646" s="254">
        <v>903</v>
      </c>
      <c r="D646" s="254" t="s">
        <v>47</v>
      </c>
      <c r="E646" s="254" t="str">
        <f>_xlfn.XLOOKUP(C646,Clientes!I:I,Clientes!F:F)</f>
        <v>GRUPO YARA</v>
      </c>
      <c r="F646" s="254">
        <v>4627</v>
      </c>
      <c r="G646" s="254" t="s">
        <v>862</v>
      </c>
      <c r="H646" s="254" t="s">
        <v>1000</v>
      </c>
      <c r="I646" s="255">
        <v>60000</v>
      </c>
      <c r="J646" s="256">
        <v>60000</v>
      </c>
      <c r="K646" s="258">
        <v>514706.07522600587</v>
      </c>
      <c r="L646" s="258">
        <v>-61560</v>
      </c>
      <c r="M646" s="258">
        <f t="shared" si="42"/>
        <v>453146.07522600587</v>
      </c>
      <c r="N646" s="258">
        <v>-289404.54857142852</v>
      </c>
      <c r="O646" s="258">
        <v>-23627.927231999998</v>
      </c>
      <c r="P646" s="258">
        <v>-10.77538621321384</v>
      </c>
      <c r="Q646" s="258">
        <f t="shared" si="43"/>
        <v>140102.82403636415</v>
      </c>
      <c r="R646" s="259">
        <f t="shared" si="44"/>
        <v>0.30917805912031371</v>
      </c>
      <c r="S646" s="255">
        <f t="shared" si="41"/>
        <v>8.578434587100098</v>
      </c>
      <c r="T646" s="255">
        <f t="shared" si="41"/>
        <v>8.578434587100098</v>
      </c>
      <c r="U646" s="254">
        <v>102200</v>
      </c>
      <c r="V646" s="254" t="s">
        <v>1001</v>
      </c>
      <c r="W646" s="254" t="s">
        <v>1002</v>
      </c>
      <c r="X646" s="254" t="s">
        <v>446</v>
      </c>
      <c r="Y646" s="254" t="s">
        <v>843</v>
      </c>
      <c r="Z646" s="254" t="s">
        <v>1101</v>
      </c>
      <c r="AA646" s="254" t="s">
        <v>838</v>
      </c>
    </row>
    <row r="647" spans="1:27" ht="14.4" x14ac:dyDescent="0.3">
      <c r="A647" s="253">
        <v>11</v>
      </c>
      <c r="B647" s="254" t="s">
        <v>848</v>
      </c>
      <c r="C647" s="254">
        <v>97</v>
      </c>
      <c r="D647" s="254" t="s">
        <v>300</v>
      </c>
      <c r="E647" s="254" t="str">
        <f>_xlfn.XLOOKUP(C647,Clientes!I:I,Clientes!F:F)</f>
        <v>FECOAGRO FEDERACAO DAS COOPERATIVAS</v>
      </c>
      <c r="F647" s="254">
        <v>13600</v>
      </c>
      <c r="G647" s="254" t="s">
        <v>893</v>
      </c>
      <c r="H647" s="254" t="s">
        <v>1098</v>
      </c>
      <c r="I647" s="255">
        <v>120000</v>
      </c>
      <c r="J647" s="256">
        <v>120000</v>
      </c>
      <c r="K647" s="258">
        <v>1109122.8253866839</v>
      </c>
      <c r="L647" s="258">
        <v>-43200</v>
      </c>
      <c r="M647" s="258">
        <f t="shared" si="42"/>
        <v>1065922.8253866839</v>
      </c>
      <c r="N647" s="258">
        <v>-711063.3899999999</v>
      </c>
      <c r="O647" s="258">
        <v>-67231.241999999998</v>
      </c>
      <c r="P647" s="258">
        <v>-30.660438007567137</v>
      </c>
      <c r="Q647" s="258">
        <f t="shared" si="43"/>
        <v>287597.5329486765</v>
      </c>
      <c r="R647" s="259">
        <f t="shared" si="44"/>
        <v>0.26981084005246342</v>
      </c>
      <c r="S647" s="255">
        <f t="shared" si="41"/>
        <v>9.2426902115556988</v>
      </c>
      <c r="T647" s="255">
        <f t="shared" si="41"/>
        <v>9.2426902115556988</v>
      </c>
      <c r="U647" s="254">
        <v>102300</v>
      </c>
      <c r="V647" s="254" t="s">
        <v>1059</v>
      </c>
      <c r="W647" s="254" t="s">
        <v>894</v>
      </c>
      <c r="X647" s="254" t="s">
        <v>446</v>
      </c>
      <c r="Y647" s="254" t="s">
        <v>843</v>
      </c>
      <c r="Z647" s="254" t="s">
        <v>1101</v>
      </c>
      <c r="AA647" s="254" t="s">
        <v>838</v>
      </c>
    </row>
    <row r="648" spans="1:27" ht="14.4" x14ac:dyDescent="0.3">
      <c r="A648" s="253">
        <v>11</v>
      </c>
      <c r="B648" s="254" t="s">
        <v>848</v>
      </c>
      <c r="C648" s="254">
        <v>1292</v>
      </c>
      <c r="D648" s="254" t="s">
        <v>1079</v>
      </c>
      <c r="E648" s="254" t="str">
        <f>_xlfn.XLOOKUP(C648,Clientes!I:I,Clientes!F:F)</f>
        <v>GRUPO AGRO INDUSTRIAL SAO LUIZ LTDA</v>
      </c>
      <c r="F648" s="254">
        <v>12293</v>
      </c>
      <c r="G648" s="254" t="s">
        <v>893</v>
      </c>
      <c r="H648" s="254" t="s">
        <v>1058</v>
      </c>
      <c r="I648" s="255">
        <v>12000</v>
      </c>
      <c r="J648" s="256">
        <v>12000</v>
      </c>
      <c r="K648" s="258">
        <v>98588.695589927462</v>
      </c>
      <c r="L648" s="258">
        <v>-3840</v>
      </c>
      <c r="M648" s="258">
        <f t="shared" si="42"/>
        <v>94748.695589927462</v>
      </c>
      <c r="N648" s="258">
        <v>-40639.230000000018</v>
      </c>
      <c r="O648" s="258">
        <v>-9636.5870840148</v>
      </c>
      <c r="P648" s="258">
        <v>-4.3947125191285012</v>
      </c>
      <c r="Q648" s="258">
        <f t="shared" si="43"/>
        <v>44468.48379339352</v>
      </c>
      <c r="R648" s="259">
        <f t="shared" si="44"/>
        <v>0.46933082842483875</v>
      </c>
      <c r="S648" s="255">
        <f t="shared" si="41"/>
        <v>8.2157246324939557</v>
      </c>
      <c r="T648" s="255">
        <f t="shared" si="41"/>
        <v>8.2157246324939557</v>
      </c>
      <c r="U648" s="254">
        <v>102300</v>
      </c>
      <c r="V648" s="254" t="s">
        <v>1059</v>
      </c>
      <c r="W648" s="254" t="s">
        <v>1080</v>
      </c>
      <c r="X648" s="254" t="s">
        <v>446</v>
      </c>
      <c r="Y648" s="254" t="s">
        <v>843</v>
      </c>
      <c r="Z648" s="254" t="s">
        <v>1101</v>
      </c>
      <c r="AA648" s="254" t="s">
        <v>838</v>
      </c>
    </row>
    <row r="649" spans="1:27" ht="14.4" x14ac:dyDescent="0.3">
      <c r="A649" s="253">
        <v>11</v>
      </c>
      <c r="B649" s="254" t="s">
        <v>848</v>
      </c>
      <c r="C649" s="254">
        <v>2900</v>
      </c>
      <c r="D649" s="254" t="s">
        <v>463</v>
      </c>
      <c r="E649" s="254" t="str">
        <f>_xlfn.XLOOKUP(C649,Clientes!I:I,Clientes!F:F)</f>
        <v>BIOSAFRA - MARUIM</v>
      </c>
      <c r="F649" s="254">
        <v>12813</v>
      </c>
      <c r="G649" s="254" t="s">
        <v>887</v>
      </c>
      <c r="H649" s="254" t="s">
        <v>1060</v>
      </c>
      <c r="I649" s="255">
        <v>2400</v>
      </c>
      <c r="J649" s="256">
        <v>2400</v>
      </c>
      <c r="K649" s="258">
        <v>28048.483895334364</v>
      </c>
      <c r="L649" s="258">
        <v>-1092.48</v>
      </c>
      <c r="M649" s="258">
        <f t="shared" si="42"/>
        <v>26956.003895334365</v>
      </c>
      <c r="N649" s="258">
        <v>-11109.402222222223</v>
      </c>
      <c r="O649" s="258">
        <v>-3897.0998277119998</v>
      </c>
      <c r="P649" s="258">
        <v>-1.7772509345709295</v>
      </c>
      <c r="Q649" s="258">
        <f t="shared" si="43"/>
        <v>11947.724594465571</v>
      </c>
      <c r="R649" s="259">
        <f t="shared" si="44"/>
        <v>0.44323055601477795</v>
      </c>
      <c r="S649" s="255">
        <f t="shared" si="41"/>
        <v>11.686868289722652</v>
      </c>
      <c r="T649" s="255">
        <f t="shared" si="41"/>
        <v>11.686868289722652</v>
      </c>
      <c r="U649" s="254">
        <v>102300</v>
      </c>
      <c r="V649" s="254" t="s">
        <v>1059</v>
      </c>
      <c r="W649" s="254" t="s">
        <v>1009</v>
      </c>
      <c r="X649" s="254" t="s">
        <v>446</v>
      </c>
      <c r="Y649" s="254" t="s">
        <v>843</v>
      </c>
      <c r="Z649" s="254" t="s">
        <v>1101</v>
      </c>
      <c r="AA649" s="254" t="s">
        <v>838</v>
      </c>
    </row>
    <row r="650" spans="1:27" ht="14.4" x14ac:dyDescent="0.3">
      <c r="A650" s="253">
        <v>11</v>
      </c>
      <c r="B650" s="254" t="s">
        <v>848</v>
      </c>
      <c r="C650" s="254">
        <v>2352</v>
      </c>
      <c r="D650" s="254" t="s">
        <v>68</v>
      </c>
      <c r="E650" s="254" t="str">
        <f>_xlfn.XLOOKUP(C650,Clientes!I:I,Clientes!F:F)</f>
        <v>BR FERTIL - PARANAGUA</v>
      </c>
      <c r="F650" s="254">
        <v>12813</v>
      </c>
      <c r="G650" s="254" t="s">
        <v>862</v>
      </c>
      <c r="H650" s="254" t="s">
        <v>1060</v>
      </c>
      <c r="I650" s="255">
        <v>6000</v>
      </c>
      <c r="J650" s="256">
        <v>6000</v>
      </c>
      <c r="K650" s="258">
        <v>61617.934743704667</v>
      </c>
      <c r="L650" s="258">
        <v>-2400</v>
      </c>
      <c r="M650" s="258">
        <f t="shared" si="42"/>
        <v>59217.934743704667</v>
      </c>
      <c r="N650" s="258">
        <v>-27773.505555555559</v>
      </c>
      <c r="O650" s="258">
        <v>-4374.3962786472002</v>
      </c>
      <c r="P650" s="258">
        <v>-1.9949193549331552</v>
      </c>
      <c r="Q650" s="258">
        <f t="shared" si="43"/>
        <v>27068.037990146975</v>
      </c>
      <c r="R650" s="259">
        <f t="shared" si="44"/>
        <v>0.45709189466497768</v>
      </c>
      <c r="S650" s="255">
        <f t="shared" si="41"/>
        <v>10.269655790617444</v>
      </c>
      <c r="T650" s="255">
        <f t="shared" si="41"/>
        <v>10.269655790617444</v>
      </c>
      <c r="U650" s="254">
        <v>102300</v>
      </c>
      <c r="V650" s="254" t="s">
        <v>1059</v>
      </c>
      <c r="W650" s="254" t="s">
        <v>864</v>
      </c>
      <c r="X650" s="254" t="s">
        <v>446</v>
      </c>
      <c r="Y650" s="254" t="s">
        <v>843</v>
      </c>
      <c r="Z650" s="254" t="s">
        <v>1101</v>
      </c>
      <c r="AA650" s="254" t="s">
        <v>838</v>
      </c>
    </row>
    <row r="651" spans="1:27" ht="14.4" x14ac:dyDescent="0.3">
      <c r="A651" s="253">
        <v>11</v>
      </c>
      <c r="B651" s="254" t="s">
        <v>848</v>
      </c>
      <c r="C651" s="254">
        <v>2247</v>
      </c>
      <c r="D651" s="254" t="s">
        <v>425</v>
      </c>
      <c r="E651" s="254" t="str">
        <f>_xlfn.XLOOKUP(C651,Clientes!I:I,Clientes!F:F)</f>
        <v>ADUBOS LEAO - LARANJEIRAS</v>
      </c>
      <c r="F651" s="254">
        <v>12813</v>
      </c>
      <c r="G651" s="254" t="s">
        <v>887</v>
      </c>
      <c r="H651" s="254" t="s">
        <v>1060</v>
      </c>
      <c r="I651" s="255">
        <v>2400</v>
      </c>
      <c r="J651" s="256">
        <v>2400</v>
      </c>
      <c r="K651" s="258">
        <v>28713.957590566377</v>
      </c>
      <c r="L651" s="258">
        <v>-1118.4000000000001</v>
      </c>
      <c r="M651" s="258">
        <f t="shared" si="42"/>
        <v>27595.557590566375</v>
      </c>
      <c r="N651" s="258">
        <v>-11109.402222222223</v>
      </c>
      <c r="O651" s="258">
        <v>-3698.021972736</v>
      </c>
      <c r="P651" s="258">
        <v>-1.6864625741361916</v>
      </c>
      <c r="Q651" s="258">
        <f t="shared" si="43"/>
        <v>12786.446933034016</v>
      </c>
      <c r="R651" s="259">
        <f t="shared" si="44"/>
        <v>0.46335164241816595</v>
      </c>
      <c r="S651" s="255">
        <f t="shared" si="41"/>
        <v>11.964148996069325</v>
      </c>
      <c r="T651" s="255">
        <f t="shared" si="41"/>
        <v>11.964148996069325</v>
      </c>
      <c r="U651" s="254">
        <v>102300</v>
      </c>
      <c r="V651" s="254" t="s">
        <v>1059</v>
      </c>
      <c r="W651" s="254" t="s">
        <v>1030</v>
      </c>
      <c r="X651" s="254" t="s">
        <v>446</v>
      </c>
      <c r="Y651" s="254" t="s">
        <v>843</v>
      </c>
      <c r="Z651" s="254" t="s">
        <v>1101</v>
      </c>
      <c r="AA651" s="254" t="s">
        <v>838</v>
      </c>
    </row>
    <row r="652" spans="1:27" ht="14.4" x14ac:dyDescent="0.3">
      <c r="A652" s="253">
        <v>11</v>
      </c>
      <c r="B652" s="254" t="s">
        <v>848</v>
      </c>
      <c r="C652" s="254">
        <v>8855</v>
      </c>
      <c r="D652" s="254" t="s">
        <v>1003</v>
      </c>
      <c r="E652" s="254" t="str">
        <f>_xlfn.XLOOKUP(C652,Clientes!I:I,Clientes!F:F)</f>
        <v>TERMAG GUARUJA</v>
      </c>
      <c r="F652" s="254">
        <v>7398</v>
      </c>
      <c r="G652" s="254" t="s">
        <v>908</v>
      </c>
      <c r="H652" s="254" t="s">
        <v>1004</v>
      </c>
      <c r="I652" s="255">
        <v>60000</v>
      </c>
      <c r="J652" s="256">
        <v>60000</v>
      </c>
      <c r="K652" s="258">
        <v>147600</v>
      </c>
      <c r="L652" s="258">
        <v>-17712</v>
      </c>
      <c r="M652" s="258">
        <f t="shared" si="42"/>
        <v>129888</v>
      </c>
      <c r="N652" s="258">
        <v>-38197.393457943916</v>
      </c>
      <c r="O652" s="258">
        <v>-26091.264326399996</v>
      </c>
      <c r="P652" s="258">
        <v>-11.898777541825496</v>
      </c>
      <c r="Q652" s="258">
        <f t="shared" si="43"/>
        <v>65587.443438114264</v>
      </c>
      <c r="R652" s="259">
        <f t="shared" si="44"/>
        <v>0.50495383282608297</v>
      </c>
      <c r="S652" s="255">
        <f t="shared" si="41"/>
        <v>2.46</v>
      </c>
      <c r="T652" s="255">
        <f t="shared" si="41"/>
        <v>2.46</v>
      </c>
      <c r="U652" s="254">
        <v>102600</v>
      </c>
      <c r="V652" s="254" t="s">
        <v>1005</v>
      </c>
      <c r="W652" s="254" t="s">
        <v>1006</v>
      </c>
      <c r="X652" s="254" t="s">
        <v>446</v>
      </c>
      <c r="Y652" s="254" t="s">
        <v>843</v>
      </c>
      <c r="Z652" s="254" t="s">
        <v>1101</v>
      </c>
      <c r="AA652" s="254" t="s">
        <v>838</v>
      </c>
    </row>
    <row r="653" spans="1:27" ht="14.4" x14ac:dyDescent="0.3">
      <c r="A653" s="253">
        <v>11</v>
      </c>
      <c r="B653" s="254" t="s">
        <v>848</v>
      </c>
      <c r="C653" s="254">
        <v>8414</v>
      </c>
      <c r="D653" s="254" t="s">
        <v>98</v>
      </c>
      <c r="E653" s="254" t="str">
        <f>_xlfn.XLOOKUP(C653,Clientes!I:I,Clientes!F:F)</f>
        <v>GRUPO AMAGGI</v>
      </c>
      <c r="F653" s="254">
        <v>7398</v>
      </c>
      <c r="G653" s="254" t="s">
        <v>1061</v>
      </c>
      <c r="H653" s="254" t="s">
        <v>1004</v>
      </c>
      <c r="I653" s="255">
        <v>30000</v>
      </c>
      <c r="J653" s="256">
        <v>30000</v>
      </c>
      <c r="K653" s="258">
        <v>70800</v>
      </c>
      <c r="L653" s="258">
        <v>-4956.0000000000009</v>
      </c>
      <c r="M653" s="258">
        <f t="shared" si="42"/>
        <v>65844</v>
      </c>
      <c r="N653" s="258">
        <v>-19098.696728971958</v>
      </c>
      <c r="O653" s="258">
        <v>-24507.690479999997</v>
      </c>
      <c r="P653" s="258">
        <v>-11.176597402003717</v>
      </c>
      <c r="Q653" s="258">
        <f t="shared" si="43"/>
        <v>22226.436193626036</v>
      </c>
      <c r="R653" s="259">
        <f t="shared" si="44"/>
        <v>0.33756205870885786</v>
      </c>
      <c r="S653" s="255">
        <f t="shared" si="41"/>
        <v>2.36</v>
      </c>
      <c r="T653" s="255">
        <f t="shared" si="41"/>
        <v>2.36</v>
      </c>
      <c r="U653" s="254">
        <v>102600</v>
      </c>
      <c r="V653" s="254" t="s">
        <v>1005</v>
      </c>
      <c r="W653" s="254" t="s">
        <v>1062</v>
      </c>
      <c r="X653" s="254" t="s">
        <v>446</v>
      </c>
      <c r="Y653" s="254" t="s">
        <v>843</v>
      </c>
      <c r="Z653" s="254" t="s">
        <v>1101</v>
      </c>
      <c r="AA653" s="254" t="s">
        <v>838</v>
      </c>
    </row>
    <row r="654" spans="1:27" ht="14.4" x14ac:dyDescent="0.3">
      <c r="A654" s="253">
        <v>11</v>
      </c>
      <c r="B654" s="254" t="s">
        <v>848</v>
      </c>
      <c r="C654" s="254">
        <v>1953</v>
      </c>
      <c r="D654" s="254" t="s">
        <v>66</v>
      </c>
      <c r="E654" s="254" t="str">
        <f>_xlfn.XLOOKUP(C654,Clientes!I:I,Clientes!F:F)</f>
        <v>GRUPO AMAGGI</v>
      </c>
      <c r="F654" s="254">
        <v>7398</v>
      </c>
      <c r="G654" s="254" t="s">
        <v>840</v>
      </c>
      <c r="H654" s="254" t="s">
        <v>1004</v>
      </c>
      <c r="I654" s="255">
        <v>60000</v>
      </c>
      <c r="J654" s="256">
        <v>60000</v>
      </c>
      <c r="K654" s="258">
        <v>125400</v>
      </c>
      <c r="L654" s="258">
        <v>-8778</v>
      </c>
      <c r="M654" s="258">
        <f t="shared" si="42"/>
        <v>116622</v>
      </c>
      <c r="N654" s="258">
        <v>-38197.393457943916</v>
      </c>
      <c r="O654" s="258">
        <v>-41876.730604799995</v>
      </c>
      <c r="P654" s="258">
        <v>-19.097652586398144</v>
      </c>
      <c r="Q654" s="258">
        <f t="shared" si="43"/>
        <v>36528.778284669686</v>
      </c>
      <c r="R654" s="259">
        <f t="shared" si="44"/>
        <v>0.31322373381239976</v>
      </c>
      <c r="S654" s="255">
        <f t="shared" si="41"/>
        <v>2.09</v>
      </c>
      <c r="T654" s="255">
        <f t="shared" si="41"/>
        <v>2.09</v>
      </c>
      <c r="U654" s="254">
        <v>102600</v>
      </c>
      <c r="V654" s="254" t="s">
        <v>1005</v>
      </c>
      <c r="W654" s="254" t="s">
        <v>1008</v>
      </c>
      <c r="X654" s="254" t="s">
        <v>446</v>
      </c>
      <c r="Y654" s="254" t="s">
        <v>843</v>
      </c>
      <c r="Z654" s="254" t="s">
        <v>1101</v>
      </c>
      <c r="AA654" s="254" t="s">
        <v>838</v>
      </c>
    </row>
    <row r="655" spans="1:27" ht="14.4" x14ac:dyDescent="0.3">
      <c r="A655" s="253">
        <v>11</v>
      </c>
      <c r="B655" s="254" t="s">
        <v>848</v>
      </c>
      <c r="C655" s="254">
        <v>8413</v>
      </c>
      <c r="D655" s="254" t="s">
        <v>97</v>
      </c>
      <c r="E655" s="254" t="str">
        <f>_xlfn.XLOOKUP(C655,Clientes!I:I,Clientes!F:F)</f>
        <v>GRUPO AMAGGI</v>
      </c>
      <c r="F655" s="254">
        <v>7398</v>
      </c>
      <c r="G655" s="254" t="s">
        <v>840</v>
      </c>
      <c r="H655" s="254" t="s">
        <v>1004</v>
      </c>
      <c r="I655" s="255">
        <v>64000</v>
      </c>
      <c r="J655" s="256">
        <v>64000</v>
      </c>
      <c r="K655" s="258">
        <v>132480</v>
      </c>
      <c r="L655" s="258">
        <v>-9273.6</v>
      </c>
      <c r="M655" s="258">
        <f t="shared" si="42"/>
        <v>123206.39999999999</v>
      </c>
      <c r="N655" s="258">
        <v>-40743.886355140174</v>
      </c>
      <c r="O655" s="258">
        <v>-46705.601280000003</v>
      </c>
      <c r="P655" s="258">
        <v>-21.29983248935946</v>
      </c>
      <c r="Q655" s="258">
        <f t="shared" si="43"/>
        <v>35735.612532370462</v>
      </c>
      <c r="R655" s="259">
        <f t="shared" si="44"/>
        <v>0.29004672267325776</v>
      </c>
      <c r="S655" s="255">
        <f t="shared" si="41"/>
        <v>2.0699999999999998</v>
      </c>
      <c r="T655" s="255">
        <f t="shared" si="41"/>
        <v>2.0699999999999998</v>
      </c>
      <c r="U655" s="254">
        <v>102600</v>
      </c>
      <c r="V655" s="254" t="s">
        <v>1005</v>
      </c>
      <c r="W655" s="254" t="s">
        <v>915</v>
      </c>
      <c r="X655" s="254" t="s">
        <v>446</v>
      </c>
      <c r="Y655" s="254" t="s">
        <v>843</v>
      </c>
      <c r="Z655" s="254" t="s">
        <v>1101</v>
      </c>
      <c r="AA655" s="254" t="s">
        <v>838</v>
      </c>
    </row>
    <row r="656" spans="1:27" ht="14.4" x14ac:dyDescent="0.3">
      <c r="A656" s="253">
        <v>11</v>
      </c>
      <c r="B656" s="254" t="s">
        <v>849</v>
      </c>
      <c r="C656" s="254">
        <v>2651</v>
      </c>
      <c r="D656" s="254" t="s">
        <v>1064</v>
      </c>
      <c r="E656" s="254" t="str">
        <f>_xlfn.XLOOKUP(C656,Clientes!I:I,Clientes!F:F)</f>
        <v>AGROBROKERS - COLÔMBIA</v>
      </c>
      <c r="F656" s="254">
        <v>14146</v>
      </c>
      <c r="G656" s="254" t="s">
        <v>832</v>
      </c>
      <c r="H656" s="254" t="s">
        <v>1011</v>
      </c>
      <c r="I656" s="255">
        <v>2400</v>
      </c>
      <c r="J656" s="256">
        <v>2400</v>
      </c>
      <c r="K656" s="258">
        <v>23913.599999999999</v>
      </c>
      <c r="L656" s="258">
        <v>0</v>
      </c>
      <c r="M656" s="258">
        <f t="shared" si="42"/>
        <v>23913.599999999999</v>
      </c>
      <c r="N656" s="258">
        <v>-4798.2921739130434</v>
      </c>
      <c r="O656" s="258">
        <v>-4558.3718399999998</v>
      </c>
      <c r="P656" s="258">
        <v>-443.42050386253186</v>
      </c>
      <c r="Q656" s="258">
        <f t="shared" si="43"/>
        <v>14113.515482224424</v>
      </c>
      <c r="R656" s="259">
        <f t="shared" si="44"/>
        <v>0.59018782124918145</v>
      </c>
      <c r="S656" s="255">
        <f t="shared" si="41"/>
        <v>9.9639999999999986</v>
      </c>
      <c r="T656" s="255">
        <f t="shared" si="41"/>
        <v>9.9639999999999986</v>
      </c>
      <c r="U656" s="254">
        <v>100100</v>
      </c>
      <c r="V656" s="254" t="s">
        <v>834</v>
      </c>
      <c r="W656" s="254" t="s">
        <v>1065</v>
      </c>
      <c r="X656" s="254" t="s">
        <v>446</v>
      </c>
      <c r="Y656" s="254" t="s">
        <v>836</v>
      </c>
      <c r="Z656" s="254" t="s">
        <v>1111</v>
      </c>
      <c r="AA656" s="254" t="s">
        <v>838</v>
      </c>
    </row>
    <row r="657" spans="1:27" ht="14.4" x14ac:dyDescent="0.3">
      <c r="A657" s="253">
        <v>11</v>
      </c>
      <c r="B657" s="254" t="s">
        <v>849</v>
      </c>
      <c r="C657" s="254">
        <v>2563</v>
      </c>
      <c r="D657" s="254" t="s">
        <v>1112</v>
      </c>
      <c r="E657" s="254" t="str">
        <f>_xlfn.XLOOKUP(C657,Clientes!I:I,Clientes!F:F)</f>
        <v>NÃO CLIENTE - ADUBOS REAL - POUSO ALEGRE</v>
      </c>
      <c r="F657" s="254">
        <v>1043</v>
      </c>
      <c r="G657" s="254" t="s">
        <v>855</v>
      </c>
      <c r="H657" s="254" t="s">
        <v>860</v>
      </c>
      <c r="I657" s="255">
        <v>30000</v>
      </c>
      <c r="J657" s="256">
        <v>30000</v>
      </c>
      <c r="K657" s="258">
        <v>69000</v>
      </c>
      <c r="L657" s="258">
        <v>-12420</v>
      </c>
      <c r="M657" s="258">
        <f t="shared" si="42"/>
        <v>56580</v>
      </c>
      <c r="N657" s="258">
        <v>-11677.992287234043</v>
      </c>
      <c r="O657" s="258">
        <v>-11235.833481600001</v>
      </c>
      <c r="P657" s="258">
        <v>-5.7777313406619033</v>
      </c>
      <c r="Q657" s="258">
        <f t="shared" si="43"/>
        <v>33660.3964998253</v>
      </c>
      <c r="R657" s="259">
        <f t="shared" si="44"/>
        <v>0.59491686991561155</v>
      </c>
      <c r="S657" s="255">
        <f t="shared" si="41"/>
        <v>2.2999999999999998</v>
      </c>
      <c r="T657" s="255">
        <f t="shared" si="41"/>
        <v>2.2999999999999998</v>
      </c>
      <c r="U657" s="254">
        <v>100100</v>
      </c>
      <c r="V657" s="254" t="s">
        <v>834</v>
      </c>
      <c r="W657" s="254" t="s">
        <v>1113</v>
      </c>
      <c r="X657" s="254" t="s">
        <v>446</v>
      </c>
      <c r="Y657" s="254" t="s">
        <v>843</v>
      </c>
      <c r="Z657" s="254" t="s">
        <v>1111</v>
      </c>
      <c r="AA657" s="254" t="s">
        <v>838</v>
      </c>
    </row>
    <row r="658" spans="1:27" ht="14.4" x14ac:dyDescent="0.3">
      <c r="A658" s="253">
        <v>11</v>
      </c>
      <c r="B658" s="254" t="s">
        <v>849</v>
      </c>
      <c r="C658" s="254">
        <v>16453</v>
      </c>
      <c r="D658" s="254" t="s">
        <v>1114</v>
      </c>
      <c r="E658" s="254" t="str">
        <f>_xlfn.XLOOKUP(C658,Clientes!I:I,Clientes!F:F)</f>
        <v>HIDROVIAS DO BRASIL ADMINISTRACAO PORTUA</v>
      </c>
      <c r="F658" s="254">
        <v>1043</v>
      </c>
      <c r="G658" s="254" t="s">
        <v>908</v>
      </c>
      <c r="H658" s="254" t="s">
        <v>860</v>
      </c>
      <c r="I658" s="255">
        <v>60000</v>
      </c>
      <c r="J658" s="256">
        <v>60000</v>
      </c>
      <c r="K658" s="258">
        <v>141600</v>
      </c>
      <c r="L658" s="258">
        <v>-16992</v>
      </c>
      <c r="M658" s="258">
        <f t="shared" si="42"/>
        <v>124608</v>
      </c>
      <c r="N658" s="258">
        <v>-23355.984574468086</v>
      </c>
      <c r="O658" s="258">
        <v>0</v>
      </c>
      <c r="P658" s="258">
        <v>0</v>
      </c>
      <c r="Q658" s="258">
        <f t="shared" si="43"/>
        <v>101252.01542553192</v>
      </c>
      <c r="R658" s="259">
        <f t="shared" si="44"/>
        <v>0.81256432512785637</v>
      </c>
      <c r="S658" s="255">
        <f t="shared" si="41"/>
        <v>2.36</v>
      </c>
      <c r="T658" s="255">
        <f t="shared" si="41"/>
        <v>2.36</v>
      </c>
      <c r="U658" s="254">
        <v>100100</v>
      </c>
      <c r="V658" s="254" t="s">
        <v>834</v>
      </c>
      <c r="W658" s="254" t="s">
        <v>1115</v>
      </c>
      <c r="X658" s="254" t="s">
        <v>446</v>
      </c>
      <c r="Y658" s="254" t="s">
        <v>843</v>
      </c>
      <c r="Z658" s="254" t="s">
        <v>1111</v>
      </c>
      <c r="AA658" s="254" t="s">
        <v>838</v>
      </c>
    </row>
    <row r="659" spans="1:27" ht="14.4" x14ac:dyDescent="0.3">
      <c r="A659" s="253">
        <v>11</v>
      </c>
      <c r="B659" s="254" t="s">
        <v>849</v>
      </c>
      <c r="C659" s="254">
        <v>12568</v>
      </c>
      <c r="D659" s="254" t="s">
        <v>1116</v>
      </c>
      <c r="E659" s="254" t="str">
        <f>_xlfn.XLOOKUP(C659,Clientes!I:I,Clientes!F:F)</f>
        <v>FRIBON FERTILIZANTES - BARCARENA</v>
      </c>
      <c r="F659" s="254">
        <v>1043</v>
      </c>
      <c r="G659" s="254" t="s">
        <v>926</v>
      </c>
      <c r="H659" s="254" t="s">
        <v>860</v>
      </c>
      <c r="I659" s="255">
        <v>30000</v>
      </c>
      <c r="J659" s="256">
        <v>30000</v>
      </c>
      <c r="K659" s="258">
        <v>69000</v>
      </c>
      <c r="L659" s="258">
        <v>-4830.0000000000009</v>
      </c>
      <c r="M659" s="258">
        <f t="shared" si="42"/>
        <v>64170</v>
      </c>
      <c r="N659" s="258">
        <v>-11677.992287234043</v>
      </c>
      <c r="O659" s="258">
        <v>-26978.690699999999</v>
      </c>
      <c r="P659" s="258">
        <v>-13.873080892724024</v>
      </c>
      <c r="Q659" s="258">
        <f t="shared" si="43"/>
        <v>25499.443931873237</v>
      </c>
      <c r="R659" s="259">
        <f t="shared" si="44"/>
        <v>0.39737328863757576</v>
      </c>
      <c r="S659" s="255">
        <f t="shared" si="41"/>
        <v>2.2999999999999998</v>
      </c>
      <c r="T659" s="255">
        <f t="shared" si="41"/>
        <v>2.2999999999999998</v>
      </c>
      <c r="U659" s="254">
        <v>100100</v>
      </c>
      <c r="V659" s="254" t="s">
        <v>834</v>
      </c>
      <c r="W659" s="254" t="s">
        <v>928</v>
      </c>
      <c r="X659" s="254" t="s">
        <v>446</v>
      </c>
      <c r="Y659" s="254" t="s">
        <v>843</v>
      </c>
      <c r="Z659" s="254" t="s">
        <v>1111</v>
      </c>
      <c r="AA659" s="254" t="s">
        <v>838</v>
      </c>
    </row>
    <row r="660" spans="1:27" ht="14.4" x14ac:dyDescent="0.3">
      <c r="A660" s="253">
        <v>11</v>
      </c>
      <c r="B660" s="254" t="s">
        <v>849</v>
      </c>
      <c r="C660" s="254">
        <v>11212</v>
      </c>
      <c r="D660" s="254" t="s">
        <v>230</v>
      </c>
      <c r="E660" s="254" t="str">
        <f>_xlfn.XLOOKUP(C660,Clientes!I:I,Clientes!F:F)</f>
        <v>INPEK FERTILIZANTES - PARANAGUA</v>
      </c>
      <c r="F660" s="254">
        <v>1043</v>
      </c>
      <c r="G660" s="254" t="s">
        <v>862</v>
      </c>
      <c r="H660" s="254" t="s">
        <v>860</v>
      </c>
      <c r="I660" s="255">
        <v>30000</v>
      </c>
      <c r="J660" s="256">
        <v>30000</v>
      </c>
      <c r="K660" s="258">
        <v>57000</v>
      </c>
      <c r="L660" s="258">
        <v>-6840</v>
      </c>
      <c r="M660" s="258">
        <f t="shared" si="42"/>
        <v>50160</v>
      </c>
      <c r="N660" s="258">
        <v>-11677.992287234043</v>
      </c>
      <c r="O660" s="258">
        <v>-14049.6057</v>
      </c>
      <c r="P660" s="258">
        <v>-7.224639570332319</v>
      </c>
      <c r="Q660" s="258">
        <f t="shared" si="43"/>
        <v>24425.177373195627</v>
      </c>
      <c r="R660" s="259">
        <f t="shared" si="44"/>
        <v>0.48694532243212973</v>
      </c>
      <c r="S660" s="255">
        <f t="shared" si="41"/>
        <v>1.9</v>
      </c>
      <c r="T660" s="255">
        <f t="shared" si="41"/>
        <v>1.9</v>
      </c>
      <c r="U660" s="254">
        <v>100100</v>
      </c>
      <c r="V660" s="254" t="s">
        <v>834</v>
      </c>
      <c r="W660" s="254" t="s">
        <v>864</v>
      </c>
      <c r="X660" s="254" t="s">
        <v>446</v>
      </c>
      <c r="Y660" s="254" t="s">
        <v>843</v>
      </c>
      <c r="Z660" s="254" t="s">
        <v>1111</v>
      </c>
      <c r="AA660" s="254" t="s">
        <v>838</v>
      </c>
    </row>
    <row r="661" spans="1:27" ht="14.4" x14ac:dyDescent="0.3">
      <c r="A661" s="253">
        <v>11</v>
      </c>
      <c r="B661" s="254" t="s">
        <v>849</v>
      </c>
      <c r="C661" s="254">
        <v>86</v>
      </c>
      <c r="D661" s="254" t="s">
        <v>31</v>
      </c>
      <c r="E661" s="254" t="str">
        <f>_xlfn.XLOOKUP(C661,Clientes!I:I,Clientes!F:F)</f>
        <v>GRUPO ADUBOS ARAGUAIA</v>
      </c>
      <c r="F661" s="254">
        <v>14133</v>
      </c>
      <c r="G661" s="254" t="s">
        <v>867</v>
      </c>
      <c r="H661" s="254" t="s">
        <v>841</v>
      </c>
      <c r="I661" s="255">
        <v>12000</v>
      </c>
      <c r="J661" s="256">
        <v>12000</v>
      </c>
      <c r="K661" s="258">
        <v>33000</v>
      </c>
      <c r="L661" s="258">
        <v>-2310</v>
      </c>
      <c r="M661" s="258">
        <f t="shared" si="42"/>
        <v>30690</v>
      </c>
      <c r="N661" s="258">
        <v>-14778.192149999999</v>
      </c>
      <c r="O661" s="258">
        <v>-4650.7495518743999</v>
      </c>
      <c r="P661" s="258">
        <v>-2.3915254250998013</v>
      </c>
      <c r="Q661" s="258">
        <f t="shared" si="43"/>
        <v>11258.666772700501</v>
      </c>
      <c r="R661" s="259">
        <f t="shared" si="44"/>
        <v>0.36685131224178885</v>
      </c>
      <c r="S661" s="255">
        <f t="shared" si="41"/>
        <v>2.75</v>
      </c>
      <c r="T661" s="255">
        <f t="shared" si="41"/>
        <v>2.75</v>
      </c>
      <c r="U661" s="254">
        <v>100100</v>
      </c>
      <c r="V661" s="254" t="s">
        <v>834</v>
      </c>
      <c r="W661" s="254" t="s">
        <v>955</v>
      </c>
      <c r="X661" s="254" t="s">
        <v>446</v>
      </c>
      <c r="Y661" s="254" t="s">
        <v>843</v>
      </c>
      <c r="Z661" s="254" t="s">
        <v>1111</v>
      </c>
      <c r="AA661" s="254" t="s">
        <v>838</v>
      </c>
    </row>
    <row r="662" spans="1:27" ht="14.4" x14ac:dyDescent="0.3">
      <c r="A662" s="253">
        <v>11</v>
      </c>
      <c r="B662" s="254" t="s">
        <v>849</v>
      </c>
      <c r="C662" s="254">
        <v>729</v>
      </c>
      <c r="D662" s="254" t="s">
        <v>937</v>
      </c>
      <c r="E662" s="254" t="str">
        <f>_xlfn.XLOOKUP(C662,Clientes!I:I,Clientes!F:F)</f>
        <v>GRUPO FERTILIZ TOCANTINS</v>
      </c>
      <c r="F662" s="254">
        <v>8061</v>
      </c>
      <c r="G662" s="254" t="s">
        <v>897</v>
      </c>
      <c r="H662" s="254" t="s">
        <v>1089</v>
      </c>
      <c r="I662" s="255">
        <v>30000</v>
      </c>
      <c r="J662" s="256">
        <v>30000</v>
      </c>
      <c r="K662" s="258">
        <v>117000</v>
      </c>
      <c r="L662" s="258">
        <v>-8190.0000000000009</v>
      </c>
      <c r="M662" s="258">
        <f t="shared" si="42"/>
        <v>108810</v>
      </c>
      <c r="N662" s="258">
        <v>-16706.329999999998</v>
      </c>
      <c r="O662" s="258">
        <v>-26461.527299999998</v>
      </c>
      <c r="P662" s="258">
        <v>-13.607143239828355</v>
      </c>
      <c r="Q662" s="258">
        <f t="shared" si="43"/>
        <v>65628.535556760165</v>
      </c>
      <c r="R662" s="259">
        <f t="shared" si="44"/>
        <v>0.6031480154099822</v>
      </c>
      <c r="S662" s="255">
        <f t="shared" si="41"/>
        <v>3.9</v>
      </c>
      <c r="T662" s="255">
        <f t="shared" si="41"/>
        <v>3.9</v>
      </c>
      <c r="U662" s="254">
        <v>100100</v>
      </c>
      <c r="V662" s="254" t="s">
        <v>834</v>
      </c>
      <c r="W662" s="254" t="s">
        <v>899</v>
      </c>
      <c r="X662" s="254" t="s">
        <v>446</v>
      </c>
      <c r="Y662" s="254" t="s">
        <v>843</v>
      </c>
      <c r="Z662" s="254" t="s">
        <v>1111</v>
      </c>
      <c r="AA662" s="254" t="s">
        <v>838</v>
      </c>
    </row>
    <row r="663" spans="1:27" ht="14.4" x14ac:dyDescent="0.3">
      <c r="A663" s="253">
        <v>11</v>
      </c>
      <c r="B663" s="254" t="s">
        <v>849</v>
      </c>
      <c r="C663" s="254">
        <v>6124</v>
      </c>
      <c r="D663" s="254" t="s">
        <v>891</v>
      </c>
      <c r="E663" s="254" t="str">
        <f>_xlfn.XLOOKUP(C663,Clientes!I:I,Clientes!F:F)</f>
        <v>GRUPO MOSAIC FERTILIZANTES DO BRASIL</v>
      </c>
      <c r="F663" s="254">
        <v>1043</v>
      </c>
      <c r="G663" s="254" t="s">
        <v>855</v>
      </c>
      <c r="H663" s="254" t="s">
        <v>860</v>
      </c>
      <c r="I663" s="255">
        <v>60000</v>
      </c>
      <c r="J663" s="256">
        <v>60000</v>
      </c>
      <c r="K663" s="258">
        <v>101400</v>
      </c>
      <c r="L663" s="258">
        <v>0</v>
      </c>
      <c r="M663" s="258">
        <f t="shared" si="42"/>
        <v>101400</v>
      </c>
      <c r="N663" s="258">
        <v>-23355.984574468086</v>
      </c>
      <c r="O663" s="258">
        <v>-4884.3209999999999</v>
      </c>
      <c r="P663" s="258">
        <v>-2.5116333884590887</v>
      </c>
      <c r="Q663" s="258">
        <f t="shared" si="43"/>
        <v>73157.18279214346</v>
      </c>
      <c r="R663" s="259">
        <f t="shared" si="44"/>
        <v>0.72147123069175012</v>
      </c>
      <c r="S663" s="255">
        <f t="shared" si="41"/>
        <v>1.69</v>
      </c>
      <c r="T663" s="255">
        <f t="shared" si="41"/>
        <v>1.69</v>
      </c>
      <c r="U663" s="254">
        <v>100100</v>
      </c>
      <c r="V663" s="254" t="s">
        <v>834</v>
      </c>
      <c r="W663" s="254" t="s">
        <v>892</v>
      </c>
      <c r="X663" s="254" t="s">
        <v>446</v>
      </c>
      <c r="Y663" s="254" t="s">
        <v>843</v>
      </c>
      <c r="Z663" s="254" t="s">
        <v>1111</v>
      </c>
      <c r="AA663" s="254" t="s">
        <v>838</v>
      </c>
    </row>
    <row r="664" spans="1:27" ht="14.4" x14ac:dyDescent="0.3">
      <c r="A664" s="253">
        <v>11</v>
      </c>
      <c r="B664" s="254" t="s">
        <v>849</v>
      </c>
      <c r="C664" s="254">
        <v>16921</v>
      </c>
      <c r="D664" s="254" t="s">
        <v>742</v>
      </c>
      <c r="E664" s="254" t="str">
        <f>_xlfn.XLOOKUP(C664,Clientes!I:I,Clientes!F:F)</f>
        <v>FERTIBAS FERTILIZANTES</v>
      </c>
      <c r="F664" s="254">
        <v>1</v>
      </c>
      <c r="G664" s="254" t="s">
        <v>877</v>
      </c>
      <c r="H664" s="254" t="s">
        <v>873</v>
      </c>
      <c r="I664" s="255">
        <v>30000</v>
      </c>
      <c r="J664" s="256">
        <v>30000</v>
      </c>
      <c r="K664" s="258">
        <v>90000</v>
      </c>
      <c r="L664" s="258">
        <v>-10800</v>
      </c>
      <c r="M664" s="258">
        <f t="shared" si="42"/>
        <v>79200</v>
      </c>
      <c r="N664" s="258">
        <v>-20433.108888888884</v>
      </c>
      <c r="O664" s="258">
        <v>-24191.754599999997</v>
      </c>
      <c r="P664" s="258">
        <v>-12.439972429897367</v>
      </c>
      <c r="Q664" s="258">
        <f t="shared" si="43"/>
        <v>34562.696538681223</v>
      </c>
      <c r="R664" s="259">
        <f t="shared" si="44"/>
        <v>0.43639768356920733</v>
      </c>
      <c r="S664" s="255">
        <f t="shared" si="41"/>
        <v>3</v>
      </c>
      <c r="T664" s="255">
        <f t="shared" si="41"/>
        <v>3</v>
      </c>
      <c r="U664" s="254">
        <v>100100</v>
      </c>
      <c r="V664" s="254" t="s">
        <v>834</v>
      </c>
      <c r="W664" s="254" t="s">
        <v>880</v>
      </c>
      <c r="X664" s="254" t="s">
        <v>446</v>
      </c>
      <c r="Y664" s="254" t="s">
        <v>843</v>
      </c>
      <c r="Z664" s="254" t="s">
        <v>1111</v>
      </c>
      <c r="AA664" s="254" t="s">
        <v>838</v>
      </c>
    </row>
    <row r="665" spans="1:27" ht="14.4" x14ac:dyDescent="0.3">
      <c r="A665" s="253">
        <v>11</v>
      </c>
      <c r="B665" s="254" t="s">
        <v>849</v>
      </c>
      <c r="C665" s="254">
        <v>87</v>
      </c>
      <c r="D665" s="254" t="s">
        <v>218</v>
      </c>
      <c r="E665" s="254" t="str">
        <f>_xlfn.XLOOKUP(C665,Clientes!I:I,Clientes!F:F)</f>
        <v>GRUPO ADUBOS ARAGUAIA</v>
      </c>
      <c r="F665" s="254">
        <v>1</v>
      </c>
      <c r="G665" s="254" t="s">
        <v>867</v>
      </c>
      <c r="H665" s="254" t="s">
        <v>873</v>
      </c>
      <c r="I665" s="255">
        <v>30000</v>
      </c>
      <c r="J665" s="256">
        <v>30000</v>
      </c>
      <c r="K665" s="258">
        <v>64500</v>
      </c>
      <c r="L665" s="258">
        <v>-4515</v>
      </c>
      <c r="M665" s="258">
        <f t="shared" si="42"/>
        <v>59985</v>
      </c>
      <c r="N665" s="258">
        <v>-20433.108888888884</v>
      </c>
      <c r="O665" s="258">
        <v>-2442.1605</v>
      </c>
      <c r="P665" s="258">
        <v>-1.2558166942295443</v>
      </c>
      <c r="Q665" s="258">
        <f t="shared" si="43"/>
        <v>37108.474794416885</v>
      </c>
      <c r="R665" s="259">
        <f t="shared" si="44"/>
        <v>0.61862923721625218</v>
      </c>
      <c r="S665" s="255">
        <f t="shared" si="41"/>
        <v>2.15</v>
      </c>
      <c r="T665" s="255">
        <f t="shared" si="41"/>
        <v>2.15</v>
      </c>
      <c r="U665" s="254">
        <v>100100</v>
      </c>
      <c r="V665" s="254" t="s">
        <v>834</v>
      </c>
      <c r="W665" s="254" t="s">
        <v>871</v>
      </c>
      <c r="X665" s="254" t="s">
        <v>446</v>
      </c>
      <c r="Y665" s="254" t="s">
        <v>843</v>
      </c>
      <c r="Z665" s="254" t="s">
        <v>1111</v>
      </c>
      <c r="AA665" s="254" t="s">
        <v>838</v>
      </c>
    </row>
    <row r="666" spans="1:27" ht="14.4" x14ac:dyDescent="0.3">
      <c r="A666" s="253">
        <v>11</v>
      </c>
      <c r="B666" s="254" t="s">
        <v>849</v>
      </c>
      <c r="C666" s="254">
        <v>87</v>
      </c>
      <c r="D666" s="254" t="s">
        <v>218</v>
      </c>
      <c r="E666" s="254" t="str">
        <f>_xlfn.XLOOKUP(C666,Clientes!I:I,Clientes!F:F)</f>
        <v>GRUPO ADUBOS ARAGUAIA</v>
      </c>
      <c r="F666" s="254">
        <v>14133</v>
      </c>
      <c r="G666" s="254" t="s">
        <v>867</v>
      </c>
      <c r="H666" s="254" t="s">
        <v>841</v>
      </c>
      <c r="I666" s="255">
        <v>10000</v>
      </c>
      <c r="J666" s="256">
        <v>10000</v>
      </c>
      <c r="K666" s="258">
        <v>27500</v>
      </c>
      <c r="L666" s="258">
        <v>-1925.0000000000002</v>
      </c>
      <c r="M666" s="258">
        <f t="shared" si="42"/>
        <v>25575</v>
      </c>
      <c r="N666" s="258">
        <v>-12315.160125</v>
      </c>
      <c r="O666" s="258">
        <v>-1743.0321999999999</v>
      </c>
      <c r="P666" s="258">
        <v>-0.89630838568540017</v>
      </c>
      <c r="Q666" s="258">
        <f t="shared" si="43"/>
        <v>11515.911366614315</v>
      </c>
      <c r="R666" s="259">
        <f t="shared" si="44"/>
        <v>0.45028001433487058</v>
      </c>
      <c r="S666" s="255">
        <f t="shared" si="41"/>
        <v>2.75</v>
      </c>
      <c r="T666" s="255">
        <f t="shared" si="41"/>
        <v>2.75</v>
      </c>
      <c r="U666" s="254">
        <v>100100</v>
      </c>
      <c r="V666" s="254" t="s">
        <v>834</v>
      </c>
      <c r="W666" s="254" t="s">
        <v>871</v>
      </c>
      <c r="X666" s="254" t="s">
        <v>446</v>
      </c>
      <c r="Y666" s="254" t="s">
        <v>843</v>
      </c>
      <c r="Z666" s="254" t="s">
        <v>1111</v>
      </c>
      <c r="AA666" s="254" t="s">
        <v>838</v>
      </c>
    </row>
    <row r="667" spans="1:27" ht="14.4" x14ac:dyDescent="0.3">
      <c r="A667" s="253">
        <v>11</v>
      </c>
      <c r="B667" s="254" t="s">
        <v>849</v>
      </c>
      <c r="C667" s="254">
        <v>13861</v>
      </c>
      <c r="D667" s="254" t="s">
        <v>1090</v>
      </c>
      <c r="E667" s="254" t="str">
        <f>_xlfn.XLOOKUP(C667,Clientes!I:I,Clientes!F:F)</f>
        <v>GRUPO ADUBOS ARAGUAIA</v>
      </c>
      <c r="F667" s="254">
        <v>1</v>
      </c>
      <c r="G667" s="254" t="s">
        <v>840</v>
      </c>
      <c r="H667" s="254" t="s">
        <v>873</v>
      </c>
      <c r="I667" s="255">
        <v>30000</v>
      </c>
      <c r="J667" s="256">
        <v>30000</v>
      </c>
      <c r="K667" s="258">
        <v>85200</v>
      </c>
      <c r="L667" s="258">
        <v>-5964.0000000000009</v>
      </c>
      <c r="M667" s="258">
        <f t="shared" si="42"/>
        <v>79236</v>
      </c>
      <c r="N667" s="258">
        <v>-20433.108888888884</v>
      </c>
      <c r="O667" s="258">
        <v>-22431.382390052997</v>
      </c>
      <c r="P667" s="258">
        <v>-11.534747400948941</v>
      </c>
      <c r="Q667" s="258">
        <f t="shared" si="43"/>
        <v>36359.973973657172</v>
      </c>
      <c r="R667" s="259">
        <f t="shared" si="44"/>
        <v>0.45888199774921967</v>
      </c>
      <c r="S667" s="255">
        <f t="shared" si="41"/>
        <v>2.84</v>
      </c>
      <c r="T667" s="255">
        <f t="shared" si="41"/>
        <v>2.84</v>
      </c>
      <c r="U667" s="254">
        <v>100100</v>
      </c>
      <c r="V667" s="254" t="s">
        <v>834</v>
      </c>
      <c r="W667" s="254" t="s">
        <v>1091</v>
      </c>
      <c r="X667" s="254" t="s">
        <v>446</v>
      </c>
      <c r="Y667" s="254" t="s">
        <v>843</v>
      </c>
      <c r="Z667" s="254" t="s">
        <v>1111</v>
      </c>
      <c r="AA667" s="254" t="s">
        <v>838</v>
      </c>
    </row>
    <row r="668" spans="1:27" ht="14.4" x14ac:dyDescent="0.3">
      <c r="A668" s="253">
        <v>11</v>
      </c>
      <c r="B668" s="254" t="s">
        <v>849</v>
      </c>
      <c r="C668" s="254">
        <v>1023</v>
      </c>
      <c r="D668" s="254" t="s">
        <v>49</v>
      </c>
      <c r="E668" s="254" t="str">
        <f>_xlfn.XLOOKUP(C668,Clientes!I:I,Clientes!F:F)</f>
        <v>GRUPO ADUBOS ARAGUAIA</v>
      </c>
      <c r="F668" s="254">
        <v>14133</v>
      </c>
      <c r="G668" s="254" t="s">
        <v>840</v>
      </c>
      <c r="H668" s="254" t="s">
        <v>841</v>
      </c>
      <c r="I668" s="255">
        <v>12000</v>
      </c>
      <c r="J668" s="256">
        <v>12000</v>
      </c>
      <c r="K668" s="258">
        <v>34320</v>
      </c>
      <c r="L668" s="258">
        <v>-2402.4</v>
      </c>
      <c r="M668" s="258">
        <f t="shared" si="42"/>
        <v>31917.599999999999</v>
      </c>
      <c r="N668" s="258">
        <v>-14778.192149999999</v>
      </c>
      <c r="O668" s="258">
        <v>-7644.7315593636004</v>
      </c>
      <c r="P668" s="258">
        <v>-3.9311017908742136</v>
      </c>
      <c r="Q668" s="258">
        <f t="shared" si="43"/>
        <v>9490.7451888455234</v>
      </c>
      <c r="R668" s="259">
        <f t="shared" si="44"/>
        <v>0.29735146717940958</v>
      </c>
      <c r="S668" s="255">
        <f t="shared" si="41"/>
        <v>2.86</v>
      </c>
      <c r="T668" s="255">
        <f t="shared" si="41"/>
        <v>2.86</v>
      </c>
      <c r="U668" s="254">
        <v>100100</v>
      </c>
      <c r="V668" s="254" t="s">
        <v>834</v>
      </c>
      <c r="W668" s="254" t="s">
        <v>861</v>
      </c>
      <c r="X668" s="254" t="s">
        <v>446</v>
      </c>
      <c r="Y668" s="254" t="s">
        <v>843</v>
      </c>
      <c r="Z668" s="254" t="s">
        <v>1111</v>
      </c>
      <c r="AA668" s="254" t="s">
        <v>838</v>
      </c>
    </row>
    <row r="669" spans="1:27" ht="14.4" x14ac:dyDescent="0.3">
      <c r="A669" s="253">
        <v>11</v>
      </c>
      <c r="B669" s="254" t="s">
        <v>849</v>
      </c>
      <c r="C669" s="254">
        <v>7443</v>
      </c>
      <c r="D669" s="254" t="s">
        <v>1016</v>
      </c>
      <c r="E669" s="254" t="str">
        <f>_xlfn.XLOOKUP(C669,Clientes!I:I,Clientes!F:F)</f>
        <v>GRUPO MOSAIC FERTILIZANTES DO BRASIL</v>
      </c>
      <c r="F669" s="254">
        <v>1043</v>
      </c>
      <c r="G669" s="254" t="s">
        <v>867</v>
      </c>
      <c r="H669" s="254" t="s">
        <v>860</v>
      </c>
      <c r="I669" s="255">
        <v>30000</v>
      </c>
      <c r="J669" s="256">
        <v>30000</v>
      </c>
      <c r="K669" s="258">
        <v>72000</v>
      </c>
      <c r="L669" s="258">
        <v>-5040.0000000000009</v>
      </c>
      <c r="M669" s="258">
        <f t="shared" si="42"/>
        <v>66960</v>
      </c>
      <c r="N669" s="258">
        <v>-11677.992287234043</v>
      </c>
      <c r="O669" s="258">
        <v>-2442.1605</v>
      </c>
      <c r="P669" s="258">
        <v>-1.2558166942295443</v>
      </c>
      <c r="Q669" s="258">
        <f t="shared" si="43"/>
        <v>52838.59139607173</v>
      </c>
      <c r="R669" s="259">
        <f t="shared" si="44"/>
        <v>0.78910680101660291</v>
      </c>
      <c r="S669" s="255">
        <f t="shared" si="41"/>
        <v>2.4</v>
      </c>
      <c r="T669" s="255">
        <f t="shared" si="41"/>
        <v>2.4</v>
      </c>
      <c r="U669" s="254">
        <v>100100</v>
      </c>
      <c r="V669" s="254" t="s">
        <v>834</v>
      </c>
      <c r="W669" s="254" t="s">
        <v>871</v>
      </c>
      <c r="X669" s="254" t="s">
        <v>446</v>
      </c>
      <c r="Y669" s="254" t="s">
        <v>843</v>
      </c>
      <c r="Z669" s="254" t="s">
        <v>1111</v>
      </c>
      <c r="AA669" s="254" t="s">
        <v>838</v>
      </c>
    </row>
    <row r="670" spans="1:27" ht="14.4" x14ac:dyDescent="0.3">
      <c r="A670" s="253">
        <v>11</v>
      </c>
      <c r="B670" s="254" t="s">
        <v>849</v>
      </c>
      <c r="C670" s="254">
        <v>7479</v>
      </c>
      <c r="D670" s="254" t="s">
        <v>1017</v>
      </c>
      <c r="E670" s="254" t="str">
        <f>_xlfn.XLOOKUP(C670,Clientes!I:I,Clientes!F:F)</f>
        <v>GRUPO MOSAIC FERTILIZANTES DO BRASIL</v>
      </c>
      <c r="F670" s="254">
        <v>1043</v>
      </c>
      <c r="G670" s="254" t="s">
        <v>908</v>
      </c>
      <c r="H670" s="254" t="s">
        <v>860</v>
      </c>
      <c r="I670" s="255">
        <v>30000</v>
      </c>
      <c r="J670" s="256">
        <v>30000</v>
      </c>
      <c r="K670" s="258">
        <v>64800</v>
      </c>
      <c r="L670" s="258">
        <v>-7776</v>
      </c>
      <c r="M670" s="258">
        <f t="shared" si="42"/>
        <v>57024</v>
      </c>
      <c r="N670" s="258">
        <v>-11677.992287234043</v>
      </c>
      <c r="O670" s="258">
        <v>0</v>
      </c>
      <c r="P670" s="258">
        <v>0</v>
      </c>
      <c r="Q670" s="258">
        <f t="shared" si="43"/>
        <v>45346.007712765961</v>
      </c>
      <c r="R670" s="259">
        <f t="shared" si="44"/>
        <v>0.79520917004710223</v>
      </c>
      <c r="S670" s="255">
        <f t="shared" si="41"/>
        <v>2.16</v>
      </c>
      <c r="T670" s="255">
        <f t="shared" si="41"/>
        <v>2.16</v>
      </c>
      <c r="U670" s="254">
        <v>100100</v>
      </c>
      <c r="V670" s="254" t="s">
        <v>834</v>
      </c>
      <c r="W670" s="254" t="s">
        <v>1018</v>
      </c>
      <c r="X670" s="254" t="s">
        <v>446</v>
      </c>
      <c r="Y670" s="254" t="s">
        <v>843</v>
      </c>
      <c r="Z670" s="254" t="s">
        <v>1111</v>
      </c>
      <c r="AA670" s="254" t="s">
        <v>838</v>
      </c>
    </row>
    <row r="671" spans="1:27" ht="14.4" x14ac:dyDescent="0.3">
      <c r="A671" s="253">
        <v>11</v>
      </c>
      <c r="B671" s="254" t="s">
        <v>849</v>
      </c>
      <c r="C671" s="254">
        <v>2559</v>
      </c>
      <c r="D671" s="254" t="s">
        <v>451</v>
      </c>
      <c r="E671" s="254" t="str">
        <f>_xlfn.XLOOKUP(C671,Clientes!I:I,Clientes!F:F)</f>
        <v>GRUPO MOSAIC FERTILIZANTES DO BRASIL</v>
      </c>
      <c r="F671" s="254">
        <v>1043</v>
      </c>
      <c r="G671" s="254" t="s">
        <v>877</v>
      </c>
      <c r="H671" s="254" t="s">
        <v>860</v>
      </c>
      <c r="I671" s="255">
        <v>60000</v>
      </c>
      <c r="J671" s="256">
        <v>60000</v>
      </c>
      <c r="K671" s="258">
        <v>150600</v>
      </c>
      <c r="L671" s="258">
        <v>-18072</v>
      </c>
      <c r="M671" s="258">
        <f t="shared" si="42"/>
        <v>132528</v>
      </c>
      <c r="N671" s="258">
        <v>-23355.984574468086</v>
      </c>
      <c r="O671" s="258">
        <v>-48843.21</v>
      </c>
      <c r="P671" s="258">
        <v>-25.116333884590883</v>
      </c>
      <c r="Q671" s="258">
        <f t="shared" si="43"/>
        <v>60303.689091647328</v>
      </c>
      <c r="R671" s="259">
        <f t="shared" si="44"/>
        <v>0.45502602538065412</v>
      </c>
      <c r="S671" s="255">
        <f t="shared" si="41"/>
        <v>2.5099999999999998</v>
      </c>
      <c r="T671" s="255">
        <f t="shared" si="41"/>
        <v>2.5099999999999998</v>
      </c>
      <c r="U671" s="254">
        <v>100100</v>
      </c>
      <c r="V671" s="254" t="s">
        <v>834</v>
      </c>
      <c r="W671" s="254" t="s">
        <v>878</v>
      </c>
      <c r="X671" s="254" t="s">
        <v>446</v>
      </c>
      <c r="Y671" s="254" t="s">
        <v>843</v>
      </c>
      <c r="Z671" s="254" t="s">
        <v>1111</v>
      </c>
      <c r="AA671" s="254" t="s">
        <v>838</v>
      </c>
    </row>
    <row r="672" spans="1:27" ht="14.4" x14ac:dyDescent="0.3">
      <c r="A672" s="253">
        <v>11</v>
      </c>
      <c r="B672" s="254" t="s">
        <v>849</v>
      </c>
      <c r="C672" s="254">
        <v>16951</v>
      </c>
      <c r="D672" s="254" t="s">
        <v>637</v>
      </c>
      <c r="E672" s="254" t="str">
        <f>_xlfn.XLOOKUP(C672,Clientes!I:I,Clientes!F:F)</f>
        <v>3 TENTOS - SANTA BARBARA DO SUL</v>
      </c>
      <c r="F672" s="254">
        <v>1</v>
      </c>
      <c r="G672" s="254" t="s">
        <v>877</v>
      </c>
      <c r="H672" s="254" t="s">
        <v>873</v>
      </c>
      <c r="I672" s="255">
        <v>30000</v>
      </c>
      <c r="J672" s="256">
        <v>30000</v>
      </c>
      <c r="K672" s="258">
        <v>90000</v>
      </c>
      <c r="L672" s="258">
        <v>-10800</v>
      </c>
      <c r="M672" s="258">
        <f t="shared" si="42"/>
        <v>79200</v>
      </c>
      <c r="N672" s="258">
        <v>-20433.108888888884</v>
      </c>
      <c r="O672" s="258">
        <v>0</v>
      </c>
      <c r="P672" s="258">
        <v>0</v>
      </c>
      <c r="Q672" s="258">
        <f t="shared" si="43"/>
        <v>58766.891111111116</v>
      </c>
      <c r="R672" s="259">
        <f t="shared" si="44"/>
        <v>0.74200620089786762</v>
      </c>
      <c r="S672" s="255">
        <f t="shared" si="41"/>
        <v>3</v>
      </c>
      <c r="T672" s="255">
        <f t="shared" si="41"/>
        <v>3</v>
      </c>
      <c r="U672" s="254">
        <v>100100</v>
      </c>
      <c r="V672" s="254" t="s">
        <v>834</v>
      </c>
      <c r="W672" s="254" t="s">
        <v>1117</v>
      </c>
      <c r="X672" s="254" t="s">
        <v>446</v>
      </c>
      <c r="Y672" s="254" t="s">
        <v>843</v>
      </c>
      <c r="Z672" s="254" t="s">
        <v>1111</v>
      </c>
      <c r="AA672" s="254" t="s">
        <v>838</v>
      </c>
    </row>
    <row r="673" spans="1:27" ht="14.4" x14ac:dyDescent="0.3">
      <c r="A673" s="253">
        <v>11</v>
      </c>
      <c r="B673" s="254" t="s">
        <v>849</v>
      </c>
      <c r="C673" s="254">
        <v>6370</v>
      </c>
      <c r="D673" s="254" t="s">
        <v>264</v>
      </c>
      <c r="E673" s="254" t="str">
        <f>_xlfn.XLOOKUP(C673,Clientes!I:I,Clientes!F:F)</f>
        <v>YTL S.A. - PARAGUAI</v>
      </c>
      <c r="F673" s="254">
        <v>4067</v>
      </c>
      <c r="G673" s="254" t="s">
        <v>832</v>
      </c>
      <c r="H673" s="254" t="s">
        <v>881</v>
      </c>
      <c r="I673" s="255">
        <v>30000</v>
      </c>
      <c r="J673" s="256">
        <v>30000</v>
      </c>
      <c r="K673" s="258">
        <v>154200</v>
      </c>
      <c r="L673" s="258">
        <v>0</v>
      </c>
      <c r="M673" s="258">
        <f t="shared" si="42"/>
        <v>154200</v>
      </c>
      <c r="N673" s="258">
        <v>-45947.301666666666</v>
      </c>
      <c r="O673" s="258">
        <v>-30471.7248</v>
      </c>
      <c r="P673" s="258">
        <v>-5529.1252971726235</v>
      </c>
      <c r="Q673" s="258">
        <f t="shared" si="43"/>
        <v>72251.848236160717</v>
      </c>
      <c r="R673" s="259">
        <f t="shared" si="44"/>
        <v>0.46855932708275433</v>
      </c>
      <c r="S673" s="255">
        <f t="shared" si="41"/>
        <v>5.14</v>
      </c>
      <c r="T673" s="255">
        <f t="shared" si="41"/>
        <v>5.14</v>
      </c>
      <c r="U673" s="254">
        <v>100100</v>
      </c>
      <c r="V673" s="254" t="s">
        <v>834</v>
      </c>
      <c r="W673" s="254" t="s">
        <v>896</v>
      </c>
      <c r="X673" s="254" t="s">
        <v>446</v>
      </c>
      <c r="Y673" s="254" t="s">
        <v>836</v>
      </c>
      <c r="Z673" s="254" t="s">
        <v>1111</v>
      </c>
      <c r="AA673" s="254" t="s">
        <v>838</v>
      </c>
    </row>
    <row r="674" spans="1:27" ht="14.4" x14ac:dyDescent="0.3">
      <c r="A674" s="253">
        <v>11</v>
      </c>
      <c r="B674" s="254" t="s">
        <v>849</v>
      </c>
      <c r="C674" s="254">
        <v>2011</v>
      </c>
      <c r="D674" s="254" t="s">
        <v>616</v>
      </c>
      <c r="E674" s="254" t="str">
        <f>_xlfn.XLOOKUP(C674,Clientes!I:I,Clientes!F:F)</f>
        <v>FERTGROW S.A</v>
      </c>
      <c r="F674" s="254">
        <v>6654</v>
      </c>
      <c r="G674" s="254" t="s">
        <v>897</v>
      </c>
      <c r="H674" s="254" t="s">
        <v>898</v>
      </c>
      <c r="I674" s="255">
        <v>210000</v>
      </c>
      <c r="J674" s="256">
        <v>210000</v>
      </c>
      <c r="K674" s="258">
        <v>567000</v>
      </c>
      <c r="L674" s="258">
        <v>-39690.000000000007</v>
      </c>
      <c r="M674" s="258">
        <f t="shared" si="42"/>
        <v>527310</v>
      </c>
      <c r="N674" s="258">
        <v>-81984.960000000006</v>
      </c>
      <c r="O674" s="258">
        <v>-185230.6911</v>
      </c>
      <c r="P674" s="258">
        <v>-95.250002678798495</v>
      </c>
      <c r="Q674" s="258">
        <f t="shared" si="43"/>
        <v>259999.09889732118</v>
      </c>
      <c r="R674" s="259">
        <f t="shared" si="44"/>
        <v>0.49306688455997644</v>
      </c>
      <c r="S674" s="255">
        <f t="shared" si="41"/>
        <v>2.7</v>
      </c>
      <c r="T674" s="255">
        <f t="shared" si="41"/>
        <v>2.7</v>
      </c>
      <c r="U674" s="254">
        <v>100100</v>
      </c>
      <c r="V674" s="254" t="s">
        <v>834</v>
      </c>
      <c r="W674" s="254" t="s">
        <v>899</v>
      </c>
      <c r="X674" s="254" t="s">
        <v>446</v>
      </c>
      <c r="Y674" s="254" t="s">
        <v>843</v>
      </c>
      <c r="Z674" s="254" t="s">
        <v>1111</v>
      </c>
      <c r="AA674" s="254" t="s">
        <v>838</v>
      </c>
    </row>
    <row r="675" spans="1:27" ht="14.4" x14ac:dyDescent="0.3">
      <c r="A675" s="253">
        <v>11</v>
      </c>
      <c r="B675" s="254" t="s">
        <v>849</v>
      </c>
      <c r="C675" s="254">
        <v>4577</v>
      </c>
      <c r="D675" s="254" t="s">
        <v>620</v>
      </c>
      <c r="E675" s="254" t="str">
        <f>_xlfn.XLOOKUP(C675,Clientes!I:I,Clientes!F:F)</f>
        <v>MICROSOLO INDUSTRIAL - SETE LAGOAS</v>
      </c>
      <c r="F675" s="254">
        <v>1</v>
      </c>
      <c r="G675" s="254" t="s">
        <v>855</v>
      </c>
      <c r="H675" s="254" t="s">
        <v>873</v>
      </c>
      <c r="I675" s="255">
        <v>30000</v>
      </c>
      <c r="J675" s="256">
        <v>30000</v>
      </c>
      <c r="K675" s="258">
        <v>69600</v>
      </c>
      <c r="L675" s="258">
        <v>-6438</v>
      </c>
      <c r="M675" s="258">
        <f t="shared" si="42"/>
        <v>63162</v>
      </c>
      <c r="N675" s="258">
        <v>-20433.108888888884</v>
      </c>
      <c r="O675" s="258">
        <v>-10004.1649344</v>
      </c>
      <c r="P675" s="258">
        <v>-5.1443782406788303</v>
      </c>
      <c r="Q675" s="258">
        <f t="shared" si="43"/>
        <v>32719.581798470437</v>
      </c>
      <c r="R675" s="259">
        <f t="shared" si="44"/>
        <v>0.51802637342817581</v>
      </c>
      <c r="S675" s="255">
        <f t="shared" si="41"/>
        <v>2.3199999999999998</v>
      </c>
      <c r="T675" s="255">
        <f t="shared" si="41"/>
        <v>2.3199999999999998</v>
      </c>
      <c r="U675" s="254">
        <v>100100</v>
      </c>
      <c r="V675" s="254" t="s">
        <v>834</v>
      </c>
      <c r="W675" s="254" t="s">
        <v>1066</v>
      </c>
      <c r="X675" s="254" t="s">
        <v>446</v>
      </c>
      <c r="Y675" s="254" t="s">
        <v>843</v>
      </c>
      <c r="Z675" s="254" t="s">
        <v>1111</v>
      </c>
      <c r="AA675" s="254" t="s">
        <v>838</v>
      </c>
    </row>
    <row r="676" spans="1:27" ht="14.4" x14ac:dyDescent="0.3">
      <c r="A676" s="253">
        <v>11</v>
      </c>
      <c r="B676" s="254" t="s">
        <v>849</v>
      </c>
      <c r="C676" s="254">
        <v>1936</v>
      </c>
      <c r="D676" s="254" t="s">
        <v>889</v>
      </c>
      <c r="E676" s="254" t="str">
        <f>_xlfn.XLOOKUP(C676,Clientes!I:I,Clientes!F:F)</f>
        <v>GRUPO AGRO INDUSTRIAL SAO LUIZ LTDA</v>
      </c>
      <c r="F676" s="254">
        <v>4</v>
      </c>
      <c r="G676" s="254" t="s">
        <v>862</v>
      </c>
      <c r="H676" s="254" t="s">
        <v>863</v>
      </c>
      <c r="I676" s="255">
        <v>50000</v>
      </c>
      <c r="J676" s="256">
        <v>50000</v>
      </c>
      <c r="K676" s="258">
        <v>199500</v>
      </c>
      <c r="L676" s="258">
        <v>-23940</v>
      </c>
      <c r="M676" s="258">
        <f t="shared" si="42"/>
        <v>175560</v>
      </c>
      <c r="N676" s="258">
        <v>-48953.987999999998</v>
      </c>
      <c r="O676" s="258">
        <v>0</v>
      </c>
      <c r="P676" s="258">
        <v>0</v>
      </c>
      <c r="Q676" s="258">
        <f t="shared" si="43"/>
        <v>126606.012</v>
      </c>
      <c r="R676" s="259">
        <f t="shared" si="44"/>
        <v>0.72115522898154483</v>
      </c>
      <c r="S676" s="255">
        <f t="shared" si="41"/>
        <v>3.99</v>
      </c>
      <c r="T676" s="255">
        <f t="shared" si="41"/>
        <v>3.99</v>
      </c>
      <c r="U676" s="254">
        <v>100100</v>
      </c>
      <c r="V676" s="254" t="s">
        <v>834</v>
      </c>
      <c r="W676" s="254" t="s">
        <v>864</v>
      </c>
      <c r="X676" s="254" t="s">
        <v>446</v>
      </c>
      <c r="Y676" s="254" t="s">
        <v>843</v>
      </c>
      <c r="Z676" s="254" t="s">
        <v>1111</v>
      </c>
      <c r="AA676" s="254" t="s">
        <v>838</v>
      </c>
    </row>
    <row r="677" spans="1:27" ht="14.4" x14ac:dyDescent="0.3">
      <c r="A677" s="253">
        <v>11</v>
      </c>
      <c r="B677" s="254" t="s">
        <v>849</v>
      </c>
      <c r="C677" s="254">
        <v>13390</v>
      </c>
      <c r="D677" s="254" t="s">
        <v>110</v>
      </c>
      <c r="E677" s="254" t="str">
        <f>_xlfn.XLOOKUP(C677,Clientes!I:I,Clientes!F:F)</f>
        <v>GRUPO HERINGER</v>
      </c>
      <c r="F677" s="254">
        <v>7384</v>
      </c>
      <c r="G677" s="254" t="s">
        <v>956</v>
      </c>
      <c r="H677" s="254" t="s">
        <v>856</v>
      </c>
      <c r="I677" s="255">
        <v>20000</v>
      </c>
      <c r="J677" s="256">
        <v>20000</v>
      </c>
      <c r="K677" s="258">
        <v>73800</v>
      </c>
      <c r="L677" s="258">
        <v>-5166.0000000000009</v>
      </c>
      <c r="M677" s="258">
        <f t="shared" si="42"/>
        <v>68634</v>
      </c>
      <c r="N677" s="258">
        <v>-13718.613043478264</v>
      </c>
      <c r="O677" s="258">
        <v>-11454.211600000001</v>
      </c>
      <c r="P677" s="258">
        <v>-5.8900265345040586</v>
      </c>
      <c r="Q677" s="258">
        <f t="shared" si="43"/>
        <v>43455.285329987222</v>
      </c>
      <c r="R677" s="259">
        <f t="shared" si="44"/>
        <v>0.633145166098249</v>
      </c>
      <c r="S677" s="255">
        <f t="shared" si="41"/>
        <v>3.69</v>
      </c>
      <c r="T677" s="255">
        <f t="shared" si="41"/>
        <v>3.69</v>
      </c>
      <c r="U677" s="254">
        <v>100100</v>
      </c>
      <c r="V677" s="254" t="s">
        <v>834</v>
      </c>
      <c r="W677" s="254" t="s">
        <v>957</v>
      </c>
      <c r="X677" s="254" t="s">
        <v>446</v>
      </c>
      <c r="Y677" s="254" t="s">
        <v>843</v>
      </c>
      <c r="Z677" s="254" t="s">
        <v>1111</v>
      </c>
      <c r="AA677" s="254" t="s">
        <v>838</v>
      </c>
    </row>
    <row r="678" spans="1:27" ht="14.4" x14ac:dyDescent="0.3">
      <c r="A678" s="253">
        <v>11</v>
      </c>
      <c r="B678" s="254" t="s">
        <v>849</v>
      </c>
      <c r="C678" s="254">
        <v>7648</v>
      </c>
      <c r="D678" s="254" t="s">
        <v>958</v>
      </c>
      <c r="E678" s="254" t="str">
        <f>_xlfn.XLOOKUP(C678,Clientes!I:I,Clientes!F:F)</f>
        <v>GRUPO LOUIS DREYFUS</v>
      </c>
      <c r="F678" s="254">
        <v>14133</v>
      </c>
      <c r="G678" s="254" t="s">
        <v>862</v>
      </c>
      <c r="H678" s="254" t="s">
        <v>841</v>
      </c>
      <c r="I678" s="255">
        <v>26400</v>
      </c>
      <c r="J678" s="256">
        <v>26400</v>
      </c>
      <c r="K678" s="258">
        <v>74184</v>
      </c>
      <c r="L678" s="258">
        <v>-8902.08</v>
      </c>
      <c r="M678" s="258">
        <f t="shared" si="42"/>
        <v>65281.919999999998</v>
      </c>
      <c r="N678" s="258">
        <v>-32512.022730000004</v>
      </c>
      <c r="O678" s="258">
        <v>-12363.653015999998</v>
      </c>
      <c r="P678" s="258">
        <v>-6.3576828218924399</v>
      </c>
      <c r="Q678" s="258">
        <f t="shared" si="43"/>
        <v>20399.886571178104</v>
      </c>
      <c r="R678" s="259">
        <f t="shared" si="44"/>
        <v>0.31248907157108896</v>
      </c>
      <c r="S678" s="255">
        <f t="shared" si="41"/>
        <v>2.81</v>
      </c>
      <c r="T678" s="255">
        <f t="shared" si="41"/>
        <v>2.81</v>
      </c>
      <c r="U678" s="254">
        <v>100100</v>
      </c>
      <c r="V678" s="254" t="s">
        <v>834</v>
      </c>
      <c r="W678" s="254" t="s">
        <v>864</v>
      </c>
      <c r="X678" s="254" t="s">
        <v>446</v>
      </c>
      <c r="Y678" s="254" t="s">
        <v>843</v>
      </c>
      <c r="Z678" s="254" t="s">
        <v>1111</v>
      </c>
      <c r="AA678" s="254" t="s">
        <v>838</v>
      </c>
    </row>
    <row r="679" spans="1:27" ht="14.4" x14ac:dyDescent="0.3">
      <c r="A679" s="253">
        <v>11</v>
      </c>
      <c r="B679" s="254" t="s">
        <v>849</v>
      </c>
      <c r="C679" s="254">
        <v>7103</v>
      </c>
      <c r="D679" s="254" t="s">
        <v>482</v>
      </c>
      <c r="E679" s="254" t="str">
        <f>_xlfn.XLOOKUP(C679,Clientes!I:I,Clientes!F:F)</f>
        <v>GRUPO MOSAIC FERTILIZANTES DO BRASIL</v>
      </c>
      <c r="F679" s="254">
        <v>1043</v>
      </c>
      <c r="G679" s="254" t="s">
        <v>867</v>
      </c>
      <c r="H679" s="254" t="s">
        <v>860</v>
      </c>
      <c r="I679" s="255">
        <v>60000</v>
      </c>
      <c r="J679" s="256">
        <v>60000</v>
      </c>
      <c r="K679" s="258">
        <v>114000</v>
      </c>
      <c r="L679" s="258">
        <v>-7980.0000000000009</v>
      </c>
      <c r="M679" s="258">
        <f t="shared" si="42"/>
        <v>106020</v>
      </c>
      <c r="N679" s="258">
        <v>-23355.984574468086</v>
      </c>
      <c r="O679" s="258">
        <v>-11377.594799999999</v>
      </c>
      <c r="P679" s="258">
        <v>-5.8506283637046996</v>
      </c>
      <c r="Q679" s="258">
        <f t="shared" si="43"/>
        <v>71280.569997168219</v>
      </c>
      <c r="R679" s="259">
        <f t="shared" si="44"/>
        <v>0.67233135254827603</v>
      </c>
      <c r="S679" s="255">
        <f t="shared" si="41"/>
        <v>1.9</v>
      </c>
      <c r="T679" s="255">
        <f t="shared" si="41"/>
        <v>1.9</v>
      </c>
      <c r="U679" s="254">
        <v>100100</v>
      </c>
      <c r="V679" s="254" t="s">
        <v>834</v>
      </c>
      <c r="W679" s="254" t="s">
        <v>890</v>
      </c>
      <c r="X679" s="254" t="s">
        <v>446</v>
      </c>
      <c r="Y679" s="254" t="s">
        <v>843</v>
      </c>
      <c r="Z679" s="254" t="s">
        <v>1111</v>
      </c>
      <c r="AA679" s="254" t="s">
        <v>838</v>
      </c>
    </row>
    <row r="680" spans="1:27" ht="14.4" x14ac:dyDescent="0.3">
      <c r="A680" s="253">
        <v>11</v>
      </c>
      <c r="B680" s="254" t="s">
        <v>849</v>
      </c>
      <c r="C680" s="254">
        <v>7097</v>
      </c>
      <c r="D680" s="254" t="s">
        <v>1077</v>
      </c>
      <c r="E680" s="254" t="str">
        <f>_xlfn.XLOOKUP(C680,Clientes!I:I,Clientes!F:F)</f>
        <v>GRUPO MOSAIC FERTILIZANTES DO BRASIL</v>
      </c>
      <c r="F680" s="254">
        <v>14133</v>
      </c>
      <c r="G680" s="254" t="s">
        <v>893</v>
      </c>
      <c r="H680" s="254" t="s">
        <v>841</v>
      </c>
      <c r="I680" s="255">
        <v>26400</v>
      </c>
      <c r="J680" s="256">
        <v>26400</v>
      </c>
      <c r="K680" s="258">
        <v>71280</v>
      </c>
      <c r="L680" s="258">
        <v>-8553.6</v>
      </c>
      <c r="M680" s="258">
        <f t="shared" si="42"/>
        <v>62726.400000000001</v>
      </c>
      <c r="N680" s="258">
        <v>-32512.022730000004</v>
      </c>
      <c r="O680" s="258">
        <v>-14790.873239999999</v>
      </c>
      <c r="P680" s="258">
        <v>-7.60581687281611</v>
      </c>
      <c r="Q680" s="258">
        <f t="shared" si="43"/>
        <v>15415.898213127182</v>
      </c>
      <c r="R680" s="259">
        <f t="shared" si="44"/>
        <v>0.24576411547812693</v>
      </c>
      <c r="S680" s="255">
        <f t="shared" si="41"/>
        <v>2.7</v>
      </c>
      <c r="T680" s="255">
        <f t="shared" si="41"/>
        <v>2.7</v>
      </c>
      <c r="U680" s="254">
        <v>100100</v>
      </c>
      <c r="V680" s="254" t="s">
        <v>834</v>
      </c>
      <c r="W680" s="254" t="s">
        <v>894</v>
      </c>
      <c r="X680" s="254" t="s">
        <v>446</v>
      </c>
      <c r="Y680" s="254" t="s">
        <v>843</v>
      </c>
      <c r="Z680" s="254" t="s">
        <v>1111</v>
      </c>
      <c r="AA680" s="254" t="s">
        <v>838</v>
      </c>
    </row>
    <row r="681" spans="1:27" ht="14.4" x14ac:dyDescent="0.3">
      <c r="A681" s="253">
        <v>11</v>
      </c>
      <c r="B681" s="254" t="s">
        <v>849</v>
      </c>
      <c r="C681" s="254">
        <v>2975</v>
      </c>
      <c r="D681" s="254" t="s">
        <v>420</v>
      </c>
      <c r="E681" s="254" t="str">
        <f>_xlfn.XLOOKUP(C681,Clientes!I:I,Clientes!F:F)</f>
        <v>COONAGRO COOPERATIVA - PARANAGUA</v>
      </c>
      <c r="F681" s="254">
        <v>4</v>
      </c>
      <c r="G681" s="254" t="s">
        <v>862</v>
      </c>
      <c r="H681" s="254" t="s">
        <v>863</v>
      </c>
      <c r="I681" s="255">
        <v>75000</v>
      </c>
      <c r="J681" s="256">
        <v>75000</v>
      </c>
      <c r="K681" s="258">
        <v>299250</v>
      </c>
      <c r="L681" s="258">
        <v>-35910</v>
      </c>
      <c r="M681" s="258">
        <f t="shared" si="42"/>
        <v>263340</v>
      </c>
      <c r="N681" s="258">
        <v>-73430.981999999989</v>
      </c>
      <c r="O681" s="258">
        <v>-35124.01425</v>
      </c>
      <c r="P681" s="258">
        <v>-18.061598925830801</v>
      </c>
      <c r="Q681" s="258">
        <f t="shared" si="43"/>
        <v>154766.94215107418</v>
      </c>
      <c r="R681" s="259">
        <f t="shared" si="44"/>
        <v>0.587707686455055</v>
      </c>
      <c r="S681" s="255">
        <f t="shared" si="41"/>
        <v>3.99</v>
      </c>
      <c r="T681" s="255">
        <f t="shared" si="41"/>
        <v>3.99</v>
      </c>
      <c r="U681" s="254">
        <v>100100</v>
      </c>
      <c r="V681" s="254" t="s">
        <v>834</v>
      </c>
      <c r="W681" s="254" t="s">
        <v>864</v>
      </c>
      <c r="X681" s="254" t="s">
        <v>446</v>
      </c>
      <c r="Y681" s="254" t="s">
        <v>843</v>
      </c>
      <c r="Z681" s="254" t="s">
        <v>1111</v>
      </c>
      <c r="AA681" s="254" t="s">
        <v>838</v>
      </c>
    </row>
    <row r="682" spans="1:27" ht="14.4" x14ac:dyDescent="0.3">
      <c r="A682" s="253">
        <v>11</v>
      </c>
      <c r="B682" s="254" t="s">
        <v>849</v>
      </c>
      <c r="C682" s="254">
        <v>97</v>
      </c>
      <c r="D682" s="254" t="s">
        <v>300</v>
      </c>
      <c r="E682" s="254" t="str">
        <f>_xlfn.XLOOKUP(C682,Clientes!I:I,Clientes!F:F)</f>
        <v>FECOAGRO FEDERACAO DAS COOPERATIVAS</v>
      </c>
      <c r="F682" s="254">
        <v>148</v>
      </c>
      <c r="G682" s="254" t="s">
        <v>893</v>
      </c>
      <c r="H682" s="254" t="s">
        <v>904</v>
      </c>
      <c r="I682" s="255">
        <v>64000</v>
      </c>
      <c r="J682" s="256">
        <v>64000</v>
      </c>
      <c r="K682" s="258">
        <v>224000</v>
      </c>
      <c r="L682" s="258">
        <v>-26880</v>
      </c>
      <c r="M682" s="258">
        <f t="shared" si="42"/>
        <v>197120</v>
      </c>
      <c r="N682" s="258">
        <v>-43296.614689265531</v>
      </c>
      <c r="O682" s="258">
        <v>-35856.662400000001</v>
      </c>
      <c r="P682" s="258">
        <v>-18.43834393409966</v>
      </c>
      <c r="Q682" s="258">
        <f t="shared" si="43"/>
        <v>117948.28456680037</v>
      </c>
      <c r="R682" s="259">
        <f t="shared" si="44"/>
        <v>0.59835777479099217</v>
      </c>
      <c r="S682" s="255">
        <f t="shared" si="41"/>
        <v>3.5</v>
      </c>
      <c r="T682" s="255">
        <f t="shared" si="41"/>
        <v>3.5</v>
      </c>
      <c r="U682" s="254">
        <v>100100</v>
      </c>
      <c r="V682" s="254" t="s">
        <v>834</v>
      </c>
      <c r="W682" s="254" t="s">
        <v>894</v>
      </c>
      <c r="X682" s="254" t="s">
        <v>446</v>
      </c>
      <c r="Y682" s="254" t="s">
        <v>843</v>
      </c>
      <c r="Z682" s="254" t="s">
        <v>1111</v>
      </c>
      <c r="AA682" s="254" t="s">
        <v>838</v>
      </c>
    </row>
    <row r="683" spans="1:27" ht="14.4" x14ac:dyDescent="0.3">
      <c r="A683" s="253">
        <v>11</v>
      </c>
      <c r="B683" s="254" t="s">
        <v>849</v>
      </c>
      <c r="C683" s="254">
        <v>11133</v>
      </c>
      <c r="D683" s="254" t="s">
        <v>895</v>
      </c>
      <c r="E683" s="254" t="str">
        <f>_xlfn.XLOOKUP(C683,Clientes!I:I,Clientes!F:F)</f>
        <v>GRUPO ADUBOS ARAGUAIA</v>
      </c>
      <c r="F683" s="254">
        <v>1</v>
      </c>
      <c r="G683" s="254" t="s">
        <v>862</v>
      </c>
      <c r="H683" s="254" t="s">
        <v>873</v>
      </c>
      <c r="I683" s="255">
        <v>15000</v>
      </c>
      <c r="J683" s="256">
        <v>15000</v>
      </c>
      <c r="K683" s="258">
        <v>38400</v>
      </c>
      <c r="L683" s="258">
        <v>-4608</v>
      </c>
      <c r="M683" s="258">
        <f t="shared" si="42"/>
        <v>33792</v>
      </c>
      <c r="N683" s="258">
        <v>-10216.554444444442</v>
      </c>
      <c r="O683" s="258">
        <v>-10935.990696618001</v>
      </c>
      <c r="P683" s="258">
        <v>-5.6235450883559324</v>
      </c>
      <c r="Q683" s="258">
        <f t="shared" si="43"/>
        <v>12633.831313849201</v>
      </c>
      <c r="R683" s="259">
        <f t="shared" si="44"/>
        <v>0.37387048158881397</v>
      </c>
      <c r="S683" s="255">
        <f t="shared" si="41"/>
        <v>2.56</v>
      </c>
      <c r="T683" s="255">
        <f t="shared" si="41"/>
        <v>2.56</v>
      </c>
      <c r="U683" s="254">
        <v>100100</v>
      </c>
      <c r="V683" s="254" t="s">
        <v>834</v>
      </c>
      <c r="W683" s="254" t="s">
        <v>864</v>
      </c>
      <c r="X683" s="254" t="s">
        <v>446</v>
      </c>
      <c r="Y683" s="254" t="s">
        <v>843</v>
      </c>
      <c r="Z683" s="254" t="s">
        <v>1111</v>
      </c>
      <c r="AA683" s="254" t="s">
        <v>838</v>
      </c>
    </row>
    <row r="684" spans="1:27" ht="14.4" x14ac:dyDescent="0.3">
      <c r="A684" s="253">
        <v>11</v>
      </c>
      <c r="B684" s="254" t="s">
        <v>849</v>
      </c>
      <c r="C684" s="254">
        <v>6477</v>
      </c>
      <c r="D684" s="254" t="s">
        <v>87</v>
      </c>
      <c r="E684" s="254" t="str">
        <f>_xlfn.XLOOKUP(C684,Clientes!I:I,Clientes!F:F)</f>
        <v>GRUPO MOSAIC FERTILIZANTES DO BRASIL</v>
      </c>
      <c r="F684" s="254">
        <v>1043</v>
      </c>
      <c r="G684" s="254" t="s">
        <v>862</v>
      </c>
      <c r="H684" s="254" t="s">
        <v>860</v>
      </c>
      <c r="I684" s="255">
        <v>75000</v>
      </c>
      <c r="J684" s="256">
        <v>75000</v>
      </c>
      <c r="K684" s="258">
        <v>164250</v>
      </c>
      <c r="L684" s="258">
        <v>-19710</v>
      </c>
      <c r="M684" s="258">
        <f t="shared" si="42"/>
        <v>144540</v>
      </c>
      <c r="N684" s="258">
        <v>-29194.980718085106</v>
      </c>
      <c r="O684" s="258">
        <v>-35124.01425</v>
      </c>
      <c r="P684" s="258">
        <v>-18.061598925830801</v>
      </c>
      <c r="Q684" s="258">
        <f t="shared" si="43"/>
        <v>80202.94343298905</v>
      </c>
      <c r="R684" s="259">
        <f t="shared" si="44"/>
        <v>0.55488406968997539</v>
      </c>
      <c r="S684" s="255">
        <f t="shared" si="41"/>
        <v>2.19</v>
      </c>
      <c r="T684" s="255">
        <f t="shared" si="41"/>
        <v>2.19</v>
      </c>
      <c r="U684" s="254">
        <v>100100</v>
      </c>
      <c r="V684" s="254" t="s">
        <v>834</v>
      </c>
      <c r="W684" s="254" t="s">
        <v>864</v>
      </c>
      <c r="X684" s="254" t="s">
        <v>446</v>
      </c>
      <c r="Y684" s="254" t="s">
        <v>843</v>
      </c>
      <c r="Z684" s="254" t="s">
        <v>1111</v>
      </c>
      <c r="AA684" s="254" t="s">
        <v>838</v>
      </c>
    </row>
    <row r="685" spans="1:27" ht="14.4" x14ac:dyDescent="0.3">
      <c r="A685" s="253">
        <v>11</v>
      </c>
      <c r="B685" s="254" t="s">
        <v>849</v>
      </c>
      <c r="C685" s="254">
        <v>7024</v>
      </c>
      <c r="D685" s="254" t="s">
        <v>721</v>
      </c>
      <c r="E685" s="254" t="str">
        <f>_xlfn.XLOOKUP(C685,Clientes!I:I,Clientes!F:F)</f>
        <v>GRUPO MOSAIC FERTILIZANTES DO BRASIL</v>
      </c>
      <c r="F685" s="254">
        <v>1043</v>
      </c>
      <c r="G685" s="254" t="s">
        <v>840</v>
      </c>
      <c r="H685" s="254" t="s">
        <v>860</v>
      </c>
      <c r="I685" s="255">
        <v>30000</v>
      </c>
      <c r="J685" s="256">
        <v>30000</v>
      </c>
      <c r="K685" s="258">
        <v>68400</v>
      </c>
      <c r="L685" s="258">
        <v>-4788.0000000000009</v>
      </c>
      <c r="M685" s="258">
        <f t="shared" si="42"/>
        <v>63612</v>
      </c>
      <c r="N685" s="258">
        <v>-11677.992287234043</v>
      </c>
      <c r="O685" s="258">
        <v>-21002.580299999998</v>
      </c>
      <c r="P685" s="258">
        <v>-10.80002357037408</v>
      </c>
      <c r="Q685" s="258">
        <f t="shared" si="43"/>
        <v>30920.62738919559</v>
      </c>
      <c r="R685" s="259">
        <f t="shared" si="44"/>
        <v>0.48608167309934586</v>
      </c>
      <c r="S685" s="255">
        <f t="shared" si="41"/>
        <v>2.2799999999999998</v>
      </c>
      <c r="T685" s="255">
        <f t="shared" si="41"/>
        <v>2.2799999999999998</v>
      </c>
      <c r="U685" s="254">
        <v>100100</v>
      </c>
      <c r="V685" s="254" t="s">
        <v>834</v>
      </c>
      <c r="W685" s="254" t="s">
        <v>874</v>
      </c>
      <c r="X685" s="254" t="s">
        <v>446</v>
      </c>
      <c r="Y685" s="254" t="s">
        <v>843</v>
      </c>
      <c r="Z685" s="254" t="s">
        <v>1111</v>
      </c>
      <c r="AA685" s="254" t="s">
        <v>838</v>
      </c>
    </row>
    <row r="686" spans="1:27" ht="14.4" x14ac:dyDescent="0.3">
      <c r="A686" s="253">
        <v>11</v>
      </c>
      <c r="B686" s="254" t="s">
        <v>849</v>
      </c>
      <c r="C686" s="254">
        <v>7102</v>
      </c>
      <c r="D686" s="254" t="s">
        <v>906</v>
      </c>
      <c r="E686" s="254" t="str">
        <f>_xlfn.XLOOKUP(C686,Clientes!I:I,Clientes!F:F)</f>
        <v>GRUPO MOSAIC FERTILIZANTES DO BRASIL</v>
      </c>
      <c r="F686" s="254">
        <v>1043</v>
      </c>
      <c r="G686" s="254" t="s">
        <v>840</v>
      </c>
      <c r="H686" s="254" t="s">
        <v>860</v>
      </c>
      <c r="I686" s="255">
        <v>210000</v>
      </c>
      <c r="J686" s="256">
        <v>210000</v>
      </c>
      <c r="K686" s="258">
        <v>428400</v>
      </c>
      <c r="L686" s="258">
        <v>-29988.000000000004</v>
      </c>
      <c r="M686" s="258">
        <f t="shared" si="42"/>
        <v>398412</v>
      </c>
      <c r="N686" s="258">
        <v>-81745.94601063829</v>
      </c>
      <c r="O686" s="258">
        <v>-83866.664699999994</v>
      </c>
      <c r="P686" s="258">
        <v>-43.126222711247522</v>
      </c>
      <c r="Q686" s="258">
        <f t="shared" si="43"/>
        <v>232756.26306665048</v>
      </c>
      <c r="R686" s="259">
        <f t="shared" si="44"/>
        <v>0.58420997125249863</v>
      </c>
      <c r="S686" s="255">
        <f t="shared" si="41"/>
        <v>2.04</v>
      </c>
      <c r="T686" s="255">
        <f t="shared" si="41"/>
        <v>2.04</v>
      </c>
      <c r="U686" s="254">
        <v>100100</v>
      </c>
      <c r="V686" s="254" t="s">
        <v>834</v>
      </c>
      <c r="W686" s="254" t="s">
        <v>861</v>
      </c>
      <c r="X686" s="254" t="s">
        <v>446</v>
      </c>
      <c r="Y686" s="254" t="s">
        <v>843</v>
      </c>
      <c r="Z686" s="254" t="s">
        <v>1111</v>
      </c>
      <c r="AA686" s="254" t="s">
        <v>838</v>
      </c>
    </row>
    <row r="687" spans="1:27" ht="14.4" x14ac:dyDescent="0.3">
      <c r="A687" s="253">
        <v>11</v>
      </c>
      <c r="B687" s="254" t="s">
        <v>849</v>
      </c>
      <c r="C687" s="254">
        <v>1462</v>
      </c>
      <c r="D687" s="254" t="s">
        <v>907</v>
      </c>
      <c r="E687" s="254" t="str">
        <f>_xlfn.XLOOKUP(C687,Clientes!I:I,Clientes!F:F)</f>
        <v>AURORA MINERAÇÃO LTDA</v>
      </c>
      <c r="F687" s="254">
        <v>1042</v>
      </c>
      <c r="G687" s="254" t="s">
        <v>908</v>
      </c>
      <c r="H687" s="254" t="s">
        <v>909</v>
      </c>
      <c r="I687" s="255">
        <v>90000</v>
      </c>
      <c r="J687" s="256">
        <v>90000</v>
      </c>
      <c r="K687" s="258">
        <v>150300</v>
      </c>
      <c r="L687" s="258">
        <v>-18036</v>
      </c>
      <c r="M687" s="258">
        <f t="shared" si="42"/>
        <v>132264</v>
      </c>
      <c r="N687" s="258">
        <v>-46519.972500000003</v>
      </c>
      <c r="O687" s="258">
        <v>0</v>
      </c>
      <c r="P687" s="258">
        <v>0</v>
      </c>
      <c r="Q687" s="258">
        <f t="shared" si="43"/>
        <v>85744.027499999997</v>
      </c>
      <c r="R687" s="259">
        <f t="shared" si="44"/>
        <v>0.64827940709490106</v>
      </c>
      <c r="S687" s="255">
        <f t="shared" si="41"/>
        <v>1.67</v>
      </c>
      <c r="T687" s="255">
        <f t="shared" si="41"/>
        <v>1.67</v>
      </c>
      <c r="U687" s="254">
        <v>100100</v>
      </c>
      <c r="V687" s="254" t="s">
        <v>834</v>
      </c>
      <c r="W687" s="254" t="s">
        <v>910</v>
      </c>
      <c r="X687" s="254" t="s">
        <v>446</v>
      </c>
      <c r="Y687" s="254" t="s">
        <v>843</v>
      </c>
      <c r="Z687" s="254" t="s">
        <v>1111</v>
      </c>
      <c r="AA687" s="254" t="s">
        <v>838</v>
      </c>
    </row>
    <row r="688" spans="1:27" ht="14.4" x14ac:dyDescent="0.3">
      <c r="A688" s="253">
        <v>11</v>
      </c>
      <c r="B688" s="254" t="s">
        <v>849</v>
      </c>
      <c r="C688" s="254">
        <v>2696</v>
      </c>
      <c r="D688" s="254" t="s">
        <v>119</v>
      </c>
      <c r="E688" s="254" t="str">
        <f>_xlfn.XLOOKUP(C688,Clientes!I:I,Clientes!F:F)</f>
        <v>MOSAIC FERTILIZANTES PARAGUAY S.R.L.</v>
      </c>
      <c r="F688" s="254">
        <v>3245</v>
      </c>
      <c r="G688" s="254" t="s">
        <v>832</v>
      </c>
      <c r="H688" s="254" t="s">
        <v>1093</v>
      </c>
      <c r="I688" s="255">
        <v>60000</v>
      </c>
      <c r="J688" s="256">
        <v>60000</v>
      </c>
      <c r="K688" s="258">
        <v>187620</v>
      </c>
      <c r="L688" s="258">
        <v>0</v>
      </c>
      <c r="M688" s="258">
        <f t="shared" si="42"/>
        <v>187620</v>
      </c>
      <c r="N688" s="258">
        <v>-28291.71</v>
      </c>
      <c r="O688" s="258">
        <v>-54102.400000000023</v>
      </c>
      <c r="P688" s="258">
        <v>-11054.7327648276</v>
      </c>
      <c r="Q688" s="258">
        <f t="shared" si="43"/>
        <v>94171.157235172388</v>
      </c>
      <c r="R688" s="259">
        <f t="shared" si="44"/>
        <v>0.5019249399593454</v>
      </c>
      <c r="S688" s="255">
        <f t="shared" si="41"/>
        <v>3.1269999999999998</v>
      </c>
      <c r="T688" s="255">
        <f t="shared" si="41"/>
        <v>3.1269999999999998</v>
      </c>
      <c r="U688" s="254">
        <v>100100</v>
      </c>
      <c r="V688" s="254" t="s">
        <v>834</v>
      </c>
      <c r="W688" s="254" t="s">
        <v>1012</v>
      </c>
      <c r="X688" s="254" t="s">
        <v>446</v>
      </c>
      <c r="Y688" s="254" t="s">
        <v>836</v>
      </c>
      <c r="Z688" s="254" t="s">
        <v>1111</v>
      </c>
      <c r="AA688" s="254" t="s">
        <v>838</v>
      </c>
    </row>
    <row r="689" spans="1:27" ht="14.4" x14ac:dyDescent="0.3">
      <c r="A689" s="253">
        <v>11</v>
      </c>
      <c r="B689" s="254" t="s">
        <v>849</v>
      </c>
      <c r="C689" s="254">
        <v>3142</v>
      </c>
      <c r="D689" s="254" t="s">
        <v>78</v>
      </c>
      <c r="E689" s="254" t="str">
        <f>_xlfn.XLOOKUP(C689,Clientes!I:I,Clientes!F:F)</f>
        <v>INTERFERTIL - SAO FRANCISCO DO SUL</v>
      </c>
      <c r="F689" s="254">
        <v>1</v>
      </c>
      <c r="G689" s="254" t="s">
        <v>893</v>
      </c>
      <c r="H689" s="254" t="s">
        <v>873</v>
      </c>
      <c r="I689" s="255">
        <v>45000</v>
      </c>
      <c r="J689" s="256">
        <v>45000</v>
      </c>
      <c r="K689" s="258">
        <v>124650</v>
      </c>
      <c r="L689" s="258">
        <v>-14958</v>
      </c>
      <c r="M689" s="258">
        <f t="shared" si="42"/>
        <v>109692</v>
      </c>
      <c r="N689" s="258">
        <v>-30649.66333333333</v>
      </c>
      <c r="O689" s="258">
        <v>-25211.715749999999</v>
      </c>
      <c r="P689" s="258">
        <v>-12.964460578663823</v>
      </c>
      <c r="Q689" s="258">
        <f t="shared" si="43"/>
        <v>53817.656456088</v>
      </c>
      <c r="R689" s="259">
        <f t="shared" si="44"/>
        <v>0.49062517281194618</v>
      </c>
      <c r="S689" s="255">
        <f t="shared" si="41"/>
        <v>2.77</v>
      </c>
      <c r="T689" s="255">
        <f t="shared" si="41"/>
        <v>2.77</v>
      </c>
      <c r="U689" s="254">
        <v>100100</v>
      </c>
      <c r="V689" s="254" t="s">
        <v>834</v>
      </c>
      <c r="W689" s="254" t="s">
        <v>894</v>
      </c>
      <c r="X689" s="254" t="s">
        <v>446</v>
      </c>
      <c r="Y689" s="254" t="s">
        <v>843</v>
      </c>
      <c r="Z689" s="254" t="s">
        <v>1111</v>
      </c>
      <c r="AA689" s="254" t="s">
        <v>838</v>
      </c>
    </row>
    <row r="690" spans="1:27" ht="14.4" x14ac:dyDescent="0.3">
      <c r="A690" s="253">
        <v>11</v>
      </c>
      <c r="B690" s="254" t="s">
        <v>849</v>
      </c>
      <c r="C690" s="254">
        <v>5053</v>
      </c>
      <c r="D690" s="254" t="s">
        <v>223</v>
      </c>
      <c r="E690" s="254" t="str">
        <f>_xlfn.XLOOKUP(C690,Clientes!I:I,Clientes!F:F)</f>
        <v>GRUPO ADUBOS ARAGUAIA</v>
      </c>
      <c r="F690" s="254">
        <v>1</v>
      </c>
      <c r="G690" s="254" t="s">
        <v>840</v>
      </c>
      <c r="H690" s="254" t="s">
        <v>873</v>
      </c>
      <c r="I690" s="255">
        <v>30000</v>
      </c>
      <c r="J690" s="256">
        <v>30000</v>
      </c>
      <c r="K690" s="258">
        <v>73800</v>
      </c>
      <c r="L690" s="258">
        <v>-5166.0000000000009</v>
      </c>
      <c r="M690" s="258">
        <f t="shared" si="42"/>
        <v>68634</v>
      </c>
      <c r="N690" s="258">
        <v>-20433.108888888884</v>
      </c>
      <c r="O690" s="258">
        <v>-20973.848999999998</v>
      </c>
      <c r="P690" s="258">
        <v>-10.78524925632432</v>
      </c>
      <c r="Q690" s="258">
        <f t="shared" si="43"/>
        <v>27216.256861854792</v>
      </c>
      <c r="R690" s="259">
        <f t="shared" si="44"/>
        <v>0.39654190141700602</v>
      </c>
      <c r="S690" s="255">
        <f t="shared" si="41"/>
        <v>2.46</v>
      </c>
      <c r="T690" s="255">
        <f t="shared" si="41"/>
        <v>2.46</v>
      </c>
      <c r="U690" s="254">
        <v>100100</v>
      </c>
      <c r="V690" s="254" t="s">
        <v>834</v>
      </c>
      <c r="W690" s="254" t="s">
        <v>842</v>
      </c>
      <c r="X690" s="254" t="s">
        <v>446</v>
      </c>
      <c r="Y690" s="254" t="s">
        <v>843</v>
      </c>
      <c r="Z690" s="254" t="s">
        <v>1111</v>
      </c>
      <c r="AA690" s="254" t="s">
        <v>838</v>
      </c>
    </row>
    <row r="691" spans="1:27" ht="14.4" x14ac:dyDescent="0.3">
      <c r="A691" s="253">
        <v>11</v>
      </c>
      <c r="B691" s="254" t="s">
        <v>849</v>
      </c>
      <c r="C691" s="254">
        <v>205</v>
      </c>
      <c r="D691" s="254" t="s">
        <v>859</v>
      </c>
      <c r="E691" s="254" t="str">
        <f>_xlfn.XLOOKUP(C691,Clientes!I:I,Clientes!F:F)</f>
        <v>GRUPO FERTIPAR FERTILIZANTES MATO GROSSO</v>
      </c>
      <c r="F691" s="254">
        <v>231</v>
      </c>
      <c r="G691" s="254" t="s">
        <v>840</v>
      </c>
      <c r="H691" s="254" t="s">
        <v>1088</v>
      </c>
      <c r="I691" s="255">
        <v>30000</v>
      </c>
      <c r="J691" s="256">
        <v>30000</v>
      </c>
      <c r="K691" s="258">
        <v>73800</v>
      </c>
      <c r="L691" s="258">
        <v>-5166.0000000000009</v>
      </c>
      <c r="M691" s="258">
        <f t="shared" si="42"/>
        <v>68634</v>
      </c>
      <c r="N691" s="258">
        <v>-33007.78</v>
      </c>
      <c r="O691" s="258">
        <v>-11980.9521</v>
      </c>
      <c r="P691" s="258">
        <v>-6.1608889587496467</v>
      </c>
      <c r="Q691" s="258">
        <f t="shared" si="43"/>
        <v>23639.107011041247</v>
      </c>
      <c r="R691" s="259">
        <f t="shared" si="44"/>
        <v>0.34442269153832278</v>
      </c>
      <c r="S691" s="255">
        <f t="shared" si="41"/>
        <v>2.46</v>
      </c>
      <c r="T691" s="255">
        <f t="shared" si="41"/>
        <v>2.46</v>
      </c>
      <c r="U691" s="254">
        <v>100100</v>
      </c>
      <c r="V691" s="254" t="s">
        <v>834</v>
      </c>
      <c r="W691" s="254" t="s">
        <v>861</v>
      </c>
      <c r="X691" s="254" t="s">
        <v>446</v>
      </c>
      <c r="Y691" s="254" t="s">
        <v>843</v>
      </c>
      <c r="Z691" s="254" t="s">
        <v>1111</v>
      </c>
      <c r="AA691" s="254" t="s">
        <v>838</v>
      </c>
    </row>
    <row r="692" spans="1:27" ht="14.4" x14ac:dyDescent="0.3">
      <c r="A692" s="253">
        <v>11</v>
      </c>
      <c r="B692" s="254" t="s">
        <v>849</v>
      </c>
      <c r="C692" s="254">
        <v>16099</v>
      </c>
      <c r="D692" s="254" t="s">
        <v>1118</v>
      </c>
      <c r="E692" s="254" t="str">
        <f>_xlfn.XLOOKUP(C692,Clientes!I:I,Clientes!F:F)</f>
        <v>GRUPO MOSAIC FERTILIZANTES DO BRASIL</v>
      </c>
      <c r="F692" s="254">
        <v>1043</v>
      </c>
      <c r="G692" s="254" t="s">
        <v>974</v>
      </c>
      <c r="H692" s="254" t="s">
        <v>860</v>
      </c>
      <c r="I692" s="255">
        <v>30000</v>
      </c>
      <c r="J692" s="256">
        <v>30000</v>
      </c>
      <c r="K692" s="258">
        <v>65700</v>
      </c>
      <c r="L692" s="258">
        <v>-4599</v>
      </c>
      <c r="M692" s="258">
        <f t="shared" si="42"/>
        <v>61101</v>
      </c>
      <c r="N692" s="258">
        <v>-11677.992287234043</v>
      </c>
      <c r="O692" s="258">
        <v>0</v>
      </c>
      <c r="P692" s="258">
        <v>0</v>
      </c>
      <c r="Q692" s="258">
        <f t="shared" si="43"/>
        <v>49423.007712765961</v>
      </c>
      <c r="R692" s="259">
        <f t="shared" si="44"/>
        <v>0.80887395808196205</v>
      </c>
      <c r="S692" s="255">
        <f t="shared" si="41"/>
        <v>2.19</v>
      </c>
      <c r="T692" s="255">
        <f t="shared" si="41"/>
        <v>2.19</v>
      </c>
      <c r="U692" s="254">
        <v>100100</v>
      </c>
      <c r="V692" s="254" t="s">
        <v>834</v>
      </c>
      <c r="W692" s="254" t="s">
        <v>1119</v>
      </c>
      <c r="X692" s="254" t="s">
        <v>446</v>
      </c>
      <c r="Y692" s="254" t="s">
        <v>843</v>
      </c>
      <c r="Z692" s="254" t="s">
        <v>1111</v>
      </c>
      <c r="AA692" s="254" t="s">
        <v>838</v>
      </c>
    </row>
    <row r="693" spans="1:27" ht="14.4" x14ac:dyDescent="0.3">
      <c r="A693" s="253">
        <v>11</v>
      </c>
      <c r="B693" s="254" t="s">
        <v>849</v>
      </c>
      <c r="C693" s="254">
        <v>214</v>
      </c>
      <c r="D693" s="254" t="s">
        <v>149</v>
      </c>
      <c r="E693" s="254" t="str">
        <f>_xlfn.XLOOKUP(C693,Clientes!I:I,Clientes!F:F)</f>
        <v>GRUPO UNIFERTIL</v>
      </c>
      <c r="F693" s="254">
        <v>3</v>
      </c>
      <c r="G693" s="254" t="s">
        <v>877</v>
      </c>
      <c r="H693" s="254" t="s">
        <v>879</v>
      </c>
      <c r="I693" s="255">
        <v>64000</v>
      </c>
      <c r="J693" s="256">
        <v>64000</v>
      </c>
      <c r="K693" s="258">
        <v>165760</v>
      </c>
      <c r="L693" s="258">
        <v>-19891.2</v>
      </c>
      <c r="M693" s="258">
        <f t="shared" si="42"/>
        <v>145868.79999999999</v>
      </c>
      <c r="N693" s="258">
        <v>-49766.920000000006</v>
      </c>
      <c r="O693" s="258">
        <v>-51609.076479999996</v>
      </c>
      <c r="P693" s="258">
        <v>-26.538607850447715</v>
      </c>
      <c r="Q693" s="258">
        <f t="shared" si="43"/>
        <v>44466.264912149534</v>
      </c>
      <c r="R693" s="259">
        <f t="shared" si="44"/>
        <v>0.30483739437185703</v>
      </c>
      <c r="S693" s="255">
        <f t="shared" si="41"/>
        <v>2.59</v>
      </c>
      <c r="T693" s="255">
        <f t="shared" si="41"/>
        <v>2.59</v>
      </c>
      <c r="U693" s="254">
        <v>100100</v>
      </c>
      <c r="V693" s="254" t="s">
        <v>834</v>
      </c>
      <c r="W693" s="254" t="s">
        <v>880</v>
      </c>
      <c r="X693" s="254" t="s">
        <v>446</v>
      </c>
      <c r="Y693" s="254" t="s">
        <v>843</v>
      </c>
      <c r="Z693" s="254" t="s">
        <v>1111</v>
      </c>
      <c r="AA693" s="254" t="s">
        <v>838</v>
      </c>
    </row>
    <row r="694" spans="1:27" ht="14.4" x14ac:dyDescent="0.3">
      <c r="A694" s="253">
        <v>11</v>
      </c>
      <c r="B694" s="254" t="s">
        <v>849</v>
      </c>
      <c r="C694" s="254">
        <v>31</v>
      </c>
      <c r="D694" s="254" t="s">
        <v>261</v>
      </c>
      <c r="E694" s="254" t="str">
        <f>_xlfn.XLOOKUP(C694,Clientes!I:I,Clientes!F:F)</f>
        <v>SUL GOIANA - GOIATUBA</v>
      </c>
      <c r="F694" s="254">
        <v>1042</v>
      </c>
      <c r="G694" s="254" t="s">
        <v>867</v>
      </c>
      <c r="H694" s="254" t="s">
        <v>909</v>
      </c>
      <c r="I694" s="255">
        <v>30000</v>
      </c>
      <c r="J694" s="256">
        <v>30000</v>
      </c>
      <c r="K694" s="258">
        <v>60000</v>
      </c>
      <c r="L694" s="258">
        <v>-4200</v>
      </c>
      <c r="M694" s="258">
        <f t="shared" si="42"/>
        <v>55800</v>
      </c>
      <c r="N694" s="258">
        <v>-15506.657500000001</v>
      </c>
      <c r="O694" s="258">
        <v>-3505.2185999999997</v>
      </c>
      <c r="P694" s="258">
        <v>-1.8024663140706398</v>
      </c>
      <c r="Q694" s="258">
        <f t="shared" si="43"/>
        <v>36786.321433685931</v>
      </c>
      <c r="R694" s="259">
        <f t="shared" si="44"/>
        <v>0.65925307228827834</v>
      </c>
      <c r="S694" s="255">
        <f t="shared" si="41"/>
        <v>2</v>
      </c>
      <c r="T694" s="255">
        <f t="shared" si="41"/>
        <v>2</v>
      </c>
      <c r="U694" s="254">
        <v>100100</v>
      </c>
      <c r="V694" s="254" t="s">
        <v>834</v>
      </c>
      <c r="W694" s="254" t="s">
        <v>1020</v>
      </c>
      <c r="X694" s="254" t="s">
        <v>446</v>
      </c>
      <c r="Y694" s="254" t="s">
        <v>843</v>
      </c>
      <c r="Z694" s="254" t="s">
        <v>1111</v>
      </c>
      <c r="AA694" s="254" t="s">
        <v>838</v>
      </c>
    </row>
    <row r="695" spans="1:27" ht="14.4" x14ac:dyDescent="0.3">
      <c r="A695" s="253">
        <v>11</v>
      </c>
      <c r="B695" s="254" t="s">
        <v>849</v>
      </c>
      <c r="C695" s="254">
        <v>13836</v>
      </c>
      <c r="D695" s="254" t="s">
        <v>1120</v>
      </c>
      <c r="E695" s="254" t="str">
        <f>_xlfn.XLOOKUP(C695,Clientes!I:I,Clientes!F:F)</f>
        <v>FERTALVO FERTILIZANTES - RONDONÓPOLIS</v>
      </c>
      <c r="F695" s="254">
        <v>1043</v>
      </c>
      <c r="G695" s="254" t="s">
        <v>840</v>
      </c>
      <c r="H695" s="254" t="s">
        <v>860</v>
      </c>
      <c r="I695" s="255">
        <v>30000</v>
      </c>
      <c r="J695" s="256">
        <v>30000</v>
      </c>
      <c r="K695" s="258">
        <v>60000</v>
      </c>
      <c r="L695" s="258">
        <v>-10800</v>
      </c>
      <c r="M695" s="258">
        <f t="shared" si="42"/>
        <v>49200</v>
      </c>
      <c r="N695" s="258">
        <v>-11677.992287234043</v>
      </c>
      <c r="O695" s="258">
        <v>-11980.9521</v>
      </c>
      <c r="P695" s="258">
        <v>-6.1608889587496467</v>
      </c>
      <c r="Q695" s="258">
        <f t="shared" si="43"/>
        <v>25534.894723807207</v>
      </c>
      <c r="R695" s="259">
        <f t="shared" si="44"/>
        <v>0.51900192528063427</v>
      </c>
      <c r="S695" s="255">
        <f t="shared" si="41"/>
        <v>2</v>
      </c>
      <c r="T695" s="255">
        <f t="shared" si="41"/>
        <v>2</v>
      </c>
      <c r="U695" s="254">
        <v>100100</v>
      </c>
      <c r="V695" s="254" t="s">
        <v>834</v>
      </c>
      <c r="W695" s="254" t="s">
        <v>861</v>
      </c>
      <c r="X695" s="254" t="s">
        <v>446</v>
      </c>
      <c r="Y695" s="254" t="s">
        <v>843</v>
      </c>
      <c r="Z695" s="254" t="s">
        <v>1111</v>
      </c>
      <c r="AA695" s="254" t="s">
        <v>838</v>
      </c>
    </row>
    <row r="696" spans="1:27" ht="14.4" x14ac:dyDescent="0.3">
      <c r="A696" s="253">
        <v>11</v>
      </c>
      <c r="B696" s="254" t="s">
        <v>849</v>
      </c>
      <c r="C696" s="254">
        <v>3273</v>
      </c>
      <c r="D696" s="254" t="s">
        <v>79</v>
      </c>
      <c r="E696" s="254" t="str">
        <f>_xlfn.XLOOKUP(C696,Clientes!I:I,Clientes!F:F)</f>
        <v>FERTIMAXI - CONCEICAO DO JACUIPE</v>
      </c>
      <c r="F696" s="254">
        <v>2</v>
      </c>
      <c r="G696" s="254" t="s">
        <v>875</v>
      </c>
      <c r="H696" s="254" t="s">
        <v>883</v>
      </c>
      <c r="I696" s="255">
        <v>30000</v>
      </c>
      <c r="J696" s="256">
        <v>30000</v>
      </c>
      <c r="K696" s="258">
        <v>78900</v>
      </c>
      <c r="L696" s="258">
        <v>-5523.0000000000009</v>
      </c>
      <c r="M696" s="258">
        <f t="shared" si="42"/>
        <v>73377</v>
      </c>
      <c r="N696" s="258">
        <v>-18881.660000000003</v>
      </c>
      <c r="O696" s="258">
        <v>-18675.345000000001</v>
      </c>
      <c r="P696" s="258">
        <v>-9.6033041323435757</v>
      </c>
      <c r="Q696" s="258">
        <f t="shared" si="43"/>
        <v>35810.391695867649</v>
      </c>
      <c r="R696" s="259">
        <f t="shared" si="44"/>
        <v>0.48803292170390788</v>
      </c>
      <c r="S696" s="255">
        <f t="shared" si="41"/>
        <v>2.63</v>
      </c>
      <c r="T696" s="255">
        <f t="shared" si="41"/>
        <v>2.63</v>
      </c>
      <c r="U696" s="254">
        <v>100100</v>
      </c>
      <c r="V696" s="254" t="s">
        <v>834</v>
      </c>
      <c r="W696" s="254" t="s">
        <v>884</v>
      </c>
      <c r="X696" s="254" t="s">
        <v>446</v>
      </c>
      <c r="Y696" s="254" t="s">
        <v>843</v>
      </c>
      <c r="Z696" s="254" t="s">
        <v>1111</v>
      </c>
      <c r="AA696" s="254" t="s">
        <v>838</v>
      </c>
    </row>
    <row r="697" spans="1:27" ht="14.4" x14ac:dyDescent="0.3">
      <c r="A697" s="253">
        <v>11</v>
      </c>
      <c r="B697" s="254" t="s">
        <v>849</v>
      </c>
      <c r="C697" s="254">
        <v>13329</v>
      </c>
      <c r="D697" s="254" t="s">
        <v>346</v>
      </c>
      <c r="E697" s="254" t="str">
        <f>_xlfn.XLOOKUP(C697,Clientes!I:I,Clientes!F:F)</f>
        <v>CARGILL PARAGUAI</v>
      </c>
      <c r="F697" s="254">
        <v>4067</v>
      </c>
      <c r="G697" s="254" t="s">
        <v>832</v>
      </c>
      <c r="H697" s="254" t="s">
        <v>881</v>
      </c>
      <c r="I697" s="255">
        <v>30000</v>
      </c>
      <c r="J697" s="256">
        <v>30000</v>
      </c>
      <c r="K697" s="258">
        <v>154230</v>
      </c>
      <c r="L697" s="258">
        <v>0</v>
      </c>
      <c r="M697" s="258">
        <f t="shared" si="42"/>
        <v>154230</v>
      </c>
      <c r="N697" s="258">
        <v>-45947.301666666666</v>
      </c>
      <c r="O697" s="258">
        <v>-21107.24352</v>
      </c>
      <c r="P697" s="258">
        <v>-5524.3098593976601</v>
      </c>
      <c r="Q697" s="258">
        <f t="shared" si="43"/>
        <v>81651.144953935669</v>
      </c>
      <c r="R697" s="259">
        <f t="shared" si="44"/>
        <v>0.52941156035748993</v>
      </c>
      <c r="S697" s="255">
        <f t="shared" si="41"/>
        <v>5.141</v>
      </c>
      <c r="T697" s="255">
        <f t="shared" si="41"/>
        <v>5.141</v>
      </c>
      <c r="U697" s="254">
        <v>100100</v>
      </c>
      <c r="V697" s="254" t="s">
        <v>834</v>
      </c>
      <c r="W697" s="254" t="s">
        <v>1102</v>
      </c>
      <c r="X697" s="254" t="s">
        <v>446</v>
      </c>
      <c r="Y697" s="254" t="s">
        <v>836</v>
      </c>
      <c r="Z697" s="254" t="s">
        <v>1111</v>
      </c>
      <c r="AA697" s="254" t="s">
        <v>838</v>
      </c>
    </row>
    <row r="698" spans="1:27" ht="14.4" x14ac:dyDescent="0.3">
      <c r="A698" s="253">
        <v>11</v>
      </c>
      <c r="B698" s="254" t="s">
        <v>849</v>
      </c>
      <c r="C698" s="254">
        <v>341</v>
      </c>
      <c r="D698" s="254" t="s">
        <v>422</v>
      </c>
      <c r="E698" s="254" t="str">
        <f>_xlfn.XLOOKUP(C698,Clientes!I:I,Clientes!F:F)</f>
        <v>ADUBOS PARANAIBA - UBERLANDIA</v>
      </c>
      <c r="F698" s="254">
        <v>1043</v>
      </c>
      <c r="G698" s="254" t="s">
        <v>855</v>
      </c>
      <c r="H698" s="254" t="s">
        <v>860</v>
      </c>
      <c r="I698" s="255">
        <v>3000</v>
      </c>
      <c r="J698" s="256">
        <v>3000</v>
      </c>
      <c r="K698" s="258">
        <v>6000</v>
      </c>
      <c r="L698" s="258">
        <v>-1080</v>
      </c>
      <c r="M698" s="258">
        <f t="shared" si="42"/>
        <v>4920</v>
      </c>
      <c r="N698" s="258">
        <v>-1167.7992287234042</v>
      </c>
      <c r="O698" s="258">
        <v>0</v>
      </c>
      <c r="P698" s="258">
        <v>0</v>
      </c>
      <c r="Q698" s="258">
        <f t="shared" si="43"/>
        <v>3752.2007712765958</v>
      </c>
      <c r="R698" s="259">
        <f t="shared" si="44"/>
        <v>0.76264243318629998</v>
      </c>
      <c r="S698" s="255">
        <f t="shared" si="41"/>
        <v>2</v>
      </c>
      <c r="T698" s="255">
        <f t="shared" si="41"/>
        <v>2</v>
      </c>
      <c r="U698" s="254">
        <v>100100</v>
      </c>
      <c r="V698" s="254" t="s">
        <v>834</v>
      </c>
      <c r="W698" s="254" t="s">
        <v>865</v>
      </c>
      <c r="X698" s="254" t="s">
        <v>446</v>
      </c>
      <c r="Y698" s="254" t="s">
        <v>843</v>
      </c>
      <c r="Z698" s="254" t="s">
        <v>1111</v>
      </c>
      <c r="AA698" s="254" t="s">
        <v>838</v>
      </c>
    </row>
    <row r="699" spans="1:27" ht="14.4" x14ac:dyDescent="0.3">
      <c r="A699" s="253">
        <v>11</v>
      </c>
      <c r="B699" s="254" t="s">
        <v>849</v>
      </c>
      <c r="C699" s="254">
        <v>2622</v>
      </c>
      <c r="D699" s="254" t="s">
        <v>73</v>
      </c>
      <c r="E699" s="254" t="str">
        <f>_xlfn.XLOOKUP(C699,Clientes!I:I,Clientes!F:F)</f>
        <v>ADUFERTIL JUNDIAI</v>
      </c>
      <c r="F699" s="254">
        <v>1043</v>
      </c>
      <c r="G699" s="254" t="s">
        <v>908</v>
      </c>
      <c r="H699" s="254" t="s">
        <v>860</v>
      </c>
      <c r="I699" s="255">
        <v>30000</v>
      </c>
      <c r="J699" s="256">
        <v>30000</v>
      </c>
      <c r="K699" s="258">
        <v>79200</v>
      </c>
      <c r="L699" s="258">
        <v>-9504</v>
      </c>
      <c r="M699" s="258">
        <f t="shared" si="42"/>
        <v>69696</v>
      </c>
      <c r="N699" s="258">
        <v>-11677.992287234043</v>
      </c>
      <c r="O699" s="258">
        <v>-9878.4844703999988</v>
      </c>
      <c r="P699" s="258">
        <v>-5.0797503733336189</v>
      </c>
      <c r="Q699" s="258">
        <f t="shared" si="43"/>
        <v>48134.443491992628</v>
      </c>
      <c r="R699" s="259">
        <f t="shared" si="44"/>
        <v>0.69063423283965553</v>
      </c>
      <c r="S699" s="255">
        <f t="shared" si="41"/>
        <v>2.64</v>
      </c>
      <c r="T699" s="255">
        <f t="shared" si="41"/>
        <v>2.64</v>
      </c>
      <c r="U699" s="254">
        <v>100100</v>
      </c>
      <c r="V699" s="254" t="s">
        <v>834</v>
      </c>
      <c r="W699" s="254" t="s">
        <v>948</v>
      </c>
      <c r="X699" s="254" t="s">
        <v>446</v>
      </c>
      <c r="Y699" s="254" t="s">
        <v>843</v>
      </c>
      <c r="Z699" s="254" t="s">
        <v>1111</v>
      </c>
      <c r="AA699" s="254" t="s">
        <v>838</v>
      </c>
    </row>
    <row r="700" spans="1:27" ht="14.4" x14ac:dyDescent="0.3">
      <c r="A700" s="253">
        <v>11</v>
      </c>
      <c r="B700" s="254" t="s">
        <v>849</v>
      </c>
      <c r="C700" s="254">
        <v>43</v>
      </c>
      <c r="D700" s="254" t="s">
        <v>674</v>
      </c>
      <c r="E700" s="254" t="str">
        <f>_xlfn.XLOOKUP(C700,Clientes!I:I,Clientes!F:F)</f>
        <v>GRUPO CIBRA</v>
      </c>
      <c r="F700" s="254">
        <v>148</v>
      </c>
      <c r="G700" s="254" t="s">
        <v>875</v>
      </c>
      <c r="H700" s="254" t="s">
        <v>904</v>
      </c>
      <c r="I700" s="255">
        <v>180000</v>
      </c>
      <c r="J700" s="256">
        <v>180000</v>
      </c>
      <c r="K700" s="258">
        <v>426600</v>
      </c>
      <c r="L700" s="258">
        <v>-29862.000000000004</v>
      </c>
      <c r="M700" s="258">
        <f t="shared" si="42"/>
        <v>396738</v>
      </c>
      <c r="N700" s="258">
        <v>-121771.7288135593</v>
      </c>
      <c r="O700" s="258">
        <v>-124574.4759168</v>
      </c>
      <c r="P700" s="258">
        <v>-64.059142112573582</v>
      </c>
      <c r="Q700" s="258">
        <f t="shared" si="43"/>
        <v>150327.73612752813</v>
      </c>
      <c r="R700" s="259">
        <f t="shared" si="44"/>
        <v>0.37890934603574178</v>
      </c>
      <c r="S700" s="255">
        <f t="shared" si="41"/>
        <v>2.37</v>
      </c>
      <c r="T700" s="255">
        <f t="shared" si="41"/>
        <v>2.37</v>
      </c>
      <c r="U700" s="254">
        <v>100100</v>
      </c>
      <c r="V700" s="254" t="s">
        <v>834</v>
      </c>
      <c r="W700" s="254" t="s">
        <v>905</v>
      </c>
      <c r="X700" s="254" t="s">
        <v>446</v>
      </c>
      <c r="Y700" s="254" t="s">
        <v>843</v>
      </c>
      <c r="Z700" s="254" t="s">
        <v>1111</v>
      </c>
      <c r="AA700" s="254" t="s">
        <v>838</v>
      </c>
    </row>
    <row r="701" spans="1:27" ht="14.4" x14ac:dyDescent="0.3">
      <c r="A701" s="253">
        <v>11</v>
      </c>
      <c r="B701" s="254" t="s">
        <v>849</v>
      </c>
      <c r="C701" s="254">
        <v>1292</v>
      </c>
      <c r="D701" s="254" t="s">
        <v>1079</v>
      </c>
      <c r="E701" s="254" t="str">
        <f>_xlfn.XLOOKUP(C701,Clientes!I:I,Clientes!F:F)</f>
        <v>GRUPO AGRO INDUSTRIAL SAO LUIZ LTDA</v>
      </c>
      <c r="F701" s="254">
        <v>148</v>
      </c>
      <c r="G701" s="254" t="s">
        <v>893</v>
      </c>
      <c r="H701" s="254" t="s">
        <v>904</v>
      </c>
      <c r="I701" s="255">
        <v>20000</v>
      </c>
      <c r="J701" s="256">
        <v>20000</v>
      </c>
      <c r="K701" s="258">
        <v>47000</v>
      </c>
      <c r="L701" s="258">
        <v>-5640</v>
      </c>
      <c r="M701" s="258">
        <f t="shared" si="42"/>
        <v>41360</v>
      </c>
      <c r="N701" s="258">
        <v>-13530.192090395478</v>
      </c>
      <c r="O701" s="258">
        <v>-10207.092555894</v>
      </c>
      <c r="P701" s="258">
        <v>-5.2487284235568437</v>
      </c>
      <c r="Q701" s="258">
        <f t="shared" si="43"/>
        <v>17617.466625286965</v>
      </c>
      <c r="R701" s="259">
        <f t="shared" si="44"/>
        <v>0.42595422208140632</v>
      </c>
      <c r="S701" s="255">
        <f t="shared" si="41"/>
        <v>2.35</v>
      </c>
      <c r="T701" s="255">
        <f t="shared" si="41"/>
        <v>2.35</v>
      </c>
      <c r="U701" s="254">
        <v>100100</v>
      </c>
      <c r="V701" s="254" t="s">
        <v>834</v>
      </c>
      <c r="W701" s="254" t="s">
        <v>1080</v>
      </c>
      <c r="X701" s="254" t="s">
        <v>446</v>
      </c>
      <c r="Y701" s="254" t="s">
        <v>843</v>
      </c>
      <c r="Z701" s="254" t="s">
        <v>1111</v>
      </c>
      <c r="AA701" s="254" t="s">
        <v>838</v>
      </c>
    </row>
    <row r="702" spans="1:27" ht="14.4" x14ac:dyDescent="0.3">
      <c r="A702" s="253">
        <v>11</v>
      </c>
      <c r="B702" s="254" t="s">
        <v>849</v>
      </c>
      <c r="C702" s="254">
        <v>3232</v>
      </c>
      <c r="D702" s="254" t="s">
        <v>153</v>
      </c>
      <c r="E702" s="254" t="str">
        <f>_xlfn.XLOOKUP(C702,Clientes!I:I,Clientes!F:F)</f>
        <v>GRUPO FERTILIZ TOCANTINS</v>
      </c>
      <c r="F702" s="254">
        <v>7384</v>
      </c>
      <c r="G702" s="254" t="s">
        <v>855</v>
      </c>
      <c r="H702" s="254" t="s">
        <v>856</v>
      </c>
      <c r="I702" s="255">
        <v>180000</v>
      </c>
      <c r="J702" s="256">
        <v>180000</v>
      </c>
      <c r="K702" s="258">
        <v>336600</v>
      </c>
      <c r="L702" s="258">
        <v>-60588</v>
      </c>
      <c r="M702" s="258">
        <f t="shared" si="42"/>
        <v>276012</v>
      </c>
      <c r="N702" s="258">
        <v>-123467.51739130438</v>
      </c>
      <c r="O702" s="258">
        <v>-10343.268</v>
      </c>
      <c r="P702" s="258">
        <v>-5.3187530579133639</v>
      </c>
      <c r="Q702" s="258">
        <f t="shared" si="43"/>
        <v>142195.8958556377</v>
      </c>
      <c r="R702" s="259">
        <f t="shared" si="44"/>
        <v>0.51518012208033603</v>
      </c>
      <c r="S702" s="255">
        <f t="shared" si="41"/>
        <v>1.87</v>
      </c>
      <c r="T702" s="255">
        <f t="shared" si="41"/>
        <v>1.87</v>
      </c>
      <c r="U702" s="254">
        <v>100100</v>
      </c>
      <c r="V702" s="254" t="s">
        <v>834</v>
      </c>
      <c r="W702" s="254" t="s">
        <v>857</v>
      </c>
      <c r="X702" s="254" t="s">
        <v>446</v>
      </c>
      <c r="Y702" s="254" t="s">
        <v>843</v>
      </c>
      <c r="Z702" s="254" t="s">
        <v>1111</v>
      </c>
      <c r="AA702" s="254" t="s">
        <v>838</v>
      </c>
    </row>
    <row r="703" spans="1:27" ht="14.4" x14ac:dyDescent="0.3">
      <c r="A703" s="253">
        <v>11</v>
      </c>
      <c r="B703" s="254" t="s">
        <v>849</v>
      </c>
      <c r="C703" s="254">
        <v>452</v>
      </c>
      <c r="D703" s="254" t="s">
        <v>900</v>
      </c>
      <c r="E703" s="254" t="str">
        <f>_xlfn.XLOOKUP(C703,Clientes!I:I,Clientes!F:F)</f>
        <v>GRUPO FERTIPAR FERTILIZANTES MARANHAO</v>
      </c>
      <c r="F703" s="254">
        <v>2</v>
      </c>
      <c r="G703" s="254" t="s">
        <v>897</v>
      </c>
      <c r="H703" s="254" t="s">
        <v>883</v>
      </c>
      <c r="I703" s="255">
        <v>60000</v>
      </c>
      <c r="J703" s="256">
        <v>60000</v>
      </c>
      <c r="K703" s="258">
        <v>142200</v>
      </c>
      <c r="L703" s="258">
        <v>-9954.0000000000018</v>
      </c>
      <c r="M703" s="258">
        <f t="shared" si="42"/>
        <v>132246</v>
      </c>
      <c r="N703" s="258">
        <v>-37763.320000000007</v>
      </c>
      <c r="O703" s="258">
        <v>-52923.054599999996</v>
      </c>
      <c r="P703" s="258">
        <v>-27.21428647965671</v>
      </c>
      <c r="Q703" s="258">
        <f t="shared" si="43"/>
        <v>41532.411113520342</v>
      </c>
      <c r="R703" s="259">
        <f t="shared" si="44"/>
        <v>0.31405419531418977</v>
      </c>
      <c r="S703" s="255">
        <f t="shared" si="41"/>
        <v>2.37</v>
      </c>
      <c r="T703" s="255">
        <f t="shared" si="41"/>
        <v>2.37</v>
      </c>
      <c r="U703" s="254">
        <v>100100</v>
      </c>
      <c r="V703" s="254" t="s">
        <v>834</v>
      </c>
      <c r="W703" s="254" t="s">
        <v>899</v>
      </c>
      <c r="X703" s="254" t="s">
        <v>446</v>
      </c>
      <c r="Y703" s="254" t="s">
        <v>843</v>
      </c>
      <c r="Z703" s="254" t="s">
        <v>1111</v>
      </c>
      <c r="AA703" s="254" t="s">
        <v>838</v>
      </c>
    </row>
    <row r="704" spans="1:27" ht="14.4" x14ac:dyDescent="0.3">
      <c r="A704" s="253">
        <v>11</v>
      </c>
      <c r="B704" s="254" t="s">
        <v>849</v>
      </c>
      <c r="C704" s="254">
        <v>33</v>
      </c>
      <c r="D704" s="254" t="s">
        <v>885</v>
      </c>
      <c r="E704" s="254" t="str">
        <f>_xlfn.XLOOKUP(C704,Clientes!I:I,Clientes!F:F)</f>
        <v>GRUPO HERINGER</v>
      </c>
      <c r="F704" s="254">
        <v>7384</v>
      </c>
      <c r="G704" s="254" t="s">
        <v>862</v>
      </c>
      <c r="H704" s="254" t="s">
        <v>856</v>
      </c>
      <c r="I704" s="255">
        <v>30000</v>
      </c>
      <c r="J704" s="256">
        <v>30000</v>
      </c>
      <c r="K704" s="258">
        <v>98400</v>
      </c>
      <c r="L704" s="258">
        <v>-11808</v>
      </c>
      <c r="M704" s="258">
        <f t="shared" si="42"/>
        <v>86592</v>
      </c>
      <c r="N704" s="258">
        <v>-20577.919565217398</v>
      </c>
      <c r="O704" s="258">
        <v>-14049.6057</v>
      </c>
      <c r="P704" s="258">
        <v>-7.224639570332319</v>
      </c>
      <c r="Q704" s="258">
        <f t="shared" si="43"/>
        <v>51957.250095212272</v>
      </c>
      <c r="R704" s="259">
        <f t="shared" si="44"/>
        <v>0.60002367534197465</v>
      </c>
      <c r="S704" s="255">
        <f t="shared" si="41"/>
        <v>3.28</v>
      </c>
      <c r="T704" s="255">
        <f t="shared" si="41"/>
        <v>3.28</v>
      </c>
      <c r="U704" s="254">
        <v>100100</v>
      </c>
      <c r="V704" s="254" t="s">
        <v>834</v>
      </c>
      <c r="W704" s="254" t="s">
        <v>864</v>
      </c>
      <c r="X704" s="254" t="s">
        <v>446</v>
      </c>
      <c r="Y704" s="254" t="s">
        <v>843</v>
      </c>
      <c r="Z704" s="254" t="s">
        <v>1111</v>
      </c>
      <c r="AA704" s="254" t="s">
        <v>838</v>
      </c>
    </row>
    <row r="705" spans="1:27" ht="14.4" x14ac:dyDescent="0.3">
      <c r="A705" s="253">
        <v>11</v>
      </c>
      <c r="B705" s="254" t="s">
        <v>849</v>
      </c>
      <c r="C705" s="254">
        <v>9295</v>
      </c>
      <c r="D705" s="254" t="s">
        <v>333</v>
      </c>
      <c r="E705" s="254" t="str">
        <f>_xlfn.XLOOKUP(C705,Clientes!I:I,Clientes!F:F)</f>
        <v>TECNOMYL S.A. - PARAGUAY</v>
      </c>
      <c r="F705" s="254">
        <v>14146</v>
      </c>
      <c r="G705" s="254" t="s">
        <v>832</v>
      </c>
      <c r="H705" s="254" t="s">
        <v>1011</v>
      </c>
      <c r="I705" s="255">
        <v>52800</v>
      </c>
      <c r="J705" s="256">
        <v>52800</v>
      </c>
      <c r="K705" s="258">
        <v>271444.8</v>
      </c>
      <c r="L705" s="258">
        <v>0</v>
      </c>
      <c r="M705" s="258">
        <f t="shared" si="42"/>
        <v>271444.8</v>
      </c>
      <c r="N705" s="258">
        <v>-105562.42782608696</v>
      </c>
      <c r="O705" s="258">
        <v>-47610.112000000016</v>
      </c>
      <c r="P705" s="258">
        <v>-9728.1648330482894</v>
      </c>
      <c r="Q705" s="258">
        <f t="shared" si="43"/>
        <v>108544.09534086472</v>
      </c>
      <c r="R705" s="259">
        <f t="shared" si="44"/>
        <v>0.39987539028511404</v>
      </c>
      <c r="S705" s="255">
        <f t="shared" si="41"/>
        <v>5.141</v>
      </c>
      <c r="T705" s="255">
        <f t="shared" si="41"/>
        <v>5.141</v>
      </c>
      <c r="U705" s="254">
        <v>100100</v>
      </c>
      <c r="V705" s="254" t="s">
        <v>834</v>
      </c>
      <c r="W705" s="254" t="s">
        <v>1012</v>
      </c>
      <c r="X705" s="254" t="s">
        <v>446</v>
      </c>
      <c r="Y705" s="254" t="s">
        <v>836</v>
      </c>
      <c r="Z705" s="254" t="s">
        <v>1111</v>
      </c>
      <c r="AA705" s="254" t="s">
        <v>838</v>
      </c>
    </row>
    <row r="706" spans="1:27" ht="14.4" x14ac:dyDescent="0.3">
      <c r="A706" s="253">
        <v>11</v>
      </c>
      <c r="B706" s="254" t="s">
        <v>849</v>
      </c>
      <c r="C706" s="254">
        <v>2287</v>
      </c>
      <c r="D706" s="254" t="s">
        <v>114</v>
      </c>
      <c r="E706" s="254" t="str">
        <f>_xlfn.XLOOKUP(C706,Clientes!I:I,Clientes!F:F)</f>
        <v>BUNGE PARAGUAY S.A</v>
      </c>
      <c r="F706" s="254">
        <v>4067</v>
      </c>
      <c r="G706" s="254" t="s">
        <v>832</v>
      </c>
      <c r="H706" s="254" t="s">
        <v>881</v>
      </c>
      <c r="I706" s="255">
        <v>120000</v>
      </c>
      <c r="J706" s="256">
        <v>120000</v>
      </c>
      <c r="K706" s="258">
        <v>636000</v>
      </c>
      <c r="L706" s="258">
        <v>0</v>
      </c>
      <c r="M706" s="258">
        <f t="shared" si="42"/>
        <v>636000</v>
      </c>
      <c r="N706" s="258">
        <v>-183789.20666666667</v>
      </c>
      <c r="O706" s="258">
        <v>-142887.99999999959</v>
      </c>
      <c r="P706" s="258">
        <v>-22127.300451466974</v>
      </c>
      <c r="Q706" s="258">
        <f t="shared" si="43"/>
        <v>287195.49288186675</v>
      </c>
      <c r="R706" s="259">
        <f t="shared" si="44"/>
        <v>0.45156524038029366</v>
      </c>
      <c r="S706" s="255">
        <f t="shared" si="41"/>
        <v>5.3</v>
      </c>
      <c r="T706" s="255">
        <f t="shared" si="41"/>
        <v>5.3</v>
      </c>
      <c r="U706" s="254">
        <v>100100</v>
      </c>
      <c r="V706" s="254" t="s">
        <v>834</v>
      </c>
      <c r="W706" s="254" t="s">
        <v>882</v>
      </c>
      <c r="X706" s="254" t="s">
        <v>446</v>
      </c>
      <c r="Y706" s="254" t="s">
        <v>836</v>
      </c>
      <c r="Z706" s="254" t="s">
        <v>1111</v>
      </c>
      <c r="AA706" s="254" t="s">
        <v>838</v>
      </c>
    </row>
    <row r="707" spans="1:27" ht="14.4" x14ac:dyDescent="0.3">
      <c r="A707" s="253">
        <v>11</v>
      </c>
      <c r="B707" s="254" t="s">
        <v>849</v>
      </c>
      <c r="C707" s="254">
        <v>5657</v>
      </c>
      <c r="D707" s="254" t="s">
        <v>84</v>
      </c>
      <c r="E707" s="254" t="str">
        <f>_xlfn.XLOOKUP(C707,Clientes!I:I,Clientes!F:F)</f>
        <v>FERTIPLANTA - VARGEM GRANDE DO SUL</v>
      </c>
      <c r="F707" s="254">
        <v>14133</v>
      </c>
      <c r="G707" s="254" t="s">
        <v>908</v>
      </c>
      <c r="H707" s="254" t="s">
        <v>841</v>
      </c>
      <c r="I707" s="255">
        <v>60000</v>
      </c>
      <c r="J707" s="256">
        <v>60000</v>
      </c>
      <c r="K707" s="258">
        <v>207600</v>
      </c>
      <c r="L707" s="258">
        <v>-24912</v>
      </c>
      <c r="M707" s="258">
        <f t="shared" si="42"/>
        <v>182688</v>
      </c>
      <c r="N707" s="258">
        <v>-73890.960749999998</v>
      </c>
      <c r="O707" s="258">
        <v>-15433.5609792</v>
      </c>
      <c r="P707" s="258">
        <v>-7.9363021099919644</v>
      </c>
      <c r="Q707" s="258">
        <f t="shared" si="43"/>
        <v>93355.541968690013</v>
      </c>
      <c r="R707" s="259">
        <f t="shared" si="44"/>
        <v>0.51101080513602437</v>
      </c>
      <c r="S707" s="255">
        <f t="shared" ref="S707:T770" si="45">$K707/I707</f>
        <v>3.46</v>
      </c>
      <c r="T707" s="255">
        <f t="shared" si="45"/>
        <v>3.46</v>
      </c>
      <c r="U707" s="254">
        <v>100100</v>
      </c>
      <c r="V707" s="254" t="s">
        <v>834</v>
      </c>
      <c r="W707" s="254" t="s">
        <v>1067</v>
      </c>
      <c r="X707" s="254" t="s">
        <v>446</v>
      </c>
      <c r="Y707" s="254" t="s">
        <v>843</v>
      </c>
      <c r="Z707" s="254" t="s">
        <v>1111</v>
      </c>
      <c r="AA707" s="254" t="s">
        <v>838</v>
      </c>
    </row>
    <row r="708" spans="1:27" ht="14.4" x14ac:dyDescent="0.3">
      <c r="A708" s="253">
        <v>11</v>
      </c>
      <c r="B708" s="254" t="s">
        <v>849</v>
      </c>
      <c r="C708" s="254">
        <v>11133</v>
      </c>
      <c r="D708" s="254" t="s">
        <v>895</v>
      </c>
      <c r="E708" s="254" t="str">
        <f>_xlfn.XLOOKUP(C708,Clientes!I:I,Clientes!F:F)</f>
        <v>GRUPO ADUBOS ARAGUAIA</v>
      </c>
      <c r="F708" s="254">
        <v>14133</v>
      </c>
      <c r="G708" s="254" t="s">
        <v>862</v>
      </c>
      <c r="H708" s="254" t="s">
        <v>841</v>
      </c>
      <c r="I708" s="255">
        <v>13200</v>
      </c>
      <c r="J708" s="256">
        <v>13200</v>
      </c>
      <c r="K708" s="258">
        <v>38280</v>
      </c>
      <c r="L708" s="258">
        <v>-4593.5999999999995</v>
      </c>
      <c r="M708" s="258">
        <f t="shared" ref="M708:M771" si="46">SUM(K708:L708)</f>
        <v>33686.400000000001</v>
      </c>
      <c r="N708" s="258">
        <v>-16256.011365000002</v>
      </c>
      <c r="O708" s="258">
        <v>-9623.6718130238405</v>
      </c>
      <c r="P708" s="258">
        <v>-4.9487196777532203</v>
      </c>
      <c r="Q708" s="258">
        <f t="shared" ref="Q708:Q771" si="47">SUM(M708:P708)</f>
        <v>7801.7681022984052</v>
      </c>
      <c r="R708" s="259">
        <f t="shared" ref="R708:R771" si="48">Q708/M708</f>
        <v>0.23159993654110872</v>
      </c>
      <c r="S708" s="255">
        <f t="shared" si="45"/>
        <v>2.9</v>
      </c>
      <c r="T708" s="255">
        <f t="shared" si="45"/>
        <v>2.9</v>
      </c>
      <c r="U708" s="254">
        <v>100100</v>
      </c>
      <c r="V708" s="254" t="s">
        <v>834</v>
      </c>
      <c r="W708" s="254" t="s">
        <v>864</v>
      </c>
      <c r="X708" s="254" t="s">
        <v>446</v>
      </c>
      <c r="Y708" s="254" t="s">
        <v>843</v>
      </c>
      <c r="Z708" s="254" t="s">
        <v>1111</v>
      </c>
      <c r="AA708" s="254" t="s">
        <v>838</v>
      </c>
    </row>
    <row r="709" spans="1:27" ht="14.4" x14ac:dyDescent="0.3">
      <c r="A709" s="253">
        <v>11</v>
      </c>
      <c r="B709" s="254" t="s">
        <v>849</v>
      </c>
      <c r="C709" s="254">
        <v>2603</v>
      </c>
      <c r="D709" s="254" t="s">
        <v>1074</v>
      </c>
      <c r="E709" s="254" t="str">
        <f>_xlfn.XLOOKUP(C709,Clientes!I:I,Clientes!F:F)</f>
        <v>GRUPO MOSAIC FERTILIZANTES DO BRASIL</v>
      </c>
      <c r="F709" s="254">
        <v>1043</v>
      </c>
      <c r="G709" s="254" t="s">
        <v>897</v>
      </c>
      <c r="H709" s="254" t="s">
        <v>860</v>
      </c>
      <c r="I709" s="255">
        <v>30000</v>
      </c>
      <c r="J709" s="256">
        <v>30000</v>
      </c>
      <c r="K709" s="258">
        <v>73800</v>
      </c>
      <c r="L709" s="258">
        <v>-5166.0000000000009</v>
      </c>
      <c r="M709" s="258">
        <f t="shared" si="46"/>
        <v>68634</v>
      </c>
      <c r="N709" s="258">
        <v>-11677.992287234043</v>
      </c>
      <c r="O709" s="258">
        <v>0</v>
      </c>
      <c r="P709" s="258">
        <v>0</v>
      </c>
      <c r="Q709" s="258">
        <f t="shared" si="47"/>
        <v>56956.007712765961</v>
      </c>
      <c r="R709" s="259">
        <f t="shared" si="48"/>
        <v>0.82985120658516132</v>
      </c>
      <c r="S709" s="255">
        <f t="shared" si="45"/>
        <v>2.46</v>
      </c>
      <c r="T709" s="255">
        <f t="shared" si="45"/>
        <v>2.46</v>
      </c>
      <c r="U709" s="254">
        <v>100100</v>
      </c>
      <c r="V709" s="254" t="s">
        <v>834</v>
      </c>
      <c r="W709" s="254" t="s">
        <v>899</v>
      </c>
      <c r="X709" s="254" t="s">
        <v>446</v>
      </c>
      <c r="Y709" s="254" t="s">
        <v>843</v>
      </c>
      <c r="Z709" s="254" t="s">
        <v>1111</v>
      </c>
      <c r="AA709" s="254" t="s">
        <v>838</v>
      </c>
    </row>
    <row r="710" spans="1:27" ht="14.4" x14ac:dyDescent="0.3">
      <c r="A710" s="253">
        <v>11</v>
      </c>
      <c r="B710" s="254" t="s">
        <v>849</v>
      </c>
      <c r="C710" s="254">
        <v>7022</v>
      </c>
      <c r="D710" s="254" t="s">
        <v>89</v>
      </c>
      <c r="E710" s="254" t="str">
        <f>_xlfn.XLOOKUP(C710,Clientes!I:I,Clientes!F:F)</f>
        <v>STRATOS - ROSARIO DO CATETE</v>
      </c>
      <c r="F710" s="254">
        <v>1043</v>
      </c>
      <c r="G710" s="254" t="s">
        <v>887</v>
      </c>
      <c r="H710" s="254" t="s">
        <v>860</v>
      </c>
      <c r="I710" s="255">
        <v>180000</v>
      </c>
      <c r="J710" s="256">
        <v>180000</v>
      </c>
      <c r="K710" s="258">
        <v>433800</v>
      </c>
      <c r="L710" s="258">
        <v>-30366.000000000004</v>
      </c>
      <c r="M710" s="258">
        <f t="shared" si="46"/>
        <v>403434</v>
      </c>
      <c r="N710" s="258">
        <v>-70067.953723404265</v>
      </c>
      <c r="O710" s="258">
        <v>-151269.0064704</v>
      </c>
      <c r="P710" s="258">
        <v>-77.786101136696487</v>
      </c>
      <c r="Q710" s="258">
        <f t="shared" si="47"/>
        <v>182019.25370505903</v>
      </c>
      <c r="R710" s="259">
        <f t="shared" si="48"/>
        <v>0.45117479861652471</v>
      </c>
      <c r="S710" s="255">
        <f t="shared" si="45"/>
        <v>2.41</v>
      </c>
      <c r="T710" s="255">
        <f t="shared" si="45"/>
        <v>2.41</v>
      </c>
      <c r="U710" s="254">
        <v>100100</v>
      </c>
      <c r="V710" s="254" t="s">
        <v>834</v>
      </c>
      <c r="W710" s="254" t="s">
        <v>888</v>
      </c>
      <c r="X710" s="254" t="s">
        <v>446</v>
      </c>
      <c r="Y710" s="254" t="s">
        <v>843</v>
      </c>
      <c r="Z710" s="254" t="s">
        <v>1111</v>
      </c>
      <c r="AA710" s="254" t="s">
        <v>838</v>
      </c>
    </row>
    <row r="711" spans="1:27" ht="14.4" x14ac:dyDescent="0.3">
      <c r="A711" s="253">
        <v>11</v>
      </c>
      <c r="B711" s="254" t="s">
        <v>849</v>
      </c>
      <c r="C711" s="254">
        <v>139</v>
      </c>
      <c r="D711" s="254" t="s">
        <v>32</v>
      </c>
      <c r="E711" s="254" t="str">
        <f>_xlfn.XLOOKUP(C711,Clientes!I:I,Clientes!F:F)</f>
        <v>COMIGO - RIO VERDE</v>
      </c>
      <c r="F711" s="254">
        <v>1043</v>
      </c>
      <c r="G711" s="254" t="s">
        <v>867</v>
      </c>
      <c r="H711" s="254" t="s">
        <v>860</v>
      </c>
      <c r="I711" s="255">
        <v>90000</v>
      </c>
      <c r="J711" s="256">
        <v>90000</v>
      </c>
      <c r="K711" s="258">
        <v>61250.000000000036</v>
      </c>
      <c r="L711" s="258">
        <v>-4287.5000000000027</v>
      </c>
      <c r="M711" s="258">
        <f t="shared" si="46"/>
        <v>56962.500000000036</v>
      </c>
      <c r="N711" s="258">
        <v>-35033.976861702133</v>
      </c>
      <c r="O711" s="258">
        <v>-17066.392199999998</v>
      </c>
      <c r="P711" s="258">
        <v>-8.775942545557049</v>
      </c>
      <c r="Q711" s="258">
        <f t="shared" si="47"/>
        <v>4853.3549957523483</v>
      </c>
      <c r="R711" s="259">
        <f t="shared" si="48"/>
        <v>8.5202633236819758E-2</v>
      </c>
      <c r="S711" s="255">
        <f t="shared" si="45"/>
        <v>0.68055555555555591</v>
      </c>
      <c r="T711" s="255">
        <f t="shared" si="45"/>
        <v>0.68055555555555591</v>
      </c>
      <c r="U711" s="254">
        <v>100100</v>
      </c>
      <c r="V711" s="254" t="s">
        <v>834</v>
      </c>
      <c r="W711" s="254" t="s">
        <v>890</v>
      </c>
      <c r="X711" s="254" t="s">
        <v>446</v>
      </c>
      <c r="Y711" s="254" t="s">
        <v>843</v>
      </c>
      <c r="Z711" s="254" t="s">
        <v>1111</v>
      </c>
      <c r="AA711" s="254" t="s">
        <v>838</v>
      </c>
    </row>
    <row r="712" spans="1:27" ht="14.4" x14ac:dyDescent="0.3">
      <c r="A712" s="253">
        <v>11</v>
      </c>
      <c r="B712" s="254" t="s">
        <v>849</v>
      </c>
      <c r="C712" s="254">
        <v>466</v>
      </c>
      <c r="D712" s="254" t="s">
        <v>40</v>
      </c>
      <c r="E712" s="254" t="str">
        <f>_xlfn.XLOOKUP(C712,Clientes!I:I,Clientes!F:F)</f>
        <v>GRUPO ADUBOS ARAGUAIA</v>
      </c>
      <c r="F712" s="254">
        <v>1</v>
      </c>
      <c r="G712" s="254" t="s">
        <v>840</v>
      </c>
      <c r="H712" s="254" t="s">
        <v>873</v>
      </c>
      <c r="I712" s="255">
        <v>30000</v>
      </c>
      <c r="J712" s="256">
        <v>30000</v>
      </c>
      <c r="K712" s="258">
        <v>72900</v>
      </c>
      <c r="L712" s="258">
        <v>-5103.0000000000009</v>
      </c>
      <c r="M712" s="258">
        <f t="shared" si="46"/>
        <v>67797</v>
      </c>
      <c r="N712" s="258">
        <v>-20433.108888888884</v>
      </c>
      <c r="O712" s="258">
        <v>-21002.580299999998</v>
      </c>
      <c r="P712" s="258">
        <v>-10.80002357037408</v>
      </c>
      <c r="Q712" s="258">
        <f t="shared" si="47"/>
        <v>26350.510787540745</v>
      </c>
      <c r="R712" s="259">
        <f t="shared" si="48"/>
        <v>0.38866779927638012</v>
      </c>
      <c r="S712" s="255">
        <f t="shared" si="45"/>
        <v>2.4300000000000002</v>
      </c>
      <c r="T712" s="255">
        <f t="shared" si="45"/>
        <v>2.4300000000000002</v>
      </c>
      <c r="U712" s="254">
        <v>100100</v>
      </c>
      <c r="V712" s="254" t="s">
        <v>834</v>
      </c>
      <c r="W712" s="254" t="s">
        <v>874</v>
      </c>
      <c r="X712" s="254" t="s">
        <v>446</v>
      </c>
      <c r="Y712" s="254" t="s">
        <v>843</v>
      </c>
      <c r="Z712" s="254" t="s">
        <v>1111</v>
      </c>
      <c r="AA712" s="254" t="s">
        <v>838</v>
      </c>
    </row>
    <row r="713" spans="1:27" ht="14.4" x14ac:dyDescent="0.3">
      <c r="A713" s="253">
        <v>11</v>
      </c>
      <c r="B713" s="254" t="s">
        <v>849</v>
      </c>
      <c r="C713" s="254">
        <v>1874</v>
      </c>
      <c r="D713" s="254" t="s">
        <v>210</v>
      </c>
      <c r="E713" s="254" t="str">
        <f>_xlfn.XLOOKUP(C713,Clientes!I:I,Clientes!F:F)</f>
        <v>GRUPO FERTILIZ TOCANTINS</v>
      </c>
      <c r="F713" s="254">
        <v>148</v>
      </c>
      <c r="G713" s="254" t="s">
        <v>926</v>
      </c>
      <c r="H713" s="254" t="s">
        <v>904</v>
      </c>
      <c r="I713" s="255">
        <v>90000</v>
      </c>
      <c r="J713" s="256">
        <v>90000</v>
      </c>
      <c r="K713" s="258">
        <v>252900</v>
      </c>
      <c r="L713" s="258">
        <v>-17703</v>
      </c>
      <c r="M713" s="258">
        <f t="shared" si="46"/>
        <v>235197</v>
      </c>
      <c r="N713" s="258">
        <v>-60885.864406779649</v>
      </c>
      <c r="O713" s="258">
        <v>-80936.072100000005</v>
      </c>
      <c r="P713" s="258">
        <v>-41.619242678172078</v>
      </c>
      <c r="Q713" s="258">
        <f t="shared" si="47"/>
        <v>93333.444250542176</v>
      </c>
      <c r="R713" s="259">
        <f t="shared" si="48"/>
        <v>0.39683093003117459</v>
      </c>
      <c r="S713" s="255">
        <f t="shared" si="45"/>
        <v>2.81</v>
      </c>
      <c r="T713" s="255">
        <f t="shared" si="45"/>
        <v>2.81</v>
      </c>
      <c r="U713" s="254">
        <v>100100</v>
      </c>
      <c r="V713" s="254" t="s">
        <v>834</v>
      </c>
      <c r="W713" s="254" t="s">
        <v>928</v>
      </c>
      <c r="X713" s="254" t="s">
        <v>446</v>
      </c>
      <c r="Y713" s="254" t="s">
        <v>843</v>
      </c>
      <c r="Z713" s="254" t="s">
        <v>1111</v>
      </c>
      <c r="AA713" s="254" t="s">
        <v>838</v>
      </c>
    </row>
    <row r="714" spans="1:27" ht="14.4" x14ac:dyDescent="0.3">
      <c r="A714" s="253">
        <v>11</v>
      </c>
      <c r="B714" s="254" t="s">
        <v>849</v>
      </c>
      <c r="C714" s="254">
        <v>10492</v>
      </c>
      <c r="D714" s="254" t="s">
        <v>101</v>
      </c>
      <c r="E714" s="254" t="str">
        <f>_xlfn.XLOOKUP(C714,Clientes!I:I,Clientes!F:F)</f>
        <v>GRUPO UNIFERTIL</v>
      </c>
      <c r="F714" s="254">
        <v>3</v>
      </c>
      <c r="G714" s="254" t="s">
        <v>877</v>
      </c>
      <c r="H714" s="254" t="s">
        <v>879</v>
      </c>
      <c r="I714" s="255">
        <v>64000</v>
      </c>
      <c r="J714" s="256">
        <v>64000</v>
      </c>
      <c r="K714" s="258">
        <v>165760</v>
      </c>
      <c r="L714" s="258">
        <v>-19891.2</v>
      </c>
      <c r="M714" s="258">
        <f t="shared" si="46"/>
        <v>145868.79999999999</v>
      </c>
      <c r="N714" s="258">
        <v>-49766.920000000006</v>
      </c>
      <c r="O714" s="258">
        <v>-52099.423999999999</v>
      </c>
      <c r="P714" s="258">
        <v>-26.790756143563609</v>
      </c>
      <c r="Q714" s="258">
        <f t="shared" si="47"/>
        <v>43975.665243856412</v>
      </c>
      <c r="R714" s="259">
        <f t="shared" si="48"/>
        <v>0.3014741003138191</v>
      </c>
      <c r="S714" s="255">
        <f t="shared" si="45"/>
        <v>2.59</v>
      </c>
      <c r="T714" s="255">
        <f t="shared" si="45"/>
        <v>2.59</v>
      </c>
      <c r="U714" s="254">
        <v>100100</v>
      </c>
      <c r="V714" s="254" t="s">
        <v>834</v>
      </c>
      <c r="W714" s="254" t="s">
        <v>878</v>
      </c>
      <c r="X714" s="254" t="s">
        <v>446</v>
      </c>
      <c r="Y714" s="254" t="s">
        <v>843</v>
      </c>
      <c r="Z714" s="254" t="s">
        <v>1111</v>
      </c>
      <c r="AA714" s="254" t="s">
        <v>838</v>
      </c>
    </row>
    <row r="715" spans="1:27" ht="14.4" x14ac:dyDescent="0.3">
      <c r="A715" s="253">
        <v>11</v>
      </c>
      <c r="B715" s="254" t="s">
        <v>849</v>
      </c>
      <c r="C715" s="254">
        <v>2809</v>
      </c>
      <c r="D715" s="254" t="s">
        <v>159</v>
      </c>
      <c r="E715" s="254" t="str">
        <f>_xlfn.XLOOKUP(C715,Clientes!I:I,Clientes!F:F)</f>
        <v>CISBRA QUIMICA - FORMOSA</v>
      </c>
      <c r="F715" s="254">
        <v>1043</v>
      </c>
      <c r="G715" s="254" t="s">
        <v>867</v>
      </c>
      <c r="H715" s="254" t="s">
        <v>860</v>
      </c>
      <c r="I715" s="255">
        <v>30000</v>
      </c>
      <c r="J715" s="256">
        <v>30000</v>
      </c>
      <c r="K715" s="258">
        <v>55500</v>
      </c>
      <c r="L715" s="258">
        <v>-3885.0000000000005</v>
      </c>
      <c r="M715" s="258">
        <f t="shared" si="46"/>
        <v>51615</v>
      </c>
      <c r="N715" s="258">
        <v>-11677.992287234043</v>
      </c>
      <c r="O715" s="258">
        <v>-7786.1822999999995</v>
      </c>
      <c r="P715" s="258">
        <v>-4.0038391074847821</v>
      </c>
      <c r="Q715" s="258">
        <f t="shared" si="47"/>
        <v>32146.821573658475</v>
      </c>
      <c r="R715" s="259">
        <f t="shared" si="48"/>
        <v>0.62281936595289111</v>
      </c>
      <c r="S715" s="255">
        <f t="shared" si="45"/>
        <v>1.85</v>
      </c>
      <c r="T715" s="255">
        <f t="shared" si="45"/>
        <v>1.85</v>
      </c>
      <c r="U715" s="254">
        <v>100100</v>
      </c>
      <c r="V715" s="254" t="s">
        <v>834</v>
      </c>
      <c r="W715" s="254" t="s">
        <v>886</v>
      </c>
      <c r="X715" s="254" t="s">
        <v>446</v>
      </c>
      <c r="Y715" s="254" t="s">
        <v>843</v>
      </c>
      <c r="Z715" s="254" t="s">
        <v>1111</v>
      </c>
      <c r="AA715" s="254" t="s">
        <v>838</v>
      </c>
    </row>
    <row r="716" spans="1:27" ht="14.4" x14ac:dyDescent="0.3">
      <c r="A716" s="253">
        <v>11</v>
      </c>
      <c r="B716" s="254" t="s">
        <v>849</v>
      </c>
      <c r="C716" s="254">
        <v>10492</v>
      </c>
      <c r="D716" s="254" t="s">
        <v>101</v>
      </c>
      <c r="E716" s="254" t="str">
        <f>_xlfn.XLOOKUP(C716,Clientes!I:I,Clientes!F:F)</f>
        <v>GRUPO UNIFERTIL</v>
      </c>
      <c r="F716" s="254">
        <v>113</v>
      </c>
      <c r="G716" s="254" t="s">
        <v>877</v>
      </c>
      <c r="H716" s="254" t="s">
        <v>913</v>
      </c>
      <c r="I716" s="255">
        <v>96000</v>
      </c>
      <c r="J716" s="256">
        <v>96000</v>
      </c>
      <c r="K716" s="258">
        <v>296640</v>
      </c>
      <c r="L716" s="258">
        <v>-35596.799999999996</v>
      </c>
      <c r="M716" s="258">
        <f t="shared" si="46"/>
        <v>261043.20000000001</v>
      </c>
      <c r="N716" s="258">
        <v>-86405.822950819682</v>
      </c>
      <c r="O716" s="258">
        <v>-78149.135999999999</v>
      </c>
      <c r="P716" s="258">
        <v>-40.186134215345419</v>
      </c>
      <c r="Q716" s="258">
        <f t="shared" si="47"/>
        <v>96448.054914964989</v>
      </c>
      <c r="R716" s="259">
        <f t="shared" si="48"/>
        <v>0.36947162352807883</v>
      </c>
      <c r="S716" s="255">
        <f t="shared" si="45"/>
        <v>3.09</v>
      </c>
      <c r="T716" s="255">
        <f t="shared" si="45"/>
        <v>3.09</v>
      </c>
      <c r="U716" s="254">
        <v>100200</v>
      </c>
      <c r="V716" s="254" t="s">
        <v>912</v>
      </c>
      <c r="W716" s="254" t="s">
        <v>878</v>
      </c>
      <c r="X716" s="254" t="s">
        <v>446</v>
      </c>
      <c r="Y716" s="254" t="s">
        <v>843</v>
      </c>
      <c r="Z716" s="254" t="s">
        <v>1111</v>
      </c>
      <c r="AA716" s="254" t="s">
        <v>838</v>
      </c>
    </row>
    <row r="717" spans="1:27" ht="14.4" x14ac:dyDescent="0.3">
      <c r="A717" s="253">
        <v>11</v>
      </c>
      <c r="B717" s="254" t="s">
        <v>849</v>
      </c>
      <c r="C717" s="254">
        <v>8414</v>
      </c>
      <c r="D717" s="254" t="s">
        <v>98</v>
      </c>
      <c r="E717" s="254" t="str">
        <f>_xlfn.XLOOKUP(C717,Clientes!I:I,Clientes!F:F)</f>
        <v>GRUPO AMAGGI</v>
      </c>
      <c r="F717" s="254">
        <v>113</v>
      </c>
      <c r="G717" s="254" t="s">
        <v>1061</v>
      </c>
      <c r="H717" s="254" t="s">
        <v>913</v>
      </c>
      <c r="I717" s="255">
        <v>90000</v>
      </c>
      <c r="J717" s="256">
        <v>90000</v>
      </c>
      <c r="K717" s="258">
        <v>283500</v>
      </c>
      <c r="L717" s="258">
        <v>-19845.000000000004</v>
      </c>
      <c r="M717" s="258">
        <f t="shared" si="46"/>
        <v>263655</v>
      </c>
      <c r="N717" s="258">
        <v>-81005.459016393448</v>
      </c>
      <c r="O717" s="258">
        <v>-73523.07144</v>
      </c>
      <c r="P717" s="258">
        <v>-37.807302396948693</v>
      </c>
      <c r="Q717" s="258">
        <f t="shared" si="47"/>
        <v>109088.66224120959</v>
      </c>
      <c r="R717" s="259">
        <f t="shared" si="48"/>
        <v>0.41375533269313908</v>
      </c>
      <c r="S717" s="255">
        <f t="shared" si="45"/>
        <v>3.15</v>
      </c>
      <c r="T717" s="255">
        <f t="shared" si="45"/>
        <v>3.15</v>
      </c>
      <c r="U717" s="254">
        <v>100200</v>
      </c>
      <c r="V717" s="254" t="s">
        <v>912</v>
      </c>
      <c r="W717" s="254" t="s">
        <v>1062</v>
      </c>
      <c r="X717" s="254" t="s">
        <v>446</v>
      </c>
      <c r="Y717" s="254" t="s">
        <v>843</v>
      </c>
      <c r="Z717" s="254" t="s">
        <v>1111</v>
      </c>
      <c r="AA717" s="254" t="s">
        <v>838</v>
      </c>
    </row>
    <row r="718" spans="1:27" ht="14.4" x14ac:dyDescent="0.3">
      <c r="A718" s="253">
        <v>11</v>
      </c>
      <c r="B718" s="254" t="s">
        <v>849</v>
      </c>
      <c r="C718" s="254">
        <v>8413</v>
      </c>
      <c r="D718" s="254" t="s">
        <v>97</v>
      </c>
      <c r="E718" s="254" t="str">
        <f>_xlfn.XLOOKUP(C718,Clientes!I:I,Clientes!F:F)</f>
        <v>GRUPO AMAGGI</v>
      </c>
      <c r="F718" s="254">
        <v>113</v>
      </c>
      <c r="G718" s="254" t="s">
        <v>840</v>
      </c>
      <c r="H718" s="254" t="s">
        <v>913</v>
      </c>
      <c r="I718" s="255">
        <v>64000</v>
      </c>
      <c r="J718" s="256">
        <v>64000</v>
      </c>
      <c r="K718" s="258">
        <v>185600</v>
      </c>
      <c r="L718" s="258">
        <v>-12992.000000000002</v>
      </c>
      <c r="M718" s="258">
        <f t="shared" si="46"/>
        <v>172608</v>
      </c>
      <c r="N718" s="258">
        <v>-57603.881967213114</v>
      </c>
      <c r="O718" s="258">
        <v>-46705.601280000003</v>
      </c>
      <c r="P718" s="258">
        <v>-24.01712491928879</v>
      </c>
      <c r="Q718" s="258">
        <f t="shared" si="47"/>
        <v>68274.499627867583</v>
      </c>
      <c r="R718" s="259">
        <f t="shared" si="48"/>
        <v>0.39554655420297774</v>
      </c>
      <c r="S718" s="255">
        <f t="shared" si="45"/>
        <v>2.9</v>
      </c>
      <c r="T718" s="255">
        <f t="shared" si="45"/>
        <v>2.9</v>
      </c>
      <c r="U718" s="254">
        <v>100200</v>
      </c>
      <c r="V718" s="254" t="s">
        <v>912</v>
      </c>
      <c r="W718" s="254" t="s">
        <v>915</v>
      </c>
      <c r="X718" s="254" t="s">
        <v>446</v>
      </c>
      <c r="Y718" s="254" t="s">
        <v>843</v>
      </c>
      <c r="Z718" s="254" t="s">
        <v>1111</v>
      </c>
      <c r="AA718" s="254" t="s">
        <v>838</v>
      </c>
    </row>
    <row r="719" spans="1:27" ht="14.4" x14ac:dyDescent="0.3">
      <c r="A719" s="253">
        <v>11</v>
      </c>
      <c r="B719" s="254" t="s">
        <v>849</v>
      </c>
      <c r="C719" s="254">
        <v>10434</v>
      </c>
      <c r="D719" s="254" t="s">
        <v>99</v>
      </c>
      <c r="E719" s="254" t="str">
        <f>_xlfn.XLOOKUP(C719,Clientes!I:I,Clientes!F:F)</f>
        <v>GRUPO CIBRA</v>
      </c>
      <c r="F719" s="254">
        <v>6564</v>
      </c>
      <c r="G719" s="254" t="s">
        <v>840</v>
      </c>
      <c r="H719" s="254" t="s">
        <v>914</v>
      </c>
      <c r="I719" s="255">
        <v>30000</v>
      </c>
      <c r="J719" s="256">
        <v>30000</v>
      </c>
      <c r="K719" s="258">
        <v>92400</v>
      </c>
      <c r="L719" s="258">
        <v>-6468.0000000000009</v>
      </c>
      <c r="M719" s="258">
        <f t="shared" si="46"/>
        <v>85932</v>
      </c>
      <c r="N719" s="258">
        <v>-28906.459333333332</v>
      </c>
      <c r="O719" s="258">
        <v>-21893.250599999999</v>
      </c>
      <c r="P719" s="258">
        <v>-11.25802730591662</v>
      </c>
      <c r="Q719" s="258">
        <f t="shared" si="47"/>
        <v>35121.032039360754</v>
      </c>
      <c r="R719" s="259">
        <f t="shared" si="48"/>
        <v>0.40870725735885066</v>
      </c>
      <c r="S719" s="255">
        <f t="shared" si="45"/>
        <v>3.08</v>
      </c>
      <c r="T719" s="255">
        <f t="shared" si="45"/>
        <v>3.08</v>
      </c>
      <c r="U719" s="254">
        <v>100200</v>
      </c>
      <c r="V719" s="254" t="s">
        <v>912</v>
      </c>
      <c r="W719" s="254" t="s">
        <v>915</v>
      </c>
      <c r="X719" s="254" t="s">
        <v>446</v>
      </c>
      <c r="Y719" s="254" t="s">
        <v>843</v>
      </c>
      <c r="Z719" s="254" t="s">
        <v>1111</v>
      </c>
      <c r="AA719" s="254" t="s">
        <v>838</v>
      </c>
    </row>
    <row r="720" spans="1:27" ht="14.4" x14ac:dyDescent="0.3">
      <c r="A720" s="253">
        <v>11</v>
      </c>
      <c r="B720" s="254" t="s">
        <v>849</v>
      </c>
      <c r="C720" s="254">
        <v>452</v>
      </c>
      <c r="D720" s="254" t="s">
        <v>900</v>
      </c>
      <c r="E720" s="254" t="str">
        <f>_xlfn.XLOOKUP(C720,Clientes!I:I,Clientes!F:F)</f>
        <v>GRUPO FERTIPAR FERTILIZANTES MARANHAO</v>
      </c>
      <c r="F720" s="254">
        <v>113</v>
      </c>
      <c r="G720" s="254" t="s">
        <v>897</v>
      </c>
      <c r="H720" s="254" t="s">
        <v>913</v>
      </c>
      <c r="I720" s="255">
        <v>30000</v>
      </c>
      <c r="J720" s="256">
        <v>30000</v>
      </c>
      <c r="K720" s="258">
        <v>105600</v>
      </c>
      <c r="L720" s="258">
        <v>-7392.0000000000009</v>
      </c>
      <c r="M720" s="258">
        <f t="shared" si="46"/>
        <v>98208</v>
      </c>
      <c r="N720" s="258">
        <v>-27001.819672131147</v>
      </c>
      <c r="O720" s="258">
        <v>-26461.527299999998</v>
      </c>
      <c r="P720" s="258">
        <v>-13.607143239828355</v>
      </c>
      <c r="Q720" s="258">
        <f t="shared" si="47"/>
        <v>44731.045884629013</v>
      </c>
      <c r="R720" s="259">
        <f t="shared" si="48"/>
        <v>0.4554725265215564</v>
      </c>
      <c r="S720" s="255">
        <f t="shared" si="45"/>
        <v>3.52</v>
      </c>
      <c r="T720" s="255">
        <f t="shared" si="45"/>
        <v>3.52</v>
      </c>
      <c r="U720" s="254">
        <v>100200</v>
      </c>
      <c r="V720" s="254" t="s">
        <v>912</v>
      </c>
      <c r="W720" s="254" t="s">
        <v>899</v>
      </c>
      <c r="X720" s="254" t="s">
        <v>446</v>
      </c>
      <c r="Y720" s="254" t="s">
        <v>843</v>
      </c>
      <c r="Z720" s="254" t="s">
        <v>1111</v>
      </c>
      <c r="AA720" s="254" t="s">
        <v>838</v>
      </c>
    </row>
    <row r="721" spans="1:27" ht="14.4" x14ac:dyDescent="0.3">
      <c r="A721" s="253">
        <v>11</v>
      </c>
      <c r="B721" s="254" t="s">
        <v>849</v>
      </c>
      <c r="C721" s="254">
        <v>205</v>
      </c>
      <c r="D721" s="254" t="s">
        <v>859</v>
      </c>
      <c r="E721" s="254" t="str">
        <f>_xlfn.XLOOKUP(C721,Clientes!I:I,Clientes!F:F)</f>
        <v>GRUPO FERTIPAR FERTILIZANTES MATO GROSSO</v>
      </c>
      <c r="F721" s="254">
        <v>6564</v>
      </c>
      <c r="G721" s="254" t="s">
        <v>840</v>
      </c>
      <c r="H721" s="254" t="s">
        <v>914</v>
      </c>
      <c r="I721" s="255">
        <v>260000</v>
      </c>
      <c r="J721" s="256">
        <v>260000</v>
      </c>
      <c r="K721" s="258">
        <v>655200</v>
      </c>
      <c r="L721" s="258">
        <v>-45864.000000000007</v>
      </c>
      <c r="M721" s="258">
        <f t="shared" si="46"/>
        <v>609336</v>
      </c>
      <c r="N721" s="258">
        <v>-250522.64755555554</v>
      </c>
      <c r="O721" s="258">
        <v>-103834.9182</v>
      </c>
      <c r="P721" s="258">
        <v>-53.39437097583027</v>
      </c>
      <c r="Q721" s="258">
        <f t="shared" si="47"/>
        <v>254925.0398734686</v>
      </c>
      <c r="R721" s="259">
        <f t="shared" si="48"/>
        <v>0.4183653023511964</v>
      </c>
      <c r="S721" s="255">
        <f t="shared" si="45"/>
        <v>2.52</v>
      </c>
      <c r="T721" s="255">
        <f t="shared" si="45"/>
        <v>2.52</v>
      </c>
      <c r="U721" s="254">
        <v>100200</v>
      </c>
      <c r="V721" s="254" t="s">
        <v>912</v>
      </c>
      <c r="W721" s="254" t="s">
        <v>861</v>
      </c>
      <c r="X721" s="254" t="s">
        <v>446</v>
      </c>
      <c r="Y721" s="254" t="s">
        <v>843</v>
      </c>
      <c r="Z721" s="254" t="s">
        <v>1111</v>
      </c>
      <c r="AA721" s="254" t="s">
        <v>838</v>
      </c>
    </row>
    <row r="722" spans="1:27" ht="14.4" x14ac:dyDescent="0.3">
      <c r="A722" s="253">
        <v>11</v>
      </c>
      <c r="B722" s="254" t="s">
        <v>849</v>
      </c>
      <c r="C722" s="254">
        <v>1953</v>
      </c>
      <c r="D722" s="254" t="s">
        <v>66</v>
      </c>
      <c r="E722" s="254" t="str">
        <f>_xlfn.XLOOKUP(C722,Clientes!I:I,Clientes!F:F)</f>
        <v>GRUPO AMAGGI</v>
      </c>
      <c r="F722" s="254">
        <v>113</v>
      </c>
      <c r="G722" s="254" t="s">
        <v>840</v>
      </c>
      <c r="H722" s="254" t="s">
        <v>913</v>
      </c>
      <c r="I722" s="255">
        <v>90000</v>
      </c>
      <c r="J722" s="256">
        <v>90000</v>
      </c>
      <c r="K722" s="258">
        <v>261000</v>
      </c>
      <c r="L722" s="258">
        <v>-18270</v>
      </c>
      <c r="M722" s="258">
        <f t="shared" si="46"/>
        <v>242730</v>
      </c>
      <c r="N722" s="258">
        <v>-81005.459016393448</v>
      </c>
      <c r="O722" s="258">
        <v>-62815.095907199997</v>
      </c>
      <c r="P722" s="258">
        <v>-32.301008099136673</v>
      </c>
      <c r="Q722" s="258">
        <f t="shared" si="47"/>
        <v>98877.144068307403</v>
      </c>
      <c r="R722" s="259">
        <f t="shared" si="48"/>
        <v>0.4073544434899164</v>
      </c>
      <c r="S722" s="255">
        <f t="shared" si="45"/>
        <v>2.9</v>
      </c>
      <c r="T722" s="255">
        <f t="shared" si="45"/>
        <v>2.9</v>
      </c>
      <c r="U722" s="254">
        <v>100200</v>
      </c>
      <c r="V722" s="254" t="s">
        <v>912</v>
      </c>
      <c r="W722" s="254" t="s">
        <v>1008</v>
      </c>
      <c r="X722" s="254" t="s">
        <v>446</v>
      </c>
      <c r="Y722" s="254" t="s">
        <v>843</v>
      </c>
      <c r="Z722" s="254" t="s">
        <v>1111</v>
      </c>
      <c r="AA722" s="254" t="s">
        <v>838</v>
      </c>
    </row>
    <row r="723" spans="1:27" ht="14.4" x14ac:dyDescent="0.3">
      <c r="A723" s="253">
        <v>11</v>
      </c>
      <c r="B723" s="254" t="s">
        <v>849</v>
      </c>
      <c r="C723" s="254">
        <v>2588</v>
      </c>
      <c r="D723" s="254" t="s">
        <v>70</v>
      </c>
      <c r="E723" s="254" t="str">
        <f>_xlfn.XLOOKUP(C723,Clientes!I:I,Clientes!F:F)</f>
        <v>GRUPO FERTILIZ TOCANTINS</v>
      </c>
      <c r="F723" s="254">
        <v>6564</v>
      </c>
      <c r="G723" s="254" t="s">
        <v>840</v>
      </c>
      <c r="H723" s="254" t="s">
        <v>914</v>
      </c>
      <c r="I723" s="255">
        <v>160000</v>
      </c>
      <c r="J723" s="256">
        <v>160000</v>
      </c>
      <c r="K723" s="258">
        <v>500800</v>
      </c>
      <c r="L723" s="258">
        <v>-35056</v>
      </c>
      <c r="M723" s="258">
        <f t="shared" si="46"/>
        <v>465744</v>
      </c>
      <c r="N723" s="258">
        <v>-154167.78311111112</v>
      </c>
      <c r="O723" s="258">
        <v>-116764.00319999999</v>
      </c>
      <c r="P723" s="258">
        <v>-60.042812298221975</v>
      </c>
      <c r="Q723" s="258">
        <f t="shared" si="47"/>
        <v>194752.17087659065</v>
      </c>
      <c r="R723" s="259">
        <f t="shared" si="48"/>
        <v>0.41815282832755901</v>
      </c>
      <c r="S723" s="255">
        <f t="shared" si="45"/>
        <v>3.13</v>
      </c>
      <c r="T723" s="255">
        <f t="shared" si="45"/>
        <v>3.13</v>
      </c>
      <c r="U723" s="254">
        <v>100200</v>
      </c>
      <c r="V723" s="254" t="s">
        <v>912</v>
      </c>
      <c r="W723" s="254" t="s">
        <v>915</v>
      </c>
      <c r="X723" s="254" t="s">
        <v>446</v>
      </c>
      <c r="Y723" s="254" t="s">
        <v>843</v>
      </c>
      <c r="Z723" s="254" t="s">
        <v>1111</v>
      </c>
      <c r="AA723" s="254" t="s">
        <v>838</v>
      </c>
    </row>
    <row r="724" spans="1:27" ht="14.4" x14ac:dyDescent="0.3">
      <c r="A724" s="253">
        <v>11</v>
      </c>
      <c r="B724" s="254" t="s">
        <v>849</v>
      </c>
      <c r="C724" s="254">
        <v>5182</v>
      </c>
      <c r="D724" s="254" t="s">
        <v>1081</v>
      </c>
      <c r="E724" s="254" t="str">
        <f>_xlfn.XLOOKUP(C724,Clientes!I:I,Clientes!F:F)</f>
        <v>GRUPO FERTIPAR FERTILIZANTES MATO GROSSO</v>
      </c>
      <c r="F724" s="254">
        <v>113</v>
      </c>
      <c r="G724" s="254" t="s">
        <v>840</v>
      </c>
      <c r="H724" s="254" t="s">
        <v>913</v>
      </c>
      <c r="I724" s="255">
        <v>60000</v>
      </c>
      <c r="J724" s="256">
        <v>60000</v>
      </c>
      <c r="K724" s="258">
        <v>161400</v>
      </c>
      <c r="L724" s="258">
        <v>-11298.000000000002</v>
      </c>
      <c r="M724" s="258">
        <f t="shared" si="46"/>
        <v>150102</v>
      </c>
      <c r="N724" s="258">
        <v>-54003.639344262294</v>
      </c>
      <c r="O724" s="258">
        <v>-43786.501199999999</v>
      </c>
      <c r="P724" s="258">
        <v>-22.516054611833241</v>
      </c>
      <c r="Q724" s="258">
        <f t="shared" si="47"/>
        <v>52289.343401125872</v>
      </c>
      <c r="R724" s="259">
        <f t="shared" si="48"/>
        <v>0.34835873873183482</v>
      </c>
      <c r="S724" s="255">
        <f t="shared" si="45"/>
        <v>2.69</v>
      </c>
      <c r="T724" s="255">
        <f t="shared" si="45"/>
        <v>2.69</v>
      </c>
      <c r="U724" s="254">
        <v>100200</v>
      </c>
      <c r="V724" s="254" t="s">
        <v>912</v>
      </c>
      <c r="W724" s="254" t="s">
        <v>915</v>
      </c>
      <c r="X724" s="254" t="s">
        <v>446</v>
      </c>
      <c r="Y724" s="254" t="s">
        <v>843</v>
      </c>
      <c r="Z724" s="254" t="s">
        <v>1111</v>
      </c>
      <c r="AA724" s="254" t="s">
        <v>838</v>
      </c>
    </row>
    <row r="725" spans="1:27" ht="14.4" x14ac:dyDescent="0.3">
      <c r="A725" s="253">
        <v>11</v>
      </c>
      <c r="B725" s="254" t="s">
        <v>849</v>
      </c>
      <c r="C725" s="254">
        <v>456</v>
      </c>
      <c r="D725" s="254" t="s">
        <v>312</v>
      </c>
      <c r="E725" s="254" t="str">
        <f>_xlfn.XLOOKUP(C725,Clientes!I:I,Clientes!F:F)</f>
        <v>GRUPO FERTIPAR FERTILIZANTES DO NORDESTE</v>
      </c>
      <c r="F725" s="254">
        <v>113</v>
      </c>
      <c r="G725" s="254" t="s">
        <v>875</v>
      </c>
      <c r="H725" s="254" t="s">
        <v>913</v>
      </c>
      <c r="I725" s="255">
        <v>60000</v>
      </c>
      <c r="J725" s="256">
        <v>60000</v>
      </c>
      <c r="K725" s="258">
        <v>200400</v>
      </c>
      <c r="L725" s="258">
        <v>-14028.000000000002</v>
      </c>
      <c r="M725" s="258">
        <f t="shared" si="46"/>
        <v>186372</v>
      </c>
      <c r="N725" s="258">
        <v>-54003.639344262294</v>
      </c>
      <c r="O725" s="258">
        <v>-43096.95</v>
      </c>
      <c r="P725" s="258">
        <v>-22.161471074639014</v>
      </c>
      <c r="Q725" s="258">
        <f t="shared" si="47"/>
        <v>89249.249184663058</v>
      </c>
      <c r="R725" s="259">
        <f t="shared" si="48"/>
        <v>0.47887691919742803</v>
      </c>
      <c r="S725" s="255">
        <f t="shared" si="45"/>
        <v>3.34</v>
      </c>
      <c r="T725" s="255">
        <f t="shared" si="45"/>
        <v>3.34</v>
      </c>
      <c r="U725" s="254">
        <v>100200</v>
      </c>
      <c r="V725" s="254" t="s">
        <v>912</v>
      </c>
      <c r="W725" s="254" t="s">
        <v>876</v>
      </c>
      <c r="X725" s="254" t="s">
        <v>446</v>
      </c>
      <c r="Y725" s="254" t="s">
        <v>843</v>
      </c>
      <c r="Z725" s="254" t="s">
        <v>1111</v>
      </c>
      <c r="AA725" s="254" t="s">
        <v>838</v>
      </c>
    </row>
    <row r="726" spans="1:27" ht="14.4" x14ac:dyDescent="0.3">
      <c r="A726" s="253">
        <v>11</v>
      </c>
      <c r="B726" s="254" t="s">
        <v>849</v>
      </c>
      <c r="C726" s="254">
        <v>252</v>
      </c>
      <c r="D726" s="254" t="s">
        <v>37</v>
      </c>
      <c r="E726" s="254" t="str">
        <f>_xlfn.XLOOKUP(C726,Clientes!I:I,Clientes!F:F)</f>
        <v>GRUPO FERTIPAR FERTILIZANTES PARANA</v>
      </c>
      <c r="F726" s="254">
        <v>10343</v>
      </c>
      <c r="G726" s="254" t="s">
        <v>862</v>
      </c>
      <c r="H726" s="254" t="s">
        <v>911</v>
      </c>
      <c r="I726" s="255">
        <v>60000</v>
      </c>
      <c r="J726" s="256">
        <v>60000</v>
      </c>
      <c r="K726" s="258">
        <v>225600</v>
      </c>
      <c r="L726" s="258">
        <v>-27072</v>
      </c>
      <c r="M726" s="258">
        <f t="shared" si="46"/>
        <v>198528</v>
      </c>
      <c r="N726" s="258">
        <v>-101432.56000000001</v>
      </c>
      <c r="O726" s="258">
        <v>-28099.2114</v>
      </c>
      <c r="P726" s="258">
        <v>-14.449279140664638</v>
      </c>
      <c r="Q726" s="258">
        <f t="shared" si="47"/>
        <v>68981.779320859321</v>
      </c>
      <c r="R726" s="259">
        <f t="shared" si="48"/>
        <v>0.34746624819098221</v>
      </c>
      <c r="S726" s="255">
        <f t="shared" si="45"/>
        <v>3.76</v>
      </c>
      <c r="T726" s="255">
        <f t="shared" si="45"/>
        <v>3.76</v>
      </c>
      <c r="U726" s="254">
        <v>100200</v>
      </c>
      <c r="V726" s="254" t="s">
        <v>912</v>
      </c>
      <c r="W726" s="254" t="s">
        <v>864</v>
      </c>
      <c r="X726" s="254" t="s">
        <v>446</v>
      </c>
      <c r="Y726" s="254" t="s">
        <v>843</v>
      </c>
      <c r="Z726" s="254" t="s">
        <v>1111</v>
      </c>
      <c r="AA726" s="254" t="s">
        <v>838</v>
      </c>
    </row>
    <row r="727" spans="1:27" ht="14.4" x14ac:dyDescent="0.3">
      <c r="A727" s="253">
        <v>11</v>
      </c>
      <c r="B727" s="254" t="s">
        <v>849</v>
      </c>
      <c r="C727" s="254">
        <v>214</v>
      </c>
      <c r="D727" s="254" t="s">
        <v>149</v>
      </c>
      <c r="E727" s="254" t="str">
        <f>_xlfn.XLOOKUP(C727,Clientes!I:I,Clientes!F:F)</f>
        <v>GRUPO UNIFERTIL</v>
      </c>
      <c r="F727" s="254">
        <v>113</v>
      </c>
      <c r="G727" s="254" t="s">
        <v>877</v>
      </c>
      <c r="H727" s="254" t="s">
        <v>913</v>
      </c>
      <c r="I727" s="255">
        <v>90000</v>
      </c>
      <c r="J727" s="256">
        <v>90000</v>
      </c>
      <c r="K727" s="258">
        <v>278100</v>
      </c>
      <c r="L727" s="258">
        <v>-33372</v>
      </c>
      <c r="M727" s="258">
        <f t="shared" si="46"/>
        <v>244728</v>
      </c>
      <c r="N727" s="258">
        <v>-81005.459016393448</v>
      </c>
      <c r="O727" s="258">
        <v>-72575.263800000001</v>
      </c>
      <c r="P727" s="258">
        <v>-37.319917289692107</v>
      </c>
      <c r="Q727" s="258">
        <f t="shared" si="47"/>
        <v>91109.957266316851</v>
      </c>
      <c r="R727" s="259">
        <f t="shared" si="48"/>
        <v>0.37229069524662828</v>
      </c>
      <c r="S727" s="255">
        <f t="shared" si="45"/>
        <v>3.09</v>
      </c>
      <c r="T727" s="255">
        <f t="shared" si="45"/>
        <v>3.09</v>
      </c>
      <c r="U727" s="254">
        <v>100200</v>
      </c>
      <c r="V727" s="254" t="s">
        <v>912</v>
      </c>
      <c r="W727" s="254" t="s">
        <v>880</v>
      </c>
      <c r="X727" s="254" t="s">
        <v>446</v>
      </c>
      <c r="Y727" s="254" t="s">
        <v>843</v>
      </c>
      <c r="Z727" s="254" t="s">
        <v>1111</v>
      </c>
      <c r="AA727" s="254" t="s">
        <v>838</v>
      </c>
    </row>
    <row r="728" spans="1:27" ht="14.4" x14ac:dyDescent="0.3">
      <c r="A728" s="253">
        <v>11</v>
      </c>
      <c r="B728" s="254" t="s">
        <v>849</v>
      </c>
      <c r="C728" s="254">
        <v>729</v>
      </c>
      <c r="D728" s="254" t="s">
        <v>937</v>
      </c>
      <c r="E728" s="254" t="str">
        <f>_xlfn.XLOOKUP(C728,Clientes!I:I,Clientes!F:F)</f>
        <v>GRUPO FERTILIZ TOCANTINS</v>
      </c>
      <c r="F728" s="254">
        <v>113</v>
      </c>
      <c r="G728" s="254" t="s">
        <v>897</v>
      </c>
      <c r="H728" s="254" t="s">
        <v>913</v>
      </c>
      <c r="I728" s="255">
        <v>30000</v>
      </c>
      <c r="J728" s="256">
        <v>30000</v>
      </c>
      <c r="K728" s="258">
        <v>86700</v>
      </c>
      <c r="L728" s="258">
        <v>-6069.0000000000009</v>
      </c>
      <c r="M728" s="258">
        <f t="shared" si="46"/>
        <v>80631</v>
      </c>
      <c r="N728" s="258">
        <v>-27001.819672131147</v>
      </c>
      <c r="O728" s="258">
        <v>-26461.527299999998</v>
      </c>
      <c r="P728" s="258">
        <v>-13.607143239828355</v>
      </c>
      <c r="Q728" s="258">
        <f t="shared" si="47"/>
        <v>27154.045884629028</v>
      </c>
      <c r="R728" s="259">
        <f t="shared" si="48"/>
        <v>0.33676930565947377</v>
      </c>
      <c r="S728" s="255">
        <f t="shared" si="45"/>
        <v>2.89</v>
      </c>
      <c r="T728" s="255">
        <f t="shared" si="45"/>
        <v>2.89</v>
      </c>
      <c r="U728" s="254">
        <v>100200</v>
      </c>
      <c r="V728" s="254" t="s">
        <v>912</v>
      </c>
      <c r="W728" s="254" t="s">
        <v>899</v>
      </c>
      <c r="X728" s="254" t="s">
        <v>446</v>
      </c>
      <c r="Y728" s="254" t="s">
        <v>843</v>
      </c>
      <c r="Z728" s="254" t="s">
        <v>1111</v>
      </c>
      <c r="AA728" s="254" t="s">
        <v>838</v>
      </c>
    </row>
    <row r="729" spans="1:27" ht="14.4" x14ac:dyDescent="0.3">
      <c r="A729" s="253">
        <v>13</v>
      </c>
      <c r="B729" s="254" t="s">
        <v>849</v>
      </c>
      <c r="C729" s="254">
        <v>2651</v>
      </c>
      <c r="D729" s="254" t="s">
        <v>1064</v>
      </c>
      <c r="E729" s="254" t="str">
        <f>_xlfn.XLOOKUP(C729,Clientes!I:I,Clientes!F:F)</f>
        <v>AGROBROKERS - COLÔMBIA</v>
      </c>
      <c r="F729" s="254">
        <v>8201</v>
      </c>
      <c r="G729" s="254" t="s">
        <v>832</v>
      </c>
      <c r="H729" s="254" t="s">
        <v>916</v>
      </c>
      <c r="I729" s="255">
        <v>3300</v>
      </c>
      <c r="J729" s="256">
        <v>3300</v>
      </c>
      <c r="K729" s="258">
        <v>182269.85813554795</v>
      </c>
      <c r="L729" s="258">
        <v>0</v>
      </c>
      <c r="M729" s="258">
        <f t="shared" si="46"/>
        <v>182269.85813554795</v>
      </c>
      <c r="N729" s="258">
        <v>-67231.216363636355</v>
      </c>
      <c r="O729" s="258">
        <v>0</v>
      </c>
      <c r="P729" s="258">
        <v>-606.48016170763265</v>
      </c>
      <c r="Q729" s="258">
        <f t="shared" si="47"/>
        <v>114432.16161020397</v>
      </c>
      <c r="R729" s="259">
        <f t="shared" si="48"/>
        <v>0.62781725284004242</v>
      </c>
      <c r="S729" s="255">
        <f t="shared" si="45"/>
        <v>55.233290344105441</v>
      </c>
      <c r="T729" s="255">
        <f t="shared" si="45"/>
        <v>55.233290344105441</v>
      </c>
      <c r="U729" s="254">
        <v>100300</v>
      </c>
      <c r="V729" s="254" t="s">
        <v>917</v>
      </c>
      <c r="W729" s="254" t="s">
        <v>1065</v>
      </c>
      <c r="X729" s="254" t="s">
        <v>446</v>
      </c>
      <c r="Y729" s="254" t="s">
        <v>836</v>
      </c>
      <c r="Z729" s="254" t="s">
        <v>1111</v>
      </c>
      <c r="AA729" s="254" t="s">
        <v>838</v>
      </c>
    </row>
    <row r="730" spans="1:27" ht="14.4" x14ac:dyDescent="0.3">
      <c r="A730" s="253">
        <v>13</v>
      </c>
      <c r="B730" s="254" t="s">
        <v>849</v>
      </c>
      <c r="C730" s="254">
        <v>2648</v>
      </c>
      <c r="D730" s="254" t="s">
        <v>452</v>
      </c>
      <c r="E730" s="254" t="str">
        <f>_xlfn.XLOOKUP(C730,Clientes!I:I,Clientes!F:F)</f>
        <v>SQM - CHILE</v>
      </c>
      <c r="F730" s="254">
        <v>13025</v>
      </c>
      <c r="G730" s="254" t="s">
        <v>832</v>
      </c>
      <c r="H730" s="254" t="s">
        <v>935</v>
      </c>
      <c r="I730" s="255">
        <v>5500</v>
      </c>
      <c r="J730" s="256">
        <v>5500</v>
      </c>
      <c r="K730" s="258">
        <v>155663.37047586069</v>
      </c>
      <c r="L730" s="258">
        <v>0</v>
      </c>
      <c r="M730" s="258">
        <f t="shared" si="46"/>
        <v>155663.37047586069</v>
      </c>
      <c r="N730" s="258">
        <v>-35828</v>
      </c>
      <c r="O730" s="258">
        <v>0</v>
      </c>
      <c r="P730" s="258">
        <v>-1010.800269512721</v>
      </c>
      <c r="Q730" s="258">
        <f t="shared" si="47"/>
        <v>118824.57020634797</v>
      </c>
      <c r="R730" s="259">
        <f t="shared" si="48"/>
        <v>0.76334316700905913</v>
      </c>
      <c r="S730" s="255">
        <f t="shared" si="45"/>
        <v>28.302430995611036</v>
      </c>
      <c r="T730" s="255">
        <f t="shared" si="45"/>
        <v>28.302430995611036</v>
      </c>
      <c r="U730" s="254">
        <v>100300</v>
      </c>
      <c r="V730" s="254" t="s">
        <v>917</v>
      </c>
      <c r="W730" s="254" t="s">
        <v>1033</v>
      </c>
      <c r="X730" s="254" t="s">
        <v>446</v>
      </c>
      <c r="Y730" s="254" t="s">
        <v>836</v>
      </c>
      <c r="Z730" s="254" t="s">
        <v>1111</v>
      </c>
      <c r="AA730" s="254" t="s">
        <v>838</v>
      </c>
    </row>
    <row r="731" spans="1:27" ht="14.4" x14ac:dyDescent="0.3">
      <c r="A731" s="253">
        <v>13</v>
      </c>
      <c r="B731" s="254" t="s">
        <v>849</v>
      </c>
      <c r="C731" s="254">
        <v>87</v>
      </c>
      <c r="D731" s="254" t="s">
        <v>218</v>
      </c>
      <c r="E731" s="254" t="str">
        <f>_xlfn.XLOOKUP(C731,Clientes!I:I,Clientes!F:F)</f>
        <v>GRUPO ADUBOS ARAGUAIA</v>
      </c>
      <c r="F731" s="254">
        <v>8214</v>
      </c>
      <c r="G731" s="254" t="s">
        <v>867</v>
      </c>
      <c r="H731" s="254" t="s">
        <v>922</v>
      </c>
      <c r="I731" s="255">
        <v>2000</v>
      </c>
      <c r="J731" s="256">
        <v>2000</v>
      </c>
      <c r="K731" s="258">
        <v>64073.42001128781</v>
      </c>
      <c r="L731" s="258">
        <v>-4480</v>
      </c>
      <c r="M731" s="258">
        <f t="shared" si="46"/>
        <v>59593.42001128781</v>
      </c>
      <c r="N731" s="258">
        <v>-31804.80315789473</v>
      </c>
      <c r="O731" s="258">
        <v>-2121.6959999999981</v>
      </c>
      <c r="P731" s="258">
        <v>-1.0910262682899199</v>
      </c>
      <c r="Q731" s="258">
        <f t="shared" si="47"/>
        <v>25665.829827124791</v>
      </c>
      <c r="R731" s="259">
        <f t="shared" si="48"/>
        <v>0.43068227704104467</v>
      </c>
      <c r="S731" s="255">
        <f t="shared" si="45"/>
        <v>32.036710005643904</v>
      </c>
      <c r="T731" s="255">
        <f t="shared" si="45"/>
        <v>32.036710005643904</v>
      </c>
      <c r="U731" s="254">
        <v>100300</v>
      </c>
      <c r="V731" s="254" t="s">
        <v>917</v>
      </c>
      <c r="W731" s="254" t="s">
        <v>871</v>
      </c>
      <c r="X731" s="254" t="s">
        <v>446</v>
      </c>
      <c r="Y731" s="254" t="s">
        <v>843</v>
      </c>
      <c r="Z731" s="254" t="s">
        <v>1111</v>
      </c>
      <c r="AA731" s="254" t="s">
        <v>838</v>
      </c>
    </row>
    <row r="732" spans="1:27" ht="14.4" x14ac:dyDescent="0.3">
      <c r="A732" s="253">
        <v>13</v>
      </c>
      <c r="B732" s="254" t="s">
        <v>849</v>
      </c>
      <c r="C732" s="254">
        <v>912</v>
      </c>
      <c r="D732" s="254" t="s">
        <v>217</v>
      </c>
      <c r="E732" s="254" t="str">
        <f>_xlfn.XLOOKUP(C732,Clientes!I:I,Clientes!F:F)</f>
        <v>GRUPO FERTILIZE</v>
      </c>
      <c r="F732" s="254">
        <v>8215</v>
      </c>
      <c r="G732" s="254" t="s">
        <v>862</v>
      </c>
      <c r="H732" s="254" t="s">
        <v>947</v>
      </c>
      <c r="I732" s="255">
        <v>3000</v>
      </c>
      <c r="J732" s="256">
        <v>3000</v>
      </c>
      <c r="K732" s="258">
        <v>91785.174166169789</v>
      </c>
      <c r="L732" s="258">
        <v>-11001.6</v>
      </c>
      <c r="M732" s="258">
        <f t="shared" si="46"/>
        <v>80783.574166169783</v>
      </c>
      <c r="N732" s="258">
        <v>-41105.740000000005</v>
      </c>
      <c r="O732" s="258">
        <v>-8663.5920000000024</v>
      </c>
      <c r="P732" s="258">
        <v>-4.4550239288505109</v>
      </c>
      <c r="Q732" s="258">
        <f t="shared" si="47"/>
        <v>31009.787142240923</v>
      </c>
      <c r="R732" s="259">
        <f t="shared" si="48"/>
        <v>0.38386252975703417</v>
      </c>
      <c r="S732" s="255">
        <f t="shared" si="45"/>
        <v>30.595058055389931</v>
      </c>
      <c r="T732" s="255">
        <f t="shared" si="45"/>
        <v>30.595058055389931</v>
      </c>
      <c r="U732" s="254">
        <v>100300</v>
      </c>
      <c r="V732" s="254" t="s">
        <v>917</v>
      </c>
      <c r="W732" s="254" t="s">
        <v>1028</v>
      </c>
      <c r="X732" s="254" t="s">
        <v>446</v>
      </c>
      <c r="Y732" s="254" t="s">
        <v>843</v>
      </c>
      <c r="Z732" s="254" t="s">
        <v>1111</v>
      </c>
      <c r="AA732" s="254" t="s">
        <v>838</v>
      </c>
    </row>
    <row r="733" spans="1:27" ht="14.4" x14ac:dyDescent="0.3">
      <c r="A733" s="253">
        <v>13</v>
      </c>
      <c r="B733" s="254" t="s">
        <v>849</v>
      </c>
      <c r="C733" s="254">
        <v>215</v>
      </c>
      <c r="D733" s="254" t="s">
        <v>221</v>
      </c>
      <c r="E733" s="254" t="str">
        <f>_xlfn.XLOOKUP(C733,Clientes!I:I,Clientes!F:F)</f>
        <v>GRUPO UNIFERTIL</v>
      </c>
      <c r="F733" s="254">
        <v>8216</v>
      </c>
      <c r="G733" s="254" t="s">
        <v>877</v>
      </c>
      <c r="H733" s="254" t="s">
        <v>938</v>
      </c>
      <c r="I733" s="255">
        <v>24000</v>
      </c>
      <c r="J733" s="256">
        <v>24000</v>
      </c>
      <c r="K733" s="258">
        <v>746535.43490651704</v>
      </c>
      <c r="L733" s="258">
        <v>-89481.599999999991</v>
      </c>
      <c r="M733" s="258">
        <f t="shared" si="46"/>
        <v>657053.83490651706</v>
      </c>
      <c r="N733" s="258">
        <v>-241071.51600000003</v>
      </c>
      <c r="O733" s="258">
        <v>-18675.345000000001</v>
      </c>
      <c r="P733" s="258">
        <v>-9.6033041323435757</v>
      </c>
      <c r="Q733" s="258">
        <f t="shared" si="47"/>
        <v>397297.37060238468</v>
      </c>
      <c r="R733" s="259">
        <f t="shared" si="48"/>
        <v>0.60466486838009326</v>
      </c>
      <c r="S733" s="255">
        <f t="shared" si="45"/>
        <v>31.105643121104876</v>
      </c>
      <c r="T733" s="255">
        <f t="shared" si="45"/>
        <v>31.105643121104876</v>
      </c>
      <c r="U733" s="254">
        <v>100300</v>
      </c>
      <c r="V733" s="254" t="s">
        <v>917</v>
      </c>
      <c r="W733" s="254" t="s">
        <v>880</v>
      </c>
      <c r="X733" s="254" t="s">
        <v>446</v>
      </c>
      <c r="Y733" s="254" t="s">
        <v>843</v>
      </c>
      <c r="Z733" s="254" t="s">
        <v>1111</v>
      </c>
      <c r="AA733" s="254" t="s">
        <v>838</v>
      </c>
    </row>
    <row r="734" spans="1:27" ht="14.4" x14ac:dyDescent="0.3">
      <c r="A734" s="253">
        <v>13</v>
      </c>
      <c r="B734" s="254" t="s">
        <v>849</v>
      </c>
      <c r="C734" s="254">
        <v>5657</v>
      </c>
      <c r="D734" s="254" t="s">
        <v>84</v>
      </c>
      <c r="E734" s="254" t="str">
        <f>_xlfn.XLOOKUP(C734,Clientes!I:I,Clientes!F:F)</f>
        <v>FERTIPLANTA - VARGEM GRANDE DO SUL</v>
      </c>
      <c r="F734" s="254">
        <v>8214</v>
      </c>
      <c r="G734" s="254" t="s">
        <v>908</v>
      </c>
      <c r="H734" s="254" t="s">
        <v>922</v>
      </c>
      <c r="I734" s="255">
        <v>1000</v>
      </c>
      <c r="J734" s="256">
        <v>1000</v>
      </c>
      <c r="K734" s="258">
        <v>36792.159147106671</v>
      </c>
      <c r="L734" s="258">
        <v>-4410</v>
      </c>
      <c r="M734" s="258">
        <f t="shared" si="46"/>
        <v>32382.159147106671</v>
      </c>
      <c r="N734" s="258">
        <v>-15902.401578947365</v>
      </c>
      <c r="O734" s="258">
        <v>-5039.0280000000012</v>
      </c>
      <c r="P734" s="258">
        <v>-2.5911873871885622</v>
      </c>
      <c r="Q734" s="258">
        <f t="shared" si="47"/>
        <v>11438.138380772118</v>
      </c>
      <c r="R734" s="259">
        <f t="shared" si="48"/>
        <v>0.35322346261132836</v>
      </c>
      <c r="S734" s="255">
        <f t="shared" si="45"/>
        <v>36.792159147106673</v>
      </c>
      <c r="T734" s="255">
        <f t="shared" si="45"/>
        <v>36.792159147106673</v>
      </c>
      <c r="U734" s="254">
        <v>100300</v>
      </c>
      <c r="V734" s="254" t="s">
        <v>917</v>
      </c>
      <c r="W734" s="254" t="s">
        <v>1067</v>
      </c>
      <c r="X734" s="254" t="s">
        <v>446</v>
      </c>
      <c r="Y734" s="254" t="s">
        <v>843</v>
      </c>
      <c r="Z734" s="254" t="s">
        <v>1111</v>
      </c>
      <c r="AA734" s="254" t="s">
        <v>838</v>
      </c>
    </row>
    <row r="735" spans="1:27" ht="14.4" x14ac:dyDescent="0.3">
      <c r="A735" s="253">
        <v>13</v>
      </c>
      <c r="B735" s="254" t="s">
        <v>849</v>
      </c>
      <c r="C735" s="254">
        <v>6124</v>
      </c>
      <c r="D735" s="254" t="s">
        <v>891</v>
      </c>
      <c r="E735" s="254" t="str">
        <f>_xlfn.XLOOKUP(C735,Clientes!I:I,Clientes!F:F)</f>
        <v>GRUPO MOSAIC FERTILIZANTES DO BRASIL</v>
      </c>
      <c r="F735" s="254">
        <v>8215</v>
      </c>
      <c r="G735" s="254" t="s">
        <v>855</v>
      </c>
      <c r="H735" s="254" t="s">
        <v>947</v>
      </c>
      <c r="I735" s="255">
        <v>24000</v>
      </c>
      <c r="J735" s="256">
        <v>24000</v>
      </c>
      <c r="K735" s="258">
        <v>870517.50262835901</v>
      </c>
      <c r="L735" s="258">
        <v>0</v>
      </c>
      <c r="M735" s="258">
        <f t="shared" si="46"/>
        <v>870517.50262835901</v>
      </c>
      <c r="N735" s="258">
        <v>-328845.92000000004</v>
      </c>
      <c r="O735" s="258">
        <v>-4003.2278000000001</v>
      </c>
      <c r="P735" s="258">
        <v>-2.0585544242664686</v>
      </c>
      <c r="Q735" s="258">
        <f t="shared" si="47"/>
        <v>537666.29627393465</v>
      </c>
      <c r="R735" s="259">
        <f t="shared" si="48"/>
        <v>0.61763984601177502</v>
      </c>
      <c r="S735" s="255">
        <f t="shared" si="45"/>
        <v>36.271562609514959</v>
      </c>
      <c r="T735" s="255">
        <f t="shared" si="45"/>
        <v>36.271562609514959</v>
      </c>
      <c r="U735" s="254">
        <v>100300</v>
      </c>
      <c r="V735" s="254" t="s">
        <v>917</v>
      </c>
      <c r="W735" s="254" t="s">
        <v>892</v>
      </c>
      <c r="X735" s="254" t="s">
        <v>446</v>
      </c>
      <c r="Y735" s="254" t="s">
        <v>843</v>
      </c>
      <c r="Z735" s="254" t="s">
        <v>1111</v>
      </c>
      <c r="AA735" s="254" t="s">
        <v>838</v>
      </c>
    </row>
    <row r="736" spans="1:27" ht="14.4" x14ac:dyDescent="0.3">
      <c r="A736" s="253">
        <v>13</v>
      </c>
      <c r="B736" s="254" t="s">
        <v>849</v>
      </c>
      <c r="C736" s="254">
        <v>97</v>
      </c>
      <c r="D736" s="254" t="s">
        <v>300</v>
      </c>
      <c r="E736" s="254" t="str">
        <f>_xlfn.XLOOKUP(C736,Clientes!I:I,Clientes!F:F)</f>
        <v>FECOAGRO FEDERACAO DAS COOPERATIVAS</v>
      </c>
      <c r="F736" s="254">
        <v>8223</v>
      </c>
      <c r="G736" s="254" t="s">
        <v>893</v>
      </c>
      <c r="H736" s="254" t="s">
        <v>920</v>
      </c>
      <c r="I736" s="255">
        <v>24000</v>
      </c>
      <c r="J736" s="256">
        <v>24000</v>
      </c>
      <c r="K736" s="258">
        <v>913046.23516085127</v>
      </c>
      <c r="L736" s="258">
        <v>-109440</v>
      </c>
      <c r="M736" s="258">
        <f t="shared" si="46"/>
        <v>803606.23516085127</v>
      </c>
      <c r="N736" s="258">
        <v>-284189.58999999997</v>
      </c>
      <c r="O736" s="258">
        <v>-15993.757</v>
      </c>
      <c r="P736" s="258">
        <v>-8.2243681543660347</v>
      </c>
      <c r="Q736" s="258">
        <f t="shared" si="47"/>
        <v>503414.66379269696</v>
      </c>
      <c r="R736" s="259">
        <f t="shared" si="48"/>
        <v>0.626444447250876</v>
      </c>
      <c r="S736" s="255">
        <f t="shared" si="45"/>
        <v>38.043593131702139</v>
      </c>
      <c r="T736" s="255">
        <f t="shared" si="45"/>
        <v>38.043593131702139</v>
      </c>
      <c r="U736" s="254">
        <v>100300</v>
      </c>
      <c r="V736" s="254" t="s">
        <v>917</v>
      </c>
      <c r="W736" s="254" t="s">
        <v>894</v>
      </c>
      <c r="X736" s="254" t="s">
        <v>446</v>
      </c>
      <c r="Y736" s="254" t="s">
        <v>843</v>
      </c>
      <c r="Z736" s="254" t="s">
        <v>1111</v>
      </c>
      <c r="AA736" s="254" t="s">
        <v>838</v>
      </c>
    </row>
    <row r="737" spans="1:27" ht="14.4" x14ac:dyDescent="0.3">
      <c r="A737" s="253">
        <v>13</v>
      </c>
      <c r="B737" s="254" t="s">
        <v>849</v>
      </c>
      <c r="C737" s="254">
        <v>2003</v>
      </c>
      <c r="D737" s="254" t="s">
        <v>316</v>
      </c>
      <c r="E737" s="254" t="str">
        <f>_xlfn.XLOOKUP(C737,Clientes!I:I,Clientes!F:F)</f>
        <v>GRUPO HERINGER</v>
      </c>
      <c r="F737" s="254">
        <v>8217</v>
      </c>
      <c r="G737" s="254" t="s">
        <v>877</v>
      </c>
      <c r="H737" s="254" t="s">
        <v>927</v>
      </c>
      <c r="I737" s="255">
        <v>6000</v>
      </c>
      <c r="J737" s="256">
        <v>6000</v>
      </c>
      <c r="K737" s="258">
        <v>221894.26267659108</v>
      </c>
      <c r="L737" s="258">
        <v>-26596.799999999999</v>
      </c>
      <c r="M737" s="258">
        <f t="shared" si="46"/>
        <v>195297.46267659109</v>
      </c>
      <c r="N737" s="258">
        <v>-94699.829999999987</v>
      </c>
      <c r="O737" s="258">
        <v>-14498.255999999972</v>
      </c>
      <c r="P737" s="258">
        <v>-7.4553461666477778</v>
      </c>
      <c r="Q737" s="258">
        <f t="shared" si="47"/>
        <v>86091.921330424491</v>
      </c>
      <c r="R737" s="259">
        <f t="shared" si="48"/>
        <v>0.44082457677901882</v>
      </c>
      <c r="S737" s="255">
        <f t="shared" si="45"/>
        <v>36.982377112765178</v>
      </c>
      <c r="T737" s="255">
        <f t="shared" si="45"/>
        <v>36.982377112765178</v>
      </c>
      <c r="U737" s="254">
        <v>100300</v>
      </c>
      <c r="V737" s="254" t="s">
        <v>917</v>
      </c>
      <c r="W737" s="254" t="s">
        <v>878</v>
      </c>
      <c r="X737" s="254" t="s">
        <v>446</v>
      </c>
      <c r="Y737" s="254" t="s">
        <v>843</v>
      </c>
      <c r="Z737" s="254" t="s">
        <v>1111</v>
      </c>
      <c r="AA737" s="254" t="s">
        <v>838</v>
      </c>
    </row>
    <row r="738" spans="1:27" ht="14.4" x14ac:dyDescent="0.3">
      <c r="A738" s="253">
        <v>13</v>
      </c>
      <c r="B738" s="254" t="s">
        <v>849</v>
      </c>
      <c r="C738" s="254">
        <v>9355</v>
      </c>
      <c r="D738" s="254" t="s">
        <v>302</v>
      </c>
      <c r="E738" s="254" t="str">
        <f>_xlfn.XLOOKUP(C738,Clientes!I:I,Clientes!F:F)</f>
        <v>NITROFERT SAS - COLOMBIA</v>
      </c>
      <c r="F738" s="254">
        <v>8206</v>
      </c>
      <c r="G738" s="254" t="s">
        <v>832</v>
      </c>
      <c r="H738" s="254" t="s">
        <v>1025</v>
      </c>
      <c r="I738" s="255">
        <v>24000</v>
      </c>
      <c r="J738" s="256">
        <v>24000</v>
      </c>
      <c r="K738" s="258">
        <v>1260724.6304971017</v>
      </c>
      <c r="L738" s="258">
        <v>0</v>
      </c>
      <c r="M738" s="258">
        <f t="shared" si="46"/>
        <v>1260724.6304971017</v>
      </c>
      <c r="N738" s="258">
        <v>-336174.26999999996</v>
      </c>
      <c r="O738" s="258">
        <v>0</v>
      </c>
      <c r="P738" s="258">
        <v>-4410.7648124191464</v>
      </c>
      <c r="Q738" s="258">
        <f t="shared" si="47"/>
        <v>920139.59568468248</v>
      </c>
      <c r="R738" s="259">
        <f t="shared" si="48"/>
        <v>0.72984978117058985</v>
      </c>
      <c r="S738" s="255">
        <f t="shared" si="45"/>
        <v>52.53019293737924</v>
      </c>
      <c r="T738" s="255">
        <f t="shared" si="45"/>
        <v>52.53019293737924</v>
      </c>
      <c r="U738" s="254">
        <v>100300</v>
      </c>
      <c r="V738" s="254" t="s">
        <v>917</v>
      </c>
      <c r="W738" s="254" t="s">
        <v>998</v>
      </c>
      <c r="X738" s="254" t="s">
        <v>446</v>
      </c>
      <c r="Y738" s="254" t="s">
        <v>836</v>
      </c>
      <c r="Z738" s="254" t="s">
        <v>1111</v>
      </c>
      <c r="AA738" s="254" t="s">
        <v>838</v>
      </c>
    </row>
    <row r="739" spans="1:27" ht="14.4" x14ac:dyDescent="0.3">
      <c r="A739" s="253">
        <v>13</v>
      </c>
      <c r="B739" s="254" t="s">
        <v>849</v>
      </c>
      <c r="C739" s="254">
        <v>2346</v>
      </c>
      <c r="D739" s="254" t="s">
        <v>1068</v>
      </c>
      <c r="E739" s="254" t="str">
        <f>_xlfn.XLOOKUP(C739,Clientes!I:I,Clientes!F:F)</f>
        <v>TEPEYAC - MÉXICO</v>
      </c>
      <c r="F739" s="254">
        <v>8214</v>
      </c>
      <c r="G739" s="254" t="s">
        <v>832</v>
      </c>
      <c r="H739" s="254" t="s">
        <v>922</v>
      </c>
      <c r="I739" s="255">
        <v>11000</v>
      </c>
      <c r="J739" s="256">
        <v>11000</v>
      </c>
      <c r="K739" s="258">
        <v>525301.92937379237</v>
      </c>
      <c r="L739" s="258">
        <v>0</v>
      </c>
      <c r="M739" s="258">
        <f t="shared" si="46"/>
        <v>525301.92937379237</v>
      </c>
      <c r="N739" s="258">
        <v>-174926.41736842104</v>
      </c>
      <c r="O739" s="258">
        <v>-13252.310015999999</v>
      </c>
      <c r="P739" s="258">
        <v>-2028.4151902963958</v>
      </c>
      <c r="Q739" s="258">
        <f t="shared" si="47"/>
        <v>335094.78679907491</v>
      </c>
      <c r="R739" s="259">
        <f t="shared" si="48"/>
        <v>0.63790892068212723</v>
      </c>
      <c r="S739" s="255">
        <f t="shared" si="45"/>
        <v>47.75472085216294</v>
      </c>
      <c r="T739" s="255">
        <f t="shared" si="45"/>
        <v>47.75472085216294</v>
      </c>
      <c r="U739" s="254">
        <v>100300</v>
      </c>
      <c r="V739" s="254" t="s">
        <v>917</v>
      </c>
      <c r="W739" s="254" t="s">
        <v>1069</v>
      </c>
      <c r="X739" s="254" t="s">
        <v>446</v>
      </c>
      <c r="Y739" s="254" t="s">
        <v>836</v>
      </c>
      <c r="Z739" s="254" t="s">
        <v>1111</v>
      </c>
      <c r="AA739" s="254" t="s">
        <v>838</v>
      </c>
    </row>
    <row r="740" spans="1:27" ht="14.4" x14ac:dyDescent="0.3">
      <c r="A740" s="253">
        <v>13</v>
      </c>
      <c r="B740" s="254" t="s">
        <v>849</v>
      </c>
      <c r="C740" s="254">
        <v>10492</v>
      </c>
      <c r="D740" s="254" t="s">
        <v>101</v>
      </c>
      <c r="E740" s="254" t="str">
        <f>_xlfn.XLOOKUP(C740,Clientes!I:I,Clientes!F:F)</f>
        <v>GRUPO UNIFERTIL</v>
      </c>
      <c r="F740" s="254">
        <v>8216</v>
      </c>
      <c r="G740" s="254" t="s">
        <v>877</v>
      </c>
      <c r="H740" s="254" t="s">
        <v>938</v>
      </c>
      <c r="I740" s="255">
        <v>36000</v>
      </c>
      <c r="J740" s="256">
        <v>36000</v>
      </c>
      <c r="K740" s="258">
        <v>1119803.1523597757</v>
      </c>
      <c r="L740" s="258">
        <v>-134222.39999999999</v>
      </c>
      <c r="M740" s="258">
        <f t="shared" si="46"/>
        <v>985580.75235977571</v>
      </c>
      <c r="N740" s="258">
        <v>-361607.27400000003</v>
      </c>
      <c r="O740" s="258">
        <v>-25187.772999999997</v>
      </c>
      <c r="P740" s="258">
        <v>-12.952148650289024</v>
      </c>
      <c r="Q740" s="258">
        <f t="shared" si="47"/>
        <v>598772.75321112527</v>
      </c>
      <c r="R740" s="259">
        <f t="shared" si="48"/>
        <v>0.60753292084639832</v>
      </c>
      <c r="S740" s="255">
        <f t="shared" si="45"/>
        <v>31.105643121104883</v>
      </c>
      <c r="T740" s="255">
        <f t="shared" si="45"/>
        <v>31.105643121104883</v>
      </c>
      <c r="U740" s="254">
        <v>100300</v>
      </c>
      <c r="V740" s="254" t="s">
        <v>917</v>
      </c>
      <c r="W740" s="254" t="s">
        <v>878</v>
      </c>
      <c r="X740" s="254" t="s">
        <v>446</v>
      </c>
      <c r="Y740" s="254" t="s">
        <v>843</v>
      </c>
      <c r="Z740" s="254" t="s">
        <v>1111</v>
      </c>
      <c r="AA740" s="254" t="s">
        <v>838</v>
      </c>
    </row>
    <row r="741" spans="1:27" ht="14.4" x14ac:dyDescent="0.3">
      <c r="A741" s="253">
        <v>13</v>
      </c>
      <c r="B741" s="254" t="s">
        <v>849</v>
      </c>
      <c r="C741" s="254">
        <v>7662</v>
      </c>
      <c r="D741" s="254" t="s">
        <v>95</v>
      </c>
      <c r="E741" s="254" t="str">
        <f>_xlfn.XLOOKUP(C741,Clientes!I:I,Clientes!F:F)</f>
        <v>BENTONIT UNIAO - CAMPINA GRANDE</v>
      </c>
      <c r="F741" s="254">
        <v>7</v>
      </c>
      <c r="G741" s="254" t="s">
        <v>1022</v>
      </c>
      <c r="H741" s="254" t="s">
        <v>1023</v>
      </c>
      <c r="I741" s="255">
        <v>7000</v>
      </c>
      <c r="J741" s="256">
        <v>7000</v>
      </c>
      <c r="K741" s="258">
        <v>273383.26253878692</v>
      </c>
      <c r="L741" s="258">
        <v>-42605.746749999998</v>
      </c>
      <c r="M741" s="258">
        <f t="shared" si="46"/>
        <v>230777.51578878693</v>
      </c>
      <c r="N741" s="258">
        <v>-63647.4</v>
      </c>
      <c r="O741" s="258">
        <v>0</v>
      </c>
      <c r="P741" s="258">
        <v>0</v>
      </c>
      <c r="Q741" s="258">
        <f t="shared" si="47"/>
        <v>167130.11578878693</v>
      </c>
      <c r="R741" s="259">
        <f t="shared" si="48"/>
        <v>0.72420450154142568</v>
      </c>
      <c r="S741" s="255">
        <f t="shared" si="45"/>
        <v>39.054751791255278</v>
      </c>
      <c r="T741" s="255">
        <f t="shared" si="45"/>
        <v>39.054751791255278</v>
      </c>
      <c r="U741" s="254">
        <v>100300</v>
      </c>
      <c r="V741" s="254" t="s">
        <v>917</v>
      </c>
      <c r="W741" s="254" t="s">
        <v>1024</v>
      </c>
      <c r="X741" s="254" t="s">
        <v>446</v>
      </c>
      <c r="Y741" s="254" t="s">
        <v>843</v>
      </c>
      <c r="Z741" s="254" t="s">
        <v>1111</v>
      </c>
      <c r="AA741" s="254" t="s">
        <v>838</v>
      </c>
    </row>
    <row r="742" spans="1:27" ht="14.4" x14ac:dyDescent="0.3">
      <c r="A742" s="253">
        <v>13</v>
      </c>
      <c r="B742" s="254" t="s">
        <v>849</v>
      </c>
      <c r="C742" s="254">
        <v>943</v>
      </c>
      <c r="D742" s="254" t="s">
        <v>152</v>
      </c>
      <c r="E742" s="254" t="str">
        <f>_xlfn.XLOOKUP(C742,Clientes!I:I,Clientes!F:F)</f>
        <v>FORTGREEN - PAICANDU</v>
      </c>
      <c r="F742" s="254">
        <v>8214</v>
      </c>
      <c r="G742" s="254" t="s">
        <v>862</v>
      </c>
      <c r="H742" s="254" t="s">
        <v>922</v>
      </c>
      <c r="I742" s="255">
        <v>5000</v>
      </c>
      <c r="J742" s="256">
        <v>5000</v>
      </c>
      <c r="K742" s="258">
        <v>180256.55114113077</v>
      </c>
      <c r="L742" s="258">
        <v>-21606</v>
      </c>
      <c r="M742" s="258">
        <f t="shared" si="46"/>
        <v>158650.55114113077</v>
      </c>
      <c r="N742" s="258">
        <v>-79512.007894736817</v>
      </c>
      <c r="O742" s="258">
        <v>0</v>
      </c>
      <c r="P742" s="258">
        <v>0</v>
      </c>
      <c r="Q742" s="258">
        <f t="shared" si="47"/>
        <v>79138.543246393951</v>
      </c>
      <c r="R742" s="259">
        <f t="shared" si="48"/>
        <v>0.49882299605750929</v>
      </c>
      <c r="S742" s="255">
        <f t="shared" si="45"/>
        <v>36.05131022822615</v>
      </c>
      <c r="T742" s="255">
        <f t="shared" si="45"/>
        <v>36.05131022822615</v>
      </c>
      <c r="U742" s="254">
        <v>100300</v>
      </c>
      <c r="V742" s="254" t="s">
        <v>917</v>
      </c>
      <c r="W742" s="254" t="s">
        <v>941</v>
      </c>
      <c r="X742" s="254" t="s">
        <v>446</v>
      </c>
      <c r="Y742" s="254" t="s">
        <v>843</v>
      </c>
      <c r="Z742" s="254" t="s">
        <v>1111</v>
      </c>
      <c r="AA742" s="254" t="s">
        <v>838</v>
      </c>
    </row>
    <row r="743" spans="1:27" ht="14.4" x14ac:dyDescent="0.3">
      <c r="A743" s="253">
        <v>13</v>
      </c>
      <c r="B743" s="254" t="s">
        <v>849</v>
      </c>
      <c r="C743" s="254">
        <v>2656</v>
      </c>
      <c r="D743" s="254" t="s">
        <v>118</v>
      </c>
      <c r="E743" s="254" t="str">
        <f>_xlfn.XLOOKUP(C743,Clientes!I:I,Clientes!F:F)</f>
        <v>ISUSA - URUGUAI</v>
      </c>
      <c r="F743" s="254">
        <v>8201</v>
      </c>
      <c r="G743" s="254" t="s">
        <v>832</v>
      </c>
      <c r="H743" s="254" t="s">
        <v>916</v>
      </c>
      <c r="I743" s="255">
        <v>8800</v>
      </c>
      <c r="J743" s="256">
        <v>8800</v>
      </c>
      <c r="K743" s="258">
        <v>441561.97400778992</v>
      </c>
      <c r="L743" s="258">
        <v>0</v>
      </c>
      <c r="M743" s="258">
        <f t="shared" si="46"/>
        <v>441561.97400778992</v>
      </c>
      <c r="N743" s="258">
        <v>-179283.24363636362</v>
      </c>
      <c r="O743" s="258">
        <v>0</v>
      </c>
      <c r="P743" s="258">
        <v>-1617.2804312203534</v>
      </c>
      <c r="Q743" s="258">
        <f t="shared" si="47"/>
        <v>260661.44994020596</v>
      </c>
      <c r="R743" s="259">
        <f t="shared" si="48"/>
        <v>0.59031679647216961</v>
      </c>
      <c r="S743" s="255">
        <f t="shared" si="45"/>
        <v>50.177497046339766</v>
      </c>
      <c r="T743" s="255">
        <f t="shared" si="45"/>
        <v>50.177497046339766</v>
      </c>
      <c r="U743" s="254">
        <v>100300</v>
      </c>
      <c r="V743" s="254" t="s">
        <v>917</v>
      </c>
      <c r="W743" s="254" t="s">
        <v>918</v>
      </c>
      <c r="X743" s="254" t="s">
        <v>446</v>
      </c>
      <c r="Y743" s="254" t="s">
        <v>836</v>
      </c>
      <c r="Z743" s="254" t="s">
        <v>1111</v>
      </c>
      <c r="AA743" s="254" t="s">
        <v>838</v>
      </c>
    </row>
    <row r="744" spans="1:27" ht="14.4" x14ac:dyDescent="0.3">
      <c r="A744" s="253">
        <v>13</v>
      </c>
      <c r="B744" s="254" t="s">
        <v>849</v>
      </c>
      <c r="C744" s="254">
        <v>2622</v>
      </c>
      <c r="D744" s="254" t="s">
        <v>73</v>
      </c>
      <c r="E744" s="254" t="str">
        <f>_xlfn.XLOOKUP(C744,Clientes!I:I,Clientes!F:F)</f>
        <v>ADUFERTIL JUNDIAI</v>
      </c>
      <c r="F744" s="254">
        <v>8215</v>
      </c>
      <c r="G744" s="254" t="s">
        <v>908</v>
      </c>
      <c r="H744" s="254" t="s">
        <v>947</v>
      </c>
      <c r="I744" s="255">
        <v>12000</v>
      </c>
      <c r="J744" s="256">
        <v>12000</v>
      </c>
      <c r="K744" s="258">
        <v>416036.72531079315</v>
      </c>
      <c r="L744" s="258">
        <v>-49867.199999999997</v>
      </c>
      <c r="M744" s="258">
        <f t="shared" si="46"/>
        <v>366169.52531079313</v>
      </c>
      <c r="N744" s="258">
        <v>-164422.96000000002</v>
      </c>
      <c r="O744" s="258">
        <v>-5481.0480000000016</v>
      </c>
      <c r="P744" s="258">
        <v>-2.8184845264156295</v>
      </c>
      <c r="Q744" s="258">
        <f t="shared" si="47"/>
        <v>196262.69882626669</v>
      </c>
      <c r="R744" s="259">
        <f t="shared" si="48"/>
        <v>0.53598862073430364</v>
      </c>
      <c r="S744" s="255">
        <f t="shared" si="45"/>
        <v>34.66972710923276</v>
      </c>
      <c r="T744" s="255">
        <f t="shared" si="45"/>
        <v>34.66972710923276</v>
      </c>
      <c r="U744" s="254">
        <v>100300</v>
      </c>
      <c r="V744" s="254" t="s">
        <v>917</v>
      </c>
      <c r="W744" s="254" t="s">
        <v>948</v>
      </c>
      <c r="X744" s="254" t="s">
        <v>446</v>
      </c>
      <c r="Y744" s="254" t="s">
        <v>843</v>
      </c>
      <c r="Z744" s="254" t="s">
        <v>1111</v>
      </c>
      <c r="AA744" s="254" t="s">
        <v>838</v>
      </c>
    </row>
    <row r="745" spans="1:27" ht="14.4" x14ac:dyDescent="0.3">
      <c r="A745" s="253">
        <v>13</v>
      </c>
      <c r="B745" s="254" t="s">
        <v>849</v>
      </c>
      <c r="C745" s="254">
        <v>1613</v>
      </c>
      <c r="D745" s="254" t="s">
        <v>211</v>
      </c>
      <c r="E745" s="254" t="str">
        <f>_xlfn.XLOOKUP(C745,Clientes!I:I,Clientes!F:F)</f>
        <v>GRUPO HERINGER</v>
      </c>
      <c r="F745" s="254">
        <v>8217</v>
      </c>
      <c r="G745" s="254" t="s">
        <v>875</v>
      </c>
      <c r="H745" s="254" t="s">
        <v>927</v>
      </c>
      <c r="I745" s="255">
        <v>12000</v>
      </c>
      <c r="J745" s="256">
        <v>12000</v>
      </c>
      <c r="K745" s="258">
        <v>405825.02399649413</v>
      </c>
      <c r="L745" s="258">
        <v>-28375.200000000004</v>
      </c>
      <c r="M745" s="258">
        <f t="shared" si="46"/>
        <v>377449.82399649412</v>
      </c>
      <c r="N745" s="258">
        <v>-189399.65999999997</v>
      </c>
      <c r="O745" s="258">
        <v>-13083.792000000029</v>
      </c>
      <c r="P745" s="258">
        <v>-6.7279953211211927</v>
      </c>
      <c r="Q745" s="258">
        <f t="shared" si="47"/>
        <v>174959.644001173</v>
      </c>
      <c r="R745" s="259">
        <f t="shared" si="48"/>
        <v>0.46353086656306952</v>
      </c>
      <c r="S745" s="255">
        <f t="shared" si="45"/>
        <v>33.818751999707843</v>
      </c>
      <c r="T745" s="255">
        <f t="shared" si="45"/>
        <v>33.818751999707843</v>
      </c>
      <c r="U745" s="254">
        <v>100300</v>
      </c>
      <c r="V745" s="254" t="s">
        <v>917</v>
      </c>
      <c r="W745" s="254" t="s">
        <v>876</v>
      </c>
      <c r="X745" s="254" t="s">
        <v>446</v>
      </c>
      <c r="Y745" s="254" t="s">
        <v>843</v>
      </c>
      <c r="Z745" s="254" t="s">
        <v>1111</v>
      </c>
      <c r="AA745" s="254" t="s">
        <v>838</v>
      </c>
    </row>
    <row r="746" spans="1:27" ht="14.4" x14ac:dyDescent="0.3">
      <c r="A746" s="253">
        <v>11</v>
      </c>
      <c r="B746" s="254" t="s">
        <v>849</v>
      </c>
      <c r="C746" s="254">
        <v>6177</v>
      </c>
      <c r="D746" s="254" t="s">
        <v>633</v>
      </c>
      <c r="E746" s="254" t="str">
        <f>_xlfn.XLOOKUP(C746,Clientes!I:I,Clientes!F:F)</f>
        <v>NUTRIENTES IND DE FERTILIZANTES LTDA</v>
      </c>
      <c r="F746" s="254">
        <v>3351</v>
      </c>
      <c r="G746" s="254" t="s">
        <v>862</v>
      </c>
      <c r="H746" s="254" t="s">
        <v>965</v>
      </c>
      <c r="I746" s="255">
        <v>30000</v>
      </c>
      <c r="J746" s="256">
        <v>30000</v>
      </c>
      <c r="K746" s="258">
        <v>135000</v>
      </c>
      <c r="L746" s="258">
        <v>-16200</v>
      </c>
      <c r="M746" s="258">
        <f t="shared" si="46"/>
        <v>118800</v>
      </c>
      <c r="N746" s="258">
        <v>-81269.34</v>
      </c>
      <c r="O746" s="258">
        <v>-13749.442761599999</v>
      </c>
      <c r="P746" s="258">
        <v>-7.0702886875661308</v>
      </c>
      <c r="Q746" s="258">
        <f t="shared" si="47"/>
        <v>23774.146949712438</v>
      </c>
      <c r="R746" s="259">
        <f t="shared" si="48"/>
        <v>0.20011908206828652</v>
      </c>
      <c r="S746" s="255">
        <f t="shared" si="45"/>
        <v>4.5</v>
      </c>
      <c r="T746" s="255">
        <f t="shared" si="45"/>
        <v>4.5</v>
      </c>
      <c r="U746" s="254">
        <v>100700</v>
      </c>
      <c r="V746" s="254" t="s">
        <v>960</v>
      </c>
      <c r="W746" s="254" t="s">
        <v>1121</v>
      </c>
      <c r="X746" s="254" t="s">
        <v>446</v>
      </c>
      <c r="Y746" s="254" t="s">
        <v>843</v>
      </c>
      <c r="Z746" s="254" t="s">
        <v>1111</v>
      </c>
      <c r="AA746" s="254" t="s">
        <v>838</v>
      </c>
    </row>
    <row r="747" spans="1:27" ht="14.4" x14ac:dyDescent="0.3">
      <c r="A747" s="253">
        <v>11</v>
      </c>
      <c r="B747" s="254" t="s">
        <v>849</v>
      </c>
      <c r="C747" s="254">
        <v>11724</v>
      </c>
      <c r="D747" s="254" t="s">
        <v>107</v>
      </c>
      <c r="E747" s="254" t="str">
        <f>_xlfn.XLOOKUP(C747,Clientes!I:I,Clientes!F:F)</f>
        <v>GRUPO HINOVE</v>
      </c>
      <c r="F747" s="254">
        <v>14142</v>
      </c>
      <c r="G747" s="254" t="s">
        <v>908</v>
      </c>
      <c r="H747" s="254" t="s">
        <v>962</v>
      </c>
      <c r="I747" s="255">
        <v>68400</v>
      </c>
      <c r="J747" s="256">
        <v>68400</v>
      </c>
      <c r="K747" s="258">
        <v>413820</v>
      </c>
      <c r="L747" s="258">
        <v>-49658.400000000001</v>
      </c>
      <c r="M747" s="258">
        <f t="shared" si="46"/>
        <v>364161.6</v>
      </c>
      <c r="N747" s="258">
        <v>-181525.05</v>
      </c>
      <c r="O747" s="258">
        <v>-26878.526752895996</v>
      </c>
      <c r="P747" s="258">
        <v>-13.821574221916297</v>
      </c>
      <c r="Q747" s="258">
        <f t="shared" si="47"/>
        <v>155744.20167288207</v>
      </c>
      <c r="R747" s="259">
        <f t="shared" si="48"/>
        <v>0.42767881531957813</v>
      </c>
      <c r="S747" s="255">
        <f t="shared" si="45"/>
        <v>6.05</v>
      </c>
      <c r="T747" s="255">
        <f t="shared" si="45"/>
        <v>6.05</v>
      </c>
      <c r="U747" s="254">
        <v>100700</v>
      </c>
      <c r="V747" s="254" t="s">
        <v>960</v>
      </c>
      <c r="W747" s="254" t="s">
        <v>963</v>
      </c>
      <c r="X747" s="254" t="s">
        <v>446</v>
      </c>
      <c r="Y747" s="254" t="s">
        <v>843</v>
      </c>
      <c r="Z747" s="254" t="s">
        <v>1111</v>
      </c>
      <c r="AA747" s="254" t="s">
        <v>838</v>
      </c>
    </row>
    <row r="748" spans="1:27" ht="14.4" x14ac:dyDescent="0.3">
      <c r="A748" s="253">
        <v>11</v>
      </c>
      <c r="B748" s="254" t="s">
        <v>849</v>
      </c>
      <c r="C748" s="254">
        <v>12741</v>
      </c>
      <c r="D748" s="254" t="s">
        <v>964</v>
      </c>
      <c r="E748" s="254" t="str">
        <f>_xlfn.XLOOKUP(C748,Clientes!I:I,Clientes!F:F)</f>
        <v>GRUPO HINOVE</v>
      </c>
      <c r="F748" s="254">
        <v>3351</v>
      </c>
      <c r="G748" s="254" t="s">
        <v>908</v>
      </c>
      <c r="H748" s="254" t="s">
        <v>965</v>
      </c>
      <c r="I748" s="255">
        <v>30000</v>
      </c>
      <c r="J748" s="256">
        <v>30000</v>
      </c>
      <c r="K748" s="258">
        <v>175500</v>
      </c>
      <c r="L748" s="258">
        <v>-21060</v>
      </c>
      <c r="M748" s="258">
        <f t="shared" si="46"/>
        <v>154440</v>
      </c>
      <c r="N748" s="258">
        <v>-81269.34</v>
      </c>
      <c r="O748" s="258">
        <v>0</v>
      </c>
      <c r="P748" s="258">
        <v>0</v>
      </c>
      <c r="Q748" s="258">
        <f t="shared" si="47"/>
        <v>73170.66</v>
      </c>
      <c r="R748" s="259">
        <f t="shared" si="48"/>
        <v>0.47378049728049731</v>
      </c>
      <c r="S748" s="255">
        <f t="shared" si="45"/>
        <v>5.85</v>
      </c>
      <c r="T748" s="255">
        <f t="shared" si="45"/>
        <v>5.85</v>
      </c>
      <c r="U748" s="254">
        <v>100700</v>
      </c>
      <c r="V748" s="254" t="s">
        <v>960</v>
      </c>
      <c r="W748" s="254" t="s">
        <v>966</v>
      </c>
      <c r="X748" s="254" t="s">
        <v>446</v>
      </c>
      <c r="Y748" s="254" t="s">
        <v>843</v>
      </c>
      <c r="Z748" s="254" t="s">
        <v>1111</v>
      </c>
      <c r="AA748" s="254" t="s">
        <v>838</v>
      </c>
    </row>
    <row r="749" spans="1:27" ht="14.4" x14ac:dyDescent="0.3">
      <c r="A749" s="253">
        <v>11</v>
      </c>
      <c r="B749" s="254" t="s">
        <v>849</v>
      </c>
      <c r="C749" s="254">
        <v>2603</v>
      </c>
      <c r="D749" s="254" t="s">
        <v>1074</v>
      </c>
      <c r="E749" s="254" t="str">
        <f>_xlfn.XLOOKUP(C749,Clientes!I:I,Clientes!F:F)</f>
        <v>GRUPO MOSAIC FERTILIZANTES DO BRASIL</v>
      </c>
      <c r="F749" s="254">
        <v>3362</v>
      </c>
      <c r="G749" s="254" t="s">
        <v>897</v>
      </c>
      <c r="H749" s="254" t="s">
        <v>1097</v>
      </c>
      <c r="I749" s="255">
        <v>30000</v>
      </c>
      <c r="J749" s="256">
        <v>30000</v>
      </c>
      <c r="K749" s="258">
        <v>193200</v>
      </c>
      <c r="L749" s="258">
        <v>-13524.000000000002</v>
      </c>
      <c r="M749" s="258">
        <f t="shared" si="46"/>
        <v>179676</v>
      </c>
      <c r="N749" s="258">
        <v>-81203.850000000006</v>
      </c>
      <c r="O749" s="258">
        <v>0</v>
      </c>
      <c r="P749" s="258">
        <v>0</v>
      </c>
      <c r="Q749" s="258">
        <f t="shared" si="47"/>
        <v>98472.15</v>
      </c>
      <c r="R749" s="259">
        <f t="shared" si="48"/>
        <v>0.54805399719495085</v>
      </c>
      <c r="S749" s="255">
        <f t="shared" si="45"/>
        <v>6.44</v>
      </c>
      <c r="T749" s="255">
        <f t="shared" si="45"/>
        <v>6.44</v>
      </c>
      <c r="U749" s="254">
        <v>100700</v>
      </c>
      <c r="V749" s="254" t="s">
        <v>960</v>
      </c>
      <c r="W749" s="254" t="s">
        <v>899</v>
      </c>
      <c r="X749" s="254" t="s">
        <v>446</v>
      </c>
      <c r="Y749" s="254" t="s">
        <v>843</v>
      </c>
      <c r="Z749" s="254" t="s">
        <v>1111</v>
      </c>
      <c r="AA749" s="254" t="s">
        <v>838</v>
      </c>
    </row>
    <row r="750" spans="1:27" ht="14.4" x14ac:dyDescent="0.3">
      <c r="A750" s="253">
        <v>11</v>
      </c>
      <c r="B750" s="254" t="s">
        <v>849</v>
      </c>
      <c r="C750" s="254">
        <v>1789</v>
      </c>
      <c r="D750" s="254" t="s">
        <v>61</v>
      </c>
      <c r="E750" s="254" t="str">
        <f>_xlfn.XLOOKUP(C750,Clientes!I:I,Clientes!F:F)</f>
        <v>GRUPO MOSAIC FERTILIZANTES P K LTDA</v>
      </c>
      <c r="F750" s="254">
        <v>3359</v>
      </c>
      <c r="G750" s="254" t="s">
        <v>855</v>
      </c>
      <c r="H750" s="254" t="s">
        <v>967</v>
      </c>
      <c r="I750" s="255">
        <v>360000</v>
      </c>
      <c r="J750" s="256">
        <v>360000</v>
      </c>
      <c r="K750" s="258">
        <v>1396800</v>
      </c>
      <c r="L750" s="258">
        <v>0</v>
      </c>
      <c r="M750" s="258">
        <f t="shared" si="46"/>
        <v>1396800</v>
      </c>
      <c r="N750" s="258">
        <v>-826966.45161290315</v>
      </c>
      <c r="O750" s="258">
        <v>-38005.772313599999</v>
      </c>
      <c r="P750" s="258">
        <v>-19.543467085191939</v>
      </c>
      <c r="Q750" s="258">
        <f t="shared" si="47"/>
        <v>531808.23260641156</v>
      </c>
      <c r="R750" s="259">
        <f t="shared" si="48"/>
        <v>0.38073327076633129</v>
      </c>
      <c r="S750" s="255">
        <f t="shared" si="45"/>
        <v>3.88</v>
      </c>
      <c r="T750" s="255">
        <f t="shared" si="45"/>
        <v>3.88</v>
      </c>
      <c r="U750" s="254">
        <v>100700</v>
      </c>
      <c r="V750" s="254" t="s">
        <v>960</v>
      </c>
      <c r="W750" s="254" t="s">
        <v>969</v>
      </c>
      <c r="X750" s="254" t="s">
        <v>446</v>
      </c>
      <c r="Y750" s="254" t="s">
        <v>843</v>
      </c>
      <c r="Z750" s="254" t="s">
        <v>1111</v>
      </c>
      <c r="AA750" s="254" t="s">
        <v>838</v>
      </c>
    </row>
    <row r="751" spans="1:27" ht="14.4" x14ac:dyDescent="0.3">
      <c r="A751" s="253">
        <v>11</v>
      </c>
      <c r="B751" s="254" t="s">
        <v>849</v>
      </c>
      <c r="C751" s="254">
        <v>12629</v>
      </c>
      <c r="D751" s="254" t="s">
        <v>109</v>
      </c>
      <c r="E751" s="254" t="str">
        <f>_xlfn.XLOOKUP(C751,Clientes!I:I,Clientes!F:F)</f>
        <v>EUROCHEM SERRA DO SALITRE</v>
      </c>
      <c r="F751" s="254">
        <v>3359</v>
      </c>
      <c r="G751" s="254" t="s">
        <v>855</v>
      </c>
      <c r="H751" s="254" t="s">
        <v>967</v>
      </c>
      <c r="I751" s="255">
        <v>90000</v>
      </c>
      <c r="J751" s="256">
        <v>90000</v>
      </c>
      <c r="K751" s="258">
        <v>490500</v>
      </c>
      <c r="L751" s="258">
        <v>-88290</v>
      </c>
      <c r="M751" s="258">
        <f t="shared" si="46"/>
        <v>402210</v>
      </c>
      <c r="N751" s="258">
        <v>-206741.61290322579</v>
      </c>
      <c r="O751" s="258">
        <v>-12668.590771199999</v>
      </c>
      <c r="P751" s="258">
        <v>-6.5144890283973123</v>
      </c>
      <c r="Q751" s="258">
        <f t="shared" si="47"/>
        <v>182793.28183654582</v>
      </c>
      <c r="R751" s="259">
        <f t="shared" si="48"/>
        <v>0.45447224543533432</v>
      </c>
      <c r="S751" s="255">
        <f t="shared" si="45"/>
        <v>5.45</v>
      </c>
      <c r="T751" s="255">
        <f t="shared" si="45"/>
        <v>5.45</v>
      </c>
      <c r="U751" s="254">
        <v>100700</v>
      </c>
      <c r="V751" s="254" t="s">
        <v>960</v>
      </c>
      <c r="W751" s="254" t="s">
        <v>968</v>
      </c>
      <c r="X751" s="254" t="s">
        <v>446</v>
      </c>
      <c r="Y751" s="254" t="s">
        <v>843</v>
      </c>
      <c r="Z751" s="254" t="s">
        <v>1111</v>
      </c>
      <c r="AA751" s="254" t="s">
        <v>838</v>
      </c>
    </row>
    <row r="752" spans="1:27" ht="14.4" x14ac:dyDescent="0.3">
      <c r="A752" s="253">
        <v>11</v>
      </c>
      <c r="B752" s="254" t="s">
        <v>849</v>
      </c>
      <c r="C752" s="254">
        <v>6477</v>
      </c>
      <c r="D752" s="254" t="s">
        <v>87</v>
      </c>
      <c r="E752" s="254" t="str">
        <f>_xlfn.XLOOKUP(C752,Clientes!I:I,Clientes!F:F)</f>
        <v>GRUPO MOSAIC FERTILIZANTES DO BRASIL</v>
      </c>
      <c r="F752" s="254">
        <v>3362</v>
      </c>
      <c r="G752" s="254" t="s">
        <v>862</v>
      </c>
      <c r="H752" s="254" t="s">
        <v>1097</v>
      </c>
      <c r="I752" s="255">
        <v>300000</v>
      </c>
      <c r="J752" s="256">
        <v>300000</v>
      </c>
      <c r="K752" s="258">
        <v>1839000</v>
      </c>
      <c r="L752" s="258">
        <v>-220680</v>
      </c>
      <c r="M752" s="258">
        <f t="shared" si="46"/>
        <v>1618320</v>
      </c>
      <c r="N752" s="258">
        <v>-812038.5</v>
      </c>
      <c r="O752" s="258">
        <v>-140496.057</v>
      </c>
      <c r="P752" s="258">
        <v>-72.246395703323202</v>
      </c>
      <c r="Q752" s="258">
        <f t="shared" si="47"/>
        <v>665713.19660429668</v>
      </c>
      <c r="R752" s="259">
        <f t="shared" si="48"/>
        <v>0.41136066822649209</v>
      </c>
      <c r="S752" s="255">
        <f t="shared" si="45"/>
        <v>6.13</v>
      </c>
      <c r="T752" s="255">
        <f t="shared" si="45"/>
        <v>6.13</v>
      </c>
      <c r="U752" s="254">
        <v>100700</v>
      </c>
      <c r="V752" s="254" t="s">
        <v>960</v>
      </c>
      <c r="W752" s="254" t="s">
        <v>864</v>
      </c>
      <c r="X752" s="254" t="s">
        <v>446</v>
      </c>
      <c r="Y752" s="254" t="s">
        <v>843</v>
      </c>
      <c r="Z752" s="254" t="s">
        <v>1111</v>
      </c>
      <c r="AA752" s="254" t="s">
        <v>838</v>
      </c>
    </row>
    <row r="753" spans="1:27" ht="14.4" x14ac:dyDescent="0.3">
      <c r="A753" s="253">
        <v>11</v>
      </c>
      <c r="B753" s="254" t="s">
        <v>849</v>
      </c>
      <c r="C753" s="254">
        <v>6370</v>
      </c>
      <c r="D753" s="254" t="s">
        <v>264</v>
      </c>
      <c r="E753" s="254" t="str">
        <f>_xlfn.XLOOKUP(C753,Clientes!I:I,Clientes!F:F)</f>
        <v>YTL S.A. - PARAGUAI</v>
      </c>
      <c r="F753" s="254">
        <v>7010</v>
      </c>
      <c r="G753" s="254" t="s">
        <v>832</v>
      </c>
      <c r="H753" s="254" t="s">
        <v>971</v>
      </c>
      <c r="I753" s="255">
        <v>112000</v>
      </c>
      <c r="J753" s="256">
        <v>112000</v>
      </c>
      <c r="K753" s="258">
        <v>759360</v>
      </c>
      <c r="L753" s="258">
        <v>0</v>
      </c>
      <c r="M753" s="258">
        <f t="shared" si="46"/>
        <v>759360</v>
      </c>
      <c r="N753" s="258">
        <v>-272538</v>
      </c>
      <c r="O753" s="258">
        <v>-113761.10592</v>
      </c>
      <c r="P753" s="258">
        <v>-20642.067776111129</v>
      </c>
      <c r="Q753" s="258">
        <f t="shared" si="47"/>
        <v>352418.82630388887</v>
      </c>
      <c r="R753" s="259">
        <f t="shared" si="48"/>
        <v>0.46409980286542468</v>
      </c>
      <c r="S753" s="255">
        <f t="shared" si="45"/>
        <v>6.78</v>
      </c>
      <c r="T753" s="255">
        <f t="shared" si="45"/>
        <v>6.78</v>
      </c>
      <c r="U753" s="254">
        <v>100700</v>
      </c>
      <c r="V753" s="254" t="s">
        <v>960</v>
      </c>
      <c r="W753" s="254" t="s">
        <v>896</v>
      </c>
      <c r="X753" s="254" t="s">
        <v>446</v>
      </c>
      <c r="Y753" s="254" t="s">
        <v>836</v>
      </c>
      <c r="Z753" s="254" t="s">
        <v>1111</v>
      </c>
      <c r="AA753" s="254" t="s">
        <v>838</v>
      </c>
    </row>
    <row r="754" spans="1:27" ht="14.4" x14ac:dyDescent="0.3">
      <c r="A754" s="253">
        <v>11</v>
      </c>
      <c r="B754" s="254" t="s">
        <v>849</v>
      </c>
      <c r="C754" s="254">
        <v>5300</v>
      </c>
      <c r="D754" s="254" t="s">
        <v>25</v>
      </c>
      <c r="E754" s="254" t="str">
        <f>_xlfn.XLOOKUP(C754,Clientes!I:I,Clientes!F:F)</f>
        <v>FOSNOR - LUIS EDUARDO MAGALHAES</v>
      </c>
      <c r="F754" s="254">
        <v>4246</v>
      </c>
      <c r="G754" s="254" t="s">
        <v>875</v>
      </c>
      <c r="H754" s="254" t="s">
        <v>959</v>
      </c>
      <c r="I754" s="255">
        <v>150000</v>
      </c>
      <c r="J754" s="256">
        <v>150000</v>
      </c>
      <c r="K754" s="258">
        <v>877500</v>
      </c>
      <c r="L754" s="258">
        <v>-61425.000000000007</v>
      </c>
      <c r="M754" s="258">
        <f t="shared" si="46"/>
        <v>816075</v>
      </c>
      <c r="N754" s="258">
        <v>-388568.25</v>
      </c>
      <c r="O754" s="258">
        <v>-77419.165823999996</v>
      </c>
      <c r="P754" s="258">
        <v>-39.810766284650249</v>
      </c>
      <c r="Q754" s="258">
        <f t="shared" si="47"/>
        <v>350047.77340971533</v>
      </c>
      <c r="R754" s="259">
        <f t="shared" si="48"/>
        <v>0.42894068977693878</v>
      </c>
      <c r="S754" s="255">
        <f t="shared" si="45"/>
        <v>5.85</v>
      </c>
      <c r="T754" s="255">
        <f t="shared" si="45"/>
        <v>5.85</v>
      </c>
      <c r="U754" s="254">
        <v>100700</v>
      </c>
      <c r="V754" s="254" t="s">
        <v>960</v>
      </c>
      <c r="W754" s="254" t="s">
        <v>961</v>
      </c>
      <c r="X754" s="254" t="s">
        <v>446</v>
      </c>
      <c r="Y754" s="254" t="s">
        <v>843</v>
      </c>
      <c r="Z754" s="254" t="s">
        <v>1111</v>
      </c>
      <c r="AA754" s="254" t="s">
        <v>838</v>
      </c>
    </row>
    <row r="755" spans="1:27" ht="14.4" x14ac:dyDescent="0.3">
      <c r="A755" s="253">
        <v>11</v>
      </c>
      <c r="B755" s="254" t="s">
        <v>849</v>
      </c>
      <c r="C755" s="254">
        <v>1787</v>
      </c>
      <c r="D755" s="254" t="s">
        <v>57</v>
      </c>
      <c r="E755" s="254" t="str">
        <f>_xlfn.XLOOKUP(C755,Clientes!I:I,Clientes!F:F)</f>
        <v>GRUPO MOSAIC FERTILIZANTES P K LTDA</v>
      </c>
      <c r="F755" s="254">
        <v>3359</v>
      </c>
      <c r="G755" s="254" t="s">
        <v>855</v>
      </c>
      <c r="H755" s="254" t="s">
        <v>967</v>
      </c>
      <c r="I755" s="255">
        <v>270000</v>
      </c>
      <c r="J755" s="256">
        <v>270000</v>
      </c>
      <c r="K755" s="258">
        <v>1047600</v>
      </c>
      <c r="L755" s="258">
        <v>0</v>
      </c>
      <c r="M755" s="258">
        <f t="shared" si="46"/>
        <v>1047600</v>
      </c>
      <c r="N755" s="258">
        <v>-620224.83870967745</v>
      </c>
      <c r="O755" s="258">
        <v>-21979.444499999998</v>
      </c>
      <c r="P755" s="258">
        <v>-11.302350248065895</v>
      </c>
      <c r="Q755" s="258">
        <f t="shared" si="47"/>
        <v>405384.41444007447</v>
      </c>
      <c r="R755" s="259">
        <f t="shared" si="48"/>
        <v>0.38696488587254152</v>
      </c>
      <c r="S755" s="255">
        <f t="shared" si="45"/>
        <v>3.88</v>
      </c>
      <c r="T755" s="255">
        <f t="shared" si="45"/>
        <v>3.88</v>
      </c>
      <c r="U755" s="254">
        <v>100700</v>
      </c>
      <c r="V755" s="254" t="s">
        <v>960</v>
      </c>
      <c r="W755" s="254" t="s">
        <v>892</v>
      </c>
      <c r="X755" s="254" t="s">
        <v>446</v>
      </c>
      <c r="Y755" s="254" t="s">
        <v>843</v>
      </c>
      <c r="Z755" s="254" t="s">
        <v>1111</v>
      </c>
      <c r="AA755" s="254" t="s">
        <v>838</v>
      </c>
    </row>
    <row r="756" spans="1:27" ht="14.4" x14ac:dyDescent="0.3">
      <c r="A756" s="253">
        <v>11</v>
      </c>
      <c r="B756" s="254" t="s">
        <v>849</v>
      </c>
      <c r="C756" s="254">
        <v>2619</v>
      </c>
      <c r="D756" s="254" t="s">
        <v>1107</v>
      </c>
      <c r="E756" s="254" t="str">
        <f>_xlfn.XLOOKUP(C756,Clientes!I:I,Clientes!F:F)</f>
        <v>FOSPAR - PARANAGUÁ</v>
      </c>
      <c r="F756" s="254">
        <v>4552</v>
      </c>
      <c r="G756" s="254" t="s">
        <v>862</v>
      </c>
      <c r="H756" s="254" t="s">
        <v>1108</v>
      </c>
      <c r="I756" s="255">
        <v>60000</v>
      </c>
      <c r="J756" s="256">
        <v>60000</v>
      </c>
      <c r="K756" s="258">
        <v>384000</v>
      </c>
      <c r="L756" s="258">
        <v>-46080</v>
      </c>
      <c r="M756" s="258">
        <f t="shared" si="46"/>
        <v>337920</v>
      </c>
      <c r="N756" s="258">
        <v>-171491.22</v>
      </c>
      <c r="O756" s="258">
        <v>-28099.2114</v>
      </c>
      <c r="P756" s="258">
        <v>-14.449279140664638</v>
      </c>
      <c r="Q756" s="258">
        <f t="shared" si="47"/>
        <v>138315.11932085935</v>
      </c>
      <c r="R756" s="259">
        <f t="shared" si="48"/>
        <v>0.40931320821750516</v>
      </c>
      <c r="S756" s="255">
        <f t="shared" si="45"/>
        <v>6.4</v>
      </c>
      <c r="T756" s="255">
        <f t="shared" si="45"/>
        <v>6.4</v>
      </c>
      <c r="U756" s="254">
        <v>100700</v>
      </c>
      <c r="V756" s="254" t="s">
        <v>960</v>
      </c>
      <c r="W756" s="254" t="s">
        <v>864</v>
      </c>
      <c r="X756" s="254" t="s">
        <v>446</v>
      </c>
      <c r="Y756" s="254" t="s">
        <v>843</v>
      </c>
      <c r="Z756" s="254" t="s">
        <v>1111</v>
      </c>
      <c r="AA756" s="254" t="s">
        <v>838</v>
      </c>
    </row>
    <row r="757" spans="1:27" ht="14.4" x14ac:dyDescent="0.3">
      <c r="A757" s="253">
        <v>11</v>
      </c>
      <c r="B757" s="254" t="s">
        <v>849</v>
      </c>
      <c r="C757" s="254">
        <v>2225</v>
      </c>
      <c r="D757" s="254" t="s">
        <v>617</v>
      </c>
      <c r="E757" s="254" t="str">
        <f>_xlfn.XLOOKUP(C757,Clientes!I:I,Clientes!F:F)</f>
        <v>ITAFOS - ARRAIAS/TO</v>
      </c>
      <c r="F757" s="254">
        <v>3351</v>
      </c>
      <c r="G757" s="254" t="s">
        <v>974</v>
      </c>
      <c r="H757" s="254" t="s">
        <v>965</v>
      </c>
      <c r="I757" s="255">
        <v>60000</v>
      </c>
      <c r="J757" s="256">
        <v>60000</v>
      </c>
      <c r="K757" s="258">
        <v>324000</v>
      </c>
      <c r="L757" s="258">
        <v>-22680.000000000004</v>
      </c>
      <c r="M757" s="258">
        <f t="shared" si="46"/>
        <v>301320</v>
      </c>
      <c r="N757" s="258">
        <v>-162538.68</v>
      </c>
      <c r="O757" s="258">
        <v>-27549.157708799998</v>
      </c>
      <c r="P757" s="258">
        <v>-14.166428522070348</v>
      </c>
      <c r="Q757" s="258">
        <f t="shared" si="47"/>
        <v>111217.99586267794</v>
      </c>
      <c r="R757" s="259">
        <f t="shared" si="48"/>
        <v>0.36910260142930418</v>
      </c>
      <c r="S757" s="255">
        <f t="shared" si="45"/>
        <v>5.4</v>
      </c>
      <c r="T757" s="255">
        <f t="shared" si="45"/>
        <v>5.4</v>
      </c>
      <c r="U757" s="254">
        <v>100700</v>
      </c>
      <c r="V757" s="254" t="s">
        <v>960</v>
      </c>
      <c r="W757" s="254" t="s">
        <v>975</v>
      </c>
      <c r="X757" s="254" t="s">
        <v>446</v>
      </c>
      <c r="Y757" s="254" t="s">
        <v>843</v>
      </c>
      <c r="Z757" s="254" t="s">
        <v>1111</v>
      </c>
      <c r="AA757" s="254" t="s">
        <v>838</v>
      </c>
    </row>
    <row r="758" spans="1:27" ht="14.4" x14ac:dyDescent="0.3">
      <c r="A758" s="253">
        <v>11</v>
      </c>
      <c r="B758" s="254" t="s">
        <v>849</v>
      </c>
      <c r="C758" s="254">
        <v>456</v>
      </c>
      <c r="D758" s="254" t="s">
        <v>312</v>
      </c>
      <c r="E758" s="254" t="str">
        <f>_xlfn.XLOOKUP(C758,Clientes!I:I,Clientes!F:F)</f>
        <v>GRUPO FERTIPAR FERTILIZANTES DO NORDESTE</v>
      </c>
      <c r="F758" s="254">
        <v>3353</v>
      </c>
      <c r="G758" s="254" t="s">
        <v>875</v>
      </c>
      <c r="H758" s="254" t="s">
        <v>972</v>
      </c>
      <c r="I758" s="255">
        <v>30000</v>
      </c>
      <c r="J758" s="256">
        <v>30000</v>
      </c>
      <c r="K758" s="258">
        <v>185400</v>
      </c>
      <c r="L758" s="258">
        <v>-12978.000000000002</v>
      </c>
      <c r="M758" s="258">
        <f t="shared" si="46"/>
        <v>172422</v>
      </c>
      <c r="N758" s="258">
        <v>-85490.34</v>
      </c>
      <c r="O758" s="258">
        <v>-21548.474999999999</v>
      </c>
      <c r="P758" s="258">
        <v>-11.080735537319507</v>
      </c>
      <c r="Q758" s="258">
        <f t="shared" si="47"/>
        <v>65372.104264462687</v>
      </c>
      <c r="R758" s="259">
        <f t="shared" si="48"/>
        <v>0.37914015766237885</v>
      </c>
      <c r="S758" s="255">
        <f t="shared" si="45"/>
        <v>6.18</v>
      </c>
      <c r="T758" s="255">
        <f t="shared" si="45"/>
        <v>6.18</v>
      </c>
      <c r="U758" s="254">
        <v>100700</v>
      </c>
      <c r="V758" s="254" t="s">
        <v>960</v>
      </c>
      <c r="W758" s="254" t="s">
        <v>876</v>
      </c>
      <c r="X758" s="254" t="s">
        <v>446</v>
      </c>
      <c r="Y758" s="254" t="s">
        <v>843</v>
      </c>
      <c r="Z758" s="254" t="s">
        <v>1111</v>
      </c>
      <c r="AA758" s="254" t="s">
        <v>838</v>
      </c>
    </row>
    <row r="759" spans="1:27" ht="14.4" x14ac:dyDescent="0.3">
      <c r="A759" s="253">
        <v>11</v>
      </c>
      <c r="B759" s="254" t="s">
        <v>849</v>
      </c>
      <c r="C759" s="254">
        <v>1792</v>
      </c>
      <c r="D759" s="254" t="s">
        <v>970</v>
      </c>
      <c r="E759" s="254" t="str">
        <f>_xlfn.XLOOKUP(C759,Clientes!I:I,Clientes!F:F)</f>
        <v>GRUPO MOSAIC FERTILIZANTES P K LTDA</v>
      </c>
      <c r="F759" s="254">
        <v>3359</v>
      </c>
      <c r="G759" s="254" t="s">
        <v>867</v>
      </c>
      <c r="H759" s="254" t="s">
        <v>967</v>
      </c>
      <c r="I759" s="255">
        <v>150000</v>
      </c>
      <c r="J759" s="256">
        <v>150000</v>
      </c>
      <c r="K759" s="258">
        <v>585000</v>
      </c>
      <c r="L759" s="258">
        <v>-40950.000000000007</v>
      </c>
      <c r="M759" s="258">
        <f t="shared" si="46"/>
        <v>544050</v>
      </c>
      <c r="N759" s="258">
        <v>-344569.3548387097</v>
      </c>
      <c r="O759" s="258">
        <v>-12210.8025</v>
      </c>
      <c r="P759" s="258">
        <v>-6.2790834711477208</v>
      </c>
      <c r="Q759" s="258">
        <f t="shared" si="47"/>
        <v>187263.56357781918</v>
      </c>
      <c r="R759" s="259">
        <f t="shared" si="48"/>
        <v>0.34420285557911806</v>
      </c>
      <c r="S759" s="255">
        <f t="shared" si="45"/>
        <v>3.9</v>
      </c>
      <c r="T759" s="255">
        <f t="shared" si="45"/>
        <v>3.9</v>
      </c>
      <c r="U759" s="254">
        <v>100700</v>
      </c>
      <c r="V759" s="254" t="s">
        <v>960</v>
      </c>
      <c r="W759" s="254" t="s">
        <v>871</v>
      </c>
      <c r="X759" s="254" t="s">
        <v>446</v>
      </c>
      <c r="Y759" s="254" t="s">
        <v>843</v>
      </c>
      <c r="Z759" s="254" t="s">
        <v>1111</v>
      </c>
      <c r="AA759" s="254" t="s">
        <v>838</v>
      </c>
    </row>
    <row r="760" spans="1:27" ht="14.4" x14ac:dyDescent="0.3">
      <c r="A760" s="253">
        <v>11</v>
      </c>
      <c r="B760" s="254" t="s">
        <v>849</v>
      </c>
      <c r="C760" s="254">
        <v>1788</v>
      </c>
      <c r="D760" s="254" t="s">
        <v>59</v>
      </c>
      <c r="E760" s="254" t="str">
        <f>_xlfn.XLOOKUP(C760,Clientes!I:I,Clientes!F:F)</f>
        <v>GRUPO MOSAIC FERTILIZANTES P K LTDA</v>
      </c>
      <c r="F760" s="254">
        <v>3359</v>
      </c>
      <c r="G760" s="254" t="s">
        <v>855</v>
      </c>
      <c r="H760" s="254" t="s">
        <v>967</v>
      </c>
      <c r="I760" s="255">
        <v>60000</v>
      </c>
      <c r="J760" s="256">
        <v>60000</v>
      </c>
      <c r="K760" s="258">
        <v>232800</v>
      </c>
      <c r="L760" s="258">
        <v>0</v>
      </c>
      <c r="M760" s="258">
        <f t="shared" si="46"/>
        <v>232800</v>
      </c>
      <c r="N760" s="258">
        <v>-137827.74193548388</v>
      </c>
      <c r="O760" s="258">
        <v>-4884.3209999999999</v>
      </c>
      <c r="P760" s="258">
        <v>-2.5116333884590887</v>
      </c>
      <c r="Q760" s="258">
        <f t="shared" si="47"/>
        <v>90085.42543112766</v>
      </c>
      <c r="R760" s="259">
        <f t="shared" si="48"/>
        <v>0.38696488587254152</v>
      </c>
      <c r="S760" s="255">
        <f t="shared" si="45"/>
        <v>3.88</v>
      </c>
      <c r="T760" s="255">
        <f t="shared" si="45"/>
        <v>3.88</v>
      </c>
      <c r="U760" s="254">
        <v>100700</v>
      </c>
      <c r="V760" s="254" t="s">
        <v>960</v>
      </c>
      <c r="W760" s="254" t="s">
        <v>892</v>
      </c>
      <c r="X760" s="254" t="s">
        <v>446</v>
      </c>
      <c r="Y760" s="254" t="s">
        <v>843</v>
      </c>
      <c r="Z760" s="254" t="s">
        <v>1111</v>
      </c>
      <c r="AA760" s="254" t="s">
        <v>838</v>
      </c>
    </row>
    <row r="761" spans="1:27" ht="14.4" x14ac:dyDescent="0.3">
      <c r="A761" s="253">
        <v>13</v>
      </c>
      <c r="B761" s="254" t="s">
        <v>849</v>
      </c>
      <c r="C761" s="254">
        <v>2</v>
      </c>
      <c r="D761" s="254" t="s">
        <v>976</v>
      </c>
      <c r="E761" s="254" t="str">
        <f>_xlfn.XLOOKUP(C761,Clientes!I:I,Clientes!F:F)</f>
        <v>GRUPO CARGILL</v>
      </c>
      <c r="F761" s="254">
        <v>3700</v>
      </c>
      <c r="G761" s="254" t="s">
        <v>855</v>
      </c>
      <c r="H761" s="254" t="s">
        <v>977</v>
      </c>
      <c r="I761" s="254">
        <v>84000</v>
      </c>
      <c r="J761" s="256">
        <v>84000</v>
      </c>
      <c r="K761" s="258">
        <v>92400</v>
      </c>
      <c r="L761" s="258">
        <v>-23640.539999999997</v>
      </c>
      <c r="M761" s="258">
        <f t="shared" si="46"/>
        <v>68759.460000000006</v>
      </c>
      <c r="N761" s="258">
        <v>-15315.1</v>
      </c>
      <c r="O761" s="258">
        <v>0</v>
      </c>
      <c r="P761" s="258">
        <v>0</v>
      </c>
      <c r="Q761" s="258">
        <f t="shared" si="47"/>
        <v>53444.360000000008</v>
      </c>
      <c r="R761" s="259">
        <f t="shared" si="48"/>
        <v>0.77726555735021774</v>
      </c>
      <c r="S761" s="255">
        <f t="shared" si="45"/>
        <v>1.1000000000000001</v>
      </c>
      <c r="T761" s="255">
        <f t="shared" si="45"/>
        <v>1.1000000000000001</v>
      </c>
      <c r="U761" s="254">
        <v>100900</v>
      </c>
      <c r="V761" s="254" t="s">
        <v>978</v>
      </c>
      <c r="W761" s="254" t="s">
        <v>865</v>
      </c>
      <c r="X761" s="254" t="s">
        <v>157</v>
      </c>
      <c r="Y761" s="254" t="s">
        <v>843</v>
      </c>
      <c r="Z761" s="254" t="s">
        <v>1111</v>
      </c>
      <c r="AA761" s="254" t="s">
        <v>838</v>
      </c>
    </row>
    <row r="762" spans="1:27" ht="14.4" x14ac:dyDescent="0.3">
      <c r="A762" s="253">
        <v>11</v>
      </c>
      <c r="B762" s="254" t="s">
        <v>849</v>
      </c>
      <c r="C762" s="254">
        <v>2622</v>
      </c>
      <c r="D762" s="254" t="s">
        <v>73</v>
      </c>
      <c r="E762" s="254" t="str">
        <f>_xlfn.XLOOKUP(C762,Clientes!I:I,Clientes!F:F)</f>
        <v>ADUFERTIL JUNDIAI</v>
      </c>
      <c r="F762" s="254">
        <v>14150</v>
      </c>
      <c r="G762" s="254" t="s">
        <v>908</v>
      </c>
      <c r="H762" s="254" t="s">
        <v>1045</v>
      </c>
      <c r="I762" s="255">
        <v>12000</v>
      </c>
      <c r="J762" s="256">
        <v>12000</v>
      </c>
      <c r="K762" s="258">
        <v>270460.01536510215</v>
      </c>
      <c r="L762" s="258">
        <v>-10080</v>
      </c>
      <c r="M762" s="258">
        <f t="shared" si="46"/>
        <v>260380.01536510215</v>
      </c>
      <c r="N762" s="258">
        <v>-162145.61142857143</v>
      </c>
      <c r="O762" s="258">
        <v>-5481.0480000000016</v>
      </c>
      <c r="P762" s="258">
        <v>-2.8184845264156295</v>
      </c>
      <c r="Q762" s="258">
        <f t="shared" si="47"/>
        <v>92750.537452004311</v>
      </c>
      <c r="R762" s="259">
        <f t="shared" si="48"/>
        <v>0.35621219747587185</v>
      </c>
      <c r="S762" s="255">
        <f t="shared" si="45"/>
        <v>22.538334613758511</v>
      </c>
      <c r="T762" s="255">
        <f t="shared" si="45"/>
        <v>22.538334613758511</v>
      </c>
      <c r="U762" s="254">
        <v>101000</v>
      </c>
      <c r="V762" s="254" t="s">
        <v>1046</v>
      </c>
      <c r="W762" s="254" t="s">
        <v>948</v>
      </c>
      <c r="X762" s="254" t="s">
        <v>446</v>
      </c>
      <c r="Y762" s="254" t="s">
        <v>843</v>
      </c>
      <c r="Z762" s="254" t="s">
        <v>1111</v>
      </c>
      <c r="AA762" s="254" t="s">
        <v>838</v>
      </c>
    </row>
    <row r="763" spans="1:27" ht="14.4" x14ac:dyDescent="0.3">
      <c r="A763" s="253">
        <v>11</v>
      </c>
      <c r="B763" s="254" t="s">
        <v>849</v>
      </c>
      <c r="C763" s="254">
        <v>2651</v>
      </c>
      <c r="D763" s="254" t="s">
        <v>1064</v>
      </c>
      <c r="E763" s="254" t="str">
        <f>_xlfn.XLOOKUP(C763,Clientes!I:I,Clientes!F:F)</f>
        <v>AGROBROKERS - COLÔMBIA</v>
      </c>
      <c r="F763" s="254">
        <v>14150</v>
      </c>
      <c r="G763" s="254" t="s">
        <v>832</v>
      </c>
      <c r="H763" s="254" t="s">
        <v>1045</v>
      </c>
      <c r="I763" s="255">
        <v>2000</v>
      </c>
      <c r="J763" s="256">
        <v>2000</v>
      </c>
      <c r="K763" s="258">
        <v>45505.970839207657</v>
      </c>
      <c r="L763" s="258">
        <v>0</v>
      </c>
      <c r="M763" s="258">
        <f t="shared" si="46"/>
        <v>45505.970839207657</v>
      </c>
      <c r="N763" s="258">
        <v>-27024.268571428569</v>
      </c>
      <c r="O763" s="258">
        <v>0</v>
      </c>
      <c r="P763" s="258">
        <v>-367.56373436826215</v>
      </c>
      <c r="Q763" s="258">
        <f t="shared" si="47"/>
        <v>18114.138533410827</v>
      </c>
      <c r="R763" s="259">
        <f t="shared" si="48"/>
        <v>0.39806069839529279</v>
      </c>
      <c r="S763" s="255">
        <f t="shared" si="45"/>
        <v>22.752985419603828</v>
      </c>
      <c r="T763" s="255">
        <f t="shared" si="45"/>
        <v>22.752985419603828</v>
      </c>
      <c r="U763" s="254">
        <v>101000</v>
      </c>
      <c r="V763" s="254" t="s">
        <v>1046</v>
      </c>
      <c r="W763" s="254" t="s">
        <v>1065</v>
      </c>
      <c r="X763" s="254" t="s">
        <v>446</v>
      </c>
      <c r="Y763" s="254" t="s">
        <v>836</v>
      </c>
      <c r="Z763" s="254" t="s">
        <v>1111</v>
      </c>
      <c r="AA763" s="254" t="s">
        <v>838</v>
      </c>
    </row>
    <row r="764" spans="1:27" ht="14.4" x14ac:dyDescent="0.3">
      <c r="A764" s="253">
        <v>11</v>
      </c>
      <c r="B764" s="254" t="s">
        <v>849</v>
      </c>
      <c r="C764" s="254">
        <v>2651</v>
      </c>
      <c r="D764" s="254" t="s">
        <v>1064</v>
      </c>
      <c r="E764" s="254" t="str">
        <f>_xlfn.XLOOKUP(C764,Clientes!I:I,Clientes!F:F)</f>
        <v>AGROBROKERS - COLÔMBIA</v>
      </c>
      <c r="F764" s="254">
        <v>14143</v>
      </c>
      <c r="G764" s="254" t="s">
        <v>832</v>
      </c>
      <c r="H764" s="254" t="s">
        <v>1049</v>
      </c>
      <c r="I764" s="255">
        <v>2000</v>
      </c>
      <c r="J764" s="256">
        <v>2000</v>
      </c>
      <c r="K764" s="258">
        <v>19116</v>
      </c>
      <c r="L764" s="258">
        <v>0</v>
      </c>
      <c r="M764" s="258">
        <f t="shared" si="46"/>
        <v>19116</v>
      </c>
      <c r="N764" s="258">
        <v>-3159.58</v>
      </c>
      <c r="O764" s="258">
        <v>0</v>
      </c>
      <c r="P764" s="258">
        <v>-367.56373436826215</v>
      </c>
      <c r="Q764" s="258">
        <f t="shared" si="47"/>
        <v>15588.856265631737</v>
      </c>
      <c r="R764" s="259">
        <f t="shared" si="48"/>
        <v>0.81548735434357278</v>
      </c>
      <c r="S764" s="255">
        <f t="shared" si="45"/>
        <v>9.5579999999999998</v>
      </c>
      <c r="T764" s="255">
        <f t="shared" si="45"/>
        <v>9.5579999999999998</v>
      </c>
      <c r="U764" s="254">
        <v>101300</v>
      </c>
      <c r="V764" s="254" t="s">
        <v>980</v>
      </c>
      <c r="W764" s="254" t="s">
        <v>1065</v>
      </c>
      <c r="X764" s="254" t="s">
        <v>446</v>
      </c>
      <c r="Y764" s="254" t="s">
        <v>836</v>
      </c>
      <c r="Z764" s="254" t="s">
        <v>1111</v>
      </c>
      <c r="AA764" s="254" t="s">
        <v>838</v>
      </c>
    </row>
    <row r="765" spans="1:27" ht="14.4" x14ac:dyDescent="0.3">
      <c r="A765" s="253">
        <v>11</v>
      </c>
      <c r="B765" s="254" t="s">
        <v>849</v>
      </c>
      <c r="C765" s="254">
        <v>15905</v>
      </c>
      <c r="D765" s="254" t="s">
        <v>750</v>
      </c>
      <c r="E765" s="254" t="str">
        <f>_xlfn.XLOOKUP(C765,Clientes!I:I,Clientes!F:F)</f>
        <v>ADUFÉRTIL - CAMPEVO</v>
      </c>
      <c r="F765" s="254">
        <v>8368</v>
      </c>
      <c r="G765" s="254" t="s">
        <v>908</v>
      </c>
      <c r="H765" s="254" t="s">
        <v>989</v>
      </c>
      <c r="I765" s="255">
        <v>245</v>
      </c>
      <c r="J765" s="256">
        <v>4028.298887113996</v>
      </c>
      <c r="K765" s="258">
        <v>44919.699797066351</v>
      </c>
      <c r="L765" s="258">
        <v>-4042.6083407675251</v>
      </c>
      <c r="M765" s="258">
        <f t="shared" si="46"/>
        <v>40877.091456298826</v>
      </c>
      <c r="N765" s="258">
        <v>-14180.880210262118</v>
      </c>
      <c r="O765" s="258">
        <v>-1089.005091254071</v>
      </c>
      <c r="P765" s="258">
        <v>-10187.749298378783</v>
      </c>
      <c r="Q765" s="258">
        <f t="shared" si="47"/>
        <v>15419.456856403851</v>
      </c>
      <c r="R765" s="259">
        <f t="shared" si="48"/>
        <v>0.37721511749162961</v>
      </c>
      <c r="S765" s="255">
        <f t="shared" si="45"/>
        <v>183.34571345741367</v>
      </c>
      <c r="T765" s="255">
        <f t="shared" si="45"/>
        <v>11.151034482758622</v>
      </c>
      <c r="U765" s="254">
        <v>101602</v>
      </c>
      <c r="V765" s="254" t="s">
        <v>983</v>
      </c>
      <c r="W765" s="254" t="s">
        <v>991</v>
      </c>
      <c r="X765" s="254" t="s">
        <v>157</v>
      </c>
      <c r="Y765" s="254" t="s">
        <v>843</v>
      </c>
      <c r="Z765" s="254" t="s">
        <v>1111</v>
      </c>
      <c r="AA765" s="254" t="s">
        <v>838</v>
      </c>
    </row>
    <row r="766" spans="1:27" ht="14.4" x14ac:dyDescent="0.3">
      <c r="A766" s="253">
        <v>11</v>
      </c>
      <c r="B766" s="254" t="s">
        <v>849</v>
      </c>
      <c r="C766" s="254">
        <v>15906</v>
      </c>
      <c r="D766" s="254" t="s">
        <v>993</v>
      </c>
      <c r="E766" s="254" t="str">
        <f>_xlfn.XLOOKUP(C766,Clientes!I:I,Clientes!F:F)</f>
        <v>ADUFÉRTIL - CAMPEVO</v>
      </c>
      <c r="F766" s="254">
        <v>13004</v>
      </c>
      <c r="G766" s="254" t="s">
        <v>908</v>
      </c>
      <c r="H766" s="254" t="s">
        <v>982</v>
      </c>
      <c r="I766" s="255">
        <v>22</v>
      </c>
      <c r="J766" s="256">
        <v>505.97726079211878</v>
      </c>
      <c r="K766" s="258">
        <v>13383.098547951542</v>
      </c>
      <c r="L766" s="258">
        <v>-1266.8109020827151</v>
      </c>
      <c r="M766" s="258">
        <f t="shared" si="46"/>
        <v>12116.287645868826</v>
      </c>
      <c r="N766" s="258">
        <v>-3577.6717152628812</v>
      </c>
      <c r="O766" s="258">
        <v>-136.78523577881009</v>
      </c>
      <c r="P766" s="258">
        <v>-2783.8467709913102</v>
      </c>
      <c r="Q766" s="258">
        <f t="shared" si="47"/>
        <v>5617.9839238358245</v>
      </c>
      <c r="R766" s="259">
        <f t="shared" si="48"/>
        <v>0.46367204939636231</v>
      </c>
      <c r="S766" s="255">
        <f t="shared" si="45"/>
        <v>608.32266127052469</v>
      </c>
      <c r="T766" s="255">
        <f t="shared" si="45"/>
        <v>26.45</v>
      </c>
      <c r="U766" s="254">
        <v>101602</v>
      </c>
      <c r="V766" s="254" t="s">
        <v>983</v>
      </c>
      <c r="W766" s="254" t="s">
        <v>994</v>
      </c>
      <c r="X766" s="254" t="s">
        <v>157</v>
      </c>
      <c r="Y766" s="254" t="s">
        <v>843</v>
      </c>
      <c r="Z766" s="254" t="s">
        <v>1111</v>
      </c>
      <c r="AA766" s="254" t="s">
        <v>838</v>
      </c>
    </row>
    <row r="767" spans="1:27" ht="14.4" x14ac:dyDescent="0.3">
      <c r="A767" s="253">
        <v>11</v>
      </c>
      <c r="B767" s="254" t="s">
        <v>849</v>
      </c>
      <c r="C767" s="254">
        <v>8187</v>
      </c>
      <c r="D767" s="254" t="s">
        <v>466</v>
      </c>
      <c r="E767" s="254" t="str">
        <f>_xlfn.XLOOKUP(C767,Clientes!I:I,Clientes!F:F)</f>
        <v>AGROREP. REPRESENTACOES AGRICOLAS</v>
      </c>
      <c r="F767" s="254">
        <v>8369</v>
      </c>
      <c r="G767" s="254" t="s">
        <v>840</v>
      </c>
      <c r="H767" s="254" t="s">
        <v>988</v>
      </c>
      <c r="I767" s="255">
        <v>180000</v>
      </c>
      <c r="J767" s="256">
        <v>164420.36273934678</v>
      </c>
      <c r="K767" s="258">
        <v>1674366.259454617</v>
      </c>
      <c r="L767" s="258">
        <v>-150686.82641581277</v>
      </c>
      <c r="M767" s="258">
        <f t="shared" si="46"/>
        <v>1523679.4330388042</v>
      </c>
      <c r="N767" s="258">
        <v>-605540.72246548138</v>
      </c>
      <c r="O767" s="258">
        <v>-148073.14082055577</v>
      </c>
      <c r="P767" s="258">
        <v>-384297.35958314757</v>
      </c>
      <c r="Q767" s="258">
        <f t="shared" si="47"/>
        <v>385768.21016961953</v>
      </c>
      <c r="R767" s="259">
        <f t="shared" si="48"/>
        <v>0.25318200259502682</v>
      </c>
      <c r="S767" s="255">
        <f t="shared" si="45"/>
        <v>9.302034774747872</v>
      </c>
      <c r="T767" s="255">
        <f t="shared" si="45"/>
        <v>10.183448275862069</v>
      </c>
      <c r="U767" s="254">
        <v>101602</v>
      </c>
      <c r="V767" s="254" t="s">
        <v>983</v>
      </c>
      <c r="W767" s="254" t="s">
        <v>874</v>
      </c>
      <c r="X767" s="254" t="s">
        <v>157</v>
      </c>
      <c r="Y767" s="254" t="s">
        <v>843</v>
      </c>
      <c r="Z767" s="254" t="s">
        <v>1111</v>
      </c>
      <c r="AA767" s="254" t="s">
        <v>838</v>
      </c>
    </row>
    <row r="768" spans="1:27" ht="14.4" x14ac:dyDescent="0.3">
      <c r="A768" s="253">
        <v>11</v>
      </c>
      <c r="B768" s="254" t="s">
        <v>849</v>
      </c>
      <c r="C768" s="254">
        <v>15905</v>
      </c>
      <c r="D768" s="254" t="s">
        <v>750</v>
      </c>
      <c r="E768" s="254" t="str">
        <f>_xlfn.XLOOKUP(C768,Clientes!I:I,Clientes!F:F)</f>
        <v>ADUFÉRTIL - CAMPEVO</v>
      </c>
      <c r="F768" s="254">
        <v>13004</v>
      </c>
      <c r="G768" s="254" t="s">
        <v>908</v>
      </c>
      <c r="H768" s="254" t="s">
        <v>982</v>
      </c>
      <c r="I768" s="255">
        <v>23</v>
      </c>
      <c r="J768" s="256">
        <v>528.97622719176059</v>
      </c>
      <c r="K768" s="258">
        <v>13991.421209222068</v>
      </c>
      <c r="L768" s="258">
        <v>-1324.3932158137472</v>
      </c>
      <c r="M768" s="258">
        <f t="shared" si="46"/>
        <v>12667.027993408321</v>
      </c>
      <c r="N768" s="258">
        <v>-3740.29315686574</v>
      </c>
      <c r="O768" s="258">
        <v>-143.00274649602875</v>
      </c>
      <c r="P768" s="258">
        <v>-2911.2896276842648</v>
      </c>
      <c r="Q768" s="258">
        <f t="shared" si="47"/>
        <v>5872.4424623622863</v>
      </c>
      <c r="R768" s="259">
        <f t="shared" si="48"/>
        <v>0.46360065403014766</v>
      </c>
      <c r="S768" s="255">
        <f t="shared" si="45"/>
        <v>608.32266127052469</v>
      </c>
      <c r="T768" s="255">
        <f t="shared" si="45"/>
        <v>26.45</v>
      </c>
      <c r="U768" s="254">
        <v>101602</v>
      </c>
      <c r="V768" s="254" t="s">
        <v>983</v>
      </c>
      <c r="W768" s="254" t="s">
        <v>991</v>
      </c>
      <c r="X768" s="254" t="s">
        <v>157</v>
      </c>
      <c r="Y768" s="254" t="s">
        <v>843</v>
      </c>
      <c r="Z768" s="254" t="s">
        <v>1111</v>
      </c>
      <c r="AA768" s="254" t="s">
        <v>838</v>
      </c>
    </row>
    <row r="769" spans="1:27" ht="14.4" x14ac:dyDescent="0.3">
      <c r="A769" s="253">
        <v>11</v>
      </c>
      <c r="B769" s="254" t="s">
        <v>849</v>
      </c>
      <c r="C769" s="254">
        <v>15908</v>
      </c>
      <c r="D769" s="254" t="s">
        <v>981</v>
      </c>
      <c r="E769" s="254" t="str">
        <f>_xlfn.XLOOKUP(C769,Clientes!I:I,Clientes!F:F)</f>
        <v>ADUFÉRTIL - CAMPEVO</v>
      </c>
      <c r="F769" s="254">
        <v>13004</v>
      </c>
      <c r="G769" s="254" t="s">
        <v>908</v>
      </c>
      <c r="H769" s="254" t="s">
        <v>982</v>
      </c>
      <c r="I769" s="255">
        <v>22</v>
      </c>
      <c r="J769" s="256">
        <v>505.97726079211878</v>
      </c>
      <c r="K769" s="258">
        <v>13383.098547951542</v>
      </c>
      <c r="L769" s="258">
        <v>-1266.8109020827151</v>
      </c>
      <c r="M769" s="258">
        <f t="shared" si="46"/>
        <v>12116.287645868826</v>
      </c>
      <c r="N769" s="258">
        <v>-3577.6717152628812</v>
      </c>
      <c r="O769" s="258">
        <v>-136.78523577881009</v>
      </c>
      <c r="P769" s="258">
        <v>-2783.2557984293198</v>
      </c>
      <c r="Q769" s="258">
        <f t="shared" si="47"/>
        <v>5618.5748963978149</v>
      </c>
      <c r="R769" s="259">
        <f t="shared" si="48"/>
        <v>0.46372082444852869</v>
      </c>
      <c r="S769" s="255">
        <f t="shared" si="45"/>
        <v>608.32266127052469</v>
      </c>
      <c r="T769" s="255">
        <f t="shared" si="45"/>
        <v>26.45</v>
      </c>
      <c r="U769" s="254">
        <v>101602</v>
      </c>
      <c r="V769" s="254" t="s">
        <v>983</v>
      </c>
      <c r="W769" s="254" t="s">
        <v>984</v>
      </c>
      <c r="X769" s="254" t="s">
        <v>157</v>
      </c>
      <c r="Y769" s="254" t="s">
        <v>843</v>
      </c>
      <c r="Z769" s="254" t="s">
        <v>1111</v>
      </c>
      <c r="AA769" s="254" t="s">
        <v>838</v>
      </c>
    </row>
    <row r="770" spans="1:27" ht="14.4" x14ac:dyDescent="0.3">
      <c r="A770" s="253">
        <v>11</v>
      </c>
      <c r="B770" s="254" t="s">
        <v>849</v>
      </c>
      <c r="C770" s="254">
        <v>14298</v>
      </c>
      <c r="D770" s="254" t="s">
        <v>1056</v>
      </c>
      <c r="E770" s="254" t="str">
        <f>_xlfn.XLOOKUP(C770,Clientes!I:I,Clientes!F:F)</f>
        <v>GRUPO SAGRA</v>
      </c>
      <c r="F770" s="254">
        <v>8368</v>
      </c>
      <c r="G770" s="254" t="s">
        <v>855</v>
      </c>
      <c r="H770" s="254" t="s">
        <v>989</v>
      </c>
      <c r="I770" s="255">
        <v>2000</v>
      </c>
      <c r="J770" s="256">
        <v>32884.072547869357</v>
      </c>
      <c r="K770" s="258">
        <v>366691.42691482737</v>
      </c>
      <c r="L770" s="258">
        <v>-33000.88441442878</v>
      </c>
      <c r="M770" s="258">
        <f t="shared" si="46"/>
        <v>333690.54250039859</v>
      </c>
      <c r="N770" s="258">
        <v>-115762.28743071116</v>
      </c>
      <c r="O770" s="258">
        <v>-7937.5347529339824</v>
      </c>
      <c r="P770" s="258">
        <v>-83135.852332670402</v>
      </c>
      <c r="Q770" s="258">
        <f t="shared" si="47"/>
        <v>126854.86798408306</v>
      </c>
      <c r="R770" s="259">
        <f t="shared" si="48"/>
        <v>0.38015721702370853</v>
      </c>
      <c r="S770" s="255">
        <f t="shared" si="45"/>
        <v>183.34571345741369</v>
      </c>
      <c r="T770" s="255">
        <f t="shared" si="45"/>
        <v>11.151034482758622</v>
      </c>
      <c r="U770" s="254">
        <v>101602</v>
      </c>
      <c r="V770" s="254" t="s">
        <v>983</v>
      </c>
      <c r="W770" s="254" t="s">
        <v>1057</v>
      </c>
      <c r="X770" s="254" t="s">
        <v>157</v>
      </c>
      <c r="Y770" s="254" t="s">
        <v>843</v>
      </c>
      <c r="Z770" s="254" t="s">
        <v>1111</v>
      </c>
      <c r="AA770" s="254" t="s">
        <v>838</v>
      </c>
    </row>
    <row r="771" spans="1:27" ht="14.4" x14ac:dyDescent="0.3">
      <c r="A771" s="253">
        <v>11</v>
      </c>
      <c r="B771" s="254" t="s">
        <v>849</v>
      </c>
      <c r="C771" s="254">
        <v>16645</v>
      </c>
      <c r="D771" s="254" t="s">
        <v>573</v>
      </c>
      <c r="E771" s="254" t="str">
        <f>_xlfn.XLOOKUP(C771,Clientes!I:I,Clientes!F:F)</f>
        <v>OPCAO AGRONEGOCIOS</v>
      </c>
      <c r="F771" s="254">
        <v>8368</v>
      </c>
      <c r="G771" s="254" t="s">
        <v>855</v>
      </c>
      <c r="H771" s="254" t="s">
        <v>989</v>
      </c>
      <c r="I771" s="255">
        <v>136</v>
      </c>
      <c r="J771" s="256">
        <v>2236.1169332551162</v>
      </c>
      <c r="K771" s="258">
        <v>24935.017030208259</v>
      </c>
      <c r="L771" s="258">
        <v>-2244.0601401811564</v>
      </c>
      <c r="M771" s="258">
        <f t="shared" si="46"/>
        <v>22690.956890027104</v>
      </c>
      <c r="N771" s="258">
        <v>-7871.8355452883598</v>
      </c>
      <c r="O771" s="258">
        <v>-539.7523631995108</v>
      </c>
      <c r="P771" s="258">
        <v>-5655.0713021741467</v>
      </c>
      <c r="Q771" s="258">
        <f t="shared" si="47"/>
        <v>8624.2976793650887</v>
      </c>
      <c r="R771" s="259">
        <f t="shared" si="48"/>
        <v>0.38007642080337084</v>
      </c>
      <c r="S771" s="255">
        <f t="shared" ref="S771:T834" si="49">$K771/I771</f>
        <v>183.34571345741367</v>
      </c>
      <c r="T771" s="255">
        <f t="shared" si="49"/>
        <v>11.151034482758622</v>
      </c>
      <c r="U771" s="254">
        <v>101602</v>
      </c>
      <c r="V771" s="254" t="s">
        <v>983</v>
      </c>
      <c r="W771" s="254" t="s">
        <v>865</v>
      </c>
      <c r="X771" s="254" t="s">
        <v>157</v>
      </c>
      <c r="Y771" s="254" t="s">
        <v>843</v>
      </c>
      <c r="Z771" s="254" t="s">
        <v>1111</v>
      </c>
      <c r="AA771" s="254" t="s">
        <v>838</v>
      </c>
    </row>
    <row r="772" spans="1:27" ht="14.4" x14ac:dyDescent="0.3">
      <c r="A772" s="253">
        <v>11</v>
      </c>
      <c r="B772" s="254" t="s">
        <v>849</v>
      </c>
      <c r="C772" s="254">
        <v>15906</v>
      </c>
      <c r="D772" s="254" t="s">
        <v>993</v>
      </c>
      <c r="E772" s="254" t="str">
        <f>_xlfn.XLOOKUP(C772,Clientes!I:I,Clientes!F:F)</f>
        <v>ADUFÉRTIL - CAMPEVO</v>
      </c>
      <c r="F772" s="254">
        <v>8369</v>
      </c>
      <c r="G772" s="254" t="s">
        <v>908</v>
      </c>
      <c r="H772" s="254" t="s">
        <v>988</v>
      </c>
      <c r="I772" s="255">
        <v>4900</v>
      </c>
      <c r="J772" s="256">
        <v>4475.8876523488843</v>
      </c>
      <c r="K772" s="258">
        <v>45579.97039626458</v>
      </c>
      <c r="L772" s="258">
        <v>-4102.0302746526804</v>
      </c>
      <c r="M772" s="258">
        <f t="shared" ref="M772:M835" si="50">SUM(K772:L772)</f>
        <v>41477.9401216119</v>
      </c>
      <c r="N772" s="258">
        <v>-16484.164111560323</v>
      </c>
      <c r="O772" s="258">
        <v>-1210.005656948968</v>
      </c>
      <c r="P772" s="258">
        <v>-10463.96005637604</v>
      </c>
      <c r="Q772" s="258">
        <f t="shared" ref="Q772:Q835" si="51">SUM(M772:P772)</f>
        <v>13319.81029672657</v>
      </c>
      <c r="R772" s="259">
        <f t="shared" ref="R772:R835" si="52">Q772/M772</f>
        <v>0.32112998518425317</v>
      </c>
      <c r="S772" s="255">
        <f t="shared" si="49"/>
        <v>9.3020347747478738</v>
      </c>
      <c r="T772" s="255">
        <f t="shared" si="49"/>
        <v>10.183448275862071</v>
      </c>
      <c r="U772" s="254">
        <v>101602</v>
      </c>
      <c r="V772" s="254" t="s">
        <v>983</v>
      </c>
      <c r="W772" s="254" t="s">
        <v>994</v>
      </c>
      <c r="X772" s="254" t="s">
        <v>157</v>
      </c>
      <c r="Y772" s="254" t="s">
        <v>843</v>
      </c>
      <c r="Z772" s="254" t="s">
        <v>1111</v>
      </c>
      <c r="AA772" s="254" t="s">
        <v>838</v>
      </c>
    </row>
    <row r="773" spans="1:27" ht="14.4" x14ac:dyDescent="0.3">
      <c r="A773" s="253">
        <v>11</v>
      </c>
      <c r="B773" s="254" t="s">
        <v>849</v>
      </c>
      <c r="C773" s="254">
        <v>7060</v>
      </c>
      <c r="D773" s="254" t="s">
        <v>165</v>
      </c>
      <c r="E773" s="254" t="str">
        <f>_xlfn.XLOOKUP(C773,Clientes!I:I,Clientes!F:F)</f>
        <v>AGROVIVA</v>
      </c>
      <c r="F773" s="254">
        <v>8368</v>
      </c>
      <c r="G773" s="254" t="s">
        <v>855</v>
      </c>
      <c r="H773" s="254" t="s">
        <v>989</v>
      </c>
      <c r="I773" s="255">
        <v>40</v>
      </c>
      <c r="J773" s="256">
        <v>657.68145095738714</v>
      </c>
      <c r="K773" s="258">
        <v>7333.8285382965478</v>
      </c>
      <c r="L773" s="258">
        <v>-660.01768828857564</v>
      </c>
      <c r="M773" s="258">
        <f t="shared" si="50"/>
        <v>6673.8108500079725</v>
      </c>
      <c r="N773" s="258">
        <v>-2315.2457486142234</v>
      </c>
      <c r="O773" s="258">
        <v>-158.75069505867964</v>
      </c>
      <c r="P773" s="258">
        <v>-1666.7091254069092</v>
      </c>
      <c r="Q773" s="258">
        <f t="shared" si="51"/>
        <v>2533.1052809281609</v>
      </c>
      <c r="R773" s="259">
        <f t="shared" si="52"/>
        <v>0.37955904622695963</v>
      </c>
      <c r="S773" s="255">
        <f t="shared" si="49"/>
        <v>183.34571345741369</v>
      </c>
      <c r="T773" s="255">
        <f t="shared" si="49"/>
        <v>11.151034482758622</v>
      </c>
      <c r="U773" s="254">
        <v>101602</v>
      </c>
      <c r="V773" s="254" t="s">
        <v>983</v>
      </c>
      <c r="W773" s="254" t="s">
        <v>1053</v>
      </c>
      <c r="X773" s="254" t="s">
        <v>157</v>
      </c>
      <c r="Y773" s="254" t="s">
        <v>843</v>
      </c>
      <c r="Z773" s="254" t="s">
        <v>1111</v>
      </c>
      <c r="AA773" s="254" t="s">
        <v>838</v>
      </c>
    </row>
    <row r="774" spans="1:27" ht="14.4" x14ac:dyDescent="0.3">
      <c r="A774" s="253">
        <v>11</v>
      </c>
      <c r="B774" s="254" t="s">
        <v>849</v>
      </c>
      <c r="C774" s="254">
        <v>13773</v>
      </c>
      <c r="D774" s="254" t="s">
        <v>428</v>
      </c>
      <c r="E774" s="254" t="str">
        <f>_xlfn.XLOOKUP(C774,Clientes!I:I,Clientes!F:F)</f>
        <v>FERTLIZE AGRO</v>
      </c>
      <c r="F774" s="254">
        <v>8368</v>
      </c>
      <c r="G774" s="254" t="s">
        <v>855</v>
      </c>
      <c r="H774" s="254" t="s">
        <v>989</v>
      </c>
      <c r="I774" s="255">
        <v>167</v>
      </c>
      <c r="J774" s="256">
        <v>2745.8200577470911</v>
      </c>
      <c r="K774" s="258">
        <v>29856.532372737594</v>
      </c>
      <c r="L774" s="258">
        <v>-2686.9784825300035</v>
      </c>
      <c r="M774" s="258">
        <f t="shared" si="50"/>
        <v>27169.55389020759</v>
      </c>
      <c r="N774" s="258">
        <v>-9666.1510004643824</v>
      </c>
      <c r="O774" s="258">
        <v>0</v>
      </c>
      <c r="P774" s="258">
        <v>-6791.2987430501344</v>
      </c>
      <c r="Q774" s="258">
        <f t="shared" si="51"/>
        <v>10712.104146693073</v>
      </c>
      <c r="R774" s="259">
        <f t="shared" si="52"/>
        <v>0.39426867993419329</v>
      </c>
      <c r="S774" s="255">
        <f t="shared" si="49"/>
        <v>178.78163097447663</v>
      </c>
      <c r="T774" s="255">
        <f t="shared" si="49"/>
        <v>10.873448275862069</v>
      </c>
      <c r="U774" s="254">
        <v>101602</v>
      </c>
      <c r="V774" s="254" t="s">
        <v>983</v>
      </c>
      <c r="W774" s="254" t="s">
        <v>995</v>
      </c>
      <c r="X774" s="254" t="s">
        <v>157</v>
      </c>
      <c r="Y774" s="254" t="s">
        <v>843</v>
      </c>
      <c r="Z774" s="254" t="s">
        <v>1111</v>
      </c>
      <c r="AA774" s="254" t="s">
        <v>838</v>
      </c>
    </row>
    <row r="775" spans="1:27" ht="14.4" x14ac:dyDescent="0.3">
      <c r="A775" s="253">
        <v>11</v>
      </c>
      <c r="B775" s="254" t="s">
        <v>849</v>
      </c>
      <c r="C775" s="254">
        <v>15917</v>
      </c>
      <c r="D775" s="254" t="s">
        <v>571</v>
      </c>
      <c r="E775" s="254" t="str">
        <f>_xlfn.XLOOKUP(C775,Clientes!I:I,Clientes!F:F)</f>
        <v>MINAS FARM</v>
      </c>
      <c r="F775" s="254">
        <v>8368</v>
      </c>
      <c r="G775" s="254" t="s">
        <v>855</v>
      </c>
      <c r="H775" s="254" t="s">
        <v>989</v>
      </c>
      <c r="I775" s="255">
        <v>194</v>
      </c>
      <c r="J775" s="256">
        <v>3189.7550371433272</v>
      </c>
      <c r="K775" s="258">
        <v>34683.636409048457</v>
      </c>
      <c r="L775" s="258">
        <v>-3121.4001533582073</v>
      </c>
      <c r="M775" s="258">
        <f t="shared" si="50"/>
        <v>31562.236255690248</v>
      </c>
      <c r="N775" s="258">
        <v>-11228.941880778983</v>
      </c>
      <c r="O775" s="258">
        <v>0</v>
      </c>
      <c r="P775" s="258">
        <v>-7889.2931506091372</v>
      </c>
      <c r="Q775" s="258">
        <f t="shared" si="51"/>
        <v>12444.00122430213</v>
      </c>
      <c r="R775" s="259">
        <f t="shared" si="52"/>
        <v>0.39426867993419329</v>
      </c>
      <c r="S775" s="255">
        <f t="shared" si="49"/>
        <v>178.78163097447657</v>
      </c>
      <c r="T775" s="255">
        <f t="shared" si="49"/>
        <v>10.873448275862067</v>
      </c>
      <c r="U775" s="254">
        <v>101602</v>
      </c>
      <c r="V775" s="254" t="s">
        <v>983</v>
      </c>
      <c r="W775" s="254" t="s">
        <v>865</v>
      </c>
      <c r="X775" s="254" t="s">
        <v>157</v>
      </c>
      <c r="Y775" s="254" t="s">
        <v>843</v>
      </c>
      <c r="Z775" s="254" t="s">
        <v>1111</v>
      </c>
      <c r="AA775" s="254" t="s">
        <v>838</v>
      </c>
    </row>
    <row r="776" spans="1:27" ht="14.4" x14ac:dyDescent="0.3">
      <c r="A776" s="253">
        <v>11</v>
      </c>
      <c r="B776" s="254" t="s">
        <v>849</v>
      </c>
      <c r="C776" s="254">
        <v>15904</v>
      </c>
      <c r="D776" s="254" t="s">
        <v>754</v>
      </c>
      <c r="E776" s="254" t="str">
        <f>_xlfn.XLOOKUP(C776,Clientes!I:I,Clientes!F:F)</f>
        <v>ADUFÉRTIL - CAMPEVO</v>
      </c>
      <c r="F776" s="254">
        <v>8368</v>
      </c>
      <c r="G776" s="254" t="s">
        <v>908</v>
      </c>
      <c r="H776" s="254" t="s">
        <v>989</v>
      </c>
      <c r="I776" s="255">
        <v>245</v>
      </c>
      <c r="J776" s="256">
        <v>4028.298887113996</v>
      </c>
      <c r="K776" s="258">
        <v>44919.699797066351</v>
      </c>
      <c r="L776" s="258">
        <v>-4042.6083407675251</v>
      </c>
      <c r="M776" s="258">
        <f t="shared" si="50"/>
        <v>40877.091456298826</v>
      </c>
      <c r="N776" s="258">
        <v>-14180.880210262118</v>
      </c>
      <c r="O776" s="258">
        <v>-1089.005091254071</v>
      </c>
      <c r="P776" s="258">
        <v>-10186.12412383331</v>
      </c>
      <c r="Q776" s="258">
        <f t="shared" si="51"/>
        <v>15421.082030949325</v>
      </c>
      <c r="R776" s="259">
        <f t="shared" si="52"/>
        <v>0.3772548750792557</v>
      </c>
      <c r="S776" s="255">
        <f t="shared" si="49"/>
        <v>183.34571345741367</v>
      </c>
      <c r="T776" s="255">
        <f t="shared" si="49"/>
        <v>11.151034482758622</v>
      </c>
      <c r="U776" s="254">
        <v>101602</v>
      </c>
      <c r="V776" s="254" t="s">
        <v>983</v>
      </c>
      <c r="W776" s="254" t="s">
        <v>992</v>
      </c>
      <c r="X776" s="254" t="s">
        <v>157</v>
      </c>
      <c r="Y776" s="254" t="s">
        <v>843</v>
      </c>
      <c r="Z776" s="254" t="s">
        <v>1111</v>
      </c>
      <c r="AA776" s="254" t="s">
        <v>838</v>
      </c>
    </row>
    <row r="777" spans="1:27" ht="14.4" x14ac:dyDescent="0.3">
      <c r="A777" s="253">
        <v>11</v>
      </c>
      <c r="B777" s="254" t="s">
        <v>849</v>
      </c>
      <c r="C777" s="254">
        <v>15908</v>
      </c>
      <c r="D777" s="254" t="s">
        <v>981</v>
      </c>
      <c r="E777" s="254" t="str">
        <f>_xlfn.XLOOKUP(C777,Clientes!I:I,Clientes!F:F)</f>
        <v>ADUFÉRTIL - CAMPEVO</v>
      </c>
      <c r="F777" s="254">
        <v>8368</v>
      </c>
      <c r="G777" s="254" t="s">
        <v>908</v>
      </c>
      <c r="H777" s="254" t="s">
        <v>989</v>
      </c>
      <c r="I777" s="255">
        <v>245</v>
      </c>
      <c r="J777" s="256">
        <v>4028.298887113996</v>
      </c>
      <c r="K777" s="258">
        <v>44919.699797066351</v>
      </c>
      <c r="L777" s="258">
        <v>-4042.6083407675251</v>
      </c>
      <c r="M777" s="258">
        <f t="shared" si="50"/>
        <v>40877.091456298826</v>
      </c>
      <c r="N777" s="258">
        <v>-14180.880210262118</v>
      </c>
      <c r="O777" s="258">
        <v>-1089.005091254071</v>
      </c>
      <c r="P777" s="258">
        <v>-10186.12412383331</v>
      </c>
      <c r="Q777" s="258">
        <f t="shared" si="51"/>
        <v>15421.082030949325</v>
      </c>
      <c r="R777" s="259">
        <f t="shared" si="52"/>
        <v>0.3772548750792557</v>
      </c>
      <c r="S777" s="255">
        <f t="shared" si="49"/>
        <v>183.34571345741367</v>
      </c>
      <c r="T777" s="255">
        <f t="shared" si="49"/>
        <v>11.151034482758622</v>
      </c>
      <c r="U777" s="254">
        <v>101602</v>
      </c>
      <c r="V777" s="254" t="s">
        <v>983</v>
      </c>
      <c r="W777" s="254" t="s">
        <v>984</v>
      </c>
      <c r="X777" s="254" t="s">
        <v>157</v>
      </c>
      <c r="Y777" s="254" t="s">
        <v>843</v>
      </c>
      <c r="Z777" s="254" t="s">
        <v>1111</v>
      </c>
      <c r="AA777" s="254" t="s">
        <v>838</v>
      </c>
    </row>
    <row r="778" spans="1:27" ht="14.4" x14ac:dyDescent="0.3">
      <c r="A778" s="253">
        <v>11</v>
      </c>
      <c r="B778" s="254" t="s">
        <v>849</v>
      </c>
      <c r="C778" s="254">
        <v>15917</v>
      </c>
      <c r="D778" s="254" t="s">
        <v>571</v>
      </c>
      <c r="E778" s="254" t="str">
        <f>_xlfn.XLOOKUP(C778,Clientes!I:I,Clientes!F:F)</f>
        <v>MINAS FARM</v>
      </c>
      <c r="F778" s="254">
        <v>8301</v>
      </c>
      <c r="G778" s="254" t="s">
        <v>855</v>
      </c>
      <c r="H778" s="254" t="s">
        <v>986</v>
      </c>
      <c r="I778" s="255">
        <v>5</v>
      </c>
      <c r="J778" s="256">
        <v>114.99483199820881</v>
      </c>
      <c r="K778" s="258">
        <v>3041.6133063526231</v>
      </c>
      <c r="L778" s="258">
        <v>-300.02038143179334</v>
      </c>
      <c r="M778" s="258">
        <f t="shared" si="50"/>
        <v>2741.5929249208298</v>
      </c>
      <c r="N778" s="258">
        <v>-842.55772538280348</v>
      </c>
      <c r="O778" s="258">
        <v>-27.757373240946958</v>
      </c>
      <c r="P778" s="258">
        <v>-633.58625986158631</v>
      </c>
      <c r="Q778" s="258">
        <f t="shared" si="51"/>
        <v>1237.6915664354931</v>
      </c>
      <c r="R778" s="259">
        <f t="shared" si="52"/>
        <v>0.45144979591426193</v>
      </c>
      <c r="S778" s="255">
        <f t="shared" si="49"/>
        <v>608.32266127052458</v>
      </c>
      <c r="T778" s="255">
        <f t="shared" si="49"/>
        <v>26.45</v>
      </c>
      <c r="U778" s="254">
        <v>101602</v>
      </c>
      <c r="V778" s="254" t="s">
        <v>983</v>
      </c>
      <c r="W778" s="254" t="s">
        <v>865</v>
      </c>
      <c r="X778" s="254" t="s">
        <v>157</v>
      </c>
      <c r="Y778" s="254" t="s">
        <v>843</v>
      </c>
      <c r="Z778" s="254" t="s">
        <v>1111</v>
      </c>
      <c r="AA778" s="254" t="s">
        <v>838</v>
      </c>
    </row>
    <row r="779" spans="1:27" ht="14.4" x14ac:dyDescent="0.3">
      <c r="A779" s="253">
        <v>11</v>
      </c>
      <c r="B779" s="254" t="s">
        <v>849</v>
      </c>
      <c r="C779" s="254">
        <v>14166</v>
      </c>
      <c r="D779" s="254" t="s">
        <v>1050</v>
      </c>
      <c r="E779" s="254" t="str">
        <f>_xlfn.XLOOKUP(C779,Clientes!I:I,Clientes!F:F)</f>
        <v>GRUPO TAKI AGRO</v>
      </c>
      <c r="F779" s="254">
        <v>8368</v>
      </c>
      <c r="G779" s="254" t="s">
        <v>855</v>
      </c>
      <c r="H779" s="254" t="s">
        <v>989</v>
      </c>
      <c r="I779" s="255">
        <v>2000</v>
      </c>
      <c r="J779" s="256">
        <v>32884.072547869357</v>
      </c>
      <c r="K779" s="258">
        <v>366691.42691482737</v>
      </c>
      <c r="L779" s="258">
        <v>-33000.88441442878</v>
      </c>
      <c r="M779" s="258">
        <f t="shared" si="50"/>
        <v>333690.54250039859</v>
      </c>
      <c r="N779" s="258">
        <v>-115762.28743071116</v>
      </c>
      <c r="O779" s="258">
        <v>-7937.5347529339824</v>
      </c>
      <c r="P779" s="258">
        <v>-83137.578957505684</v>
      </c>
      <c r="Q779" s="258">
        <f t="shared" si="51"/>
        <v>126853.14135924778</v>
      </c>
      <c r="R779" s="259">
        <f t="shared" si="52"/>
        <v>0.38015204269415653</v>
      </c>
      <c r="S779" s="255">
        <f t="shared" si="49"/>
        <v>183.34571345741369</v>
      </c>
      <c r="T779" s="255">
        <f t="shared" si="49"/>
        <v>11.151034482758622</v>
      </c>
      <c r="U779" s="254">
        <v>101602</v>
      </c>
      <c r="V779" s="254" t="s">
        <v>983</v>
      </c>
      <c r="W779" s="254" t="s">
        <v>1052</v>
      </c>
      <c r="X779" s="254" t="s">
        <v>157</v>
      </c>
      <c r="Y779" s="254" t="s">
        <v>843</v>
      </c>
      <c r="Z779" s="254" t="s">
        <v>1111</v>
      </c>
      <c r="AA779" s="254" t="s">
        <v>838</v>
      </c>
    </row>
    <row r="780" spans="1:27" ht="14.4" x14ac:dyDescent="0.3">
      <c r="A780" s="253">
        <v>11</v>
      </c>
      <c r="B780" s="254" t="s">
        <v>849</v>
      </c>
      <c r="C780" s="254">
        <v>12653</v>
      </c>
      <c r="D780" s="254" t="s">
        <v>232</v>
      </c>
      <c r="E780" s="254" t="str">
        <f>_xlfn.XLOOKUP(C780,Clientes!I:I,Clientes!F:F)</f>
        <v>APROVAR AGROPECUARIA COMERCIO</v>
      </c>
      <c r="F780" s="254">
        <v>8368</v>
      </c>
      <c r="G780" s="254" t="s">
        <v>855</v>
      </c>
      <c r="H780" s="254" t="s">
        <v>989</v>
      </c>
      <c r="I780" s="255">
        <v>1969</v>
      </c>
      <c r="J780" s="256">
        <v>32374.369423377382</v>
      </c>
      <c r="K780" s="258">
        <v>361007.70979764749</v>
      </c>
      <c r="L780" s="258">
        <v>-32489.370706005131</v>
      </c>
      <c r="M780" s="258">
        <f t="shared" si="50"/>
        <v>328518.33909164235</v>
      </c>
      <c r="N780" s="258">
        <v>-113967.97197553514</v>
      </c>
      <c r="O780" s="258">
        <v>-7814.5029642635045</v>
      </c>
      <c r="P780" s="258">
        <v>-81848.615095800196</v>
      </c>
      <c r="Q780" s="258">
        <f t="shared" si="51"/>
        <v>124887.24905604351</v>
      </c>
      <c r="R780" s="259">
        <f t="shared" si="52"/>
        <v>0.38015305142890482</v>
      </c>
      <c r="S780" s="255">
        <f t="shared" si="49"/>
        <v>183.34571345741367</v>
      </c>
      <c r="T780" s="255">
        <f t="shared" si="49"/>
        <v>11.15103448275862</v>
      </c>
      <c r="U780" s="254">
        <v>101602</v>
      </c>
      <c r="V780" s="254" t="s">
        <v>983</v>
      </c>
      <c r="W780" s="254" t="s">
        <v>1054</v>
      </c>
      <c r="X780" s="254" t="s">
        <v>157</v>
      </c>
      <c r="Y780" s="254" t="s">
        <v>843</v>
      </c>
      <c r="Z780" s="254" t="s">
        <v>1111</v>
      </c>
      <c r="AA780" s="254" t="s">
        <v>838</v>
      </c>
    </row>
    <row r="781" spans="1:27" ht="14.4" x14ac:dyDescent="0.3">
      <c r="A781" s="253">
        <v>11</v>
      </c>
      <c r="B781" s="254" t="s">
        <v>849</v>
      </c>
      <c r="C781" s="254">
        <v>16645</v>
      </c>
      <c r="D781" s="254" t="s">
        <v>573</v>
      </c>
      <c r="E781" s="254" t="str">
        <f>_xlfn.XLOOKUP(C781,Clientes!I:I,Clientes!F:F)</f>
        <v>OPCAO AGRONEGOCIOS</v>
      </c>
      <c r="F781" s="254">
        <v>8369</v>
      </c>
      <c r="G781" s="254" t="s">
        <v>855</v>
      </c>
      <c r="H781" s="254" t="s">
        <v>988</v>
      </c>
      <c r="I781" s="255">
        <v>2000</v>
      </c>
      <c r="J781" s="256">
        <v>1826.8929193260753</v>
      </c>
      <c r="K781" s="258">
        <v>18604.069549495747</v>
      </c>
      <c r="L781" s="258">
        <v>-1674.2980712868084</v>
      </c>
      <c r="M781" s="258">
        <f t="shared" si="50"/>
        <v>16929.771478208939</v>
      </c>
      <c r="N781" s="258">
        <v>-6728.2302496164593</v>
      </c>
      <c r="O781" s="258">
        <v>-440.97415294077678</v>
      </c>
      <c r="P781" s="258">
        <v>-4271.8287787195741</v>
      </c>
      <c r="Q781" s="258">
        <f t="shared" si="51"/>
        <v>5488.7382969321288</v>
      </c>
      <c r="R781" s="259">
        <f t="shared" si="52"/>
        <v>0.32420628382355471</v>
      </c>
      <c r="S781" s="255">
        <f t="shared" si="49"/>
        <v>9.3020347747478738</v>
      </c>
      <c r="T781" s="255">
        <f t="shared" si="49"/>
        <v>10.183448275862071</v>
      </c>
      <c r="U781" s="254">
        <v>101602</v>
      </c>
      <c r="V781" s="254" t="s">
        <v>983</v>
      </c>
      <c r="W781" s="254" t="s">
        <v>865</v>
      </c>
      <c r="X781" s="254" t="s">
        <v>157</v>
      </c>
      <c r="Y781" s="254" t="s">
        <v>843</v>
      </c>
      <c r="Z781" s="254" t="s">
        <v>1111</v>
      </c>
      <c r="AA781" s="254" t="s">
        <v>838</v>
      </c>
    </row>
    <row r="782" spans="1:27" ht="14.4" x14ac:dyDescent="0.3">
      <c r="A782" s="253">
        <v>11</v>
      </c>
      <c r="B782" s="254" t="s">
        <v>849</v>
      </c>
      <c r="C782" s="254">
        <v>15904</v>
      </c>
      <c r="D782" s="254" t="s">
        <v>754</v>
      </c>
      <c r="E782" s="254" t="str">
        <f>_xlfn.XLOOKUP(C782,Clientes!I:I,Clientes!F:F)</f>
        <v>ADUFÉRTIL - CAMPEVO</v>
      </c>
      <c r="F782" s="254">
        <v>13004</v>
      </c>
      <c r="G782" s="254" t="s">
        <v>908</v>
      </c>
      <c r="H782" s="254" t="s">
        <v>982</v>
      </c>
      <c r="I782" s="255">
        <v>25</v>
      </c>
      <c r="J782" s="256">
        <v>574.97415999104408</v>
      </c>
      <c r="K782" s="258">
        <v>15208.066531763116</v>
      </c>
      <c r="L782" s="258">
        <v>-1439.5578432758125</v>
      </c>
      <c r="M782" s="258">
        <f t="shared" si="50"/>
        <v>13768.508688487304</v>
      </c>
      <c r="N782" s="258">
        <v>-4065.5360400714562</v>
      </c>
      <c r="O782" s="258">
        <v>-155.43776793046604</v>
      </c>
      <c r="P782" s="258">
        <v>-3162.4817625577325</v>
      </c>
      <c r="Q782" s="258">
        <f t="shared" si="51"/>
        <v>6385.0531179276495</v>
      </c>
      <c r="R782" s="259">
        <f t="shared" si="52"/>
        <v>0.46374326097252527</v>
      </c>
      <c r="S782" s="255">
        <f t="shared" si="49"/>
        <v>608.32266127052458</v>
      </c>
      <c r="T782" s="255">
        <f t="shared" si="49"/>
        <v>26.45</v>
      </c>
      <c r="U782" s="254">
        <v>101602</v>
      </c>
      <c r="V782" s="254" t="s">
        <v>983</v>
      </c>
      <c r="W782" s="254" t="s">
        <v>992</v>
      </c>
      <c r="X782" s="254" t="s">
        <v>157</v>
      </c>
      <c r="Y782" s="254" t="s">
        <v>843</v>
      </c>
      <c r="Z782" s="254" t="s">
        <v>1111</v>
      </c>
      <c r="AA782" s="254" t="s">
        <v>838</v>
      </c>
    </row>
    <row r="783" spans="1:27" ht="14.4" x14ac:dyDescent="0.3">
      <c r="A783" s="253">
        <v>11</v>
      </c>
      <c r="B783" s="254" t="s">
        <v>849</v>
      </c>
      <c r="C783" s="254">
        <v>15906</v>
      </c>
      <c r="D783" s="254" t="s">
        <v>993</v>
      </c>
      <c r="E783" s="254" t="str">
        <f>_xlfn.XLOOKUP(C783,Clientes!I:I,Clientes!F:F)</f>
        <v>ADUFÉRTIL - CAMPEVO</v>
      </c>
      <c r="F783" s="254">
        <v>8368</v>
      </c>
      <c r="G783" s="254" t="s">
        <v>908</v>
      </c>
      <c r="H783" s="254" t="s">
        <v>989</v>
      </c>
      <c r="I783" s="255">
        <v>245</v>
      </c>
      <c r="J783" s="256">
        <v>4028.298887113996</v>
      </c>
      <c r="K783" s="258">
        <v>44919.699797066351</v>
      </c>
      <c r="L783" s="258">
        <v>-4042.6083407675251</v>
      </c>
      <c r="M783" s="258">
        <f t="shared" si="50"/>
        <v>40877.091456298826</v>
      </c>
      <c r="N783" s="258">
        <v>-14180.880210262118</v>
      </c>
      <c r="O783" s="258">
        <v>-1089.005091254071</v>
      </c>
      <c r="P783" s="258">
        <v>-10186.715096395299</v>
      </c>
      <c r="Q783" s="258">
        <f t="shared" si="51"/>
        <v>15420.491058387335</v>
      </c>
      <c r="R783" s="259">
        <f t="shared" si="52"/>
        <v>0.37724041777466444</v>
      </c>
      <c r="S783" s="255">
        <f t="shared" si="49"/>
        <v>183.34571345741367</v>
      </c>
      <c r="T783" s="255">
        <f t="shared" si="49"/>
        <v>11.151034482758622</v>
      </c>
      <c r="U783" s="254">
        <v>101602</v>
      </c>
      <c r="V783" s="254" t="s">
        <v>983</v>
      </c>
      <c r="W783" s="254" t="s">
        <v>994</v>
      </c>
      <c r="X783" s="254" t="s">
        <v>157</v>
      </c>
      <c r="Y783" s="254" t="s">
        <v>843</v>
      </c>
      <c r="Z783" s="254" t="s">
        <v>1111</v>
      </c>
      <c r="AA783" s="254" t="s">
        <v>838</v>
      </c>
    </row>
    <row r="784" spans="1:27" ht="14.4" x14ac:dyDescent="0.3">
      <c r="A784" s="253">
        <v>11</v>
      </c>
      <c r="B784" s="254" t="s">
        <v>849</v>
      </c>
      <c r="C784" s="254">
        <v>903</v>
      </c>
      <c r="D784" s="254" t="s">
        <v>47</v>
      </c>
      <c r="E784" s="254" t="str">
        <f>_xlfn.XLOOKUP(C784,Clientes!I:I,Clientes!F:F)</f>
        <v>GRUPO YARA</v>
      </c>
      <c r="F784" s="254">
        <v>4627</v>
      </c>
      <c r="G784" s="254" t="s">
        <v>862</v>
      </c>
      <c r="H784" s="254" t="s">
        <v>1000</v>
      </c>
      <c r="I784" s="255">
        <v>45000</v>
      </c>
      <c r="J784" s="256">
        <v>45000</v>
      </c>
      <c r="K784" s="258">
        <v>386029.5564195044</v>
      </c>
      <c r="L784" s="258">
        <v>-46170</v>
      </c>
      <c r="M784" s="258">
        <f t="shared" si="50"/>
        <v>339859.5564195044</v>
      </c>
      <c r="N784" s="258">
        <v>-217053.41222222219</v>
      </c>
      <c r="O784" s="258">
        <v>-17720.945424000001</v>
      </c>
      <c r="P784" s="258">
        <v>-9.1125292956748147</v>
      </c>
      <c r="Q784" s="258">
        <f t="shared" si="51"/>
        <v>105076.08624398653</v>
      </c>
      <c r="R784" s="259">
        <f t="shared" si="52"/>
        <v>0.30917502320954676</v>
      </c>
      <c r="S784" s="255">
        <f t="shared" si="49"/>
        <v>8.578434587100098</v>
      </c>
      <c r="T784" s="255">
        <f t="shared" si="49"/>
        <v>8.578434587100098</v>
      </c>
      <c r="U784" s="254">
        <v>102200</v>
      </c>
      <c r="V784" s="254" t="s">
        <v>1001</v>
      </c>
      <c r="W784" s="254" t="s">
        <v>1002</v>
      </c>
      <c r="X784" s="254" t="s">
        <v>446</v>
      </c>
      <c r="Y784" s="254" t="s">
        <v>843</v>
      </c>
      <c r="Z784" s="254" t="s">
        <v>1111</v>
      </c>
      <c r="AA784" s="254" t="s">
        <v>838</v>
      </c>
    </row>
    <row r="785" spans="1:27" ht="14.4" x14ac:dyDescent="0.3">
      <c r="A785" s="253">
        <v>11</v>
      </c>
      <c r="B785" s="254" t="s">
        <v>849</v>
      </c>
      <c r="C785" s="254">
        <v>1159</v>
      </c>
      <c r="D785" s="254" t="s">
        <v>50</v>
      </c>
      <c r="E785" s="254" t="str">
        <f>_xlfn.XLOOKUP(C785,Clientes!I:I,Clientes!F:F)</f>
        <v>GRUPO YARA</v>
      </c>
      <c r="F785" s="254">
        <v>4627</v>
      </c>
      <c r="G785" s="254" t="s">
        <v>877</v>
      </c>
      <c r="H785" s="254" t="s">
        <v>1000</v>
      </c>
      <c r="I785" s="255">
        <v>360000</v>
      </c>
      <c r="J785" s="256">
        <v>360000</v>
      </c>
      <c r="K785" s="258">
        <v>3268835.074242353</v>
      </c>
      <c r="L785" s="258">
        <v>-390960</v>
      </c>
      <c r="M785" s="258">
        <f t="shared" si="50"/>
        <v>2877875.074242353</v>
      </c>
      <c r="N785" s="258">
        <v>-1736427.2977777775</v>
      </c>
      <c r="O785" s="258">
        <v>-293059.26</v>
      </c>
      <c r="P785" s="258">
        <v>-150.69800330754529</v>
      </c>
      <c r="Q785" s="258">
        <f t="shared" si="51"/>
        <v>848237.81846126786</v>
      </c>
      <c r="R785" s="259">
        <f t="shared" si="52"/>
        <v>0.29474448910350293</v>
      </c>
      <c r="S785" s="255">
        <f t="shared" si="49"/>
        <v>9.0800974284509799</v>
      </c>
      <c r="T785" s="255">
        <f t="shared" si="49"/>
        <v>9.0800974284509799</v>
      </c>
      <c r="U785" s="254">
        <v>102200</v>
      </c>
      <c r="V785" s="254" t="s">
        <v>1001</v>
      </c>
      <c r="W785" s="254" t="s">
        <v>878</v>
      </c>
      <c r="X785" s="254" t="s">
        <v>446</v>
      </c>
      <c r="Y785" s="254" t="s">
        <v>843</v>
      </c>
      <c r="Z785" s="254" t="s">
        <v>1111</v>
      </c>
      <c r="AA785" s="254" t="s">
        <v>838</v>
      </c>
    </row>
    <row r="786" spans="1:27" ht="14.4" x14ac:dyDescent="0.3">
      <c r="A786" s="253">
        <v>11</v>
      </c>
      <c r="B786" s="254" t="s">
        <v>849</v>
      </c>
      <c r="C786" s="254">
        <v>3273</v>
      </c>
      <c r="D786" s="254" t="s">
        <v>79</v>
      </c>
      <c r="E786" s="254" t="str">
        <f>_xlfn.XLOOKUP(C786,Clientes!I:I,Clientes!F:F)</f>
        <v>FERTIMAXI - CONCEICAO DO JACUIPE</v>
      </c>
      <c r="F786" s="254">
        <v>12293</v>
      </c>
      <c r="G786" s="254" t="s">
        <v>875</v>
      </c>
      <c r="H786" s="254" t="s">
        <v>1058</v>
      </c>
      <c r="I786" s="255">
        <v>14400</v>
      </c>
      <c r="J786" s="256">
        <v>14400</v>
      </c>
      <c r="K786" s="258">
        <v>101299.88471865047</v>
      </c>
      <c r="L786" s="258">
        <v>-3945.6</v>
      </c>
      <c r="M786" s="258">
        <f t="shared" si="50"/>
        <v>97354.284718650466</v>
      </c>
      <c r="N786" s="258">
        <v>-45809.810000000005</v>
      </c>
      <c r="O786" s="258">
        <v>-14834.349443160001</v>
      </c>
      <c r="P786" s="258">
        <v>-7.6281733648362069</v>
      </c>
      <c r="Q786" s="258">
        <f t="shared" si="51"/>
        <v>36702.497102125621</v>
      </c>
      <c r="R786" s="259">
        <f t="shared" si="52"/>
        <v>0.37699929908780283</v>
      </c>
      <c r="S786" s="255">
        <f t="shared" si="49"/>
        <v>7.034714216572949</v>
      </c>
      <c r="T786" s="255">
        <f t="shared" si="49"/>
        <v>7.034714216572949</v>
      </c>
      <c r="U786" s="254">
        <v>102300</v>
      </c>
      <c r="V786" s="254" t="s">
        <v>1059</v>
      </c>
      <c r="W786" s="254" t="s">
        <v>884</v>
      </c>
      <c r="X786" s="254" t="s">
        <v>446</v>
      </c>
      <c r="Y786" s="254" t="s">
        <v>843</v>
      </c>
      <c r="Z786" s="254" t="s">
        <v>1111</v>
      </c>
      <c r="AA786" s="254" t="s">
        <v>838</v>
      </c>
    </row>
    <row r="787" spans="1:27" ht="14.4" x14ac:dyDescent="0.3">
      <c r="A787" s="253">
        <v>11</v>
      </c>
      <c r="B787" s="254" t="s">
        <v>849</v>
      </c>
      <c r="C787" s="254">
        <v>2809</v>
      </c>
      <c r="D787" s="254" t="s">
        <v>159</v>
      </c>
      <c r="E787" s="254" t="str">
        <f>_xlfn.XLOOKUP(C787,Clientes!I:I,Clientes!F:F)</f>
        <v>CISBRA QUIMICA - FORMOSA</v>
      </c>
      <c r="F787" s="254">
        <v>12813</v>
      </c>
      <c r="G787" s="254" t="s">
        <v>867</v>
      </c>
      <c r="H787" s="254" t="s">
        <v>1060</v>
      </c>
      <c r="I787" s="255">
        <v>12000</v>
      </c>
      <c r="J787" s="256">
        <v>12000</v>
      </c>
      <c r="K787" s="258">
        <v>118429.67057740036</v>
      </c>
      <c r="L787" s="258">
        <v>-4612.8</v>
      </c>
      <c r="M787" s="258">
        <f t="shared" si="50"/>
        <v>113816.87057740036</v>
      </c>
      <c r="N787" s="258">
        <v>-53314.707032967024</v>
      </c>
      <c r="O787" s="258">
        <v>-5861.7368409599994</v>
      </c>
      <c r="P787" s="258">
        <v>-3.0142437329806611</v>
      </c>
      <c r="Q787" s="258">
        <f t="shared" si="51"/>
        <v>54637.412459740357</v>
      </c>
      <c r="R787" s="259">
        <f t="shared" si="52"/>
        <v>0.48004669415492818</v>
      </c>
      <c r="S787" s="255">
        <f t="shared" si="49"/>
        <v>9.8691392147833632</v>
      </c>
      <c r="T787" s="255">
        <f t="shared" si="49"/>
        <v>9.8691392147833632</v>
      </c>
      <c r="U787" s="254">
        <v>102300</v>
      </c>
      <c r="V787" s="254" t="s">
        <v>1059</v>
      </c>
      <c r="W787" s="254" t="s">
        <v>886</v>
      </c>
      <c r="X787" s="254" t="s">
        <v>446</v>
      </c>
      <c r="Y787" s="254" t="s">
        <v>843</v>
      </c>
      <c r="Z787" s="254" t="s">
        <v>1111</v>
      </c>
      <c r="AA787" s="254" t="s">
        <v>838</v>
      </c>
    </row>
    <row r="788" spans="1:27" ht="14.4" x14ac:dyDescent="0.3">
      <c r="A788" s="253">
        <v>11</v>
      </c>
      <c r="B788" s="254" t="s">
        <v>849</v>
      </c>
      <c r="C788" s="254">
        <v>97</v>
      </c>
      <c r="D788" s="254" t="s">
        <v>300</v>
      </c>
      <c r="E788" s="254" t="str">
        <f>_xlfn.XLOOKUP(C788,Clientes!I:I,Clientes!F:F)</f>
        <v>FECOAGRO FEDERACAO DAS COOPERATIVAS</v>
      </c>
      <c r="F788" s="254">
        <v>13600</v>
      </c>
      <c r="G788" s="254" t="s">
        <v>893</v>
      </c>
      <c r="H788" s="254" t="s">
        <v>1098</v>
      </c>
      <c r="I788" s="255">
        <v>210000</v>
      </c>
      <c r="J788" s="256">
        <v>210000</v>
      </c>
      <c r="K788" s="258">
        <v>1940964.944426697</v>
      </c>
      <c r="L788" s="258">
        <v>-75600</v>
      </c>
      <c r="M788" s="258">
        <f t="shared" si="50"/>
        <v>1865364.944426697</v>
      </c>
      <c r="N788" s="258">
        <v>-1201044.5899999996</v>
      </c>
      <c r="O788" s="258">
        <v>-117654.67349999999</v>
      </c>
      <c r="P788" s="258">
        <v>-60.500816033764508</v>
      </c>
      <c r="Q788" s="258">
        <f t="shared" si="51"/>
        <v>546605.18011066352</v>
      </c>
      <c r="R788" s="259">
        <f t="shared" si="52"/>
        <v>0.29302854743989931</v>
      </c>
      <c r="S788" s="255">
        <f t="shared" si="49"/>
        <v>9.2426902115557006</v>
      </c>
      <c r="T788" s="255">
        <f t="shared" si="49"/>
        <v>9.2426902115557006</v>
      </c>
      <c r="U788" s="254">
        <v>102300</v>
      </c>
      <c r="V788" s="254" t="s">
        <v>1059</v>
      </c>
      <c r="W788" s="254" t="s">
        <v>894</v>
      </c>
      <c r="X788" s="254" t="s">
        <v>446</v>
      </c>
      <c r="Y788" s="254" t="s">
        <v>843</v>
      </c>
      <c r="Z788" s="254" t="s">
        <v>1111</v>
      </c>
      <c r="AA788" s="254" t="s">
        <v>838</v>
      </c>
    </row>
    <row r="789" spans="1:27" ht="14.4" x14ac:dyDescent="0.3">
      <c r="A789" s="253">
        <v>11</v>
      </c>
      <c r="B789" s="254" t="s">
        <v>849</v>
      </c>
      <c r="C789" s="254">
        <v>2011</v>
      </c>
      <c r="D789" s="254" t="s">
        <v>616</v>
      </c>
      <c r="E789" s="254" t="str">
        <f>_xlfn.XLOOKUP(C789,Clientes!I:I,Clientes!F:F)</f>
        <v>FERTGROW S.A</v>
      </c>
      <c r="F789" s="254">
        <v>12813</v>
      </c>
      <c r="G789" s="254" t="s">
        <v>897</v>
      </c>
      <c r="H789" s="254" t="s">
        <v>1060</v>
      </c>
      <c r="I789" s="255">
        <v>90000</v>
      </c>
      <c r="J789" s="256">
        <v>90000</v>
      </c>
      <c r="K789" s="258">
        <v>1011150.3091441935</v>
      </c>
      <c r="L789" s="258">
        <v>-39384</v>
      </c>
      <c r="M789" s="258">
        <f t="shared" si="50"/>
        <v>971766.30914419354</v>
      </c>
      <c r="N789" s="258">
        <v>-399860.30274725269</v>
      </c>
      <c r="O789" s="258">
        <v>-79384.58189999999</v>
      </c>
      <c r="P789" s="258">
        <v>-40.821429719485067</v>
      </c>
      <c r="Q789" s="258">
        <f t="shared" si="51"/>
        <v>492480.60306722141</v>
      </c>
      <c r="R789" s="259">
        <f t="shared" si="52"/>
        <v>0.50678913071285092</v>
      </c>
      <c r="S789" s="255">
        <f t="shared" si="49"/>
        <v>11.235003434935484</v>
      </c>
      <c r="T789" s="255">
        <f t="shared" si="49"/>
        <v>11.235003434935484</v>
      </c>
      <c r="U789" s="254">
        <v>102300</v>
      </c>
      <c r="V789" s="254" t="s">
        <v>1059</v>
      </c>
      <c r="W789" s="254" t="s">
        <v>899</v>
      </c>
      <c r="X789" s="254" t="s">
        <v>446</v>
      </c>
      <c r="Y789" s="254" t="s">
        <v>843</v>
      </c>
      <c r="Z789" s="254" t="s">
        <v>1111</v>
      </c>
      <c r="AA789" s="254" t="s">
        <v>838</v>
      </c>
    </row>
    <row r="790" spans="1:27" ht="14.4" x14ac:dyDescent="0.3">
      <c r="A790" s="253">
        <v>11</v>
      </c>
      <c r="B790" s="254" t="s">
        <v>849</v>
      </c>
      <c r="C790" s="254">
        <v>139</v>
      </c>
      <c r="D790" s="254" t="s">
        <v>32</v>
      </c>
      <c r="E790" s="254" t="str">
        <f>_xlfn.XLOOKUP(C790,Clientes!I:I,Clientes!F:F)</f>
        <v>COMIGO - RIO VERDE</v>
      </c>
      <c r="F790" s="254">
        <v>14190</v>
      </c>
      <c r="G790" s="254" t="s">
        <v>867</v>
      </c>
      <c r="H790" s="254" t="s">
        <v>1122</v>
      </c>
      <c r="I790" s="255">
        <v>100000</v>
      </c>
      <c r="J790" s="256">
        <v>100000</v>
      </c>
      <c r="K790" s="258">
        <v>815410.6697750251</v>
      </c>
      <c r="L790" s="258">
        <v>-31760</v>
      </c>
      <c r="M790" s="258">
        <f t="shared" si="50"/>
        <v>783650.6697750251</v>
      </c>
      <c r="N790" s="258">
        <v>-443202.62</v>
      </c>
      <c r="O790" s="258">
        <v>-18962.657999999999</v>
      </c>
      <c r="P790" s="258">
        <v>-9.7510472728411663</v>
      </c>
      <c r="Q790" s="258">
        <f t="shared" si="51"/>
        <v>321475.6407277523</v>
      </c>
      <c r="R790" s="259">
        <f t="shared" si="52"/>
        <v>0.41022824726232077</v>
      </c>
      <c r="S790" s="255">
        <f t="shared" si="49"/>
        <v>8.154106697750251</v>
      </c>
      <c r="T790" s="255">
        <f t="shared" si="49"/>
        <v>8.154106697750251</v>
      </c>
      <c r="U790" s="254">
        <v>102300</v>
      </c>
      <c r="V790" s="254" t="s">
        <v>1059</v>
      </c>
      <c r="W790" s="254" t="s">
        <v>890</v>
      </c>
      <c r="X790" s="254" t="s">
        <v>446</v>
      </c>
      <c r="Y790" s="254" t="s">
        <v>843</v>
      </c>
      <c r="Z790" s="254" t="s">
        <v>1111</v>
      </c>
      <c r="AA790" s="254" t="s">
        <v>838</v>
      </c>
    </row>
    <row r="791" spans="1:27" ht="14.4" x14ac:dyDescent="0.3">
      <c r="A791" s="253">
        <v>11</v>
      </c>
      <c r="B791" s="254" t="s">
        <v>849</v>
      </c>
      <c r="C791" s="254">
        <v>5695</v>
      </c>
      <c r="D791" s="254" t="s">
        <v>1123</v>
      </c>
      <c r="E791" s="254" t="str">
        <f>_xlfn.XLOOKUP(C791,Clientes!I:I,Clientes!F:F)</f>
        <v>GRUPO CAMPO RICO</v>
      </c>
      <c r="F791" s="254">
        <v>12813</v>
      </c>
      <c r="G791" s="254" t="s">
        <v>926</v>
      </c>
      <c r="H791" s="254" t="s">
        <v>1060</v>
      </c>
      <c r="I791" s="255">
        <v>80000</v>
      </c>
      <c r="J791" s="256">
        <v>80000</v>
      </c>
      <c r="K791" s="258">
        <v>821572.4632493956</v>
      </c>
      <c r="L791" s="258">
        <v>-32000</v>
      </c>
      <c r="M791" s="258">
        <f t="shared" si="50"/>
        <v>789572.4632493956</v>
      </c>
      <c r="N791" s="258">
        <v>-355431.38021978014</v>
      </c>
      <c r="O791" s="258">
        <v>-80971.733606399997</v>
      </c>
      <c r="P791" s="258">
        <v>-41.637580668274893</v>
      </c>
      <c r="Q791" s="258">
        <f t="shared" si="51"/>
        <v>353127.71184254723</v>
      </c>
      <c r="R791" s="259">
        <f t="shared" si="52"/>
        <v>0.44723914305381207</v>
      </c>
      <c r="S791" s="255">
        <f t="shared" si="49"/>
        <v>10.269655790617445</v>
      </c>
      <c r="T791" s="255">
        <f t="shared" si="49"/>
        <v>10.269655790617445</v>
      </c>
      <c r="U791" s="254">
        <v>102300</v>
      </c>
      <c r="V791" s="254" t="s">
        <v>1059</v>
      </c>
      <c r="W791" s="254" t="s">
        <v>1124</v>
      </c>
      <c r="X791" s="254" t="s">
        <v>446</v>
      </c>
      <c r="Y791" s="254" t="s">
        <v>843</v>
      </c>
      <c r="Z791" s="254" t="s">
        <v>1111</v>
      </c>
      <c r="AA791" s="254" t="s">
        <v>838</v>
      </c>
    </row>
    <row r="792" spans="1:27" ht="14.4" x14ac:dyDescent="0.3">
      <c r="A792" s="253">
        <v>11</v>
      </c>
      <c r="B792" s="254" t="s">
        <v>849</v>
      </c>
      <c r="C792" s="254">
        <v>1953</v>
      </c>
      <c r="D792" s="254" t="s">
        <v>66</v>
      </c>
      <c r="E792" s="254" t="str">
        <f>_xlfn.XLOOKUP(C792,Clientes!I:I,Clientes!F:F)</f>
        <v>GRUPO AMAGGI</v>
      </c>
      <c r="F792" s="254">
        <v>7398</v>
      </c>
      <c r="G792" s="254" t="s">
        <v>840</v>
      </c>
      <c r="H792" s="254" t="s">
        <v>1004</v>
      </c>
      <c r="I792" s="255">
        <v>120000</v>
      </c>
      <c r="J792" s="256">
        <v>120000</v>
      </c>
      <c r="K792" s="258">
        <v>250800</v>
      </c>
      <c r="L792" s="258">
        <v>-17556</v>
      </c>
      <c r="M792" s="258">
        <f t="shared" si="50"/>
        <v>233244</v>
      </c>
      <c r="N792" s="258">
        <v>-77530.427737226288</v>
      </c>
      <c r="O792" s="258">
        <v>-83753.461209599991</v>
      </c>
      <c r="P792" s="258">
        <v>-43.068010798848896</v>
      </c>
      <c r="Q792" s="258">
        <f t="shared" si="51"/>
        <v>71917.043042374862</v>
      </c>
      <c r="R792" s="259">
        <f t="shared" si="52"/>
        <v>0.30833394660687891</v>
      </c>
      <c r="S792" s="255">
        <f t="shared" si="49"/>
        <v>2.09</v>
      </c>
      <c r="T792" s="255">
        <f t="shared" si="49"/>
        <v>2.09</v>
      </c>
      <c r="U792" s="254">
        <v>102600</v>
      </c>
      <c r="V792" s="254" t="s">
        <v>1005</v>
      </c>
      <c r="W792" s="254" t="s">
        <v>1008</v>
      </c>
      <c r="X792" s="254" t="s">
        <v>446</v>
      </c>
      <c r="Y792" s="254" t="s">
        <v>843</v>
      </c>
      <c r="Z792" s="254" t="s">
        <v>1111</v>
      </c>
      <c r="AA792" s="254" t="s">
        <v>838</v>
      </c>
    </row>
    <row r="793" spans="1:27" ht="14.4" x14ac:dyDescent="0.3">
      <c r="A793" s="253">
        <v>11</v>
      </c>
      <c r="B793" s="254" t="s">
        <v>849</v>
      </c>
      <c r="C793" s="254">
        <v>8855</v>
      </c>
      <c r="D793" s="254" t="s">
        <v>1003</v>
      </c>
      <c r="E793" s="254" t="str">
        <f>_xlfn.XLOOKUP(C793,Clientes!I:I,Clientes!F:F)</f>
        <v>TERMAG GUARUJA</v>
      </c>
      <c r="F793" s="254">
        <v>7398</v>
      </c>
      <c r="G793" s="254" t="s">
        <v>908</v>
      </c>
      <c r="H793" s="254" t="s">
        <v>1004</v>
      </c>
      <c r="I793" s="255">
        <v>60000</v>
      </c>
      <c r="J793" s="256">
        <v>60000</v>
      </c>
      <c r="K793" s="258">
        <v>147600</v>
      </c>
      <c r="L793" s="258">
        <v>-17712</v>
      </c>
      <c r="M793" s="258">
        <f t="shared" si="50"/>
        <v>129888</v>
      </c>
      <c r="N793" s="258">
        <v>-38765.213868613144</v>
      </c>
      <c r="O793" s="258">
        <v>-26091.264326399996</v>
      </c>
      <c r="P793" s="258">
        <v>-13.416745260865893</v>
      </c>
      <c r="Q793" s="258">
        <f t="shared" si="51"/>
        <v>65018.105059725989</v>
      </c>
      <c r="R793" s="259">
        <f t="shared" si="52"/>
        <v>0.50057053045489952</v>
      </c>
      <c r="S793" s="255">
        <f t="shared" si="49"/>
        <v>2.46</v>
      </c>
      <c r="T793" s="255">
        <f t="shared" si="49"/>
        <v>2.46</v>
      </c>
      <c r="U793" s="254">
        <v>102600</v>
      </c>
      <c r="V793" s="254" t="s">
        <v>1005</v>
      </c>
      <c r="W793" s="254" t="s">
        <v>1006</v>
      </c>
      <c r="X793" s="254" t="s">
        <v>446</v>
      </c>
      <c r="Y793" s="254" t="s">
        <v>843</v>
      </c>
      <c r="Z793" s="254" t="s">
        <v>1111</v>
      </c>
      <c r="AA793" s="254" t="s">
        <v>838</v>
      </c>
    </row>
    <row r="794" spans="1:27" ht="14.4" x14ac:dyDescent="0.3">
      <c r="A794" s="253">
        <v>11</v>
      </c>
      <c r="B794" s="254" t="s">
        <v>849</v>
      </c>
      <c r="C794" s="254">
        <v>8413</v>
      </c>
      <c r="D794" s="254" t="s">
        <v>97</v>
      </c>
      <c r="E794" s="254" t="str">
        <f>_xlfn.XLOOKUP(C794,Clientes!I:I,Clientes!F:F)</f>
        <v>GRUPO AMAGGI</v>
      </c>
      <c r="F794" s="254">
        <v>7398</v>
      </c>
      <c r="G794" s="254" t="s">
        <v>840</v>
      </c>
      <c r="H794" s="254" t="s">
        <v>1004</v>
      </c>
      <c r="I794" s="255">
        <v>64000</v>
      </c>
      <c r="J794" s="256">
        <v>64000</v>
      </c>
      <c r="K794" s="258">
        <v>132480</v>
      </c>
      <c r="L794" s="258">
        <v>-9273.6</v>
      </c>
      <c r="M794" s="258">
        <f t="shared" si="50"/>
        <v>123206.39999999999</v>
      </c>
      <c r="N794" s="258">
        <v>-41349.56145985402</v>
      </c>
      <c r="O794" s="258">
        <v>-46705.601280000003</v>
      </c>
      <c r="P794" s="258">
        <v>-24.01712491928879</v>
      </c>
      <c r="Q794" s="258">
        <f t="shared" si="51"/>
        <v>35127.220135226693</v>
      </c>
      <c r="R794" s="259">
        <f t="shared" si="52"/>
        <v>0.28510872921558211</v>
      </c>
      <c r="S794" s="255">
        <f t="shared" si="49"/>
        <v>2.0699999999999998</v>
      </c>
      <c r="T794" s="255">
        <f t="shared" si="49"/>
        <v>2.0699999999999998</v>
      </c>
      <c r="U794" s="254">
        <v>102600</v>
      </c>
      <c r="V794" s="254" t="s">
        <v>1005</v>
      </c>
      <c r="W794" s="254" t="s">
        <v>915</v>
      </c>
      <c r="X794" s="254" t="s">
        <v>446</v>
      </c>
      <c r="Y794" s="254" t="s">
        <v>843</v>
      </c>
      <c r="Z794" s="254" t="s">
        <v>1111</v>
      </c>
      <c r="AA794" s="254" t="s">
        <v>838</v>
      </c>
    </row>
    <row r="795" spans="1:27" ht="14.4" x14ac:dyDescent="0.3">
      <c r="A795" s="253">
        <v>11</v>
      </c>
      <c r="B795" s="254" t="s">
        <v>849</v>
      </c>
      <c r="C795" s="254">
        <v>8414</v>
      </c>
      <c r="D795" s="254" t="s">
        <v>98</v>
      </c>
      <c r="E795" s="254" t="str">
        <f>_xlfn.XLOOKUP(C795,Clientes!I:I,Clientes!F:F)</f>
        <v>GRUPO AMAGGI</v>
      </c>
      <c r="F795" s="254">
        <v>7398</v>
      </c>
      <c r="G795" s="254" t="s">
        <v>1061</v>
      </c>
      <c r="H795" s="254" t="s">
        <v>1004</v>
      </c>
      <c r="I795" s="255">
        <v>30000</v>
      </c>
      <c r="J795" s="256">
        <v>30000</v>
      </c>
      <c r="K795" s="258">
        <v>70800</v>
      </c>
      <c r="L795" s="258">
        <v>-4956.0000000000009</v>
      </c>
      <c r="M795" s="258">
        <f t="shared" si="50"/>
        <v>65844</v>
      </c>
      <c r="N795" s="258">
        <v>-19382.606934306572</v>
      </c>
      <c r="O795" s="258">
        <v>-24507.690479999997</v>
      </c>
      <c r="P795" s="258">
        <v>-12.60243413231623</v>
      </c>
      <c r="Q795" s="258">
        <f t="shared" si="51"/>
        <v>21941.10015156111</v>
      </c>
      <c r="R795" s="259">
        <f t="shared" si="52"/>
        <v>0.33322854248771505</v>
      </c>
      <c r="S795" s="255">
        <f t="shared" si="49"/>
        <v>2.36</v>
      </c>
      <c r="T795" s="255">
        <f t="shared" si="49"/>
        <v>2.36</v>
      </c>
      <c r="U795" s="254">
        <v>102600</v>
      </c>
      <c r="V795" s="254" t="s">
        <v>1005</v>
      </c>
      <c r="W795" s="254" t="s">
        <v>1062</v>
      </c>
      <c r="X795" s="254" t="s">
        <v>446</v>
      </c>
      <c r="Y795" s="254" t="s">
        <v>843</v>
      </c>
      <c r="Z795" s="254" t="s">
        <v>1111</v>
      </c>
      <c r="AA795" s="254" t="s">
        <v>838</v>
      </c>
    </row>
    <row r="796" spans="1:27" ht="14.4" x14ac:dyDescent="0.3">
      <c r="A796" s="253">
        <v>11</v>
      </c>
      <c r="B796" s="254" t="s">
        <v>850</v>
      </c>
      <c r="C796" s="254">
        <v>5209</v>
      </c>
      <c r="D796" s="254" t="s">
        <v>870</v>
      </c>
      <c r="E796" s="254" t="str">
        <f>_xlfn.XLOOKUP(C796,Clientes!I:I,Clientes!F:F)</f>
        <v>NUTRISOYA - CATALÃO</v>
      </c>
      <c r="F796" s="254">
        <v>1043</v>
      </c>
      <c r="G796" s="254" t="s">
        <v>867</v>
      </c>
      <c r="H796" s="254" t="s">
        <v>860</v>
      </c>
      <c r="I796" s="255">
        <v>15000</v>
      </c>
      <c r="J796" s="256">
        <v>15000</v>
      </c>
      <c r="K796" s="258">
        <v>28500</v>
      </c>
      <c r="L796" s="258">
        <v>-1995.0000000000002</v>
      </c>
      <c r="M796" s="258">
        <f t="shared" si="50"/>
        <v>26505</v>
      </c>
      <c r="N796" s="258">
        <v>-5856.2562796208531</v>
      </c>
      <c r="O796" s="258">
        <v>-2614.5482999999999</v>
      </c>
      <c r="P796" s="258">
        <v>-1.1901915765162718</v>
      </c>
      <c r="Q796" s="258">
        <f t="shared" si="51"/>
        <v>18033.005228802635</v>
      </c>
      <c r="R796" s="259">
        <f t="shared" si="52"/>
        <v>0.68036239308819602</v>
      </c>
      <c r="S796" s="255">
        <f t="shared" si="49"/>
        <v>1.9</v>
      </c>
      <c r="T796" s="255">
        <f t="shared" si="49"/>
        <v>1.9</v>
      </c>
      <c r="U796" s="254">
        <v>100100</v>
      </c>
      <c r="V796" s="254" t="s">
        <v>834</v>
      </c>
      <c r="W796" s="254" t="s">
        <v>871</v>
      </c>
      <c r="X796" s="254" t="s">
        <v>446</v>
      </c>
      <c r="Y796" s="254" t="s">
        <v>843</v>
      </c>
      <c r="Z796" s="254" t="s">
        <v>1125</v>
      </c>
      <c r="AA796" s="254" t="s">
        <v>838</v>
      </c>
    </row>
    <row r="797" spans="1:27" ht="14.4" x14ac:dyDescent="0.3">
      <c r="A797" s="253">
        <v>11</v>
      </c>
      <c r="B797" s="254" t="s">
        <v>850</v>
      </c>
      <c r="C797" s="254">
        <v>139</v>
      </c>
      <c r="D797" s="254" t="s">
        <v>32</v>
      </c>
      <c r="E797" s="254" t="str">
        <f>_xlfn.XLOOKUP(C797,Clientes!I:I,Clientes!F:F)</f>
        <v>COMIGO - RIO VERDE</v>
      </c>
      <c r="F797" s="254">
        <v>1043</v>
      </c>
      <c r="G797" s="254" t="s">
        <v>867</v>
      </c>
      <c r="H797" s="254" t="s">
        <v>860</v>
      </c>
      <c r="I797" s="255">
        <v>90000</v>
      </c>
      <c r="J797" s="256">
        <v>90000</v>
      </c>
      <c r="K797" s="258">
        <v>61250.000000000036</v>
      </c>
      <c r="L797" s="258">
        <v>-4287.5000000000027</v>
      </c>
      <c r="M797" s="258">
        <f t="shared" si="50"/>
        <v>56962.500000000036</v>
      </c>
      <c r="N797" s="258">
        <v>-35137.537677725122</v>
      </c>
      <c r="O797" s="258">
        <v>-17066.392199999998</v>
      </c>
      <c r="P797" s="258">
        <v>-7.7689428181391804</v>
      </c>
      <c r="Q797" s="258">
        <f t="shared" si="51"/>
        <v>4750.8011794567765</v>
      </c>
      <c r="R797" s="259">
        <f t="shared" si="52"/>
        <v>8.3402259020527073E-2</v>
      </c>
      <c r="S797" s="255">
        <f t="shared" si="49"/>
        <v>0.68055555555555591</v>
      </c>
      <c r="T797" s="255">
        <f t="shared" si="49"/>
        <v>0.68055555555555591</v>
      </c>
      <c r="U797" s="254">
        <v>100100</v>
      </c>
      <c r="V797" s="254" t="s">
        <v>834</v>
      </c>
      <c r="W797" s="254" t="s">
        <v>890</v>
      </c>
      <c r="X797" s="254" t="s">
        <v>446</v>
      </c>
      <c r="Y797" s="254" t="s">
        <v>843</v>
      </c>
      <c r="Z797" s="254" t="s">
        <v>1125</v>
      </c>
      <c r="AA797" s="254" t="s">
        <v>838</v>
      </c>
    </row>
    <row r="798" spans="1:27" ht="14.4" x14ac:dyDescent="0.3">
      <c r="A798" s="253">
        <v>11</v>
      </c>
      <c r="B798" s="254" t="s">
        <v>850</v>
      </c>
      <c r="C798" s="254">
        <v>12568</v>
      </c>
      <c r="D798" s="254" t="s">
        <v>1116</v>
      </c>
      <c r="E798" s="254" t="str">
        <f>_xlfn.XLOOKUP(C798,Clientes!I:I,Clientes!F:F)</f>
        <v>FRIBON FERTILIZANTES - BARCARENA</v>
      </c>
      <c r="F798" s="254">
        <v>1043</v>
      </c>
      <c r="G798" s="254" t="s">
        <v>926</v>
      </c>
      <c r="H798" s="254" t="s">
        <v>860</v>
      </c>
      <c r="I798" s="255">
        <v>30000</v>
      </c>
      <c r="J798" s="256">
        <v>30000</v>
      </c>
      <c r="K798" s="258">
        <v>69000</v>
      </c>
      <c r="L798" s="258">
        <v>-4830.0000000000009</v>
      </c>
      <c r="M798" s="258">
        <f t="shared" si="50"/>
        <v>64170</v>
      </c>
      <c r="N798" s="258">
        <v>-11712.512559241706</v>
      </c>
      <c r="O798" s="258">
        <v>-26978.690699999999</v>
      </c>
      <c r="P798" s="258">
        <v>-12.28120758625032</v>
      </c>
      <c r="Q798" s="258">
        <f t="shared" si="51"/>
        <v>25466.515533172049</v>
      </c>
      <c r="R798" s="259">
        <f t="shared" si="52"/>
        <v>0.3968601454444764</v>
      </c>
      <c r="S798" s="255">
        <f t="shared" si="49"/>
        <v>2.2999999999999998</v>
      </c>
      <c r="T798" s="255">
        <f t="shared" si="49"/>
        <v>2.2999999999999998</v>
      </c>
      <c r="U798" s="254">
        <v>100100</v>
      </c>
      <c r="V798" s="254" t="s">
        <v>834</v>
      </c>
      <c r="W798" s="254" t="s">
        <v>928</v>
      </c>
      <c r="X798" s="254" t="s">
        <v>446</v>
      </c>
      <c r="Y798" s="254" t="s">
        <v>843</v>
      </c>
      <c r="Z798" s="254" t="s">
        <v>1125</v>
      </c>
      <c r="AA798" s="254" t="s">
        <v>838</v>
      </c>
    </row>
    <row r="799" spans="1:27" ht="14.4" x14ac:dyDescent="0.3">
      <c r="A799" s="253">
        <v>11</v>
      </c>
      <c r="B799" s="254" t="s">
        <v>850</v>
      </c>
      <c r="C799" s="254">
        <v>4577</v>
      </c>
      <c r="D799" s="254" t="s">
        <v>620</v>
      </c>
      <c r="E799" s="254" t="str">
        <f>_xlfn.XLOOKUP(C799,Clientes!I:I,Clientes!F:F)</f>
        <v>MICROSOLO INDUSTRIAL - SETE LAGOAS</v>
      </c>
      <c r="F799" s="254">
        <v>1</v>
      </c>
      <c r="G799" s="254" t="s">
        <v>855</v>
      </c>
      <c r="H799" s="254" t="s">
        <v>873</v>
      </c>
      <c r="I799" s="255">
        <v>30000</v>
      </c>
      <c r="J799" s="256">
        <v>30000</v>
      </c>
      <c r="K799" s="258">
        <v>69600</v>
      </c>
      <c r="L799" s="258">
        <v>-6438</v>
      </c>
      <c r="M799" s="258">
        <f t="shared" si="50"/>
        <v>63162</v>
      </c>
      <c r="N799" s="258">
        <v>-20219.462727272727</v>
      </c>
      <c r="O799" s="258">
        <v>-10004.1649344</v>
      </c>
      <c r="P799" s="258">
        <v>-4.5540840974337096</v>
      </c>
      <c r="Q799" s="258">
        <f t="shared" si="51"/>
        <v>32933.818254229838</v>
      </c>
      <c r="R799" s="259">
        <f t="shared" si="52"/>
        <v>0.52141823017367783</v>
      </c>
      <c r="S799" s="255">
        <f t="shared" si="49"/>
        <v>2.3199999999999998</v>
      </c>
      <c r="T799" s="255">
        <f t="shared" si="49"/>
        <v>2.3199999999999998</v>
      </c>
      <c r="U799" s="254">
        <v>100100</v>
      </c>
      <c r="V799" s="254" t="s">
        <v>834</v>
      </c>
      <c r="W799" s="254" t="s">
        <v>1066</v>
      </c>
      <c r="X799" s="254" t="s">
        <v>446</v>
      </c>
      <c r="Y799" s="254" t="s">
        <v>843</v>
      </c>
      <c r="Z799" s="254" t="s">
        <v>1125</v>
      </c>
      <c r="AA799" s="254" t="s">
        <v>838</v>
      </c>
    </row>
    <row r="800" spans="1:27" ht="14.4" x14ac:dyDescent="0.3">
      <c r="A800" s="253">
        <v>11</v>
      </c>
      <c r="B800" s="254" t="s">
        <v>850</v>
      </c>
      <c r="C800" s="254">
        <v>12972</v>
      </c>
      <c r="D800" s="254" t="s">
        <v>654</v>
      </c>
      <c r="E800" s="254" t="str">
        <f>_xlfn.XLOOKUP(C800,Clientes!I:I,Clientes!F:F)</f>
        <v>INVICTA FERTILIZER - RIO GRANDE</v>
      </c>
      <c r="F800" s="254">
        <v>1</v>
      </c>
      <c r="G800" s="254" t="s">
        <v>877</v>
      </c>
      <c r="H800" s="254" t="s">
        <v>873</v>
      </c>
      <c r="I800" s="255">
        <v>30000</v>
      </c>
      <c r="J800" s="256">
        <v>30000</v>
      </c>
      <c r="K800" s="258">
        <v>90000</v>
      </c>
      <c r="L800" s="258">
        <v>-10800</v>
      </c>
      <c r="M800" s="258">
        <f t="shared" si="50"/>
        <v>79200</v>
      </c>
      <c r="N800" s="258">
        <v>-20219.462727272727</v>
      </c>
      <c r="O800" s="258">
        <v>-24421.605</v>
      </c>
      <c r="P800" s="258">
        <v>-11.117174066360779</v>
      </c>
      <c r="Q800" s="258">
        <f t="shared" si="51"/>
        <v>34547.815098660918</v>
      </c>
      <c r="R800" s="259">
        <f t="shared" si="52"/>
        <v>0.43620978659925402</v>
      </c>
      <c r="S800" s="255">
        <f t="shared" si="49"/>
        <v>3</v>
      </c>
      <c r="T800" s="255">
        <f t="shared" si="49"/>
        <v>3</v>
      </c>
      <c r="U800" s="254">
        <v>100100</v>
      </c>
      <c r="V800" s="254" t="s">
        <v>834</v>
      </c>
      <c r="W800" s="254" t="s">
        <v>878</v>
      </c>
      <c r="X800" s="254" t="s">
        <v>446</v>
      </c>
      <c r="Y800" s="254" t="s">
        <v>843</v>
      </c>
      <c r="Z800" s="254" t="s">
        <v>1125</v>
      </c>
      <c r="AA800" s="254" t="s">
        <v>838</v>
      </c>
    </row>
    <row r="801" spans="1:27" ht="14.4" x14ac:dyDescent="0.3">
      <c r="A801" s="253">
        <v>11</v>
      </c>
      <c r="B801" s="254" t="s">
        <v>850</v>
      </c>
      <c r="C801" s="254">
        <v>13861</v>
      </c>
      <c r="D801" s="254" t="s">
        <v>1090</v>
      </c>
      <c r="E801" s="254" t="str">
        <f>_xlfn.XLOOKUP(C801,Clientes!I:I,Clientes!F:F)</f>
        <v>GRUPO ADUBOS ARAGUAIA</v>
      </c>
      <c r="F801" s="254">
        <v>1</v>
      </c>
      <c r="G801" s="254" t="s">
        <v>840</v>
      </c>
      <c r="H801" s="254" t="s">
        <v>873</v>
      </c>
      <c r="I801" s="255">
        <v>30000</v>
      </c>
      <c r="J801" s="256">
        <v>30000</v>
      </c>
      <c r="K801" s="258">
        <v>85200</v>
      </c>
      <c r="L801" s="258">
        <v>-5964.0000000000009</v>
      </c>
      <c r="M801" s="258">
        <f t="shared" si="50"/>
        <v>79236</v>
      </c>
      <c r="N801" s="258">
        <v>-20219.462727272727</v>
      </c>
      <c r="O801" s="258">
        <v>-22431.382390052997</v>
      </c>
      <c r="P801" s="258">
        <v>-10.211187290078561</v>
      </c>
      <c r="Q801" s="258">
        <f t="shared" si="51"/>
        <v>36574.943695384201</v>
      </c>
      <c r="R801" s="259">
        <f t="shared" si="52"/>
        <v>0.46159502871654551</v>
      </c>
      <c r="S801" s="255">
        <f t="shared" si="49"/>
        <v>2.84</v>
      </c>
      <c r="T801" s="255">
        <f t="shared" si="49"/>
        <v>2.84</v>
      </c>
      <c r="U801" s="254">
        <v>100100</v>
      </c>
      <c r="V801" s="254" t="s">
        <v>834</v>
      </c>
      <c r="W801" s="254" t="s">
        <v>1091</v>
      </c>
      <c r="X801" s="254" t="s">
        <v>446</v>
      </c>
      <c r="Y801" s="254" t="s">
        <v>843</v>
      </c>
      <c r="Z801" s="254" t="s">
        <v>1125</v>
      </c>
      <c r="AA801" s="254" t="s">
        <v>838</v>
      </c>
    </row>
    <row r="802" spans="1:27" ht="14.4" x14ac:dyDescent="0.3">
      <c r="A802" s="253">
        <v>11</v>
      </c>
      <c r="B802" s="254" t="s">
        <v>850</v>
      </c>
      <c r="C802" s="254">
        <v>466</v>
      </c>
      <c r="D802" s="254" t="s">
        <v>40</v>
      </c>
      <c r="E802" s="254" t="str">
        <f>_xlfn.XLOOKUP(C802,Clientes!I:I,Clientes!F:F)</f>
        <v>GRUPO ADUBOS ARAGUAIA</v>
      </c>
      <c r="F802" s="254">
        <v>1</v>
      </c>
      <c r="G802" s="254" t="s">
        <v>840</v>
      </c>
      <c r="H802" s="254" t="s">
        <v>873</v>
      </c>
      <c r="I802" s="255">
        <v>30000</v>
      </c>
      <c r="J802" s="256">
        <v>30000</v>
      </c>
      <c r="K802" s="258">
        <v>72900</v>
      </c>
      <c r="L802" s="258">
        <v>-5103.0000000000009</v>
      </c>
      <c r="M802" s="258">
        <f t="shared" si="50"/>
        <v>67797</v>
      </c>
      <c r="N802" s="258">
        <v>-20219.462727272727</v>
      </c>
      <c r="O802" s="258">
        <v>-21002.580299999998</v>
      </c>
      <c r="P802" s="258">
        <v>-9.5607696970702705</v>
      </c>
      <c r="Q802" s="258">
        <f t="shared" si="51"/>
        <v>26565.39620303021</v>
      </c>
      <c r="R802" s="259">
        <f t="shared" si="52"/>
        <v>0.39183734092998523</v>
      </c>
      <c r="S802" s="255">
        <f t="shared" si="49"/>
        <v>2.4300000000000002</v>
      </c>
      <c r="T802" s="255">
        <f t="shared" si="49"/>
        <v>2.4300000000000002</v>
      </c>
      <c r="U802" s="254">
        <v>100100</v>
      </c>
      <c r="V802" s="254" t="s">
        <v>834</v>
      </c>
      <c r="W802" s="254" t="s">
        <v>874</v>
      </c>
      <c r="X802" s="254" t="s">
        <v>446</v>
      </c>
      <c r="Y802" s="254" t="s">
        <v>843</v>
      </c>
      <c r="Z802" s="254" t="s">
        <v>1125</v>
      </c>
      <c r="AA802" s="254" t="s">
        <v>838</v>
      </c>
    </row>
    <row r="803" spans="1:27" ht="14.4" x14ac:dyDescent="0.3">
      <c r="A803" s="253">
        <v>11</v>
      </c>
      <c r="B803" s="254" t="s">
        <v>850</v>
      </c>
      <c r="C803" s="254">
        <v>7648</v>
      </c>
      <c r="D803" s="254" t="s">
        <v>958</v>
      </c>
      <c r="E803" s="254" t="str">
        <f>_xlfn.XLOOKUP(C803,Clientes!I:I,Clientes!F:F)</f>
        <v>GRUPO LOUIS DREYFUS</v>
      </c>
      <c r="F803" s="254">
        <v>14133</v>
      </c>
      <c r="G803" s="254" t="s">
        <v>862</v>
      </c>
      <c r="H803" s="254" t="s">
        <v>841</v>
      </c>
      <c r="I803" s="255">
        <v>26400</v>
      </c>
      <c r="J803" s="256">
        <v>26400</v>
      </c>
      <c r="K803" s="258">
        <v>74184</v>
      </c>
      <c r="L803" s="258">
        <v>-8902.08</v>
      </c>
      <c r="M803" s="258">
        <f t="shared" si="50"/>
        <v>65281.919999999998</v>
      </c>
      <c r="N803" s="258">
        <v>-31109.001660000013</v>
      </c>
      <c r="O803" s="258">
        <v>-12363.653015999998</v>
      </c>
      <c r="P803" s="258">
        <v>-5.6281674638074941</v>
      </c>
      <c r="Q803" s="258">
        <f t="shared" si="51"/>
        <v>21803.637156536184</v>
      </c>
      <c r="R803" s="259">
        <f t="shared" si="52"/>
        <v>0.33399197138405529</v>
      </c>
      <c r="S803" s="255">
        <f t="shared" si="49"/>
        <v>2.81</v>
      </c>
      <c r="T803" s="255">
        <f t="shared" si="49"/>
        <v>2.81</v>
      </c>
      <c r="U803" s="254">
        <v>100100</v>
      </c>
      <c r="V803" s="254" t="s">
        <v>834</v>
      </c>
      <c r="W803" s="254" t="s">
        <v>864</v>
      </c>
      <c r="X803" s="254" t="s">
        <v>446</v>
      </c>
      <c r="Y803" s="254" t="s">
        <v>843</v>
      </c>
      <c r="Z803" s="254" t="s">
        <v>1125</v>
      </c>
      <c r="AA803" s="254" t="s">
        <v>838</v>
      </c>
    </row>
    <row r="804" spans="1:27" ht="14.4" x14ac:dyDescent="0.3">
      <c r="A804" s="253">
        <v>11</v>
      </c>
      <c r="B804" s="254" t="s">
        <v>850</v>
      </c>
      <c r="C804" s="254">
        <v>2559</v>
      </c>
      <c r="D804" s="254" t="s">
        <v>451</v>
      </c>
      <c r="E804" s="254" t="str">
        <f>_xlfn.XLOOKUP(C804,Clientes!I:I,Clientes!F:F)</f>
        <v>GRUPO MOSAIC FERTILIZANTES DO BRASIL</v>
      </c>
      <c r="F804" s="254">
        <v>1043</v>
      </c>
      <c r="G804" s="254" t="s">
        <v>877</v>
      </c>
      <c r="H804" s="254" t="s">
        <v>860</v>
      </c>
      <c r="I804" s="255">
        <v>90000</v>
      </c>
      <c r="J804" s="256">
        <v>90000</v>
      </c>
      <c r="K804" s="258">
        <v>225900</v>
      </c>
      <c r="L804" s="258">
        <v>-27108</v>
      </c>
      <c r="M804" s="258">
        <f t="shared" si="50"/>
        <v>198792</v>
      </c>
      <c r="N804" s="258">
        <v>-35137.537677725122</v>
      </c>
      <c r="O804" s="258">
        <v>-73264.815000000002</v>
      </c>
      <c r="P804" s="258">
        <v>-33.351522199082339</v>
      </c>
      <c r="Q804" s="258">
        <f t="shared" si="51"/>
        <v>90356.295800075779</v>
      </c>
      <c r="R804" s="259">
        <f t="shared" si="52"/>
        <v>0.45452682099921415</v>
      </c>
      <c r="S804" s="255">
        <f t="shared" si="49"/>
        <v>2.5099999999999998</v>
      </c>
      <c r="T804" s="255">
        <f t="shared" si="49"/>
        <v>2.5099999999999998</v>
      </c>
      <c r="U804" s="254">
        <v>100100</v>
      </c>
      <c r="V804" s="254" t="s">
        <v>834</v>
      </c>
      <c r="W804" s="254" t="s">
        <v>878</v>
      </c>
      <c r="X804" s="254" t="s">
        <v>446</v>
      </c>
      <c r="Y804" s="254" t="s">
        <v>843</v>
      </c>
      <c r="Z804" s="254" t="s">
        <v>1125</v>
      </c>
      <c r="AA804" s="254" t="s">
        <v>838</v>
      </c>
    </row>
    <row r="805" spans="1:27" ht="14.4" x14ac:dyDescent="0.3">
      <c r="A805" s="253">
        <v>11</v>
      </c>
      <c r="B805" s="254" t="s">
        <v>850</v>
      </c>
      <c r="C805" s="254">
        <v>10492</v>
      </c>
      <c r="D805" s="254" t="s">
        <v>101</v>
      </c>
      <c r="E805" s="254" t="str">
        <f>_xlfn.XLOOKUP(C805,Clientes!I:I,Clientes!F:F)</f>
        <v>GRUPO UNIFERTIL</v>
      </c>
      <c r="F805" s="254">
        <v>3</v>
      </c>
      <c r="G805" s="254" t="s">
        <v>877</v>
      </c>
      <c r="H805" s="254" t="s">
        <v>879</v>
      </c>
      <c r="I805" s="255">
        <v>64000</v>
      </c>
      <c r="J805" s="256">
        <v>64000</v>
      </c>
      <c r="K805" s="258">
        <v>165760</v>
      </c>
      <c r="L805" s="258">
        <v>-19891.2</v>
      </c>
      <c r="M805" s="258">
        <f t="shared" si="50"/>
        <v>145868.79999999999</v>
      </c>
      <c r="N805" s="258">
        <v>-49902.29</v>
      </c>
      <c r="O805" s="258">
        <v>-52099.423999999999</v>
      </c>
      <c r="P805" s="258">
        <v>-23.71663800823633</v>
      </c>
      <c r="Q805" s="258">
        <f t="shared" si="51"/>
        <v>43843.369361991747</v>
      </c>
      <c r="R805" s="259">
        <f t="shared" si="52"/>
        <v>0.30056714912299098</v>
      </c>
      <c r="S805" s="255">
        <f t="shared" si="49"/>
        <v>2.59</v>
      </c>
      <c r="T805" s="255">
        <f t="shared" si="49"/>
        <v>2.59</v>
      </c>
      <c r="U805" s="254">
        <v>100100</v>
      </c>
      <c r="V805" s="254" t="s">
        <v>834</v>
      </c>
      <c r="W805" s="254" t="s">
        <v>878</v>
      </c>
      <c r="X805" s="254" t="s">
        <v>446</v>
      </c>
      <c r="Y805" s="254" t="s">
        <v>843</v>
      </c>
      <c r="Z805" s="254" t="s">
        <v>1125</v>
      </c>
      <c r="AA805" s="254" t="s">
        <v>838</v>
      </c>
    </row>
    <row r="806" spans="1:27" ht="14.4" x14ac:dyDescent="0.3">
      <c r="A806" s="253">
        <v>11</v>
      </c>
      <c r="B806" s="254" t="s">
        <v>850</v>
      </c>
      <c r="C806" s="254">
        <v>16073</v>
      </c>
      <c r="D806" s="254" t="s">
        <v>1095</v>
      </c>
      <c r="E806" s="254" t="str">
        <f>_xlfn.XLOOKUP(C806,Clientes!I:I,Clientes!F:F)</f>
        <v>IMEX SUL INSUMOS - SANTA MARIA</v>
      </c>
      <c r="F806" s="254">
        <v>1</v>
      </c>
      <c r="G806" s="254" t="s">
        <v>877</v>
      </c>
      <c r="H806" s="254" t="s">
        <v>873</v>
      </c>
      <c r="I806" s="255">
        <v>30000</v>
      </c>
      <c r="J806" s="256">
        <v>30000</v>
      </c>
      <c r="K806" s="258">
        <v>84000</v>
      </c>
      <c r="L806" s="258">
        <v>-10080</v>
      </c>
      <c r="M806" s="258">
        <f t="shared" si="50"/>
        <v>73920</v>
      </c>
      <c r="N806" s="258">
        <v>-20219.462727272727</v>
      </c>
      <c r="O806" s="258">
        <v>-24421.605</v>
      </c>
      <c r="P806" s="258">
        <v>-11.117174066360779</v>
      </c>
      <c r="Q806" s="258">
        <f t="shared" si="51"/>
        <v>29267.815098660918</v>
      </c>
      <c r="R806" s="259">
        <f t="shared" si="52"/>
        <v>0.39593905707062932</v>
      </c>
      <c r="S806" s="255">
        <f t="shared" si="49"/>
        <v>2.8</v>
      </c>
      <c r="T806" s="255">
        <f t="shared" si="49"/>
        <v>2.8</v>
      </c>
      <c r="U806" s="254">
        <v>100100</v>
      </c>
      <c r="V806" s="254" t="s">
        <v>834</v>
      </c>
      <c r="W806" s="254" t="s">
        <v>878</v>
      </c>
      <c r="X806" s="254" t="s">
        <v>446</v>
      </c>
      <c r="Y806" s="254" t="s">
        <v>843</v>
      </c>
      <c r="Z806" s="254" t="s">
        <v>1125</v>
      </c>
      <c r="AA806" s="254" t="s">
        <v>838</v>
      </c>
    </row>
    <row r="807" spans="1:27" ht="14.4" x14ac:dyDescent="0.3">
      <c r="A807" s="253">
        <v>11</v>
      </c>
      <c r="B807" s="254" t="s">
        <v>850</v>
      </c>
      <c r="C807" s="254">
        <v>1023</v>
      </c>
      <c r="D807" s="254" t="s">
        <v>49</v>
      </c>
      <c r="E807" s="254" t="str">
        <f>_xlfn.XLOOKUP(C807,Clientes!I:I,Clientes!F:F)</f>
        <v>GRUPO ADUBOS ARAGUAIA</v>
      </c>
      <c r="F807" s="254">
        <v>1</v>
      </c>
      <c r="G807" s="254" t="s">
        <v>840</v>
      </c>
      <c r="H807" s="254" t="s">
        <v>873</v>
      </c>
      <c r="I807" s="255">
        <v>30000</v>
      </c>
      <c r="J807" s="256">
        <v>30000</v>
      </c>
      <c r="K807" s="258">
        <v>72900</v>
      </c>
      <c r="L807" s="258">
        <v>-5103.0000000000009</v>
      </c>
      <c r="M807" s="258">
        <f t="shared" si="50"/>
        <v>67797</v>
      </c>
      <c r="N807" s="258">
        <v>-20219.462727272727</v>
      </c>
      <c r="O807" s="258">
        <v>-11980.9521</v>
      </c>
      <c r="P807" s="258">
        <v>-5.4539548066734653</v>
      </c>
      <c r="Q807" s="258">
        <f t="shared" si="51"/>
        <v>35591.1312179206</v>
      </c>
      <c r="R807" s="259">
        <f t="shared" si="52"/>
        <v>0.5249661669088691</v>
      </c>
      <c r="S807" s="255">
        <f t="shared" si="49"/>
        <v>2.4300000000000002</v>
      </c>
      <c r="T807" s="255">
        <f t="shared" si="49"/>
        <v>2.4300000000000002</v>
      </c>
      <c r="U807" s="254">
        <v>100100</v>
      </c>
      <c r="V807" s="254" t="s">
        <v>834</v>
      </c>
      <c r="W807" s="254" t="s">
        <v>861</v>
      </c>
      <c r="X807" s="254" t="s">
        <v>446</v>
      </c>
      <c r="Y807" s="254" t="s">
        <v>843</v>
      </c>
      <c r="Z807" s="254" t="s">
        <v>1125</v>
      </c>
      <c r="AA807" s="254" t="s">
        <v>838</v>
      </c>
    </row>
    <row r="808" spans="1:27" ht="14.4" x14ac:dyDescent="0.3">
      <c r="A808" s="253">
        <v>11</v>
      </c>
      <c r="B808" s="254" t="s">
        <v>850</v>
      </c>
      <c r="C808" s="254">
        <v>33</v>
      </c>
      <c r="D808" s="254" t="s">
        <v>885</v>
      </c>
      <c r="E808" s="254" t="str">
        <f>_xlfn.XLOOKUP(C808,Clientes!I:I,Clientes!F:F)</f>
        <v>GRUPO HERINGER</v>
      </c>
      <c r="F808" s="254">
        <v>7384</v>
      </c>
      <c r="G808" s="254" t="s">
        <v>862</v>
      </c>
      <c r="H808" s="254" t="s">
        <v>856</v>
      </c>
      <c r="I808" s="255">
        <v>15000</v>
      </c>
      <c r="J808" s="256">
        <v>15000</v>
      </c>
      <c r="K808" s="258">
        <v>49200</v>
      </c>
      <c r="L808" s="258">
        <v>-5904</v>
      </c>
      <c r="M808" s="258">
        <f t="shared" si="50"/>
        <v>43296</v>
      </c>
      <c r="N808" s="258">
        <v>-10316.017692307691</v>
      </c>
      <c r="O808" s="258">
        <v>-10935.990696618001</v>
      </c>
      <c r="P808" s="258">
        <v>-4.9782687158523942</v>
      </c>
      <c r="Q808" s="258">
        <f t="shared" si="51"/>
        <v>22039.013342358456</v>
      </c>
      <c r="R808" s="259">
        <f t="shared" si="52"/>
        <v>0.50903116552010474</v>
      </c>
      <c r="S808" s="255">
        <f t="shared" si="49"/>
        <v>3.28</v>
      </c>
      <c r="T808" s="255">
        <f t="shared" si="49"/>
        <v>3.28</v>
      </c>
      <c r="U808" s="254">
        <v>100100</v>
      </c>
      <c r="V808" s="254" t="s">
        <v>834</v>
      </c>
      <c r="W808" s="254" t="s">
        <v>864</v>
      </c>
      <c r="X808" s="254" t="s">
        <v>446</v>
      </c>
      <c r="Y808" s="254" t="s">
        <v>843</v>
      </c>
      <c r="Z808" s="254" t="s">
        <v>1125</v>
      </c>
      <c r="AA808" s="254" t="s">
        <v>838</v>
      </c>
    </row>
    <row r="809" spans="1:27" ht="14.4" x14ac:dyDescent="0.3">
      <c r="A809" s="253">
        <v>11</v>
      </c>
      <c r="B809" s="254" t="s">
        <v>850</v>
      </c>
      <c r="C809" s="254">
        <v>16099</v>
      </c>
      <c r="D809" s="254" t="s">
        <v>1118</v>
      </c>
      <c r="E809" s="254" t="str">
        <f>_xlfn.XLOOKUP(C809,Clientes!I:I,Clientes!F:F)</f>
        <v>GRUPO MOSAIC FERTILIZANTES DO BRASIL</v>
      </c>
      <c r="F809" s="254">
        <v>1043</v>
      </c>
      <c r="G809" s="254" t="s">
        <v>974</v>
      </c>
      <c r="H809" s="254" t="s">
        <v>860</v>
      </c>
      <c r="I809" s="255">
        <v>30000</v>
      </c>
      <c r="J809" s="256">
        <v>30000</v>
      </c>
      <c r="K809" s="258">
        <v>65700</v>
      </c>
      <c r="L809" s="258">
        <v>-4599</v>
      </c>
      <c r="M809" s="258">
        <f t="shared" si="50"/>
        <v>61101</v>
      </c>
      <c r="N809" s="258">
        <v>-11712.512559241706</v>
      </c>
      <c r="O809" s="258">
        <v>0</v>
      </c>
      <c r="P809" s="258">
        <v>0</v>
      </c>
      <c r="Q809" s="258">
        <f t="shared" si="51"/>
        <v>49388.487440758297</v>
      </c>
      <c r="R809" s="259">
        <f t="shared" si="52"/>
        <v>0.80830898742669188</v>
      </c>
      <c r="S809" s="255">
        <f t="shared" si="49"/>
        <v>2.19</v>
      </c>
      <c r="T809" s="255">
        <f t="shared" si="49"/>
        <v>2.19</v>
      </c>
      <c r="U809" s="254">
        <v>100100</v>
      </c>
      <c r="V809" s="254" t="s">
        <v>834</v>
      </c>
      <c r="W809" s="254" t="s">
        <v>1119</v>
      </c>
      <c r="X809" s="254" t="s">
        <v>446</v>
      </c>
      <c r="Y809" s="254" t="s">
        <v>843</v>
      </c>
      <c r="Z809" s="254" t="s">
        <v>1125</v>
      </c>
      <c r="AA809" s="254" t="s">
        <v>838</v>
      </c>
    </row>
    <row r="810" spans="1:27" ht="14.4" x14ac:dyDescent="0.3">
      <c r="A810" s="253">
        <v>11</v>
      </c>
      <c r="B810" s="254" t="s">
        <v>850</v>
      </c>
      <c r="C810" s="254">
        <v>6477</v>
      </c>
      <c r="D810" s="254" t="s">
        <v>87</v>
      </c>
      <c r="E810" s="254" t="str">
        <f>_xlfn.XLOOKUP(C810,Clientes!I:I,Clientes!F:F)</f>
        <v>GRUPO MOSAIC FERTILIZANTES DO BRASIL</v>
      </c>
      <c r="F810" s="254">
        <v>1043</v>
      </c>
      <c r="G810" s="254" t="s">
        <v>862</v>
      </c>
      <c r="H810" s="254" t="s">
        <v>860</v>
      </c>
      <c r="I810" s="255">
        <v>75000</v>
      </c>
      <c r="J810" s="256">
        <v>75000</v>
      </c>
      <c r="K810" s="258">
        <v>164250</v>
      </c>
      <c r="L810" s="258">
        <v>-19710</v>
      </c>
      <c r="M810" s="258">
        <f t="shared" si="50"/>
        <v>144540</v>
      </c>
      <c r="N810" s="258">
        <v>-29281.281398104267</v>
      </c>
      <c r="O810" s="258">
        <v>-35124.01425</v>
      </c>
      <c r="P810" s="258">
        <v>-15.989112113089476</v>
      </c>
      <c r="Q810" s="258">
        <f t="shared" si="51"/>
        <v>80118.715239782628</v>
      </c>
      <c r="R810" s="259">
        <f t="shared" si="52"/>
        <v>0.5543013369294495</v>
      </c>
      <c r="S810" s="255">
        <f t="shared" si="49"/>
        <v>2.19</v>
      </c>
      <c r="T810" s="255">
        <f t="shared" si="49"/>
        <v>2.19</v>
      </c>
      <c r="U810" s="254">
        <v>100100</v>
      </c>
      <c r="V810" s="254" t="s">
        <v>834</v>
      </c>
      <c r="W810" s="254" t="s">
        <v>864</v>
      </c>
      <c r="X810" s="254" t="s">
        <v>446</v>
      </c>
      <c r="Y810" s="254" t="s">
        <v>843</v>
      </c>
      <c r="Z810" s="254" t="s">
        <v>1125</v>
      </c>
      <c r="AA810" s="254" t="s">
        <v>838</v>
      </c>
    </row>
    <row r="811" spans="1:27" ht="14.4" x14ac:dyDescent="0.3">
      <c r="A811" s="253">
        <v>11</v>
      </c>
      <c r="B811" s="254" t="s">
        <v>850</v>
      </c>
      <c r="C811" s="254">
        <v>7024</v>
      </c>
      <c r="D811" s="254" t="s">
        <v>721</v>
      </c>
      <c r="E811" s="254" t="str">
        <f>_xlfn.XLOOKUP(C811,Clientes!I:I,Clientes!F:F)</f>
        <v>GRUPO MOSAIC FERTILIZANTES DO BRASIL</v>
      </c>
      <c r="F811" s="254">
        <v>1043</v>
      </c>
      <c r="G811" s="254" t="s">
        <v>840</v>
      </c>
      <c r="H811" s="254" t="s">
        <v>860</v>
      </c>
      <c r="I811" s="255">
        <v>30000</v>
      </c>
      <c r="J811" s="256">
        <v>30000</v>
      </c>
      <c r="K811" s="258">
        <v>68400</v>
      </c>
      <c r="L811" s="258">
        <v>-4788.0000000000009</v>
      </c>
      <c r="M811" s="258">
        <f t="shared" si="50"/>
        <v>63612</v>
      </c>
      <c r="N811" s="258">
        <v>-11712.512559241706</v>
      </c>
      <c r="O811" s="258">
        <v>-21002.580299999998</v>
      </c>
      <c r="P811" s="258">
        <v>-9.5607696970702705</v>
      </c>
      <c r="Q811" s="258">
        <f t="shared" si="51"/>
        <v>30887.34637106123</v>
      </c>
      <c r="R811" s="259">
        <f t="shared" si="52"/>
        <v>0.48555848536535923</v>
      </c>
      <c r="S811" s="255">
        <f t="shared" si="49"/>
        <v>2.2799999999999998</v>
      </c>
      <c r="T811" s="255">
        <f t="shared" si="49"/>
        <v>2.2799999999999998</v>
      </c>
      <c r="U811" s="254">
        <v>100100</v>
      </c>
      <c r="V811" s="254" t="s">
        <v>834</v>
      </c>
      <c r="W811" s="254" t="s">
        <v>874</v>
      </c>
      <c r="X811" s="254" t="s">
        <v>446</v>
      </c>
      <c r="Y811" s="254" t="s">
        <v>843</v>
      </c>
      <c r="Z811" s="254" t="s">
        <v>1125</v>
      </c>
      <c r="AA811" s="254" t="s">
        <v>838</v>
      </c>
    </row>
    <row r="812" spans="1:27" ht="14.4" x14ac:dyDescent="0.3">
      <c r="A812" s="253">
        <v>11</v>
      </c>
      <c r="B812" s="254" t="s">
        <v>850</v>
      </c>
      <c r="C812" s="254">
        <v>2809</v>
      </c>
      <c r="D812" s="254" t="s">
        <v>159</v>
      </c>
      <c r="E812" s="254" t="str">
        <f>_xlfn.XLOOKUP(C812,Clientes!I:I,Clientes!F:F)</f>
        <v>CISBRA QUIMICA - FORMOSA</v>
      </c>
      <c r="F812" s="254">
        <v>1043</v>
      </c>
      <c r="G812" s="254" t="s">
        <v>867</v>
      </c>
      <c r="H812" s="254" t="s">
        <v>860</v>
      </c>
      <c r="I812" s="255">
        <v>30000</v>
      </c>
      <c r="J812" s="256">
        <v>30000</v>
      </c>
      <c r="K812" s="258">
        <v>55500</v>
      </c>
      <c r="L812" s="258">
        <v>-3885.0000000000005</v>
      </c>
      <c r="M812" s="258">
        <f t="shared" si="50"/>
        <v>51615</v>
      </c>
      <c r="N812" s="258">
        <v>-11712.512559241706</v>
      </c>
      <c r="O812" s="258">
        <v>-7786.1822999999995</v>
      </c>
      <c r="P812" s="258">
        <v>-3.5444166729220838</v>
      </c>
      <c r="Q812" s="258">
        <f t="shared" si="51"/>
        <v>32112.760724085376</v>
      </c>
      <c r="R812" s="259">
        <f t="shared" si="52"/>
        <v>0.62215946380093723</v>
      </c>
      <c r="S812" s="255">
        <f t="shared" si="49"/>
        <v>1.85</v>
      </c>
      <c r="T812" s="255">
        <f t="shared" si="49"/>
        <v>1.85</v>
      </c>
      <c r="U812" s="254">
        <v>100100</v>
      </c>
      <c r="V812" s="254" t="s">
        <v>834</v>
      </c>
      <c r="W812" s="254" t="s">
        <v>886</v>
      </c>
      <c r="X812" s="254" t="s">
        <v>446</v>
      </c>
      <c r="Y812" s="254" t="s">
        <v>843</v>
      </c>
      <c r="Z812" s="254" t="s">
        <v>1125</v>
      </c>
      <c r="AA812" s="254" t="s">
        <v>838</v>
      </c>
    </row>
    <row r="813" spans="1:27" ht="14.4" x14ac:dyDescent="0.3">
      <c r="A813" s="253">
        <v>11</v>
      </c>
      <c r="B813" s="254" t="s">
        <v>850</v>
      </c>
      <c r="C813" s="254">
        <v>14632</v>
      </c>
      <c r="D813" s="254" t="s">
        <v>399</v>
      </c>
      <c r="E813" s="254" t="str">
        <f>_xlfn.XLOOKUP(C813,Clientes!I:I,Clientes!F:F)</f>
        <v>BIGFERTIL - CANDEIAS</v>
      </c>
      <c r="F813" s="254">
        <v>1043</v>
      </c>
      <c r="G813" s="254" t="s">
        <v>875</v>
      </c>
      <c r="H813" s="254" t="s">
        <v>860</v>
      </c>
      <c r="I813" s="255">
        <v>30000</v>
      </c>
      <c r="J813" s="256">
        <v>30000</v>
      </c>
      <c r="K813" s="258">
        <v>96900</v>
      </c>
      <c r="L813" s="258">
        <v>-6783.0000000000009</v>
      </c>
      <c r="M813" s="258">
        <f t="shared" si="50"/>
        <v>90117</v>
      </c>
      <c r="N813" s="258">
        <v>-11712.512559241706</v>
      </c>
      <c r="O813" s="258">
        <v>-21548.474999999999</v>
      </c>
      <c r="P813" s="258">
        <v>-9.8092712350242159</v>
      </c>
      <c r="Q813" s="258">
        <f t="shared" si="51"/>
        <v>56846.203169523273</v>
      </c>
      <c r="R813" s="259">
        <f t="shared" si="52"/>
        <v>0.63080443389730323</v>
      </c>
      <c r="S813" s="255">
        <f t="shared" si="49"/>
        <v>3.23</v>
      </c>
      <c r="T813" s="255">
        <f t="shared" si="49"/>
        <v>3.23</v>
      </c>
      <c r="U813" s="254">
        <v>100100</v>
      </c>
      <c r="V813" s="254" t="s">
        <v>834</v>
      </c>
      <c r="W813" s="254" t="s">
        <v>876</v>
      </c>
      <c r="X813" s="254" t="s">
        <v>446</v>
      </c>
      <c r="Y813" s="254" t="s">
        <v>843</v>
      </c>
      <c r="Z813" s="254" t="s">
        <v>1125</v>
      </c>
      <c r="AA813" s="254" t="s">
        <v>838</v>
      </c>
    </row>
    <row r="814" spans="1:27" ht="14.4" x14ac:dyDescent="0.3">
      <c r="A814" s="253">
        <v>11</v>
      </c>
      <c r="B814" s="254" t="s">
        <v>850</v>
      </c>
      <c r="C814" s="254">
        <v>2975</v>
      </c>
      <c r="D814" s="254" t="s">
        <v>420</v>
      </c>
      <c r="E814" s="254" t="str">
        <f>_xlfn.XLOOKUP(C814,Clientes!I:I,Clientes!F:F)</f>
        <v>COONAGRO COOPERATIVA - PARANAGUA</v>
      </c>
      <c r="F814" s="254">
        <v>4</v>
      </c>
      <c r="G814" s="254" t="s">
        <v>862</v>
      </c>
      <c r="H814" s="254" t="s">
        <v>863</v>
      </c>
      <c r="I814" s="255">
        <v>65000</v>
      </c>
      <c r="J814" s="256">
        <v>65000</v>
      </c>
      <c r="K814" s="258">
        <v>259350</v>
      </c>
      <c r="L814" s="258">
        <v>-31122</v>
      </c>
      <c r="M814" s="258">
        <f t="shared" si="50"/>
        <v>228228</v>
      </c>
      <c r="N814" s="258">
        <v>-63618.749999999993</v>
      </c>
      <c r="O814" s="258">
        <v>-30440.812349999997</v>
      </c>
      <c r="P814" s="258">
        <v>-13.857230498010876</v>
      </c>
      <c r="Q814" s="258">
        <f t="shared" si="51"/>
        <v>134154.58041950199</v>
      </c>
      <c r="R814" s="259">
        <f t="shared" si="52"/>
        <v>0.58780947306860676</v>
      </c>
      <c r="S814" s="255">
        <f t="shared" si="49"/>
        <v>3.99</v>
      </c>
      <c r="T814" s="255">
        <f t="shared" si="49"/>
        <v>3.99</v>
      </c>
      <c r="U814" s="254">
        <v>100100</v>
      </c>
      <c r="V814" s="254" t="s">
        <v>834</v>
      </c>
      <c r="W814" s="254" t="s">
        <v>864</v>
      </c>
      <c r="X814" s="254" t="s">
        <v>446</v>
      </c>
      <c r="Y814" s="254" t="s">
        <v>843</v>
      </c>
      <c r="Z814" s="254" t="s">
        <v>1125</v>
      </c>
      <c r="AA814" s="254" t="s">
        <v>838</v>
      </c>
    </row>
    <row r="815" spans="1:27" ht="14.4" x14ac:dyDescent="0.3">
      <c r="A815" s="253">
        <v>11</v>
      </c>
      <c r="B815" s="254" t="s">
        <v>850</v>
      </c>
      <c r="C815" s="254">
        <v>7479</v>
      </c>
      <c r="D815" s="254" t="s">
        <v>1017</v>
      </c>
      <c r="E815" s="254" t="str">
        <f>_xlfn.XLOOKUP(C815,Clientes!I:I,Clientes!F:F)</f>
        <v>GRUPO MOSAIC FERTILIZANTES DO BRASIL</v>
      </c>
      <c r="F815" s="254">
        <v>1043</v>
      </c>
      <c r="G815" s="254" t="s">
        <v>908</v>
      </c>
      <c r="H815" s="254" t="s">
        <v>860</v>
      </c>
      <c r="I815" s="255">
        <v>30000</v>
      </c>
      <c r="J815" s="256">
        <v>30000</v>
      </c>
      <c r="K815" s="258">
        <v>64800</v>
      </c>
      <c r="L815" s="258">
        <v>-7776</v>
      </c>
      <c r="M815" s="258">
        <f t="shared" si="50"/>
        <v>57024</v>
      </c>
      <c r="N815" s="258">
        <v>-11712.512559241706</v>
      </c>
      <c r="O815" s="258">
        <v>0</v>
      </c>
      <c r="P815" s="258">
        <v>0</v>
      </c>
      <c r="Q815" s="258">
        <f t="shared" si="51"/>
        <v>45311.487440758297</v>
      </c>
      <c r="R815" s="259">
        <f t="shared" si="52"/>
        <v>0.79460380613002068</v>
      </c>
      <c r="S815" s="255">
        <f t="shared" si="49"/>
        <v>2.16</v>
      </c>
      <c r="T815" s="255">
        <f t="shared" si="49"/>
        <v>2.16</v>
      </c>
      <c r="U815" s="254">
        <v>100100</v>
      </c>
      <c r="V815" s="254" t="s">
        <v>834</v>
      </c>
      <c r="W815" s="254" t="s">
        <v>1018</v>
      </c>
      <c r="X815" s="254" t="s">
        <v>446</v>
      </c>
      <c r="Y815" s="254" t="s">
        <v>843</v>
      </c>
      <c r="Z815" s="254" t="s">
        <v>1125</v>
      </c>
      <c r="AA815" s="254" t="s">
        <v>838</v>
      </c>
    </row>
    <row r="816" spans="1:27" ht="14.4" x14ac:dyDescent="0.3">
      <c r="A816" s="253">
        <v>11</v>
      </c>
      <c r="B816" s="254" t="s">
        <v>850</v>
      </c>
      <c r="C816" s="254">
        <v>6370</v>
      </c>
      <c r="D816" s="254" t="s">
        <v>264</v>
      </c>
      <c r="E816" s="254" t="str">
        <f>_xlfn.XLOOKUP(C816,Clientes!I:I,Clientes!F:F)</f>
        <v>YTL S.A. - PARAGUAI</v>
      </c>
      <c r="F816" s="254">
        <v>4067</v>
      </c>
      <c r="G816" s="254" t="s">
        <v>832</v>
      </c>
      <c r="H816" s="254" t="s">
        <v>881</v>
      </c>
      <c r="I816" s="255">
        <v>60000</v>
      </c>
      <c r="J816" s="256">
        <v>60000</v>
      </c>
      <c r="K816" s="258">
        <v>308400</v>
      </c>
      <c r="L816" s="258">
        <v>0</v>
      </c>
      <c r="M816" s="258">
        <f t="shared" si="50"/>
        <v>308400</v>
      </c>
      <c r="N816" s="258">
        <v>-92053.914450206998</v>
      </c>
      <c r="O816" s="258">
        <v>-60943.4496</v>
      </c>
      <c r="P816" s="258">
        <v>-4627.0136302401515</v>
      </c>
      <c r="Q816" s="258">
        <f t="shared" si="51"/>
        <v>150775.62231955287</v>
      </c>
      <c r="R816" s="259">
        <f t="shared" si="52"/>
        <v>0.48889631102319347</v>
      </c>
      <c r="S816" s="255">
        <f t="shared" si="49"/>
        <v>5.14</v>
      </c>
      <c r="T816" s="255">
        <f t="shared" si="49"/>
        <v>5.14</v>
      </c>
      <c r="U816" s="254">
        <v>100100</v>
      </c>
      <c r="V816" s="254" t="s">
        <v>834</v>
      </c>
      <c r="W816" s="254" t="s">
        <v>896</v>
      </c>
      <c r="X816" s="254" t="s">
        <v>446</v>
      </c>
      <c r="Y816" s="254" t="s">
        <v>836</v>
      </c>
      <c r="Z816" s="254" t="s">
        <v>1125</v>
      </c>
      <c r="AA816" s="254" t="s">
        <v>838</v>
      </c>
    </row>
    <row r="817" spans="1:27" ht="14.4" x14ac:dyDescent="0.3">
      <c r="A817" s="253">
        <v>11</v>
      </c>
      <c r="B817" s="254" t="s">
        <v>850</v>
      </c>
      <c r="C817" s="254">
        <v>5657</v>
      </c>
      <c r="D817" s="254" t="s">
        <v>84</v>
      </c>
      <c r="E817" s="254" t="str">
        <f>_xlfn.XLOOKUP(C817,Clientes!I:I,Clientes!F:F)</f>
        <v>FERTIPLANTA - VARGEM GRANDE DO SUL</v>
      </c>
      <c r="F817" s="254">
        <v>14133</v>
      </c>
      <c r="G817" s="254" t="s">
        <v>908</v>
      </c>
      <c r="H817" s="254" t="s">
        <v>841</v>
      </c>
      <c r="I817" s="255">
        <v>6000</v>
      </c>
      <c r="J817" s="256">
        <v>6000</v>
      </c>
      <c r="K817" s="258">
        <v>20760</v>
      </c>
      <c r="L817" s="258">
        <v>-2491.1999999999998</v>
      </c>
      <c r="M817" s="258">
        <f t="shared" si="50"/>
        <v>18268.8</v>
      </c>
      <c r="N817" s="258">
        <v>-7070.2276500000025</v>
      </c>
      <c r="O817" s="258">
        <v>-3086.7121958399998</v>
      </c>
      <c r="P817" s="258">
        <v>-1.4051294652383404</v>
      </c>
      <c r="Q817" s="258">
        <f t="shared" si="51"/>
        <v>8110.4550246947583</v>
      </c>
      <c r="R817" s="259">
        <f t="shared" si="52"/>
        <v>0.44395116398968509</v>
      </c>
      <c r="S817" s="255">
        <f t="shared" si="49"/>
        <v>3.46</v>
      </c>
      <c r="T817" s="255">
        <f t="shared" si="49"/>
        <v>3.46</v>
      </c>
      <c r="U817" s="254">
        <v>100100</v>
      </c>
      <c r="V817" s="254" t="s">
        <v>834</v>
      </c>
      <c r="W817" s="254" t="s">
        <v>1067</v>
      </c>
      <c r="X817" s="254" t="s">
        <v>446</v>
      </c>
      <c r="Y817" s="254" t="s">
        <v>843</v>
      </c>
      <c r="Z817" s="254" t="s">
        <v>1125</v>
      </c>
      <c r="AA817" s="254" t="s">
        <v>838</v>
      </c>
    </row>
    <row r="818" spans="1:27" ht="14.4" x14ac:dyDescent="0.3">
      <c r="A818" s="253">
        <v>11</v>
      </c>
      <c r="B818" s="254" t="s">
        <v>850</v>
      </c>
      <c r="C818" s="254">
        <v>13329</v>
      </c>
      <c r="D818" s="254" t="s">
        <v>346</v>
      </c>
      <c r="E818" s="254" t="str">
        <f>_xlfn.XLOOKUP(C818,Clientes!I:I,Clientes!F:F)</f>
        <v>CARGILL PARAGUAI</v>
      </c>
      <c r="F818" s="254">
        <v>4067</v>
      </c>
      <c r="G818" s="254" t="s">
        <v>832</v>
      </c>
      <c r="H818" s="254" t="s">
        <v>881</v>
      </c>
      <c r="I818" s="255">
        <v>30000</v>
      </c>
      <c r="J818" s="256">
        <v>30000</v>
      </c>
      <c r="K818" s="258">
        <v>154230</v>
      </c>
      <c r="L818" s="258">
        <v>0</v>
      </c>
      <c r="M818" s="258">
        <f t="shared" si="50"/>
        <v>154230</v>
      </c>
      <c r="N818" s="258">
        <v>-46026.957225103499</v>
      </c>
      <c r="O818" s="258">
        <v>-21107.24352</v>
      </c>
      <c r="P818" s="258">
        <v>-2309.2439270571931</v>
      </c>
      <c r="Q818" s="258">
        <f t="shared" si="51"/>
        <v>84786.555327839305</v>
      </c>
      <c r="R818" s="259">
        <f t="shared" si="52"/>
        <v>0.54974100582143104</v>
      </c>
      <c r="S818" s="255">
        <f t="shared" si="49"/>
        <v>5.141</v>
      </c>
      <c r="T818" s="255">
        <f t="shared" si="49"/>
        <v>5.141</v>
      </c>
      <c r="U818" s="254">
        <v>100100</v>
      </c>
      <c r="V818" s="254" t="s">
        <v>834</v>
      </c>
      <c r="W818" s="254" t="s">
        <v>1102</v>
      </c>
      <c r="X818" s="254" t="s">
        <v>446</v>
      </c>
      <c r="Y818" s="254" t="s">
        <v>836</v>
      </c>
      <c r="Z818" s="254" t="s">
        <v>1125</v>
      </c>
      <c r="AA818" s="254" t="s">
        <v>838</v>
      </c>
    </row>
    <row r="819" spans="1:27" ht="14.4" x14ac:dyDescent="0.3">
      <c r="A819" s="253">
        <v>11</v>
      </c>
      <c r="B819" s="254" t="s">
        <v>850</v>
      </c>
      <c r="C819" s="254">
        <v>16453</v>
      </c>
      <c r="D819" s="254" t="s">
        <v>1114</v>
      </c>
      <c r="E819" s="254" t="str">
        <f>_xlfn.XLOOKUP(C819,Clientes!I:I,Clientes!F:F)</f>
        <v>HIDROVIAS DO BRASIL ADMINISTRACAO PORTUA</v>
      </c>
      <c r="F819" s="254">
        <v>1043</v>
      </c>
      <c r="G819" s="254" t="s">
        <v>908</v>
      </c>
      <c r="H819" s="254" t="s">
        <v>860</v>
      </c>
      <c r="I819" s="255">
        <v>60000</v>
      </c>
      <c r="J819" s="256">
        <v>60000</v>
      </c>
      <c r="K819" s="258">
        <v>141600</v>
      </c>
      <c r="L819" s="258">
        <v>-16992</v>
      </c>
      <c r="M819" s="258">
        <f t="shared" si="50"/>
        <v>124608</v>
      </c>
      <c r="N819" s="258">
        <v>-23425.025118483412</v>
      </c>
      <c r="O819" s="258">
        <v>0</v>
      </c>
      <c r="P819" s="258">
        <v>0</v>
      </c>
      <c r="Q819" s="258">
        <f t="shared" si="51"/>
        <v>101182.97488151659</v>
      </c>
      <c r="R819" s="259">
        <f t="shared" si="52"/>
        <v>0.81201026323764602</v>
      </c>
      <c r="S819" s="255">
        <f t="shared" si="49"/>
        <v>2.36</v>
      </c>
      <c r="T819" s="255">
        <f t="shared" si="49"/>
        <v>2.36</v>
      </c>
      <c r="U819" s="254">
        <v>100100</v>
      </c>
      <c r="V819" s="254" t="s">
        <v>834</v>
      </c>
      <c r="W819" s="254" t="s">
        <v>1115</v>
      </c>
      <c r="X819" s="254" t="s">
        <v>446</v>
      </c>
      <c r="Y819" s="254" t="s">
        <v>843</v>
      </c>
      <c r="Z819" s="254" t="s">
        <v>1125</v>
      </c>
      <c r="AA819" s="254" t="s">
        <v>838</v>
      </c>
    </row>
    <row r="820" spans="1:27" ht="14.4" x14ac:dyDescent="0.3">
      <c r="A820" s="253">
        <v>11</v>
      </c>
      <c r="B820" s="254" t="s">
        <v>850</v>
      </c>
      <c r="C820" s="254">
        <v>86</v>
      </c>
      <c r="D820" s="254" t="s">
        <v>31</v>
      </c>
      <c r="E820" s="254" t="str">
        <f>_xlfn.XLOOKUP(C820,Clientes!I:I,Clientes!F:F)</f>
        <v>GRUPO ADUBOS ARAGUAIA</v>
      </c>
      <c r="F820" s="254">
        <v>1</v>
      </c>
      <c r="G820" s="254" t="s">
        <v>867</v>
      </c>
      <c r="H820" s="254" t="s">
        <v>873</v>
      </c>
      <c r="I820" s="255">
        <v>30000</v>
      </c>
      <c r="J820" s="256">
        <v>30000</v>
      </c>
      <c r="K820" s="258">
        <v>63600</v>
      </c>
      <c r="L820" s="258">
        <v>-4452</v>
      </c>
      <c r="M820" s="258">
        <f t="shared" si="50"/>
        <v>59148</v>
      </c>
      <c r="N820" s="258">
        <v>-20219.462727272727</v>
      </c>
      <c r="O820" s="258">
        <v>-7470.1379999999999</v>
      </c>
      <c r="P820" s="258">
        <v>-3.4005473614750619</v>
      </c>
      <c r="Q820" s="258">
        <f t="shared" si="51"/>
        <v>31454.998725365804</v>
      </c>
      <c r="R820" s="259">
        <f t="shared" si="52"/>
        <v>0.53180156092117747</v>
      </c>
      <c r="S820" s="255">
        <f t="shared" si="49"/>
        <v>2.12</v>
      </c>
      <c r="T820" s="255">
        <f t="shared" si="49"/>
        <v>2.12</v>
      </c>
      <c r="U820" s="254">
        <v>100100</v>
      </c>
      <c r="V820" s="254" t="s">
        <v>834</v>
      </c>
      <c r="W820" s="254" t="s">
        <v>955</v>
      </c>
      <c r="X820" s="254" t="s">
        <v>446</v>
      </c>
      <c r="Y820" s="254" t="s">
        <v>843</v>
      </c>
      <c r="Z820" s="254" t="s">
        <v>1125</v>
      </c>
      <c r="AA820" s="254" t="s">
        <v>838</v>
      </c>
    </row>
    <row r="821" spans="1:27" ht="14.4" x14ac:dyDescent="0.3">
      <c r="A821" s="253">
        <v>11</v>
      </c>
      <c r="B821" s="254" t="s">
        <v>850</v>
      </c>
      <c r="C821" s="254">
        <v>11133</v>
      </c>
      <c r="D821" s="254" t="s">
        <v>895</v>
      </c>
      <c r="E821" s="254" t="str">
        <f>_xlfn.XLOOKUP(C821,Clientes!I:I,Clientes!F:F)</f>
        <v>GRUPO ADUBOS ARAGUAIA</v>
      </c>
      <c r="F821" s="254">
        <v>1</v>
      </c>
      <c r="G821" s="254" t="s">
        <v>862</v>
      </c>
      <c r="H821" s="254" t="s">
        <v>873</v>
      </c>
      <c r="I821" s="255">
        <v>45000</v>
      </c>
      <c r="J821" s="256">
        <v>45000</v>
      </c>
      <c r="K821" s="258">
        <v>115200</v>
      </c>
      <c r="L821" s="258">
        <v>-13824</v>
      </c>
      <c r="M821" s="258">
        <f t="shared" si="50"/>
        <v>101376</v>
      </c>
      <c r="N821" s="258">
        <v>-30329.194090909088</v>
      </c>
      <c r="O821" s="258">
        <v>-21074.40855</v>
      </c>
      <c r="P821" s="258">
        <v>-9.5934672678536845</v>
      </c>
      <c r="Q821" s="258">
        <f t="shared" si="51"/>
        <v>49962.803891823052</v>
      </c>
      <c r="R821" s="259">
        <f t="shared" si="52"/>
        <v>0.49284647147079241</v>
      </c>
      <c r="S821" s="255">
        <f t="shared" si="49"/>
        <v>2.56</v>
      </c>
      <c r="T821" s="255">
        <f t="shared" si="49"/>
        <v>2.56</v>
      </c>
      <c r="U821" s="254">
        <v>100100</v>
      </c>
      <c r="V821" s="254" t="s">
        <v>834</v>
      </c>
      <c r="W821" s="254" t="s">
        <v>864</v>
      </c>
      <c r="X821" s="254" t="s">
        <v>446</v>
      </c>
      <c r="Y821" s="254" t="s">
        <v>843</v>
      </c>
      <c r="Z821" s="254" t="s">
        <v>1125</v>
      </c>
      <c r="AA821" s="254" t="s">
        <v>838</v>
      </c>
    </row>
    <row r="822" spans="1:27" ht="14.4" x14ac:dyDescent="0.3">
      <c r="A822" s="253">
        <v>11</v>
      </c>
      <c r="B822" s="254" t="s">
        <v>850</v>
      </c>
      <c r="C822" s="254">
        <v>11133</v>
      </c>
      <c r="D822" s="254" t="s">
        <v>895</v>
      </c>
      <c r="E822" s="254" t="str">
        <f>_xlfn.XLOOKUP(C822,Clientes!I:I,Clientes!F:F)</f>
        <v>GRUPO ADUBOS ARAGUAIA</v>
      </c>
      <c r="F822" s="254">
        <v>14133</v>
      </c>
      <c r="G822" s="254" t="s">
        <v>862</v>
      </c>
      <c r="H822" s="254" t="s">
        <v>841</v>
      </c>
      <c r="I822" s="255">
        <v>13200</v>
      </c>
      <c r="J822" s="256">
        <v>13200</v>
      </c>
      <c r="K822" s="258">
        <v>38280</v>
      </c>
      <c r="L822" s="258">
        <v>-4593.5999999999995</v>
      </c>
      <c r="M822" s="258">
        <f t="shared" si="50"/>
        <v>33686.400000000001</v>
      </c>
      <c r="N822" s="258">
        <v>-15554.500830000006</v>
      </c>
      <c r="O822" s="258">
        <v>-9623.6718130238405</v>
      </c>
      <c r="P822" s="258">
        <v>-4.380876469950107</v>
      </c>
      <c r="Q822" s="258">
        <f t="shared" si="51"/>
        <v>8503.8464805062067</v>
      </c>
      <c r="R822" s="259">
        <f t="shared" si="52"/>
        <v>0.25244153369033812</v>
      </c>
      <c r="S822" s="255">
        <f t="shared" si="49"/>
        <v>2.9</v>
      </c>
      <c r="T822" s="255">
        <f t="shared" si="49"/>
        <v>2.9</v>
      </c>
      <c r="U822" s="254">
        <v>100100</v>
      </c>
      <c r="V822" s="254" t="s">
        <v>834</v>
      </c>
      <c r="W822" s="254" t="s">
        <v>864</v>
      </c>
      <c r="X822" s="254" t="s">
        <v>446</v>
      </c>
      <c r="Y822" s="254" t="s">
        <v>843</v>
      </c>
      <c r="Z822" s="254" t="s">
        <v>1125</v>
      </c>
      <c r="AA822" s="254" t="s">
        <v>838</v>
      </c>
    </row>
    <row r="823" spans="1:27" ht="14.4" x14ac:dyDescent="0.3">
      <c r="A823" s="253">
        <v>11</v>
      </c>
      <c r="B823" s="254" t="s">
        <v>850</v>
      </c>
      <c r="C823" s="254">
        <v>3232</v>
      </c>
      <c r="D823" s="254" t="s">
        <v>153</v>
      </c>
      <c r="E823" s="254" t="str">
        <f>_xlfn.XLOOKUP(C823,Clientes!I:I,Clientes!F:F)</f>
        <v>GRUPO FERTILIZ TOCANTINS</v>
      </c>
      <c r="F823" s="254">
        <v>7384</v>
      </c>
      <c r="G823" s="254" t="s">
        <v>855</v>
      </c>
      <c r="H823" s="254" t="s">
        <v>856</v>
      </c>
      <c r="I823" s="255">
        <v>180000</v>
      </c>
      <c r="J823" s="256">
        <v>180000</v>
      </c>
      <c r="K823" s="258">
        <v>336600</v>
      </c>
      <c r="L823" s="258">
        <v>-60588</v>
      </c>
      <c r="M823" s="258">
        <f t="shared" si="50"/>
        <v>276012</v>
      </c>
      <c r="N823" s="258">
        <v>-123792.2123076923</v>
      </c>
      <c r="O823" s="258">
        <v>-10343.268</v>
      </c>
      <c r="P823" s="258">
        <v>-4.7084501928116245</v>
      </c>
      <c r="Q823" s="258">
        <f t="shared" si="51"/>
        <v>141871.81124211487</v>
      </c>
      <c r="R823" s="259">
        <f t="shared" si="52"/>
        <v>0.5140059535169299</v>
      </c>
      <c r="S823" s="255">
        <f t="shared" si="49"/>
        <v>1.87</v>
      </c>
      <c r="T823" s="255">
        <f t="shared" si="49"/>
        <v>1.87</v>
      </c>
      <c r="U823" s="254">
        <v>100100</v>
      </c>
      <c r="V823" s="254" t="s">
        <v>834</v>
      </c>
      <c r="W823" s="254" t="s">
        <v>857</v>
      </c>
      <c r="X823" s="254" t="s">
        <v>446</v>
      </c>
      <c r="Y823" s="254" t="s">
        <v>843</v>
      </c>
      <c r="Z823" s="254" t="s">
        <v>1125</v>
      </c>
      <c r="AA823" s="254" t="s">
        <v>838</v>
      </c>
    </row>
    <row r="824" spans="1:27" ht="14.4" x14ac:dyDescent="0.3">
      <c r="A824" s="253">
        <v>11</v>
      </c>
      <c r="B824" s="254" t="s">
        <v>850</v>
      </c>
      <c r="C824" s="254">
        <v>1874</v>
      </c>
      <c r="D824" s="254" t="s">
        <v>210</v>
      </c>
      <c r="E824" s="254" t="str">
        <f>_xlfn.XLOOKUP(C824,Clientes!I:I,Clientes!F:F)</f>
        <v>GRUPO FERTILIZ TOCANTINS</v>
      </c>
      <c r="F824" s="254">
        <v>148</v>
      </c>
      <c r="G824" s="254" t="s">
        <v>926</v>
      </c>
      <c r="H824" s="254" t="s">
        <v>904</v>
      </c>
      <c r="I824" s="255">
        <v>60000</v>
      </c>
      <c r="J824" s="256">
        <v>60000</v>
      </c>
      <c r="K824" s="258">
        <v>168600</v>
      </c>
      <c r="L824" s="258">
        <v>-11802.000000000002</v>
      </c>
      <c r="M824" s="258">
        <f t="shared" si="50"/>
        <v>156798</v>
      </c>
      <c r="N824" s="258">
        <v>-40317.687931034488</v>
      </c>
      <c r="O824" s="258">
        <v>-53957.381399999998</v>
      </c>
      <c r="P824" s="258">
        <v>-24.562415172500639</v>
      </c>
      <c r="Q824" s="258">
        <f t="shared" si="51"/>
        <v>62498.368253793022</v>
      </c>
      <c r="R824" s="259">
        <f t="shared" si="52"/>
        <v>0.39859161630756146</v>
      </c>
      <c r="S824" s="255">
        <f t="shared" si="49"/>
        <v>2.81</v>
      </c>
      <c r="T824" s="255">
        <f t="shared" si="49"/>
        <v>2.81</v>
      </c>
      <c r="U824" s="254">
        <v>100100</v>
      </c>
      <c r="V824" s="254" t="s">
        <v>834</v>
      </c>
      <c r="W824" s="254" t="s">
        <v>928</v>
      </c>
      <c r="X824" s="254" t="s">
        <v>446</v>
      </c>
      <c r="Y824" s="254" t="s">
        <v>843</v>
      </c>
      <c r="Z824" s="254" t="s">
        <v>1125</v>
      </c>
      <c r="AA824" s="254" t="s">
        <v>838</v>
      </c>
    </row>
    <row r="825" spans="1:27" ht="14.4" x14ac:dyDescent="0.3">
      <c r="A825" s="253">
        <v>11</v>
      </c>
      <c r="B825" s="254" t="s">
        <v>850</v>
      </c>
      <c r="C825" s="254">
        <v>812</v>
      </c>
      <c r="D825" s="254" t="s">
        <v>151</v>
      </c>
      <c r="E825" s="254" t="str">
        <f>_xlfn.XLOOKUP(C825,Clientes!I:I,Clientes!F:F)</f>
        <v>GRUPO FERTIPAR SUDESTE</v>
      </c>
      <c r="F825" s="254">
        <v>1042</v>
      </c>
      <c r="G825" s="254" t="s">
        <v>855</v>
      </c>
      <c r="H825" s="254" t="s">
        <v>909</v>
      </c>
      <c r="I825" s="255">
        <v>30000</v>
      </c>
      <c r="J825" s="256">
        <v>30000</v>
      </c>
      <c r="K825" s="258">
        <v>51000</v>
      </c>
      <c r="L825" s="258">
        <v>-9180</v>
      </c>
      <c r="M825" s="258">
        <f t="shared" si="50"/>
        <v>41820</v>
      </c>
      <c r="N825" s="258">
        <v>-16258.71111111111</v>
      </c>
      <c r="O825" s="258">
        <v>-6895.5119999999997</v>
      </c>
      <c r="P825" s="258">
        <v>-3.1389667952077493</v>
      </c>
      <c r="Q825" s="258">
        <f t="shared" si="51"/>
        <v>18662.637922093687</v>
      </c>
      <c r="R825" s="259">
        <f t="shared" si="52"/>
        <v>0.44626106939487536</v>
      </c>
      <c r="S825" s="255">
        <f t="shared" si="49"/>
        <v>1.7</v>
      </c>
      <c r="T825" s="255">
        <f t="shared" si="49"/>
        <v>1.7</v>
      </c>
      <c r="U825" s="254">
        <v>100100</v>
      </c>
      <c r="V825" s="254" t="s">
        <v>834</v>
      </c>
      <c r="W825" s="254" t="s">
        <v>1054</v>
      </c>
      <c r="X825" s="254" t="s">
        <v>446</v>
      </c>
      <c r="Y825" s="254" t="s">
        <v>843</v>
      </c>
      <c r="Z825" s="254" t="s">
        <v>1125</v>
      </c>
      <c r="AA825" s="254" t="s">
        <v>838</v>
      </c>
    </row>
    <row r="826" spans="1:27" ht="14.4" x14ac:dyDescent="0.3">
      <c r="A826" s="253">
        <v>11</v>
      </c>
      <c r="B826" s="254" t="s">
        <v>850</v>
      </c>
      <c r="C826" s="254">
        <v>7097</v>
      </c>
      <c r="D826" s="254" t="s">
        <v>1077</v>
      </c>
      <c r="E826" s="254" t="str">
        <f>_xlfn.XLOOKUP(C826,Clientes!I:I,Clientes!F:F)</f>
        <v>GRUPO MOSAIC FERTILIZANTES DO BRASIL</v>
      </c>
      <c r="F826" s="254">
        <v>14133</v>
      </c>
      <c r="G826" s="254" t="s">
        <v>893</v>
      </c>
      <c r="H826" s="254" t="s">
        <v>841</v>
      </c>
      <c r="I826" s="255">
        <v>26400</v>
      </c>
      <c r="J826" s="256">
        <v>26400</v>
      </c>
      <c r="K826" s="258">
        <v>71280</v>
      </c>
      <c r="L826" s="258">
        <v>-8553.6</v>
      </c>
      <c r="M826" s="258">
        <f t="shared" si="50"/>
        <v>62726.400000000001</v>
      </c>
      <c r="N826" s="258">
        <v>-31109.001660000013</v>
      </c>
      <c r="O826" s="258">
        <v>-14790.873239999999</v>
      </c>
      <c r="P826" s="258">
        <v>-6.7330837757206217</v>
      </c>
      <c r="Q826" s="258">
        <f t="shared" si="51"/>
        <v>16819.79201622427</v>
      </c>
      <c r="R826" s="259">
        <f t="shared" si="52"/>
        <v>0.26814534257066036</v>
      </c>
      <c r="S826" s="255">
        <f t="shared" si="49"/>
        <v>2.7</v>
      </c>
      <c r="T826" s="255">
        <f t="shared" si="49"/>
        <v>2.7</v>
      </c>
      <c r="U826" s="254">
        <v>100100</v>
      </c>
      <c r="V826" s="254" t="s">
        <v>834</v>
      </c>
      <c r="W826" s="254" t="s">
        <v>894</v>
      </c>
      <c r="X826" s="254" t="s">
        <v>446</v>
      </c>
      <c r="Y826" s="254" t="s">
        <v>843</v>
      </c>
      <c r="Z826" s="254" t="s">
        <v>1125</v>
      </c>
      <c r="AA826" s="254" t="s">
        <v>838</v>
      </c>
    </row>
    <row r="827" spans="1:27" ht="14.4" x14ac:dyDescent="0.3">
      <c r="A827" s="253">
        <v>11</v>
      </c>
      <c r="B827" s="254" t="s">
        <v>850</v>
      </c>
      <c r="C827" s="254">
        <v>2603</v>
      </c>
      <c r="D827" s="254" t="s">
        <v>1074</v>
      </c>
      <c r="E827" s="254" t="str">
        <f>_xlfn.XLOOKUP(C827,Clientes!I:I,Clientes!F:F)</f>
        <v>GRUPO MOSAIC FERTILIZANTES DO BRASIL</v>
      </c>
      <c r="F827" s="254">
        <v>1043</v>
      </c>
      <c r="G827" s="254" t="s">
        <v>897</v>
      </c>
      <c r="H827" s="254" t="s">
        <v>860</v>
      </c>
      <c r="I827" s="255">
        <v>90000</v>
      </c>
      <c r="J827" s="256">
        <v>90000</v>
      </c>
      <c r="K827" s="258">
        <v>221400</v>
      </c>
      <c r="L827" s="258">
        <v>-15498.000000000002</v>
      </c>
      <c r="M827" s="258">
        <f t="shared" si="50"/>
        <v>205902</v>
      </c>
      <c r="N827" s="258">
        <v>-35137.537677725122</v>
      </c>
      <c r="O827" s="258">
        <v>0</v>
      </c>
      <c r="P827" s="258">
        <v>0</v>
      </c>
      <c r="Q827" s="258">
        <f t="shared" si="51"/>
        <v>170764.46232227486</v>
      </c>
      <c r="R827" s="259">
        <f t="shared" si="52"/>
        <v>0.82934824490424985</v>
      </c>
      <c r="S827" s="255">
        <f t="shared" si="49"/>
        <v>2.46</v>
      </c>
      <c r="T827" s="255">
        <f t="shared" si="49"/>
        <v>2.46</v>
      </c>
      <c r="U827" s="254">
        <v>100100</v>
      </c>
      <c r="V827" s="254" t="s">
        <v>834</v>
      </c>
      <c r="W827" s="254" t="s">
        <v>899</v>
      </c>
      <c r="X827" s="254" t="s">
        <v>446</v>
      </c>
      <c r="Y827" s="254" t="s">
        <v>843</v>
      </c>
      <c r="Z827" s="254" t="s">
        <v>1125</v>
      </c>
      <c r="AA827" s="254" t="s">
        <v>838</v>
      </c>
    </row>
    <row r="828" spans="1:27" ht="14.4" x14ac:dyDescent="0.3">
      <c r="A828" s="253">
        <v>11</v>
      </c>
      <c r="B828" s="254" t="s">
        <v>850</v>
      </c>
      <c r="C828" s="254">
        <v>2287</v>
      </c>
      <c r="D828" s="254" t="s">
        <v>114</v>
      </c>
      <c r="E828" s="254" t="str">
        <f>_xlfn.XLOOKUP(C828,Clientes!I:I,Clientes!F:F)</f>
        <v>BUNGE PARAGUAY S.A</v>
      </c>
      <c r="F828" s="254">
        <v>4067</v>
      </c>
      <c r="G828" s="254" t="s">
        <v>832</v>
      </c>
      <c r="H828" s="254" t="s">
        <v>881</v>
      </c>
      <c r="I828" s="255">
        <v>120170</v>
      </c>
      <c r="J828" s="256">
        <v>120170</v>
      </c>
      <c r="K828" s="258">
        <v>636901</v>
      </c>
      <c r="L828" s="258">
        <v>0</v>
      </c>
      <c r="M828" s="258">
        <f t="shared" si="50"/>
        <v>636901</v>
      </c>
      <c r="N828" s="258">
        <v>-184368.6483246896</v>
      </c>
      <c r="O828" s="258">
        <v>-143090.42466666628</v>
      </c>
      <c r="P828" s="258">
        <v>-9276.7107721031025</v>
      </c>
      <c r="Q828" s="258">
        <f t="shared" si="51"/>
        <v>300165.21623654099</v>
      </c>
      <c r="R828" s="259">
        <f t="shared" si="52"/>
        <v>0.47129022601085724</v>
      </c>
      <c r="S828" s="255">
        <f t="shared" si="49"/>
        <v>5.3</v>
      </c>
      <c r="T828" s="255">
        <f t="shared" si="49"/>
        <v>5.3</v>
      </c>
      <c r="U828" s="254">
        <v>100100</v>
      </c>
      <c r="V828" s="254" t="s">
        <v>834</v>
      </c>
      <c r="W828" s="254" t="s">
        <v>882</v>
      </c>
      <c r="X828" s="254" t="s">
        <v>446</v>
      </c>
      <c r="Y828" s="254" t="s">
        <v>836</v>
      </c>
      <c r="Z828" s="254" t="s">
        <v>1125</v>
      </c>
      <c r="AA828" s="254" t="s">
        <v>838</v>
      </c>
    </row>
    <row r="829" spans="1:27" ht="14.4" x14ac:dyDescent="0.3">
      <c r="A829" s="253">
        <v>11</v>
      </c>
      <c r="B829" s="254" t="s">
        <v>850</v>
      </c>
      <c r="C829" s="254">
        <v>31</v>
      </c>
      <c r="D829" s="254" t="s">
        <v>261</v>
      </c>
      <c r="E829" s="254" t="str">
        <f>_xlfn.XLOOKUP(C829,Clientes!I:I,Clientes!F:F)</f>
        <v>SUL GOIANA - GOIATUBA</v>
      </c>
      <c r="F829" s="254">
        <v>1042</v>
      </c>
      <c r="G829" s="254" t="s">
        <v>867</v>
      </c>
      <c r="H829" s="254" t="s">
        <v>909</v>
      </c>
      <c r="I829" s="255">
        <v>60000</v>
      </c>
      <c r="J829" s="256">
        <v>60000</v>
      </c>
      <c r="K829" s="258">
        <v>120000</v>
      </c>
      <c r="L829" s="258">
        <v>-8400</v>
      </c>
      <c r="M829" s="258">
        <f t="shared" si="50"/>
        <v>111600</v>
      </c>
      <c r="N829" s="258">
        <v>-32517.42222222222</v>
      </c>
      <c r="O829" s="258">
        <v>-7010.4371999999994</v>
      </c>
      <c r="P829" s="258">
        <v>-3.1912829084612118</v>
      </c>
      <c r="Q829" s="258">
        <f t="shared" si="51"/>
        <v>72068.949294869322</v>
      </c>
      <c r="R829" s="259">
        <f t="shared" si="52"/>
        <v>0.645779115545424</v>
      </c>
      <c r="S829" s="255">
        <f t="shared" si="49"/>
        <v>2</v>
      </c>
      <c r="T829" s="255">
        <f t="shared" si="49"/>
        <v>2</v>
      </c>
      <c r="U829" s="254">
        <v>100100</v>
      </c>
      <c r="V829" s="254" t="s">
        <v>834</v>
      </c>
      <c r="W829" s="254" t="s">
        <v>1020</v>
      </c>
      <c r="X829" s="254" t="s">
        <v>446</v>
      </c>
      <c r="Y829" s="254" t="s">
        <v>843</v>
      </c>
      <c r="Z829" s="254" t="s">
        <v>1125</v>
      </c>
      <c r="AA829" s="254" t="s">
        <v>838</v>
      </c>
    </row>
    <row r="830" spans="1:27" ht="14.4" x14ac:dyDescent="0.3">
      <c r="A830" s="253">
        <v>11</v>
      </c>
      <c r="B830" s="254" t="s">
        <v>850</v>
      </c>
      <c r="C830" s="254">
        <v>3273</v>
      </c>
      <c r="D830" s="254" t="s">
        <v>79</v>
      </c>
      <c r="E830" s="254" t="str">
        <f>_xlfn.XLOOKUP(C830,Clientes!I:I,Clientes!F:F)</f>
        <v>FERTIMAXI - CONCEICAO DO JACUIPE</v>
      </c>
      <c r="F830" s="254">
        <v>2</v>
      </c>
      <c r="G830" s="254" t="s">
        <v>875</v>
      </c>
      <c r="H830" s="254" t="s">
        <v>883</v>
      </c>
      <c r="I830" s="255">
        <v>30000</v>
      </c>
      <c r="J830" s="256">
        <v>30000</v>
      </c>
      <c r="K830" s="258">
        <v>78900</v>
      </c>
      <c r="L830" s="258">
        <v>-5523.0000000000009</v>
      </c>
      <c r="M830" s="258">
        <f t="shared" si="50"/>
        <v>73377</v>
      </c>
      <c r="N830" s="258">
        <v>-11427.18</v>
      </c>
      <c r="O830" s="258">
        <v>-18675.345000000001</v>
      </c>
      <c r="P830" s="258">
        <v>-8.5013684036876551</v>
      </c>
      <c r="Q830" s="258">
        <f t="shared" si="51"/>
        <v>43265.973631596309</v>
      </c>
      <c r="R830" s="259">
        <f t="shared" si="52"/>
        <v>0.58963944603344798</v>
      </c>
      <c r="S830" s="255">
        <f t="shared" si="49"/>
        <v>2.63</v>
      </c>
      <c r="T830" s="255">
        <f t="shared" si="49"/>
        <v>2.63</v>
      </c>
      <c r="U830" s="254">
        <v>100100</v>
      </c>
      <c r="V830" s="254" t="s">
        <v>834</v>
      </c>
      <c r="W830" s="254" t="s">
        <v>884</v>
      </c>
      <c r="X830" s="254" t="s">
        <v>446</v>
      </c>
      <c r="Y830" s="254" t="s">
        <v>843</v>
      </c>
      <c r="Z830" s="254" t="s">
        <v>1125</v>
      </c>
      <c r="AA830" s="254" t="s">
        <v>838</v>
      </c>
    </row>
    <row r="831" spans="1:27" ht="14.4" x14ac:dyDescent="0.3">
      <c r="A831" s="253">
        <v>11</v>
      </c>
      <c r="B831" s="254" t="s">
        <v>850</v>
      </c>
      <c r="C831" s="254">
        <v>16918</v>
      </c>
      <c r="D831" s="254" t="s">
        <v>645</v>
      </c>
      <c r="E831" s="254" t="str">
        <f>_xlfn.XLOOKUP(C831,Clientes!I:I,Clientes!F:F)</f>
        <v>FERTZ FERTILIZANTES S/A</v>
      </c>
      <c r="F831" s="254">
        <v>1043</v>
      </c>
      <c r="G831" s="254" t="s">
        <v>926</v>
      </c>
      <c r="H831" s="254" t="s">
        <v>860</v>
      </c>
      <c r="I831" s="255">
        <v>30000</v>
      </c>
      <c r="J831" s="256">
        <v>30000</v>
      </c>
      <c r="K831" s="258">
        <v>66000</v>
      </c>
      <c r="L831" s="258">
        <v>-4620</v>
      </c>
      <c r="M831" s="258">
        <f t="shared" si="50"/>
        <v>61380</v>
      </c>
      <c r="N831" s="258">
        <v>-11712.512559241706</v>
      </c>
      <c r="O831" s="258">
        <v>-26978.690699999999</v>
      </c>
      <c r="P831" s="258">
        <v>-12.28120758625032</v>
      </c>
      <c r="Q831" s="258">
        <f t="shared" si="51"/>
        <v>22676.515533172049</v>
      </c>
      <c r="R831" s="259">
        <f t="shared" si="52"/>
        <v>0.36944469751013437</v>
      </c>
      <c r="S831" s="255">
        <f t="shared" si="49"/>
        <v>2.2000000000000002</v>
      </c>
      <c r="T831" s="255">
        <f t="shared" si="49"/>
        <v>2.2000000000000002</v>
      </c>
      <c r="U831" s="254">
        <v>100100</v>
      </c>
      <c r="V831" s="254" t="s">
        <v>834</v>
      </c>
      <c r="W831" s="254" t="s">
        <v>928</v>
      </c>
      <c r="X831" s="254" t="s">
        <v>446</v>
      </c>
      <c r="Y831" s="254" t="s">
        <v>843</v>
      </c>
      <c r="Z831" s="254" t="s">
        <v>1125</v>
      </c>
      <c r="AA831" s="254" t="s">
        <v>838</v>
      </c>
    </row>
    <row r="832" spans="1:27" ht="14.4" x14ac:dyDescent="0.3">
      <c r="A832" s="253">
        <v>11</v>
      </c>
      <c r="B832" s="254" t="s">
        <v>850</v>
      </c>
      <c r="C832" s="254">
        <v>86</v>
      </c>
      <c r="D832" s="254" t="s">
        <v>31</v>
      </c>
      <c r="E832" s="254" t="str">
        <f>_xlfn.XLOOKUP(C832,Clientes!I:I,Clientes!F:F)</f>
        <v>GRUPO ADUBOS ARAGUAIA</v>
      </c>
      <c r="F832" s="254">
        <v>14133</v>
      </c>
      <c r="G832" s="254" t="s">
        <v>867</v>
      </c>
      <c r="H832" s="254" t="s">
        <v>841</v>
      </c>
      <c r="I832" s="255">
        <v>8000</v>
      </c>
      <c r="J832" s="256">
        <v>8000</v>
      </c>
      <c r="K832" s="258">
        <v>22000</v>
      </c>
      <c r="L832" s="258">
        <v>-1540.0000000000002</v>
      </c>
      <c r="M832" s="258">
        <f t="shared" si="50"/>
        <v>20460</v>
      </c>
      <c r="N832" s="258">
        <v>-9426.9702000000034</v>
      </c>
      <c r="O832" s="258">
        <v>-3100.4997012495996</v>
      </c>
      <c r="P832" s="258">
        <v>-1.4114057971002067</v>
      </c>
      <c r="Q832" s="258">
        <f t="shared" si="51"/>
        <v>7931.1186929532969</v>
      </c>
      <c r="R832" s="259">
        <f t="shared" si="52"/>
        <v>0.38764020982176428</v>
      </c>
      <c r="S832" s="255">
        <f t="shared" si="49"/>
        <v>2.75</v>
      </c>
      <c r="T832" s="255">
        <f t="shared" si="49"/>
        <v>2.75</v>
      </c>
      <c r="U832" s="254">
        <v>100100</v>
      </c>
      <c r="V832" s="254" t="s">
        <v>834</v>
      </c>
      <c r="W832" s="254" t="s">
        <v>955</v>
      </c>
      <c r="X832" s="254" t="s">
        <v>446</v>
      </c>
      <c r="Y832" s="254" t="s">
        <v>843</v>
      </c>
      <c r="Z832" s="254" t="s">
        <v>1125</v>
      </c>
      <c r="AA832" s="254" t="s">
        <v>838</v>
      </c>
    </row>
    <row r="833" spans="1:27" ht="14.4" x14ac:dyDescent="0.3">
      <c r="A833" s="253">
        <v>11</v>
      </c>
      <c r="B833" s="254" t="s">
        <v>850</v>
      </c>
      <c r="C833" s="254">
        <v>1936</v>
      </c>
      <c r="D833" s="254" t="s">
        <v>889</v>
      </c>
      <c r="E833" s="254" t="str">
        <f>_xlfn.XLOOKUP(C833,Clientes!I:I,Clientes!F:F)</f>
        <v>GRUPO AGRO INDUSTRIAL SAO LUIZ LTDA</v>
      </c>
      <c r="F833" s="254">
        <v>4</v>
      </c>
      <c r="G833" s="254" t="s">
        <v>862</v>
      </c>
      <c r="H833" s="254" t="s">
        <v>863</v>
      </c>
      <c r="I833" s="255">
        <v>40000</v>
      </c>
      <c r="J833" s="256">
        <v>40000</v>
      </c>
      <c r="K833" s="258">
        <v>159600</v>
      </c>
      <c r="L833" s="258">
        <v>-19152</v>
      </c>
      <c r="M833" s="258">
        <f t="shared" si="50"/>
        <v>140448</v>
      </c>
      <c r="N833" s="258">
        <v>-39149.999999999993</v>
      </c>
      <c r="O833" s="258">
        <v>0</v>
      </c>
      <c r="P833" s="258">
        <v>0</v>
      </c>
      <c r="Q833" s="258">
        <f t="shared" si="51"/>
        <v>101298</v>
      </c>
      <c r="R833" s="259">
        <f t="shared" si="52"/>
        <v>0.72124914559125086</v>
      </c>
      <c r="S833" s="255">
        <f t="shared" si="49"/>
        <v>3.99</v>
      </c>
      <c r="T833" s="255">
        <f t="shared" si="49"/>
        <v>3.99</v>
      </c>
      <c r="U833" s="254">
        <v>100100</v>
      </c>
      <c r="V833" s="254" t="s">
        <v>834</v>
      </c>
      <c r="W833" s="254" t="s">
        <v>864</v>
      </c>
      <c r="X833" s="254" t="s">
        <v>446</v>
      </c>
      <c r="Y833" s="254" t="s">
        <v>843</v>
      </c>
      <c r="Z833" s="254" t="s">
        <v>1125</v>
      </c>
      <c r="AA833" s="254" t="s">
        <v>838</v>
      </c>
    </row>
    <row r="834" spans="1:27" ht="14.4" x14ac:dyDescent="0.3">
      <c r="A834" s="253">
        <v>11</v>
      </c>
      <c r="B834" s="254" t="s">
        <v>850</v>
      </c>
      <c r="C834" s="254">
        <v>43</v>
      </c>
      <c r="D834" s="254" t="s">
        <v>674</v>
      </c>
      <c r="E834" s="254" t="str">
        <f>_xlfn.XLOOKUP(C834,Clientes!I:I,Clientes!F:F)</f>
        <v>GRUPO CIBRA</v>
      </c>
      <c r="F834" s="254">
        <v>148</v>
      </c>
      <c r="G834" s="254" t="s">
        <v>875</v>
      </c>
      <c r="H834" s="254" t="s">
        <v>904</v>
      </c>
      <c r="I834" s="255">
        <v>120000</v>
      </c>
      <c r="J834" s="256">
        <v>120000</v>
      </c>
      <c r="K834" s="258">
        <v>284400</v>
      </c>
      <c r="L834" s="258">
        <v>-19908.000000000004</v>
      </c>
      <c r="M834" s="258">
        <f t="shared" si="50"/>
        <v>264492</v>
      </c>
      <c r="N834" s="258">
        <v>-80635.375862068977</v>
      </c>
      <c r="O834" s="258">
        <v>-83049.650611200006</v>
      </c>
      <c r="P834" s="258">
        <v>-37.805763462113013</v>
      </c>
      <c r="Q834" s="258">
        <f t="shared" si="51"/>
        <v>100769.16776326892</v>
      </c>
      <c r="R834" s="259">
        <f t="shared" si="52"/>
        <v>0.38099136368309411</v>
      </c>
      <c r="S834" s="255">
        <f t="shared" si="49"/>
        <v>2.37</v>
      </c>
      <c r="T834" s="255">
        <f t="shared" si="49"/>
        <v>2.37</v>
      </c>
      <c r="U834" s="254">
        <v>100100</v>
      </c>
      <c r="V834" s="254" t="s">
        <v>834</v>
      </c>
      <c r="W834" s="254" t="s">
        <v>905</v>
      </c>
      <c r="X834" s="254" t="s">
        <v>446</v>
      </c>
      <c r="Y834" s="254" t="s">
        <v>843</v>
      </c>
      <c r="Z834" s="254" t="s">
        <v>1125</v>
      </c>
      <c r="AA834" s="254" t="s">
        <v>838</v>
      </c>
    </row>
    <row r="835" spans="1:27" ht="14.4" x14ac:dyDescent="0.3">
      <c r="A835" s="253">
        <v>11</v>
      </c>
      <c r="B835" s="254" t="s">
        <v>850</v>
      </c>
      <c r="C835" s="254">
        <v>205</v>
      </c>
      <c r="D835" s="254" t="s">
        <v>859</v>
      </c>
      <c r="E835" s="254" t="str">
        <f>_xlfn.XLOOKUP(C835,Clientes!I:I,Clientes!F:F)</f>
        <v>GRUPO FERTIPAR FERTILIZANTES MATO GROSSO</v>
      </c>
      <c r="F835" s="254">
        <v>231</v>
      </c>
      <c r="G835" s="254" t="s">
        <v>840</v>
      </c>
      <c r="H835" s="254" t="s">
        <v>1088</v>
      </c>
      <c r="I835" s="255">
        <v>15000</v>
      </c>
      <c r="J835" s="256">
        <v>15000</v>
      </c>
      <c r="K835" s="258">
        <v>36900</v>
      </c>
      <c r="L835" s="258">
        <v>-2583.0000000000005</v>
      </c>
      <c r="M835" s="258">
        <f t="shared" si="50"/>
        <v>34317</v>
      </c>
      <c r="N835" s="258">
        <v>-16533.419999999998</v>
      </c>
      <c r="O835" s="258">
        <v>-9555.9144492044998</v>
      </c>
      <c r="P835" s="258">
        <v>-4.3500320431461619</v>
      </c>
      <c r="Q835" s="258">
        <f t="shared" si="51"/>
        <v>8223.3155187523553</v>
      </c>
      <c r="R835" s="259">
        <f t="shared" si="52"/>
        <v>0.23962804204191379</v>
      </c>
      <c r="S835" s="255">
        <f t="shared" ref="S835:T898" si="53">$K835/I835</f>
        <v>2.46</v>
      </c>
      <c r="T835" s="255">
        <f t="shared" si="53"/>
        <v>2.46</v>
      </c>
      <c r="U835" s="254">
        <v>100100</v>
      </c>
      <c r="V835" s="254" t="s">
        <v>834</v>
      </c>
      <c r="W835" s="254" t="s">
        <v>861</v>
      </c>
      <c r="X835" s="254" t="s">
        <v>446</v>
      </c>
      <c r="Y835" s="254" t="s">
        <v>843</v>
      </c>
      <c r="Z835" s="254" t="s">
        <v>1125</v>
      </c>
      <c r="AA835" s="254" t="s">
        <v>838</v>
      </c>
    </row>
    <row r="836" spans="1:27" ht="14.4" x14ac:dyDescent="0.3">
      <c r="A836" s="253">
        <v>11</v>
      </c>
      <c r="B836" s="254" t="s">
        <v>850</v>
      </c>
      <c r="C836" s="254">
        <v>7103</v>
      </c>
      <c r="D836" s="254" t="s">
        <v>482</v>
      </c>
      <c r="E836" s="254" t="str">
        <f>_xlfn.XLOOKUP(C836,Clientes!I:I,Clientes!F:F)</f>
        <v>GRUPO MOSAIC FERTILIZANTES DO BRASIL</v>
      </c>
      <c r="F836" s="254">
        <v>1043</v>
      </c>
      <c r="G836" s="254" t="s">
        <v>867</v>
      </c>
      <c r="H836" s="254" t="s">
        <v>860</v>
      </c>
      <c r="I836" s="255">
        <v>60000</v>
      </c>
      <c r="J836" s="256">
        <v>60000</v>
      </c>
      <c r="K836" s="258">
        <v>114000</v>
      </c>
      <c r="L836" s="258">
        <v>-7980.0000000000009</v>
      </c>
      <c r="M836" s="258">
        <f t="shared" ref="M836:M899" si="54">SUM(K836:L836)</f>
        <v>106020</v>
      </c>
      <c r="N836" s="258">
        <v>-23425.025118483412</v>
      </c>
      <c r="O836" s="258">
        <v>-11377.594799999999</v>
      </c>
      <c r="P836" s="258">
        <v>-5.1792952120927866</v>
      </c>
      <c r="Q836" s="258">
        <f t="shared" ref="Q836:Q899" si="55">SUM(M836:P836)</f>
        <v>71212.200786304515</v>
      </c>
      <c r="R836" s="259">
        <f t="shared" ref="R836:R899" si="56">Q836/M836</f>
        <v>0.6716864816667093</v>
      </c>
      <c r="S836" s="255">
        <f t="shared" si="53"/>
        <v>1.9</v>
      </c>
      <c r="T836" s="255">
        <f t="shared" si="53"/>
        <v>1.9</v>
      </c>
      <c r="U836" s="254">
        <v>100100</v>
      </c>
      <c r="V836" s="254" t="s">
        <v>834</v>
      </c>
      <c r="W836" s="254" t="s">
        <v>890</v>
      </c>
      <c r="X836" s="254" t="s">
        <v>446</v>
      </c>
      <c r="Y836" s="254" t="s">
        <v>843</v>
      </c>
      <c r="Z836" s="254" t="s">
        <v>1125</v>
      </c>
      <c r="AA836" s="254" t="s">
        <v>838</v>
      </c>
    </row>
    <row r="837" spans="1:27" ht="14.4" x14ac:dyDescent="0.3">
      <c r="A837" s="253">
        <v>11</v>
      </c>
      <c r="B837" s="254" t="s">
        <v>850</v>
      </c>
      <c r="C837" s="254">
        <v>97</v>
      </c>
      <c r="D837" s="254" t="s">
        <v>300</v>
      </c>
      <c r="E837" s="254" t="str">
        <f>_xlfn.XLOOKUP(C837,Clientes!I:I,Clientes!F:F)</f>
        <v>FECOAGRO FEDERACAO DAS COOPERATIVAS</v>
      </c>
      <c r="F837" s="254">
        <v>148</v>
      </c>
      <c r="G837" s="254" t="s">
        <v>893</v>
      </c>
      <c r="H837" s="254" t="s">
        <v>904</v>
      </c>
      <c r="I837" s="255">
        <v>32000</v>
      </c>
      <c r="J837" s="256">
        <v>32000</v>
      </c>
      <c r="K837" s="258">
        <v>112000</v>
      </c>
      <c r="L837" s="258">
        <v>-13440</v>
      </c>
      <c r="M837" s="258">
        <f t="shared" si="54"/>
        <v>98560</v>
      </c>
      <c r="N837" s="258">
        <v>-21502.766896551722</v>
      </c>
      <c r="O837" s="258">
        <v>-17928.331200000001</v>
      </c>
      <c r="P837" s="258">
        <v>-8.1613136675401492</v>
      </c>
      <c r="Q837" s="258">
        <f t="shared" si="55"/>
        <v>59120.74058978074</v>
      </c>
      <c r="R837" s="259">
        <f t="shared" si="56"/>
        <v>0.59984517643852209</v>
      </c>
      <c r="S837" s="255">
        <f t="shared" si="53"/>
        <v>3.5</v>
      </c>
      <c r="T837" s="255">
        <f t="shared" si="53"/>
        <v>3.5</v>
      </c>
      <c r="U837" s="254">
        <v>100100</v>
      </c>
      <c r="V837" s="254" t="s">
        <v>834</v>
      </c>
      <c r="W837" s="254" t="s">
        <v>894</v>
      </c>
      <c r="X837" s="254" t="s">
        <v>446</v>
      </c>
      <c r="Y837" s="254" t="s">
        <v>843</v>
      </c>
      <c r="Z837" s="254" t="s">
        <v>1125</v>
      </c>
      <c r="AA837" s="254" t="s">
        <v>838</v>
      </c>
    </row>
    <row r="838" spans="1:27" ht="14.4" x14ac:dyDescent="0.3">
      <c r="A838" s="253">
        <v>11</v>
      </c>
      <c r="B838" s="254" t="s">
        <v>850</v>
      </c>
      <c r="C838" s="254">
        <v>341</v>
      </c>
      <c r="D838" s="254" t="s">
        <v>422</v>
      </c>
      <c r="E838" s="254" t="str">
        <f>_xlfn.XLOOKUP(C838,Clientes!I:I,Clientes!F:F)</f>
        <v>ADUBOS PARANAIBA - UBERLANDIA</v>
      </c>
      <c r="F838" s="254">
        <v>1043</v>
      </c>
      <c r="G838" s="254" t="s">
        <v>855</v>
      </c>
      <c r="H838" s="254" t="s">
        <v>860</v>
      </c>
      <c r="I838" s="255">
        <v>6000</v>
      </c>
      <c r="J838" s="256">
        <v>6000</v>
      </c>
      <c r="K838" s="258">
        <v>12000</v>
      </c>
      <c r="L838" s="258">
        <v>-2160</v>
      </c>
      <c r="M838" s="258">
        <f t="shared" si="54"/>
        <v>9840</v>
      </c>
      <c r="N838" s="258">
        <v>-2342.5025118483413</v>
      </c>
      <c r="O838" s="258">
        <v>0</v>
      </c>
      <c r="P838" s="258">
        <v>0</v>
      </c>
      <c r="Q838" s="258">
        <f t="shared" si="55"/>
        <v>7497.4974881516591</v>
      </c>
      <c r="R838" s="259">
        <f t="shared" si="56"/>
        <v>0.76194080164142874</v>
      </c>
      <c r="S838" s="255">
        <f t="shared" si="53"/>
        <v>2</v>
      </c>
      <c r="T838" s="255">
        <f t="shared" si="53"/>
        <v>2</v>
      </c>
      <c r="U838" s="254">
        <v>100100</v>
      </c>
      <c r="V838" s="254" t="s">
        <v>834</v>
      </c>
      <c r="W838" s="254" t="s">
        <v>865</v>
      </c>
      <c r="X838" s="254" t="s">
        <v>446</v>
      </c>
      <c r="Y838" s="254" t="s">
        <v>843</v>
      </c>
      <c r="Z838" s="254" t="s">
        <v>1125</v>
      </c>
      <c r="AA838" s="254" t="s">
        <v>838</v>
      </c>
    </row>
    <row r="839" spans="1:27" ht="14.4" x14ac:dyDescent="0.3">
      <c r="A839" s="253">
        <v>11</v>
      </c>
      <c r="B839" s="254" t="s">
        <v>850</v>
      </c>
      <c r="C839" s="254">
        <v>11212</v>
      </c>
      <c r="D839" s="254" t="s">
        <v>230</v>
      </c>
      <c r="E839" s="254" t="str">
        <f>_xlfn.XLOOKUP(C839,Clientes!I:I,Clientes!F:F)</f>
        <v>INPEK FERTILIZANTES - PARANAGUA</v>
      </c>
      <c r="F839" s="254">
        <v>1043</v>
      </c>
      <c r="G839" s="254" t="s">
        <v>862</v>
      </c>
      <c r="H839" s="254" t="s">
        <v>860</v>
      </c>
      <c r="I839" s="255">
        <v>30000</v>
      </c>
      <c r="J839" s="256">
        <v>30000</v>
      </c>
      <c r="K839" s="258">
        <v>57000</v>
      </c>
      <c r="L839" s="258">
        <v>-6840</v>
      </c>
      <c r="M839" s="258">
        <f t="shared" si="54"/>
        <v>50160</v>
      </c>
      <c r="N839" s="258">
        <v>-11712.512559241706</v>
      </c>
      <c r="O839" s="258">
        <v>-14049.6057</v>
      </c>
      <c r="P839" s="258">
        <v>-6.3956448452357897</v>
      </c>
      <c r="Q839" s="258">
        <f t="shared" si="55"/>
        <v>24391.48609591306</v>
      </c>
      <c r="R839" s="259">
        <f t="shared" si="56"/>
        <v>0.48627364625026037</v>
      </c>
      <c r="S839" s="255">
        <f t="shared" si="53"/>
        <v>1.9</v>
      </c>
      <c r="T839" s="255">
        <f t="shared" si="53"/>
        <v>1.9</v>
      </c>
      <c r="U839" s="254">
        <v>100100</v>
      </c>
      <c r="V839" s="254" t="s">
        <v>834</v>
      </c>
      <c r="W839" s="254" t="s">
        <v>864</v>
      </c>
      <c r="X839" s="254" t="s">
        <v>446</v>
      </c>
      <c r="Y839" s="254" t="s">
        <v>843</v>
      </c>
      <c r="Z839" s="254" t="s">
        <v>1125</v>
      </c>
      <c r="AA839" s="254" t="s">
        <v>838</v>
      </c>
    </row>
    <row r="840" spans="1:27" ht="14.4" x14ac:dyDescent="0.3">
      <c r="A840" s="253">
        <v>11</v>
      </c>
      <c r="B840" s="254" t="s">
        <v>850</v>
      </c>
      <c r="C840" s="254">
        <v>6124</v>
      </c>
      <c r="D840" s="254" t="s">
        <v>891</v>
      </c>
      <c r="E840" s="254" t="str">
        <f>_xlfn.XLOOKUP(C840,Clientes!I:I,Clientes!F:F)</f>
        <v>GRUPO MOSAIC FERTILIZANTES DO BRASIL</v>
      </c>
      <c r="F840" s="254">
        <v>1043</v>
      </c>
      <c r="G840" s="254" t="s">
        <v>855</v>
      </c>
      <c r="H840" s="254" t="s">
        <v>860</v>
      </c>
      <c r="I840" s="255">
        <v>90000</v>
      </c>
      <c r="J840" s="256">
        <v>90000</v>
      </c>
      <c r="K840" s="258">
        <v>152100</v>
      </c>
      <c r="L840" s="258">
        <v>0</v>
      </c>
      <c r="M840" s="258">
        <f t="shared" si="54"/>
        <v>152100</v>
      </c>
      <c r="N840" s="258">
        <v>-35137.537677725122</v>
      </c>
      <c r="O840" s="258">
        <v>-7326.4814999999999</v>
      </c>
      <c r="P840" s="258">
        <v>-3.3351522199082342</v>
      </c>
      <c r="Q840" s="258">
        <f t="shared" si="55"/>
        <v>109632.64567005498</v>
      </c>
      <c r="R840" s="259">
        <f t="shared" si="56"/>
        <v>0.72079319967163036</v>
      </c>
      <c r="S840" s="255">
        <f t="shared" si="53"/>
        <v>1.69</v>
      </c>
      <c r="T840" s="255">
        <f t="shared" si="53"/>
        <v>1.69</v>
      </c>
      <c r="U840" s="254">
        <v>100100</v>
      </c>
      <c r="V840" s="254" t="s">
        <v>834</v>
      </c>
      <c r="W840" s="254" t="s">
        <v>892</v>
      </c>
      <c r="X840" s="254" t="s">
        <v>446</v>
      </c>
      <c r="Y840" s="254" t="s">
        <v>843</v>
      </c>
      <c r="Z840" s="254" t="s">
        <v>1125</v>
      </c>
      <c r="AA840" s="254" t="s">
        <v>838</v>
      </c>
    </row>
    <row r="841" spans="1:27" ht="14.4" x14ac:dyDescent="0.3">
      <c r="A841" s="253">
        <v>11</v>
      </c>
      <c r="B841" s="254" t="s">
        <v>850</v>
      </c>
      <c r="C841" s="254">
        <v>9295</v>
      </c>
      <c r="D841" s="254" t="s">
        <v>333</v>
      </c>
      <c r="E841" s="254" t="str">
        <f>_xlfn.XLOOKUP(C841,Clientes!I:I,Clientes!F:F)</f>
        <v>TECNOMYL S.A. - PARAGUAY</v>
      </c>
      <c r="F841" s="254">
        <v>14146</v>
      </c>
      <c r="G841" s="254" t="s">
        <v>832</v>
      </c>
      <c r="H841" s="254" t="s">
        <v>1011</v>
      </c>
      <c r="I841" s="255">
        <v>79200</v>
      </c>
      <c r="J841" s="256">
        <v>79200</v>
      </c>
      <c r="K841" s="258">
        <v>407167.2</v>
      </c>
      <c r="L841" s="258">
        <v>0</v>
      </c>
      <c r="M841" s="258">
        <f t="shared" si="54"/>
        <v>407167.2</v>
      </c>
      <c r="N841" s="258">
        <v>-158311.43000000002</v>
      </c>
      <c r="O841" s="258">
        <v>-71415.16800000002</v>
      </c>
      <c r="P841" s="258">
        <v>-6103.5472815953917</v>
      </c>
      <c r="Q841" s="258">
        <f t="shared" si="55"/>
        <v>171337.05471840457</v>
      </c>
      <c r="R841" s="259">
        <f t="shared" si="56"/>
        <v>0.42080269412272053</v>
      </c>
      <c r="S841" s="255">
        <f t="shared" si="53"/>
        <v>5.141</v>
      </c>
      <c r="T841" s="255">
        <f t="shared" si="53"/>
        <v>5.141</v>
      </c>
      <c r="U841" s="254">
        <v>100100</v>
      </c>
      <c r="V841" s="254" t="s">
        <v>834</v>
      </c>
      <c r="W841" s="254" t="s">
        <v>1012</v>
      </c>
      <c r="X841" s="254" t="s">
        <v>446</v>
      </c>
      <c r="Y841" s="254" t="s">
        <v>836</v>
      </c>
      <c r="Z841" s="254" t="s">
        <v>1125</v>
      </c>
      <c r="AA841" s="254" t="s">
        <v>838</v>
      </c>
    </row>
    <row r="842" spans="1:27" ht="14.4" x14ac:dyDescent="0.3">
      <c r="A842" s="253">
        <v>11</v>
      </c>
      <c r="B842" s="254" t="s">
        <v>850</v>
      </c>
      <c r="C842" s="254">
        <v>11637</v>
      </c>
      <c r="D842" s="254" t="s">
        <v>625</v>
      </c>
      <c r="E842" s="254" t="str">
        <f>_xlfn.XLOOKUP(C842,Clientes!I:I,Clientes!F:F)</f>
        <v>AGROPECUARIA MARATA LTDA - MARUIM</v>
      </c>
      <c r="F842" s="254">
        <v>14130</v>
      </c>
      <c r="G842" s="254" t="s">
        <v>887</v>
      </c>
      <c r="H842" s="254" t="s">
        <v>903</v>
      </c>
      <c r="I842" s="255">
        <v>8000</v>
      </c>
      <c r="J842" s="256">
        <v>8000</v>
      </c>
      <c r="K842" s="258">
        <v>23760</v>
      </c>
      <c r="L842" s="258">
        <v>-1663.2</v>
      </c>
      <c r="M842" s="258">
        <f t="shared" si="54"/>
        <v>22096.799999999999</v>
      </c>
      <c r="N842" s="258">
        <v>-10139.469999999999</v>
      </c>
      <c r="O842" s="258">
        <v>0</v>
      </c>
      <c r="P842" s="258">
        <v>0</v>
      </c>
      <c r="Q842" s="258">
        <f t="shared" si="55"/>
        <v>11957.33</v>
      </c>
      <c r="R842" s="259">
        <f t="shared" si="56"/>
        <v>0.54113401035444053</v>
      </c>
      <c r="S842" s="255">
        <f t="shared" si="53"/>
        <v>2.97</v>
      </c>
      <c r="T842" s="255">
        <f t="shared" si="53"/>
        <v>2.97</v>
      </c>
      <c r="U842" s="254">
        <v>100100</v>
      </c>
      <c r="V842" s="254" t="s">
        <v>834</v>
      </c>
      <c r="W842" s="254" t="s">
        <v>1009</v>
      </c>
      <c r="X842" s="254" t="s">
        <v>446</v>
      </c>
      <c r="Y842" s="254" t="s">
        <v>843</v>
      </c>
      <c r="Z842" s="254" t="s">
        <v>1125</v>
      </c>
      <c r="AA842" s="254" t="s">
        <v>838</v>
      </c>
    </row>
    <row r="843" spans="1:27" ht="14.4" x14ac:dyDescent="0.3">
      <c r="A843" s="253">
        <v>11</v>
      </c>
      <c r="B843" s="254" t="s">
        <v>850</v>
      </c>
      <c r="C843" s="254">
        <v>7022</v>
      </c>
      <c r="D843" s="254" t="s">
        <v>89</v>
      </c>
      <c r="E843" s="254" t="str">
        <f>_xlfn.XLOOKUP(C843,Clientes!I:I,Clientes!F:F)</f>
        <v>STRATOS - ROSARIO DO CATETE</v>
      </c>
      <c r="F843" s="254">
        <v>1043</v>
      </c>
      <c r="G843" s="254" t="s">
        <v>887</v>
      </c>
      <c r="H843" s="254" t="s">
        <v>860</v>
      </c>
      <c r="I843" s="255">
        <v>210000</v>
      </c>
      <c r="J843" s="256">
        <v>210000</v>
      </c>
      <c r="K843" s="258">
        <v>506100</v>
      </c>
      <c r="L843" s="258">
        <v>-35427</v>
      </c>
      <c r="M843" s="258">
        <f t="shared" si="54"/>
        <v>470673</v>
      </c>
      <c r="N843" s="258">
        <v>-81987.587914691947</v>
      </c>
      <c r="O843" s="258">
        <v>-176480.50754879997</v>
      </c>
      <c r="P843" s="258">
        <v>-80.337247356990133</v>
      </c>
      <c r="Q843" s="258">
        <f t="shared" si="55"/>
        <v>212124.56728915111</v>
      </c>
      <c r="R843" s="259">
        <f t="shared" si="56"/>
        <v>0.45068352611930385</v>
      </c>
      <c r="S843" s="255">
        <f t="shared" si="53"/>
        <v>2.41</v>
      </c>
      <c r="T843" s="255">
        <f t="shared" si="53"/>
        <v>2.41</v>
      </c>
      <c r="U843" s="254">
        <v>100100</v>
      </c>
      <c r="V843" s="254" t="s">
        <v>834</v>
      </c>
      <c r="W843" s="254" t="s">
        <v>888</v>
      </c>
      <c r="X843" s="254" t="s">
        <v>446</v>
      </c>
      <c r="Y843" s="254" t="s">
        <v>843</v>
      </c>
      <c r="Z843" s="254" t="s">
        <v>1125</v>
      </c>
      <c r="AA843" s="254" t="s">
        <v>838</v>
      </c>
    </row>
    <row r="844" spans="1:27" ht="14.4" x14ac:dyDescent="0.3">
      <c r="A844" s="253">
        <v>11</v>
      </c>
      <c r="B844" s="254" t="s">
        <v>850</v>
      </c>
      <c r="C844" s="254">
        <v>2696</v>
      </c>
      <c r="D844" s="254" t="s">
        <v>119</v>
      </c>
      <c r="E844" s="254" t="str">
        <f>_xlfn.XLOOKUP(C844,Clientes!I:I,Clientes!F:F)</f>
        <v>MOSAIC FERTILIZANTES PARAGUAY S.R.L.</v>
      </c>
      <c r="F844" s="254">
        <v>3245</v>
      </c>
      <c r="G844" s="254" t="s">
        <v>832</v>
      </c>
      <c r="H844" s="254" t="s">
        <v>1093</v>
      </c>
      <c r="I844" s="255">
        <v>30000</v>
      </c>
      <c r="J844" s="256">
        <v>30000</v>
      </c>
      <c r="K844" s="258">
        <v>93810</v>
      </c>
      <c r="L844" s="258">
        <v>0</v>
      </c>
      <c r="M844" s="258">
        <f t="shared" si="54"/>
        <v>93810</v>
      </c>
      <c r="N844" s="258">
        <v>-14216.720000000001</v>
      </c>
      <c r="O844" s="258">
        <v>-27051.200000000012</v>
      </c>
      <c r="P844" s="258">
        <v>-2311.9497278770423</v>
      </c>
      <c r="Q844" s="258">
        <f t="shared" si="55"/>
        <v>50230.130272122944</v>
      </c>
      <c r="R844" s="259">
        <f t="shared" si="56"/>
        <v>0.53544537119841107</v>
      </c>
      <c r="S844" s="255">
        <f t="shared" si="53"/>
        <v>3.1269999999999998</v>
      </c>
      <c r="T844" s="255">
        <f t="shared" si="53"/>
        <v>3.1269999999999998</v>
      </c>
      <c r="U844" s="254">
        <v>100100</v>
      </c>
      <c r="V844" s="254" t="s">
        <v>834</v>
      </c>
      <c r="W844" s="254" t="s">
        <v>1012</v>
      </c>
      <c r="X844" s="254" t="s">
        <v>446</v>
      </c>
      <c r="Y844" s="254" t="s">
        <v>836</v>
      </c>
      <c r="Z844" s="254" t="s">
        <v>1125</v>
      </c>
      <c r="AA844" s="254" t="s">
        <v>838</v>
      </c>
    </row>
    <row r="845" spans="1:27" ht="14.4" x14ac:dyDescent="0.3">
      <c r="A845" s="253">
        <v>11</v>
      </c>
      <c r="B845" s="254" t="s">
        <v>850</v>
      </c>
      <c r="C845" s="254">
        <v>2011</v>
      </c>
      <c r="D845" s="254" t="s">
        <v>616</v>
      </c>
      <c r="E845" s="254" t="str">
        <f>_xlfn.XLOOKUP(C845,Clientes!I:I,Clientes!F:F)</f>
        <v>FERTGROW S.A</v>
      </c>
      <c r="F845" s="254">
        <v>6654</v>
      </c>
      <c r="G845" s="254" t="s">
        <v>897</v>
      </c>
      <c r="H845" s="254" t="s">
        <v>898</v>
      </c>
      <c r="I845" s="255">
        <v>210000</v>
      </c>
      <c r="J845" s="256">
        <v>210000</v>
      </c>
      <c r="K845" s="258">
        <v>567000</v>
      </c>
      <c r="L845" s="258">
        <v>-39690.000000000007</v>
      </c>
      <c r="M845" s="258">
        <f t="shared" si="54"/>
        <v>527310</v>
      </c>
      <c r="N845" s="258">
        <v>-82183.410000000018</v>
      </c>
      <c r="O845" s="258">
        <v>-185230.6911</v>
      </c>
      <c r="P845" s="258">
        <v>-84.320495536268169</v>
      </c>
      <c r="Q845" s="258">
        <f t="shared" si="55"/>
        <v>259811.57840446371</v>
      </c>
      <c r="R845" s="259">
        <f t="shared" si="56"/>
        <v>0.49271126738439192</v>
      </c>
      <c r="S845" s="255">
        <f t="shared" si="53"/>
        <v>2.7</v>
      </c>
      <c r="T845" s="255">
        <f t="shared" si="53"/>
        <v>2.7</v>
      </c>
      <c r="U845" s="254">
        <v>100100</v>
      </c>
      <c r="V845" s="254" t="s">
        <v>834</v>
      </c>
      <c r="W845" s="254" t="s">
        <v>899</v>
      </c>
      <c r="X845" s="254" t="s">
        <v>446</v>
      </c>
      <c r="Y845" s="254" t="s">
        <v>843</v>
      </c>
      <c r="Z845" s="254" t="s">
        <v>1125</v>
      </c>
      <c r="AA845" s="254" t="s">
        <v>838</v>
      </c>
    </row>
    <row r="846" spans="1:27" ht="14.4" x14ac:dyDescent="0.3">
      <c r="A846" s="253">
        <v>11</v>
      </c>
      <c r="B846" s="254" t="s">
        <v>850</v>
      </c>
      <c r="C846" s="254">
        <v>2527</v>
      </c>
      <c r="D846" s="254" t="s">
        <v>340</v>
      </c>
      <c r="E846" s="254" t="str">
        <f>_xlfn.XLOOKUP(C846,Clientes!I:I,Clientes!F:F)</f>
        <v>INKAFERT - PERU</v>
      </c>
      <c r="F846" s="254">
        <v>14141</v>
      </c>
      <c r="G846" s="254" t="s">
        <v>832</v>
      </c>
      <c r="H846" s="254" t="s">
        <v>833</v>
      </c>
      <c r="I846" s="255">
        <v>4800</v>
      </c>
      <c r="J846" s="256">
        <v>4800</v>
      </c>
      <c r="K846" s="258">
        <v>28492.799999999999</v>
      </c>
      <c r="L846" s="258">
        <v>0</v>
      </c>
      <c r="M846" s="258">
        <f t="shared" si="54"/>
        <v>28492.799999999999</v>
      </c>
      <c r="N846" s="258">
        <v>-5977.83</v>
      </c>
      <c r="O846" s="258">
        <v>0</v>
      </c>
      <c r="P846" s="258">
        <v>-367.9416820309176</v>
      </c>
      <c r="Q846" s="258">
        <f t="shared" si="55"/>
        <v>22147.028317969085</v>
      </c>
      <c r="R846" s="259">
        <f t="shared" si="56"/>
        <v>0.77728507966816474</v>
      </c>
      <c r="S846" s="255">
        <f t="shared" si="53"/>
        <v>5.9359999999999999</v>
      </c>
      <c r="T846" s="255">
        <f t="shared" si="53"/>
        <v>5.9359999999999999</v>
      </c>
      <c r="U846" s="254">
        <v>100100</v>
      </c>
      <c r="V846" s="254" t="s">
        <v>834</v>
      </c>
      <c r="W846" s="254" t="s">
        <v>1126</v>
      </c>
      <c r="X846" s="254" t="s">
        <v>446</v>
      </c>
      <c r="Y846" s="254" t="s">
        <v>836</v>
      </c>
      <c r="Z846" s="254" t="s">
        <v>1125</v>
      </c>
      <c r="AA846" s="254" t="s">
        <v>838</v>
      </c>
    </row>
    <row r="847" spans="1:27" ht="14.4" x14ac:dyDescent="0.3">
      <c r="A847" s="253">
        <v>11</v>
      </c>
      <c r="B847" s="254" t="s">
        <v>850</v>
      </c>
      <c r="C847" s="254">
        <v>3142</v>
      </c>
      <c r="D847" s="254" t="s">
        <v>78</v>
      </c>
      <c r="E847" s="254" t="str">
        <f>_xlfn.XLOOKUP(C847,Clientes!I:I,Clientes!F:F)</f>
        <v>INTERFERTIL - SAO FRANCISCO DO SUL</v>
      </c>
      <c r="F847" s="254">
        <v>1</v>
      </c>
      <c r="G847" s="254" t="s">
        <v>893</v>
      </c>
      <c r="H847" s="254" t="s">
        <v>873</v>
      </c>
      <c r="I847" s="255">
        <v>45000</v>
      </c>
      <c r="J847" s="256">
        <v>45000</v>
      </c>
      <c r="K847" s="258">
        <v>124650</v>
      </c>
      <c r="L847" s="258">
        <v>-14958</v>
      </c>
      <c r="M847" s="258">
        <f t="shared" si="54"/>
        <v>109692</v>
      </c>
      <c r="N847" s="258">
        <v>-30329.194090909088</v>
      </c>
      <c r="O847" s="258">
        <v>-25211.715749999999</v>
      </c>
      <c r="P847" s="258">
        <v>-11.476847344978333</v>
      </c>
      <c r="Q847" s="258">
        <f t="shared" si="55"/>
        <v>54139.613311745925</v>
      </c>
      <c r="R847" s="259">
        <f t="shared" si="56"/>
        <v>0.49356027159451854</v>
      </c>
      <c r="S847" s="255">
        <f t="shared" si="53"/>
        <v>2.77</v>
      </c>
      <c r="T847" s="255">
        <f t="shared" si="53"/>
        <v>2.77</v>
      </c>
      <c r="U847" s="254">
        <v>100100</v>
      </c>
      <c r="V847" s="254" t="s">
        <v>834</v>
      </c>
      <c r="W847" s="254" t="s">
        <v>894</v>
      </c>
      <c r="X847" s="254" t="s">
        <v>446</v>
      </c>
      <c r="Y847" s="254" t="s">
        <v>843</v>
      </c>
      <c r="Z847" s="254" t="s">
        <v>1125</v>
      </c>
      <c r="AA847" s="254" t="s">
        <v>838</v>
      </c>
    </row>
    <row r="848" spans="1:27" ht="14.4" x14ac:dyDescent="0.3">
      <c r="A848" s="253">
        <v>11</v>
      </c>
      <c r="B848" s="254" t="s">
        <v>850</v>
      </c>
      <c r="C848" s="254">
        <v>5053</v>
      </c>
      <c r="D848" s="254" t="s">
        <v>223</v>
      </c>
      <c r="E848" s="254" t="str">
        <f>_xlfn.XLOOKUP(C848,Clientes!I:I,Clientes!F:F)</f>
        <v>GRUPO ADUBOS ARAGUAIA</v>
      </c>
      <c r="F848" s="254">
        <v>1</v>
      </c>
      <c r="G848" s="254" t="s">
        <v>840</v>
      </c>
      <c r="H848" s="254" t="s">
        <v>873</v>
      </c>
      <c r="I848" s="255">
        <v>30000</v>
      </c>
      <c r="J848" s="256">
        <v>30000</v>
      </c>
      <c r="K848" s="258">
        <v>73800</v>
      </c>
      <c r="L848" s="258">
        <v>-5166.0000000000009</v>
      </c>
      <c r="M848" s="258">
        <f t="shared" si="54"/>
        <v>68634</v>
      </c>
      <c r="N848" s="258">
        <v>-20219.462727272727</v>
      </c>
      <c r="O848" s="258">
        <v>-20973.848999999998</v>
      </c>
      <c r="P848" s="258">
        <v>-9.5476906687569034</v>
      </c>
      <c r="Q848" s="258">
        <f t="shared" si="55"/>
        <v>27431.140582058521</v>
      </c>
      <c r="R848" s="259">
        <f t="shared" si="56"/>
        <v>0.39967276542323804</v>
      </c>
      <c r="S848" s="255">
        <f t="shared" si="53"/>
        <v>2.46</v>
      </c>
      <c r="T848" s="255">
        <f t="shared" si="53"/>
        <v>2.46</v>
      </c>
      <c r="U848" s="254">
        <v>100100</v>
      </c>
      <c r="V848" s="254" t="s">
        <v>834</v>
      </c>
      <c r="W848" s="254" t="s">
        <v>842</v>
      </c>
      <c r="X848" s="254" t="s">
        <v>446</v>
      </c>
      <c r="Y848" s="254" t="s">
        <v>843</v>
      </c>
      <c r="Z848" s="254" t="s">
        <v>1125</v>
      </c>
      <c r="AA848" s="254" t="s">
        <v>838</v>
      </c>
    </row>
    <row r="849" spans="1:27" ht="14.4" x14ac:dyDescent="0.3">
      <c r="A849" s="253">
        <v>11</v>
      </c>
      <c r="B849" s="254" t="s">
        <v>850</v>
      </c>
      <c r="C849" s="254">
        <v>1292</v>
      </c>
      <c r="D849" s="254" t="s">
        <v>1079</v>
      </c>
      <c r="E849" s="254" t="str">
        <f>_xlfn.XLOOKUP(C849,Clientes!I:I,Clientes!F:F)</f>
        <v>GRUPO AGRO INDUSTRIAL SAO LUIZ LTDA</v>
      </c>
      <c r="F849" s="254">
        <v>148</v>
      </c>
      <c r="G849" s="254" t="s">
        <v>893</v>
      </c>
      <c r="H849" s="254" t="s">
        <v>904</v>
      </c>
      <c r="I849" s="255">
        <v>20000</v>
      </c>
      <c r="J849" s="256">
        <v>20000</v>
      </c>
      <c r="K849" s="258">
        <v>47000</v>
      </c>
      <c r="L849" s="258">
        <v>-5640</v>
      </c>
      <c r="M849" s="258">
        <f t="shared" si="54"/>
        <v>41360</v>
      </c>
      <c r="N849" s="258">
        <v>-13439.229310344828</v>
      </c>
      <c r="O849" s="258">
        <v>-10207.092555894</v>
      </c>
      <c r="P849" s="258">
        <v>-4.6464605686370311</v>
      </c>
      <c r="Q849" s="258">
        <f t="shared" si="55"/>
        <v>17709.031673192534</v>
      </c>
      <c r="R849" s="259">
        <f t="shared" si="56"/>
        <v>0.42816807720484851</v>
      </c>
      <c r="S849" s="255">
        <f t="shared" si="53"/>
        <v>2.35</v>
      </c>
      <c r="T849" s="255">
        <f t="shared" si="53"/>
        <v>2.35</v>
      </c>
      <c r="U849" s="254">
        <v>100100</v>
      </c>
      <c r="V849" s="254" t="s">
        <v>834</v>
      </c>
      <c r="W849" s="254" t="s">
        <v>1080</v>
      </c>
      <c r="X849" s="254" t="s">
        <v>446</v>
      </c>
      <c r="Y849" s="254" t="s">
        <v>843</v>
      </c>
      <c r="Z849" s="254" t="s">
        <v>1125</v>
      </c>
      <c r="AA849" s="254" t="s">
        <v>838</v>
      </c>
    </row>
    <row r="850" spans="1:27" ht="14.4" x14ac:dyDescent="0.3">
      <c r="A850" s="253">
        <v>11</v>
      </c>
      <c r="B850" s="254" t="s">
        <v>850</v>
      </c>
      <c r="C850" s="254">
        <v>729</v>
      </c>
      <c r="D850" s="254" t="s">
        <v>937</v>
      </c>
      <c r="E850" s="254" t="str">
        <f>_xlfn.XLOOKUP(C850,Clientes!I:I,Clientes!F:F)</f>
        <v>GRUPO FERTILIZ TOCANTINS</v>
      </c>
      <c r="F850" s="254">
        <v>8061</v>
      </c>
      <c r="G850" s="254" t="s">
        <v>897</v>
      </c>
      <c r="H850" s="254" t="s">
        <v>1089</v>
      </c>
      <c r="I850" s="255">
        <v>60000</v>
      </c>
      <c r="J850" s="256">
        <v>60000</v>
      </c>
      <c r="K850" s="258">
        <v>171000</v>
      </c>
      <c r="L850" s="258">
        <v>-11970.000000000002</v>
      </c>
      <c r="M850" s="258">
        <f t="shared" si="54"/>
        <v>159030</v>
      </c>
      <c r="N850" s="258">
        <v>-33530.82</v>
      </c>
      <c r="O850" s="258">
        <v>-52923.054599999996</v>
      </c>
      <c r="P850" s="258">
        <v>-24.091570153219475</v>
      </c>
      <c r="Q850" s="258">
        <f t="shared" si="55"/>
        <v>72552.033829846769</v>
      </c>
      <c r="R850" s="259">
        <f t="shared" si="56"/>
        <v>0.4562160210642443</v>
      </c>
      <c r="S850" s="255">
        <f t="shared" si="53"/>
        <v>2.85</v>
      </c>
      <c r="T850" s="255">
        <f t="shared" si="53"/>
        <v>2.85</v>
      </c>
      <c r="U850" s="254">
        <v>100100</v>
      </c>
      <c r="V850" s="254" t="s">
        <v>834</v>
      </c>
      <c r="W850" s="254" t="s">
        <v>899</v>
      </c>
      <c r="X850" s="254" t="s">
        <v>446</v>
      </c>
      <c r="Y850" s="254" t="s">
        <v>843</v>
      </c>
      <c r="Z850" s="254" t="s">
        <v>1125</v>
      </c>
      <c r="AA850" s="254" t="s">
        <v>838</v>
      </c>
    </row>
    <row r="851" spans="1:27" ht="14.4" x14ac:dyDescent="0.3">
      <c r="A851" s="253">
        <v>11</v>
      </c>
      <c r="B851" s="254" t="s">
        <v>850</v>
      </c>
      <c r="C851" s="254">
        <v>2949</v>
      </c>
      <c r="D851" s="254" t="s">
        <v>720</v>
      </c>
      <c r="E851" s="254" t="str">
        <f>_xlfn.XLOOKUP(C851,Clientes!I:I,Clientes!F:F)</f>
        <v>GRUPO MOSAIC FERTILIZANTES DO BRASIL</v>
      </c>
      <c r="F851" s="254">
        <v>1043</v>
      </c>
      <c r="G851" s="254" t="s">
        <v>875</v>
      </c>
      <c r="H851" s="254" t="s">
        <v>860</v>
      </c>
      <c r="I851" s="255">
        <v>30000</v>
      </c>
      <c r="J851" s="256">
        <v>30000</v>
      </c>
      <c r="K851" s="258">
        <v>69900</v>
      </c>
      <c r="L851" s="258">
        <v>-4893.0000000000009</v>
      </c>
      <c r="M851" s="258">
        <f t="shared" si="54"/>
        <v>65007</v>
      </c>
      <c r="N851" s="258">
        <v>-11712.512559241706</v>
      </c>
      <c r="O851" s="258">
        <v>-21548.474999999999</v>
      </c>
      <c r="P851" s="258">
        <v>-9.8092712350242159</v>
      </c>
      <c r="Q851" s="258">
        <f t="shared" si="55"/>
        <v>31736.203169523276</v>
      </c>
      <c r="R851" s="259">
        <f t="shared" si="56"/>
        <v>0.48819670450141178</v>
      </c>
      <c r="S851" s="255">
        <f t="shared" si="53"/>
        <v>2.33</v>
      </c>
      <c r="T851" s="255">
        <f t="shared" si="53"/>
        <v>2.33</v>
      </c>
      <c r="U851" s="254">
        <v>100100</v>
      </c>
      <c r="V851" s="254" t="s">
        <v>834</v>
      </c>
      <c r="W851" s="254" t="s">
        <v>876</v>
      </c>
      <c r="X851" s="254" t="s">
        <v>446</v>
      </c>
      <c r="Y851" s="254" t="s">
        <v>843</v>
      </c>
      <c r="Z851" s="254" t="s">
        <v>1125</v>
      </c>
      <c r="AA851" s="254" t="s">
        <v>838</v>
      </c>
    </row>
    <row r="852" spans="1:27" ht="14.4" x14ac:dyDescent="0.3">
      <c r="A852" s="253">
        <v>11</v>
      </c>
      <c r="B852" s="254" t="s">
        <v>850</v>
      </c>
      <c r="C852" s="254">
        <v>7443</v>
      </c>
      <c r="D852" s="254" t="s">
        <v>1016</v>
      </c>
      <c r="E852" s="254" t="str">
        <f>_xlfn.XLOOKUP(C852,Clientes!I:I,Clientes!F:F)</f>
        <v>GRUPO MOSAIC FERTILIZANTES DO BRASIL</v>
      </c>
      <c r="F852" s="254">
        <v>1043</v>
      </c>
      <c r="G852" s="254" t="s">
        <v>867</v>
      </c>
      <c r="H852" s="254" t="s">
        <v>860</v>
      </c>
      <c r="I852" s="255">
        <v>30000</v>
      </c>
      <c r="J852" s="256">
        <v>30000</v>
      </c>
      <c r="K852" s="258">
        <v>72000</v>
      </c>
      <c r="L852" s="258">
        <v>-5040.0000000000009</v>
      </c>
      <c r="M852" s="258">
        <f t="shared" si="54"/>
        <v>66960</v>
      </c>
      <c r="N852" s="258">
        <v>-11712.512559241706</v>
      </c>
      <c r="O852" s="258">
        <v>-2442.1605</v>
      </c>
      <c r="P852" s="258">
        <v>-1.1117174066360778</v>
      </c>
      <c r="Q852" s="258">
        <f t="shared" si="55"/>
        <v>52804.215223351661</v>
      </c>
      <c r="R852" s="259">
        <f t="shared" si="56"/>
        <v>0.78859341731409294</v>
      </c>
      <c r="S852" s="255">
        <f t="shared" si="53"/>
        <v>2.4</v>
      </c>
      <c r="T852" s="255">
        <f t="shared" si="53"/>
        <v>2.4</v>
      </c>
      <c r="U852" s="254">
        <v>100100</v>
      </c>
      <c r="V852" s="254" t="s">
        <v>834</v>
      </c>
      <c r="W852" s="254" t="s">
        <v>871</v>
      </c>
      <c r="X852" s="254" t="s">
        <v>446</v>
      </c>
      <c r="Y852" s="254" t="s">
        <v>843</v>
      </c>
      <c r="Z852" s="254" t="s">
        <v>1125</v>
      </c>
      <c r="AA852" s="254" t="s">
        <v>838</v>
      </c>
    </row>
    <row r="853" spans="1:27" ht="14.4" x14ac:dyDescent="0.3">
      <c r="A853" s="253">
        <v>11</v>
      </c>
      <c r="B853" s="254" t="s">
        <v>850</v>
      </c>
      <c r="C853" s="254">
        <v>7102</v>
      </c>
      <c r="D853" s="254" t="s">
        <v>906</v>
      </c>
      <c r="E853" s="254" t="str">
        <f>_xlfn.XLOOKUP(C853,Clientes!I:I,Clientes!F:F)</f>
        <v>GRUPO MOSAIC FERTILIZANTES DO BRASIL</v>
      </c>
      <c r="F853" s="254">
        <v>1043</v>
      </c>
      <c r="G853" s="254" t="s">
        <v>840</v>
      </c>
      <c r="H853" s="254" t="s">
        <v>860</v>
      </c>
      <c r="I853" s="255">
        <v>180000</v>
      </c>
      <c r="J853" s="256">
        <v>180000</v>
      </c>
      <c r="K853" s="258">
        <v>367200</v>
      </c>
      <c r="L853" s="258">
        <v>-25704.000000000004</v>
      </c>
      <c r="M853" s="258">
        <f t="shared" si="54"/>
        <v>341496</v>
      </c>
      <c r="N853" s="258">
        <v>-70275.075355450244</v>
      </c>
      <c r="O853" s="258">
        <v>-71885.712599999999</v>
      </c>
      <c r="P853" s="258">
        <v>-32.723728840040785</v>
      </c>
      <c r="Q853" s="258">
        <f t="shared" si="55"/>
        <v>199302.48831570969</v>
      </c>
      <c r="R853" s="259">
        <f t="shared" si="56"/>
        <v>0.58361587929495429</v>
      </c>
      <c r="S853" s="255">
        <f t="shared" si="53"/>
        <v>2.04</v>
      </c>
      <c r="T853" s="255">
        <f t="shared" si="53"/>
        <v>2.04</v>
      </c>
      <c r="U853" s="254">
        <v>100100</v>
      </c>
      <c r="V853" s="254" t="s">
        <v>834</v>
      </c>
      <c r="W853" s="254" t="s">
        <v>861</v>
      </c>
      <c r="X853" s="254" t="s">
        <v>446</v>
      </c>
      <c r="Y853" s="254" t="s">
        <v>843</v>
      </c>
      <c r="Z853" s="254" t="s">
        <v>1125</v>
      </c>
      <c r="AA853" s="254" t="s">
        <v>838</v>
      </c>
    </row>
    <row r="854" spans="1:27" ht="14.4" x14ac:dyDescent="0.3">
      <c r="A854" s="253">
        <v>11</v>
      </c>
      <c r="B854" s="254" t="s">
        <v>850</v>
      </c>
      <c r="C854" s="254">
        <v>214</v>
      </c>
      <c r="D854" s="254" t="s">
        <v>149</v>
      </c>
      <c r="E854" s="254" t="str">
        <f>_xlfn.XLOOKUP(C854,Clientes!I:I,Clientes!F:F)</f>
        <v>GRUPO UNIFERTIL</v>
      </c>
      <c r="F854" s="254">
        <v>3</v>
      </c>
      <c r="G854" s="254" t="s">
        <v>877</v>
      </c>
      <c r="H854" s="254" t="s">
        <v>879</v>
      </c>
      <c r="I854" s="255">
        <v>64000</v>
      </c>
      <c r="J854" s="256">
        <v>64000</v>
      </c>
      <c r="K854" s="258">
        <v>165760</v>
      </c>
      <c r="L854" s="258">
        <v>-19891.2</v>
      </c>
      <c r="M854" s="258">
        <f t="shared" si="54"/>
        <v>145868.79999999999</v>
      </c>
      <c r="N854" s="258">
        <v>-49902.29</v>
      </c>
      <c r="O854" s="258">
        <v>-51609.076479999996</v>
      </c>
      <c r="P854" s="258">
        <v>-23.493422591688223</v>
      </c>
      <c r="Q854" s="258">
        <f t="shared" si="55"/>
        <v>44333.940097408296</v>
      </c>
      <c r="R854" s="259">
        <f t="shared" si="56"/>
        <v>0.30393024483239939</v>
      </c>
      <c r="S854" s="255">
        <f t="shared" si="53"/>
        <v>2.59</v>
      </c>
      <c r="T854" s="255">
        <f t="shared" si="53"/>
        <v>2.59</v>
      </c>
      <c r="U854" s="254">
        <v>100100</v>
      </c>
      <c r="V854" s="254" t="s">
        <v>834</v>
      </c>
      <c r="W854" s="254" t="s">
        <v>880</v>
      </c>
      <c r="X854" s="254" t="s">
        <v>446</v>
      </c>
      <c r="Y854" s="254" t="s">
        <v>843</v>
      </c>
      <c r="Z854" s="254" t="s">
        <v>1125</v>
      </c>
      <c r="AA854" s="254" t="s">
        <v>838</v>
      </c>
    </row>
    <row r="855" spans="1:27" ht="14.4" x14ac:dyDescent="0.3">
      <c r="A855" s="253">
        <v>11</v>
      </c>
      <c r="B855" s="254" t="s">
        <v>850</v>
      </c>
      <c r="C855" s="254">
        <v>1462</v>
      </c>
      <c r="D855" s="254" t="s">
        <v>907</v>
      </c>
      <c r="E855" s="254" t="str">
        <f>_xlfn.XLOOKUP(C855,Clientes!I:I,Clientes!F:F)</f>
        <v>AURORA MINERAÇÃO LTDA</v>
      </c>
      <c r="F855" s="254">
        <v>1042</v>
      </c>
      <c r="G855" s="254" t="s">
        <v>908</v>
      </c>
      <c r="H855" s="254" t="s">
        <v>909</v>
      </c>
      <c r="I855" s="255">
        <v>45000</v>
      </c>
      <c r="J855" s="256">
        <v>45000</v>
      </c>
      <c r="K855" s="258">
        <v>75150</v>
      </c>
      <c r="L855" s="258">
        <v>-9018</v>
      </c>
      <c r="M855" s="258">
        <f t="shared" si="54"/>
        <v>66132</v>
      </c>
      <c r="N855" s="258">
        <v>-24388.066666666666</v>
      </c>
      <c r="O855" s="258">
        <v>0</v>
      </c>
      <c r="P855" s="258">
        <v>0</v>
      </c>
      <c r="Q855" s="258">
        <f t="shared" si="55"/>
        <v>41743.933333333334</v>
      </c>
      <c r="R855" s="259">
        <f t="shared" si="56"/>
        <v>0.63122139559265311</v>
      </c>
      <c r="S855" s="255">
        <f t="shared" si="53"/>
        <v>1.67</v>
      </c>
      <c r="T855" s="255">
        <f t="shared" si="53"/>
        <v>1.67</v>
      </c>
      <c r="U855" s="254">
        <v>100100</v>
      </c>
      <c r="V855" s="254" t="s">
        <v>834</v>
      </c>
      <c r="W855" s="254" t="s">
        <v>910</v>
      </c>
      <c r="X855" s="254" t="s">
        <v>446</v>
      </c>
      <c r="Y855" s="254" t="s">
        <v>843</v>
      </c>
      <c r="Z855" s="254" t="s">
        <v>1125</v>
      </c>
      <c r="AA855" s="254" t="s">
        <v>838</v>
      </c>
    </row>
    <row r="856" spans="1:27" ht="14.4" x14ac:dyDescent="0.3">
      <c r="A856" s="253">
        <v>11</v>
      </c>
      <c r="B856" s="254" t="s">
        <v>850</v>
      </c>
      <c r="C856" s="254">
        <v>2588</v>
      </c>
      <c r="D856" s="254" t="s">
        <v>70</v>
      </c>
      <c r="E856" s="254" t="str">
        <f>_xlfn.XLOOKUP(C856,Clientes!I:I,Clientes!F:F)</f>
        <v>GRUPO FERTILIZ TOCANTINS</v>
      </c>
      <c r="F856" s="254">
        <v>6564</v>
      </c>
      <c r="G856" s="254" t="s">
        <v>840</v>
      </c>
      <c r="H856" s="254" t="s">
        <v>914</v>
      </c>
      <c r="I856" s="255">
        <v>128000</v>
      </c>
      <c r="J856" s="256">
        <v>128000</v>
      </c>
      <c r="K856" s="258">
        <v>400640</v>
      </c>
      <c r="L856" s="258">
        <v>-28044.800000000003</v>
      </c>
      <c r="M856" s="258">
        <f t="shared" si="54"/>
        <v>372595.20000000001</v>
      </c>
      <c r="N856" s="258">
        <v>-123872.40844221106</v>
      </c>
      <c r="O856" s="258">
        <v>-93411.202560000005</v>
      </c>
      <c r="P856" s="258">
        <v>-42.522536852414319</v>
      </c>
      <c r="Q856" s="258">
        <f t="shared" si="55"/>
        <v>155269.06646093653</v>
      </c>
      <c r="R856" s="259">
        <f t="shared" si="56"/>
        <v>0.41672320647430922</v>
      </c>
      <c r="S856" s="255">
        <f t="shared" si="53"/>
        <v>3.13</v>
      </c>
      <c r="T856" s="255">
        <f t="shared" si="53"/>
        <v>3.13</v>
      </c>
      <c r="U856" s="254">
        <v>100200</v>
      </c>
      <c r="V856" s="254" t="s">
        <v>912</v>
      </c>
      <c r="W856" s="254" t="s">
        <v>915</v>
      </c>
      <c r="X856" s="254" t="s">
        <v>446</v>
      </c>
      <c r="Y856" s="254" t="s">
        <v>843</v>
      </c>
      <c r="Z856" s="254" t="s">
        <v>1125</v>
      </c>
      <c r="AA856" s="254" t="s">
        <v>838</v>
      </c>
    </row>
    <row r="857" spans="1:27" ht="14.4" x14ac:dyDescent="0.3">
      <c r="A857" s="253">
        <v>11</v>
      </c>
      <c r="B857" s="254" t="s">
        <v>850</v>
      </c>
      <c r="C857" s="254">
        <v>1953</v>
      </c>
      <c r="D857" s="254" t="s">
        <v>66</v>
      </c>
      <c r="E857" s="254" t="str">
        <f>_xlfn.XLOOKUP(C857,Clientes!I:I,Clientes!F:F)</f>
        <v>GRUPO AMAGGI</v>
      </c>
      <c r="F857" s="254">
        <v>113</v>
      </c>
      <c r="G857" s="254" t="s">
        <v>840</v>
      </c>
      <c r="H857" s="254" t="s">
        <v>913</v>
      </c>
      <c r="I857" s="255">
        <v>60000</v>
      </c>
      <c r="J857" s="256">
        <v>60000</v>
      </c>
      <c r="K857" s="258">
        <v>174000</v>
      </c>
      <c r="L857" s="258">
        <v>-12180.000000000002</v>
      </c>
      <c r="M857" s="258">
        <f t="shared" si="54"/>
        <v>161820</v>
      </c>
      <c r="N857" s="258">
        <v>-54323.613068181839</v>
      </c>
      <c r="O857" s="258">
        <v>-41876.730604799995</v>
      </c>
      <c r="P857" s="258">
        <v>-19.063075644031557</v>
      </c>
      <c r="Q857" s="258">
        <f t="shared" si="55"/>
        <v>65600.593251374128</v>
      </c>
      <c r="R857" s="259">
        <f t="shared" si="56"/>
        <v>0.40539236961669833</v>
      </c>
      <c r="S857" s="255">
        <f t="shared" si="53"/>
        <v>2.9</v>
      </c>
      <c r="T857" s="255">
        <f t="shared" si="53"/>
        <v>2.9</v>
      </c>
      <c r="U857" s="254">
        <v>100200</v>
      </c>
      <c r="V857" s="254" t="s">
        <v>912</v>
      </c>
      <c r="W857" s="254" t="s">
        <v>1008</v>
      </c>
      <c r="X857" s="254" t="s">
        <v>446</v>
      </c>
      <c r="Y857" s="254" t="s">
        <v>843</v>
      </c>
      <c r="Z857" s="254" t="s">
        <v>1125</v>
      </c>
      <c r="AA857" s="254" t="s">
        <v>838</v>
      </c>
    </row>
    <row r="858" spans="1:27" ht="14.4" x14ac:dyDescent="0.3">
      <c r="A858" s="253">
        <v>11</v>
      </c>
      <c r="B858" s="254" t="s">
        <v>850</v>
      </c>
      <c r="C858" s="254">
        <v>8414</v>
      </c>
      <c r="D858" s="254" t="s">
        <v>98</v>
      </c>
      <c r="E858" s="254" t="str">
        <f>_xlfn.XLOOKUP(C858,Clientes!I:I,Clientes!F:F)</f>
        <v>GRUPO AMAGGI</v>
      </c>
      <c r="F858" s="254">
        <v>113</v>
      </c>
      <c r="G858" s="254" t="s">
        <v>1061</v>
      </c>
      <c r="H858" s="254" t="s">
        <v>913</v>
      </c>
      <c r="I858" s="255">
        <v>30000</v>
      </c>
      <c r="J858" s="256">
        <v>30000</v>
      </c>
      <c r="K858" s="258">
        <v>94500</v>
      </c>
      <c r="L858" s="258">
        <v>-6615.0000000000009</v>
      </c>
      <c r="M858" s="258">
        <f t="shared" si="54"/>
        <v>87885</v>
      </c>
      <c r="N858" s="258">
        <v>-27161.80653409092</v>
      </c>
      <c r="O858" s="258">
        <v>-24507.690479999997</v>
      </c>
      <c r="P858" s="258">
        <v>-11.156361796477052</v>
      </c>
      <c r="Q858" s="258">
        <f t="shared" si="55"/>
        <v>36204.346624112601</v>
      </c>
      <c r="R858" s="259">
        <f t="shared" si="56"/>
        <v>0.41195137536681575</v>
      </c>
      <c r="S858" s="255">
        <f t="shared" si="53"/>
        <v>3.15</v>
      </c>
      <c r="T858" s="255">
        <f t="shared" si="53"/>
        <v>3.15</v>
      </c>
      <c r="U858" s="254">
        <v>100200</v>
      </c>
      <c r="V858" s="254" t="s">
        <v>912</v>
      </c>
      <c r="W858" s="254" t="s">
        <v>1062</v>
      </c>
      <c r="X858" s="254" t="s">
        <v>446</v>
      </c>
      <c r="Y858" s="254" t="s">
        <v>843</v>
      </c>
      <c r="Z858" s="254" t="s">
        <v>1125</v>
      </c>
      <c r="AA858" s="254" t="s">
        <v>838</v>
      </c>
    </row>
    <row r="859" spans="1:27" ht="14.4" x14ac:dyDescent="0.3">
      <c r="A859" s="253">
        <v>11</v>
      </c>
      <c r="B859" s="254" t="s">
        <v>850</v>
      </c>
      <c r="C859" s="254">
        <v>912</v>
      </c>
      <c r="D859" s="254" t="s">
        <v>217</v>
      </c>
      <c r="E859" s="254" t="str">
        <f>_xlfn.XLOOKUP(C859,Clientes!I:I,Clientes!F:F)</f>
        <v>GRUPO FERTILIZE</v>
      </c>
      <c r="F859" s="254">
        <v>113</v>
      </c>
      <c r="G859" s="254" t="s">
        <v>862</v>
      </c>
      <c r="H859" s="254" t="s">
        <v>913</v>
      </c>
      <c r="I859" s="255">
        <v>30000</v>
      </c>
      <c r="J859" s="256">
        <v>30000</v>
      </c>
      <c r="K859" s="258">
        <v>94500</v>
      </c>
      <c r="L859" s="258">
        <v>-11340</v>
      </c>
      <c r="M859" s="258">
        <f t="shared" si="54"/>
        <v>83160</v>
      </c>
      <c r="N859" s="258">
        <v>-27161.80653409092</v>
      </c>
      <c r="O859" s="258">
        <v>-15342.5142</v>
      </c>
      <c r="P859" s="258">
        <v>-6.9842011193372429</v>
      </c>
      <c r="Q859" s="258">
        <f t="shared" si="55"/>
        <v>40648.695064789739</v>
      </c>
      <c r="R859" s="259">
        <f t="shared" si="56"/>
        <v>0.48880104695514359</v>
      </c>
      <c r="S859" s="255">
        <f t="shared" si="53"/>
        <v>3.15</v>
      </c>
      <c r="T859" s="255">
        <f t="shared" si="53"/>
        <v>3.15</v>
      </c>
      <c r="U859" s="254">
        <v>100200</v>
      </c>
      <c r="V859" s="254" t="s">
        <v>912</v>
      </c>
      <c r="W859" s="254" t="s">
        <v>1028</v>
      </c>
      <c r="X859" s="254" t="s">
        <v>446</v>
      </c>
      <c r="Y859" s="254" t="s">
        <v>843</v>
      </c>
      <c r="Z859" s="254" t="s">
        <v>1125</v>
      </c>
      <c r="AA859" s="254" t="s">
        <v>838</v>
      </c>
    </row>
    <row r="860" spans="1:27" ht="14.4" x14ac:dyDescent="0.3">
      <c r="A860" s="253">
        <v>11</v>
      </c>
      <c r="B860" s="254" t="s">
        <v>850</v>
      </c>
      <c r="C860" s="254">
        <v>5182</v>
      </c>
      <c r="D860" s="254" t="s">
        <v>1081</v>
      </c>
      <c r="E860" s="254" t="str">
        <f>_xlfn.XLOOKUP(C860,Clientes!I:I,Clientes!F:F)</f>
        <v>GRUPO FERTIPAR FERTILIZANTES MATO GROSSO</v>
      </c>
      <c r="F860" s="254">
        <v>113</v>
      </c>
      <c r="G860" s="254" t="s">
        <v>840</v>
      </c>
      <c r="H860" s="254" t="s">
        <v>913</v>
      </c>
      <c r="I860" s="255">
        <v>180000</v>
      </c>
      <c r="J860" s="256">
        <v>180000</v>
      </c>
      <c r="K860" s="258">
        <v>484200</v>
      </c>
      <c r="L860" s="258">
        <v>-33894</v>
      </c>
      <c r="M860" s="258">
        <f t="shared" si="54"/>
        <v>450306</v>
      </c>
      <c r="N860" s="258">
        <v>-162970.83920454551</v>
      </c>
      <c r="O860" s="258">
        <v>-131359.5036</v>
      </c>
      <c r="P860" s="258">
        <v>-59.797317448707624</v>
      </c>
      <c r="Q860" s="258">
        <f t="shared" si="55"/>
        <v>155915.85987800581</v>
      </c>
      <c r="R860" s="259">
        <f t="shared" si="56"/>
        <v>0.34624424253286834</v>
      </c>
      <c r="S860" s="255">
        <f t="shared" si="53"/>
        <v>2.69</v>
      </c>
      <c r="T860" s="255">
        <f t="shared" si="53"/>
        <v>2.69</v>
      </c>
      <c r="U860" s="254">
        <v>100200</v>
      </c>
      <c r="V860" s="254" t="s">
        <v>912</v>
      </c>
      <c r="W860" s="254" t="s">
        <v>915</v>
      </c>
      <c r="X860" s="254" t="s">
        <v>446</v>
      </c>
      <c r="Y860" s="254" t="s">
        <v>843</v>
      </c>
      <c r="Z860" s="254" t="s">
        <v>1125</v>
      </c>
      <c r="AA860" s="254" t="s">
        <v>838</v>
      </c>
    </row>
    <row r="861" spans="1:27" ht="14.4" x14ac:dyDescent="0.3">
      <c r="A861" s="253">
        <v>11</v>
      </c>
      <c r="B861" s="254" t="s">
        <v>850</v>
      </c>
      <c r="C861" s="254">
        <v>2975</v>
      </c>
      <c r="D861" s="254" t="s">
        <v>420</v>
      </c>
      <c r="E861" s="254" t="str">
        <f>_xlfn.XLOOKUP(C861,Clientes!I:I,Clientes!F:F)</f>
        <v>COONAGRO COOPERATIVA - PARANAGUA</v>
      </c>
      <c r="F861" s="254">
        <v>10343</v>
      </c>
      <c r="G861" s="254" t="s">
        <v>862</v>
      </c>
      <c r="H861" s="254" t="s">
        <v>911</v>
      </c>
      <c r="I861" s="255">
        <v>15000</v>
      </c>
      <c r="J861" s="256">
        <v>15000</v>
      </c>
      <c r="K861" s="258">
        <v>61350</v>
      </c>
      <c r="L861" s="258">
        <v>-7362</v>
      </c>
      <c r="M861" s="258">
        <f t="shared" si="54"/>
        <v>53988</v>
      </c>
      <c r="N861" s="258">
        <v>-23386.333333333336</v>
      </c>
      <c r="O861" s="258">
        <v>-10935.990696618001</v>
      </c>
      <c r="P861" s="258">
        <v>-4.9782687158523942</v>
      </c>
      <c r="Q861" s="258">
        <f t="shared" si="55"/>
        <v>19660.697701332814</v>
      </c>
      <c r="R861" s="259">
        <f t="shared" si="56"/>
        <v>0.36416792067372034</v>
      </c>
      <c r="S861" s="255">
        <f t="shared" si="53"/>
        <v>4.09</v>
      </c>
      <c r="T861" s="255">
        <f t="shared" si="53"/>
        <v>4.09</v>
      </c>
      <c r="U861" s="254">
        <v>100200</v>
      </c>
      <c r="V861" s="254" t="s">
        <v>912</v>
      </c>
      <c r="W861" s="254" t="s">
        <v>864</v>
      </c>
      <c r="X861" s="254" t="s">
        <v>446</v>
      </c>
      <c r="Y861" s="254" t="s">
        <v>843</v>
      </c>
      <c r="Z861" s="254" t="s">
        <v>1125</v>
      </c>
      <c r="AA861" s="254" t="s">
        <v>838</v>
      </c>
    </row>
    <row r="862" spans="1:27" ht="14.4" x14ac:dyDescent="0.3">
      <c r="A862" s="253">
        <v>11</v>
      </c>
      <c r="B862" s="254" t="s">
        <v>850</v>
      </c>
      <c r="C862" s="254">
        <v>205</v>
      </c>
      <c r="D862" s="254" t="s">
        <v>859</v>
      </c>
      <c r="E862" s="254" t="str">
        <f>_xlfn.XLOOKUP(C862,Clientes!I:I,Clientes!F:F)</f>
        <v>GRUPO FERTIPAR FERTILIZANTES MATO GROSSO</v>
      </c>
      <c r="F862" s="254">
        <v>6564</v>
      </c>
      <c r="G862" s="254" t="s">
        <v>840</v>
      </c>
      <c r="H862" s="254" t="s">
        <v>914</v>
      </c>
      <c r="I862" s="255">
        <v>240000</v>
      </c>
      <c r="J862" s="256">
        <v>240000</v>
      </c>
      <c r="K862" s="258">
        <v>604800</v>
      </c>
      <c r="L862" s="258">
        <v>-42336.000000000007</v>
      </c>
      <c r="M862" s="258">
        <f t="shared" si="54"/>
        <v>562464</v>
      </c>
      <c r="N862" s="258">
        <v>-232260.76582914573</v>
      </c>
      <c r="O862" s="258">
        <v>-95847.616800000003</v>
      </c>
      <c r="P862" s="258">
        <v>-43.631638453387723</v>
      </c>
      <c r="Q862" s="258">
        <f t="shared" si="55"/>
        <v>234311.98573240085</v>
      </c>
      <c r="R862" s="259">
        <f t="shared" si="56"/>
        <v>0.41658130250540631</v>
      </c>
      <c r="S862" s="255">
        <f t="shared" si="53"/>
        <v>2.52</v>
      </c>
      <c r="T862" s="255">
        <f t="shared" si="53"/>
        <v>2.52</v>
      </c>
      <c r="U862" s="254">
        <v>100200</v>
      </c>
      <c r="V862" s="254" t="s">
        <v>912</v>
      </c>
      <c r="W862" s="254" t="s">
        <v>861</v>
      </c>
      <c r="X862" s="254" t="s">
        <v>446</v>
      </c>
      <c r="Y862" s="254" t="s">
        <v>843</v>
      </c>
      <c r="Z862" s="254" t="s">
        <v>1125</v>
      </c>
      <c r="AA862" s="254" t="s">
        <v>838</v>
      </c>
    </row>
    <row r="863" spans="1:27" ht="14.4" x14ac:dyDescent="0.3">
      <c r="A863" s="253">
        <v>11</v>
      </c>
      <c r="B863" s="254" t="s">
        <v>850</v>
      </c>
      <c r="C863" s="254">
        <v>214</v>
      </c>
      <c r="D863" s="254" t="s">
        <v>149</v>
      </c>
      <c r="E863" s="254" t="str">
        <f>_xlfn.XLOOKUP(C863,Clientes!I:I,Clientes!F:F)</f>
        <v>GRUPO UNIFERTIL</v>
      </c>
      <c r="F863" s="254">
        <v>113</v>
      </c>
      <c r="G863" s="254" t="s">
        <v>877</v>
      </c>
      <c r="H863" s="254" t="s">
        <v>913</v>
      </c>
      <c r="I863" s="255">
        <v>120000</v>
      </c>
      <c r="J863" s="256">
        <v>120000</v>
      </c>
      <c r="K863" s="258">
        <v>370800</v>
      </c>
      <c r="L863" s="258">
        <v>-44496</v>
      </c>
      <c r="M863" s="258">
        <f t="shared" si="54"/>
        <v>326304</v>
      </c>
      <c r="N863" s="258">
        <v>-108647.22613636368</v>
      </c>
      <c r="O863" s="258">
        <v>-96767.018399999986</v>
      </c>
      <c r="P863" s="258">
        <v>-44.050167359415411</v>
      </c>
      <c r="Q863" s="258">
        <f t="shared" si="55"/>
        <v>120845.70529627691</v>
      </c>
      <c r="R863" s="259">
        <f t="shared" si="56"/>
        <v>0.37034699328318654</v>
      </c>
      <c r="S863" s="255">
        <f t="shared" si="53"/>
        <v>3.09</v>
      </c>
      <c r="T863" s="255">
        <f t="shared" si="53"/>
        <v>3.09</v>
      </c>
      <c r="U863" s="254">
        <v>100200</v>
      </c>
      <c r="V863" s="254" t="s">
        <v>912</v>
      </c>
      <c r="W863" s="254" t="s">
        <v>880</v>
      </c>
      <c r="X863" s="254" t="s">
        <v>446</v>
      </c>
      <c r="Y863" s="254" t="s">
        <v>843</v>
      </c>
      <c r="Z863" s="254" t="s">
        <v>1125</v>
      </c>
      <c r="AA863" s="254" t="s">
        <v>838</v>
      </c>
    </row>
    <row r="864" spans="1:27" ht="14.4" x14ac:dyDescent="0.3">
      <c r="A864" s="253">
        <v>11</v>
      </c>
      <c r="B864" s="254" t="s">
        <v>850</v>
      </c>
      <c r="C864" s="254">
        <v>10492</v>
      </c>
      <c r="D864" s="254" t="s">
        <v>101</v>
      </c>
      <c r="E864" s="254" t="str">
        <f>_xlfn.XLOOKUP(C864,Clientes!I:I,Clientes!F:F)</f>
        <v>GRUPO UNIFERTIL</v>
      </c>
      <c r="F864" s="254">
        <v>113</v>
      </c>
      <c r="G864" s="254" t="s">
        <v>877</v>
      </c>
      <c r="H864" s="254" t="s">
        <v>913</v>
      </c>
      <c r="I864" s="255">
        <v>128000</v>
      </c>
      <c r="J864" s="256">
        <v>128000</v>
      </c>
      <c r="K864" s="258">
        <v>395520</v>
      </c>
      <c r="L864" s="258">
        <v>-47462.400000000001</v>
      </c>
      <c r="M864" s="258">
        <f t="shared" si="54"/>
        <v>348057.59999999998</v>
      </c>
      <c r="N864" s="258">
        <v>-115890.3745454546</v>
      </c>
      <c r="O864" s="258">
        <v>-104198.848</v>
      </c>
      <c r="P864" s="258">
        <v>-47.433276016472661</v>
      </c>
      <c r="Q864" s="258">
        <f t="shared" si="55"/>
        <v>127920.94417852891</v>
      </c>
      <c r="R864" s="259">
        <f t="shared" si="56"/>
        <v>0.36752808781801899</v>
      </c>
      <c r="S864" s="255">
        <f t="shared" si="53"/>
        <v>3.09</v>
      </c>
      <c r="T864" s="255">
        <f t="shared" si="53"/>
        <v>3.09</v>
      </c>
      <c r="U864" s="254">
        <v>100200</v>
      </c>
      <c r="V864" s="254" t="s">
        <v>912</v>
      </c>
      <c r="W864" s="254" t="s">
        <v>878</v>
      </c>
      <c r="X864" s="254" t="s">
        <v>446</v>
      </c>
      <c r="Y864" s="254" t="s">
        <v>843</v>
      </c>
      <c r="Z864" s="254" t="s">
        <v>1125</v>
      </c>
      <c r="AA864" s="254" t="s">
        <v>838</v>
      </c>
    </row>
    <row r="865" spans="1:27" ht="14.4" x14ac:dyDescent="0.3">
      <c r="A865" s="253">
        <v>11</v>
      </c>
      <c r="B865" s="254" t="s">
        <v>850</v>
      </c>
      <c r="C865" s="254">
        <v>8413</v>
      </c>
      <c r="D865" s="254" t="s">
        <v>97</v>
      </c>
      <c r="E865" s="254" t="str">
        <f>_xlfn.XLOOKUP(C865,Clientes!I:I,Clientes!F:F)</f>
        <v>GRUPO AMAGGI</v>
      </c>
      <c r="F865" s="254">
        <v>113</v>
      </c>
      <c r="G865" s="254" t="s">
        <v>840</v>
      </c>
      <c r="H865" s="254" t="s">
        <v>913</v>
      </c>
      <c r="I865" s="255">
        <v>96000</v>
      </c>
      <c r="J865" s="256">
        <v>96000</v>
      </c>
      <c r="K865" s="258">
        <v>278400</v>
      </c>
      <c r="L865" s="258">
        <v>-19488.000000000004</v>
      </c>
      <c r="M865" s="258">
        <f t="shared" si="54"/>
        <v>258912</v>
      </c>
      <c r="N865" s="258">
        <v>-86917.780909090943</v>
      </c>
      <c r="O865" s="258">
        <v>-70058.401919999989</v>
      </c>
      <c r="P865" s="258">
        <v>-31.891902639310732</v>
      </c>
      <c r="Q865" s="258">
        <f t="shared" si="55"/>
        <v>101903.92526826976</v>
      </c>
      <c r="R865" s="259">
        <f t="shared" si="56"/>
        <v>0.39358517669428128</v>
      </c>
      <c r="S865" s="255">
        <f t="shared" si="53"/>
        <v>2.9</v>
      </c>
      <c r="T865" s="255">
        <f t="shared" si="53"/>
        <v>2.9</v>
      </c>
      <c r="U865" s="254">
        <v>100200</v>
      </c>
      <c r="V865" s="254" t="s">
        <v>912</v>
      </c>
      <c r="W865" s="254" t="s">
        <v>915</v>
      </c>
      <c r="X865" s="254" t="s">
        <v>446</v>
      </c>
      <c r="Y865" s="254" t="s">
        <v>843</v>
      </c>
      <c r="Z865" s="254" t="s">
        <v>1125</v>
      </c>
      <c r="AA865" s="254" t="s">
        <v>838</v>
      </c>
    </row>
    <row r="866" spans="1:27" ht="14.4" x14ac:dyDescent="0.3">
      <c r="A866" s="253">
        <v>11</v>
      </c>
      <c r="B866" s="254" t="s">
        <v>850</v>
      </c>
      <c r="C866" s="254">
        <v>252</v>
      </c>
      <c r="D866" s="254" t="s">
        <v>37</v>
      </c>
      <c r="E866" s="254" t="str">
        <f>_xlfn.XLOOKUP(C866,Clientes!I:I,Clientes!F:F)</f>
        <v>GRUPO FERTIPAR FERTILIZANTES PARANA</v>
      </c>
      <c r="F866" s="254">
        <v>10343</v>
      </c>
      <c r="G866" s="254" t="s">
        <v>862</v>
      </c>
      <c r="H866" s="254" t="s">
        <v>911</v>
      </c>
      <c r="I866" s="255">
        <v>30000</v>
      </c>
      <c r="J866" s="256">
        <v>30000</v>
      </c>
      <c r="K866" s="258">
        <v>112800</v>
      </c>
      <c r="L866" s="258">
        <v>-13536</v>
      </c>
      <c r="M866" s="258">
        <f t="shared" si="54"/>
        <v>99264</v>
      </c>
      <c r="N866" s="258">
        <v>-46772.666666666672</v>
      </c>
      <c r="O866" s="258">
        <v>-14049.6057</v>
      </c>
      <c r="P866" s="258">
        <v>-6.3956448452357897</v>
      </c>
      <c r="Q866" s="258">
        <f t="shared" si="55"/>
        <v>38435.331988488091</v>
      </c>
      <c r="R866" s="259">
        <f t="shared" si="56"/>
        <v>0.38720313495817305</v>
      </c>
      <c r="S866" s="255">
        <f t="shared" si="53"/>
        <v>3.76</v>
      </c>
      <c r="T866" s="255">
        <f t="shared" si="53"/>
        <v>3.76</v>
      </c>
      <c r="U866" s="254">
        <v>100200</v>
      </c>
      <c r="V866" s="254" t="s">
        <v>912</v>
      </c>
      <c r="W866" s="254" t="s">
        <v>864</v>
      </c>
      <c r="X866" s="254" t="s">
        <v>446</v>
      </c>
      <c r="Y866" s="254" t="s">
        <v>843</v>
      </c>
      <c r="Z866" s="254" t="s">
        <v>1125</v>
      </c>
      <c r="AA866" s="254" t="s">
        <v>838</v>
      </c>
    </row>
    <row r="867" spans="1:27" ht="14.4" x14ac:dyDescent="0.3">
      <c r="A867" s="253">
        <v>11</v>
      </c>
      <c r="B867" s="254" t="s">
        <v>850</v>
      </c>
      <c r="C867" s="254">
        <v>10434</v>
      </c>
      <c r="D867" s="254" t="s">
        <v>99</v>
      </c>
      <c r="E867" s="254" t="str">
        <f>_xlfn.XLOOKUP(C867,Clientes!I:I,Clientes!F:F)</f>
        <v>GRUPO CIBRA</v>
      </c>
      <c r="F867" s="254">
        <v>6564</v>
      </c>
      <c r="G867" s="254" t="s">
        <v>840</v>
      </c>
      <c r="H867" s="254" t="s">
        <v>914</v>
      </c>
      <c r="I867" s="255">
        <v>30000</v>
      </c>
      <c r="J867" s="256">
        <v>30000</v>
      </c>
      <c r="K867" s="258">
        <v>92400</v>
      </c>
      <c r="L867" s="258">
        <v>-6468.0000000000009</v>
      </c>
      <c r="M867" s="258">
        <f t="shared" si="54"/>
        <v>85932</v>
      </c>
      <c r="N867" s="258">
        <v>-29032.595728643217</v>
      </c>
      <c r="O867" s="258">
        <v>-21893.250599999999</v>
      </c>
      <c r="P867" s="258">
        <v>-9.9662195747846045</v>
      </c>
      <c r="Q867" s="258">
        <f t="shared" si="55"/>
        <v>34996.187451781996</v>
      </c>
      <c r="R867" s="259">
        <f t="shared" si="56"/>
        <v>0.40725442735863238</v>
      </c>
      <c r="S867" s="255">
        <f t="shared" si="53"/>
        <v>3.08</v>
      </c>
      <c r="T867" s="255">
        <f t="shared" si="53"/>
        <v>3.08</v>
      </c>
      <c r="U867" s="254">
        <v>100200</v>
      </c>
      <c r="V867" s="254" t="s">
        <v>912</v>
      </c>
      <c r="W867" s="254" t="s">
        <v>915</v>
      </c>
      <c r="X867" s="254" t="s">
        <v>446</v>
      </c>
      <c r="Y867" s="254" t="s">
        <v>843</v>
      </c>
      <c r="Z867" s="254" t="s">
        <v>1125</v>
      </c>
      <c r="AA867" s="254" t="s">
        <v>838</v>
      </c>
    </row>
    <row r="868" spans="1:27" ht="14.4" x14ac:dyDescent="0.3">
      <c r="A868" s="253">
        <v>11</v>
      </c>
      <c r="B868" s="254" t="s">
        <v>850</v>
      </c>
      <c r="C868" s="254">
        <v>456</v>
      </c>
      <c r="D868" s="254" t="s">
        <v>312</v>
      </c>
      <c r="E868" s="254" t="str">
        <f>_xlfn.XLOOKUP(C868,Clientes!I:I,Clientes!F:F)</f>
        <v>GRUPO FERTIPAR FERTILIZANTES DO NORDESTE</v>
      </c>
      <c r="F868" s="254">
        <v>113</v>
      </c>
      <c r="G868" s="254" t="s">
        <v>875</v>
      </c>
      <c r="H868" s="254" t="s">
        <v>913</v>
      </c>
      <c r="I868" s="255">
        <v>30000</v>
      </c>
      <c r="J868" s="256">
        <v>30000</v>
      </c>
      <c r="K868" s="258">
        <v>100200</v>
      </c>
      <c r="L868" s="258">
        <v>-7014.0000000000009</v>
      </c>
      <c r="M868" s="258">
        <f t="shared" si="54"/>
        <v>93186</v>
      </c>
      <c r="N868" s="258">
        <v>-27161.80653409092</v>
      </c>
      <c r="O868" s="258">
        <v>-21548.474999999999</v>
      </c>
      <c r="P868" s="258">
        <v>-9.8092712350242159</v>
      </c>
      <c r="Q868" s="258">
        <f t="shared" si="55"/>
        <v>44465.909194674052</v>
      </c>
      <c r="R868" s="259">
        <f t="shared" si="56"/>
        <v>0.47717370843983059</v>
      </c>
      <c r="S868" s="255">
        <f t="shared" si="53"/>
        <v>3.34</v>
      </c>
      <c r="T868" s="255">
        <f t="shared" si="53"/>
        <v>3.34</v>
      </c>
      <c r="U868" s="254">
        <v>100200</v>
      </c>
      <c r="V868" s="254" t="s">
        <v>912</v>
      </c>
      <c r="W868" s="254" t="s">
        <v>876</v>
      </c>
      <c r="X868" s="254" t="s">
        <v>446</v>
      </c>
      <c r="Y868" s="254" t="s">
        <v>843</v>
      </c>
      <c r="Z868" s="254" t="s">
        <v>1125</v>
      </c>
      <c r="AA868" s="254" t="s">
        <v>838</v>
      </c>
    </row>
    <row r="869" spans="1:27" ht="14.4" x14ac:dyDescent="0.3">
      <c r="A869" s="253">
        <v>11</v>
      </c>
      <c r="B869" s="254" t="s">
        <v>850</v>
      </c>
      <c r="C869" s="254">
        <v>452</v>
      </c>
      <c r="D869" s="254" t="s">
        <v>900</v>
      </c>
      <c r="E869" s="254" t="str">
        <f>_xlfn.XLOOKUP(C869,Clientes!I:I,Clientes!F:F)</f>
        <v>GRUPO FERTIPAR FERTILIZANTES MARANHAO</v>
      </c>
      <c r="F869" s="254">
        <v>113</v>
      </c>
      <c r="G869" s="254" t="s">
        <v>897</v>
      </c>
      <c r="H869" s="254" t="s">
        <v>913</v>
      </c>
      <c r="I869" s="255">
        <v>30000</v>
      </c>
      <c r="J869" s="256">
        <v>30000</v>
      </c>
      <c r="K869" s="258">
        <v>105600</v>
      </c>
      <c r="L869" s="258">
        <v>-7392.0000000000009</v>
      </c>
      <c r="M869" s="258">
        <f t="shared" si="54"/>
        <v>98208</v>
      </c>
      <c r="N869" s="258">
        <v>-27161.80653409092</v>
      </c>
      <c r="O869" s="258">
        <v>-26461.527299999998</v>
      </c>
      <c r="P869" s="258">
        <v>-12.045785076609738</v>
      </c>
      <c r="Q869" s="258">
        <f t="shared" si="55"/>
        <v>44572.620380832464</v>
      </c>
      <c r="R869" s="259">
        <f t="shared" si="56"/>
        <v>0.45385936360411028</v>
      </c>
      <c r="S869" s="255">
        <f t="shared" si="53"/>
        <v>3.52</v>
      </c>
      <c r="T869" s="255">
        <f t="shared" si="53"/>
        <v>3.52</v>
      </c>
      <c r="U869" s="254">
        <v>100200</v>
      </c>
      <c r="V869" s="254" t="s">
        <v>912</v>
      </c>
      <c r="W869" s="254" t="s">
        <v>899</v>
      </c>
      <c r="X869" s="254" t="s">
        <v>446</v>
      </c>
      <c r="Y869" s="254" t="s">
        <v>843</v>
      </c>
      <c r="Z869" s="254" t="s">
        <v>1125</v>
      </c>
      <c r="AA869" s="254" t="s">
        <v>838</v>
      </c>
    </row>
    <row r="870" spans="1:27" ht="14.4" x14ac:dyDescent="0.3">
      <c r="A870" s="253">
        <v>13</v>
      </c>
      <c r="B870" s="254" t="s">
        <v>850</v>
      </c>
      <c r="C870" s="254">
        <v>7662</v>
      </c>
      <c r="D870" s="254" t="s">
        <v>95</v>
      </c>
      <c r="E870" s="254" t="str">
        <f>_xlfn.XLOOKUP(C870,Clientes!I:I,Clientes!F:F)</f>
        <v>BENTONIT UNIAO - CAMPINA GRANDE</v>
      </c>
      <c r="F870" s="254">
        <v>7</v>
      </c>
      <c r="G870" s="254" t="s">
        <v>1022</v>
      </c>
      <c r="H870" s="254" t="s">
        <v>1023</v>
      </c>
      <c r="I870" s="255">
        <v>6000</v>
      </c>
      <c r="J870" s="256">
        <v>6000</v>
      </c>
      <c r="K870" s="258">
        <v>234328.51074753163</v>
      </c>
      <c r="L870" s="258">
        <v>-36519.211500000005</v>
      </c>
      <c r="M870" s="258">
        <f t="shared" si="54"/>
        <v>197809.29924753163</v>
      </c>
      <c r="N870" s="258">
        <v>-54602.16</v>
      </c>
      <c r="O870" s="258">
        <v>0</v>
      </c>
      <c r="P870" s="258">
        <v>0</v>
      </c>
      <c r="Q870" s="258">
        <f t="shared" si="55"/>
        <v>143207.13924753162</v>
      </c>
      <c r="R870" s="259">
        <f t="shared" si="56"/>
        <v>0.72396565678303737</v>
      </c>
      <c r="S870" s="255">
        <f t="shared" si="53"/>
        <v>39.054751791255271</v>
      </c>
      <c r="T870" s="255">
        <f t="shared" si="53"/>
        <v>39.054751791255271</v>
      </c>
      <c r="U870" s="254">
        <v>100300</v>
      </c>
      <c r="V870" s="254" t="s">
        <v>917</v>
      </c>
      <c r="W870" s="254" t="s">
        <v>1024</v>
      </c>
      <c r="X870" s="254" t="s">
        <v>446</v>
      </c>
      <c r="Y870" s="254" t="s">
        <v>843</v>
      </c>
      <c r="Z870" s="254" t="s">
        <v>1125</v>
      </c>
      <c r="AA870" s="254" t="s">
        <v>838</v>
      </c>
    </row>
    <row r="871" spans="1:27" ht="14.4" x14ac:dyDescent="0.3">
      <c r="A871" s="253">
        <v>13</v>
      </c>
      <c r="B871" s="254" t="s">
        <v>850</v>
      </c>
      <c r="C871" s="254">
        <v>14632</v>
      </c>
      <c r="D871" s="254" t="s">
        <v>399</v>
      </c>
      <c r="E871" s="254" t="str">
        <f>_xlfn.XLOOKUP(C871,Clientes!I:I,Clientes!F:F)</f>
        <v>BIGFERTIL - CANDEIAS</v>
      </c>
      <c r="F871" s="254">
        <v>8224</v>
      </c>
      <c r="G871" s="254" t="s">
        <v>875</v>
      </c>
      <c r="H871" s="254" t="s">
        <v>921</v>
      </c>
      <c r="I871" s="255">
        <v>6000</v>
      </c>
      <c r="J871" s="256">
        <v>6000</v>
      </c>
      <c r="K871" s="258">
        <v>145066.22749430631</v>
      </c>
      <c r="L871" s="258">
        <v>-10143.000000000002</v>
      </c>
      <c r="M871" s="258">
        <f t="shared" si="54"/>
        <v>134923.22749430631</v>
      </c>
      <c r="N871" s="258">
        <v>-42039.917999999998</v>
      </c>
      <c r="O871" s="258">
        <v>-13083.792000000029</v>
      </c>
      <c r="P871" s="258">
        <v>-5.9559882780865125</v>
      </c>
      <c r="Q871" s="258">
        <f t="shared" si="55"/>
        <v>79793.561506028185</v>
      </c>
      <c r="R871" s="259">
        <f t="shared" si="56"/>
        <v>0.59139973885812536</v>
      </c>
      <c r="S871" s="255">
        <f t="shared" si="53"/>
        <v>24.177704582384386</v>
      </c>
      <c r="T871" s="255">
        <f t="shared" si="53"/>
        <v>24.177704582384386</v>
      </c>
      <c r="U871" s="254">
        <v>100300</v>
      </c>
      <c r="V871" s="254" t="s">
        <v>917</v>
      </c>
      <c r="W871" s="254" t="s">
        <v>876</v>
      </c>
      <c r="X871" s="254" t="s">
        <v>446</v>
      </c>
      <c r="Y871" s="254" t="s">
        <v>843</v>
      </c>
      <c r="Z871" s="254" t="s">
        <v>1125</v>
      </c>
      <c r="AA871" s="254" t="s">
        <v>838</v>
      </c>
    </row>
    <row r="872" spans="1:27" ht="14.4" x14ac:dyDescent="0.3">
      <c r="A872" s="253">
        <v>13</v>
      </c>
      <c r="B872" s="254" t="s">
        <v>850</v>
      </c>
      <c r="C872" s="254">
        <v>11637</v>
      </c>
      <c r="D872" s="254" t="s">
        <v>625</v>
      </c>
      <c r="E872" s="254" t="str">
        <f>_xlfn.XLOOKUP(C872,Clientes!I:I,Clientes!F:F)</f>
        <v>AGROPECUARIA MARATA LTDA - MARUIM</v>
      </c>
      <c r="F872" s="254">
        <v>8224</v>
      </c>
      <c r="G872" s="254" t="s">
        <v>887</v>
      </c>
      <c r="H872" s="254" t="s">
        <v>921</v>
      </c>
      <c r="I872" s="255">
        <v>4000</v>
      </c>
      <c r="J872" s="256">
        <v>4000</v>
      </c>
      <c r="K872" s="258">
        <v>92506.000141296769</v>
      </c>
      <c r="L872" s="258">
        <v>-6468.0000000000009</v>
      </c>
      <c r="M872" s="258">
        <f t="shared" si="54"/>
        <v>86038.000141296769</v>
      </c>
      <c r="N872" s="258">
        <v>-28026.612000000001</v>
      </c>
      <c r="O872" s="258">
        <v>0</v>
      </c>
      <c r="P872" s="258">
        <v>0</v>
      </c>
      <c r="Q872" s="258">
        <f t="shared" si="55"/>
        <v>58011.388141296768</v>
      </c>
      <c r="R872" s="259">
        <f t="shared" si="56"/>
        <v>0.67425309800352151</v>
      </c>
      <c r="S872" s="255">
        <f t="shared" si="53"/>
        <v>23.126500035324192</v>
      </c>
      <c r="T872" s="255">
        <f t="shared" si="53"/>
        <v>23.126500035324192</v>
      </c>
      <c r="U872" s="254">
        <v>100300</v>
      </c>
      <c r="V872" s="254" t="s">
        <v>917</v>
      </c>
      <c r="W872" s="254" t="s">
        <v>1009</v>
      </c>
      <c r="X872" s="254" t="s">
        <v>446</v>
      </c>
      <c r="Y872" s="254" t="s">
        <v>843</v>
      </c>
      <c r="Z872" s="254" t="s">
        <v>1125</v>
      </c>
      <c r="AA872" s="254" t="s">
        <v>838</v>
      </c>
    </row>
    <row r="873" spans="1:27" ht="14.4" x14ac:dyDescent="0.3">
      <c r="A873" s="253">
        <v>13</v>
      </c>
      <c r="B873" s="254" t="s">
        <v>850</v>
      </c>
      <c r="C873" s="254">
        <v>5657</v>
      </c>
      <c r="D873" s="254" t="s">
        <v>84</v>
      </c>
      <c r="E873" s="254" t="str">
        <f>_xlfn.XLOOKUP(C873,Clientes!I:I,Clientes!F:F)</f>
        <v>FERTIPLANTA - VARGEM GRANDE DO SUL</v>
      </c>
      <c r="F873" s="254">
        <v>8214</v>
      </c>
      <c r="G873" s="254" t="s">
        <v>908</v>
      </c>
      <c r="H873" s="254" t="s">
        <v>922</v>
      </c>
      <c r="I873" s="255">
        <v>1000</v>
      </c>
      <c r="J873" s="256">
        <v>1000</v>
      </c>
      <c r="K873" s="258">
        <v>36792.159147106671</v>
      </c>
      <c r="L873" s="258">
        <v>-4410</v>
      </c>
      <c r="M873" s="258">
        <f t="shared" si="54"/>
        <v>32382.159147106671</v>
      </c>
      <c r="N873" s="258">
        <v>-9538.2817391304343</v>
      </c>
      <c r="O873" s="258">
        <v>-5039.0280000000012</v>
      </c>
      <c r="P873" s="258">
        <v>-2.2938603503441253</v>
      </c>
      <c r="Q873" s="258">
        <f t="shared" si="55"/>
        <v>17802.555547625892</v>
      </c>
      <c r="R873" s="259">
        <f t="shared" si="56"/>
        <v>0.5497643151820697</v>
      </c>
      <c r="S873" s="255">
        <f t="shared" si="53"/>
        <v>36.792159147106673</v>
      </c>
      <c r="T873" s="255">
        <f t="shared" si="53"/>
        <v>36.792159147106673</v>
      </c>
      <c r="U873" s="254">
        <v>100300</v>
      </c>
      <c r="V873" s="254" t="s">
        <v>917</v>
      </c>
      <c r="W873" s="254" t="s">
        <v>1067</v>
      </c>
      <c r="X873" s="254" t="s">
        <v>446</v>
      </c>
      <c r="Y873" s="254" t="s">
        <v>843</v>
      </c>
      <c r="Z873" s="254" t="s">
        <v>1125</v>
      </c>
      <c r="AA873" s="254" t="s">
        <v>838</v>
      </c>
    </row>
    <row r="874" spans="1:27" ht="14.4" x14ac:dyDescent="0.3">
      <c r="A874" s="253">
        <v>13</v>
      </c>
      <c r="B874" s="254" t="s">
        <v>850</v>
      </c>
      <c r="C874" s="254">
        <v>2622</v>
      </c>
      <c r="D874" s="254" t="s">
        <v>73</v>
      </c>
      <c r="E874" s="254" t="str">
        <f>_xlfn.XLOOKUP(C874,Clientes!I:I,Clientes!F:F)</f>
        <v>ADUFERTIL JUNDIAI</v>
      </c>
      <c r="F874" s="254">
        <v>8215</v>
      </c>
      <c r="G874" s="254" t="s">
        <v>908</v>
      </c>
      <c r="H874" s="254" t="s">
        <v>947</v>
      </c>
      <c r="I874" s="255">
        <v>24000</v>
      </c>
      <c r="J874" s="256">
        <v>24000</v>
      </c>
      <c r="K874" s="258">
        <v>832073.45062158629</v>
      </c>
      <c r="L874" s="258">
        <v>-99734.399999999994</v>
      </c>
      <c r="M874" s="258">
        <f t="shared" si="54"/>
        <v>732339.05062158627</v>
      </c>
      <c r="N874" s="258">
        <v>-308990.09499999997</v>
      </c>
      <c r="O874" s="258">
        <v>-8810.9319999999989</v>
      </c>
      <c r="P874" s="258">
        <v>-4.0109020160987905</v>
      </c>
      <c r="Q874" s="258">
        <f t="shared" si="55"/>
        <v>414534.01271957025</v>
      </c>
      <c r="R874" s="259">
        <f t="shared" si="56"/>
        <v>0.56604111492856601</v>
      </c>
      <c r="S874" s="255">
        <f t="shared" si="53"/>
        <v>34.66972710923276</v>
      </c>
      <c r="T874" s="255">
        <f t="shared" si="53"/>
        <v>34.66972710923276</v>
      </c>
      <c r="U874" s="254">
        <v>100300</v>
      </c>
      <c r="V874" s="254" t="s">
        <v>917</v>
      </c>
      <c r="W874" s="254" t="s">
        <v>948</v>
      </c>
      <c r="X874" s="254" t="s">
        <v>446</v>
      </c>
      <c r="Y874" s="254" t="s">
        <v>843</v>
      </c>
      <c r="Z874" s="254" t="s">
        <v>1125</v>
      </c>
      <c r="AA874" s="254" t="s">
        <v>838</v>
      </c>
    </row>
    <row r="875" spans="1:27" ht="14.4" x14ac:dyDescent="0.3">
      <c r="A875" s="253">
        <v>13</v>
      </c>
      <c r="B875" s="254" t="s">
        <v>850</v>
      </c>
      <c r="C875" s="254">
        <v>86</v>
      </c>
      <c r="D875" s="254" t="s">
        <v>31</v>
      </c>
      <c r="E875" s="254" t="str">
        <f>_xlfn.XLOOKUP(C875,Clientes!I:I,Clientes!F:F)</f>
        <v>GRUPO ADUBOS ARAGUAIA</v>
      </c>
      <c r="F875" s="254">
        <v>8214</v>
      </c>
      <c r="G875" s="254" t="s">
        <v>867</v>
      </c>
      <c r="H875" s="254" t="s">
        <v>922</v>
      </c>
      <c r="I875" s="255">
        <v>4000</v>
      </c>
      <c r="J875" s="256">
        <v>4000</v>
      </c>
      <c r="K875" s="258">
        <v>128146.84002257562</v>
      </c>
      <c r="L875" s="258">
        <v>-8960</v>
      </c>
      <c r="M875" s="258">
        <f t="shared" si="54"/>
        <v>119186.84002257562</v>
      </c>
      <c r="N875" s="258">
        <v>-38153.126956521737</v>
      </c>
      <c r="O875" s="258">
        <v>-4066.5840000000026</v>
      </c>
      <c r="P875" s="258">
        <v>-1.851185545891751</v>
      </c>
      <c r="Q875" s="258">
        <f t="shared" si="55"/>
        <v>76965.277880507987</v>
      </c>
      <c r="R875" s="259">
        <f t="shared" si="56"/>
        <v>0.64575315417314283</v>
      </c>
      <c r="S875" s="255">
        <f t="shared" si="53"/>
        <v>32.036710005643904</v>
      </c>
      <c r="T875" s="255">
        <f t="shared" si="53"/>
        <v>32.036710005643904</v>
      </c>
      <c r="U875" s="254">
        <v>100300</v>
      </c>
      <c r="V875" s="254" t="s">
        <v>917</v>
      </c>
      <c r="W875" s="254" t="s">
        <v>955</v>
      </c>
      <c r="X875" s="254" t="s">
        <v>446</v>
      </c>
      <c r="Y875" s="254" t="s">
        <v>843</v>
      </c>
      <c r="Z875" s="254" t="s">
        <v>1125</v>
      </c>
      <c r="AA875" s="254" t="s">
        <v>838</v>
      </c>
    </row>
    <row r="876" spans="1:27" ht="14.4" x14ac:dyDescent="0.3">
      <c r="A876" s="253">
        <v>13</v>
      </c>
      <c r="B876" s="254" t="s">
        <v>850</v>
      </c>
      <c r="C876" s="254">
        <v>2003</v>
      </c>
      <c r="D876" s="254" t="s">
        <v>316</v>
      </c>
      <c r="E876" s="254" t="str">
        <f>_xlfn.XLOOKUP(C876,Clientes!I:I,Clientes!F:F)</f>
        <v>GRUPO HERINGER</v>
      </c>
      <c r="F876" s="254">
        <v>8217</v>
      </c>
      <c r="G876" s="254" t="s">
        <v>877</v>
      </c>
      <c r="H876" s="254" t="s">
        <v>927</v>
      </c>
      <c r="I876" s="255">
        <v>6000</v>
      </c>
      <c r="J876" s="256">
        <v>6000</v>
      </c>
      <c r="K876" s="258">
        <v>221894.26267659108</v>
      </c>
      <c r="L876" s="258">
        <v>-26596.799999999999</v>
      </c>
      <c r="M876" s="258">
        <f t="shared" si="54"/>
        <v>195297.46267659109</v>
      </c>
      <c r="N876" s="258">
        <v>-93852.569999999992</v>
      </c>
      <c r="O876" s="258">
        <v>-14498.255999999972</v>
      </c>
      <c r="P876" s="258">
        <v>-6.5998789027444866</v>
      </c>
      <c r="Q876" s="258">
        <f t="shared" si="55"/>
        <v>86940.036797688372</v>
      </c>
      <c r="R876" s="259">
        <f t="shared" si="56"/>
        <v>0.44516726231952858</v>
      </c>
      <c r="S876" s="255">
        <f t="shared" si="53"/>
        <v>36.982377112765178</v>
      </c>
      <c r="T876" s="255">
        <f t="shared" si="53"/>
        <v>36.982377112765178</v>
      </c>
      <c r="U876" s="254">
        <v>100300</v>
      </c>
      <c r="V876" s="254" t="s">
        <v>917</v>
      </c>
      <c r="W876" s="254" t="s">
        <v>878</v>
      </c>
      <c r="X876" s="254" t="s">
        <v>446</v>
      </c>
      <c r="Y876" s="254" t="s">
        <v>843</v>
      </c>
      <c r="Z876" s="254" t="s">
        <v>1125</v>
      </c>
      <c r="AA876" s="254" t="s">
        <v>838</v>
      </c>
    </row>
    <row r="877" spans="1:27" ht="14.4" x14ac:dyDescent="0.3">
      <c r="A877" s="253">
        <v>13</v>
      </c>
      <c r="B877" s="254" t="s">
        <v>850</v>
      </c>
      <c r="C877" s="254">
        <v>10891</v>
      </c>
      <c r="D877" s="254" t="s">
        <v>104</v>
      </c>
      <c r="E877" s="254" t="str">
        <f>_xlfn.XLOOKUP(C877,Clientes!I:I,Clientes!F:F)</f>
        <v>GRUPO HINOVE</v>
      </c>
      <c r="F877" s="254">
        <v>8214</v>
      </c>
      <c r="G877" s="254" t="s">
        <v>924</v>
      </c>
      <c r="H877" s="254" t="s">
        <v>922</v>
      </c>
      <c r="I877" s="255">
        <v>4000</v>
      </c>
      <c r="J877" s="256">
        <v>4000</v>
      </c>
      <c r="K877" s="258">
        <v>124542.71014694068</v>
      </c>
      <c r="L877" s="258">
        <v>-8708</v>
      </c>
      <c r="M877" s="258">
        <f t="shared" si="54"/>
        <v>115834.71014694068</v>
      </c>
      <c r="N877" s="258">
        <v>-38153.126956521737</v>
      </c>
      <c r="O877" s="258">
        <v>-7691.1480000000047</v>
      </c>
      <c r="P877" s="258">
        <v>-3.5011552715778764</v>
      </c>
      <c r="Q877" s="258">
        <f t="shared" si="55"/>
        <v>69986.934035147366</v>
      </c>
      <c r="R877" s="259">
        <f t="shared" si="56"/>
        <v>0.60419656548858558</v>
      </c>
      <c r="S877" s="255">
        <f t="shared" si="53"/>
        <v>31.135677536735169</v>
      </c>
      <c r="T877" s="255">
        <f t="shared" si="53"/>
        <v>31.135677536735169</v>
      </c>
      <c r="U877" s="254">
        <v>100300</v>
      </c>
      <c r="V877" s="254" t="s">
        <v>917</v>
      </c>
      <c r="W877" s="254" t="s">
        <v>925</v>
      </c>
      <c r="X877" s="254" t="s">
        <v>446</v>
      </c>
      <c r="Y877" s="254" t="s">
        <v>843</v>
      </c>
      <c r="Z877" s="254" t="s">
        <v>1125</v>
      </c>
      <c r="AA877" s="254" t="s">
        <v>838</v>
      </c>
    </row>
    <row r="878" spans="1:27" ht="14.4" x14ac:dyDescent="0.3">
      <c r="A878" s="253">
        <v>13</v>
      </c>
      <c r="B878" s="254" t="s">
        <v>850</v>
      </c>
      <c r="C878" s="254">
        <v>14116</v>
      </c>
      <c r="D878" s="254" t="s">
        <v>557</v>
      </c>
      <c r="E878" s="254" t="str">
        <f>_xlfn.XLOOKUP(C878,Clientes!I:I,Clientes!F:F)</f>
        <v>MAXIMO S.A. PARAGUAI</v>
      </c>
      <c r="F878" s="254">
        <v>8204</v>
      </c>
      <c r="G878" s="254" t="s">
        <v>832</v>
      </c>
      <c r="H878" s="254" t="s">
        <v>1035</v>
      </c>
      <c r="I878" s="255">
        <v>6600</v>
      </c>
      <c r="J878" s="256">
        <v>6600</v>
      </c>
      <c r="K878" s="258">
        <v>358255.91583292646</v>
      </c>
      <c r="L878" s="258">
        <v>0</v>
      </c>
      <c r="M878" s="258">
        <f t="shared" si="54"/>
        <v>358255.91583292646</v>
      </c>
      <c r="N878" s="258">
        <v>-132276.68100000001</v>
      </c>
      <c r="O878" s="258">
        <v>0</v>
      </c>
      <c r="P878" s="258">
        <v>-505.91981279251172</v>
      </c>
      <c r="Q878" s="258">
        <f t="shared" si="55"/>
        <v>225473.31502013394</v>
      </c>
      <c r="R878" s="259">
        <f t="shared" si="56"/>
        <v>0.62936382919433487</v>
      </c>
      <c r="S878" s="255">
        <f t="shared" si="53"/>
        <v>54.281199368625224</v>
      </c>
      <c r="T878" s="255">
        <f t="shared" si="53"/>
        <v>54.281199368625224</v>
      </c>
      <c r="U878" s="254">
        <v>100300</v>
      </c>
      <c r="V878" s="254" t="s">
        <v>917</v>
      </c>
      <c r="W878" s="254" t="s">
        <v>1127</v>
      </c>
      <c r="X878" s="254" t="s">
        <v>446</v>
      </c>
      <c r="Y878" s="254" t="s">
        <v>836</v>
      </c>
      <c r="Z878" s="254" t="s">
        <v>1125</v>
      </c>
      <c r="AA878" s="254" t="s">
        <v>838</v>
      </c>
    </row>
    <row r="879" spans="1:27" ht="14.4" x14ac:dyDescent="0.3">
      <c r="A879" s="253">
        <v>13</v>
      </c>
      <c r="B879" s="254" t="s">
        <v>850</v>
      </c>
      <c r="C879" s="254">
        <v>11580</v>
      </c>
      <c r="D879" s="254" t="s">
        <v>424</v>
      </c>
      <c r="E879" s="254" t="str">
        <f>_xlfn.XLOOKUP(C879,Clientes!I:I,Clientes!F:F)</f>
        <v>AGRO MIL AGROS SAS - COLOMBIA</v>
      </c>
      <c r="F879" s="254">
        <v>9680</v>
      </c>
      <c r="G879" s="254" t="s">
        <v>832</v>
      </c>
      <c r="H879" s="254" t="s">
        <v>1031</v>
      </c>
      <c r="I879" s="255">
        <v>2200</v>
      </c>
      <c r="J879" s="256">
        <v>2200</v>
      </c>
      <c r="K879" s="258">
        <v>91580.940139883809</v>
      </c>
      <c r="L879" s="258">
        <v>0</v>
      </c>
      <c r="M879" s="258">
        <f t="shared" si="54"/>
        <v>91580.940139883809</v>
      </c>
      <c r="N879" s="258">
        <v>-38513.828000000001</v>
      </c>
      <c r="O879" s="258">
        <v>0</v>
      </c>
      <c r="P879" s="258">
        <v>-168.63993759750392</v>
      </c>
      <c r="Q879" s="258">
        <f t="shared" si="55"/>
        <v>52898.472202286306</v>
      </c>
      <c r="R879" s="259">
        <f t="shared" si="56"/>
        <v>0.57761442633682725</v>
      </c>
      <c r="S879" s="255">
        <f t="shared" si="53"/>
        <v>41.627700063583546</v>
      </c>
      <c r="T879" s="255">
        <f t="shared" si="53"/>
        <v>41.627700063583546</v>
      </c>
      <c r="U879" s="254">
        <v>100300</v>
      </c>
      <c r="V879" s="254" t="s">
        <v>917</v>
      </c>
      <c r="W879" s="254" t="s">
        <v>1032</v>
      </c>
      <c r="X879" s="254" t="s">
        <v>446</v>
      </c>
      <c r="Y879" s="254" t="s">
        <v>836</v>
      </c>
      <c r="Z879" s="254" t="s">
        <v>1125</v>
      </c>
      <c r="AA879" s="254" t="s">
        <v>838</v>
      </c>
    </row>
    <row r="880" spans="1:27" ht="14.4" x14ac:dyDescent="0.3">
      <c r="A880" s="253">
        <v>13</v>
      </c>
      <c r="B880" s="254" t="s">
        <v>850</v>
      </c>
      <c r="C880" s="254">
        <v>2527</v>
      </c>
      <c r="D880" s="254" t="s">
        <v>340</v>
      </c>
      <c r="E880" s="254" t="str">
        <f>_xlfn.XLOOKUP(C880,Clientes!I:I,Clientes!F:F)</f>
        <v>INKAFERT - PERU</v>
      </c>
      <c r="F880" s="254">
        <v>13491</v>
      </c>
      <c r="G880" s="254" t="s">
        <v>832</v>
      </c>
      <c r="H880" s="254" t="s">
        <v>931</v>
      </c>
      <c r="I880" s="255">
        <v>3300</v>
      </c>
      <c r="J880" s="256">
        <v>3300</v>
      </c>
      <c r="K880" s="258">
        <v>135878.09906468762</v>
      </c>
      <c r="L880" s="258">
        <v>0</v>
      </c>
      <c r="M880" s="258">
        <f t="shared" si="54"/>
        <v>135878.09906468762</v>
      </c>
      <c r="N880" s="258">
        <v>-30938.83</v>
      </c>
      <c r="O880" s="258">
        <v>0</v>
      </c>
      <c r="P880" s="258">
        <v>-252.95990639625586</v>
      </c>
      <c r="Q880" s="258">
        <f t="shared" si="55"/>
        <v>104686.30915829136</v>
      </c>
      <c r="R880" s="259">
        <f t="shared" si="56"/>
        <v>0.77044284457095069</v>
      </c>
      <c r="S880" s="255">
        <f t="shared" si="53"/>
        <v>41.175181534753825</v>
      </c>
      <c r="T880" s="255">
        <f t="shared" si="53"/>
        <v>41.175181534753825</v>
      </c>
      <c r="U880" s="254">
        <v>100300</v>
      </c>
      <c r="V880" s="254" t="s">
        <v>917</v>
      </c>
      <c r="W880" s="254" t="s">
        <v>1126</v>
      </c>
      <c r="X880" s="254" t="s">
        <v>446</v>
      </c>
      <c r="Y880" s="254" t="s">
        <v>836</v>
      </c>
      <c r="Z880" s="254" t="s">
        <v>1125</v>
      </c>
      <c r="AA880" s="254" t="s">
        <v>838</v>
      </c>
    </row>
    <row r="881" spans="1:27" ht="14.4" x14ac:dyDescent="0.3">
      <c r="A881" s="253">
        <v>13</v>
      </c>
      <c r="B881" s="254" t="s">
        <v>850</v>
      </c>
      <c r="C881" s="254">
        <v>1936</v>
      </c>
      <c r="D881" s="254" t="s">
        <v>889</v>
      </c>
      <c r="E881" s="254" t="str">
        <f>_xlfn.XLOOKUP(C881,Clientes!I:I,Clientes!F:F)</f>
        <v>GRUPO AGRO INDUSTRIAL SAO LUIZ LTDA</v>
      </c>
      <c r="F881" s="254">
        <v>8218</v>
      </c>
      <c r="G881" s="254" t="s">
        <v>862</v>
      </c>
      <c r="H881" s="254" t="s">
        <v>923</v>
      </c>
      <c r="I881" s="255">
        <v>8000</v>
      </c>
      <c r="J881" s="256">
        <v>8000</v>
      </c>
      <c r="K881" s="258">
        <v>240115.14149230107</v>
      </c>
      <c r="L881" s="258">
        <v>-28780.799999999999</v>
      </c>
      <c r="M881" s="258">
        <f t="shared" si="54"/>
        <v>211334.34149230109</v>
      </c>
      <c r="N881" s="258">
        <v>-96587.43</v>
      </c>
      <c r="O881" s="258">
        <v>0</v>
      </c>
      <c r="P881" s="258">
        <v>0</v>
      </c>
      <c r="Q881" s="258">
        <f t="shared" si="55"/>
        <v>114746.91149230109</v>
      </c>
      <c r="R881" s="259">
        <f t="shared" si="56"/>
        <v>0.54296386797354146</v>
      </c>
      <c r="S881" s="255">
        <f t="shared" si="53"/>
        <v>30.014392686537633</v>
      </c>
      <c r="T881" s="255">
        <f t="shared" si="53"/>
        <v>30.014392686537633</v>
      </c>
      <c r="U881" s="254">
        <v>100300</v>
      </c>
      <c r="V881" s="254" t="s">
        <v>917</v>
      </c>
      <c r="W881" s="254" t="s">
        <v>864</v>
      </c>
      <c r="X881" s="254" t="s">
        <v>446</v>
      </c>
      <c r="Y881" s="254" t="s">
        <v>843</v>
      </c>
      <c r="Z881" s="254" t="s">
        <v>1125</v>
      </c>
      <c r="AA881" s="254" t="s">
        <v>838</v>
      </c>
    </row>
    <row r="882" spans="1:27" ht="14.4" x14ac:dyDescent="0.3">
      <c r="A882" s="253">
        <v>13</v>
      </c>
      <c r="B882" s="254" t="s">
        <v>850</v>
      </c>
      <c r="C882" s="254">
        <v>6124</v>
      </c>
      <c r="D882" s="254" t="s">
        <v>891</v>
      </c>
      <c r="E882" s="254" t="str">
        <f>_xlfn.XLOOKUP(C882,Clientes!I:I,Clientes!F:F)</f>
        <v>GRUPO MOSAIC FERTILIZANTES DO BRASIL</v>
      </c>
      <c r="F882" s="254">
        <v>8215</v>
      </c>
      <c r="G882" s="254" t="s">
        <v>855</v>
      </c>
      <c r="H882" s="254" t="s">
        <v>947</v>
      </c>
      <c r="I882" s="255">
        <v>24000</v>
      </c>
      <c r="J882" s="256">
        <v>24000</v>
      </c>
      <c r="K882" s="258">
        <v>870517.50262835901</v>
      </c>
      <c r="L882" s="258">
        <v>0</v>
      </c>
      <c r="M882" s="258">
        <f t="shared" si="54"/>
        <v>870517.50262835901</v>
      </c>
      <c r="N882" s="258">
        <v>-308990.09499999997</v>
      </c>
      <c r="O882" s="258">
        <v>-4003.2278000000001</v>
      </c>
      <c r="P882" s="258">
        <v>-1.8223446116622768</v>
      </c>
      <c r="Q882" s="258">
        <f t="shared" si="55"/>
        <v>557522.35748374742</v>
      </c>
      <c r="R882" s="259">
        <f t="shared" si="56"/>
        <v>0.64044933709019825</v>
      </c>
      <c r="S882" s="255">
        <f t="shared" si="53"/>
        <v>36.271562609514959</v>
      </c>
      <c r="T882" s="255">
        <f t="shared" si="53"/>
        <v>36.271562609514959</v>
      </c>
      <c r="U882" s="254">
        <v>100300</v>
      </c>
      <c r="V882" s="254" t="s">
        <v>917</v>
      </c>
      <c r="W882" s="254" t="s">
        <v>892</v>
      </c>
      <c r="X882" s="254" t="s">
        <v>446</v>
      </c>
      <c r="Y882" s="254" t="s">
        <v>843</v>
      </c>
      <c r="Z882" s="254" t="s">
        <v>1125</v>
      </c>
      <c r="AA882" s="254" t="s">
        <v>838</v>
      </c>
    </row>
    <row r="883" spans="1:27" ht="14.4" x14ac:dyDescent="0.3">
      <c r="A883" s="253">
        <v>13</v>
      </c>
      <c r="B883" s="254" t="s">
        <v>850</v>
      </c>
      <c r="C883" s="254">
        <v>97</v>
      </c>
      <c r="D883" s="254" t="s">
        <v>300</v>
      </c>
      <c r="E883" s="254" t="str">
        <f>_xlfn.XLOOKUP(C883,Clientes!I:I,Clientes!F:F)</f>
        <v>FECOAGRO FEDERACAO DAS COOPERATIVAS</v>
      </c>
      <c r="F883" s="254">
        <v>8223</v>
      </c>
      <c r="G883" s="254" t="s">
        <v>893</v>
      </c>
      <c r="H883" s="254" t="s">
        <v>920</v>
      </c>
      <c r="I883" s="255">
        <v>24000</v>
      </c>
      <c r="J883" s="256">
        <v>24000</v>
      </c>
      <c r="K883" s="258">
        <v>913046.23516085127</v>
      </c>
      <c r="L883" s="258">
        <v>-109440</v>
      </c>
      <c r="M883" s="258">
        <f t="shared" si="54"/>
        <v>803606.23516085127</v>
      </c>
      <c r="N883" s="258">
        <v>-284189.59000000003</v>
      </c>
      <c r="O883" s="258">
        <v>-15993.757</v>
      </c>
      <c r="P883" s="258">
        <v>-7.280659094440197</v>
      </c>
      <c r="Q883" s="258">
        <f t="shared" si="55"/>
        <v>503415.60750175681</v>
      </c>
      <c r="R883" s="259">
        <f t="shared" si="56"/>
        <v>0.62644562159350625</v>
      </c>
      <c r="S883" s="255">
        <f t="shared" si="53"/>
        <v>38.043593131702139</v>
      </c>
      <c r="T883" s="255">
        <f t="shared" si="53"/>
        <v>38.043593131702139</v>
      </c>
      <c r="U883" s="254">
        <v>100300</v>
      </c>
      <c r="V883" s="254" t="s">
        <v>917</v>
      </c>
      <c r="W883" s="254" t="s">
        <v>894</v>
      </c>
      <c r="X883" s="254" t="s">
        <v>446</v>
      </c>
      <c r="Y883" s="254" t="s">
        <v>843</v>
      </c>
      <c r="Z883" s="254" t="s">
        <v>1125</v>
      </c>
      <c r="AA883" s="254" t="s">
        <v>838</v>
      </c>
    </row>
    <row r="884" spans="1:27" ht="14.4" x14ac:dyDescent="0.3">
      <c r="A884" s="253">
        <v>13</v>
      </c>
      <c r="B884" s="254" t="s">
        <v>850</v>
      </c>
      <c r="C884" s="254">
        <v>11978</v>
      </c>
      <c r="D884" s="254" t="s">
        <v>277</v>
      </c>
      <c r="E884" s="254" t="str">
        <f>_xlfn.XLOOKUP(C884,Clientes!I:I,Clientes!F:F)</f>
        <v>MYRIN SA - URUGUAI</v>
      </c>
      <c r="F884" s="254">
        <v>8204</v>
      </c>
      <c r="G884" s="254" t="s">
        <v>832</v>
      </c>
      <c r="H884" s="254" t="s">
        <v>1035</v>
      </c>
      <c r="I884" s="255">
        <v>11000</v>
      </c>
      <c r="J884" s="256">
        <v>11000</v>
      </c>
      <c r="K884" s="258">
        <v>541644.65606542153</v>
      </c>
      <c r="L884" s="258">
        <v>0</v>
      </c>
      <c r="M884" s="258">
        <f t="shared" si="54"/>
        <v>541644.65606542153</v>
      </c>
      <c r="N884" s="258">
        <v>-220461.13500000004</v>
      </c>
      <c r="O884" s="258">
        <v>-21958.799999999999</v>
      </c>
      <c r="P884" s="258">
        <v>-853.19574688243677</v>
      </c>
      <c r="Q884" s="258">
        <f t="shared" si="55"/>
        <v>298371.52531853912</v>
      </c>
      <c r="R884" s="259">
        <f t="shared" si="56"/>
        <v>0.55086212330783313</v>
      </c>
      <c r="S884" s="255">
        <f t="shared" si="53"/>
        <v>49.240423278674683</v>
      </c>
      <c r="T884" s="255">
        <f t="shared" si="53"/>
        <v>49.240423278674683</v>
      </c>
      <c r="U884" s="254">
        <v>100300</v>
      </c>
      <c r="V884" s="254" t="s">
        <v>917</v>
      </c>
      <c r="W884" s="254" t="s">
        <v>954</v>
      </c>
      <c r="X884" s="254" t="s">
        <v>446</v>
      </c>
      <c r="Y884" s="254" t="s">
        <v>836</v>
      </c>
      <c r="Z884" s="254" t="s">
        <v>1125</v>
      </c>
      <c r="AA884" s="254" t="s">
        <v>838</v>
      </c>
    </row>
    <row r="885" spans="1:27" ht="14.4" x14ac:dyDescent="0.3">
      <c r="A885" s="253">
        <v>13</v>
      </c>
      <c r="B885" s="254" t="s">
        <v>850</v>
      </c>
      <c r="C885" s="254">
        <v>3142</v>
      </c>
      <c r="D885" s="254" t="s">
        <v>78</v>
      </c>
      <c r="E885" s="254" t="str">
        <f>_xlfn.XLOOKUP(C885,Clientes!I:I,Clientes!F:F)</f>
        <v>INTERFERTIL - SAO FRANCISCO DO SUL</v>
      </c>
      <c r="F885" s="254">
        <v>8214</v>
      </c>
      <c r="G885" s="254" t="s">
        <v>893</v>
      </c>
      <c r="H885" s="254" t="s">
        <v>922</v>
      </c>
      <c r="I885" s="255">
        <v>4000</v>
      </c>
      <c r="J885" s="256">
        <v>4000</v>
      </c>
      <c r="K885" s="258">
        <v>131270.41924812589</v>
      </c>
      <c r="L885" s="258">
        <v>-15734.4</v>
      </c>
      <c r="M885" s="258">
        <f t="shared" si="54"/>
        <v>115536.0192481259</v>
      </c>
      <c r="N885" s="258">
        <v>-38153.126956521737</v>
      </c>
      <c r="O885" s="258">
        <v>-9901.2479999999723</v>
      </c>
      <c r="P885" s="258">
        <v>-4.5072343726059874</v>
      </c>
      <c r="Q885" s="258">
        <f t="shared" si="55"/>
        <v>67477.137057231579</v>
      </c>
      <c r="R885" s="259">
        <f t="shared" si="56"/>
        <v>0.58403550248963698</v>
      </c>
      <c r="S885" s="255">
        <f t="shared" si="53"/>
        <v>32.817604812031476</v>
      </c>
      <c r="T885" s="255">
        <f t="shared" si="53"/>
        <v>32.817604812031476</v>
      </c>
      <c r="U885" s="254">
        <v>100300</v>
      </c>
      <c r="V885" s="254" t="s">
        <v>917</v>
      </c>
      <c r="W885" s="254" t="s">
        <v>894</v>
      </c>
      <c r="X885" s="254" t="s">
        <v>446</v>
      </c>
      <c r="Y885" s="254" t="s">
        <v>843</v>
      </c>
      <c r="Z885" s="254" t="s">
        <v>1125</v>
      </c>
      <c r="AA885" s="254" t="s">
        <v>838</v>
      </c>
    </row>
    <row r="886" spans="1:27" ht="14.4" x14ac:dyDescent="0.3">
      <c r="A886" s="253">
        <v>13</v>
      </c>
      <c r="B886" s="254" t="s">
        <v>850</v>
      </c>
      <c r="C886" s="254">
        <v>2494</v>
      </c>
      <c r="D886" s="254" t="s">
        <v>327</v>
      </c>
      <c r="E886" s="254" t="str">
        <f>_xlfn.XLOOKUP(C886,Clientes!I:I,Clientes!F:F)</f>
        <v>ASOCIACION DE COOPERATIVAS ARGENTINAS CL</v>
      </c>
      <c r="F886" s="254">
        <v>8204</v>
      </c>
      <c r="G886" s="254" t="s">
        <v>832</v>
      </c>
      <c r="H886" s="254" t="s">
        <v>1035</v>
      </c>
      <c r="I886" s="255">
        <v>17600</v>
      </c>
      <c r="J886" s="256">
        <v>17600</v>
      </c>
      <c r="K886" s="258">
        <v>653709.06766516389</v>
      </c>
      <c r="L886" s="258">
        <v>0</v>
      </c>
      <c r="M886" s="258">
        <f t="shared" si="54"/>
        <v>653709.06766516389</v>
      </c>
      <c r="N886" s="258">
        <v>-352737.81600000005</v>
      </c>
      <c r="O886" s="258">
        <v>0</v>
      </c>
      <c r="P886" s="258">
        <v>-1349.1195007800313</v>
      </c>
      <c r="Q886" s="258">
        <f t="shared" si="55"/>
        <v>299622.13216438383</v>
      </c>
      <c r="R886" s="259">
        <f t="shared" si="56"/>
        <v>0.45834171037972077</v>
      </c>
      <c r="S886" s="255">
        <f t="shared" si="53"/>
        <v>37.1425606627934</v>
      </c>
      <c r="T886" s="255">
        <f t="shared" si="53"/>
        <v>37.1425606627934</v>
      </c>
      <c r="U886" s="254">
        <v>100300</v>
      </c>
      <c r="V886" s="254" t="s">
        <v>917</v>
      </c>
      <c r="W886" s="254" t="s">
        <v>1036</v>
      </c>
      <c r="X886" s="254" t="s">
        <v>446</v>
      </c>
      <c r="Y886" s="254" t="s">
        <v>836</v>
      </c>
      <c r="Z886" s="254" t="s">
        <v>1125</v>
      </c>
      <c r="AA886" s="254" t="s">
        <v>838</v>
      </c>
    </row>
    <row r="887" spans="1:27" ht="14.4" x14ac:dyDescent="0.3">
      <c r="A887" s="253">
        <v>13</v>
      </c>
      <c r="B887" s="254" t="s">
        <v>850</v>
      </c>
      <c r="C887" s="254">
        <v>2527</v>
      </c>
      <c r="D887" s="254" t="s">
        <v>340</v>
      </c>
      <c r="E887" s="254" t="str">
        <f>_xlfn.XLOOKUP(C887,Clientes!I:I,Clientes!F:F)</f>
        <v>INKAFERT - PERU</v>
      </c>
      <c r="F887" s="254">
        <v>13938</v>
      </c>
      <c r="G887" s="254" t="s">
        <v>832</v>
      </c>
      <c r="H887" s="254" t="s">
        <v>1104</v>
      </c>
      <c r="I887" s="255">
        <v>2200</v>
      </c>
      <c r="J887" s="256">
        <v>2200</v>
      </c>
      <c r="K887" s="258">
        <v>89884.996803960035</v>
      </c>
      <c r="L887" s="258">
        <v>0</v>
      </c>
      <c r="M887" s="258">
        <f t="shared" si="54"/>
        <v>89884.996803960035</v>
      </c>
      <c r="N887" s="258">
        <v>-21274.999999999993</v>
      </c>
      <c r="O887" s="258">
        <v>0</v>
      </c>
      <c r="P887" s="258">
        <v>-168.63993759750392</v>
      </c>
      <c r="Q887" s="258">
        <f t="shared" si="55"/>
        <v>68441.356866362534</v>
      </c>
      <c r="R887" s="259">
        <f t="shared" si="56"/>
        <v>0.76143248929110752</v>
      </c>
      <c r="S887" s="255">
        <f t="shared" si="53"/>
        <v>40.85681672907274</v>
      </c>
      <c r="T887" s="255">
        <f t="shared" si="53"/>
        <v>40.85681672907274</v>
      </c>
      <c r="U887" s="254">
        <v>100300</v>
      </c>
      <c r="V887" s="254" t="s">
        <v>917</v>
      </c>
      <c r="W887" s="254" t="s">
        <v>1126</v>
      </c>
      <c r="X887" s="254" t="s">
        <v>446</v>
      </c>
      <c r="Y887" s="254" t="s">
        <v>836</v>
      </c>
      <c r="Z887" s="254" t="s">
        <v>1125</v>
      </c>
      <c r="AA887" s="254" t="s">
        <v>838</v>
      </c>
    </row>
    <row r="888" spans="1:27" ht="14.4" x14ac:dyDescent="0.3">
      <c r="A888" s="253">
        <v>13</v>
      </c>
      <c r="B888" s="254" t="s">
        <v>850</v>
      </c>
      <c r="C888" s="254">
        <v>13861</v>
      </c>
      <c r="D888" s="254" t="s">
        <v>1090</v>
      </c>
      <c r="E888" s="254" t="str">
        <f>_xlfn.XLOOKUP(C888,Clientes!I:I,Clientes!F:F)</f>
        <v>GRUPO ADUBOS ARAGUAIA</v>
      </c>
      <c r="F888" s="254">
        <v>8214</v>
      </c>
      <c r="G888" s="254" t="s">
        <v>840</v>
      </c>
      <c r="H888" s="254" t="s">
        <v>922</v>
      </c>
      <c r="I888" s="255">
        <v>10000</v>
      </c>
      <c r="J888" s="256">
        <v>10000</v>
      </c>
      <c r="K888" s="258">
        <v>392649.92700667313</v>
      </c>
      <c r="L888" s="258">
        <v>-27454.000000000004</v>
      </c>
      <c r="M888" s="258">
        <f t="shared" si="54"/>
        <v>365195.92700667313</v>
      </c>
      <c r="N888" s="258">
        <v>-95382.817391304343</v>
      </c>
      <c r="O888" s="258">
        <v>-14435.831371883998</v>
      </c>
      <c r="P888" s="258">
        <v>-6.5714620375633022</v>
      </c>
      <c r="Q888" s="258">
        <f t="shared" si="55"/>
        <v>255370.7067814472</v>
      </c>
      <c r="R888" s="259">
        <f t="shared" si="56"/>
        <v>0.69927041321241479</v>
      </c>
      <c r="S888" s="255">
        <f t="shared" si="53"/>
        <v>39.264992700667314</v>
      </c>
      <c r="T888" s="255">
        <f t="shared" si="53"/>
        <v>39.264992700667314</v>
      </c>
      <c r="U888" s="254">
        <v>100300</v>
      </c>
      <c r="V888" s="254" t="s">
        <v>917</v>
      </c>
      <c r="W888" s="254" t="s">
        <v>1091</v>
      </c>
      <c r="X888" s="254" t="s">
        <v>446</v>
      </c>
      <c r="Y888" s="254" t="s">
        <v>843</v>
      </c>
      <c r="Z888" s="254" t="s">
        <v>1125</v>
      </c>
      <c r="AA888" s="254" t="s">
        <v>838</v>
      </c>
    </row>
    <row r="889" spans="1:27" ht="14.4" x14ac:dyDescent="0.3">
      <c r="A889" s="253">
        <v>13</v>
      </c>
      <c r="B889" s="254" t="s">
        <v>850</v>
      </c>
      <c r="C889" s="254">
        <v>215</v>
      </c>
      <c r="D889" s="254" t="s">
        <v>221</v>
      </c>
      <c r="E889" s="254" t="str">
        <f>_xlfn.XLOOKUP(C889,Clientes!I:I,Clientes!F:F)</f>
        <v>GRUPO UNIFERTIL</v>
      </c>
      <c r="F889" s="254">
        <v>8216</v>
      </c>
      <c r="G889" s="254" t="s">
        <v>877</v>
      </c>
      <c r="H889" s="254" t="s">
        <v>938</v>
      </c>
      <c r="I889" s="255">
        <v>24000</v>
      </c>
      <c r="J889" s="256">
        <v>24000</v>
      </c>
      <c r="K889" s="258">
        <v>746535.43490651704</v>
      </c>
      <c r="L889" s="258">
        <v>-89481.599999999991</v>
      </c>
      <c r="M889" s="258">
        <f t="shared" si="54"/>
        <v>657053.83490651706</v>
      </c>
      <c r="N889" s="258">
        <v>-241071.51</v>
      </c>
      <c r="O889" s="258">
        <v>-18675.345000000001</v>
      </c>
      <c r="P889" s="258">
        <v>-8.5013684036876551</v>
      </c>
      <c r="Q889" s="258">
        <f t="shared" si="55"/>
        <v>397298.47853811341</v>
      </c>
      <c r="R889" s="259">
        <f t="shared" si="56"/>
        <v>0.60466655459767527</v>
      </c>
      <c r="S889" s="255">
        <f t="shared" si="53"/>
        <v>31.105643121104876</v>
      </c>
      <c r="T889" s="255">
        <f t="shared" si="53"/>
        <v>31.105643121104876</v>
      </c>
      <c r="U889" s="254">
        <v>100300</v>
      </c>
      <c r="V889" s="254" t="s">
        <v>917</v>
      </c>
      <c r="W889" s="254" t="s">
        <v>880</v>
      </c>
      <c r="X889" s="254" t="s">
        <v>446</v>
      </c>
      <c r="Y889" s="254" t="s">
        <v>843</v>
      </c>
      <c r="Z889" s="254" t="s">
        <v>1125</v>
      </c>
      <c r="AA889" s="254" t="s">
        <v>838</v>
      </c>
    </row>
    <row r="890" spans="1:27" ht="14.4" x14ac:dyDescent="0.3">
      <c r="A890" s="253">
        <v>13</v>
      </c>
      <c r="B890" s="254" t="s">
        <v>850</v>
      </c>
      <c r="C890" s="254">
        <v>10492</v>
      </c>
      <c r="D890" s="254" t="s">
        <v>101</v>
      </c>
      <c r="E890" s="254" t="str">
        <f>_xlfn.XLOOKUP(C890,Clientes!I:I,Clientes!F:F)</f>
        <v>GRUPO UNIFERTIL</v>
      </c>
      <c r="F890" s="254">
        <v>8216</v>
      </c>
      <c r="G890" s="254" t="s">
        <v>877</v>
      </c>
      <c r="H890" s="254" t="s">
        <v>938</v>
      </c>
      <c r="I890" s="255">
        <v>48000</v>
      </c>
      <c r="J890" s="256">
        <v>48000</v>
      </c>
      <c r="K890" s="258">
        <v>1493070.8698130341</v>
      </c>
      <c r="L890" s="258">
        <v>-178963.19999999998</v>
      </c>
      <c r="M890" s="258">
        <f t="shared" si="54"/>
        <v>1314107.6698130341</v>
      </c>
      <c r="N890" s="258">
        <v>-482143.02</v>
      </c>
      <c r="O890" s="258">
        <v>-25187.772999999997</v>
      </c>
      <c r="P890" s="258">
        <v>-11.465948154717196</v>
      </c>
      <c r="Q890" s="258">
        <f t="shared" si="55"/>
        <v>806765.41086487938</v>
      </c>
      <c r="R890" s="259">
        <f t="shared" si="56"/>
        <v>0.61392641516175206</v>
      </c>
      <c r="S890" s="255">
        <f t="shared" si="53"/>
        <v>31.105643121104876</v>
      </c>
      <c r="T890" s="255">
        <f t="shared" si="53"/>
        <v>31.105643121104876</v>
      </c>
      <c r="U890" s="254">
        <v>100300</v>
      </c>
      <c r="V890" s="254" t="s">
        <v>917</v>
      </c>
      <c r="W890" s="254" t="s">
        <v>878</v>
      </c>
      <c r="X890" s="254" t="s">
        <v>446</v>
      </c>
      <c r="Y890" s="254" t="s">
        <v>843</v>
      </c>
      <c r="Z890" s="254" t="s">
        <v>1125</v>
      </c>
      <c r="AA890" s="254" t="s">
        <v>838</v>
      </c>
    </row>
    <row r="891" spans="1:27" ht="14.4" x14ac:dyDescent="0.3">
      <c r="A891" s="253">
        <v>11</v>
      </c>
      <c r="B891" s="254" t="s">
        <v>850</v>
      </c>
      <c r="C891" s="254">
        <v>6370</v>
      </c>
      <c r="D891" s="254" t="s">
        <v>264</v>
      </c>
      <c r="E891" s="254" t="str">
        <f>_xlfn.XLOOKUP(C891,Clientes!I:I,Clientes!F:F)</f>
        <v>YTL S.A. - PARAGUAI</v>
      </c>
      <c r="F891" s="254">
        <v>7010</v>
      </c>
      <c r="G891" s="254" t="s">
        <v>832</v>
      </c>
      <c r="H891" s="254" t="s">
        <v>971</v>
      </c>
      <c r="I891" s="255">
        <v>84000</v>
      </c>
      <c r="J891" s="256">
        <v>84000</v>
      </c>
      <c r="K891" s="258">
        <v>569520</v>
      </c>
      <c r="L891" s="258">
        <v>0</v>
      </c>
      <c r="M891" s="258">
        <f t="shared" si="54"/>
        <v>569520</v>
      </c>
      <c r="N891" s="258">
        <v>-215979.75</v>
      </c>
      <c r="O891" s="258">
        <v>-85320.829440000001</v>
      </c>
      <c r="P891" s="258">
        <v>-6477.819082336212</v>
      </c>
      <c r="Q891" s="258">
        <f t="shared" si="55"/>
        <v>261741.60147766379</v>
      </c>
      <c r="R891" s="259">
        <f t="shared" si="56"/>
        <v>0.45958280916853456</v>
      </c>
      <c r="S891" s="255">
        <f t="shared" si="53"/>
        <v>6.78</v>
      </c>
      <c r="T891" s="255">
        <f t="shared" si="53"/>
        <v>6.78</v>
      </c>
      <c r="U891" s="254">
        <v>100700</v>
      </c>
      <c r="V891" s="254" t="s">
        <v>960</v>
      </c>
      <c r="W891" s="254" t="s">
        <v>896</v>
      </c>
      <c r="X891" s="254" t="s">
        <v>446</v>
      </c>
      <c r="Y891" s="254" t="s">
        <v>836</v>
      </c>
      <c r="Z891" s="254" t="s">
        <v>1125</v>
      </c>
      <c r="AA891" s="254" t="s">
        <v>838</v>
      </c>
    </row>
    <row r="892" spans="1:27" ht="14.4" x14ac:dyDescent="0.3">
      <c r="A892" s="253">
        <v>11</v>
      </c>
      <c r="B892" s="254" t="s">
        <v>850</v>
      </c>
      <c r="C892" s="254">
        <v>12629</v>
      </c>
      <c r="D892" s="254" t="s">
        <v>109</v>
      </c>
      <c r="E892" s="254" t="str">
        <f>_xlfn.XLOOKUP(C892,Clientes!I:I,Clientes!F:F)</f>
        <v>EUROCHEM SERRA DO SALITRE</v>
      </c>
      <c r="F892" s="254">
        <v>3359</v>
      </c>
      <c r="G892" s="254" t="s">
        <v>855</v>
      </c>
      <c r="H892" s="254" t="s">
        <v>967</v>
      </c>
      <c r="I892" s="255">
        <v>90000</v>
      </c>
      <c r="J892" s="256">
        <v>90000</v>
      </c>
      <c r="K892" s="258">
        <v>490500</v>
      </c>
      <c r="L892" s="258">
        <v>-88290</v>
      </c>
      <c r="M892" s="258">
        <f t="shared" si="54"/>
        <v>402210</v>
      </c>
      <c r="N892" s="258">
        <v>-214315.40999999997</v>
      </c>
      <c r="O892" s="258">
        <v>-12668.590771199999</v>
      </c>
      <c r="P892" s="258">
        <v>-5.7669808671019842</v>
      </c>
      <c r="Q892" s="258">
        <f t="shared" si="55"/>
        <v>175220.23224793293</v>
      </c>
      <c r="R892" s="259">
        <f t="shared" si="56"/>
        <v>0.43564364945658468</v>
      </c>
      <c r="S892" s="255">
        <f t="shared" si="53"/>
        <v>5.45</v>
      </c>
      <c r="T892" s="255">
        <f t="shared" si="53"/>
        <v>5.45</v>
      </c>
      <c r="U892" s="254">
        <v>100700</v>
      </c>
      <c r="V892" s="254" t="s">
        <v>960</v>
      </c>
      <c r="W892" s="254" t="s">
        <v>968</v>
      </c>
      <c r="X892" s="254" t="s">
        <v>446</v>
      </c>
      <c r="Y892" s="254" t="s">
        <v>843</v>
      </c>
      <c r="Z892" s="254" t="s">
        <v>1125</v>
      </c>
      <c r="AA892" s="254" t="s">
        <v>838</v>
      </c>
    </row>
    <row r="893" spans="1:27" ht="14.4" x14ac:dyDescent="0.3">
      <c r="A893" s="253">
        <v>11</v>
      </c>
      <c r="B893" s="254" t="s">
        <v>850</v>
      </c>
      <c r="C893" s="254">
        <v>1792</v>
      </c>
      <c r="D893" s="254" t="s">
        <v>970</v>
      </c>
      <c r="E893" s="254" t="str">
        <f>_xlfn.XLOOKUP(C893,Clientes!I:I,Clientes!F:F)</f>
        <v>GRUPO MOSAIC FERTILIZANTES P K LTDA</v>
      </c>
      <c r="F893" s="254">
        <v>3359</v>
      </c>
      <c r="G893" s="254" t="s">
        <v>867</v>
      </c>
      <c r="H893" s="254" t="s">
        <v>967</v>
      </c>
      <c r="I893" s="255">
        <v>150000</v>
      </c>
      <c r="J893" s="256">
        <v>150000</v>
      </c>
      <c r="K893" s="258">
        <v>585000</v>
      </c>
      <c r="L893" s="258">
        <v>-40950.000000000007</v>
      </c>
      <c r="M893" s="258">
        <f t="shared" si="54"/>
        <v>544050</v>
      </c>
      <c r="N893" s="258">
        <v>-357192.35</v>
      </c>
      <c r="O893" s="258">
        <v>-12210.8025</v>
      </c>
      <c r="P893" s="258">
        <v>-5.5585870331803893</v>
      </c>
      <c r="Q893" s="258">
        <f t="shared" si="55"/>
        <v>174641.28891296685</v>
      </c>
      <c r="R893" s="259">
        <f t="shared" si="56"/>
        <v>0.32100227720424013</v>
      </c>
      <c r="S893" s="255">
        <f t="shared" si="53"/>
        <v>3.9</v>
      </c>
      <c r="T893" s="255">
        <f t="shared" si="53"/>
        <v>3.9</v>
      </c>
      <c r="U893" s="254">
        <v>100700</v>
      </c>
      <c r="V893" s="254" t="s">
        <v>960</v>
      </c>
      <c r="W893" s="254" t="s">
        <v>871</v>
      </c>
      <c r="X893" s="254" t="s">
        <v>446</v>
      </c>
      <c r="Y893" s="254" t="s">
        <v>843</v>
      </c>
      <c r="Z893" s="254" t="s">
        <v>1125</v>
      </c>
      <c r="AA893" s="254" t="s">
        <v>838</v>
      </c>
    </row>
    <row r="894" spans="1:27" ht="14.4" x14ac:dyDescent="0.3">
      <c r="A894" s="253">
        <v>11</v>
      </c>
      <c r="B894" s="254" t="s">
        <v>850</v>
      </c>
      <c r="C894" s="254">
        <v>1787</v>
      </c>
      <c r="D894" s="254" t="s">
        <v>57</v>
      </c>
      <c r="E894" s="254" t="str">
        <f>_xlfn.XLOOKUP(C894,Clientes!I:I,Clientes!F:F)</f>
        <v>GRUPO MOSAIC FERTILIZANTES P K LTDA</v>
      </c>
      <c r="F894" s="254">
        <v>3359</v>
      </c>
      <c r="G894" s="254" t="s">
        <v>855</v>
      </c>
      <c r="H894" s="254" t="s">
        <v>967</v>
      </c>
      <c r="I894" s="255">
        <v>240000</v>
      </c>
      <c r="J894" s="256">
        <v>240000</v>
      </c>
      <c r="K894" s="258">
        <v>931200</v>
      </c>
      <c r="L894" s="258">
        <v>0</v>
      </c>
      <c r="M894" s="258">
        <f t="shared" si="54"/>
        <v>931200</v>
      </c>
      <c r="N894" s="258">
        <v>-571507.76</v>
      </c>
      <c r="O894" s="258">
        <v>-19537.284</v>
      </c>
      <c r="P894" s="258">
        <v>-8.8937392530886221</v>
      </c>
      <c r="Q894" s="258">
        <f t="shared" si="55"/>
        <v>340146.0622607469</v>
      </c>
      <c r="R894" s="259">
        <f t="shared" si="56"/>
        <v>0.3652771287164378</v>
      </c>
      <c r="S894" s="255">
        <f t="shared" si="53"/>
        <v>3.88</v>
      </c>
      <c r="T894" s="255">
        <f t="shared" si="53"/>
        <v>3.88</v>
      </c>
      <c r="U894" s="254">
        <v>100700</v>
      </c>
      <c r="V894" s="254" t="s">
        <v>960</v>
      </c>
      <c r="W894" s="254" t="s">
        <v>892</v>
      </c>
      <c r="X894" s="254" t="s">
        <v>446</v>
      </c>
      <c r="Y894" s="254" t="s">
        <v>843</v>
      </c>
      <c r="Z894" s="254" t="s">
        <v>1125</v>
      </c>
      <c r="AA894" s="254" t="s">
        <v>838</v>
      </c>
    </row>
    <row r="895" spans="1:27" ht="14.4" x14ac:dyDescent="0.3">
      <c r="A895" s="253">
        <v>11</v>
      </c>
      <c r="B895" s="254" t="s">
        <v>850</v>
      </c>
      <c r="C895" s="254">
        <v>8995</v>
      </c>
      <c r="D895" s="254" t="s">
        <v>172</v>
      </c>
      <c r="E895" s="254" t="str">
        <f>_xlfn.XLOOKUP(C895,Clientes!I:I,Clientes!F:F)</f>
        <v>FERTIPOL - DOURADOS</v>
      </c>
      <c r="F895" s="254">
        <v>3351</v>
      </c>
      <c r="G895" s="254" t="s">
        <v>924</v>
      </c>
      <c r="H895" s="254" t="s">
        <v>965</v>
      </c>
      <c r="I895" s="255">
        <v>30000</v>
      </c>
      <c r="J895" s="256">
        <v>30000</v>
      </c>
      <c r="K895" s="258">
        <v>160200</v>
      </c>
      <c r="L895" s="258">
        <v>-11214.000000000002</v>
      </c>
      <c r="M895" s="258">
        <f t="shared" si="54"/>
        <v>148986</v>
      </c>
      <c r="N895" s="258">
        <v>-88356.602222222224</v>
      </c>
      <c r="O895" s="258">
        <v>-11914.507987199999</v>
      </c>
      <c r="P895" s="258">
        <v>-5.4237081964411518</v>
      </c>
      <c r="Q895" s="258">
        <f t="shared" si="55"/>
        <v>48709.466082381339</v>
      </c>
      <c r="R895" s="259">
        <f t="shared" si="56"/>
        <v>0.32693988752219227</v>
      </c>
      <c r="S895" s="255">
        <f t="shared" si="53"/>
        <v>5.34</v>
      </c>
      <c r="T895" s="255">
        <f t="shared" si="53"/>
        <v>5.34</v>
      </c>
      <c r="U895" s="254">
        <v>100700</v>
      </c>
      <c r="V895" s="254" t="s">
        <v>960</v>
      </c>
      <c r="W895" s="254" t="s">
        <v>1042</v>
      </c>
      <c r="X895" s="254" t="s">
        <v>446</v>
      </c>
      <c r="Y895" s="254" t="s">
        <v>843</v>
      </c>
      <c r="Z895" s="254" t="s">
        <v>1125</v>
      </c>
      <c r="AA895" s="254" t="s">
        <v>838</v>
      </c>
    </row>
    <row r="896" spans="1:27" ht="14.4" x14ac:dyDescent="0.3">
      <c r="A896" s="253">
        <v>11</v>
      </c>
      <c r="B896" s="254" t="s">
        <v>850</v>
      </c>
      <c r="C896" s="254">
        <v>2619</v>
      </c>
      <c r="D896" s="254" t="s">
        <v>1107</v>
      </c>
      <c r="E896" s="254" t="str">
        <f>_xlfn.XLOOKUP(C896,Clientes!I:I,Clientes!F:F)</f>
        <v>FOSPAR - PARANAGUÁ</v>
      </c>
      <c r="F896" s="254">
        <v>4552</v>
      </c>
      <c r="G896" s="254" t="s">
        <v>862</v>
      </c>
      <c r="H896" s="254" t="s">
        <v>1108</v>
      </c>
      <c r="I896" s="255">
        <v>60000</v>
      </c>
      <c r="J896" s="256">
        <v>60000</v>
      </c>
      <c r="K896" s="258">
        <v>384000</v>
      </c>
      <c r="L896" s="258">
        <v>-46080</v>
      </c>
      <c r="M896" s="258">
        <f t="shared" si="54"/>
        <v>337920</v>
      </c>
      <c r="N896" s="258">
        <v>-176216.22</v>
      </c>
      <c r="O896" s="258">
        <v>-28099.2114</v>
      </c>
      <c r="P896" s="258">
        <v>-12.791289690471579</v>
      </c>
      <c r="Q896" s="258">
        <f t="shared" si="55"/>
        <v>133591.77731030952</v>
      </c>
      <c r="R896" s="259">
        <f t="shared" si="56"/>
        <v>0.39533551524120952</v>
      </c>
      <c r="S896" s="255">
        <f t="shared" si="53"/>
        <v>6.4</v>
      </c>
      <c r="T896" s="255">
        <f t="shared" si="53"/>
        <v>6.4</v>
      </c>
      <c r="U896" s="254">
        <v>100700</v>
      </c>
      <c r="V896" s="254" t="s">
        <v>960</v>
      </c>
      <c r="W896" s="254" t="s">
        <v>864</v>
      </c>
      <c r="X896" s="254" t="s">
        <v>446</v>
      </c>
      <c r="Y896" s="254" t="s">
        <v>843</v>
      </c>
      <c r="Z896" s="254" t="s">
        <v>1125</v>
      </c>
      <c r="AA896" s="254" t="s">
        <v>838</v>
      </c>
    </row>
    <row r="897" spans="1:27" ht="14.4" x14ac:dyDescent="0.3">
      <c r="A897" s="253">
        <v>11</v>
      </c>
      <c r="B897" s="254" t="s">
        <v>850</v>
      </c>
      <c r="C897" s="254">
        <v>13330</v>
      </c>
      <c r="D897" s="254" t="s">
        <v>579</v>
      </c>
      <c r="E897" s="254" t="str">
        <f>_xlfn.XLOOKUP(C897,Clientes!I:I,Clientes!F:F)</f>
        <v>ORGANITEC - PARAGUAY</v>
      </c>
      <c r="F897" s="254">
        <v>14142</v>
      </c>
      <c r="G897" s="254" t="s">
        <v>832</v>
      </c>
      <c r="H897" s="254" t="s">
        <v>962</v>
      </c>
      <c r="I897" s="255">
        <v>28000</v>
      </c>
      <c r="J897" s="256">
        <v>28000</v>
      </c>
      <c r="K897" s="258">
        <v>178080</v>
      </c>
      <c r="L897" s="258">
        <v>0</v>
      </c>
      <c r="M897" s="258">
        <f t="shared" si="54"/>
        <v>178080</v>
      </c>
      <c r="N897" s="258">
        <v>-81620.545610278365</v>
      </c>
      <c r="O897" s="258">
        <v>-25247.786666666678</v>
      </c>
      <c r="P897" s="258">
        <v>-2157.8197460185729</v>
      </c>
      <c r="Q897" s="258">
        <f t="shared" si="55"/>
        <v>69053.847977036377</v>
      </c>
      <c r="R897" s="259">
        <f t="shared" si="56"/>
        <v>0.3877686881010578</v>
      </c>
      <c r="S897" s="255">
        <f t="shared" si="53"/>
        <v>6.36</v>
      </c>
      <c r="T897" s="255">
        <f t="shared" si="53"/>
        <v>6.36</v>
      </c>
      <c r="U897" s="254">
        <v>100700</v>
      </c>
      <c r="V897" s="254" t="s">
        <v>960</v>
      </c>
      <c r="W897" s="254" t="s">
        <v>1070</v>
      </c>
      <c r="X897" s="254" t="s">
        <v>446</v>
      </c>
      <c r="Y897" s="254" t="s">
        <v>836</v>
      </c>
      <c r="Z897" s="254" t="s">
        <v>1125</v>
      </c>
      <c r="AA897" s="254" t="s">
        <v>838</v>
      </c>
    </row>
    <row r="898" spans="1:27" ht="14.4" x14ac:dyDescent="0.3">
      <c r="A898" s="253">
        <v>11</v>
      </c>
      <c r="B898" s="254" t="s">
        <v>850</v>
      </c>
      <c r="C898" s="254">
        <v>2133</v>
      </c>
      <c r="D898" s="254" t="s">
        <v>260</v>
      </c>
      <c r="E898" s="254" t="str">
        <f>_xlfn.XLOOKUP(C898,Clientes!I:I,Clientes!F:F)</f>
        <v>GRUPO FERTIPAR FERTILIZANTES PARANA</v>
      </c>
      <c r="F898" s="254">
        <v>3353</v>
      </c>
      <c r="G898" s="254" t="s">
        <v>908</v>
      </c>
      <c r="H898" s="254" t="s">
        <v>972</v>
      </c>
      <c r="I898" s="255">
        <v>30000</v>
      </c>
      <c r="J898" s="256">
        <v>30000</v>
      </c>
      <c r="K898" s="258">
        <v>179700</v>
      </c>
      <c r="L898" s="258">
        <v>-21564</v>
      </c>
      <c r="M898" s="258">
        <f t="shared" si="54"/>
        <v>158136</v>
      </c>
      <c r="N898" s="258">
        <v>-91396.35</v>
      </c>
      <c r="O898" s="258">
        <v>-11663.147059199999</v>
      </c>
      <c r="P898" s="258">
        <v>-5.3092839728875401</v>
      </c>
      <c r="Q898" s="258">
        <f t="shared" si="55"/>
        <v>55071.193656827112</v>
      </c>
      <c r="R898" s="259">
        <f t="shared" si="56"/>
        <v>0.34825209728858142</v>
      </c>
      <c r="S898" s="255">
        <f t="shared" si="53"/>
        <v>5.99</v>
      </c>
      <c r="T898" s="255">
        <f t="shared" si="53"/>
        <v>5.99</v>
      </c>
      <c r="U898" s="254">
        <v>100700</v>
      </c>
      <c r="V898" s="254" t="s">
        <v>960</v>
      </c>
      <c r="W898" s="254" t="s">
        <v>973</v>
      </c>
      <c r="X898" s="254" t="s">
        <v>446</v>
      </c>
      <c r="Y898" s="254" t="s">
        <v>843</v>
      </c>
      <c r="Z898" s="254" t="s">
        <v>1125</v>
      </c>
      <c r="AA898" s="254" t="s">
        <v>838</v>
      </c>
    </row>
    <row r="899" spans="1:27" ht="14.4" x14ac:dyDescent="0.3">
      <c r="A899" s="253">
        <v>11</v>
      </c>
      <c r="B899" s="254" t="s">
        <v>850</v>
      </c>
      <c r="C899" s="254">
        <v>11724</v>
      </c>
      <c r="D899" s="254" t="s">
        <v>107</v>
      </c>
      <c r="E899" s="254" t="str">
        <f>_xlfn.XLOOKUP(C899,Clientes!I:I,Clientes!F:F)</f>
        <v>GRUPO HINOVE</v>
      </c>
      <c r="F899" s="254">
        <v>14142</v>
      </c>
      <c r="G899" s="254" t="s">
        <v>908</v>
      </c>
      <c r="H899" s="254" t="s">
        <v>962</v>
      </c>
      <c r="I899" s="255">
        <v>91200</v>
      </c>
      <c r="J899" s="256">
        <v>91200</v>
      </c>
      <c r="K899" s="258">
        <v>551760</v>
      </c>
      <c r="L899" s="258">
        <v>-66211.199999999997</v>
      </c>
      <c r="M899" s="258">
        <f t="shared" si="54"/>
        <v>485548.79999999999</v>
      </c>
      <c r="N899" s="258">
        <v>-265849.77713062096</v>
      </c>
      <c r="O899" s="258">
        <v>-35838.035670527999</v>
      </c>
      <c r="P899" s="258">
        <v>-16.314148097379611</v>
      </c>
      <c r="Q899" s="258">
        <f t="shared" si="55"/>
        <v>183844.67305075363</v>
      </c>
      <c r="R899" s="259">
        <f t="shared" si="56"/>
        <v>0.37863274103602695</v>
      </c>
      <c r="S899" s="255">
        <f t="shared" ref="S899:T962" si="57">$K899/I899</f>
        <v>6.05</v>
      </c>
      <c r="T899" s="255">
        <f t="shared" si="57"/>
        <v>6.05</v>
      </c>
      <c r="U899" s="254">
        <v>100700</v>
      </c>
      <c r="V899" s="254" t="s">
        <v>960</v>
      </c>
      <c r="W899" s="254" t="s">
        <v>963</v>
      </c>
      <c r="X899" s="254" t="s">
        <v>446</v>
      </c>
      <c r="Y899" s="254" t="s">
        <v>843</v>
      </c>
      <c r="Z899" s="254" t="s">
        <v>1125</v>
      </c>
      <c r="AA899" s="254" t="s">
        <v>838</v>
      </c>
    </row>
    <row r="900" spans="1:27" ht="14.4" x14ac:dyDescent="0.3">
      <c r="A900" s="253">
        <v>11</v>
      </c>
      <c r="B900" s="254" t="s">
        <v>850</v>
      </c>
      <c r="C900" s="254">
        <v>201</v>
      </c>
      <c r="D900" s="254" t="s">
        <v>288</v>
      </c>
      <c r="E900" s="254" t="str">
        <f>_xlfn.XLOOKUP(C900,Clientes!I:I,Clientes!F:F)</f>
        <v>GRUPO JOSAPAR</v>
      </c>
      <c r="F900" s="254">
        <v>14142</v>
      </c>
      <c r="G900" s="254" t="s">
        <v>877</v>
      </c>
      <c r="H900" s="254" t="s">
        <v>962</v>
      </c>
      <c r="I900" s="255">
        <v>11400</v>
      </c>
      <c r="J900" s="256">
        <v>11400</v>
      </c>
      <c r="K900" s="258">
        <v>87666</v>
      </c>
      <c r="L900" s="258">
        <v>-10519.92</v>
      </c>
      <c r="M900" s="258">
        <f t="shared" ref="M900:M963" si="58">SUM(K900:L900)</f>
        <v>77146.080000000002</v>
      </c>
      <c r="N900" s="258">
        <v>-33231.22214132762</v>
      </c>
      <c r="O900" s="258">
        <v>-20182.774352831999</v>
      </c>
      <c r="P900" s="258">
        <v>-9.1875786060136253</v>
      </c>
      <c r="Q900" s="258">
        <f t="shared" ref="Q900:Q963" si="59">SUM(M900:P900)</f>
        <v>23722.895927234371</v>
      </c>
      <c r="R900" s="259">
        <f t="shared" ref="R900:R963" si="60">Q900/M900</f>
        <v>0.30750617435434657</v>
      </c>
      <c r="S900" s="255">
        <f t="shared" si="57"/>
        <v>7.69</v>
      </c>
      <c r="T900" s="255">
        <f t="shared" si="57"/>
        <v>7.69</v>
      </c>
      <c r="U900" s="254">
        <v>100700</v>
      </c>
      <c r="V900" s="254" t="s">
        <v>960</v>
      </c>
      <c r="W900" s="254" t="s">
        <v>1109</v>
      </c>
      <c r="X900" s="254" t="s">
        <v>446</v>
      </c>
      <c r="Y900" s="254" t="s">
        <v>843</v>
      </c>
      <c r="Z900" s="254" t="s">
        <v>1125</v>
      </c>
      <c r="AA900" s="254" t="s">
        <v>838</v>
      </c>
    </row>
    <row r="901" spans="1:27" ht="14.4" x14ac:dyDescent="0.3">
      <c r="A901" s="253">
        <v>11</v>
      </c>
      <c r="B901" s="254" t="s">
        <v>850</v>
      </c>
      <c r="C901" s="254">
        <v>6477</v>
      </c>
      <c r="D901" s="254" t="s">
        <v>87</v>
      </c>
      <c r="E901" s="254" t="str">
        <f>_xlfn.XLOOKUP(C901,Clientes!I:I,Clientes!F:F)</f>
        <v>GRUPO MOSAIC FERTILIZANTES DO BRASIL</v>
      </c>
      <c r="F901" s="254">
        <v>3362</v>
      </c>
      <c r="G901" s="254" t="s">
        <v>862</v>
      </c>
      <c r="H901" s="254" t="s">
        <v>1097</v>
      </c>
      <c r="I901" s="255">
        <v>300000</v>
      </c>
      <c r="J901" s="256">
        <v>300000</v>
      </c>
      <c r="K901" s="258">
        <v>1839000</v>
      </c>
      <c r="L901" s="258">
        <v>-220680</v>
      </c>
      <c r="M901" s="258">
        <f t="shared" si="58"/>
        <v>1618320</v>
      </c>
      <c r="N901" s="258">
        <v>-882677.2583333333</v>
      </c>
      <c r="O901" s="258">
        <v>-140496.057</v>
      </c>
      <c r="P901" s="258">
        <v>-63.956448452357904</v>
      </c>
      <c r="Q901" s="258">
        <f t="shared" si="59"/>
        <v>595082.72821821435</v>
      </c>
      <c r="R901" s="259">
        <f t="shared" si="60"/>
        <v>0.3677163528957279</v>
      </c>
      <c r="S901" s="255">
        <f t="shared" si="57"/>
        <v>6.13</v>
      </c>
      <c r="T901" s="255">
        <f t="shared" si="57"/>
        <v>6.13</v>
      </c>
      <c r="U901" s="254">
        <v>100700</v>
      </c>
      <c r="V901" s="254" t="s">
        <v>960</v>
      </c>
      <c r="W901" s="254" t="s">
        <v>864</v>
      </c>
      <c r="X901" s="254" t="s">
        <v>446</v>
      </c>
      <c r="Y901" s="254" t="s">
        <v>843</v>
      </c>
      <c r="Z901" s="254" t="s">
        <v>1125</v>
      </c>
      <c r="AA901" s="254" t="s">
        <v>838</v>
      </c>
    </row>
    <row r="902" spans="1:27" ht="14.4" x14ac:dyDescent="0.3">
      <c r="A902" s="253">
        <v>11</v>
      </c>
      <c r="B902" s="254" t="s">
        <v>850</v>
      </c>
      <c r="C902" s="254">
        <v>16465</v>
      </c>
      <c r="D902" s="254" t="s">
        <v>685</v>
      </c>
      <c r="E902" s="254" t="str">
        <f>_xlfn.XLOOKUP(C902,Clientes!I:I,Clientes!F:F)</f>
        <v>GRUPO NOBLEZA SRL</v>
      </c>
      <c r="F902" s="254">
        <v>14142</v>
      </c>
      <c r="G902" s="254" t="s">
        <v>832</v>
      </c>
      <c r="H902" s="254" t="s">
        <v>962</v>
      </c>
      <c r="I902" s="255">
        <v>9500</v>
      </c>
      <c r="J902" s="256">
        <v>9500</v>
      </c>
      <c r="K902" s="258">
        <v>60420</v>
      </c>
      <c r="L902" s="258">
        <v>0</v>
      </c>
      <c r="M902" s="258">
        <f t="shared" si="58"/>
        <v>60420</v>
      </c>
      <c r="N902" s="258">
        <v>-27692.68511777302</v>
      </c>
      <c r="O902" s="258">
        <v>0</v>
      </c>
      <c r="P902" s="258">
        <v>-728.21791235285775</v>
      </c>
      <c r="Q902" s="258">
        <f t="shared" si="59"/>
        <v>31999.096969874121</v>
      </c>
      <c r="R902" s="259">
        <f t="shared" si="60"/>
        <v>0.52961100579070042</v>
      </c>
      <c r="S902" s="255">
        <f t="shared" si="57"/>
        <v>6.36</v>
      </c>
      <c r="T902" s="255">
        <f t="shared" si="57"/>
        <v>6.36</v>
      </c>
      <c r="U902" s="254">
        <v>100700</v>
      </c>
      <c r="V902" s="254" t="s">
        <v>960</v>
      </c>
      <c r="W902" s="254" t="s">
        <v>1096</v>
      </c>
      <c r="X902" s="254" t="s">
        <v>446</v>
      </c>
      <c r="Y902" s="254" t="s">
        <v>836</v>
      </c>
      <c r="Z902" s="254" t="s">
        <v>1125</v>
      </c>
      <c r="AA902" s="254" t="s">
        <v>838</v>
      </c>
    </row>
    <row r="903" spans="1:27" ht="14.4" x14ac:dyDescent="0.3">
      <c r="A903" s="253">
        <v>11</v>
      </c>
      <c r="B903" s="254" t="s">
        <v>850</v>
      </c>
      <c r="C903" s="254">
        <v>14382</v>
      </c>
      <c r="D903" s="254" t="s">
        <v>244</v>
      </c>
      <c r="E903" s="254" t="str">
        <f>_xlfn.XLOOKUP(C903,Clientes!I:I,Clientes!F:F)</f>
        <v>GECAL - PAINS-MG</v>
      </c>
      <c r="F903" s="254">
        <v>3351</v>
      </c>
      <c r="G903" s="254" t="s">
        <v>855</v>
      </c>
      <c r="H903" s="254" t="s">
        <v>965</v>
      </c>
      <c r="I903" s="255">
        <v>15000</v>
      </c>
      <c r="J903" s="256">
        <v>15000</v>
      </c>
      <c r="K903" s="258">
        <v>102900</v>
      </c>
      <c r="L903" s="258">
        <v>-18522</v>
      </c>
      <c r="M903" s="258">
        <f t="shared" si="58"/>
        <v>84378</v>
      </c>
      <c r="N903" s="258">
        <v>-44178.301111111112</v>
      </c>
      <c r="O903" s="258">
        <v>-6648.4965456</v>
      </c>
      <c r="P903" s="258">
        <v>-3.0265207129930052</v>
      </c>
      <c r="Q903" s="258">
        <f t="shared" si="59"/>
        <v>33548.175822575897</v>
      </c>
      <c r="R903" s="259">
        <f t="shared" si="60"/>
        <v>0.39759387307800487</v>
      </c>
      <c r="S903" s="255">
        <f t="shared" si="57"/>
        <v>6.86</v>
      </c>
      <c r="T903" s="255">
        <f t="shared" si="57"/>
        <v>6.86</v>
      </c>
      <c r="U903" s="254">
        <v>100700</v>
      </c>
      <c r="V903" s="254" t="s">
        <v>960</v>
      </c>
      <c r="W903" s="254" t="s">
        <v>1086</v>
      </c>
      <c r="X903" s="254" t="s">
        <v>446</v>
      </c>
      <c r="Y903" s="254" t="s">
        <v>843</v>
      </c>
      <c r="Z903" s="254" t="s">
        <v>1125</v>
      </c>
      <c r="AA903" s="254" t="s">
        <v>838</v>
      </c>
    </row>
    <row r="904" spans="1:27" ht="14.4" x14ac:dyDescent="0.3">
      <c r="A904" s="253">
        <v>11</v>
      </c>
      <c r="B904" s="254" t="s">
        <v>850</v>
      </c>
      <c r="C904" s="254">
        <v>456</v>
      </c>
      <c r="D904" s="254" t="s">
        <v>312</v>
      </c>
      <c r="E904" s="254" t="str">
        <f>_xlfn.XLOOKUP(C904,Clientes!I:I,Clientes!F:F)</f>
        <v>GRUPO FERTIPAR FERTILIZANTES DO NORDESTE</v>
      </c>
      <c r="F904" s="254">
        <v>3353</v>
      </c>
      <c r="G904" s="254" t="s">
        <v>875</v>
      </c>
      <c r="H904" s="254" t="s">
        <v>972</v>
      </c>
      <c r="I904" s="255">
        <v>30000</v>
      </c>
      <c r="J904" s="256">
        <v>30000</v>
      </c>
      <c r="K904" s="258">
        <v>185400</v>
      </c>
      <c r="L904" s="258">
        <v>-12978.000000000002</v>
      </c>
      <c r="M904" s="258">
        <f t="shared" si="58"/>
        <v>172422</v>
      </c>
      <c r="N904" s="258">
        <v>-91396.35</v>
      </c>
      <c r="O904" s="258">
        <v>-21548.474999999999</v>
      </c>
      <c r="P904" s="258">
        <v>-9.8092712350242159</v>
      </c>
      <c r="Q904" s="258">
        <f t="shared" si="59"/>
        <v>59467.365728764969</v>
      </c>
      <c r="R904" s="259">
        <f t="shared" si="60"/>
        <v>0.34489430425795414</v>
      </c>
      <c r="S904" s="255">
        <f t="shared" si="57"/>
        <v>6.18</v>
      </c>
      <c r="T904" s="255">
        <f t="shared" si="57"/>
        <v>6.18</v>
      </c>
      <c r="U904" s="254">
        <v>100700</v>
      </c>
      <c r="V904" s="254" t="s">
        <v>960</v>
      </c>
      <c r="W904" s="254" t="s">
        <v>876</v>
      </c>
      <c r="X904" s="254" t="s">
        <v>446</v>
      </c>
      <c r="Y904" s="254" t="s">
        <v>843</v>
      </c>
      <c r="Z904" s="254" t="s">
        <v>1125</v>
      </c>
      <c r="AA904" s="254" t="s">
        <v>838</v>
      </c>
    </row>
    <row r="905" spans="1:27" ht="14.4" x14ac:dyDescent="0.3">
      <c r="A905" s="253">
        <v>11</v>
      </c>
      <c r="B905" s="254" t="s">
        <v>850</v>
      </c>
      <c r="C905" s="254">
        <v>2603</v>
      </c>
      <c r="D905" s="254" t="s">
        <v>1074</v>
      </c>
      <c r="E905" s="254" t="str">
        <f>_xlfn.XLOOKUP(C905,Clientes!I:I,Clientes!F:F)</f>
        <v>GRUPO MOSAIC FERTILIZANTES DO BRASIL</v>
      </c>
      <c r="F905" s="254">
        <v>3362</v>
      </c>
      <c r="G905" s="254" t="s">
        <v>897</v>
      </c>
      <c r="H905" s="254" t="s">
        <v>1097</v>
      </c>
      <c r="I905" s="255">
        <v>30000</v>
      </c>
      <c r="J905" s="256">
        <v>30000</v>
      </c>
      <c r="K905" s="258">
        <v>193200</v>
      </c>
      <c r="L905" s="258">
        <v>-13524.000000000002</v>
      </c>
      <c r="M905" s="258">
        <f t="shared" si="58"/>
        <v>179676</v>
      </c>
      <c r="N905" s="258">
        <v>-88267.72583333333</v>
      </c>
      <c r="O905" s="258">
        <v>0</v>
      </c>
      <c r="P905" s="258">
        <v>0</v>
      </c>
      <c r="Q905" s="258">
        <f t="shared" si="59"/>
        <v>91408.27416666667</v>
      </c>
      <c r="R905" s="259">
        <f t="shared" si="60"/>
        <v>0.50873947642794071</v>
      </c>
      <c r="S905" s="255">
        <f t="shared" si="57"/>
        <v>6.44</v>
      </c>
      <c r="T905" s="255">
        <f t="shared" si="57"/>
        <v>6.44</v>
      </c>
      <c r="U905" s="254">
        <v>100700</v>
      </c>
      <c r="V905" s="254" t="s">
        <v>960</v>
      </c>
      <c r="W905" s="254" t="s">
        <v>899</v>
      </c>
      <c r="X905" s="254" t="s">
        <v>446</v>
      </c>
      <c r="Y905" s="254" t="s">
        <v>843</v>
      </c>
      <c r="Z905" s="254" t="s">
        <v>1125</v>
      </c>
      <c r="AA905" s="254" t="s">
        <v>838</v>
      </c>
    </row>
    <row r="906" spans="1:27" ht="14.4" x14ac:dyDescent="0.3">
      <c r="A906" s="253">
        <v>11</v>
      </c>
      <c r="B906" s="254" t="s">
        <v>850</v>
      </c>
      <c r="C906" s="254">
        <v>2225</v>
      </c>
      <c r="D906" s="254" t="s">
        <v>617</v>
      </c>
      <c r="E906" s="254" t="str">
        <f>_xlfn.XLOOKUP(C906,Clientes!I:I,Clientes!F:F)</f>
        <v>ITAFOS - ARRAIAS/TO</v>
      </c>
      <c r="F906" s="254">
        <v>3351</v>
      </c>
      <c r="G906" s="254" t="s">
        <v>974</v>
      </c>
      <c r="H906" s="254" t="s">
        <v>965</v>
      </c>
      <c r="I906" s="255">
        <v>90000</v>
      </c>
      <c r="J906" s="256">
        <v>90000</v>
      </c>
      <c r="K906" s="258">
        <v>486000</v>
      </c>
      <c r="L906" s="258">
        <v>-34020</v>
      </c>
      <c r="M906" s="258">
        <f t="shared" si="58"/>
        <v>451980</v>
      </c>
      <c r="N906" s="258">
        <v>-265069.80666666664</v>
      </c>
      <c r="O906" s="258">
        <v>-41323.7365632</v>
      </c>
      <c r="P906" s="258">
        <v>-18.811342352213615</v>
      </c>
      <c r="Q906" s="258">
        <f t="shared" si="59"/>
        <v>145567.64542778113</v>
      </c>
      <c r="R906" s="259">
        <f t="shared" si="60"/>
        <v>0.32206656362622488</v>
      </c>
      <c r="S906" s="255">
        <f t="shared" si="57"/>
        <v>5.4</v>
      </c>
      <c r="T906" s="255">
        <f t="shared" si="57"/>
        <v>5.4</v>
      </c>
      <c r="U906" s="254">
        <v>100700</v>
      </c>
      <c r="V906" s="254" t="s">
        <v>960</v>
      </c>
      <c r="W906" s="254" t="s">
        <v>975</v>
      </c>
      <c r="X906" s="254" t="s">
        <v>446</v>
      </c>
      <c r="Y906" s="254" t="s">
        <v>843</v>
      </c>
      <c r="Z906" s="254" t="s">
        <v>1125</v>
      </c>
      <c r="AA906" s="254" t="s">
        <v>838</v>
      </c>
    </row>
    <row r="907" spans="1:27" ht="14.4" x14ac:dyDescent="0.3">
      <c r="A907" s="253">
        <v>11</v>
      </c>
      <c r="B907" s="254" t="s">
        <v>850</v>
      </c>
      <c r="C907" s="254">
        <v>2949</v>
      </c>
      <c r="D907" s="254" t="s">
        <v>720</v>
      </c>
      <c r="E907" s="254" t="str">
        <f>_xlfn.XLOOKUP(C907,Clientes!I:I,Clientes!F:F)</f>
        <v>GRUPO MOSAIC FERTILIZANTES DO BRASIL</v>
      </c>
      <c r="F907" s="254">
        <v>3362</v>
      </c>
      <c r="G907" s="254" t="s">
        <v>875</v>
      </c>
      <c r="H907" s="254" t="s">
        <v>1097</v>
      </c>
      <c r="I907" s="255">
        <v>30000</v>
      </c>
      <c r="J907" s="256">
        <v>30000</v>
      </c>
      <c r="K907" s="258">
        <v>160200</v>
      </c>
      <c r="L907" s="258">
        <v>-11214.000000000002</v>
      </c>
      <c r="M907" s="258">
        <f t="shared" si="58"/>
        <v>148986</v>
      </c>
      <c r="N907" s="258">
        <v>-88267.72583333333</v>
      </c>
      <c r="O907" s="258">
        <v>-21548.474999999999</v>
      </c>
      <c r="P907" s="258">
        <v>-9.8092712350242159</v>
      </c>
      <c r="Q907" s="258">
        <f t="shared" si="59"/>
        <v>39159.989895431645</v>
      </c>
      <c r="R907" s="259">
        <f t="shared" si="60"/>
        <v>0.2628434208276727</v>
      </c>
      <c r="S907" s="255">
        <f t="shared" si="57"/>
        <v>5.34</v>
      </c>
      <c r="T907" s="255">
        <f t="shared" si="57"/>
        <v>5.34</v>
      </c>
      <c r="U907" s="254">
        <v>100700</v>
      </c>
      <c r="V907" s="254" t="s">
        <v>960</v>
      </c>
      <c r="W907" s="254" t="s">
        <v>876</v>
      </c>
      <c r="X907" s="254" t="s">
        <v>446</v>
      </c>
      <c r="Y907" s="254" t="s">
        <v>843</v>
      </c>
      <c r="Z907" s="254" t="s">
        <v>1125</v>
      </c>
      <c r="AA907" s="254" t="s">
        <v>838</v>
      </c>
    </row>
    <row r="908" spans="1:27" ht="14.4" x14ac:dyDescent="0.3">
      <c r="A908" s="253">
        <v>11</v>
      </c>
      <c r="B908" s="254" t="s">
        <v>850</v>
      </c>
      <c r="C908" s="254">
        <v>1789</v>
      </c>
      <c r="D908" s="254" t="s">
        <v>61</v>
      </c>
      <c r="E908" s="254" t="str">
        <f>_xlfn.XLOOKUP(C908,Clientes!I:I,Clientes!F:F)</f>
        <v>GRUPO MOSAIC FERTILIZANTES P K LTDA</v>
      </c>
      <c r="F908" s="254">
        <v>3359</v>
      </c>
      <c r="G908" s="254" t="s">
        <v>855</v>
      </c>
      <c r="H908" s="254" t="s">
        <v>967</v>
      </c>
      <c r="I908" s="255">
        <v>330000</v>
      </c>
      <c r="J908" s="256">
        <v>330000</v>
      </c>
      <c r="K908" s="258">
        <v>1280400</v>
      </c>
      <c r="L908" s="258">
        <v>0</v>
      </c>
      <c r="M908" s="258">
        <f t="shared" si="58"/>
        <v>1280400</v>
      </c>
      <c r="N908" s="258">
        <v>-785823.16999999993</v>
      </c>
      <c r="O908" s="258">
        <v>-34838.624620800001</v>
      </c>
      <c r="P908" s="258">
        <v>-15.859197384530457</v>
      </c>
      <c r="Q908" s="258">
        <f t="shared" si="59"/>
        <v>459722.34618181555</v>
      </c>
      <c r="R908" s="259">
        <f t="shared" si="60"/>
        <v>0.35904588111669444</v>
      </c>
      <c r="S908" s="255">
        <f t="shared" si="57"/>
        <v>3.88</v>
      </c>
      <c r="T908" s="255">
        <f t="shared" si="57"/>
        <v>3.88</v>
      </c>
      <c r="U908" s="254">
        <v>100700</v>
      </c>
      <c r="V908" s="254" t="s">
        <v>960</v>
      </c>
      <c r="W908" s="254" t="s">
        <v>969</v>
      </c>
      <c r="X908" s="254" t="s">
        <v>446</v>
      </c>
      <c r="Y908" s="254" t="s">
        <v>843</v>
      </c>
      <c r="Z908" s="254" t="s">
        <v>1125</v>
      </c>
      <c r="AA908" s="254" t="s">
        <v>838</v>
      </c>
    </row>
    <row r="909" spans="1:27" ht="14.4" x14ac:dyDescent="0.3">
      <c r="A909" s="253">
        <v>11</v>
      </c>
      <c r="B909" s="254" t="s">
        <v>850</v>
      </c>
      <c r="C909" s="254">
        <v>5300</v>
      </c>
      <c r="D909" s="254" t="s">
        <v>25</v>
      </c>
      <c r="E909" s="254" t="str">
        <f>_xlfn.XLOOKUP(C909,Clientes!I:I,Clientes!F:F)</f>
        <v>FOSNOR - LUIS EDUARDO MAGALHAES</v>
      </c>
      <c r="F909" s="254">
        <v>4246</v>
      </c>
      <c r="G909" s="254" t="s">
        <v>875</v>
      </c>
      <c r="H909" s="254" t="s">
        <v>959</v>
      </c>
      <c r="I909" s="255">
        <v>150000</v>
      </c>
      <c r="J909" s="256">
        <v>150000</v>
      </c>
      <c r="K909" s="258">
        <v>877500</v>
      </c>
      <c r="L909" s="258">
        <v>-61425.000000000007</v>
      </c>
      <c r="M909" s="258">
        <f t="shared" si="58"/>
        <v>816075</v>
      </c>
      <c r="N909" s="258">
        <v>-392112</v>
      </c>
      <c r="O909" s="258">
        <v>-77419.165823999996</v>
      </c>
      <c r="P909" s="258">
        <v>-35.242660854512124</v>
      </c>
      <c r="Q909" s="258">
        <f t="shared" si="59"/>
        <v>346508.59151514544</v>
      </c>
      <c r="R909" s="259">
        <f t="shared" si="60"/>
        <v>0.42460385566908121</v>
      </c>
      <c r="S909" s="255">
        <f t="shared" si="57"/>
        <v>5.85</v>
      </c>
      <c r="T909" s="255">
        <f t="shared" si="57"/>
        <v>5.85</v>
      </c>
      <c r="U909" s="254">
        <v>100700</v>
      </c>
      <c r="V909" s="254" t="s">
        <v>960</v>
      </c>
      <c r="W909" s="254" t="s">
        <v>961</v>
      </c>
      <c r="X909" s="254" t="s">
        <v>446</v>
      </c>
      <c r="Y909" s="254" t="s">
        <v>843</v>
      </c>
      <c r="Z909" s="254" t="s">
        <v>1125</v>
      </c>
      <c r="AA909" s="254" t="s">
        <v>838</v>
      </c>
    </row>
    <row r="910" spans="1:27" ht="14.4" x14ac:dyDescent="0.3">
      <c r="A910" s="253">
        <v>11</v>
      </c>
      <c r="B910" s="254" t="s">
        <v>850</v>
      </c>
      <c r="C910" s="254">
        <v>1788</v>
      </c>
      <c r="D910" s="254" t="s">
        <v>59</v>
      </c>
      <c r="E910" s="254" t="str">
        <f>_xlfn.XLOOKUP(C910,Clientes!I:I,Clientes!F:F)</f>
        <v>GRUPO MOSAIC FERTILIZANTES P K LTDA</v>
      </c>
      <c r="F910" s="254">
        <v>3359</v>
      </c>
      <c r="G910" s="254" t="s">
        <v>855</v>
      </c>
      <c r="H910" s="254" t="s">
        <v>967</v>
      </c>
      <c r="I910" s="255">
        <v>60000</v>
      </c>
      <c r="J910" s="256">
        <v>60000</v>
      </c>
      <c r="K910" s="258">
        <v>232800</v>
      </c>
      <c r="L910" s="258">
        <v>0</v>
      </c>
      <c r="M910" s="258">
        <f t="shared" si="58"/>
        <v>232800</v>
      </c>
      <c r="N910" s="258">
        <v>-142876.94</v>
      </c>
      <c r="O910" s="258">
        <v>-4884.3209999999999</v>
      </c>
      <c r="P910" s="258">
        <v>-2.2234348132721555</v>
      </c>
      <c r="Q910" s="258">
        <f t="shared" si="59"/>
        <v>85036.515565186724</v>
      </c>
      <c r="R910" s="259">
        <f t="shared" si="60"/>
        <v>0.3652771287164378</v>
      </c>
      <c r="S910" s="255">
        <f t="shared" si="57"/>
        <v>3.88</v>
      </c>
      <c r="T910" s="255">
        <f t="shared" si="57"/>
        <v>3.88</v>
      </c>
      <c r="U910" s="254">
        <v>100700</v>
      </c>
      <c r="V910" s="254" t="s">
        <v>960</v>
      </c>
      <c r="W910" s="254" t="s">
        <v>892</v>
      </c>
      <c r="X910" s="254" t="s">
        <v>446</v>
      </c>
      <c r="Y910" s="254" t="s">
        <v>843</v>
      </c>
      <c r="Z910" s="254" t="s">
        <v>1125</v>
      </c>
      <c r="AA910" s="254" t="s">
        <v>838</v>
      </c>
    </row>
    <row r="911" spans="1:27" ht="14.4" x14ac:dyDescent="0.3">
      <c r="A911" s="253">
        <v>13</v>
      </c>
      <c r="B911" s="254" t="s">
        <v>850</v>
      </c>
      <c r="C911" s="254">
        <v>2</v>
      </c>
      <c r="D911" s="254" t="s">
        <v>976</v>
      </c>
      <c r="E911" s="254" t="str">
        <f>_xlfn.XLOOKUP(C911,Clientes!I:I,Clientes!F:F)</f>
        <v>GRUPO CARGILL</v>
      </c>
      <c r="F911" s="254">
        <v>3700</v>
      </c>
      <c r="G911" s="254" t="s">
        <v>855</v>
      </c>
      <c r="H911" s="254" t="s">
        <v>977</v>
      </c>
      <c r="I911" s="254">
        <v>84000</v>
      </c>
      <c r="J911" s="256">
        <v>84000</v>
      </c>
      <c r="K911" s="258">
        <v>92400</v>
      </c>
      <c r="L911" s="258">
        <v>-23640.539999999997</v>
      </c>
      <c r="M911" s="258">
        <f t="shared" si="58"/>
        <v>68759.460000000006</v>
      </c>
      <c r="N911" s="258">
        <v>-15390.900000000001</v>
      </c>
      <c r="O911" s="258">
        <v>0</v>
      </c>
      <c r="P911" s="258">
        <v>0</v>
      </c>
      <c r="Q911" s="258">
        <f t="shared" si="59"/>
        <v>53368.560000000005</v>
      </c>
      <c r="R911" s="259">
        <f t="shared" si="60"/>
        <v>0.77616316358505433</v>
      </c>
      <c r="S911" s="255">
        <f t="shared" si="57"/>
        <v>1.1000000000000001</v>
      </c>
      <c r="T911" s="255">
        <f t="shared" si="57"/>
        <v>1.1000000000000001</v>
      </c>
      <c r="U911" s="254">
        <v>100900</v>
      </c>
      <c r="V911" s="254" t="s">
        <v>978</v>
      </c>
      <c r="W911" s="254" t="s">
        <v>865</v>
      </c>
      <c r="X911" s="254" t="s">
        <v>157</v>
      </c>
      <c r="Y911" s="254" t="s">
        <v>843</v>
      </c>
      <c r="Z911" s="254" t="s">
        <v>1125</v>
      </c>
      <c r="AA911" s="254" t="s">
        <v>838</v>
      </c>
    </row>
    <row r="912" spans="1:27" ht="14.4" x14ac:dyDescent="0.3">
      <c r="A912" s="253">
        <v>11</v>
      </c>
      <c r="B912" s="254" t="s">
        <v>850</v>
      </c>
      <c r="C912" s="254">
        <v>2527</v>
      </c>
      <c r="D912" s="254" t="s">
        <v>340</v>
      </c>
      <c r="E912" s="254" t="str">
        <f>_xlfn.XLOOKUP(C912,Clientes!I:I,Clientes!F:F)</f>
        <v>INKAFERT - PERU</v>
      </c>
      <c r="F912" s="254">
        <v>14144</v>
      </c>
      <c r="G912" s="254" t="s">
        <v>832</v>
      </c>
      <c r="H912" s="254" t="s">
        <v>979</v>
      </c>
      <c r="I912" s="255">
        <v>2000</v>
      </c>
      <c r="J912" s="256">
        <v>2000</v>
      </c>
      <c r="K912" s="258">
        <v>18656</v>
      </c>
      <c r="L912" s="258">
        <v>0</v>
      </c>
      <c r="M912" s="258">
        <f t="shared" si="58"/>
        <v>18656</v>
      </c>
      <c r="N912" s="258">
        <v>-2941.7</v>
      </c>
      <c r="O912" s="258">
        <v>0</v>
      </c>
      <c r="P912" s="258">
        <v>-153.309034179549</v>
      </c>
      <c r="Q912" s="258">
        <f t="shared" si="59"/>
        <v>15560.990965820451</v>
      </c>
      <c r="R912" s="259">
        <f t="shared" si="60"/>
        <v>0.83410114525195378</v>
      </c>
      <c r="S912" s="255">
        <f t="shared" si="57"/>
        <v>9.3279999999999994</v>
      </c>
      <c r="T912" s="255">
        <f t="shared" si="57"/>
        <v>9.3279999999999994</v>
      </c>
      <c r="U912" s="254">
        <v>101300</v>
      </c>
      <c r="V912" s="254" t="s">
        <v>980</v>
      </c>
      <c r="W912" s="254" t="s">
        <v>1126</v>
      </c>
      <c r="X912" s="254" t="s">
        <v>446</v>
      </c>
      <c r="Y912" s="254" t="s">
        <v>836</v>
      </c>
      <c r="Z912" s="254" t="s">
        <v>1125</v>
      </c>
      <c r="AA912" s="254" t="s">
        <v>838</v>
      </c>
    </row>
    <row r="913" spans="1:27" ht="14.4" x14ac:dyDescent="0.3">
      <c r="A913" s="253">
        <v>11</v>
      </c>
      <c r="B913" s="254" t="s">
        <v>850</v>
      </c>
      <c r="C913" s="254">
        <v>2527</v>
      </c>
      <c r="D913" s="254" t="s">
        <v>340</v>
      </c>
      <c r="E913" s="254" t="str">
        <f>_xlfn.XLOOKUP(C913,Clientes!I:I,Clientes!F:F)</f>
        <v>INKAFERT - PERU</v>
      </c>
      <c r="F913" s="254">
        <v>14143</v>
      </c>
      <c r="G913" s="254" t="s">
        <v>832</v>
      </c>
      <c r="H913" s="254" t="s">
        <v>1049</v>
      </c>
      <c r="I913" s="255">
        <v>3000</v>
      </c>
      <c r="J913" s="256">
        <v>3000</v>
      </c>
      <c r="K913" s="258">
        <v>27984</v>
      </c>
      <c r="L913" s="258">
        <v>0</v>
      </c>
      <c r="M913" s="258">
        <f t="shared" si="58"/>
        <v>27984</v>
      </c>
      <c r="N913" s="258">
        <v>-4739.3900000000003</v>
      </c>
      <c r="O913" s="258">
        <v>0</v>
      </c>
      <c r="P913" s="258">
        <v>-229.96355126932352</v>
      </c>
      <c r="Q913" s="258">
        <f t="shared" si="59"/>
        <v>23014.646448730677</v>
      </c>
      <c r="R913" s="259">
        <f t="shared" si="60"/>
        <v>0.82242161409129066</v>
      </c>
      <c r="S913" s="255">
        <f t="shared" si="57"/>
        <v>9.3279999999999994</v>
      </c>
      <c r="T913" s="255">
        <f t="shared" si="57"/>
        <v>9.3279999999999994</v>
      </c>
      <c r="U913" s="254">
        <v>101300</v>
      </c>
      <c r="V913" s="254" t="s">
        <v>980</v>
      </c>
      <c r="W913" s="254" t="s">
        <v>1126</v>
      </c>
      <c r="X913" s="254" t="s">
        <v>446</v>
      </c>
      <c r="Y913" s="254" t="s">
        <v>836</v>
      </c>
      <c r="Z913" s="254" t="s">
        <v>1125</v>
      </c>
      <c r="AA913" s="254" t="s">
        <v>838</v>
      </c>
    </row>
    <row r="914" spans="1:27" ht="14.4" x14ac:dyDescent="0.3">
      <c r="A914" s="253">
        <v>11</v>
      </c>
      <c r="B914" s="254" t="s">
        <v>850</v>
      </c>
      <c r="C914" s="254">
        <v>12653</v>
      </c>
      <c r="D914" s="254" t="s">
        <v>232</v>
      </c>
      <c r="E914" s="254" t="str">
        <f>_xlfn.XLOOKUP(C914,Clientes!I:I,Clientes!F:F)</f>
        <v>APROVAR AGROPECUARIA COMERCIO</v>
      </c>
      <c r="F914" s="254">
        <v>8368</v>
      </c>
      <c r="G914" s="254" t="s">
        <v>855</v>
      </c>
      <c r="H914" s="254" t="s">
        <v>989</v>
      </c>
      <c r="I914" s="255">
        <v>2000</v>
      </c>
      <c r="J914" s="256">
        <v>32884.072547869357</v>
      </c>
      <c r="K914" s="261">
        <v>362518.55150185636</v>
      </c>
      <c r="L914" s="258">
        <v>-32625.340921803698</v>
      </c>
      <c r="M914" s="258">
        <f t="shared" si="58"/>
        <v>329893.21058005269</v>
      </c>
      <c r="N914" s="258">
        <v>-115762.28893949043</v>
      </c>
      <c r="O914" s="258">
        <v>-7937.5347529339824</v>
      </c>
      <c r="P914" s="258">
        <v>-81833.251258501041</v>
      </c>
      <c r="Q914" s="258">
        <f t="shared" si="59"/>
        <v>124360.13562912722</v>
      </c>
      <c r="R914" s="259">
        <f t="shared" si="60"/>
        <v>0.37697088524636274</v>
      </c>
      <c r="S914" s="255">
        <f t="shared" si="57"/>
        <v>181.25927575092817</v>
      </c>
      <c r="T914" s="255">
        <f t="shared" si="57"/>
        <v>11.024137931034485</v>
      </c>
      <c r="U914" s="254">
        <v>101602</v>
      </c>
      <c r="V914" s="254" t="s">
        <v>983</v>
      </c>
      <c r="W914" s="254" t="s">
        <v>1054</v>
      </c>
      <c r="X914" s="254" t="s">
        <v>157</v>
      </c>
      <c r="Y914" s="254" t="s">
        <v>843</v>
      </c>
      <c r="Z914" s="254" t="s">
        <v>1125</v>
      </c>
      <c r="AA914" s="254" t="s">
        <v>838</v>
      </c>
    </row>
    <row r="915" spans="1:27" ht="14.4" x14ac:dyDescent="0.3">
      <c r="A915" s="253">
        <v>11</v>
      </c>
      <c r="B915" s="254" t="s">
        <v>850</v>
      </c>
      <c r="C915" s="254">
        <v>13773</v>
      </c>
      <c r="D915" s="254" t="s">
        <v>428</v>
      </c>
      <c r="E915" s="254" t="str">
        <f>_xlfn.XLOOKUP(C915,Clientes!I:I,Clientes!F:F)</f>
        <v>FERTLIZE AGRO</v>
      </c>
      <c r="F915" s="254">
        <v>8368</v>
      </c>
      <c r="G915" s="254" t="s">
        <v>855</v>
      </c>
      <c r="H915" s="254" t="s">
        <v>989</v>
      </c>
      <c r="I915" s="255">
        <v>167</v>
      </c>
      <c r="J915" s="256">
        <v>2745.8200577470911</v>
      </c>
      <c r="K915" s="258">
        <v>29508.097275754513</v>
      </c>
      <c r="L915" s="258">
        <v>-2655.6206008958097</v>
      </c>
      <c r="M915" s="258">
        <f t="shared" si="58"/>
        <v>26852.476674858703</v>
      </c>
      <c r="N915" s="258">
        <v>-9666.151126447452</v>
      </c>
      <c r="O915" s="258">
        <v>0</v>
      </c>
      <c r="P915" s="258">
        <v>-6683.4651904109742</v>
      </c>
      <c r="Q915" s="258">
        <f t="shared" si="59"/>
        <v>10502.860358000278</v>
      </c>
      <c r="R915" s="259">
        <f t="shared" si="60"/>
        <v>0.39113190508173279</v>
      </c>
      <c r="S915" s="255">
        <f t="shared" si="57"/>
        <v>176.6951932679911</v>
      </c>
      <c r="T915" s="255">
        <f t="shared" si="57"/>
        <v>10.74655172413793</v>
      </c>
      <c r="U915" s="254">
        <v>101602</v>
      </c>
      <c r="V915" s="254" t="s">
        <v>983</v>
      </c>
      <c r="W915" s="254" t="s">
        <v>995</v>
      </c>
      <c r="X915" s="254" t="s">
        <v>157</v>
      </c>
      <c r="Y915" s="254" t="s">
        <v>843</v>
      </c>
      <c r="Z915" s="254" t="s">
        <v>1125</v>
      </c>
      <c r="AA915" s="254" t="s">
        <v>838</v>
      </c>
    </row>
    <row r="916" spans="1:27" ht="14.4" x14ac:dyDescent="0.3">
      <c r="A916" s="253">
        <v>11</v>
      </c>
      <c r="B916" s="254" t="s">
        <v>850</v>
      </c>
      <c r="C916" s="254">
        <v>15905</v>
      </c>
      <c r="D916" s="254" t="s">
        <v>750</v>
      </c>
      <c r="E916" s="254" t="str">
        <f>_xlfn.XLOOKUP(C916,Clientes!I:I,Clientes!F:F)</f>
        <v>ADUFÉRTIL - CAMPEVO</v>
      </c>
      <c r="F916" s="254">
        <v>8368</v>
      </c>
      <c r="G916" s="254" t="s">
        <v>908</v>
      </c>
      <c r="H916" s="254" t="s">
        <v>989</v>
      </c>
      <c r="I916" s="255">
        <v>170</v>
      </c>
      <c r="J916" s="256">
        <v>2795.1461665688953</v>
      </c>
      <c r="K916" s="258">
        <v>30814.076877657786</v>
      </c>
      <c r="L916" s="258">
        <v>-2773.1539783533144</v>
      </c>
      <c r="M916" s="258">
        <f t="shared" si="58"/>
        <v>28040.922899304471</v>
      </c>
      <c r="N916" s="258">
        <v>-9839.7945598566876</v>
      </c>
      <c r="O916" s="258">
        <v>-755.63618576813087</v>
      </c>
      <c r="P916" s="258">
        <v>-6958.9962774681371</v>
      </c>
      <c r="Q916" s="258">
        <f t="shared" si="59"/>
        <v>10486.495876211517</v>
      </c>
      <c r="R916" s="259">
        <f t="shared" si="60"/>
        <v>0.37397113903378781</v>
      </c>
      <c r="S916" s="255">
        <f t="shared" si="57"/>
        <v>181.25927575092814</v>
      </c>
      <c r="T916" s="255">
        <f t="shared" si="57"/>
        <v>11.024137931034483</v>
      </c>
      <c r="U916" s="254">
        <v>101602</v>
      </c>
      <c r="V916" s="254" t="s">
        <v>983</v>
      </c>
      <c r="W916" s="254" t="s">
        <v>991</v>
      </c>
      <c r="X916" s="254" t="s">
        <v>157</v>
      </c>
      <c r="Y916" s="254" t="s">
        <v>843</v>
      </c>
      <c r="Z916" s="254" t="s">
        <v>1125</v>
      </c>
      <c r="AA916" s="254" t="s">
        <v>838</v>
      </c>
    </row>
    <row r="917" spans="1:27" ht="14.4" x14ac:dyDescent="0.3">
      <c r="A917" s="253">
        <v>11</v>
      </c>
      <c r="B917" s="254" t="s">
        <v>850</v>
      </c>
      <c r="C917" s="254">
        <v>15906</v>
      </c>
      <c r="D917" s="254" t="s">
        <v>993</v>
      </c>
      <c r="E917" s="254" t="str">
        <f>_xlfn.XLOOKUP(C917,Clientes!I:I,Clientes!F:F)</f>
        <v>ADUFÉRTIL - CAMPEVO</v>
      </c>
      <c r="F917" s="254">
        <v>13004</v>
      </c>
      <c r="G917" s="254" t="s">
        <v>908</v>
      </c>
      <c r="H917" s="254" t="s">
        <v>982</v>
      </c>
      <c r="I917" s="255">
        <v>22</v>
      </c>
      <c r="J917" s="256">
        <v>505.97726079211878</v>
      </c>
      <c r="K917" s="258">
        <v>13383.098547951542</v>
      </c>
      <c r="L917" s="258">
        <v>-1266.8109020827151</v>
      </c>
      <c r="M917" s="258">
        <f t="shared" si="58"/>
        <v>12116.287645868826</v>
      </c>
      <c r="N917" s="258">
        <v>-3577.6717152628812</v>
      </c>
      <c r="O917" s="258">
        <v>-136.78523577881009</v>
      </c>
      <c r="P917" s="258">
        <v>-2765.7850376538231</v>
      </c>
      <c r="Q917" s="258">
        <f t="shared" si="59"/>
        <v>5636.0456571733121</v>
      </c>
      <c r="R917" s="259">
        <f t="shared" si="60"/>
        <v>0.46516274802166652</v>
      </c>
      <c r="S917" s="255">
        <f t="shared" si="57"/>
        <v>608.32266127052469</v>
      </c>
      <c r="T917" s="255">
        <f t="shared" si="57"/>
        <v>26.45</v>
      </c>
      <c r="U917" s="254">
        <v>101602</v>
      </c>
      <c r="V917" s="254" t="s">
        <v>983</v>
      </c>
      <c r="W917" s="254" t="s">
        <v>994</v>
      </c>
      <c r="X917" s="254" t="s">
        <v>157</v>
      </c>
      <c r="Y917" s="254" t="s">
        <v>843</v>
      </c>
      <c r="Z917" s="254" t="s">
        <v>1125</v>
      </c>
      <c r="AA917" s="254" t="s">
        <v>838</v>
      </c>
    </row>
    <row r="918" spans="1:27" ht="14.4" x14ac:dyDescent="0.3">
      <c r="A918" s="253">
        <v>11</v>
      </c>
      <c r="B918" s="254" t="s">
        <v>850</v>
      </c>
      <c r="C918" s="254">
        <v>15917</v>
      </c>
      <c r="D918" s="254" t="s">
        <v>571</v>
      </c>
      <c r="E918" s="254" t="str">
        <f>_xlfn.XLOOKUP(C918,Clientes!I:I,Clientes!F:F)</f>
        <v>MINAS FARM</v>
      </c>
      <c r="F918" s="254">
        <v>8368</v>
      </c>
      <c r="G918" s="254" t="s">
        <v>855</v>
      </c>
      <c r="H918" s="254" t="s">
        <v>989</v>
      </c>
      <c r="I918" s="255">
        <v>224</v>
      </c>
      <c r="J918" s="256">
        <v>3683.0161253613674</v>
      </c>
      <c r="K918" s="258">
        <v>39579.723292030008</v>
      </c>
      <c r="L918" s="258">
        <v>-3562.0300275488698</v>
      </c>
      <c r="M918" s="258">
        <f t="shared" si="58"/>
        <v>36017.693264481139</v>
      </c>
      <c r="N918" s="258">
        <v>-12965.376361222927</v>
      </c>
      <c r="O918" s="258">
        <v>0</v>
      </c>
      <c r="P918" s="258">
        <v>-8964.6479200722042</v>
      </c>
      <c r="Q918" s="258">
        <f t="shared" si="59"/>
        <v>14087.668983186008</v>
      </c>
      <c r="R918" s="259">
        <f t="shared" si="60"/>
        <v>0.3911319050817329</v>
      </c>
      <c r="S918" s="255">
        <f t="shared" si="57"/>
        <v>176.6951932679911</v>
      </c>
      <c r="T918" s="255">
        <f t="shared" si="57"/>
        <v>10.746551724137932</v>
      </c>
      <c r="U918" s="254">
        <v>101602</v>
      </c>
      <c r="V918" s="254" t="s">
        <v>983</v>
      </c>
      <c r="W918" s="254" t="s">
        <v>865</v>
      </c>
      <c r="X918" s="254" t="s">
        <v>157</v>
      </c>
      <c r="Y918" s="254" t="s">
        <v>843</v>
      </c>
      <c r="Z918" s="254" t="s">
        <v>1125</v>
      </c>
      <c r="AA918" s="254" t="s">
        <v>838</v>
      </c>
    </row>
    <row r="919" spans="1:27" ht="14.4" x14ac:dyDescent="0.3">
      <c r="A919" s="253">
        <v>11</v>
      </c>
      <c r="B919" s="254" t="s">
        <v>850</v>
      </c>
      <c r="C919" s="254">
        <v>15906</v>
      </c>
      <c r="D919" s="254" t="s">
        <v>993</v>
      </c>
      <c r="E919" s="254" t="str">
        <f>_xlfn.XLOOKUP(C919,Clientes!I:I,Clientes!F:F)</f>
        <v>ADUFÉRTIL - CAMPEVO</v>
      </c>
      <c r="F919" s="254">
        <v>8369</v>
      </c>
      <c r="G919" s="254" t="s">
        <v>908</v>
      </c>
      <c r="H919" s="254" t="s">
        <v>988</v>
      </c>
      <c r="I919" s="255">
        <v>4900</v>
      </c>
      <c r="J919" s="256">
        <v>4475.8876523488843</v>
      </c>
      <c r="K919" s="258">
        <v>43272.573141001958</v>
      </c>
      <c r="L919" s="258">
        <v>-3894.3729788174596</v>
      </c>
      <c r="M919" s="258">
        <f t="shared" si="58"/>
        <v>39378.200162184497</v>
      </c>
      <c r="N919" s="258">
        <v>-16267.114262101421</v>
      </c>
      <c r="O919" s="258">
        <v>-1210.005656948968</v>
      </c>
      <c r="P919" s="258">
        <v>-9951.1345856410117</v>
      </c>
      <c r="Q919" s="258">
        <f t="shared" si="59"/>
        <v>11949.945657493095</v>
      </c>
      <c r="R919" s="259">
        <f t="shared" si="60"/>
        <v>0.30346601947970225</v>
      </c>
      <c r="S919" s="255">
        <f t="shared" si="57"/>
        <v>8.831137375714686</v>
      </c>
      <c r="T919" s="255">
        <f t="shared" si="57"/>
        <v>9.6679310344827591</v>
      </c>
      <c r="U919" s="254">
        <v>101602</v>
      </c>
      <c r="V919" s="254" t="s">
        <v>983</v>
      </c>
      <c r="W919" s="254" t="s">
        <v>994</v>
      </c>
      <c r="X919" s="254" t="s">
        <v>157</v>
      </c>
      <c r="Y919" s="254" t="s">
        <v>843</v>
      </c>
      <c r="Z919" s="254" t="s">
        <v>1125</v>
      </c>
      <c r="AA919" s="254" t="s">
        <v>838</v>
      </c>
    </row>
    <row r="920" spans="1:27" ht="14.4" x14ac:dyDescent="0.3">
      <c r="A920" s="253">
        <v>11</v>
      </c>
      <c r="B920" s="254" t="s">
        <v>850</v>
      </c>
      <c r="C920" s="254">
        <v>15917</v>
      </c>
      <c r="D920" s="254" t="s">
        <v>571</v>
      </c>
      <c r="E920" s="254" t="str">
        <f>_xlfn.XLOOKUP(C920,Clientes!I:I,Clientes!F:F)</f>
        <v>MINAS FARM</v>
      </c>
      <c r="F920" s="254">
        <v>8369</v>
      </c>
      <c r="G920" s="254" t="s">
        <v>855</v>
      </c>
      <c r="H920" s="254" t="s">
        <v>988</v>
      </c>
      <c r="I920" s="255">
        <v>23000</v>
      </c>
      <c r="J920" s="256">
        <v>21009.268572249865</v>
      </c>
      <c r="K920" s="258">
        <v>197284.27646879596</v>
      </c>
      <c r="L920" s="258">
        <v>-17754.861790218994</v>
      </c>
      <c r="M920" s="258">
        <f t="shared" si="58"/>
        <v>179529.41467857696</v>
      </c>
      <c r="N920" s="258">
        <v>-76355.842454761761</v>
      </c>
      <c r="O920" s="258">
        <v>0</v>
      </c>
      <c r="P920" s="258">
        <v>-45554.868974295357</v>
      </c>
      <c r="Q920" s="258">
        <f t="shared" si="59"/>
        <v>57618.703249519836</v>
      </c>
      <c r="R920" s="259">
        <f t="shared" si="60"/>
        <v>0.32094296833016639</v>
      </c>
      <c r="S920" s="255">
        <f t="shared" si="57"/>
        <v>8.5775772377737365</v>
      </c>
      <c r="T920" s="255">
        <f t="shared" si="57"/>
        <v>9.3903448275862065</v>
      </c>
      <c r="U920" s="254">
        <v>101602</v>
      </c>
      <c r="V920" s="254" t="s">
        <v>983</v>
      </c>
      <c r="W920" s="254" t="s">
        <v>865</v>
      </c>
      <c r="X920" s="254" t="s">
        <v>157</v>
      </c>
      <c r="Y920" s="254" t="s">
        <v>843</v>
      </c>
      <c r="Z920" s="254" t="s">
        <v>1125</v>
      </c>
      <c r="AA920" s="254" t="s">
        <v>838</v>
      </c>
    </row>
    <row r="921" spans="1:27" ht="14.4" x14ac:dyDescent="0.3">
      <c r="A921" s="253">
        <v>11</v>
      </c>
      <c r="B921" s="254" t="s">
        <v>850</v>
      </c>
      <c r="C921" s="254">
        <v>14166</v>
      </c>
      <c r="D921" s="254" t="s">
        <v>1050</v>
      </c>
      <c r="E921" s="254" t="str">
        <f>_xlfn.XLOOKUP(C921,Clientes!I:I,Clientes!F:F)</f>
        <v>GRUPO TAKI AGRO</v>
      </c>
      <c r="F921" s="254">
        <v>8368</v>
      </c>
      <c r="G921" s="254" t="s">
        <v>855</v>
      </c>
      <c r="H921" s="254" t="s">
        <v>989</v>
      </c>
      <c r="I921" s="255">
        <v>2000</v>
      </c>
      <c r="J921" s="256">
        <v>32884.072547869357</v>
      </c>
      <c r="K921" s="258">
        <v>362518.55150185636</v>
      </c>
      <c r="L921" s="258">
        <v>-32625.340921803698</v>
      </c>
      <c r="M921" s="258">
        <f t="shared" si="58"/>
        <v>329893.21058005269</v>
      </c>
      <c r="N921" s="258">
        <v>-115762.28893949043</v>
      </c>
      <c r="O921" s="258">
        <v>-7937.5347529339824</v>
      </c>
      <c r="P921" s="258">
        <v>-81833.600032589398</v>
      </c>
      <c r="Q921" s="258">
        <f t="shared" si="59"/>
        <v>124359.78685503887</v>
      </c>
      <c r="R921" s="259">
        <f t="shared" si="60"/>
        <v>0.37696982801306067</v>
      </c>
      <c r="S921" s="255">
        <f t="shared" si="57"/>
        <v>181.25927575092817</v>
      </c>
      <c r="T921" s="255">
        <f t="shared" si="57"/>
        <v>11.024137931034485</v>
      </c>
      <c r="U921" s="254">
        <v>101602</v>
      </c>
      <c r="V921" s="254" t="s">
        <v>983</v>
      </c>
      <c r="W921" s="254" t="s">
        <v>1052</v>
      </c>
      <c r="X921" s="254" t="s">
        <v>157</v>
      </c>
      <c r="Y921" s="254" t="s">
        <v>843</v>
      </c>
      <c r="Z921" s="254" t="s">
        <v>1125</v>
      </c>
      <c r="AA921" s="254" t="s">
        <v>838</v>
      </c>
    </row>
    <row r="922" spans="1:27" ht="14.4" x14ac:dyDescent="0.3">
      <c r="A922" s="253">
        <v>11</v>
      </c>
      <c r="B922" s="254" t="s">
        <v>850</v>
      </c>
      <c r="C922" s="254">
        <v>16645</v>
      </c>
      <c r="D922" s="254" t="s">
        <v>573</v>
      </c>
      <c r="E922" s="254" t="str">
        <f>_xlfn.XLOOKUP(C922,Clientes!I:I,Clientes!F:F)</f>
        <v>OPCAO AGRONEGOCIOS</v>
      </c>
      <c r="F922" s="254">
        <v>8369</v>
      </c>
      <c r="G922" s="254" t="s">
        <v>855</v>
      </c>
      <c r="H922" s="254" t="s">
        <v>988</v>
      </c>
      <c r="I922" s="255">
        <v>18200</v>
      </c>
      <c r="J922" s="256">
        <v>16624.725565867284</v>
      </c>
      <c r="K922" s="258">
        <v>160726.70023800724</v>
      </c>
      <c r="L922" s="258">
        <v>-14464.813921321991</v>
      </c>
      <c r="M922" s="258">
        <f t="shared" si="58"/>
        <v>146261.88631668524</v>
      </c>
      <c r="N922" s="258">
        <v>-60420.7101163767</v>
      </c>
      <c r="O922" s="258">
        <v>-4012.8647917610688</v>
      </c>
      <c r="P922" s="258">
        <v>-36953.113090145831</v>
      </c>
      <c r="Q922" s="258">
        <f t="shared" si="59"/>
        <v>44875.19831840165</v>
      </c>
      <c r="R922" s="259">
        <f t="shared" si="60"/>
        <v>0.30681402686984477</v>
      </c>
      <c r="S922" s="255">
        <f t="shared" si="57"/>
        <v>8.8311373757146825</v>
      </c>
      <c r="T922" s="255">
        <f t="shared" si="57"/>
        <v>9.6679310344827574</v>
      </c>
      <c r="U922" s="254">
        <v>101602</v>
      </c>
      <c r="V922" s="254" t="s">
        <v>983</v>
      </c>
      <c r="W922" s="254" t="s">
        <v>865</v>
      </c>
      <c r="X922" s="254" t="s">
        <v>157</v>
      </c>
      <c r="Y922" s="254" t="s">
        <v>843</v>
      </c>
      <c r="Z922" s="254" t="s">
        <v>1125</v>
      </c>
      <c r="AA922" s="254" t="s">
        <v>838</v>
      </c>
    </row>
    <row r="923" spans="1:27" ht="14.4" x14ac:dyDescent="0.3">
      <c r="A923" s="253">
        <v>11</v>
      </c>
      <c r="B923" s="254" t="s">
        <v>850</v>
      </c>
      <c r="C923" s="254">
        <v>15906</v>
      </c>
      <c r="D923" s="254" t="s">
        <v>993</v>
      </c>
      <c r="E923" s="254" t="str">
        <f>_xlfn.XLOOKUP(C923,Clientes!I:I,Clientes!F:F)</f>
        <v>ADUFÉRTIL - CAMPEVO</v>
      </c>
      <c r="F923" s="254">
        <v>8368</v>
      </c>
      <c r="G923" s="254" t="s">
        <v>908</v>
      </c>
      <c r="H923" s="254" t="s">
        <v>989</v>
      </c>
      <c r="I923" s="255">
        <v>170</v>
      </c>
      <c r="J923" s="256">
        <v>2795.1461665688953</v>
      </c>
      <c r="K923" s="258">
        <v>30814.076877657786</v>
      </c>
      <c r="L923" s="258">
        <v>-2773.1539783533144</v>
      </c>
      <c r="M923" s="258">
        <f t="shared" si="58"/>
        <v>28040.922899304471</v>
      </c>
      <c r="N923" s="258">
        <v>-9839.7945598566876</v>
      </c>
      <c r="O923" s="258">
        <v>-755.63618576813087</v>
      </c>
      <c r="P923" s="258">
        <v>-6958.0807454862024</v>
      </c>
      <c r="Q923" s="258">
        <f t="shared" si="59"/>
        <v>10487.411408193451</v>
      </c>
      <c r="R923" s="259">
        <f t="shared" si="60"/>
        <v>0.37400378888576385</v>
      </c>
      <c r="S923" s="255">
        <f t="shared" si="57"/>
        <v>181.25927575092814</v>
      </c>
      <c r="T923" s="255">
        <f t="shared" si="57"/>
        <v>11.024137931034483</v>
      </c>
      <c r="U923" s="254">
        <v>101602</v>
      </c>
      <c r="V923" s="254" t="s">
        <v>983</v>
      </c>
      <c r="W923" s="254" t="s">
        <v>994</v>
      </c>
      <c r="X923" s="254" t="s">
        <v>157</v>
      </c>
      <c r="Y923" s="254" t="s">
        <v>843</v>
      </c>
      <c r="Z923" s="254" t="s">
        <v>1125</v>
      </c>
      <c r="AA923" s="254" t="s">
        <v>838</v>
      </c>
    </row>
    <row r="924" spans="1:27" ht="14.4" x14ac:dyDescent="0.3">
      <c r="A924" s="253">
        <v>11</v>
      </c>
      <c r="B924" s="254" t="s">
        <v>850</v>
      </c>
      <c r="C924" s="254">
        <v>16645</v>
      </c>
      <c r="D924" s="254" t="s">
        <v>573</v>
      </c>
      <c r="E924" s="254" t="str">
        <f>_xlfn.XLOOKUP(C924,Clientes!I:I,Clientes!F:F)</f>
        <v>OPCAO AGRONEGOCIOS</v>
      </c>
      <c r="F924" s="254">
        <v>8368</v>
      </c>
      <c r="G924" s="254" t="s">
        <v>855</v>
      </c>
      <c r="H924" s="254" t="s">
        <v>989</v>
      </c>
      <c r="I924" s="255">
        <v>136</v>
      </c>
      <c r="J924" s="256">
        <v>2236.1169332551162</v>
      </c>
      <c r="K924" s="258">
        <v>24651.261502126232</v>
      </c>
      <c r="L924" s="258">
        <v>-2218.5231826826512</v>
      </c>
      <c r="M924" s="258">
        <f t="shared" si="58"/>
        <v>22432.738319443582</v>
      </c>
      <c r="N924" s="258">
        <v>-7871.8356478853502</v>
      </c>
      <c r="O924" s="258">
        <v>-539.7523631995108</v>
      </c>
      <c r="P924" s="258">
        <v>-5566.20383971922</v>
      </c>
      <c r="Q924" s="258">
        <f t="shared" si="59"/>
        <v>8454.946468639504</v>
      </c>
      <c r="R924" s="259">
        <f t="shared" si="60"/>
        <v>0.37690211280676228</v>
      </c>
      <c r="S924" s="255">
        <f t="shared" si="57"/>
        <v>181.25927575092817</v>
      </c>
      <c r="T924" s="255">
        <f t="shared" si="57"/>
        <v>11.024137931034483</v>
      </c>
      <c r="U924" s="254">
        <v>101602</v>
      </c>
      <c r="V924" s="254" t="s">
        <v>983</v>
      </c>
      <c r="W924" s="254" t="s">
        <v>865</v>
      </c>
      <c r="X924" s="254" t="s">
        <v>157</v>
      </c>
      <c r="Y924" s="254" t="s">
        <v>843</v>
      </c>
      <c r="Z924" s="254" t="s">
        <v>1125</v>
      </c>
      <c r="AA924" s="254" t="s">
        <v>838</v>
      </c>
    </row>
    <row r="925" spans="1:27" ht="14.4" x14ac:dyDescent="0.3">
      <c r="A925" s="253">
        <v>11</v>
      </c>
      <c r="B925" s="254" t="s">
        <v>850</v>
      </c>
      <c r="C925" s="254">
        <v>15904</v>
      </c>
      <c r="D925" s="254" t="s">
        <v>754</v>
      </c>
      <c r="E925" s="254" t="str">
        <f>_xlfn.XLOOKUP(C925,Clientes!I:I,Clientes!F:F)</f>
        <v>ADUFÉRTIL - CAMPEVO</v>
      </c>
      <c r="F925" s="254">
        <v>13004</v>
      </c>
      <c r="G925" s="254" t="s">
        <v>908</v>
      </c>
      <c r="H925" s="254" t="s">
        <v>982</v>
      </c>
      <c r="I925" s="255">
        <v>25</v>
      </c>
      <c r="J925" s="256">
        <v>574.97415999104408</v>
      </c>
      <c r="K925" s="258">
        <v>15208.066531763116</v>
      </c>
      <c r="L925" s="258">
        <v>-1439.5578432758125</v>
      </c>
      <c r="M925" s="258">
        <f t="shared" si="58"/>
        <v>13768.508688487304</v>
      </c>
      <c r="N925" s="258">
        <v>-4065.5360400714562</v>
      </c>
      <c r="O925" s="258">
        <v>-155.43776793046604</v>
      </c>
      <c r="P925" s="258">
        <v>-3142.0695709094575</v>
      </c>
      <c r="Q925" s="258">
        <f t="shared" si="59"/>
        <v>6405.465309575924</v>
      </c>
      <c r="R925" s="259">
        <f t="shared" si="60"/>
        <v>0.46522578839144196</v>
      </c>
      <c r="S925" s="255">
        <f t="shared" si="57"/>
        <v>608.32266127052458</v>
      </c>
      <c r="T925" s="255">
        <f t="shared" si="57"/>
        <v>26.45</v>
      </c>
      <c r="U925" s="254">
        <v>101602</v>
      </c>
      <c r="V925" s="254" t="s">
        <v>983</v>
      </c>
      <c r="W925" s="254" t="s">
        <v>992</v>
      </c>
      <c r="X925" s="254" t="s">
        <v>157</v>
      </c>
      <c r="Y925" s="254" t="s">
        <v>843</v>
      </c>
      <c r="Z925" s="254" t="s">
        <v>1125</v>
      </c>
      <c r="AA925" s="254" t="s">
        <v>838</v>
      </c>
    </row>
    <row r="926" spans="1:27" ht="14.4" x14ac:dyDescent="0.3">
      <c r="A926" s="253">
        <v>11</v>
      </c>
      <c r="B926" s="254" t="s">
        <v>850</v>
      </c>
      <c r="C926" s="254">
        <v>15908</v>
      </c>
      <c r="D926" s="254" t="s">
        <v>981</v>
      </c>
      <c r="E926" s="254" t="str">
        <f>_xlfn.XLOOKUP(C926,Clientes!I:I,Clientes!F:F)</f>
        <v>ADUFÉRTIL - CAMPEVO</v>
      </c>
      <c r="F926" s="254">
        <v>13004</v>
      </c>
      <c r="G926" s="254" t="s">
        <v>908</v>
      </c>
      <c r="H926" s="254" t="s">
        <v>982</v>
      </c>
      <c r="I926" s="255">
        <v>22</v>
      </c>
      <c r="J926" s="256">
        <v>505.97726079211878</v>
      </c>
      <c r="K926" s="258">
        <v>13383.098547951542</v>
      </c>
      <c r="L926" s="258">
        <v>-1266.8109020827151</v>
      </c>
      <c r="M926" s="258">
        <f t="shared" si="58"/>
        <v>12116.287645868826</v>
      </c>
      <c r="N926" s="258">
        <v>-3577.6717152628812</v>
      </c>
      <c r="O926" s="258">
        <v>-136.78523577881009</v>
      </c>
      <c r="P926" s="258">
        <v>-2765.2618765212883</v>
      </c>
      <c r="Q926" s="258">
        <f t="shared" si="59"/>
        <v>5636.5688183058464</v>
      </c>
      <c r="R926" s="259">
        <f t="shared" si="60"/>
        <v>0.4652059263571291</v>
      </c>
      <c r="S926" s="255">
        <f t="shared" si="57"/>
        <v>608.32266127052469</v>
      </c>
      <c r="T926" s="255">
        <f t="shared" si="57"/>
        <v>26.45</v>
      </c>
      <c r="U926" s="254">
        <v>101602</v>
      </c>
      <c r="V926" s="254" t="s">
        <v>983</v>
      </c>
      <c r="W926" s="254" t="s">
        <v>984</v>
      </c>
      <c r="X926" s="254" t="s">
        <v>157</v>
      </c>
      <c r="Y926" s="254" t="s">
        <v>843</v>
      </c>
      <c r="Z926" s="254" t="s">
        <v>1125</v>
      </c>
      <c r="AA926" s="254" t="s">
        <v>838</v>
      </c>
    </row>
    <row r="927" spans="1:27" ht="14.4" x14ac:dyDescent="0.3">
      <c r="A927" s="253">
        <v>11</v>
      </c>
      <c r="B927" s="254" t="s">
        <v>850</v>
      </c>
      <c r="C927" s="254">
        <v>8187</v>
      </c>
      <c r="D927" s="254" t="s">
        <v>466</v>
      </c>
      <c r="E927" s="254" t="str">
        <f>_xlfn.XLOOKUP(C927,Clientes!I:I,Clientes!F:F)</f>
        <v>AGROREP. REPRESENTACOES AGRICOLAS</v>
      </c>
      <c r="F927" s="254">
        <v>8369</v>
      </c>
      <c r="G927" s="254" t="s">
        <v>840</v>
      </c>
      <c r="H927" s="254" t="s">
        <v>988</v>
      </c>
      <c r="I927" s="255">
        <v>274000</v>
      </c>
      <c r="J927" s="256">
        <v>250284.32994767232</v>
      </c>
      <c r="K927" s="258">
        <v>2419731.6409458239</v>
      </c>
      <c r="L927" s="258">
        <v>-217766.97881550691</v>
      </c>
      <c r="M927" s="258">
        <f t="shared" si="58"/>
        <v>2201964.6621303167</v>
      </c>
      <c r="N927" s="258">
        <v>-909630.47098281409</v>
      </c>
      <c r="O927" s="258">
        <v>-225400.22547129044</v>
      </c>
      <c r="P927" s="258">
        <v>-556320.35383231915</v>
      </c>
      <c r="Q927" s="258">
        <f t="shared" si="59"/>
        <v>510613.61184389284</v>
      </c>
      <c r="R927" s="259">
        <f t="shared" si="60"/>
        <v>0.23189001196317732</v>
      </c>
      <c r="S927" s="255">
        <f t="shared" si="57"/>
        <v>8.831137375714686</v>
      </c>
      <c r="T927" s="255">
        <f t="shared" si="57"/>
        <v>9.6679310344827591</v>
      </c>
      <c r="U927" s="254">
        <v>101602</v>
      </c>
      <c r="V927" s="254" t="s">
        <v>983</v>
      </c>
      <c r="W927" s="254" t="s">
        <v>874</v>
      </c>
      <c r="X927" s="254" t="s">
        <v>157</v>
      </c>
      <c r="Y927" s="254" t="s">
        <v>843</v>
      </c>
      <c r="Z927" s="254" t="s">
        <v>1125</v>
      </c>
      <c r="AA927" s="254" t="s">
        <v>838</v>
      </c>
    </row>
    <row r="928" spans="1:27" ht="14.4" x14ac:dyDescent="0.3">
      <c r="A928" s="253">
        <v>11</v>
      </c>
      <c r="B928" s="254" t="s">
        <v>850</v>
      </c>
      <c r="C928" s="254">
        <v>11326</v>
      </c>
      <c r="D928" s="254" t="s">
        <v>179</v>
      </c>
      <c r="E928" s="254" t="str">
        <f>_xlfn.XLOOKUP(C928,Clientes!I:I,Clientes!F:F)</f>
        <v>VEGA AGRO</v>
      </c>
      <c r="F928" s="254">
        <v>8369</v>
      </c>
      <c r="G928" s="254" t="s">
        <v>855</v>
      </c>
      <c r="H928" s="254" t="s">
        <v>988</v>
      </c>
      <c r="I928" s="255">
        <v>1400</v>
      </c>
      <c r="J928" s="256">
        <v>1278.8250435282528</v>
      </c>
      <c r="K928" s="258">
        <v>12008.608132883235</v>
      </c>
      <c r="L928" s="258">
        <v>-1080.7307176655038</v>
      </c>
      <c r="M928" s="258">
        <f t="shared" si="58"/>
        <v>10927.877415217732</v>
      </c>
      <c r="N928" s="258">
        <v>-4647.7469320289765</v>
      </c>
      <c r="O928" s="258">
        <v>0</v>
      </c>
      <c r="P928" s="258">
        <v>-2772.9050680005876</v>
      </c>
      <c r="Q928" s="258">
        <f t="shared" si="59"/>
        <v>3507.225415188168</v>
      </c>
      <c r="R928" s="259">
        <f t="shared" si="60"/>
        <v>0.32094296833016667</v>
      </c>
      <c r="S928" s="255">
        <f t="shared" si="57"/>
        <v>8.57757723777374</v>
      </c>
      <c r="T928" s="255">
        <f t="shared" si="57"/>
        <v>9.3903448275862083</v>
      </c>
      <c r="U928" s="254">
        <v>101602</v>
      </c>
      <c r="V928" s="254" t="s">
        <v>983</v>
      </c>
      <c r="W928" s="254" t="s">
        <v>952</v>
      </c>
      <c r="X928" s="254" t="s">
        <v>157</v>
      </c>
      <c r="Y928" s="254" t="s">
        <v>843</v>
      </c>
      <c r="Z928" s="254" t="s">
        <v>1125</v>
      </c>
      <c r="AA928" s="254" t="s">
        <v>838</v>
      </c>
    </row>
    <row r="929" spans="1:27" ht="14.4" x14ac:dyDescent="0.3">
      <c r="A929" s="253">
        <v>11</v>
      </c>
      <c r="B929" s="254" t="s">
        <v>850</v>
      </c>
      <c r="C929" s="254">
        <v>16107</v>
      </c>
      <c r="D929" s="254" t="s">
        <v>494</v>
      </c>
      <c r="E929" s="254" t="str">
        <f>_xlfn.XLOOKUP(C929,Clientes!I:I,Clientes!F:F)</f>
        <v>CONNTACTA AGRONEGOCIOS</v>
      </c>
      <c r="F929" s="254">
        <v>8368</v>
      </c>
      <c r="G929" s="254" t="s">
        <v>855</v>
      </c>
      <c r="H929" s="254" t="s">
        <v>989</v>
      </c>
      <c r="I929" s="255">
        <v>1000</v>
      </c>
      <c r="J929" s="256">
        <v>16442.036273934678</v>
      </c>
      <c r="K929" s="258">
        <v>181259.27575092818</v>
      </c>
      <c r="L929" s="258">
        <v>-16312.670460901849</v>
      </c>
      <c r="M929" s="258">
        <f t="shared" si="58"/>
        <v>164946.60529002635</v>
      </c>
      <c r="N929" s="258">
        <v>-57881.144469745217</v>
      </c>
      <c r="O929" s="258">
        <v>-3968.7673764669912</v>
      </c>
      <c r="P929" s="258">
        <v>-40917.754785361576</v>
      </c>
      <c r="Q929" s="258">
        <f t="shared" si="59"/>
        <v>62178.938658452556</v>
      </c>
      <c r="R929" s="259">
        <f t="shared" si="60"/>
        <v>0.37696403966073172</v>
      </c>
      <c r="S929" s="255">
        <f t="shared" si="57"/>
        <v>181.25927575092817</v>
      </c>
      <c r="T929" s="255">
        <f t="shared" si="57"/>
        <v>11.024137931034485</v>
      </c>
      <c r="U929" s="254">
        <v>101602</v>
      </c>
      <c r="V929" s="254" t="s">
        <v>983</v>
      </c>
      <c r="W929" s="254" t="s">
        <v>1055</v>
      </c>
      <c r="X929" s="254" t="s">
        <v>157</v>
      </c>
      <c r="Y929" s="254" t="s">
        <v>843</v>
      </c>
      <c r="Z929" s="254" t="s">
        <v>1125</v>
      </c>
      <c r="AA929" s="254" t="s">
        <v>838</v>
      </c>
    </row>
    <row r="930" spans="1:27" ht="14.4" x14ac:dyDescent="0.3">
      <c r="A930" s="253">
        <v>11</v>
      </c>
      <c r="B930" s="254" t="s">
        <v>850</v>
      </c>
      <c r="C930" s="254">
        <v>11326</v>
      </c>
      <c r="D930" s="254" t="s">
        <v>179</v>
      </c>
      <c r="E930" s="254" t="str">
        <f>_xlfn.XLOOKUP(C930,Clientes!I:I,Clientes!F:F)</f>
        <v>VEGA AGRO</v>
      </c>
      <c r="F930" s="254">
        <v>8368</v>
      </c>
      <c r="G930" s="254" t="s">
        <v>855</v>
      </c>
      <c r="H930" s="254" t="s">
        <v>989</v>
      </c>
      <c r="I930" s="255">
        <v>84</v>
      </c>
      <c r="J930" s="256">
        <v>1381.1310470105129</v>
      </c>
      <c r="K930" s="258">
        <v>14842.39623451125</v>
      </c>
      <c r="L930" s="258">
        <v>-1335.7612603308262</v>
      </c>
      <c r="M930" s="258">
        <f t="shared" si="58"/>
        <v>13506.634974180424</v>
      </c>
      <c r="N930" s="258">
        <v>-4862.016135458598</v>
      </c>
      <c r="O930" s="258">
        <v>0</v>
      </c>
      <c r="P930" s="258">
        <v>-3361.7429700270759</v>
      </c>
      <c r="Q930" s="258">
        <f t="shared" si="59"/>
        <v>5282.8758686947504</v>
      </c>
      <c r="R930" s="259">
        <f t="shared" si="60"/>
        <v>0.39113190508173279</v>
      </c>
      <c r="S930" s="255">
        <f t="shared" si="57"/>
        <v>176.69519326799107</v>
      </c>
      <c r="T930" s="255">
        <f t="shared" si="57"/>
        <v>10.746551724137928</v>
      </c>
      <c r="U930" s="254">
        <v>101602</v>
      </c>
      <c r="V930" s="254" t="s">
        <v>983</v>
      </c>
      <c r="W930" s="254" t="s">
        <v>952</v>
      </c>
      <c r="X930" s="254" t="s">
        <v>157</v>
      </c>
      <c r="Y930" s="254" t="s">
        <v>843</v>
      </c>
      <c r="Z930" s="254" t="s">
        <v>1125</v>
      </c>
      <c r="AA930" s="254" t="s">
        <v>838</v>
      </c>
    </row>
    <row r="931" spans="1:27" ht="14.4" x14ac:dyDescent="0.3">
      <c r="A931" s="253">
        <v>11</v>
      </c>
      <c r="B931" s="254" t="s">
        <v>850</v>
      </c>
      <c r="C931" s="254">
        <v>15905</v>
      </c>
      <c r="D931" s="254" t="s">
        <v>750</v>
      </c>
      <c r="E931" s="254" t="str">
        <f>_xlfn.XLOOKUP(C931,Clientes!I:I,Clientes!F:F)</f>
        <v>ADUFÉRTIL - CAMPEVO</v>
      </c>
      <c r="F931" s="254">
        <v>13004</v>
      </c>
      <c r="G931" s="254" t="s">
        <v>908</v>
      </c>
      <c r="H931" s="254" t="s">
        <v>982</v>
      </c>
      <c r="I931" s="255">
        <v>23</v>
      </c>
      <c r="J931" s="256">
        <v>528.97622719176059</v>
      </c>
      <c r="K931" s="258">
        <v>13991.421209222068</v>
      </c>
      <c r="L931" s="258">
        <v>-1324.3932158137472</v>
      </c>
      <c r="M931" s="258">
        <f t="shared" si="58"/>
        <v>12667.027993408321</v>
      </c>
      <c r="N931" s="258">
        <v>-3740.29315686574</v>
      </c>
      <c r="O931" s="258">
        <v>-143.00274649602875</v>
      </c>
      <c r="P931" s="258">
        <v>-2892.3031344318156</v>
      </c>
      <c r="Q931" s="258">
        <f t="shared" si="59"/>
        <v>5891.428955614736</v>
      </c>
      <c r="R931" s="259">
        <f t="shared" si="60"/>
        <v>0.46509954495091688</v>
      </c>
      <c r="S931" s="255">
        <f t="shared" si="57"/>
        <v>608.32266127052469</v>
      </c>
      <c r="T931" s="255">
        <f t="shared" si="57"/>
        <v>26.45</v>
      </c>
      <c r="U931" s="254">
        <v>101602</v>
      </c>
      <c r="V931" s="254" t="s">
        <v>983</v>
      </c>
      <c r="W931" s="254" t="s">
        <v>991</v>
      </c>
      <c r="X931" s="254" t="s">
        <v>157</v>
      </c>
      <c r="Y931" s="254" t="s">
        <v>843</v>
      </c>
      <c r="Z931" s="254" t="s">
        <v>1125</v>
      </c>
      <c r="AA931" s="254" t="s">
        <v>838</v>
      </c>
    </row>
    <row r="932" spans="1:27" ht="14.4" x14ac:dyDescent="0.3">
      <c r="A932" s="253">
        <v>11</v>
      </c>
      <c r="B932" s="254" t="s">
        <v>850</v>
      </c>
      <c r="C932" s="254">
        <v>15904</v>
      </c>
      <c r="D932" s="254" t="s">
        <v>754</v>
      </c>
      <c r="E932" s="254" t="str">
        <f>_xlfn.XLOOKUP(C932,Clientes!I:I,Clientes!F:F)</f>
        <v>ADUFÉRTIL - CAMPEVO</v>
      </c>
      <c r="F932" s="254">
        <v>8368</v>
      </c>
      <c r="G932" s="254" t="s">
        <v>908</v>
      </c>
      <c r="H932" s="254" t="s">
        <v>989</v>
      </c>
      <c r="I932" s="255">
        <v>170</v>
      </c>
      <c r="J932" s="256">
        <v>2795.1461665688953</v>
      </c>
      <c r="K932" s="258">
        <v>30814.076877657786</v>
      </c>
      <c r="L932" s="258">
        <v>-2773.1539783533144</v>
      </c>
      <c r="M932" s="258">
        <f t="shared" si="58"/>
        <v>28040.922899304471</v>
      </c>
      <c r="N932" s="258">
        <v>-9839.7945598566876</v>
      </c>
      <c r="O932" s="258">
        <v>-755.63618576813087</v>
      </c>
      <c r="P932" s="258">
        <v>-6957.5575843536681</v>
      </c>
      <c r="Q932" s="258">
        <f t="shared" si="59"/>
        <v>10487.934569325986</v>
      </c>
      <c r="R932" s="259">
        <f t="shared" si="60"/>
        <v>0.37402244594403594</v>
      </c>
      <c r="S932" s="255">
        <f t="shared" si="57"/>
        <v>181.25927575092814</v>
      </c>
      <c r="T932" s="255">
        <f t="shared" si="57"/>
        <v>11.024137931034483</v>
      </c>
      <c r="U932" s="254">
        <v>101602</v>
      </c>
      <c r="V932" s="254" t="s">
        <v>983</v>
      </c>
      <c r="W932" s="254" t="s">
        <v>992</v>
      </c>
      <c r="X932" s="254" t="s">
        <v>157</v>
      </c>
      <c r="Y932" s="254" t="s">
        <v>843</v>
      </c>
      <c r="Z932" s="254" t="s">
        <v>1125</v>
      </c>
      <c r="AA932" s="254" t="s">
        <v>838</v>
      </c>
    </row>
    <row r="933" spans="1:27" ht="14.4" x14ac:dyDescent="0.3">
      <c r="A933" s="253">
        <v>11</v>
      </c>
      <c r="B933" s="254" t="s">
        <v>850</v>
      </c>
      <c r="C933" s="254">
        <v>15917</v>
      </c>
      <c r="D933" s="254" t="s">
        <v>571</v>
      </c>
      <c r="E933" s="254" t="str">
        <f>_xlfn.XLOOKUP(C933,Clientes!I:I,Clientes!F:F)</f>
        <v>MINAS FARM</v>
      </c>
      <c r="F933" s="254">
        <v>8301</v>
      </c>
      <c r="G933" s="254" t="s">
        <v>855</v>
      </c>
      <c r="H933" s="254" t="s">
        <v>986</v>
      </c>
      <c r="I933" s="255">
        <v>15</v>
      </c>
      <c r="J933" s="256">
        <v>344.98449599462646</v>
      </c>
      <c r="K933" s="258">
        <v>9124.8399190578693</v>
      </c>
      <c r="L933" s="258">
        <v>-900.06114429538013</v>
      </c>
      <c r="M933" s="258">
        <f t="shared" si="58"/>
        <v>8224.7787747624898</v>
      </c>
      <c r="N933" s="258">
        <v>-2527.6818007608094</v>
      </c>
      <c r="O933" s="258">
        <v>-83.27211972284087</v>
      </c>
      <c r="P933" s="258">
        <v>-1884.4579489835705</v>
      </c>
      <c r="Q933" s="258">
        <f t="shared" si="59"/>
        <v>3729.3669052952691</v>
      </c>
      <c r="R933" s="259">
        <f t="shared" si="60"/>
        <v>0.4534306645108474</v>
      </c>
      <c r="S933" s="255">
        <f t="shared" si="57"/>
        <v>608.32266127052458</v>
      </c>
      <c r="T933" s="255">
        <f t="shared" si="57"/>
        <v>26.45</v>
      </c>
      <c r="U933" s="254">
        <v>101602</v>
      </c>
      <c r="V933" s="254" t="s">
        <v>983</v>
      </c>
      <c r="W933" s="254" t="s">
        <v>865</v>
      </c>
      <c r="X933" s="254" t="s">
        <v>157</v>
      </c>
      <c r="Y933" s="254" t="s">
        <v>843</v>
      </c>
      <c r="Z933" s="254" t="s">
        <v>1125</v>
      </c>
      <c r="AA933" s="254" t="s">
        <v>838</v>
      </c>
    </row>
    <row r="934" spans="1:27" ht="14.4" x14ac:dyDescent="0.3">
      <c r="A934" s="253">
        <v>11</v>
      </c>
      <c r="B934" s="254" t="s">
        <v>850</v>
      </c>
      <c r="C934" s="254">
        <v>15858</v>
      </c>
      <c r="D934" s="254" t="s">
        <v>985</v>
      </c>
      <c r="E934" s="254" t="str">
        <f>_xlfn.XLOOKUP(C934,Clientes!I:I,Clientes!F:F)</f>
        <v>GRUPO SAGRA</v>
      </c>
      <c r="F934" s="254">
        <v>8368</v>
      </c>
      <c r="G934" s="254" t="s">
        <v>855</v>
      </c>
      <c r="H934" s="254" t="s">
        <v>989</v>
      </c>
      <c r="I934" s="255">
        <v>490</v>
      </c>
      <c r="J934" s="256">
        <v>8056.597774227992</v>
      </c>
      <c r="K934" s="258">
        <v>86580.644701315643</v>
      </c>
      <c r="L934" s="258">
        <v>-7791.9406852631537</v>
      </c>
      <c r="M934" s="258">
        <f t="shared" si="58"/>
        <v>78788.704016052492</v>
      </c>
      <c r="N934" s="258">
        <v>-28361.760790175158</v>
      </c>
      <c r="O934" s="258">
        <v>0</v>
      </c>
      <c r="P934" s="258">
        <v>-19610.167325157949</v>
      </c>
      <c r="Q934" s="258">
        <f t="shared" si="59"/>
        <v>30816.775900719382</v>
      </c>
      <c r="R934" s="259">
        <f t="shared" si="60"/>
        <v>0.39113190508173279</v>
      </c>
      <c r="S934" s="255">
        <f t="shared" si="57"/>
        <v>176.6951932679911</v>
      </c>
      <c r="T934" s="255">
        <f t="shared" si="57"/>
        <v>10.74655172413793</v>
      </c>
      <c r="U934" s="254">
        <v>101602</v>
      </c>
      <c r="V934" s="254" t="s">
        <v>983</v>
      </c>
      <c r="W934" s="254" t="s">
        <v>987</v>
      </c>
      <c r="X934" s="254" t="s">
        <v>157</v>
      </c>
      <c r="Y934" s="254" t="s">
        <v>843</v>
      </c>
      <c r="Z934" s="254" t="s">
        <v>1125</v>
      </c>
      <c r="AA934" s="254" t="s">
        <v>838</v>
      </c>
    </row>
    <row r="935" spans="1:27" ht="14.4" x14ac:dyDescent="0.3">
      <c r="A935" s="253">
        <v>11</v>
      </c>
      <c r="B935" s="254" t="s">
        <v>850</v>
      </c>
      <c r="C935" s="254">
        <v>8187</v>
      </c>
      <c r="D935" s="254" t="s">
        <v>466</v>
      </c>
      <c r="E935" s="254" t="str">
        <f>_xlfn.XLOOKUP(C935,Clientes!I:I,Clientes!F:F)</f>
        <v>AGROREP. REPRESENTACOES AGRICOLAS</v>
      </c>
      <c r="F935" s="254">
        <v>8301</v>
      </c>
      <c r="G935" s="254" t="s">
        <v>840</v>
      </c>
      <c r="H935" s="254" t="s">
        <v>986</v>
      </c>
      <c r="I935" s="255">
        <v>180</v>
      </c>
      <c r="J935" s="256">
        <v>4139.8139519355173</v>
      </c>
      <c r="K935" s="258">
        <v>109498.07902869442</v>
      </c>
      <c r="L935" s="258">
        <v>-10800.733731544562</v>
      </c>
      <c r="M935" s="258">
        <f t="shared" si="58"/>
        <v>98697.345297149863</v>
      </c>
      <c r="N935" s="258">
        <v>-30332.181609129711</v>
      </c>
      <c r="O935" s="258">
        <v>-3728.2198145227417</v>
      </c>
      <c r="P935" s="258">
        <v>-22599.630450384579</v>
      </c>
      <c r="Q935" s="258">
        <f t="shared" si="59"/>
        <v>42037.313423112835</v>
      </c>
      <c r="R935" s="259">
        <f t="shared" si="60"/>
        <v>0.42592141963444247</v>
      </c>
      <c r="S935" s="255">
        <f t="shared" si="57"/>
        <v>608.32266127052458</v>
      </c>
      <c r="T935" s="255">
        <f t="shared" si="57"/>
        <v>26.45</v>
      </c>
      <c r="U935" s="254">
        <v>101602</v>
      </c>
      <c r="V935" s="254" t="s">
        <v>983</v>
      </c>
      <c r="W935" s="254" t="s">
        <v>874</v>
      </c>
      <c r="X935" s="254" t="s">
        <v>157</v>
      </c>
      <c r="Y935" s="254" t="s">
        <v>843</v>
      </c>
      <c r="Z935" s="254" t="s">
        <v>1125</v>
      </c>
      <c r="AA935" s="254" t="s">
        <v>838</v>
      </c>
    </row>
    <row r="936" spans="1:27" ht="14.4" x14ac:dyDescent="0.3">
      <c r="A936" s="253">
        <v>11</v>
      </c>
      <c r="B936" s="254" t="s">
        <v>850</v>
      </c>
      <c r="C936" s="254">
        <v>13773</v>
      </c>
      <c r="D936" s="254" t="s">
        <v>428</v>
      </c>
      <c r="E936" s="254" t="str">
        <f>_xlfn.XLOOKUP(C936,Clientes!I:I,Clientes!F:F)</f>
        <v>FERTLIZE AGRO</v>
      </c>
      <c r="F936" s="254">
        <v>8301</v>
      </c>
      <c r="G936" s="254" t="s">
        <v>855</v>
      </c>
      <c r="H936" s="254" t="s">
        <v>986</v>
      </c>
      <c r="I936" s="255">
        <v>5</v>
      </c>
      <c r="J936" s="256">
        <v>114.99483199820881</v>
      </c>
      <c r="K936" s="258">
        <v>3041.6133063526231</v>
      </c>
      <c r="L936" s="258">
        <v>-297.15681084272524</v>
      </c>
      <c r="M936" s="258">
        <f t="shared" si="58"/>
        <v>2744.4564955098976</v>
      </c>
      <c r="N936" s="258">
        <v>-842.56060025360307</v>
      </c>
      <c r="O936" s="258">
        <v>0</v>
      </c>
      <c r="P936" s="258">
        <v>-627.67111198028158</v>
      </c>
      <c r="Q936" s="258">
        <f t="shared" si="59"/>
        <v>1274.2247832760131</v>
      </c>
      <c r="R936" s="259">
        <f t="shared" si="60"/>
        <v>0.46429039241858067</v>
      </c>
      <c r="S936" s="255">
        <f t="shared" si="57"/>
        <v>608.32266127052458</v>
      </c>
      <c r="T936" s="255">
        <f t="shared" si="57"/>
        <v>26.45</v>
      </c>
      <c r="U936" s="254">
        <v>101602</v>
      </c>
      <c r="V936" s="254" t="s">
        <v>983</v>
      </c>
      <c r="W936" s="254" t="s">
        <v>995</v>
      </c>
      <c r="X936" s="254" t="s">
        <v>157</v>
      </c>
      <c r="Y936" s="254" t="s">
        <v>843</v>
      </c>
      <c r="Z936" s="254" t="s">
        <v>1125</v>
      </c>
      <c r="AA936" s="254" t="s">
        <v>838</v>
      </c>
    </row>
    <row r="937" spans="1:27" ht="14.4" x14ac:dyDescent="0.3">
      <c r="A937" s="253">
        <v>11</v>
      </c>
      <c r="B937" s="254" t="s">
        <v>850</v>
      </c>
      <c r="C937" s="254">
        <v>15908</v>
      </c>
      <c r="D937" s="254" t="s">
        <v>981</v>
      </c>
      <c r="E937" s="254" t="str">
        <f>_xlfn.XLOOKUP(C937,Clientes!I:I,Clientes!F:F)</f>
        <v>ADUFÉRTIL - CAMPEVO</v>
      </c>
      <c r="F937" s="254">
        <v>8368</v>
      </c>
      <c r="G937" s="254" t="s">
        <v>908</v>
      </c>
      <c r="H937" s="254" t="s">
        <v>989</v>
      </c>
      <c r="I937" s="255">
        <v>170</v>
      </c>
      <c r="J937" s="256">
        <v>2795.1461665688953</v>
      </c>
      <c r="K937" s="258">
        <v>30814.076877657786</v>
      </c>
      <c r="L937" s="258">
        <v>-2773.1539783533144</v>
      </c>
      <c r="M937" s="258">
        <f t="shared" si="58"/>
        <v>28040.922899304471</v>
      </c>
      <c r="N937" s="258">
        <v>-9839.7945598566876</v>
      </c>
      <c r="O937" s="258">
        <v>-755.63618576813087</v>
      </c>
      <c r="P937" s="258">
        <v>-6957.5575843536681</v>
      </c>
      <c r="Q937" s="258">
        <f t="shared" si="59"/>
        <v>10487.934569325986</v>
      </c>
      <c r="R937" s="259">
        <f t="shared" si="60"/>
        <v>0.37402244594403594</v>
      </c>
      <c r="S937" s="255">
        <f t="shared" si="57"/>
        <v>181.25927575092814</v>
      </c>
      <c r="T937" s="255">
        <f t="shared" si="57"/>
        <v>11.024137931034483</v>
      </c>
      <c r="U937" s="254">
        <v>101602</v>
      </c>
      <c r="V937" s="254" t="s">
        <v>983</v>
      </c>
      <c r="W937" s="254" t="s">
        <v>984</v>
      </c>
      <c r="X937" s="254" t="s">
        <v>157</v>
      </c>
      <c r="Y937" s="254" t="s">
        <v>843</v>
      </c>
      <c r="Z937" s="254" t="s">
        <v>1125</v>
      </c>
      <c r="AA937" s="254" t="s">
        <v>838</v>
      </c>
    </row>
    <row r="938" spans="1:27" ht="14.4" x14ac:dyDescent="0.3">
      <c r="A938" s="253">
        <v>11</v>
      </c>
      <c r="B938" s="254" t="s">
        <v>850</v>
      </c>
      <c r="C938" s="254">
        <v>903</v>
      </c>
      <c r="D938" s="254" t="s">
        <v>47</v>
      </c>
      <c r="E938" s="254" t="str">
        <f>_xlfn.XLOOKUP(C938,Clientes!I:I,Clientes!F:F)</f>
        <v>GRUPO YARA</v>
      </c>
      <c r="F938" s="254">
        <v>4627</v>
      </c>
      <c r="G938" s="254" t="s">
        <v>862</v>
      </c>
      <c r="H938" s="254" t="s">
        <v>1000</v>
      </c>
      <c r="I938" s="255">
        <v>45000</v>
      </c>
      <c r="J938" s="256">
        <v>45000</v>
      </c>
      <c r="K938" s="258">
        <v>386029.5564195044</v>
      </c>
      <c r="L938" s="258">
        <v>-46170</v>
      </c>
      <c r="M938" s="258">
        <f t="shared" si="58"/>
        <v>339859.5564195044</v>
      </c>
      <c r="N938" s="258">
        <v>-224635.08857142855</v>
      </c>
      <c r="O938" s="258">
        <v>-17720.945424000001</v>
      </c>
      <c r="P938" s="258">
        <v>-8.0669077605295616</v>
      </c>
      <c r="Q938" s="258">
        <f t="shared" si="59"/>
        <v>97495.455516315313</v>
      </c>
      <c r="R938" s="259">
        <f t="shared" si="60"/>
        <v>0.28686983689219014</v>
      </c>
      <c r="S938" s="255">
        <f t="shared" si="57"/>
        <v>8.578434587100098</v>
      </c>
      <c r="T938" s="255">
        <f t="shared" si="57"/>
        <v>8.578434587100098</v>
      </c>
      <c r="U938" s="254">
        <v>102200</v>
      </c>
      <c r="V938" s="254" t="s">
        <v>1001</v>
      </c>
      <c r="W938" s="254" t="s">
        <v>1002</v>
      </c>
      <c r="X938" s="254" t="s">
        <v>446</v>
      </c>
      <c r="Y938" s="254" t="s">
        <v>843</v>
      </c>
      <c r="Z938" s="254" t="s">
        <v>1125</v>
      </c>
      <c r="AA938" s="254" t="s">
        <v>838</v>
      </c>
    </row>
    <row r="939" spans="1:27" ht="14.4" x14ac:dyDescent="0.3">
      <c r="A939" s="253">
        <v>11</v>
      </c>
      <c r="B939" s="254" t="s">
        <v>850</v>
      </c>
      <c r="C939" s="254">
        <v>1159</v>
      </c>
      <c r="D939" s="254" t="s">
        <v>50</v>
      </c>
      <c r="E939" s="254" t="str">
        <f>_xlfn.XLOOKUP(C939,Clientes!I:I,Clientes!F:F)</f>
        <v>GRUPO YARA</v>
      </c>
      <c r="F939" s="254">
        <v>4627</v>
      </c>
      <c r="G939" s="254" t="s">
        <v>877</v>
      </c>
      <c r="H939" s="254" t="s">
        <v>1000</v>
      </c>
      <c r="I939" s="255">
        <v>270000</v>
      </c>
      <c r="J939" s="256">
        <v>270000</v>
      </c>
      <c r="K939" s="258">
        <v>2451626.3056817646</v>
      </c>
      <c r="L939" s="258">
        <v>-293220</v>
      </c>
      <c r="M939" s="258">
        <f t="shared" si="58"/>
        <v>2158406.3056817646</v>
      </c>
      <c r="N939" s="258">
        <v>-1347810.5314285713</v>
      </c>
      <c r="O939" s="258">
        <v>-219794.44500000001</v>
      </c>
      <c r="P939" s="258">
        <v>-100.05456659724702</v>
      </c>
      <c r="Q939" s="258">
        <f t="shared" si="59"/>
        <v>590701.27468659601</v>
      </c>
      <c r="R939" s="259">
        <f t="shared" si="60"/>
        <v>0.27367473544329468</v>
      </c>
      <c r="S939" s="255">
        <f t="shared" si="57"/>
        <v>9.0800974284509799</v>
      </c>
      <c r="T939" s="255">
        <f t="shared" si="57"/>
        <v>9.0800974284509799</v>
      </c>
      <c r="U939" s="254">
        <v>102200</v>
      </c>
      <c r="V939" s="254" t="s">
        <v>1001</v>
      </c>
      <c r="W939" s="254" t="s">
        <v>878</v>
      </c>
      <c r="X939" s="254" t="s">
        <v>446</v>
      </c>
      <c r="Y939" s="254" t="s">
        <v>843</v>
      </c>
      <c r="Z939" s="254" t="s">
        <v>1125</v>
      </c>
      <c r="AA939" s="254" t="s">
        <v>838</v>
      </c>
    </row>
    <row r="940" spans="1:27" ht="14.4" x14ac:dyDescent="0.3">
      <c r="A940" s="253">
        <v>11</v>
      </c>
      <c r="B940" s="254" t="s">
        <v>850</v>
      </c>
      <c r="C940" s="254">
        <v>2011</v>
      </c>
      <c r="D940" s="254" t="s">
        <v>616</v>
      </c>
      <c r="E940" s="254" t="str">
        <f>_xlfn.XLOOKUP(C940,Clientes!I:I,Clientes!F:F)</f>
        <v>FERTGROW S.A</v>
      </c>
      <c r="F940" s="254">
        <v>12813</v>
      </c>
      <c r="G940" s="254" t="s">
        <v>897</v>
      </c>
      <c r="H940" s="254" t="s">
        <v>1060</v>
      </c>
      <c r="I940" s="255">
        <v>120000</v>
      </c>
      <c r="J940" s="256">
        <v>120000</v>
      </c>
      <c r="K940" s="258">
        <v>1348200.4121922581</v>
      </c>
      <c r="L940" s="258">
        <v>-52512</v>
      </c>
      <c r="M940" s="258">
        <f t="shared" si="58"/>
        <v>1295688.4121922581</v>
      </c>
      <c r="N940" s="258">
        <v>-534671.14199999999</v>
      </c>
      <c r="O940" s="258">
        <v>-105846.10919999999</v>
      </c>
      <c r="P940" s="258">
        <v>-48.183140306438951</v>
      </c>
      <c r="Q940" s="258">
        <f t="shared" si="59"/>
        <v>655122.97785195173</v>
      </c>
      <c r="R940" s="259">
        <f t="shared" si="60"/>
        <v>0.50561768685073538</v>
      </c>
      <c r="S940" s="255">
        <f t="shared" si="57"/>
        <v>11.235003434935484</v>
      </c>
      <c r="T940" s="255">
        <f t="shared" si="57"/>
        <v>11.235003434935484</v>
      </c>
      <c r="U940" s="254">
        <v>102300</v>
      </c>
      <c r="V940" s="254" t="s">
        <v>1059</v>
      </c>
      <c r="W940" s="254" t="s">
        <v>899</v>
      </c>
      <c r="X940" s="254" t="s">
        <v>446</v>
      </c>
      <c r="Y940" s="254" t="s">
        <v>843</v>
      </c>
      <c r="Z940" s="254" t="s">
        <v>1125</v>
      </c>
      <c r="AA940" s="254" t="s">
        <v>838</v>
      </c>
    </row>
    <row r="941" spans="1:27" ht="14.4" x14ac:dyDescent="0.3">
      <c r="A941" s="253">
        <v>11</v>
      </c>
      <c r="B941" s="254" t="s">
        <v>850</v>
      </c>
      <c r="C941" s="254">
        <v>139</v>
      </c>
      <c r="D941" s="254" t="s">
        <v>32</v>
      </c>
      <c r="E941" s="254" t="str">
        <f>_xlfn.XLOOKUP(C941,Clientes!I:I,Clientes!F:F)</f>
        <v>COMIGO - RIO VERDE</v>
      </c>
      <c r="F941" s="254">
        <v>14190</v>
      </c>
      <c r="G941" s="254" t="s">
        <v>867</v>
      </c>
      <c r="H941" s="254" t="s">
        <v>1122</v>
      </c>
      <c r="I941" s="255">
        <v>100000</v>
      </c>
      <c r="J941" s="256">
        <v>100000</v>
      </c>
      <c r="K941" s="258">
        <v>815410.6697750251</v>
      </c>
      <c r="L941" s="258">
        <v>-31760</v>
      </c>
      <c r="M941" s="258">
        <f t="shared" si="58"/>
        <v>783650.6697750251</v>
      </c>
      <c r="N941" s="258">
        <v>-444441.07999999996</v>
      </c>
      <c r="O941" s="258">
        <v>-18962.657999999999</v>
      </c>
      <c r="P941" s="258">
        <v>-8.6321586868213114</v>
      </c>
      <c r="Q941" s="258">
        <f t="shared" si="59"/>
        <v>320238.29961633834</v>
      </c>
      <c r="R941" s="259">
        <f t="shared" si="60"/>
        <v>0.40864930251163334</v>
      </c>
      <c r="S941" s="255">
        <f t="shared" si="57"/>
        <v>8.154106697750251</v>
      </c>
      <c r="T941" s="255">
        <f t="shared" si="57"/>
        <v>8.154106697750251</v>
      </c>
      <c r="U941" s="254">
        <v>102300</v>
      </c>
      <c r="V941" s="254" t="s">
        <v>1059</v>
      </c>
      <c r="W941" s="254" t="s">
        <v>890</v>
      </c>
      <c r="X941" s="254" t="s">
        <v>446</v>
      </c>
      <c r="Y941" s="254" t="s">
        <v>843</v>
      </c>
      <c r="Z941" s="254" t="s">
        <v>1125</v>
      </c>
      <c r="AA941" s="254" t="s">
        <v>838</v>
      </c>
    </row>
    <row r="942" spans="1:27" ht="14.4" x14ac:dyDescent="0.3">
      <c r="A942" s="253">
        <v>11</v>
      </c>
      <c r="B942" s="254" t="s">
        <v>850</v>
      </c>
      <c r="C942" s="254">
        <v>97</v>
      </c>
      <c r="D942" s="254" t="s">
        <v>300</v>
      </c>
      <c r="E942" s="254" t="str">
        <f>_xlfn.XLOOKUP(C942,Clientes!I:I,Clientes!F:F)</f>
        <v>FECOAGRO FEDERACAO DAS COOPERATIVAS</v>
      </c>
      <c r="F942" s="254">
        <v>13600</v>
      </c>
      <c r="G942" s="254" t="s">
        <v>893</v>
      </c>
      <c r="H942" s="254" t="s">
        <v>1098</v>
      </c>
      <c r="I942" s="255">
        <v>210000</v>
      </c>
      <c r="J942" s="256">
        <v>210000</v>
      </c>
      <c r="K942" s="258">
        <v>1940964.944426697</v>
      </c>
      <c r="L942" s="258">
        <v>-75600</v>
      </c>
      <c r="M942" s="258">
        <f t="shared" si="58"/>
        <v>1865364.944426697</v>
      </c>
      <c r="N942" s="258">
        <v>-1203510.33</v>
      </c>
      <c r="O942" s="258">
        <v>-117654.67349999999</v>
      </c>
      <c r="P942" s="258">
        <v>-53.558620943232221</v>
      </c>
      <c r="Q942" s="258">
        <f t="shared" si="59"/>
        <v>544146.38230575365</v>
      </c>
      <c r="R942" s="259">
        <f t="shared" si="60"/>
        <v>0.29171041512897739</v>
      </c>
      <c r="S942" s="255">
        <f t="shared" si="57"/>
        <v>9.2426902115557006</v>
      </c>
      <c r="T942" s="255">
        <f t="shared" si="57"/>
        <v>9.2426902115557006</v>
      </c>
      <c r="U942" s="254">
        <v>102300</v>
      </c>
      <c r="V942" s="254" t="s">
        <v>1059</v>
      </c>
      <c r="W942" s="254" t="s">
        <v>894</v>
      </c>
      <c r="X942" s="254" t="s">
        <v>446</v>
      </c>
      <c r="Y942" s="254" t="s">
        <v>843</v>
      </c>
      <c r="Z942" s="254" t="s">
        <v>1125</v>
      </c>
      <c r="AA942" s="254" t="s">
        <v>838</v>
      </c>
    </row>
    <row r="943" spans="1:27" ht="14.4" x14ac:dyDescent="0.3">
      <c r="A943" s="253">
        <v>11</v>
      </c>
      <c r="B943" s="254" t="s">
        <v>850</v>
      </c>
      <c r="C943" s="254">
        <v>5695</v>
      </c>
      <c r="D943" s="254" t="s">
        <v>1123</v>
      </c>
      <c r="E943" s="254" t="str">
        <f>_xlfn.XLOOKUP(C943,Clientes!I:I,Clientes!F:F)</f>
        <v>GRUPO CAMPO RICO</v>
      </c>
      <c r="F943" s="254">
        <v>12813</v>
      </c>
      <c r="G943" s="254" t="s">
        <v>926</v>
      </c>
      <c r="H943" s="254" t="s">
        <v>1060</v>
      </c>
      <c r="I943" s="255">
        <v>80000</v>
      </c>
      <c r="J943" s="256">
        <v>80000</v>
      </c>
      <c r="K943" s="258">
        <v>821572.4632493956</v>
      </c>
      <c r="L943" s="258">
        <v>-32000</v>
      </c>
      <c r="M943" s="258">
        <f t="shared" si="58"/>
        <v>789572.4632493956</v>
      </c>
      <c r="N943" s="258">
        <v>-356447.42800000007</v>
      </c>
      <c r="O943" s="258">
        <v>-80971.733606399997</v>
      </c>
      <c r="P943" s="258">
        <v>-36.859856547403162</v>
      </c>
      <c r="Q943" s="258">
        <f t="shared" si="59"/>
        <v>352116.44178644818</v>
      </c>
      <c r="R943" s="259">
        <f t="shared" si="60"/>
        <v>0.44595836123432298</v>
      </c>
      <c r="S943" s="255">
        <f t="shared" si="57"/>
        <v>10.269655790617445</v>
      </c>
      <c r="T943" s="255">
        <f t="shared" si="57"/>
        <v>10.269655790617445</v>
      </c>
      <c r="U943" s="254">
        <v>102300</v>
      </c>
      <c r="V943" s="254" t="s">
        <v>1059</v>
      </c>
      <c r="W943" s="254" t="s">
        <v>1124</v>
      </c>
      <c r="X943" s="254" t="s">
        <v>446</v>
      </c>
      <c r="Y943" s="254" t="s">
        <v>843</v>
      </c>
      <c r="Z943" s="254" t="s">
        <v>1125</v>
      </c>
      <c r="AA943" s="254" t="s">
        <v>838</v>
      </c>
    </row>
    <row r="944" spans="1:27" ht="14.4" x14ac:dyDescent="0.3">
      <c r="A944" s="253">
        <v>11</v>
      </c>
      <c r="B944" s="254" t="s">
        <v>850</v>
      </c>
      <c r="C944" s="254">
        <v>8414</v>
      </c>
      <c r="D944" s="254" t="s">
        <v>98</v>
      </c>
      <c r="E944" s="254" t="str">
        <f>_xlfn.XLOOKUP(C944,Clientes!I:I,Clientes!F:F)</f>
        <v>GRUPO AMAGGI</v>
      </c>
      <c r="F944" s="254">
        <v>7398</v>
      </c>
      <c r="G944" s="254" t="s">
        <v>1061</v>
      </c>
      <c r="H944" s="254" t="s">
        <v>1004</v>
      </c>
      <c r="I944" s="255">
        <v>32000</v>
      </c>
      <c r="J944" s="256">
        <v>32000</v>
      </c>
      <c r="K944" s="258">
        <v>75520</v>
      </c>
      <c r="L944" s="258">
        <v>-5286.4000000000005</v>
      </c>
      <c r="M944" s="258">
        <f t="shared" si="58"/>
        <v>70233.600000000006</v>
      </c>
      <c r="N944" s="258">
        <v>-20310.074160583943</v>
      </c>
      <c r="O944" s="258">
        <v>-26141.536511999999</v>
      </c>
      <c r="P944" s="258">
        <v>-11.900119249575521</v>
      </c>
      <c r="Q944" s="258">
        <f t="shared" si="59"/>
        <v>23770.08920816649</v>
      </c>
      <c r="R944" s="259">
        <f t="shared" si="60"/>
        <v>0.33844326943466502</v>
      </c>
      <c r="S944" s="255">
        <f t="shared" si="57"/>
        <v>2.36</v>
      </c>
      <c r="T944" s="255">
        <f t="shared" si="57"/>
        <v>2.36</v>
      </c>
      <c r="U944" s="254">
        <v>102600</v>
      </c>
      <c r="V944" s="254" t="s">
        <v>1005</v>
      </c>
      <c r="W944" s="254" t="s">
        <v>1062</v>
      </c>
      <c r="X944" s="254" t="s">
        <v>446</v>
      </c>
      <c r="Y944" s="254" t="s">
        <v>843</v>
      </c>
      <c r="Z944" s="254" t="s">
        <v>1125</v>
      </c>
      <c r="AA944" s="254" t="s">
        <v>838</v>
      </c>
    </row>
    <row r="945" spans="1:27" ht="14.4" x14ac:dyDescent="0.3">
      <c r="A945" s="253">
        <v>11</v>
      </c>
      <c r="B945" s="254" t="s">
        <v>850</v>
      </c>
      <c r="C945" s="254">
        <v>139</v>
      </c>
      <c r="D945" s="254" t="s">
        <v>32</v>
      </c>
      <c r="E945" s="254" t="str">
        <f>_xlfn.XLOOKUP(C945,Clientes!I:I,Clientes!F:F)</f>
        <v>COMIGO - RIO VERDE</v>
      </c>
      <c r="F945" s="254">
        <v>14154</v>
      </c>
      <c r="G945" s="254" t="s">
        <v>867</v>
      </c>
      <c r="H945" s="254" t="s">
        <v>1007</v>
      </c>
      <c r="I945" s="255">
        <v>30000</v>
      </c>
      <c r="J945" s="256">
        <v>30000</v>
      </c>
      <c r="K945" s="258">
        <v>48600</v>
      </c>
      <c r="L945" s="258">
        <v>-3402.0000000000005</v>
      </c>
      <c r="M945" s="258">
        <f t="shared" si="58"/>
        <v>45198</v>
      </c>
      <c r="N945" s="258">
        <v>-34437.555555555555</v>
      </c>
      <c r="O945" s="258">
        <v>-5688.7973999999995</v>
      </c>
      <c r="P945" s="258">
        <v>-2.5896476060463933</v>
      </c>
      <c r="Q945" s="258">
        <f t="shared" si="59"/>
        <v>5069.0573968383997</v>
      </c>
      <c r="R945" s="259">
        <f t="shared" si="60"/>
        <v>0.11215225002961192</v>
      </c>
      <c r="S945" s="255">
        <f t="shared" si="57"/>
        <v>1.62</v>
      </c>
      <c r="T945" s="255">
        <f t="shared" si="57"/>
        <v>1.62</v>
      </c>
      <c r="U945" s="254">
        <v>102600</v>
      </c>
      <c r="V945" s="254" t="s">
        <v>1005</v>
      </c>
      <c r="W945" s="254" t="s">
        <v>890</v>
      </c>
      <c r="X945" s="254" t="s">
        <v>446</v>
      </c>
      <c r="Y945" s="254" t="s">
        <v>843</v>
      </c>
      <c r="Z945" s="254" t="s">
        <v>1125</v>
      </c>
      <c r="AA945" s="254" t="s">
        <v>838</v>
      </c>
    </row>
    <row r="946" spans="1:27" ht="14.4" x14ac:dyDescent="0.3">
      <c r="A946" s="253">
        <v>11</v>
      </c>
      <c r="B946" s="254" t="s">
        <v>850</v>
      </c>
      <c r="C946" s="254">
        <v>8855</v>
      </c>
      <c r="D946" s="254" t="s">
        <v>1003</v>
      </c>
      <c r="E946" s="254" t="str">
        <f>_xlfn.XLOOKUP(C946,Clientes!I:I,Clientes!F:F)</f>
        <v>TERMAG GUARUJA</v>
      </c>
      <c r="F946" s="254">
        <v>7398</v>
      </c>
      <c r="G946" s="254" t="s">
        <v>908</v>
      </c>
      <c r="H946" s="254" t="s">
        <v>1004</v>
      </c>
      <c r="I946" s="255">
        <v>90000</v>
      </c>
      <c r="J946" s="256">
        <v>90000</v>
      </c>
      <c r="K946" s="258">
        <v>221400</v>
      </c>
      <c r="L946" s="258">
        <v>-26568</v>
      </c>
      <c r="M946" s="258">
        <f t="shared" si="58"/>
        <v>194832</v>
      </c>
      <c r="N946" s="258">
        <v>-57122.083576642333</v>
      </c>
      <c r="O946" s="258">
        <v>-39136.896489599996</v>
      </c>
      <c r="P946" s="258">
        <v>-17.815851607297201</v>
      </c>
      <c r="Q946" s="258">
        <f t="shared" si="59"/>
        <v>98555.204082150376</v>
      </c>
      <c r="R946" s="259">
        <f t="shared" si="60"/>
        <v>0.50584710972607361</v>
      </c>
      <c r="S946" s="255">
        <f t="shared" si="57"/>
        <v>2.46</v>
      </c>
      <c r="T946" s="255">
        <f t="shared" si="57"/>
        <v>2.46</v>
      </c>
      <c r="U946" s="254">
        <v>102600</v>
      </c>
      <c r="V946" s="254" t="s">
        <v>1005</v>
      </c>
      <c r="W946" s="254" t="s">
        <v>1006</v>
      </c>
      <c r="X946" s="254" t="s">
        <v>446</v>
      </c>
      <c r="Y946" s="254" t="s">
        <v>843</v>
      </c>
      <c r="Z946" s="254" t="s">
        <v>1125</v>
      </c>
      <c r="AA946" s="254" t="s">
        <v>838</v>
      </c>
    </row>
    <row r="947" spans="1:27" ht="14.4" x14ac:dyDescent="0.3">
      <c r="A947" s="253">
        <v>11</v>
      </c>
      <c r="B947" s="254" t="s">
        <v>850</v>
      </c>
      <c r="C947" s="254">
        <v>8413</v>
      </c>
      <c r="D947" s="254" t="s">
        <v>97</v>
      </c>
      <c r="E947" s="254" t="str">
        <f>_xlfn.XLOOKUP(C947,Clientes!I:I,Clientes!F:F)</f>
        <v>GRUPO AMAGGI</v>
      </c>
      <c r="F947" s="254">
        <v>7398</v>
      </c>
      <c r="G947" s="254" t="s">
        <v>840</v>
      </c>
      <c r="H947" s="254" t="s">
        <v>1004</v>
      </c>
      <c r="I947" s="255">
        <v>32000</v>
      </c>
      <c r="J947" s="256">
        <v>32000</v>
      </c>
      <c r="K947" s="258">
        <v>66240</v>
      </c>
      <c r="L947" s="258">
        <v>-4636.8</v>
      </c>
      <c r="M947" s="258">
        <f t="shared" si="58"/>
        <v>61603.199999999997</v>
      </c>
      <c r="N947" s="258">
        <v>-20310.074160583943</v>
      </c>
      <c r="O947" s="258">
        <v>-23352.800640000001</v>
      </c>
      <c r="P947" s="258">
        <v>-10.63063421310358</v>
      </c>
      <c r="Q947" s="258">
        <f t="shared" si="59"/>
        <v>17929.69456520295</v>
      </c>
      <c r="R947" s="259">
        <f t="shared" si="60"/>
        <v>0.29105135066364979</v>
      </c>
      <c r="S947" s="255">
        <f t="shared" si="57"/>
        <v>2.0699999999999998</v>
      </c>
      <c r="T947" s="255">
        <f t="shared" si="57"/>
        <v>2.0699999999999998</v>
      </c>
      <c r="U947" s="254">
        <v>102600</v>
      </c>
      <c r="V947" s="254" t="s">
        <v>1005</v>
      </c>
      <c r="W947" s="254" t="s">
        <v>915</v>
      </c>
      <c r="X947" s="254" t="s">
        <v>446</v>
      </c>
      <c r="Y947" s="254" t="s">
        <v>843</v>
      </c>
      <c r="Z947" s="254" t="s">
        <v>1125</v>
      </c>
      <c r="AA947" s="254" t="s">
        <v>838</v>
      </c>
    </row>
    <row r="948" spans="1:27" ht="14.4" x14ac:dyDescent="0.3">
      <c r="A948" s="253">
        <v>11</v>
      </c>
      <c r="B948" s="254" t="s">
        <v>850</v>
      </c>
      <c r="C948" s="254">
        <v>7745</v>
      </c>
      <c r="D948" s="254" t="s">
        <v>320</v>
      </c>
      <c r="E948" s="254" t="str">
        <f>_xlfn.XLOOKUP(C948,Clientes!I:I,Clientes!F:F)</f>
        <v>GRUPO LOUIS DREYFUS</v>
      </c>
      <c r="F948" s="254">
        <v>14154</v>
      </c>
      <c r="G948" s="254" t="s">
        <v>840</v>
      </c>
      <c r="H948" s="254" t="s">
        <v>1007</v>
      </c>
      <c r="I948" s="255">
        <v>24000</v>
      </c>
      <c r="J948" s="256">
        <v>24000</v>
      </c>
      <c r="K948" s="258">
        <v>68160</v>
      </c>
      <c r="L948" s="258">
        <v>-4771.2000000000007</v>
      </c>
      <c r="M948" s="258">
        <f t="shared" si="58"/>
        <v>63388.800000000003</v>
      </c>
      <c r="N948" s="258">
        <v>-27550.044444444444</v>
      </c>
      <c r="O948" s="258">
        <v>-15604.486410239999</v>
      </c>
      <c r="P948" s="258">
        <v>-7.1034557982081576</v>
      </c>
      <c r="Q948" s="258">
        <f t="shared" si="59"/>
        <v>20227.165689517351</v>
      </c>
      <c r="R948" s="259">
        <f t="shared" si="60"/>
        <v>0.31909683870837358</v>
      </c>
      <c r="S948" s="255">
        <f t="shared" si="57"/>
        <v>2.84</v>
      </c>
      <c r="T948" s="255">
        <f t="shared" si="57"/>
        <v>2.84</v>
      </c>
      <c r="U948" s="254">
        <v>102600</v>
      </c>
      <c r="V948" s="254" t="s">
        <v>1005</v>
      </c>
      <c r="W948" s="254" t="s">
        <v>1128</v>
      </c>
      <c r="X948" s="254" t="s">
        <v>446</v>
      </c>
      <c r="Y948" s="254" t="s">
        <v>843</v>
      </c>
      <c r="Z948" s="254" t="s">
        <v>1125</v>
      </c>
      <c r="AA948" s="254" t="s">
        <v>838</v>
      </c>
    </row>
    <row r="949" spans="1:27" ht="14.4" x14ac:dyDescent="0.3">
      <c r="A949" s="253">
        <v>11</v>
      </c>
      <c r="B949" s="254" t="s">
        <v>850</v>
      </c>
      <c r="C949" s="254">
        <v>1953</v>
      </c>
      <c r="D949" s="254" t="s">
        <v>66</v>
      </c>
      <c r="E949" s="254" t="str">
        <f>_xlfn.XLOOKUP(C949,Clientes!I:I,Clientes!F:F)</f>
        <v>GRUPO AMAGGI</v>
      </c>
      <c r="F949" s="254">
        <v>7398</v>
      </c>
      <c r="G949" s="254" t="s">
        <v>840</v>
      </c>
      <c r="H949" s="254" t="s">
        <v>1004</v>
      </c>
      <c r="I949" s="255">
        <v>120000</v>
      </c>
      <c r="J949" s="256">
        <v>120000</v>
      </c>
      <c r="K949" s="258">
        <v>250800</v>
      </c>
      <c r="L949" s="258">
        <v>-17556</v>
      </c>
      <c r="M949" s="258">
        <f t="shared" si="58"/>
        <v>233244</v>
      </c>
      <c r="N949" s="258">
        <v>-76162.778102189783</v>
      </c>
      <c r="O949" s="258">
        <v>-83753.461209599991</v>
      </c>
      <c r="P949" s="258">
        <v>-38.126151288063113</v>
      </c>
      <c r="Q949" s="258">
        <f t="shared" si="59"/>
        <v>73289.634536922182</v>
      </c>
      <c r="R949" s="259">
        <f t="shared" si="60"/>
        <v>0.31421873461663402</v>
      </c>
      <c r="S949" s="255">
        <f t="shared" si="57"/>
        <v>2.09</v>
      </c>
      <c r="T949" s="255">
        <f t="shared" si="57"/>
        <v>2.09</v>
      </c>
      <c r="U949" s="254">
        <v>102600</v>
      </c>
      <c r="V949" s="254" t="s">
        <v>1005</v>
      </c>
      <c r="W949" s="254" t="s">
        <v>1008</v>
      </c>
      <c r="X949" s="254" t="s">
        <v>446</v>
      </c>
      <c r="Y949" s="254" t="s">
        <v>843</v>
      </c>
      <c r="Z949" s="254" t="s">
        <v>1125</v>
      </c>
      <c r="AA949" s="254" t="s">
        <v>838</v>
      </c>
    </row>
    <row r="950" spans="1:27" ht="14.4" x14ac:dyDescent="0.3">
      <c r="A950" s="253">
        <v>11</v>
      </c>
      <c r="B950" s="254" t="s">
        <v>851</v>
      </c>
      <c r="C950" s="254">
        <v>6370</v>
      </c>
      <c r="D950" s="254" t="s">
        <v>264</v>
      </c>
      <c r="E950" s="254" t="str">
        <f>_xlfn.XLOOKUP(C950,Clientes!I:I,Clientes!F:F)</f>
        <v>YTL S.A. - PARAGUAI</v>
      </c>
      <c r="F950" s="254">
        <v>4067</v>
      </c>
      <c r="G950" s="254" t="s">
        <v>832</v>
      </c>
      <c r="H950" s="254" t="s">
        <v>881</v>
      </c>
      <c r="I950" s="255">
        <v>30000</v>
      </c>
      <c r="J950" s="256">
        <v>30000</v>
      </c>
      <c r="K950" s="258">
        <v>154200</v>
      </c>
      <c r="L950" s="258">
        <v>0</v>
      </c>
      <c r="M950" s="258">
        <f t="shared" si="58"/>
        <v>154200</v>
      </c>
      <c r="N950" s="258">
        <v>-46026.96</v>
      </c>
      <c r="O950" s="258">
        <v>-30471.7248</v>
      </c>
      <c r="P950" s="258">
        <v>-4897.0516847163644</v>
      </c>
      <c r="Q950" s="258">
        <f t="shared" si="59"/>
        <v>72804.263515283645</v>
      </c>
      <c r="R950" s="259">
        <f t="shared" si="60"/>
        <v>0.47214178673984203</v>
      </c>
      <c r="S950" s="255">
        <f t="shared" si="57"/>
        <v>5.14</v>
      </c>
      <c r="T950" s="255">
        <f t="shared" si="57"/>
        <v>5.14</v>
      </c>
      <c r="U950" s="254">
        <v>100100</v>
      </c>
      <c r="V950" s="254" t="s">
        <v>834</v>
      </c>
      <c r="W950" s="254" t="s">
        <v>896</v>
      </c>
      <c r="X950" s="254" t="s">
        <v>446</v>
      </c>
      <c r="Y950" s="254" t="s">
        <v>836</v>
      </c>
      <c r="Z950" s="254" t="s">
        <v>1129</v>
      </c>
      <c r="AA950" s="254" t="s">
        <v>838</v>
      </c>
    </row>
    <row r="951" spans="1:27" ht="14.4" x14ac:dyDescent="0.3">
      <c r="A951" s="253">
        <v>11</v>
      </c>
      <c r="B951" s="254" t="s">
        <v>851</v>
      </c>
      <c r="C951" s="254">
        <v>16921</v>
      </c>
      <c r="D951" s="254" t="s">
        <v>742</v>
      </c>
      <c r="E951" s="254" t="str">
        <f>_xlfn.XLOOKUP(C951,Clientes!I:I,Clientes!F:F)</f>
        <v>FERTIBAS FERTILIZANTES</v>
      </c>
      <c r="F951" s="254">
        <v>1</v>
      </c>
      <c r="G951" s="254" t="s">
        <v>877</v>
      </c>
      <c r="H951" s="254" t="s">
        <v>873</v>
      </c>
      <c r="I951" s="255">
        <v>30000</v>
      </c>
      <c r="J951" s="256">
        <v>30000</v>
      </c>
      <c r="K951" s="258">
        <v>90000</v>
      </c>
      <c r="L951" s="258">
        <v>-10800</v>
      </c>
      <c r="M951" s="258">
        <f t="shared" si="58"/>
        <v>79200</v>
      </c>
      <c r="N951" s="258">
        <v>-20072.02166666666</v>
      </c>
      <c r="O951" s="258">
        <v>-24191.754599999997</v>
      </c>
      <c r="P951" s="258">
        <v>-181.77814514829964</v>
      </c>
      <c r="Q951" s="258">
        <f t="shared" si="59"/>
        <v>34754.445588185044</v>
      </c>
      <c r="R951" s="259">
        <f t="shared" si="60"/>
        <v>0.43881875742657883</v>
      </c>
      <c r="S951" s="255">
        <f t="shared" si="57"/>
        <v>3</v>
      </c>
      <c r="T951" s="255">
        <f t="shared" si="57"/>
        <v>3</v>
      </c>
      <c r="U951" s="254">
        <v>100100</v>
      </c>
      <c r="V951" s="254" t="s">
        <v>834</v>
      </c>
      <c r="W951" s="254" t="s">
        <v>880</v>
      </c>
      <c r="X951" s="254" t="s">
        <v>446</v>
      </c>
      <c r="Y951" s="254" t="s">
        <v>843</v>
      </c>
      <c r="Z951" s="254" t="s">
        <v>1129</v>
      </c>
      <c r="AA951" s="254" t="s">
        <v>838</v>
      </c>
    </row>
    <row r="952" spans="1:27" ht="14.4" x14ac:dyDescent="0.3">
      <c r="A952" s="253">
        <v>11</v>
      </c>
      <c r="B952" s="254" t="s">
        <v>851</v>
      </c>
      <c r="C952" s="254">
        <v>30</v>
      </c>
      <c r="D952" s="254" t="s">
        <v>421</v>
      </c>
      <c r="E952" s="254" t="str">
        <f>_xlfn.XLOOKUP(C952,Clientes!I:I,Clientes!F:F)</f>
        <v>FAZENDA RIO BRILHANTE</v>
      </c>
      <c r="F952" s="254">
        <v>1</v>
      </c>
      <c r="G952" s="254" t="s">
        <v>855</v>
      </c>
      <c r="H952" s="254" t="s">
        <v>873</v>
      </c>
      <c r="I952" s="255">
        <v>30000</v>
      </c>
      <c r="J952" s="256">
        <v>30000</v>
      </c>
      <c r="K952" s="258">
        <v>73500</v>
      </c>
      <c r="L952" s="258">
        <v>-13230</v>
      </c>
      <c r="M952" s="258">
        <f t="shared" si="58"/>
        <v>60270</v>
      </c>
      <c r="N952" s="258">
        <v>-20072.02166666666</v>
      </c>
      <c r="O952" s="258">
        <v>-4901.5380959999993</v>
      </c>
      <c r="P952" s="258">
        <v>-36.830420868464344</v>
      </c>
      <c r="Q952" s="258">
        <f t="shared" si="59"/>
        <v>35259.609816464879</v>
      </c>
      <c r="R952" s="259">
        <f t="shared" si="60"/>
        <v>0.58502753967919163</v>
      </c>
      <c r="S952" s="255">
        <f t="shared" si="57"/>
        <v>2.4500000000000002</v>
      </c>
      <c r="T952" s="255">
        <f t="shared" si="57"/>
        <v>2.4500000000000002</v>
      </c>
      <c r="U952" s="254">
        <v>100100</v>
      </c>
      <c r="V952" s="254" t="s">
        <v>834</v>
      </c>
      <c r="W952" s="254" t="s">
        <v>1130</v>
      </c>
      <c r="X952" s="254" t="s">
        <v>446</v>
      </c>
      <c r="Y952" s="254" t="s">
        <v>843</v>
      </c>
      <c r="Z952" s="254" t="s">
        <v>1129</v>
      </c>
      <c r="AA952" s="254" t="s">
        <v>838</v>
      </c>
    </row>
    <row r="953" spans="1:27" ht="14.4" x14ac:dyDescent="0.3">
      <c r="A953" s="253">
        <v>11</v>
      </c>
      <c r="B953" s="254" t="s">
        <v>851</v>
      </c>
      <c r="C953" s="254">
        <v>97</v>
      </c>
      <c r="D953" s="254" t="s">
        <v>300</v>
      </c>
      <c r="E953" s="254" t="str">
        <f>_xlfn.XLOOKUP(C953,Clientes!I:I,Clientes!F:F)</f>
        <v>FECOAGRO FEDERACAO DAS COOPERATIVAS</v>
      </c>
      <c r="F953" s="254">
        <v>148</v>
      </c>
      <c r="G953" s="254" t="s">
        <v>893</v>
      </c>
      <c r="H953" s="254" t="s">
        <v>904</v>
      </c>
      <c r="I953" s="255">
        <v>32000</v>
      </c>
      <c r="J953" s="256">
        <v>32000</v>
      </c>
      <c r="K953" s="258">
        <v>112000</v>
      </c>
      <c r="L953" s="258">
        <v>-13440</v>
      </c>
      <c r="M953" s="258">
        <f t="shared" si="58"/>
        <v>98560</v>
      </c>
      <c r="N953" s="258">
        <v>-21755.348940092164</v>
      </c>
      <c r="O953" s="258">
        <v>-17928.331200000001</v>
      </c>
      <c r="P953" s="258">
        <v>-134.71444486049762</v>
      </c>
      <c r="Q953" s="258">
        <f t="shared" si="59"/>
        <v>58741.605415047336</v>
      </c>
      <c r="R953" s="259">
        <f t="shared" si="60"/>
        <v>0.59599843156500953</v>
      </c>
      <c r="S953" s="255">
        <f t="shared" si="57"/>
        <v>3.5</v>
      </c>
      <c r="T953" s="255">
        <f t="shared" si="57"/>
        <v>3.5</v>
      </c>
      <c r="U953" s="254">
        <v>100100</v>
      </c>
      <c r="V953" s="254" t="s">
        <v>834</v>
      </c>
      <c r="W953" s="254" t="s">
        <v>894</v>
      </c>
      <c r="X953" s="254" t="s">
        <v>446</v>
      </c>
      <c r="Y953" s="254" t="s">
        <v>843</v>
      </c>
      <c r="Z953" s="254" t="s">
        <v>1129</v>
      </c>
      <c r="AA953" s="254" t="s">
        <v>838</v>
      </c>
    </row>
    <row r="954" spans="1:27" ht="14.4" x14ac:dyDescent="0.3">
      <c r="A954" s="253">
        <v>11</v>
      </c>
      <c r="B954" s="254" t="s">
        <v>851</v>
      </c>
      <c r="C954" s="254">
        <v>1936</v>
      </c>
      <c r="D954" s="254" t="s">
        <v>889</v>
      </c>
      <c r="E954" s="254" t="str">
        <f>_xlfn.XLOOKUP(C954,Clientes!I:I,Clientes!F:F)</f>
        <v>GRUPO AGRO INDUSTRIAL SAO LUIZ LTDA</v>
      </c>
      <c r="F954" s="254">
        <v>4</v>
      </c>
      <c r="G954" s="254" t="s">
        <v>862</v>
      </c>
      <c r="H954" s="254" t="s">
        <v>863</v>
      </c>
      <c r="I954" s="255">
        <v>40000</v>
      </c>
      <c r="J954" s="256">
        <v>40000</v>
      </c>
      <c r="K954" s="258">
        <v>159600</v>
      </c>
      <c r="L954" s="258">
        <v>-19152</v>
      </c>
      <c r="M954" s="258">
        <f t="shared" si="58"/>
        <v>140448</v>
      </c>
      <c r="N954" s="258">
        <v>-39150.005333333334</v>
      </c>
      <c r="O954" s="258">
        <v>0</v>
      </c>
      <c r="P954" s="258">
        <v>0</v>
      </c>
      <c r="Q954" s="258">
        <f t="shared" si="59"/>
        <v>101297.99466666667</v>
      </c>
      <c r="R954" s="259">
        <f t="shared" si="60"/>
        <v>0.7212491076175287</v>
      </c>
      <c r="S954" s="255">
        <f t="shared" si="57"/>
        <v>3.99</v>
      </c>
      <c r="T954" s="255">
        <f t="shared" si="57"/>
        <v>3.99</v>
      </c>
      <c r="U954" s="254">
        <v>100100</v>
      </c>
      <c r="V954" s="254" t="s">
        <v>834</v>
      </c>
      <c r="W954" s="254" t="s">
        <v>864</v>
      </c>
      <c r="X954" s="254" t="s">
        <v>446</v>
      </c>
      <c r="Y954" s="254" t="s">
        <v>843</v>
      </c>
      <c r="Z954" s="254" t="s">
        <v>1129</v>
      </c>
      <c r="AA954" s="254" t="s">
        <v>838</v>
      </c>
    </row>
    <row r="955" spans="1:27" ht="14.4" x14ac:dyDescent="0.3">
      <c r="A955" s="253">
        <v>11</v>
      </c>
      <c r="B955" s="254" t="s">
        <v>851</v>
      </c>
      <c r="C955" s="254">
        <v>1874</v>
      </c>
      <c r="D955" s="254" t="s">
        <v>210</v>
      </c>
      <c r="E955" s="254" t="str">
        <f>_xlfn.XLOOKUP(C955,Clientes!I:I,Clientes!F:F)</f>
        <v>GRUPO FERTILIZ TOCANTINS</v>
      </c>
      <c r="F955" s="254">
        <v>148</v>
      </c>
      <c r="G955" s="254" t="s">
        <v>926</v>
      </c>
      <c r="H955" s="254" t="s">
        <v>904</v>
      </c>
      <c r="I955" s="255">
        <v>60000</v>
      </c>
      <c r="J955" s="256">
        <v>60000</v>
      </c>
      <c r="K955" s="258">
        <v>168600</v>
      </c>
      <c r="L955" s="258">
        <v>-11802.000000000002</v>
      </c>
      <c r="M955" s="258">
        <f t="shared" si="58"/>
        <v>156798</v>
      </c>
      <c r="N955" s="258">
        <v>-40791.279262672811</v>
      </c>
      <c r="O955" s="258">
        <v>-53957.381399999998</v>
      </c>
      <c r="P955" s="258">
        <v>-405.43866578207457</v>
      </c>
      <c r="Q955" s="258">
        <f t="shared" si="59"/>
        <v>61643.900671545111</v>
      </c>
      <c r="R955" s="259">
        <f t="shared" si="60"/>
        <v>0.39314213619781574</v>
      </c>
      <c r="S955" s="255">
        <f t="shared" si="57"/>
        <v>2.81</v>
      </c>
      <c r="T955" s="255">
        <f t="shared" si="57"/>
        <v>2.81</v>
      </c>
      <c r="U955" s="254">
        <v>100100</v>
      </c>
      <c r="V955" s="254" t="s">
        <v>834</v>
      </c>
      <c r="W955" s="254" t="s">
        <v>928</v>
      </c>
      <c r="X955" s="254" t="s">
        <v>446</v>
      </c>
      <c r="Y955" s="254" t="s">
        <v>843</v>
      </c>
      <c r="Z955" s="254" t="s">
        <v>1129</v>
      </c>
      <c r="AA955" s="254" t="s">
        <v>838</v>
      </c>
    </row>
    <row r="956" spans="1:27" ht="14.4" x14ac:dyDescent="0.3">
      <c r="A956" s="253">
        <v>11</v>
      </c>
      <c r="B956" s="254" t="s">
        <v>851</v>
      </c>
      <c r="C956" s="254">
        <v>7024</v>
      </c>
      <c r="D956" s="254" t="s">
        <v>721</v>
      </c>
      <c r="E956" s="254" t="str">
        <f>_xlfn.XLOOKUP(C956,Clientes!I:I,Clientes!F:F)</f>
        <v>GRUPO MOSAIC FERTILIZANTES DO BRASIL</v>
      </c>
      <c r="F956" s="254">
        <v>1043</v>
      </c>
      <c r="G956" s="254" t="s">
        <v>840</v>
      </c>
      <c r="H956" s="254" t="s">
        <v>860</v>
      </c>
      <c r="I956" s="255">
        <v>30000</v>
      </c>
      <c r="J956" s="256">
        <v>30000</v>
      </c>
      <c r="K956" s="258">
        <v>68400</v>
      </c>
      <c r="L956" s="258">
        <v>-4788.0000000000009</v>
      </c>
      <c r="M956" s="258">
        <f t="shared" si="58"/>
        <v>63612</v>
      </c>
      <c r="N956" s="258">
        <v>-11608.413527851459</v>
      </c>
      <c r="O956" s="258">
        <v>-21002.580299999998</v>
      </c>
      <c r="P956" s="258">
        <v>-157.81451793753806</v>
      </c>
      <c r="Q956" s="258">
        <f t="shared" si="59"/>
        <v>30843.191654211005</v>
      </c>
      <c r="R956" s="259">
        <f t="shared" si="60"/>
        <v>0.4848643597782023</v>
      </c>
      <c r="S956" s="255">
        <f t="shared" si="57"/>
        <v>2.2799999999999998</v>
      </c>
      <c r="T956" s="255">
        <f t="shared" si="57"/>
        <v>2.2799999999999998</v>
      </c>
      <c r="U956" s="254">
        <v>100100</v>
      </c>
      <c r="V956" s="254" t="s">
        <v>834</v>
      </c>
      <c r="W956" s="254" t="s">
        <v>874</v>
      </c>
      <c r="X956" s="254" t="s">
        <v>446</v>
      </c>
      <c r="Y956" s="254" t="s">
        <v>843</v>
      </c>
      <c r="Z956" s="254" t="s">
        <v>1129</v>
      </c>
      <c r="AA956" s="254" t="s">
        <v>838</v>
      </c>
    </row>
    <row r="957" spans="1:27" ht="14.4" x14ac:dyDescent="0.3">
      <c r="A957" s="253">
        <v>11</v>
      </c>
      <c r="B957" s="254" t="s">
        <v>851</v>
      </c>
      <c r="C957" s="254">
        <v>2603</v>
      </c>
      <c r="D957" s="254" t="s">
        <v>1074</v>
      </c>
      <c r="E957" s="254" t="str">
        <f>_xlfn.XLOOKUP(C957,Clientes!I:I,Clientes!F:F)</f>
        <v>GRUPO MOSAIC FERTILIZANTES DO BRASIL</v>
      </c>
      <c r="F957" s="254">
        <v>1043</v>
      </c>
      <c r="G957" s="254" t="s">
        <v>897</v>
      </c>
      <c r="H957" s="254" t="s">
        <v>860</v>
      </c>
      <c r="I957" s="255">
        <v>60000</v>
      </c>
      <c r="J957" s="256">
        <v>60000</v>
      </c>
      <c r="K957" s="258">
        <v>147600</v>
      </c>
      <c r="L957" s="258">
        <v>-10332.000000000002</v>
      </c>
      <c r="M957" s="258">
        <f t="shared" si="58"/>
        <v>137268</v>
      </c>
      <c r="N957" s="258">
        <v>-23216.827055702917</v>
      </c>
      <c r="O957" s="258">
        <v>0</v>
      </c>
      <c r="P957" s="258">
        <v>0</v>
      </c>
      <c r="Q957" s="258">
        <f t="shared" si="59"/>
        <v>114051.17294429708</v>
      </c>
      <c r="R957" s="259">
        <f t="shared" si="60"/>
        <v>0.83086497176543028</v>
      </c>
      <c r="S957" s="255">
        <f t="shared" si="57"/>
        <v>2.46</v>
      </c>
      <c r="T957" s="255">
        <f t="shared" si="57"/>
        <v>2.46</v>
      </c>
      <c r="U957" s="254">
        <v>100100</v>
      </c>
      <c r="V957" s="254" t="s">
        <v>834</v>
      </c>
      <c r="W957" s="254" t="s">
        <v>899</v>
      </c>
      <c r="X957" s="254" t="s">
        <v>446</v>
      </c>
      <c r="Y957" s="254" t="s">
        <v>843</v>
      </c>
      <c r="Z957" s="254" t="s">
        <v>1129</v>
      </c>
      <c r="AA957" s="254" t="s">
        <v>838</v>
      </c>
    </row>
    <row r="958" spans="1:27" ht="14.4" x14ac:dyDescent="0.3">
      <c r="A958" s="253">
        <v>11</v>
      </c>
      <c r="B958" s="254" t="s">
        <v>851</v>
      </c>
      <c r="C958" s="254">
        <v>1462</v>
      </c>
      <c r="D958" s="254" t="s">
        <v>907</v>
      </c>
      <c r="E958" s="254" t="str">
        <f>_xlfn.XLOOKUP(C958,Clientes!I:I,Clientes!F:F)</f>
        <v>AURORA MINERAÇÃO LTDA</v>
      </c>
      <c r="F958" s="254">
        <v>1042</v>
      </c>
      <c r="G958" s="254" t="s">
        <v>908</v>
      </c>
      <c r="H958" s="254" t="s">
        <v>909</v>
      </c>
      <c r="I958" s="255">
        <v>90000</v>
      </c>
      <c r="J958" s="256">
        <v>90000</v>
      </c>
      <c r="K958" s="258">
        <v>150300</v>
      </c>
      <c r="L958" s="258">
        <v>-18036</v>
      </c>
      <c r="M958" s="258">
        <f t="shared" si="58"/>
        <v>132264</v>
      </c>
      <c r="N958" s="258">
        <v>-48208.384999999995</v>
      </c>
      <c r="O958" s="258">
        <v>0</v>
      </c>
      <c r="P958" s="258">
        <v>0</v>
      </c>
      <c r="Q958" s="258">
        <f t="shared" si="59"/>
        <v>84055.615000000005</v>
      </c>
      <c r="R958" s="259">
        <f t="shared" si="60"/>
        <v>0.63551393425270675</v>
      </c>
      <c r="S958" s="255">
        <f t="shared" si="57"/>
        <v>1.67</v>
      </c>
      <c r="T958" s="255">
        <f t="shared" si="57"/>
        <v>1.67</v>
      </c>
      <c r="U958" s="254">
        <v>100100</v>
      </c>
      <c r="V958" s="254" t="s">
        <v>834</v>
      </c>
      <c r="W958" s="254" t="s">
        <v>910</v>
      </c>
      <c r="X958" s="254" t="s">
        <v>446</v>
      </c>
      <c r="Y958" s="254" t="s">
        <v>843</v>
      </c>
      <c r="Z958" s="254" t="s">
        <v>1129</v>
      </c>
      <c r="AA958" s="254" t="s">
        <v>838</v>
      </c>
    </row>
    <row r="959" spans="1:27" ht="14.4" x14ac:dyDescent="0.3">
      <c r="A959" s="253">
        <v>11</v>
      </c>
      <c r="B959" s="254" t="s">
        <v>851</v>
      </c>
      <c r="C959" s="254">
        <v>2809</v>
      </c>
      <c r="D959" s="254" t="s">
        <v>159</v>
      </c>
      <c r="E959" s="254" t="str">
        <f>_xlfn.XLOOKUP(C959,Clientes!I:I,Clientes!F:F)</f>
        <v>CISBRA QUIMICA - FORMOSA</v>
      </c>
      <c r="F959" s="254">
        <v>1043</v>
      </c>
      <c r="G959" s="254" t="s">
        <v>867</v>
      </c>
      <c r="H959" s="254" t="s">
        <v>860</v>
      </c>
      <c r="I959" s="255">
        <v>30000</v>
      </c>
      <c r="J959" s="256">
        <v>30000</v>
      </c>
      <c r="K959" s="258">
        <v>55500</v>
      </c>
      <c r="L959" s="258">
        <v>-3885.0000000000005</v>
      </c>
      <c r="M959" s="258">
        <f t="shared" si="58"/>
        <v>51615</v>
      </c>
      <c r="N959" s="258">
        <v>-11608.413527851459</v>
      </c>
      <c r="O959" s="258">
        <v>-7786.1822999999995</v>
      </c>
      <c r="P959" s="258">
        <v>-58.50579255960713</v>
      </c>
      <c r="Q959" s="258">
        <f t="shared" si="59"/>
        <v>32161.898379588933</v>
      </c>
      <c r="R959" s="259">
        <f t="shared" si="60"/>
        <v>0.62311146720118049</v>
      </c>
      <c r="S959" s="255">
        <f t="shared" si="57"/>
        <v>1.85</v>
      </c>
      <c r="T959" s="255">
        <f t="shared" si="57"/>
        <v>1.85</v>
      </c>
      <c r="U959" s="254">
        <v>100100</v>
      </c>
      <c r="V959" s="254" t="s">
        <v>834</v>
      </c>
      <c r="W959" s="254" t="s">
        <v>886</v>
      </c>
      <c r="X959" s="254" t="s">
        <v>446</v>
      </c>
      <c r="Y959" s="254" t="s">
        <v>843</v>
      </c>
      <c r="Z959" s="254" t="s">
        <v>1129</v>
      </c>
      <c r="AA959" s="254" t="s">
        <v>838</v>
      </c>
    </row>
    <row r="960" spans="1:27" ht="14.4" x14ac:dyDescent="0.3">
      <c r="A960" s="253">
        <v>11</v>
      </c>
      <c r="B960" s="254" t="s">
        <v>851</v>
      </c>
      <c r="C960" s="254">
        <v>7022</v>
      </c>
      <c r="D960" s="254" t="s">
        <v>89</v>
      </c>
      <c r="E960" s="254" t="str">
        <f>_xlfn.XLOOKUP(C960,Clientes!I:I,Clientes!F:F)</f>
        <v>STRATOS - ROSARIO DO CATETE</v>
      </c>
      <c r="F960" s="254">
        <v>1043</v>
      </c>
      <c r="G960" s="254" t="s">
        <v>887</v>
      </c>
      <c r="H960" s="254" t="s">
        <v>860</v>
      </c>
      <c r="I960" s="255">
        <v>120000</v>
      </c>
      <c r="J960" s="256">
        <v>120000</v>
      </c>
      <c r="K960" s="258">
        <v>289200</v>
      </c>
      <c r="L960" s="258">
        <v>-20244.000000000004</v>
      </c>
      <c r="M960" s="258">
        <f t="shared" si="58"/>
        <v>268956</v>
      </c>
      <c r="N960" s="258">
        <v>-46433.654111405835</v>
      </c>
      <c r="O960" s="258">
        <v>-100846.0043136</v>
      </c>
      <c r="P960" s="258">
        <v>-757.76230012450753</v>
      </c>
      <c r="Q960" s="258">
        <f t="shared" si="59"/>
        <v>120918.57927486965</v>
      </c>
      <c r="R960" s="259">
        <f t="shared" si="60"/>
        <v>0.44958498518296547</v>
      </c>
      <c r="S960" s="255">
        <f t="shared" si="57"/>
        <v>2.41</v>
      </c>
      <c r="T960" s="255">
        <f t="shared" si="57"/>
        <v>2.41</v>
      </c>
      <c r="U960" s="254">
        <v>100100</v>
      </c>
      <c r="V960" s="254" t="s">
        <v>834</v>
      </c>
      <c r="W960" s="254" t="s">
        <v>888</v>
      </c>
      <c r="X960" s="254" t="s">
        <v>446</v>
      </c>
      <c r="Y960" s="254" t="s">
        <v>843</v>
      </c>
      <c r="Z960" s="254" t="s">
        <v>1129</v>
      </c>
      <c r="AA960" s="254" t="s">
        <v>838</v>
      </c>
    </row>
    <row r="961" spans="1:27" ht="14.4" x14ac:dyDescent="0.3">
      <c r="A961" s="253">
        <v>11</v>
      </c>
      <c r="B961" s="254" t="s">
        <v>851</v>
      </c>
      <c r="C961" s="254">
        <v>31</v>
      </c>
      <c r="D961" s="254" t="s">
        <v>261</v>
      </c>
      <c r="E961" s="254" t="str">
        <f>_xlfn.XLOOKUP(C961,Clientes!I:I,Clientes!F:F)</f>
        <v>SUL GOIANA - GOIATUBA</v>
      </c>
      <c r="F961" s="254">
        <v>1042</v>
      </c>
      <c r="G961" s="254" t="s">
        <v>867</v>
      </c>
      <c r="H961" s="254" t="s">
        <v>909</v>
      </c>
      <c r="I961" s="255">
        <v>60000</v>
      </c>
      <c r="J961" s="256">
        <v>60000</v>
      </c>
      <c r="K961" s="258">
        <v>120000</v>
      </c>
      <c r="L961" s="258">
        <v>-8400</v>
      </c>
      <c r="M961" s="258">
        <f t="shared" si="58"/>
        <v>111600</v>
      </c>
      <c r="N961" s="258">
        <v>-32138.923333333329</v>
      </c>
      <c r="O961" s="258">
        <v>-7010.4371999999994</v>
      </c>
      <c r="P961" s="258">
        <v>-52.676802156989453</v>
      </c>
      <c r="Q961" s="258">
        <f t="shared" si="59"/>
        <v>72397.962664509687</v>
      </c>
      <c r="R961" s="259">
        <f t="shared" si="60"/>
        <v>0.64872726401890402</v>
      </c>
      <c r="S961" s="255">
        <f t="shared" si="57"/>
        <v>2</v>
      </c>
      <c r="T961" s="255">
        <f t="shared" si="57"/>
        <v>2</v>
      </c>
      <c r="U961" s="254">
        <v>100100</v>
      </c>
      <c r="V961" s="254" t="s">
        <v>834</v>
      </c>
      <c r="W961" s="254" t="s">
        <v>1020</v>
      </c>
      <c r="X961" s="254" t="s">
        <v>446</v>
      </c>
      <c r="Y961" s="254" t="s">
        <v>843</v>
      </c>
      <c r="Z961" s="254" t="s">
        <v>1129</v>
      </c>
      <c r="AA961" s="254" t="s">
        <v>838</v>
      </c>
    </row>
    <row r="962" spans="1:27" ht="14.4" x14ac:dyDescent="0.3">
      <c r="A962" s="253">
        <v>11</v>
      </c>
      <c r="B962" s="254" t="s">
        <v>851</v>
      </c>
      <c r="C962" s="254">
        <v>210</v>
      </c>
      <c r="D962" s="254" t="s">
        <v>942</v>
      </c>
      <c r="E962" s="254" t="str">
        <f>_xlfn.XLOOKUP(C962,Clientes!I:I,Clientes!F:F)</f>
        <v>SUPERFÉRTIL FERTILIZANTES - PATROCÍNIO</v>
      </c>
      <c r="F962" s="254">
        <v>14133</v>
      </c>
      <c r="G962" s="254" t="s">
        <v>855</v>
      </c>
      <c r="H962" s="254" t="s">
        <v>841</v>
      </c>
      <c r="I962" s="255">
        <v>1000</v>
      </c>
      <c r="J962" s="256">
        <v>1000</v>
      </c>
      <c r="K962" s="258">
        <v>2900</v>
      </c>
      <c r="L962" s="258">
        <v>-522</v>
      </c>
      <c r="M962" s="258">
        <f t="shared" si="58"/>
        <v>2378</v>
      </c>
      <c r="N962" s="258">
        <v>-1183.4637142857139</v>
      </c>
      <c r="O962" s="258">
        <v>-246.33370944000001</v>
      </c>
      <c r="P962" s="258">
        <v>-1.8509647410817982</v>
      </c>
      <c r="Q962" s="258">
        <f t="shared" si="59"/>
        <v>946.35161153320428</v>
      </c>
      <c r="R962" s="259">
        <f t="shared" si="60"/>
        <v>0.39796114866829446</v>
      </c>
      <c r="S962" s="255">
        <f t="shared" si="57"/>
        <v>2.9</v>
      </c>
      <c r="T962" s="255">
        <f t="shared" si="57"/>
        <v>2.9</v>
      </c>
      <c r="U962" s="254">
        <v>100100</v>
      </c>
      <c r="V962" s="254" t="s">
        <v>834</v>
      </c>
      <c r="W962" s="254" t="s">
        <v>943</v>
      </c>
      <c r="X962" s="254" t="s">
        <v>446</v>
      </c>
      <c r="Y962" s="254" t="s">
        <v>843</v>
      </c>
      <c r="Z962" s="254" t="s">
        <v>1129</v>
      </c>
      <c r="AA962" s="254" t="s">
        <v>838</v>
      </c>
    </row>
    <row r="963" spans="1:27" ht="14.4" x14ac:dyDescent="0.3">
      <c r="A963" s="253">
        <v>11</v>
      </c>
      <c r="B963" s="254" t="s">
        <v>851</v>
      </c>
      <c r="C963" s="254">
        <v>5731</v>
      </c>
      <c r="D963" s="254" t="s">
        <v>901</v>
      </c>
      <c r="E963" s="254" t="str">
        <f>_xlfn.XLOOKUP(C963,Clientes!I:I,Clientes!F:F)</f>
        <v>FERTILIZANTES ALIANÇA - APARECIDA DE GOI</v>
      </c>
      <c r="F963" s="254">
        <v>14133</v>
      </c>
      <c r="G963" s="254" t="s">
        <v>867</v>
      </c>
      <c r="H963" s="254" t="s">
        <v>841</v>
      </c>
      <c r="I963" s="255">
        <v>6000</v>
      </c>
      <c r="J963" s="256">
        <v>6000</v>
      </c>
      <c r="K963" s="258">
        <v>16200</v>
      </c>
      <c r="L963" s="258">
        <v>-1134</v>
      </c>
      <c r="M963" s="258">
        <f t="shared" si="58"/>
        <v>15066</v>
      </c>
      <c r="N963" s="258">
        <v>-7100.7822857142837</v>
      </c>
      <c r="O963" s="258">
        <v>-2558.8542470399998</v>
      </c>
      <c r="P963" s="258">
        <v>-19.227368432870104</v>
      </c>
      <c r="Q963" s="258">
        <f t="shared" si="59"/>
        <v>5387.1360988128463</v>
      </c>
      <c r="R963" s="259">
        <f t="shared" si="60"/>
        <v>0.35756910253636309</v>
      </c>
      <c r="S963" s="255">
        <f t="shared" ref="S963:T1026" si="61">$K963/I963</f>
        <v>2.7</v>
      </c>
      <c r="T963" s="255">
        <f t="shared" si="61"/>
        <v>2.7</v>
      </c>
      <c r="U963" s="254">
        <v>100100</v>
      </c>
      <c r="V963" s="254" t="s">
        <v>834</v>
      </c>
      <c r="W963" s="254" t="s">
        <v>902</v>
      </c>
      <c r="X963" s="254" t="s">
        <v>446</v>
      </c>
      <c r="Y963" s="254" t="s">
        <v>843</v>
      </c>
      <c r="Z963" s="254" t="s">
        <v>1129</v>
      </c>
      <c r="AA963" s="254" t="s">
        <v>838</v>
      </c>
    </row>
    <row r="964" spans="1:27" ht="14.4" x14ac:dyDescent="0.3">
      <c r="A964" s="253">
        <v>11</v>
      </c>
      <c r="B964" s="254" t="s">
        <v>851</v>
      </c>
      <c r="C964" s="254">
        <v>2975</v>
      </c>
      <c r="D964" s="254" t="s">
        <v>420</v>
      </c>
      <c r="E964" s="254" t="str">
        <f>_xlfn.XLOOKUP(C964,Clientes!I:I,Clientes!F:F)</f>
        <v>COONAGRO COOPERATIVA - PARANAGUA</v>
      </c>
      <c r="F964" s="254">
        <v>4</v>
      </c>
      <c r="G964" s="254" t="s">
        <v>862</v>
      </c>
      <c r="H964" s="254" t="s">
        <v>863</v>
      </c>
      <c r="I964" s="255">
        <v>35000</v>
      </c>
      <c r="J964" s="256">
        <v>35000</v>
      </c>
      <c r="K964" s="258">
        <v>139650</v>
      </c>
      <c r="L964" s="258">
        <v>-16758</v>
      </c>
      <c r="M964" s="258">
        <f t="shared" ref="M964:M1027" si="62">SUM(K964:L964)</f>
        <v>122892</v>
      </c>
      <c r="N964" s="258">
        <v>-34256.254666666675</v>
      </c>
      <c r="O964" s="258">
        <v>-16391.20665</v>
      </c>
      <c r="P964" s="258">
        <v>-123.1644083219774</v>
      </c>
      <c r="Q964" s="258">
        <f t="shared" ref="Q964:Q1027" si="63">SUM(M964:P964)</f>
        <v>72121.374275011345</v>
      </c>
      <c r="R964" s="259">
        <f t="shared" ref="R964:R1027" si="64">Q964/M964</f>
        <v>0.58686793505689017</v>
      </c>
      <c r="S964" s="255">
        <f t="shared" si="61"/>
        <v>3.99</v>
      </c>
      <c r="T964" s="255">
        <f t="shared" si="61"/>
        <v>3.99</v>
      </c>
      <c r="U964" s="254">
        <v>100100</v>
      </c>
      <c r="V964" s="254" t="s">
        <v>834</v>
      </c>
      <c r="W964" s="254" t="s">
        <v>864</v>
      </c>
      <c r="X964" s="254" t="s">
        <v>446</v>
      </c>
      <c r="Y964" s="254" t="s">
        <v>843</v>
      </c>
      <c r="Z964" s="254" t="s">
        <v>1129</v>
      </c>
      <c r="AA964" s="254" t="s">
        <v>838</v>
      </c>
    </row>
    <row r="965" spans="1:27" ht="14.4" x14ac:dyDescent="0.3">
      <c r="A965" s="253">
        <v>11</v>
      </c>
      <c r="B965" s="254" t="s">
        <v>851</v>
      </c>
      <c r="C965" s="254">
        <v>4577</v>
      </c>
      <c r="D965" s="254" t="s">
        <v>620</v>
      </c>
      <c r="E965" s="254" t="str">
        <f>_xlfn.XLOOKUP(C965,Clientes!I:I,Clientes!F:F)</f>
        <v>MICROSOLO INDUSTRIAL - SETE LAGOAS</v>
      </c>
      <c r="F965" s="254">
        <v>1</v>
      </c>
      <c r="G965" s="254" t="s">
        <v>855</v>
      </c>
      <c r="H965" s="254" t="s">
        <v>873</v>
      </c>
      <c r="I965" s="255">
        <v>30000</v>
      </c>
      <c r="J965" s="256">
        <v>30000</v>
      </c>
      <c r="K965" s="258">
        <v>69600</v>
      </c>
      <c r="L965" s="258">
        <v>-6438</v>
      </c>
      <c r="M965" s="258">
        <f t="shared" si="62"/>
        <v>63162</v>
      </c>
      <c r="N965" s="258">
        <v>-20072.02166666666</v>
      </c>
      <c r="O965" s="258">
        <v>-10004.1649344</v>
      </c>
      <c r="P965" s="258">
        <v>-75.171833362301598</v>
      </c>
      <c r="Q965" s="258">
        <f t="shared" si="63"/>
        <v>33010.641565571044</v>
      </c>
      <c r="R965" s="259">
        <f t="shared" si="64"/>
        <v>0.52263452021106116</v>
      </c>
      <c r="S965" s="255">
        <f t="shared" si="61"/>
        <v>2.3199999999999998</v>
      </c>
      <c r="T965" s="255">
        <f t="shared" si="61"/>
        <v>2.3199999999999998</v>
      </c>
      <c r="U965" s="254">
        <v>100100</v>
      </c>
      <c r="V965" s="254" t="s">
        <v>834</v>
      </c>
      <c r="W965" s="254" t="s">
        <v>1066</v>
      </c>
      <c r="X965" s="254" t="s">
        <v>446</v>
      </c>
      <c r="Y965" s="254" t="s">
        <v>843</v>
      </c>
      <c r="Z965" s="254" t="s">
        <v>1129</v>
      </c>
      <c r="AA965" s="254" t="s">
        <v>838</v>
      </c>
    </row>
    <row r="966" spans="1:27" ht="14.4" x14ac:dyDescent="0.3">
      <c r="A966" s="253">
        <v>11</v>
      </c>
      <c r="B966" s="254" t="s">
        <v>851</v>
      </c>
      <c r="C966" s="254">
        <v>11133</v>
      </c>
      <c r="D966" s="254" t="s">
        <v>895</v>
      </c>
      <c r="E966" s="254" t="str">
        <f>_xlfn.XLOOKUP(C966,Clientes!I:I,Clientes!F:F)</f>
        <v>GRUPO ADUBOS ARAGUAIA</v>
      </c>
      <c r="F966" s="254">
        <v>1</v>
      </c>
      <c r="G966" s="254" t="s">
        <v>862</v>
      </c>
      <c r="H966" s="254" t="s">
        <v>873</v>
      </c>
      <c r="I966" s="255">
        <v>15000</v>
      </c>
      <c r="J966" s="256">
        <v>15000</v>
      </c>
      <c r="K966" s="258">
        <v>38400</v>
      </c>
      <c r="L966" s="258">
        <v>-4608</v>
      </c>
      <c r="M966" s="258">
        <f t="shared" si="62"/>
        <v>33792</v>
      </c>
      <c r="N966" s="258">
        <v>-10036.01083333333</v>
      </c>
      <c r="O966" s="258">
        <v>-10935.990696618001</v>
      </c>
      <c r="P966" s="258">
        <v>-82.173622255174578</v>
      </c>
      <c r="Q966" s="258">
        <f t="shared" si="63"/>
        <v>12737.824847793494</v>
      </c>
      <c r="R966" s="259">
        <f t="shared" si="64"/>
        <v>0.37694794175525254</v>
      </c>
      <c r="S966" s="255">
        <f t="shared" si="61"/>
        <v>2.56</v>
      </c>
      <c r="T966" s="255">
        <f t="shared" si="61"/>
        <v>2.56</v>
      </c>
      <c r="U966" s="254">
        <v>100100</v>
      </c>
      <c r="V966" s="254" t="s">
        <v>834</v>
      </c>
      <c r="W966" s="254" t="s">
        <v>864</v>
      </c>
      <c r="X966" s="254" t="s">
        <v>446</v>
      </c>
      <c r="Y966" s="254" t="s">
        <v>843</v>
      </c>
      <c r="Z966" s="254" t="s">
        <v>1129</v>
      </c>
      <c r="AA966" s="254" t="s">
        <v>838</v>
      </c>
    </row>
    <row r="967" spans="1:27" ht="14.4" x14ac:dyDescent="0.3">
      <c r="A967" s="253">
        <v>11</v>
      </c>
      <c r="B967" s="254" t="s">
        <v>851</v>
      </c>
      <c r="C967" s="254">
        <v>7102</v>
      </c>
      <c r="D967" s="254" t="s">
        <v>906</v>
      </c>
      <c r="E967" s="254" t="str">
        <f>_xlfn.XLOOKUP(C967,Clientes!I:I,Clientes!F:F)</f>
        <v>GRUPO MOSAIC FERTILIZANTES DO BRASIL</v>
      </c>
      <c r="F967" s="254">
        <v>1043</v>
      </c>
      <c r="G967" s="254" t="s">
        <v>840</v>
      </c>
      <c r="H967" s="254" t="s">
        <v>860</v>
      </c>
      <c r="I967" s="255">
        <v>90000</v>
      </c>
      <c r="J967" s="256">
        <v>90000</v>
      </c>
      <c r="K967" s="258">
        <v>183600</v>
      </c>
      <c r="L967" s="258">
        <v>-12852.000000000002</v>
      </c>
      <c r="M967" s="258">
        <f t="shared" si="62"/>
        <v>170748</v>
      </c>
      <c r="N967" s="258">
        <v>-34825.240583554369</v>
      </c>
      <c r="O967" s="258">
        <v>-35942.856299999999</v>
      </c>
      <c r="P967" s="258">
        <v>-270.07655532128609</v>
      </c>
      <c r="Q967" s="258">
        <f t="shared" si="63"/>
        <v>99709.826561124341</v>
      </c>
      <c r="R967" s="259">
        <f t="shared" si="64"/>
        <v>0.58395897205896607</v>
      </c>
      <c r="S967" s="255">
        <f t="shared" si="61"/>
        <v>2.04</v>
      </c>
      <c r="T967" s="255">
        <f t="shared" si="61"/>
        <v>2.04</v>
      </c>
      <c r="U967" s="254">
        <v>100100</v>
      </c>
      <c r="V967" s="254" t="s">
        <v>834</v>
      </c>
      <c r="W967" s="254" t="s">
        <v>861</v>
      </c>
      <c r="X967" s="254" t="s">
        <v>446</v>
      </c>
      <c r="Y967" s="254" t="s">
        <v>843</v>
      </c>
      <c r="Z967" s="254" t="s">
        <v>1129</v>
      </c>
      <c r="AA967" s="254" t="s">
        <v>838</v>
      </c>
    </row>
    <row r="968" spans="1:27" ht="14.4" x14ac:dyDescent="0.3">
      <c r="A968" s="253">
        <v>11</v>
      </c>
      <c r="B968" s="254" t="s">
        <v>851</v>
      </c>
      <c r="C968" s="254">
        <v>2696</v>
      </c>
      <c r="D968" s="254" t="s">
        <v>119</v>
      </c>
      <c r="E968" s="254" t="str">
        <f>_xlfn.XLOOKUP(C968,Clientes!I:I,Clientes!F:F)</f>
        <v>MOSAIC FERTILIZANTES PARAGUAY S.R.L.</v>
      </c>
      <c r="F968" s="254">
        <v>3245</v>
      </c>
      <c r="G968" s="254" t="s">
        <v>832</v>
      </c>
      <c r="H968" s="254" t="s">
        <v>1093</v>
      </c>
      <c r="I968" s="255">
        <v>30000</v>
      </c>
      <c r="J968" s="256">
        <v>30000</v>
      </c>
      <c r="K968" s="258">
        <v>93810</v>
      </c>
      <c r="L968" s="258">
        <v>0</v>
      </c>
      <c r="M968" s="258">
        <f t="shared" si="62"/>
        <v>93810</v>
      </c>
      <c r="N968" s="258">
        <v>-14216.720000000001</v>
      </c>
      <c r="O968" s="258">
        <v>-27051.200000000012</v>
      </c>
      <c r="P968" s="258">
        <v>-4871.3496774060823</v>
      </c>
      <c r="Q968" s="258">
        <f t="shared" si="63"/>
        <v>47670.730322593903</v>
      </c>
      <c r="R968" s="259">
        <f t="shared" si="64"/>
        <v>0.50816256606538646</v>
      </c>
      <c r="S968" s="255">
        <f t="shared" si="61"/>
        <v>3.1269999999999998</v>
      </c>
      <c r="T968" s="255">
        <f t="shared" si="61"/>
        <v>3.1269999999999998</v>
      </c>
      <c r="U968" s="254">
        <v>100100</v>
      </c>
      <c r="V968" s="254" t="s">
        <v>834</v>
      </c>
      <c r="W968" s="254" t="s">
        <v>1012</v>
      </c>
      <c r="X968" s="254" t="s">
        <v>446</v>
      </c>
      <c r="Y968" s="254" t="s">
        <v>836</v>
      </c>
      <c r="Z968" s="254" t="s">
        <v>1129</v>
      </c>
      <c r="AA968" s="254" t="s">
        <v>838</v>
      </c>
    </row>
    <row r="969" spans="1:27" ht="14.4" x14ac:dyDescent="0.3">
      <c r="A969" s="253">
        <v>11</v>
      </c>
      <c r="B969" s="254" t="s">
        <v>851</v>
      </c>
      <c r="C969" s="254">
        <v>2563</v>
      </c>
      <c r="D969" s="254" t="s">
        <v>1112</v>
      </c>
      <c r="E969" s="254" t="str">
        <f>_xlfn.XLOOKUP(C969,Clientes!I:I,Clientes!F:F)</f>
        <v>NÃO CLIENTE - ADUBOS REAL - POUSO ALEGRE</v>
      </c>
      <c r="F969" s="254">
        <v>1043</v>
      </c>
      <c r="G969" s="254" t="s">
        <v>855</v>
      </c>
      <c r="H969" s="254" t="s">
        <v>860</v>
      </c>
      <c r="I969" s="255">
        <v>30000</v>
      </c>
      <c r="J969" s="256">
        <v>30000</v>
      </c>
      <c r="K969" s="258">
        <v>69000</v>
      </c>
      <c r="L969" s="258">
        <v>-12420</v>
      </c>
      <c r="M969" s="258">
        <f t="shared" si="62"/>
        <v>56580</v>
      </c>
      <c r="N969" s="258">
        <v>-11608.413527851459</v>
      </c>
      <c r="O969" s="258">
        <v>-11235.833481600001</v>
      </c>
      <c r="P969" s="258">
        <v>-84.426657067710593</v>
      </c>
      <c r="Q969" s="258">
        <f t="shared" si="63"/>
        <v>33651.326333480829</v>
      </c>
      <c r="R969" s="259">
        <f t="shared" si="64"/>
        <v>0.5947565629812801</v>
      </c>
      <c r="S969" s="255">
        <f t="shared" si="61"/>
        <v>2.2999999999999998</v>
      </c>
      <c r="T969" s="255">
        <f t="shared" si="61"/>
        <v>2.2999999999999998</v>
      </c>
      <c r="U969" s="254">
        <v>100100</v>
      </c>
      <c r="V969" s="254" t="s">
        <v>834</v>
      </c>
      <c r="W969" s="254" t="s">
        <v>1113</v>
      </c>
      <c r="X969" s="254" t="s">
        <v>446</v>
      </c>
      <c r="Y969" s="254" t="s">
        <v>843</v>
      </c>
      <c r="Z969" s="254" t="s">
        <v>1129</v>
      </c>
      <c r="AA969" s="254" t="s">
        <v>838</v>
      </c>
    </row>
    <row r="970" spans="1:27" ht="14.4" x14ac:dyDescent="0.3">
      <c r="A970" s="253">
        <v>11</v>
      </c>
      <c r="B970" s="254" t="s">
        <v>851</v>
      </c>
      <c r="C970" s="254">
        <v>12323</v>
      </c>
      <c r="D970" s="254" t="s">
        <v>235</v>
      </c>
      <c r="E970" s="254" t="str">
        <f>_xlfn.XLOOKUP(C970,Clientes!I:I,Clientes!F:F)</f>
        <v>TERA FERTILIZANTES - PATOS DE MINAS</v>
      </c>
      <c r="F970" s="254">
        <v>14133</v>
      </c>
      <c r="G970" s="254" t="s">
        <v>855</v>
      </c>
      <c r="H970" s="254" t="s">
        <v>841</v>
      </c>
      <c r="I970" s="255">
        <v>3000</v>
      </c>
      <c r="J970" s="256">
        <v>3000</v>
      </c>
      <c r="K970" s="258">
        <v>9000</v>
      </c>
      <c r="L970" s="258">
        <v>-1620</v>
      </c>
      <c r="M970" s="258">
        <f t="shared" si="62"/>
        <v>7380</v>
      </c>
      <c r="N970" s="258">
        <v>-3550.3911428571419</v>
      </c>
      <c r="O970" s="258">
        <v>-661.07924063999997</v>
      </c>
      <c r="P970" s="258">
        <v>-4.9673849684133966</v>
      </c>
      <c r="Q970" s="258">
        <f t="shared" si="63"/>
        <v>3163.5622315344449</v>
      </c>
      <c r="R970" s="259">
        <f t="shared" si="64"/>
        <v>0.4286669690426077</v>
      </c>
      <c r="S970" s="255">
        <f t="shared" si="61"/>
        <v>3</v>
      </c>
      <c r="T970" s="255">
        <f t="shared" si="61"/>
        <v>3</v>
      </c>
      <c r="U970" s="254">
        <v>100100</v>
      </c>
      <c r="V970" s="254" t="s">
        <v>834</v>
      </c>
      <c r="W970" s="254" t="s">
        <v>952</v>
      </c>
      <c r="X970" s="254" t="s">
        <v>446</v>
      </c>
      <c r="Y970" s="254" t="s">
        <v>843</v>
      </c>
      <c r="Z970" s="254" t="s">
        <v>1129</v>
      </c>
      <c r="AA970" s="254" t="s">
        <v>838</v>
      </c>
    </row>
    <row r="971" spans="1:27" ht="14.4" x14ac:dyDescent="0.3">
      <c r="A971" s="253">
        <v>11</v>
      </c>
      <c r="B971" s="254" t="s">
        <v>851</v>
      </c>
      <c r="C971" s="254">
        <v>341</v>
      </c>
      <c r="D971" s="254" t="s">
        <v>422</v>
      </c>
      <c r="E971" s="254" t="str">
        <f>_xlfn.XLOOKUP(C971,Clientes!I:I,Clientes!F:F)</f>
        <v>ADUBOS PARANAIBA - UBERLANDIA</v>
      </c>
      <c r="F971" s="254">
        <v>1043</v>
      </c>
      <c r="G971" s="254" t="s">
        <v>855</v>
      </c>
      <c r="H971" s="254" t="s">
        <v>860</v>
      </c>
      <c r="I971" s="255">
        <v>6000</v>
      </c>
      <c r="J971" s="256">
        <v>6000</v>
      </c>
      <c r="K971" s="258">
        <v>12000</v>
      </c>
      <c r="L971" s="258">
        <v>-2160</v>
      </c>
      <c r="M971" s="258">
        <f t="shared" si="62"/>
        <v>9840</v>
      </c>
      <c r="N971" s="258">
        <v>-2321.6827055702915</v>
      </c>
      <c r="O971" s="258">
        <v>0</v>
      </c>
      <c r="P971" s="258">
        <v>0</v>
      </c>
      <c r="Q971" s="258">
        <f t="shared" si="63"/>
        <v>7518.3172944297085</v>
      </c>
      <c r="R971" s="259">
        <f t="shared" si="64"/>
        <v>0.76405663561277526</v>
      </c>
      <c r="S971" s="255">
        <f t="shared" si="61"/>
        <v>2</v>
      </c>
      <c r="T971" s="255">
        <f t="shared" si="61"/>
        <v>2</v>
      </c>
      <c r="U971" s="254">
        <v>100100</v>
      </c>
      <c r="V971" s="254" t="s">
        <v>834</v>
      </c>
      <c r="W971" s="254" t="s">
        <v>865</v>
      </c>
      <c r="X971" s="254" t="s">
        <v>446</v>
      </c>
      <c r="Y971" s="254" t="s">
        <v>843</v>
      </c>
      <c r="Z971" s="254" t="s">
        <v>1129</v>
      </c>
      <c r="AA971" s="254" t="s">
        <v>838</v>
      </c>
    </row>
    <row r="972" spans="1:27" ht="14.4" x14ac:dyDescent="0.3">
      <c r="A972" s="253">
        <v>11</v>
      </c>
      <c r="B972" s="254" t="s">
        <v>851</v>
      </c>
      <c r="C972" s="254">
        <v>11212</v>
      </c>
      <c r="D972" s="254" t="s">
        <v>230</v>
      </c>
      <c r="E972" s="254" t="str">
        <f>_xlfn.XLOOKUP(C972,Clientes!I:I,Clientes!F:F)</f>
        <v>INPEK FERTILIZANTES - PARANAGUA</v>
      </c>
      <c r="F972" s="254">
        <v>1043</v>
      </c>
      <c r="G972" s="254" t="s">
        <v>862</v>
      </c>
      <c r="H972" s="254" t="s">
        <v>860</v>
      </c>
      <c r="I972" s="255">
        <v>30000</v>
      </c>
      <c r="J972" s="256">
        <v>30000</v>
      </c>
      <c r="K972" s="258">
        <v>57000</v>
      </c>
      <c r="L972" s="258">
        <v>-6840</v>
      </c>
      <c r="M972" s="258">
        <f t="shared" si="62"/>
        <v>50160</v>
      </c>
      <c r="N972" s="258">
        <v>-11608.413527851459</v>
      </c>
      <c r="O972" s="258">
        <v>-14049.6057</v>
      </c>
      <c r="P972" s="258">
        <v>-105.56949284740919</v>
      </c>
      <c r="Q972" s="258">
        <f t="shared" si="63"/>
        <v>24396.411279301134</v>
      </c>
      <c r="R972" s="259">
        <f t="shared" si="64"/>
        <v>0.48637183571174508</v>
      </c>
      <c r="S972" s="255">
        <f t="shared" si="61"/>
        <v>1.9</v>
      </c>
      <c r="T972" s="255">
        <f t="shared" si="61"/>
        <v>1.9</v>
      </c>
      <c r="U972" s="254">
        <v>100100</v>
      </c>
      <c r="V972" s="254" t="s">
        <v>834</v>
      </c>
      <c r="W972" s="254" t="s">
        <v>864</v>
      </c>
      <c r="X972" s="254" t="s">
        <v>446</v>
      </c>
      <c r="Y972" s="254" t="s">
        <v>843</v>
      </c>
      <c r="Z972" s="254" t="s">
        <v>1129</v>
      </c>
      <c r="AA972" s="254" t="s">
        <v>838</v>
      </c>
    </row>
    <row r="973" spans="1:27" ht="14.4" x14ac:dyDescent="0.3">
      <c r="A973" s="253">
        <v>11</v>
      </c>
      <c r="B973" s="254" t="s">
        <v>851</v>
      </c>
      <c r="C973" s="254">
        <v>3142</v>
      </c>
      <c r="D973" s="254" t="s">
        <v>78</v>
      </c>
      <c r="E973" s="254" t="str">
        <f>_xlfn.XLOOKUP(C973,Clientes!I:I,Clientes!F:F)</f>
        <v>INTERFERTIL - SAO FRANCISCO DO SUL</v>
      </c>
      <c r="F973" s="254">
        <v>1</v>
      </c>
      <c r="G973" s="254" t="s">
        <v>893</v>
      </c>
      <c r="H973" s="254" t="s">
        <v>873</v>
      </c>
      <c r="I973" s="255">
        <v>45000</v>
      </c>
      <c r="J973" s="256">
        <v>45000</v>
      </c>
      <c r="K973" s="258">
        <v>124650</v>
      </c>
      <c r="L973" s="258">
        <v>-14958</v>
      </c>
      <c r="M973" s="258">
        <f t="shared" si="62"/>
        <v>109692</v>
      </c>
      <c r="N973" s="258">
        <v>-30108.032499999994</v>
      </c>
      <c r="O973" s="258">
        <v>-25211.715749999999</v>
      </c>
      <c r="P973" s="258">
        <v>-189.44218808507478</v>
      </c>
      <c r="Q973" s="258">
        <f t="shared" si="63"/>
        <v>54182.809561914924</v>
      </c>
      <c r="R973" s="259">
        <f t="shared" si="64"/>
        <v>0.49395406740614561</v>
      </c>
      <c r="S973" s="255">
        <f t="shared" si="61"/>
        <v>2.77</v>
      </c>
      <c r="T973" s="255">
        <f t="shared" si="61"/>
        <v>2.77</v>
      </c>
      <c r="U973" s="254">
        <v>100100</v>
      </c>
      <c r="V973" s="254" t="s">
        <v>834</v>
      </c>
      <c r="W973" s="254" t="s">
        <v>894</v>
      </c>
      <c r="X973" s="254" t="s">
        <v>446</v>
      </c>
      <c r="Y973" s="254" t="s">
        <v>843</v>
      </c>
      <c r="Z973" s="254" t="s">
        <v>1129</v>
      </c>
      <c r="AA973" s="254" t="s">
        <v>838</v>
      </c>
    </row>
    <row r="974" spans="1:27" ht="14.4" x14ac:dyDescent="0.3">
      <c r="A974" s="253">
        <v>11</v>
      </c>
      <c r="B974" s="254" t="s">
        <v>851</v>
      </c>
      <c r="C974" s="254">
        <v>5053</v>
      </c>
      <c r="D974" s="254" t="s">
        <v>223</v>
      </c>
      <c r="E974" s="254" t="str">
        <f>_xlfn.XLOOKUP(C974,Clientes!I:I,Clientes!F:F)</f>
        <v>GRUPO ADUBOS ARAGUAIA</v>
      </c>
      <c r="F974" s="254">
        <v>1</v>
      </c>
      <c r="G974" s="254" t="s">
        <v>840</v>
      </c>
      <c r="H974" s="254" t="s">
        <v>873</v>
      </c>
      <c r="I974" s="255">
        <v>30000</v>
      </c>
      <c r="J974" s="256">
        <v>30000</v>
      </c>
      <c r="K974" s="258">
        <v>73800</v>
      </c>
      <c r="L974" s="258">
        <v>-5166.0000000000009</v>
      </c>
      <c r="M974" s="258">
        <f t="shared" si="62"/>
        <v>68634</v>
      </c>
      <c r="N974" s="258">
        <v>-20072.02166666666</v>
      </c>
      <c r="O974" s="258">
        <v>-20973.848999999998</v>
      </c>
      <c r="P974" s="258">
        <v>-157.59862940410778</v>
      </c>
      <c r="Q974" s="258">
        <f t="shared" si="63"/>
        <v>27430.530703929235</v>
      </c>
      <c r="R974" s="259">
        <f t="shared" si="64"/>
        <v>0.39966387947561316</v>
      </c>
      <c r="S974" s="255">
        <f t="shared" si="61"/>
        <v>2.46</v>
      </c>
      <c r="T974" s="255">
        <f t="shared" si="61"/>
        <v>2.46</v>
      </c>
      <c r="U974" s="254">
        <v>100100</v>
      </c>
      <c r="V974" s="254" t="s">
        <v>834</v>
      </c>
      <c r="W974" s="254" t="s">
        <v>842</v>
      </c>
      <c r="X974" s="254" t="s">
        <v>446</v>
      </c>
      <c r="Y974" s="254" t="s">
        <v>843</v>
      </c>
      <c r="Z974" s="254" t="s">
        <v>1129</v>
      </c>
      <c r="AA974" s="254" t="s">
        <v>838</v>
      </c>
    </row>
    <row r="975" spans="1:27" ht="14.4" x14ac:dyDescent="0.3">
      <c r="A975" s="253">
        <v>11</v>
      </c>
      <c r="B975" s="254" t="s">
        <v>851</v>
      </c>
      <c r="C975" s="254">
        <v>43</v>
      </c>
      <c r="D975" s="254" t="s">
        <v>674</v>
      </c>
      <c r="E975" s="254" t="str">
        <f>_xlfn.XLOOKUP(C975,Clientes!I:I,Clientes!F:F)</f>
        <v>GRUPO CIBRA</v>
      </c>
      <c r="F975" s="254">
        <v>148</v>
      </c>
      <c r="G975" s="254" t="s">
        <v>875</v>
      </c>
      <c r="H975" s="254" t="s">
        <v>904</v>
      </c>
      <c r="I975" s="255">
        <v>90000</v>
      </c>
      <c r="J975" s="256">
        <v>90000</v>
      </c>
      <c r="K975" s="258">
        <v>213300</v>
      </c>
      <c r="L975" s="258">
        <v>-14931.000000000002</v>
      </c>
      <c r="M975" s="258">
        <f t="shared" si="62"/>
        <v>198369</v>
      </c>
      <c r="N975" s="258">
        <v>-61186.918894009214</v>
      </c>
      <c r="O975" s="258">
        <v>-62287.237958400001</v>
      </c>
      <c r="P975" s="258">
        <v>-468.02965595925468</v>
      </c>
      <c r="Q975" s="258">
        <f t="shared" si="63"/>
        <v>74426.813491631547</v>
      </c>
      <c r="R975" s="259">
        <f t="shared" si="64"/>
        <v>0.37519377267431681</v>
      </c>
      <c r="S975" s="255">
        <f t="shared" si="61"/>
        <v>2.37</v>
      </c>
      <c r="T975" s="255">
        <f t="shared" si="61"/>
        <v>2.37</v>
      </c>
      <c r="U975" s="254">
        <v>100100</v>
      </c>
      <c r="V975" s="254" t="s">
        <v>834</v>
      </c>
      <c r="W975" s="254" t="s">
        <v>905</v>
      </c>
      <c r="X975" s="254" t="s">
        <v>446</v>
      </c>
      <c r="Y975" s="254" t="s">
        <v>843</v>
      </c>
      <c r="Z975" s="254" t="s">
        <v>1129</v>
      </c>
      <c r="AA975" s="254" t="s">
        <v>838</v>
      </c>
    </row>
    <row r="976" spans="1:27" ht="14.4" x14ac:dyDescent="0.3">
      <c r="A976" s="253">
        <v>11</v>
      </c>
      <c r="B976" s="254" t="s">
        <v>851</v>
      </c>
      <c r="C976" s="254">
        <v>7479</v>
      </c>
      <c r="D976" s="254" t="s">
        <v>1017</v>
      </c>
      <c r="E976" s="254" t="str">
        <f>_xlfn.XLOOKUP(C976,Clientes!I:I,Clientes!F:F)</f>
        <v>GRUPO MOSAIC FERTILIZANTES DO BRASIL</v>
      </c>
      <c r="F976" s="254">
        <v>1043</v>
      </c>
      <c r="G976" s="254" t="s">
        <v>908</v>
      </c>
      <c r="H976" s="254" t="s">
        <v>860</v>
      </c>
      <c r="I976" s="255">
        <v>30000</v>
      </c>
      <c r="J976" s="256">
        <v>30000</v>
      </c>
      <c r="K976" s="258">
        <v>64800</v>
      </c>
      <c r="L976" s="258">
        <v>-7776</v>
      </c>
      <c r="M976" s="258">
        <f t="shared" si="62"/>
        <v>57024</v>
      </c>
      <c r="N976" s="258">
        <v>-11608.413527851459</v>
      </c>
      <c r="O976" s="258">
        <v>0</v>
      </c>
      <c r="P976" s="258">
        <v>0</v>
      </c>
      <c r="Q976" s="258">
        <f t="shared" si="63"/>
        <v>45415.586472148541</v>
      </c>
      <c r="R976" s="259">
        <f t="shared" si="64"/>
        <v>0.79642933628206614</v>
      </c>
      <c r="S976" s="255">
        <f t="shared" si="61"/>
        <v>2.16</v>
      </c>
      <c r="T976" s="255">
        <f t="shared" si="61"/>
        <v>2.16</v>
      </c>
      <c r="U976" s="254">
        <v>100100</v>
      </c>
      <c r="V976" s="254" t="s">
        <v>834</v>
      </c>
      <c r="W976" s="254" t="s">
        <v>1018</v>
      </c>
      <c r="X976" s="254" t="s">
        <v>446</v>
      </c>
      <c r="Y976" s="254" t="s">
        <v>843</v>
      </c>
      <c r="Z976" s="254" t="s">
        <v>1129</v>
      </c>
      <c r="AA976" s="254" t="s">
        <v>838</v>
      </c>
    </row>
    <row r="977" spans="1:27" ht="14.4" x14ac:dyDescent="0.3">
      <c r="A977" s="253">
        <v>11</v>
      </c>
      <c r="B977" s="254" t="s">
        <v>851</v>
      </c>
      <c r="C977" s="254">
        <v>14632</v>
      </c>
      <c r="D977" s="254" t="s">
        <v>399</v>
      </c>
      <c r="E977" s="254" t="str">
        <f>_xlfn.XLOOKUP(C977,Clientes!I:I,Clientes!F:F)</f>
        <v>BIGFERTIL - CANDEIAS</v>
      </c>
      <c r="F977" s="254">
        <v>1043</v>
      </c>
      <c r="G977" s="254" t="s">
        <v>875</v>
      </c>
      <c r="H977" s="254" t="s">
        <v>860</v>
      </c>
      <c r="I977" s="255">
        <v>30000</v>
      </c>
      <c r="J977" s="256">
        <v>30000</v>
      </c>
      <c r="K977" s="258">
        <v>96900</v>
      </c>
      <c r="L977" s="258">
        <v>-6783.0000000000009</v>
      </c>
      <c r="M977" s="258">
        <f t="shared" si="62"/>
        <v>90117</v>
      </c>
      <c r="N977" s="258">
        <v>-11608.413527851459</v>
      </c>
      <c r="O977" s="258">
        <v>-21548.474999999999</v>
      </c>
      <c r="P977" s="258">
        <v>-161.91640007271349</v>
      </c>
      <c r="Q977" s="258">
        <f t="shared" si="63"/>
        <v>56798.195072075832</v>
      </c>
      <c r="R977" s="259">
        <f t="shared" si="64"/>
        <v>0.63027170314231318</v>
      </c>
      <c r="S977" s="255">
        <f t="shared" si="61"/>
        <v>3.23</v>
      </c>
      <c r="T977" s="255">
        <f t="shared" si="61"/>
        <v>3.23</v>
      </c>
      <c r="U977" s="254">
        <v>100100</v>
      </c>
      <c r="V977" s="254" t="s">
        <v>834</v>
      </c>
      <c r="W977" s="254" t="s">
        <v>876</v>
      </c>
      <c r="X977" s="254" t="s">
        <v>446</v>
      </c>
      <c r="Y977" s="254" t="s">
        <v>843</v>
      </c>
      <c r="Z977" s="254" t="s">
        <v>1129</v>
      </c>
      <c r="AA977" s="254" t="s">
        <v>838</v>
      </c>
    </row>
    <row r="978" spans="1:27" ht="14.4" x14ac:dyDescent="0.3">
      <c r="A978" s="253">
        <v>11</v>
      </c>
      <c r="B978" s="254" t="s">
        <v>851</v>
      </c>
      <c r="C978" s="254">
        <v>2011</v>
      </c>
      <c r="D978" s="254" t="s">
        <v>616</v>
      </c>
      <c r="E978" s="254" t="str">
        <f>_xlfn.XLOOKUP(C978,Clientes!I:I,Clientes!F:F)</f>
        <v>FERTGROW S.A</v>
      </c>
      <c r="F978" s="254">
        <v>6654</v>
      </c>
      <c r="G978" s="254" t="s">
        <v>897</v>
      </c>
      <c r="H978" s="254" t="s">
        <v>898</v>
      </c>
      <c r="I978" s="255">
        <v>240000</v>
      </c>
      <c r="J978" s="256">
        <v>240000</v>
      </c>
      <c r="K978" s="258">
        <v>648000</v>
      </c>
      <c r="L978" s="258">
        <v>-45360.000000000007</v>
      </c>
      <c r="M978" s="258">
        <f t="shared" si="62"/>
        <v>602640</v>
      </c>
      <c r="N978" s="258">
        <v>-93923.89</v>
      </c>
      <c r="O978" s="258">
        <v>-211692.21839999998</v>
      </c>
      <c r="P978" s="258">
        <v>-1590.6667143143372</v>
      </c>
      <c r="Q978" s="258">
        <f t="shared" si="63"/>
        <v>295433.22488568566</v>
      </c>
      <c r="R978" s="259">
        <f t="shared" si="64"/>
        <v>0.49023168871247452</v>
      </c>
      <c r="S978" s="255">
        <f t="shared" si="61"/>
        <v>2.7</v>
      </c>
      <c r="T978" s="255">
        <f t="shared" si="61"/>
        <v>2.7</v>
      </c>
      <c r="U978" s="254">
        <v>100100</v>
      </c>
      <c r="V978" s="254" t="s">
        <v>834</v>
      </c>
      <c r="W978" s="254" t="s">
        <v>899</v>
      </c>
      <c r="X978" s="254" t="s">
        <v>446</v>
      </c>
      <c r="Y978" s="254" t="s">
        <v>843</v>
      </c>
      <c r="Z978" s="254" t="s">
        <v>1129</v>
      </c>
      <c r="AA978" s="254" t="s">
        <v>838</v>
      </c>
    </row>
    <row r="979" spans="1:27" ht="14.4" x14ac:dyDescent="0.3">
      <c r="A979" s="253">
        <v>11</v>
      </c>
      <c r="B979" s="254" t="s">
        <v>851</v>
      </c>
      <c r="C979" s="254">
        <v>139</v>
      </c>
      <c r="D979" s="254" t="s">
        <v>32</v>
      </c>
      <c r="E979" s="254" t="str">
        <f>_xlfn.XLOOKUP(C979,Clientes!I:I,Clientes!F:F)</f>
        <v>COMIGO - RIO VERDE</v>
      </c>
      <c r="F979" s="254">
        <v>1043</v>
      </c>
      <c r="G979" s="254" t="s">
        <v>867</v>
      </c>
      <c r="H979" s="254" t="s">
        <v>860</v>
      </c>
      <c r="I979" s="255">
        <v>90000</v>
      </c>
      <c r="J979" s="256">
        <v>90000</v>
      </c>
      <c r="K979" s="258">
        <v>61250.000000000036</v>
      </c>
      <c r="L979" s="258">
        <v>-4287.5000000000027</v>
      </c>
      <c r="M979" s="258">
        <f t="shared" si="62"/>
        <v>56962.500000000036</v>
      </c>
      <c r="N979" s="258">
        <v>-34825.240583554369</v>
      </c>
      <c r="O979" s="258">
        <v>-17066.392199999998</v>
      </c>
      <c r="P979" s="258">
        <v>-128.23778885758909</v>
      </c>
      <c r="Q979" s="258">
        <f t="shared" si="63"/>
        <v>4942.62942758808</v>
      </c>
      <c r="R979" s="259">
        <f t="shared" si="64"/>
        <v>8.6769882424192701E-2</v>
      </c>
      <c r="S979" s="255">
        <f t="shared" si="61"/>
        <v>0.68055555555555591</v>
      </c>
      <c r="T979" s="255">
        <f t="shared" si="61"/>
        <v>0.68055555555555591</v>
      </c>
      <c r="U979" s="254">
        <v>100100</v>
      </c>
      <c r="V979" s="254" t="s">
        <v>834</v>
      </c>
      <c r="W979" s="254" t="s">
        <v>890</v>
      </c>
      <c r="X979" s="254" t="s">
        <v>446</v>
      </c>
      <c r="Y979" s="254" t="s">
        <v>843</v>
      </c>
      <c r="Z979" s="254" t="s">
        <v>1129</v>
      </c>
      <c r="AA979" s="254" t="s">
        <v>838</v>
      </c>
    </row>
    <row r="980" spans="1:27" ht="14.4" x14ac:dyDescent="0.3">
      <c r="A980" s="253">
        <v>11</v>
      </c>
      <c r="B980" s="254" t="s">
        <v>851</v>
      </c>
      <c r="C980" s="254">
        <v>12972</v>
      </c>
      <c r="D980" s="254" t="s">
        <v>654</v>
      </c>
      <c r="E980" s="254" t="str">
        <f>_xlfn.XLOOKUP(C980,Clientes!I:I,Clientes!F:F)</f>
        <v>INVICTA FERTILIZER - RIO GRANDE</v>
      </c>
      <c r="F980" s="254">
        <v>1</v>
      </c>
      <c r="G980" s="254" t="s">
        <v>877</v>
      </c>
      <c r="H980" s="254" t="s">
        <v>873</v>
      </c>
      <c r="I980" s="255">
        <v>30000</v>
      </c>
      <c r="J980" s="256">
        <v>30000</v>
      </c>
      <c r="K980" s="258">
        <v>90000</v>
      </c>
      <c r="L980" s="258">
        <v>-10800</v>
      </c>
      <c r="M980" s="258">
        <f t="shared" si="62"/>
        <v>79200</v>
      </c>
      <c r="N980" s="258">
        <v>-20072.02166666666</v>
      </c>
      <c r="O980" s="258">
        <v>-24421.605</v>
      </c>
      <c r="P980" s="258">
        <v>-183.50525341574195</v>
      </c>
      <c r="Q980" s="258">
        <f t="shared" si="63"/>
        <v>34522.868079917593</v>
      </c>
      <c r="R980" s="259">
        <f t="shared" si="64"/>
        <v>0.43589479898885847</v>
      </c>
      <c r="S980" s="255">
        <f t="shared" si="61"/>
        <v>3</v>
      </c>
      <c r="T980" s="255">
        <f t="shared" si="61"/>
        <v>3</v>
      </c>
      <c r="U980" s="254">
        <v>100100</v>
      </c>
      <c r="V980" s="254" t="s">
        <v>834</v>
      </c>
      <c r="W980" s="254" t="s">
        <v>878</v>
      </c>
      <c r="X980" s="254" t="s">
        <v>446</v>
      </c>
      <c r="Y980" s="254" t="s">
        <v>843</v>
      </c>
      <c r="Z980" s="254" t="s">
        <v>1129</v>
      </c>
      <c r="AA980" s="254" t="s">
        <v>838</v>
      </c>
    </row>
    <row r="981" spans="1:27" ht="14.4" x14ac:dyDescent="0.3">
      <c r="A981" s="253">
        <v>11</v>
      </c>
      <c r="B981" s="254" t="s">
        <v>851</v>
      </c>
      <c r="C981" s="254">
        <v>1613</v>
      </c>
      <c r="D981" s="254" t="s">
        <v>211</v>
      </c>
      <c r="E981" s="254" t="str">
        <f>_xlfn.XLOOKUP(C981,Clientes!I:I,Clientes!F:F)</f>
        <v>GRUPO HERINGER</v>
      </c>
      <c r="F981" s="254">
        <v>7384</v>
      </c>
      <c r="G981" s="254" t="s">
        <v>875</v>
      </c>
      <c r="H981" s="254" t="s">
        <v>856</v>
      </c>
      <c r="I981" s="255">
        <v>24000</v>
      </c>
      <c r="J981" s="256">
        <v>24000</v>
      </c>
      <c r="K981" s="258">
        <v>89760</v>
      </c>
      <c r="L981" s="258">
        <v>-6283.2000000000007</v>
      </c>
      <c r="M981" s="258">
        <f t="shared" si="62"/>
        <v>83476.800000000003</v>
      </c>
      <c r="N981" s="258">
        <v>-16505.628451882843</v>
      </c>
      <c r="O981" s="258">
        <v>-17238.78</v>
      </c>
      <c r="P981" s="258">
        <v>-129.53312005817077</v>
      </c>
      <c r="Q981" s="258">
        <f t="shared" si="63"/>
        <v>49602.858428058986</v>
      </c>
      <c r="R981" s="259">
        <f t="shared" si="64"/>
        <v>0.5942113069506616</v>
      </c>
      <c r="S981" s="255">
        <f t="shared" si="61"/>
        <v>3.74</v>
      </c>
      <c r="T981" s="255">
        <f t="shared" si="61"/>
        <v>3.74</v>
      </c>
      <c r="U981" s="254">
        <v>100100</v>
      </c>
      <c r="V981" s="254" t="s">
        <v>834</v>
      </c>
      <c r="W981" s="254" t="s">
        <v>876</v>
      </c>
      <c r="X981" s="254" t="s">
        <v>446</v>
      </c>
      <c r="Y981" s="254" t="s">
        <v>843</v>
      </c>
      <c r="Z981" s="254" t="s">
        <v>1129</v>
      </c>
      <c r="AA981" s="254" t="s">
        <v>838</v>
      </c>
    </row>
    <row r="982" spans="1:27" ht="14.4" x14ac:dyDescent="0.3">
      <c r="A982" s="253">
        <v>11</v>
      </c>
      <c r="B982" s="254" t="s">
        <v>851</v>
      </c>
      <c r="C982" s="254">
        <v>16099</v>
      </c>
      <c r="D982" s="254" t="s">
        <v>1118</v>
      </c>
      <c r="E982" s="254" t="str">
        <f>_xlfn.XLOOKUP(C982,Clientes!I:I,Clientes!F:F)</f>
        <v>GRUPO MOSAIC FERTILIZANTES DO BRASIL</v>
      </c>
      <c r="F982" s="254">
        <v>1043</v>
      </c>
      <c r="G982" s="254" t="s">
        <v>974</v>
      </c>
      <c r="H982" s="254" t="s">
        <v>860</v>
      </c>
      <c r="I982" s="255">
        <v>30000</v>
      </c>
      <c r="J982" s="256">
        <v>30000</v>
      </c>
      <c r="K982" s="258">
        <v>65700</v>
      </c>
      <c r="L982" s="258">
        <v>-4599</v>
      </c>
      <c r="M982" s="258">
        <f t="shared" si="62"/>
        <v>61101</v>
      </c>
      <c r="N982" s="258">
        <v>-11608.413527851459</v>
      </c>
      <c r="O982" s="258">
        <v>0</v>
      </c>
      <c r="P982" s="258">
        <v>0</v>
      </c>
      <c r="Q982" s="258">
        <f t="shared" si="63"/>
        <v>49492.586472148541</v>
      </c>
      <c r="R982" s="259">
        <f t="shared" si="64"/>
        <v>0.81001270801048331</v>
      </c>
      <c r="S982" s="255">
        <f t="shared" si="61"/>
        <v>2.19</v>
      </c>
      <c r="T982" s="255">
        <f t="shared" si="61"/>
        <v>2.19</v>
      </c>
      <c r="U982" s="254">
        <v>100100</v>
      </c>
      <c r="V982" s="254" t="s">
        <v>834</v>
      </c>
      <c r="W982" s="254" t="s">
        <v>1119</v>
      </c>
      <c r="X982" s="254" t="s">
        <v>446</v>
      </c>
      <c r="Y982" s="254" t="s">
        <v>843</v>
      </c>
      <c r="Z982" s="254" t="s">
        <v>1129</v>
      </c>
      <c r="AA982" s="254" t="s">
        <v>838</v>
      </c>
    </row>
    <row r="983" spans="1:27" ht="14.4" x14ac:dyDescent="0.3">
      <c r="A983" s="253">
        <v>11</v>
      </c>
      <c r="B983" s="254" t="s">
        <v>851</v>
      </c>
      <c r="C983" s="254">
        <v>7097</v>
      </c>
      <c r="D983" s="254" t="s">
        <v>1077</v>
      </c>
      <c r="E983" s="254" t="str">
        <f>_xlfn.XLOOKUP(C983,Clientes!I:I,Clientes!F:F)</f>
        <v>GRUPO MOSAIC FERTILIZANTES DO BRASIL</v>
      </c>
      <c r="F983" s="254">
        <v>14133</v>
      </c>
      <c r="G983" s="254" t="s">
        <v>893</v>
      </c>
      <c r="H983" s="254" t="s">
        <v>841</v>
      </c>
      <c r="I983" s="255">
        <v>26400</v>
      </c>
      <c r="J983" s="256">
        <v>26400</v>
      </c>
      <c r="K983" s="258">
        <v>71280</v>
      </c>
      <c r="L983" s="258">
        <v>-8553.6</v>
      </c>
      <c r="M983" s="258">
        <f t="shared" si="62"/>
        <v>62726.400000000001</v>
      </c>
      <c r="N983" s="258">
        <v>-31243.442057142849</v>
      </c>
      <c r="O983" s="258">
        <v>-14790.873239999999</v>
      </c>
      <c r="P983" s="258">
        <v>-111.13941700991053</v>
      </c>
      <c r="Q983" s="258">
        <f t="shared" si="63"/>
        <v>16580.94528584724</v>
      </c>
      <c r="R983" s="259">
        <f t="shared" si="64"/>
        <v>0.26433758809444252</v>
      </c>
      <c r="S983" s="255">
        <f t="shared" si="61"/>
        <v>2.7</v>
      </c>
      <c r="T983" s="255">
        <f t="shared" si="61"/>
        <v>2.7</v>
      </c>
      <c r="U983" s="254">
        <v>100100</v>
      </c>
      <c r="V983" s="254" t="s">
        <v>834</v>
      </c>
      <c r="W983" s="254" t="s">
        <v>894</v>
      </c>
      <c r="X983" s="254" t="s">
        <v>446</v>
      </c>
      <c r="Y983" s="254" t="s">
        <v>843</v>
      </c>
      <c r="Z983" s="254" t="s">
        <v>1129</v>
      </c>
      <c r="AA983" s="254" t="s">
        <v>838</v>
      </c>
    </row>
    <row r="984" spans="1:27" ht="14.4" x14ac:dyDescent="0.3">
      <c r="A984" s="253">
        <v>11</v>
      </c>
      <c r="B984" s="254" t="s">
        <v>851</v>
      </c>
      <c r="C984" s="254">
        <v>2992</v>
      </c>
      <c r="D984" s="254" t="s">
        <v>77</v>
      </c>
      <c r="E984" s="254" t="str">
        <f>_xlfn.XLOOKUP(C984,Clientes!I:I,Clientes!F:F)</f>
        <v>GRUPO SUPERBAC</v>
      </c>
      <c r="F984" s="254">
        <v>1043</v>
      </c>
      <c r="G984" s="254" t="s">
        <v>862</v>
      </c>
      <c r="H984" s="254" t="s">
        <v>860</v>
      </c>
      <c r="I984" s="255">
        <v>30000</v>
      </c>
      <c r="J984" s="256">
        <v>30000</v>
      </c>
      <c r="K984" s="258">
        <v>110400</v>
      </c>
      <c r="L984" s="258">
        <v>-13248</v>
      </c>
      <c r="M984" s="258">
        <f t="shared" si="62"/>
        <v>97152</v>
      </c>
      <c r="N984" s="258">
        <v>-11608.413527851459</v>
      </c>
      <c r="O984" s="258">
        <v>-11260.9695744</v>
      </c>
      <c r="P984" s="258">
        <v>-84.615531020882202</v>
      </c>
      <c r="Q984" s="258">
        <f t="shared" si="63"/>
        <v>74198.001366727651</v>
      </c>
      <c r="R984" s="259">
        <f t="shared" si="64"/>
        <v>0.76373107467399182</v>
      </c>
      <c r="S984" s="255">
        <f t="shared" si="61"/>
        <v>3.68</v>
      </c>
      <c r="T984" s="255">
        <f t="shared" si="61"/>
        <v>3.68</v>
      </c>
      <c r="U984" s="254">
        <v>100100</v>
      </c>
      <c r="V984" s="254" t="s">
        <v>834</v>
      </c>
      <c r="W984" s="254" t="s">
        <v>1019</v>
      </c>
      <c r="X984" s="254" t="s">
        <v>446</v>
      </c>
      <c r="Y984" s="254" t="s">
        <v>843</v>
      </c>
      <c r="Z984" s="254" t="s">
        <v>1129</v>
      </c>
      <c r="AA984" s="254" t="s">
        <v>838</v>
      </c>
    </row>
    <row r="985" spans="1:27" ht="14.4" x14ac:dyDescent="0.3">
      <c r="A985" s="253">
        <v>11</v>
      </c>
      <c r="B985" s="254" t="s">
        <v>851</v>
      </c>
      <c r="C985" s="254">
        <v>2247</v>
      </c>
      <c r="D985" s="254" t="s">
        <v>425</v>
      </c>
      <c r="E985" s="254" t="str">
        <f>_xlfn.XLOOKUP(C985,Clientes!I:I,Clientes!F:F)</f>
        <v>ADUBOS LEAO - LARANJEIRAS</v>
      </c>
      <c r="F985" s="254">
        <v>14133</v>
      </c>
      <c r="G985" s="254" t="s">
        <v>887</v>
      </c>
      <c r="H985" s="254" t="s">
        <v>841</v>
      </c>
      <c r="I985" s="255">
        <v>2000</v>
      </c>
      <c r="J985" s="256">
        <v>2000</v>
      </c>
      <c r="K985" s="258">
        <v>11000</v>
      </c>
      <c r="L985" s="258">
        <v>-770.00000000000011</v>
      </c>
      <c r="M985" s="258">
        <f t="shared" si="62"/>
        <v>10230</v>
      </c>
      <c r="N985" s="258">
        <v>-2366.9274285714278</v>
      </c>
      <c r="O985" s="258">
        <v>-3081.6849772800001</v>
      </c>
      <c r="P985" s="258">
        <v>-23.155946658839639</v>
      </c>
      <c r="Q985" s="258">
        <f t="shared" si="63"/>
        <v>4758.2316474897334</v>
      </c>
      <c r="R985" s="259">
        <f t="shared" si="64"/>
        <v>0.46512528323457802</v>
      </c>
      <c r="S985" s="255">
        <f t="shared" si="61"/>
        <v>5.5</v>
      </c>
      <c r="T985" s="255">
        <f t="shared" si="61"/>
        <v>5.5</v>
      </c>
      <c r="U985" s="254">
        <v>100100</v>
      </c>
      <c r="V985" s="254" t="s">
        <v>834</v>
      </c>
      <c r="W985" s="254" t="s">
        <v>1030</v>
      </c>
      <c r="X985" s="254" t="s">
        <v>446</v>
      </c>
      <c r="Y985" s="254" t="s">
        <v>843</v>
      </c>
      <c r="Z985" s="254" t="s">
        <v>1129</v>
      </c>
      <c r="AA985" s="254" t="s">
        <v>838</v>
      </c>
    </row>
    <row r="986" spans="1:27" ht="14.4" x14ac:dyDescent="0.3">
      <c r="A986" s="253">
        <v>11</v>
      </c>
      <c r="B986" s="254" t="s">
        <v>851</v>
      </c>
      <c r="C986" s="254">
        <v>2003</v>
      </c>
      <c r="D986" s="254" t="s">
        <v>316</v>
      </c>
      <c r="E986" s="254" t="str">
        <f>_xlfn.XLOOKUP(C986,Clientes!I:I,Clientes!F:F)</f>
        <v>GRUPO HERINGER</v>
      </c>
      <c r="F986" s="254">
        <v>7384</v>
      </c>
      <c r="G986" s="254" t="s">
        <v>877</v>
      </c>
      <c r="H986" s="254" t="s">
        <v>856</v>
      </c>
      <c r="I986" s="255">
        <v>20000</v>
      </c>
      <c r="J986" s="256">
        <v>20000</v>
      </c>
      <c r="K986" s="258">
        <v>70000</v>
      </c>
      <c r="L986" s="258">
        <v>-8400</v>
      </c>
      <c r="M986" s="258">
        <f t="shared" si="62"/>
        <v>61600</v>
      </c>
      <c r="N986" s="258">
        <v>-13754.690376569037</v>
      </c>
      <c r="O986" s="258">
        <v>-16281.07</v>
      </c>
      <c r="P986" s="258">
        <v>-122.33683561049465</v>
      </c>
      <c r="Q986" s="258">
        <f t="shared" si="63"/>
        <v>31441.902787820469</v>
      </c>
      <c r="R986" s="259">
        <f t="shared" si="64"/>
        <v>0.51042049980228033</v>
      </c>
      <c r="S986" s="255">
        <f t="shared" si="61"/>
        <v>3.5</v>
      </c>
      <c r="T986" s="255">
        <f t="shared" si="61"/>
        <v>3.5</v>
      </c>
      <c r="U986" s="254">
        <v>100100</v>
      </c>
      <c r="V986" s="254" t="s">
        <v>834</v>
      </c>
      <c r="W986" s="254" t="s">
        <v>878</v>
      </c>
      <c r="X986" s="254" t="s">
        <v>446</v>
      </c>
      <c r="Y986" s="254" t="s">
        <v>843</v>
      </c>
      <c r="Z986" s="254" t="s">
        <v>1129</v>
      </c>
      <c r="AA986" s="254" t="s">
        <v>838</v>
      </c>
    </row>
    <row r="987" spans="1:27" ht="14.4" x14ac:dyDescent="0.3">
      <c r="A987" s="253">
        <v>11</v>
      </c>
      <c r="B987" s="254" t="s">
        <v>851</v>
      </c>
      <c r="C987" s="254">
        <v>6477</v>
      </c>
      <c r="D987" s="254" t="s">
        <v>87</v>
      </c>
      <c r="E987" s="254" t="str">
        <f>_xlfn.XLOOKUP(C987,Clientes!I:I,Clientes!F:F)</f>
        <v>GRUPO MOSAIC FERTILIZANTES DO BRASIL</v>
      </c>
      <c r="F987" s="254">
        <v>1043</v>
      </c>
      <c r="G987" s="254" t="s">
        <v>862</v>
      </c>
      <c r="H987" s="254" t="s">
        <v>860</v>
      </c>
      <c r="I987" s="255">
        <v>60000</v>
      </c>
      <c r="J987" s="256">
        <v>60000</v>
      </c>
      <c r="K987" s="258">
        <v>131400</v>
      </c>
      <c r="L987" s="258">
        <v>-15768</v>
      </c>
      <c r="M987" s="258">
        <f t="shared" si="62"/>
        <v>115632</v>
      </c>
      <c r="N987" s="258">
        <v>-23216.827055702917</v>
      </c>
      <c r="O987" s="258">
        <v>-28099.2114</v>
      </c>
      <c r="P987" s="258">
        <v>-211.13898569481839</v>
      </c>
      <c r="Q987" s="258">
        <f t="shared" si="63"/>
        <v>64104.822558602267</v>
      </c>
      <c r="R987" s="259">
        <f t="shared" si="64"/>
        <v>0.55438652413347744</v>
      </c>
      <c r="S987" s="255">
        <f t="shared" si="61"/>
        <v>2.19</v>
      </c>
      <c r="T987" s="255">
        <f t="shared" si="61"/>
        <v>2.19</v>
      </c>
      <c r="U987" s="254">
        <v>100100</v>
      </c>
      <c r="V987" s="254" t="s">
        <v>834</v>
      </c>
      <c r="W987" s="254" t="s">
        <v>864</v>
      </c>
      <c r="X987" s="254" t="s">
        <v>446</v>
      </c>
      <c r="Y987" s="254" t="s">
        <v>843</v>
      </c>
      <c r="Z987" s="254" t="s">
        <v>1129</v>
      </c>
      <c r="AA987" s="254" t="s">
        <v>838</v>
      </c>
    </row>
    <row r="988" spans="1:27" ht="14.4" x14ac:dyDescent="0.3">
      <c r="A988" s="253">
        <v>11</v>
      </c>
      <c r="B988" s="254" t="s">
        <v>851</v>
      </c>
      <c r="C988" s="254">
        <v>2559</v>
      </c>
      <c r="D988" s="254" t="s">
        <v>451</v>
      </c>
      <c r="E988" s="254" t="str">
        <f>_xlfn.XLOOKUP(C988,Clientes!I:I,Clientes!F:F)</f>
        <v>GRUPO MOSAIC FERTILIZANTES DO BRASIL</v>
      </c>
      <c r="F988" s="254">
        <v>1043</v>
      </c>
      <c r="G988" s="254" t="s">
        <v>877</v>
      </c>
      <c r="H988" s="254" t="s">
        <v>860</v>
      </c>
      <c r="I988" s="255">
        <v>120000</v>
      </c>
      <c r="J988" s="256">
        <v>120000</v>
      </c>
      <c r="K988" s="258">
        <v>301200</v>
      </c>
      <c r="L988" s="258">
        <v>-36144</v>
      </c>
      <c r="M988" s="258">
        <f t="shared" si="62"/>
        <v>265056</v>
      </c>
      <c r="N988" s="258">
        <v>-46433.654111405835</v>
      </c>
      <c r="O988" s="258">
        <v>-97686.42</v>
      </c>
      <c r="P988" s="258">
        <v>-734.02101366296779</v>
      </c>
      <c r="Q988" s="258">
        <f t="shared" si="63"/>
        <v>120201.90487493121</v>
      </c>
      <c r="R988" s="259">
        <f t="shared" si="64"/>
        <v>0.4534962606955934</v>
      </c>
      <c r="S988" s="255">
        <f t="shared" si="61"/>
        <v>2.5099999999999998</v>
      </c>
      <c r="T988" s="255">
        <f t="shared" si="61"/>
        <v>2.5099999999999998</v>
      </c>
      <c r="U988" s="254">
        <v>100100</v>
      </c>
      <c r="V988" s="254" t="s">
        <v>834</v>
      </c>
      <c r="W988" s="254" t="s">
        <v>878</v>
      </c>
      <c r="X988" s="254" t="s">
        <v>446</v>
      </c>
      <c r="Y988" s="254" t="s">
        <v>843</v>
      </c>
      <c r="Z988" s="254" t="s">
        <v>1129</v>
      </c>
      <c r="AA988" s="254" t="s">
        <v>838</v>
      </c>
    </row>
    <row r="989" spans="1:27" ht="14.4" x14ac:dyDescent="0.3">
      <c r="A989" s="253">
        <v>11</v>
      </c>
      <c r="B989" s="254" t="s">
        <v>851</v>
      </c>
      <c r="C989" s="254">
        <v>214</v>
      </c>
      <c r="D989" s="254" t="s">
        <v>149</v>
      </c>
      <c r="E989" s="254" t="str">
        <f>_xlfn.XLOOKUP(C989,Clientes!I:I,Clientes!F:F)</f>
        <v>GRUPO UNIFERTIL</v>
      </c>
      <c r="F989" s="254">
        <v>3</v>
      </c>
      <c r="G989" s="254" t="s">
        <v>877</v>
      </c>
      <c r="H989" s="254" t="s">
        <v>879</v>
      </c>
      <c r="I989" s="255">
        <v>64000</v>
      </c>
      <c r="J989" s="256">
        <v>64000</v>
      </c>
      <c r="K989" s="258">
        <v>165760</v>
      </c>
      <c r="L989" s="258">
        <v>-19891.2</v>
      </c>
      <c r="M989" s="258">
        <f t="shared" si="62"/>
        <v>145868.79999999999</v>
      </c>
      <c r="N989" s="258">
        <v>-49902.28</v>
      </c>
      <c r="O989" s="258">
        <v>-51609.076479999996</v>
      </c>
      <c r="P989" s="258">
        <v>-387.79337631637264</v>
      </c>
      <c r="Q989" s="258">
        <f t="shared" si="63"/>
        <v>43969.650143683619</v>
      </c>
      <c r="R989" s="259">
        <f t="shared" si="64"/>
        <v>0.30143286394132002</v>
      </c>
      <c r="S989" s="255">
        <f t="shared" si="61"/>
        <v>2.59</v>
      </c>
      <c r="T989" s="255">
        <f t="shared" si="61"/>
        <v>2.59</v>
      </c>
      <c r="U989" s="254">
        <v>100100</v>
      </c>
      <c r="V989" s="254" t="s">
        <v>834</v>
      </c>
      <c r="W989" s="254" t="s">
        <v>880</v>
      </c>
      <c r="X989" s="254" t="s">
        <v>446</v>
      </c>
      <c r="Y989" s="254" t="s">
        <v>843</v>
      </c>
      <c r="Z989" s="254" t="s">
        <v>1129</v>
      </c>
      <c r="AA989" s="254" t="s">
        <v>838</v>
      </c>
    </row>
    <row r="990" spans="1:27" ht="14.4" x14ac:dyDescent="0.3">
      <c r="A990" s="253">
        <v>11</v>
      </c>
      <c r="B990" s="254" t="s">
        <v>851</v>
      </c>
      <c r="C990" s="254">
        <v>820</v>
      </c>
      <c r="D990" s="254" t="s">
        <v>1131</v>
      </c>
      <c r="E990" s="254" t="e">
        <f>_xlfn.XLOOKUP(C990,Clientes!I:I,Clientes!F:F)</f>
        <v>#N/A</v>
      </c>
      <c r="F990" s="254">
        <v>1043</v>
      </c>
      <c r="G990" s="254" t="s">
        <v>855</v>
      </c>
      <c r="H990" s="254" t="s">
        <v>860</v>
      </c>
      <c r="I990" s="255">
        <v>90000</v>
      </c>
      <c r="J990" s="256">
        <v>90000</v>
      </c>
      <c r="K990" s="258">
        <v>212400</v>
      </c>
      <c r="L990" s="258">
        <v>-54342.539999999994</v>
      </c>
      <c r="M990" s="258">
        <f t="shared" si="62"/>
        <v>158057.46000000002</v>
      </c>
      <c r="N990" s="258">
        <v>-34825.240583554369</v>
      </c>
      <c r="O990" s="258">
        <v>0</v>
      </c>
      <c r="P990" s="258">
        <v>0</v>
      </c>
      <c r="Q990" s="258">
        <f t="shared" si="63"/>
        <v>123232.21941644565</v>
      </c>
      <c r="R990" s="259">
        <f t="shared" si="64"/>
        <v>0.77966721353389856</v>
      </c>
      <c r="S990" s="255">
        <f t="shared" si="61"/>
        <v>2.36</v>
      </c>
      <c r="T990" s="255">
        <f t="shared" si="61"/>
        <v>2.36</v>
      </c>
      <c r="U990" s="254">
        <v>100100</v>
      </c>
      <c r="V990" s="254" t="s">
        <v>834</v>
      </c>
      <c r="W990" s="254" t="s">
        <v>1132</v>
      </c>
      <c r="X990" s="254" t="s">
        <v>446</v>
      </c>
      <c r="Y990" s="254" t="s">
        <v>843</v>
      </c>
      <c r="Z990" s="254" t="s">
        <v>1129</v>
      </c>
      <c r="AA990" s="254" t="s">
        <v>838</v>
      </c>
    </row>
    <row r="991" spans="1:27" ht="14.4" x14ac:dyDescent="0.3">
      <c r="A991" s="253">
        <v>11</v>
      </c>
      <c r="B991" s="254" t="s">
        <v>851</v>
      </c>
      <c r="C991" s="254">
        <v>3273</v>
      </c>
      <c r="D991" s="254" t="s">
        <v>79</v>
      </c>
      <c r="E991" s="254" t="str">
        <f>_xlfn.XLOOKUP(C991,Clientes!I:I,Clientes!F:F)</f>
        <v>FERTIMAXI - CONCEICAO DO JACUIPE</v>
      </c>
      <c r="F991" s="254">
        <v>2</v>
      </c>
      <c r="G991" s="254" t="s">
        <v>875</v>
      </c>
      <c r="H991" s="254" t="s">
        <v>883</v>
      </c>
      <c r="I991" s="255">
        <v>30000</v>
      </c>
      <c r="J991" s="256">
        <v>30000</v>
      </c>
      <c r="K991" s="258">
        <v>78900</v>
      </c>
      <c r="L991" s="258">
        <v>-5523.0000000000009</v>
      </c>
      <c r="M991" s="258">
        <f t="shared" si="62"/>
        <v>73377</v>
      </c>
      <c r="N991" s="258">
        <v>-17018.045000000002</v>
      </c>
      <c r="O991" s="258">
        <v>-18675.345000000001</v>
      </c>
      <c r="P991" s="258">
        <v>-140.32754672968503</v>
      </c>
      <c r="Q991" s="258">
        <f t="shared" si="63"/>
        <v>37543.282453270316</v>
      </c>
      <c r="R991" s="259">
        <f t="shared" si="64"/>
        <v>0.51164918780095014</v>
      </c>
      <c r="S991" s="255">
        <f t="shared" si="61"/>
        <v>2.63</v>
      </c>
      <c r="T991" s="255">
        <f t="shared" si="61"/>
        <v>2.63</v>
      </c>
      <c r="U991" s="254">
        <v>100100</v>
      </c>
      <c r="V991" s="254" t="s">
        <v>834</v>
      </c>
      <c r="W991" s="254" t="s">
        <v>884</v>
      </c>
      <c r="X991" s="254" t="s">
        <v>446</v>
      </c>
      <c r="Y991" s="254" t="s">
        <v>843</v>
      </c>
      <c r="Z991" s="254" t="s">
        <v>1129</v>
      </c>
      <c r="AA991" s="254" t="s">
        <v>838</v>
      </c>
    </row>
    <row r="992" spans="1:27" ht="14.4" x14ac:dyDescent="0.3">
      <c r="A992" s="253">
        <v>11</v>
      </c>
      <c r="B992" s="254" t="s">
        <v>851</v>
      </c>
      <c r="C992" s="254">
        <v>16918</v>
      </c>
      <c r="D992" s="254" t="s">
        <v>645</v>
      </c>
      <c r="E992" s="254" t="str">
        <f>_xlfn.XLOOKUP(C992,Clientes!I:I,Clientes!F:F)</f>
        <v>FERTZ FERTILIZANTES S/A</v>
      </c>
      <c r="F992" s="254">
        <v>1043</v>
      </c>
      <c r="G992" s="254" t="s">
        <v>926</v>
      </c>
      <c r="H992" s="254" t="s">
        <v>860</v>
      </c>
      <c r="I992" s="255">
        <v>30000</v>
      </c>
      <c r="J992" s="256">
        <v>30000</v>
      </c>
      <c r="K992" s="258">
        <v>66000</v>
      </c>
      <c r="L992" s="258">
        <v>-4620</v>
      </c>
      <c r="M992" s="258">
        <f t="shared" si="62"/>
        <v>61380</v>
      </c>
      <c r="N992" s="258">
        <v>-11608.413527851459</v>
      </c>
      <c r="O992" s="258">
        <v>-26978.690699999999</v>
      </c>
      <c r="P992" s="258">
        <v>-202.71933289103728</v>
      </c>
      <c r="Q992" s="258">
        <f t="shared" si="63"/>
        <v>22590.176439257506</v>
      </c>
      <c r="R992" s="259">
        <f t="shared" si="64"/>
        <v>0.36803806515571041</v>
      </c>
      <c r="S992" s="255">
        <f t="shared" si="61"/>
        <v>2.2000000000000002</v>
      </c>
      <c r="T992" s="255">
        <f t="shared" si="61"/>
        <v>2.2000000000000002</v>
      </c>
      <c r="U992" s="254">
        <v>100100</v>
      </c>
      <c r="V992" s="254" t="s">
        <v>834</v>
      </c>
      <c r="W992" s="254" t="s">
        <v>928</v>
      </c>
      <c r="X992" s="254" t="s">
        <v>446</v>
      </c>
      <c r="Y992" s="254" t="s">
        <v>843</v>
      </c>
      <c r="Z992" s="254" t="s">
        <v>1129</v>
      </c>
      <c r="AA992" s="254" t="s">
        <v>838</v>
      </c>
    </row>
    <row r="993" spans="1:27" ht="14.4" x14ac:dyDescent="0.3">
      <c r="A993" s="253">
        <v>11</v>
      </c>
      <c r="B993" s="254" t="s">
        <v>851</v>
      </c>
      <c r="C993" s="254">
        <v>833</v>
      </c>
      <c r="D993" s="254" t="s">
        <v>213</v>
      </c>
      <c r="E993" s="254" t="str">
        <f>_xlfn.XLOOKUP(C993,Clientes!I:I,Clientes!F:F)</f>
        <v>TERRENA - PATOS DE MINAS</v>
      </c>
      <c r="F993" s="254">
        <v>14133</v>
      </c>
      <c r="G993" s="254" t="s">
        <v>855</v>
      </c>
      <c r="H993" s="254" t="s">
        <v>841</v>
      </c>
      <c r="I993" s="255">
        <v>6000</v>
      </c>
      <c r="J993" s="256">
        <v>6000</v>
      </c>
      <c r="K993" s="258">
        <v>22800</v>
      </c>
      <c r="L993" s="258">
        <v>0</v>
      </c>
      <c r="M993" s="258">
        <f t="shared" si="62"/>
        <v>22800</v>
      </c>
      <c r="N993" s="258">
        <v>-7100.7822857142837</v>
      </c>
      <c r="O993" s="258">
        <v>-1322.1584812799999</v>
      </c>
      <c r="P993" s="258">
        <v>-9.9347699368267932</v>
      </c>
      <c r="Q993" s="258">
        <f t="shared" si="63"/>
        <v>14367.124463068891</v>
      </c>
      <c r="R993" s="259">
        <f t="shared" si="64"/>
        <v>0.63013703785389874</v>
      </c>
      <c r="S993" s="255">
        <f t="shared" si="61"/>
        <v>3.8</v>
      </c>
      <c r="T993" s="255">
        <f t="shared" si="61"/>
        <v>3.8</v>
      </c>
      <c r="U993" s="254">
        <v>100100</v>
      </c>
      <c r="V993" s="254" t="s">
        <v>834</v>
      </c>
      <c r="W993" s="254" t="s">
        <v>952</v>
      </c>
      <c r="X993" s="254" t="s">
        <v>446</v>
      </c>
      <c r="Y993" s="254" t="s">
        <v>843</v>
      </c>
      <c r="Z993" s="254" t="s">
        <v>1129</v>
      </c>
      <c r="AA993" s="254" t="s">
        <v>838</v>
      </c>
    </row>
    <row r="994" spans="1:27" ht="14.4" x14ac:dyDescent="0.3">
      <c r="A994" s="253">
        <v>11</v>
      </c>
      <c r="B994" s="254" t="s">
        <v>851</v>
      </c>
      <c r="C994" s="254">
        <v>87</v>
      </c>
      <c r="D994" s="254" t="s">
        <v>218</v>
      </c>
      <c r="E994" s="254" t="str">
        <f>_xlfn.XLOOKUP(C994,Clientes!I:I,Clientes!F:F)</f>
        <v>GRUPO ADUBOS ARAGUAIA</v>
      </c>
      <c r="F994" s="254">
        <v>1</v>
      </c>
      <c r="G994" s="254" t="s">
        <v>867</v>
      </c>
      <c r="H994" s="254" t="s">
        <v>873</v>
      </c>
      <c r="I994" s="255">
        <v>30000</v>
      </c>
      <c r="J994" s="256">
        <v>30000</v>
      </c>
      <c r="K994" s="258">
        <v>64500</v>
      </c>
      <c r="L994" s="258">
        <v>-4515</v>
      </c>
      <c r="M994" s="258">
        <f t="shared" si="62"/>
        <v>59985</v>
      </c>
      <c r="N994" s="258">
        <v>-20072.02166666666</v>
      </c>
      <c r="O994" s="258">
        <v>-2442.1605</v>
      </c>
      <c r="P994" s="258">
        <v>-18.350525341574194</v>
      </c>
      <c r="Q994" s="258">
        <f t="shared" si="63"/>
        <v>37452.46730799177</v>
      </c>
      <c r="R994" s="259">
        <f t="shared" si="64"/>
        <v>0.6243638794363886</v>
      </c>
      <c r="S994" s="255">
        <f t="shared" si="61"/>
        <v>2.15</v>
      </c>
      <c r="T994" s="255">
        <f t="shared" si="61"/>
        <v>2.15</v>
      </c>
      <c r="U994" s="254">
        <v>100100</v>
      </c>
      <c r="V994" s="254" t="s">
        <v>834</v>
      </c>
      <c r="W994" s="254" t="s">
        <v>871</v>
      </c>
      <c r="X994" s="254" t="s">
        <v>446</v>
      </c>
      <c r="Y994" s="254" t="s">
        <v>843</v>
      </c>
      <c r="Z994" s="254" t="s">
        <v>1129</v>
      </c>
      <c r="AA994" s="254" t="s">
        <v>838</v>
      </c>
    </row>
    <row r="995" spans="1:27" ht="14.4" x14ac:dyDescent="0.3">
      <c r="A995" s="253">
        <v>11</v>
      </c>
      <c r="B995" s="254" t="s">
        <v>851</v>
      </c>
      <c r="C995" s="254">
        <v>1023</v>
      </c>
      <c r="D995" s="254" t="s">
        <v>49</v>
      </c>
      <c r="E995" s="254" t="str">
        <f>_xlfn.XLOOKUP(C995,Clientes!I:I,Clientes!F:F)</f>
        <v>GRUPO ADUBOS ARAGUAIA</v>
      </c>
      <c r="F995" s="254">
        <v>1</v>
      </c>
      <c r="G995" s="254" t="s">
        <v>840</v>
      </c>
      <c r="H995" s="254" t="s">
        <v>873</v>
      </c>
      <c r="I995" s="255">
        <v>30000</v>
      </c>
      <c r="J995" s="256">
        <v>30000</v>
      </c>
      <c r="K995" s="258">
        <v>72900</v>
      </c>
      <c r="L995" s="258">
        <v>-5103.0000000000009</v>
      </c>
      <c r="M995" s="258">
        <f t="shared" si="62"/>
        <v>67797</v>
      </c>
      <c r="N995" s="258">
        <v>-20072.02166666666</v>
      </c>
      <c r="O995" s="258">
        <v>-11980.9521</v>
      </c>
      <c r="P995" s="258">
        <v>-90.025518440428698</v>
      </c>
      <c r="Q995" s="258">
        <f t="shared" si="63"/>
        <v>35654.000714892907</v>
      </c>
      <c r="R995" s="259">
        <f t="shared" si="64"/>
        <v>0.5258934866571221</v>
      </c>
      <c r="S995" s="255">
        <f t="shared" si="61"/>
        <v>2.4300000000000002</v>
      </c>
      <c r="T995" s="255">
        <f t="shared" si="61"/>
        <v>2.4300000000000002</v>
      </c>
      <c r="U995" s="254">
        <v>100100</v>
      </c>
      <c r="V995" s="254" t="s">
        <v>834</v>
      </c>
      <c r="W995" s="254" t="s">
        <v>861</v>
      </c>
      <c r="X995" s="254" t="s">
        <v>446</v>
      </c>
      <c r="Y995" s="254" t="s">
        <v>843</v>
      </c>
      <c r="Z995" s="254" t="s">
        <v>1129</v>
      </c>
      <c r="AA995" s="254" t="s">
        <v>838</v>
      </c>
    </row>
    <row r="996" spans="1:27" ht="14.4" x14ac:dyDescent="0.3">
      <c r="A996" s="253">
        <v>11</v>
      </c>
      <c r="B996" s="254" t="s">
        <v>851</v>
      </c>
      <c r="C996" s="254">
        <v>33</v>
      </c>
      <c r="D996" s="254" t="s">
        <v>885</v>
      </c>
      <c r="E996" s="254" t="str">
        <f>_xlfn.XLOOKUP(C996,Clientes!I:I,Clientes!F:F)</f>
        <v>GRUPO HERINGER</v>
      </c>
      <c r="F996" s="254">
        <v>7384</v>
      </c>
      <c r="G996" s="254" t="s">
        <v>862</v>
      </c>
      <c r="H996" s="254" t="s">
        <v>856</v>
      </c>
      <c r="I996" s="255">
        <v>15000</v>
      </c>
      <c r="J996" s="256">
        <v>15000</v>
      </c>
      <c r="K996" s="258">
        <v>49200</v>
      </c>
      <c r="L996" s="258">
        <v>-5904</v>
      </c>
      <c r="M996" s="258">
        <f t="shared" si="62"/>
        <v>43296</v>
      </c>
      <c r="N996" s="258">
        <v>-10316.017782426778</v>
      </c>
      <c r="O996" s="258">
        <v>-10935.990696618001</v>
      </c>
      <c r="P996" s="258">
        <v>-82.173622255174578</v>
      </c>
      <c r="Q996" s="258">
        <f t="shared" si="63"/>
        <v>21961.817898700054</v>
      </c>
      <c r="R996" s="259">
        <f t="shared" si="64"/>
        <v>0.50724819610818672</v>
      </c>
      <c r="S996" s="255">
        <f t="shared" si="61"/>
        <v>3.28</v>
      </c>
      <c r="T996" s="255">
        <f t="shared" si="61"/>
        <v>3.28</v>
      </c>
      <c r="U996" s="254">
        <v>100100</v>
      </c>
      <c r="V996" s="254" t="s">
        <v>834</v>
      </c>
      <c r="W996" s="254" t="s">
        <v>864</v>
      </c>
      <c r="X996" s="254" t="s">
        <v>446</v>
      </c>
      <c r="Y996" s="254" t="s">
        <v>843</v>
      </c>
      <c r="Z996" s="254" t="s">
        <v>1129</v>
      </c>
      <c r="AA996" s="254" t="s">
        <v>838</v>
      </c>
    </row>
    <row r="997" spans="1:27" ht="14.4" x14ac:dyDescent="0.3">
      <c r="A997" s="253">
        <v>11</v>
      </c>
      <c r="B997" s="254" t="s">
        <v>851</v>
      </c>
      <c r="C997" s="254">
        <v>6124</v>
      </c>
      <c r="D997" s="254" t="s">
        <v>891</v>
      </c>
      <c r="E997" s="254" t="str">
        <f>_xlfn.XLOOKUP(C997,Clientes!I:I,Clientes!F:F)</f>
        <v>GRUPO MOSAIC FERTILIZANTES DO BRASIL</v>
      </c>
      <c r="F997" s="254">
        <v>1043</v>
      </c>
      <c r="G997" s="254" t="s">
        <v>855</v>
      </c>
      <c r="H997" s="254" t="s">
        <v>860</v>
      </c>
      <c r="I997" s="255">
        <v>60000</v>
      </c>
      <c r="J997" s="256">
        <v>60000</v>
      </c>
      <c r="K997" s="258">
        <v>101400</v>
      </c>
      <c r="L997" s="258">
        <v>0</v>
      </c>
      <c r="M997" s="258">
        <f t="shared" si="62"/>
        <v>101400</v>
      </c>
      <c r="N997" s="258">
        <v>-23216.827055702917</v>
      </c>
      <c r="O997" s="258">
        <v>-4884.3209999999999</v>
      </c>
      <c r="P997" s="258">
        <v>-36.701050683148388</v>
      </c>
      <c r="Q997" s="258">
        <f t="shared" si="63"/>
        <v>73262.150893613943</v>
      </c>
      <c r="R997" s="259">
        <f t="shared" si="64"/>
        <v>0.72250641906917101</v>
      </c>
      <c r="S997" s="255">
        <f t="shared" si="61"/>
        <v>1.69</v>
      </c>
      <c r="T997" s="255">
        <f t="shared" si="61"/>
        <v>1.69</v>
      </c>
      <c r="U997" s="254">
        <v>100100</v>
      </c>
      <c r="V997" s="254" t="s">
        <v>834</v>
      </c>
      <c r="W997" s="254" t="s">
        <v>892</v>
      </c>
      <c r="X997" s="254" t="s">
        <v>446</v>
      </c>
      <c r="Y997" s="254" t="s">
        <v>843</v>
      </c>
      <c r="Z997" s="254" t="s">
        <v>1129</v>
      </c>
      <c r="AA997" s="254" t="s">
        <v>838</v>
      </c>
    </row>
    <row r="998" spans="1:27" ht="14.4" x14ac:dyDescent="0.3">
      <c r="A998" s="253">
        <v>11</v>
      </c>
      <c r="B998" s="254" t="s">
        <v>851</v>
      </c>
      <c r="C998" s="254">
        <v>14561</v>
      </c>
      <c r="D998" s="254" t="s">
        <v>293</v>
      </c>
      <c r="E998" s="254" t="str">
        <f>_xlfn.XLOOKUP(C998,Clientes!I:I,Clientes!F:F)</f>
        <v>EXTRA CARGO ARMAZENS GERAIS</v>
      </c>
      <c r="F998" s="254">
        <v>148</v>
      </c>
      <c r="G998" s="254" t="s">
        <v>893</v>
      </c>
      <c r="H998" s="254" t="s">
        <v>904</v>
      </c>
      <c r="I998" s="255">
        <v>15000</v>
      </c>
      <c r="J998" s="256">
        <v>15000</v>
      </c>
      <c r="K998" s="258">
        <v>52800</v>
      </c>
      <c r="L998" s="258">
        <v>-6336</v>
      </c>
      <c r="M998" s="258">
        <f t="shared" si="62"/>
        <v>46464</v>
      </c>
      <c r="N998" s="258">
        <v>-10197.819815668203</v>
      </c>
      <c r="O998" s="258">
        <v>-12045.7338550185</v>
      </c>
      <c r="P998" s="258">
        <v>-90.512292031737971</v>
      </c>
      <c r="Q998" s="258">
        <f t="shared" si="63"/>
        <v>24129.934037281557</v>
      </c>
      <c r="R998" s="259">
        <f t="shared" si="64"/>
        <v>0.51932537098143849</v>
      </c>
      <c r="S998" s="255">
        <f t="shared" si="61"/>
        <v>3.52</v>
      </c>
      <c r="T998" s="255">
        <f t="shared" si="61"/>
        <v>3.52</v>
      </c>
      <c r="U998" s="254">
        <v>100100</v>
      </c>
      <c r="V998" s="254" t="s">
        <v>834</v>
      </c>
      <c r="W998" s="254" t="s">
        <v>1080</v>
      </c>
      <c r="X998" s="254" t="s">
        <v>446</v>
      </c>
      <c r="Y998" s="254" t="s">
        <v>843</v>
      </c>
      <c r="Z998" s="254" t="s">
        <v>1129</v>
      </c>
      <c r="AA998" s="254" t="s">
        <v>838</v>
      </c>
    </row>
    <row r="999" spans="1:27" ht="14.4" x14ac:dyDescent="0.3">
      <c r="A999" s="253">
        <v>11</v>
      </c>
      <c r="B999" s="254" t="s">
        <v>851</v>
      </c>
      <c r="C999" s="254">
        <v>9295</v>
      </c>
      <c r="D999" s="254" t="s">
        <v>333</v>
      </c>
      <c r="E999" s="254" t="str">
        <f>_xlfn.XLOOKUP(C999,Clientes!I:I,Clientes!F:F)</f>
        <v>TECNOMYL S.A. - PARAGUAY</v>
      </c>
      <c r="F999" s="254">
        <v>14146</v>
      </c>
      <c r="G999" s="254" t="s">
        <v>832</v>
      </c>
      <c r="H999" s="254" t="s">
        <v>1011</v>
      </c>
      <c r="I999" s="255">
        <v>52800</v>
      </c>
      <c r="J999" s="256">
        <v>52800</v>
      </c>
      <c r="K999" s="258">
        <v>271444.8</v>
      </c>
      <c r="L999" s="258">
        <v>0</v>
      </c>
      <c r="M999" s="258">
        <f t="shared" si="62"/>
        <v>271444.8</v>
      </c>
      <c r="N999" s="258">
        <v>-105540.95</v>
      </c>
      <c r="O999" s="258">
        <v>-47610.112000000016</v>
      </c>
      <c r="P999" s="258">
        <v>-8573.5754322347038</v>
      </c>
      <c r="Q999" s="258">
        <f t="shared" si="63"/>
        <v>109720.16256776525</v>
      </c>
      <c r="R999" s="259">
        <f t="shared" si="64"/>
        <v>0.40420801049703386</v>
      </c>
      <c r="S999" s="255">
        <f t="shared" si="61"/>
        <v>5.141</v>
      </c>
      <c r="T999" s="255">
        <f t="shared" si="61"/>
        <v>5.141</v>
      </c>
      <c r="U999" s="254">
        <v>100100</v>
      </c>
      <c r="V999" s="254" t="s">
        <v>834</v>
      </c>
      <c r="W999" s="254" t="s">
        <v>1012</v>
      </c>
      <c r="X999" s="254" t="s">
        <v>446</v>
      </c>
      <c r="Y999" s="254" t="s">
        <v>836</v>
      </c>
      <c r="Z999" s="254" t="s">
        <v>1129</v>
      </c>
      <c r="AA999" s="254" t="s">
        <v>838</v>
      </c>
    </row>
    <row r="1000" spans="1:27" ht="14.4" x14ac:dyDescent="0.3">
      <c r="A1000" s="253">
        <v>11</v>
      </c>
      <c r="B1000" s="254" t="s">
        <v>851</v>
      </c>
      <c r="C1000" s="254">
        <v>16951</v>
      </c>
      <c r="D1000" s="254" t="s">
        <v>637</v>
      </c>
      <c r="E1000" s="254" t="str">
        <f>_xlfn.XLOOKUP(C1000,Clientes!I:I,Clientes!F:F)</f>
        <v>3 TENTOS - SANTA BARBARA DO SUL</v>
      </c>
      <c r="F1000" s="254">
        <v>1</v>
      </c>
      <c r="G1000" s="254" t="s">
        <v>877</v>
      </c>
      <c r="H1000" s="254" t="s">
        <v>873</v>
      </c>
      <c r="I1000" s="255">
        <v>30000</v>
      </c>
      <c r="J1000" s="256">
        <v>30000</v>
      </c>
      <c r="K1000" s="258">
        <v>90000</v>
      </c>
      <c r="L1000" s="258">
        <v>-10800</v>
      </c>
      <c r="M1000" s="258">
        <f t="shared" si="62"/>
        <v>79200</v>
      </c>
      <c r="N1000" s="258">
        <v>-20072.02166666666</v>
      </c>
      <c r="O1000" s="258">
        <v>0</v>
      </c>
      <c r="P1000" s="258">
        <v>0</v>
      </c>
      <c r="Q1000" s="258">
        <f t="shared" si="63"/>
        <v>59127.97833333334</v>
      </c>
      <c r="R1000" s="259">
        <f t="shared" si="64"/>
        <v>0.74656538299663311</v>
      </c>
      <c r="S1000" s="255">
        <f t="shared" si="61"/>
        <v>3</v>
      </c>
      <c r="T1000" s="255">
        <f t="shared" si="61"/>
        <v>3</v>
      </c>
      <c r="U1000" s="254">
        <v>100100</v>
      </c>
      <c r="V1000" s="254" t="s">
        <v>834</v>
      </c>
      <c r="W1000" s="254" t="s">
        <v>1117</v>
      </c>
      <c r="X1000" s="254" t="s">
        <v>446</v>
      </c>
      <c r="Y1000" s="254" t="s">
        <v>843</v>
      </c>
      <c r="Z1000" s="254" t="s">
        <v>1129</v>
      </c>
      <c r="AA1000" s="254" t="s">
        <v>838</v>
      </c>
    </row>
    <row r="1001" spans="1:27" ht="14.4" x14ac:dyDescent="0.3">
      <c r="A1001" s="253">
        <v>11</v>
      </c>
      <c r="B1001" s="254" t="s">
        <v>851</v>
      </c>
      <c r="C1001" s="254">
        <v>3297</v>
      </c>
      <c r="D1001" s="254" t="s">
        <v>550</v>
      </c>
      <c r="E1001" s="254" t="str">
        <f>_xlfn.XLOOKUP(C1001,Clientes!I:I,Clientes!F:F)</f>
        <v>MACROSOURCE PERU S.R.L.</v>
      </c>
      <c r="F1001" s="254">
        <v>14141</v>
      </c>
      <c r="G1001" s="254" t="s">
        <v>832</v>
      </c>
      <c r="H1001" s="254" t="s">
        <v>833</v>
      </c>
      <c r="I1001" s="255">
        <v>2400</v>
      </c>
      <c r="J1001" s="256">
        <v>2400</v>
      </c>
      <c r="K1001" s="258">
        <v>17044.8</v>
      </c>
      <c r="L1001" s="258">
        <v>0</v>
      </c>
      <c r="M1001" s="258">
        <f t="shared" si="62"/>
        <v>17044.8</v>
      </c>
      <c r="N1001" s="258">
        <v>-3444.4433333333327</v>
      </c>
      <c r="O1001" s="258">
        <v>-4340.362752</v>
      </c>
      <c r="P1001" s="258">
        <v>-406.06055961125872</v>
      </c>
      <c r="Q1001" s="258">
        <f t="shared" si="63"/>
        <v>8853.9333550554074</v>
      </c>
      <c r="R1001" s="259">
        <f t="shared" si="64"/>
        <v>0.5194507037369408</v>
      </c>
      <c r="S1001" s="255">
        <f t="shared" si="61"/>
        <v>7.1019999999999994</v>
      </c>
      <c r="T1001" s="255">
        <f t="shared" si="61"/>
        <v>7.1019999999999994</v>
      </c>
      <c r="U1001" s="254">
        <v>100100</v>
      </c>
      <c r="V1001" s="254" t="s">
        <v>834</v>
      </c>
      <c r="W1001" s="254" t="s">
        <v>872</v>
      </c>
      <c r="X1001" s="254" t="s">
        <v>446</v>
      </c>
      <c r="Y1001" s="254" t="s">
        <v>836</v>
      </c>
      <c r="Z1001" s="254" t="s">
        <v>1129</v>
      </c>
      <c r="AA1001" s="254" t="s">
        <v>838</v>
      </c>
    </row>
    <row r="1002" spans="1:27" ht="14.4" x14ac:dyDescent="0.3">
      <c r="A1002" s="253">
        <v>11</v>
      </c>
      <c r="B1002" s="254" t="s">
        <v>851</v>
      </c>
      <c r="C1002" s="254">
        <v>2655</v>
      </c>
      <c r="D1002" s="254" t="s">
        <v>318</v>
      </c>
      <c r="E1002" s="254" t="str">
        <f>_xlfn.XLOOKUP(C1002,Clientes!I:I,Clientes!F:F)</f>
        <v>EQUILIBRA PERU S.A</v>
      </c>
      <c r="F1002" s="254">
        <v>14141</v>
      </c>
      <c r="G1002" s="254" t="s">
        <v>832</v>
      </c>
      <c r="H1002" s="254" t="s">
        <v>833</v>
      </c>
      <c r="I1002" s="255">
        <v>12000</v>
      </c>
      <c r="J1002" s="256">
        <v>12000</v>
      </c>
      <c r="K1002" s="258">
        <v>72576</v>
      </c>
      <c r="L1002" s="258">
        <v>0</v>
      </c>
      <c r="M1002" s="258">
        <f t="shared" si="62"/>
        <v>72576</v>
      </c>
      <c r="N1002" s="258">
        <v>-17222.216666666664</v>
      </c>
      <c r="O1002" s="258">
        <v>-21701.813760000001</v>
      </c>
      <c r="P1002" s="258">
        <v>-2030.3027980562938</v>
      </c>
      <c r="Q1002" s="258">
        <f t="shared" si="63"/>
        <v>31621.666775277041</v>
      </c>
      <c r="R1002" s="259">
        <f t="shared" si="64"/>
        <v>0.43570418286040896</v>
      </c>
      <c r="S1002" s="255">
        <f t="shared" si="61"/>
        <v>6.048</v>
      </c>
      <c r="T1002" s="255">
        <f t="shared" si="61"/>
        <v>6.048</v>
      </c>
      <c r="U1002" s="254">
        <v>100100</v>
      </c>
      <c r="V1002" s="254" t="s">
        <v>834</v>
      </c>
      <c r="W1002" s="254" t="s">
        <v>872</v>
      </c>
      <c r="X1002" s="254" t="s">
        <v>446</v>
      </c>
      <c r="Y1002" s="254" t="s">
        <v>836</v>
      </c>
      <c r="Z1002" s="254" t="s">
        <v>1129</v>
      </c>
      <c r="AA1002" s="254" t="s">
        <v>838</v>
      </c>
    </row>
    <row r="1003" spans="1:27" ht="14.4" x14ac:dyDescent="0.3">
      <c r="A1003" s="253">
        <v>11</v>
      </c>
      <c r="B1003" s="254" t="s">
        <v>851</v>
      </c>
      <c r="C1003" s="254">
        <v>13861</v>
      </c>
      <c r="D1003" s="254" t="s">
        <v>1090</v>
      </c>
      <c r="E1003" s="254" t="str">
        <f>_xlfn.XLOOKUP(C1003,Clientes!I:I,Clientes!F:F)</f>
        <v>GRUPO ADUBOS ARAGUAIA</v>
      </c>
      <c r="F1003" s="254">
        <v>1</v>
      </c>
      <c r="G1003" s="254" t="s">
        <v>840</v>
      </c>
      <c r="H1003" s="254" t="s">
        <v>873</v>
      </c>
      <c r="I1003" s="255">
        <v>30000</v>
      </c>
      <c r="J1003" s="256">
        <v>30000</v>
      </c>
      <c r="K1003" s="258">
        <v>85200</v>
      </c>
      <c r="L1003" s="258">
        <v>-5964.0000000000009</v>
      </c>
      <c r="M1003" s="258">
        <f t="shared" si="62"/>
        <v>79236</v>
      </c>
      <c r="N1003" s="258">
        <v>-20072.02166666666</v>
      </c>
      <c r="O1003" s="258">
        <v>-22431.382390052997</v>
      </c>
      <c r="P1003" s="258">
        <v>-168.55061368620477</v>
      </c>
      <c r="Q1003" s="258">
        <f t="shared" si="63"/>
        <v>36564.045329594141</v>
      </c>
      <c r="R1003" s="259">
        <f t="shared" si="64"/>
        <v>0.46145748560747818</v>
      </c>
      <c r="S1003" s="255">
        <f t="shared" si="61"/>
        <v>2.84</v>
      </c>
      <c r="T1003" s="255">
        <f t="shared" si="61"/>
        <v>2.84</v>
      </c>
      <c r="U1003" s="254">
        <v>100100</v>
      </c>
      <c r="V1003" s="254" t="s">
        <v>834</v>
      </c>
      <c r="W1003" s="254" t="s">
        <v>1091</v>
      </c>
      <c r="X1003" s="254" t="s">
        <v>446</v>
      </c>
      <c r="Y1003" s="254" t="s">
        <v>843</v>
      </c>
      <c r="Z1003" s="254" t="s">
        <v>1129</v>
      </c>
      <c r="AA1003" s="254" t="s">
        <v>838</v>
      </c>
    </row>
    <row r="1004" spans="1:27" ht="14.4" x14ac:dyDescent="0.3">
      <c r="A1004" s="253">
        <v>11</v>
      </c>
      <c r="B1004" s="254" t="s">
        <v>851</v>
      </c>
      <c r="C1004" s="254">
        <v>11133</v>
      </c>
      <c r="D1004" s="254" t="s">
        <v>895</v>
      </c>
      <c r="E1004" s="254" t="str">
        <f>_xlfn.XLOOKUP(C1004,Clientes!I:I,Clientes!F:F)</f>
        <v>GRUPO ADUBOS ARAGUAIA</v>
      </c>
      <c r="F1004" s="254">
        <v>14133</v>
      </c>
      <c r="G1004" s="254" t="s">
        <v>862</v>
      </c>
      <c r="H1004" s="254" t="s">
        <v>841</v>
      </c>
      <c r="I1004" s="255">
        <v>13200</v>
      </c>
      <c r="J1004" s="256">
        <v>13200</v>
      </c>
      <c r="K1004" s="258">
        <v>38280</v>
      </c>
      <c r="L1004" s="258">
        <v>-4593.5999999999995</v>
      </c>
      <c r="M1004" s="258">
        <f t="shared" si="62"/>
        <v>33686.400000000001</v>
      </c>
      <c r="N1004" s="258">
        <v>-15621.721028571425</v>
      </c>
      <c r="O1004" s="258">
        <v>-9623.6718130238405</v>
      </c>
      <c r="P1004" s="258">
        <v>-72.312787584553618</v>
      </c>
      <c r="Q1004" s="258">
        <f t="shared" si="63"/>
        <v>8368.6943708201834</v>
      </c>
      <c r="R1004" s="259">
        <f t="shared" si="64"/>
        <v>0.24842946621841999</v>
      </c>
      <c r="S1004" s="255">
        <f t="shared" si="61"/>
        <v>2.9</v>
      </c>
      <c r="T1004" s="255">
        <f t="shared" si="61"/>
        <v>2.9</v>
      </c>
      <c r="U1004" s="254">
        <v>100100</v>
      </c>
      <c r="V1004" s="254" t="s">
        <v>834</v>
      </c>
      <c r="W1004" s="254" t="s">
        <v>864</v>
      </c>
      <c r="X1004" s="254" t="s">
        <v>446</v>
      </c>
      <c r="Y1004" s="254" t="s">
        <v>843</v>
      </c>
      <c r="Z1004" s="254" t="s">
        <v>1129</v>
      </c>
      <c r="AA1004" s="254" t="s">
        <v>838</v>
      </c>
    </row>
    <row r="1005" spans="1:27" ht="14.4" x14ac:dyDescent="0.3">
      <c r="A1005" s="253">
        <v>11</v>
      </c>
      <c r="B1005" s="254" t="s">
        <v>851</v>
      </c>
      <c r="C1005" s="254">
        <v>1292</v>
      </c>
      <c r="D1005" s="254" t="s">
        <v>1079</v>
      </c>
      <c r="E1005" s="254" t="str">
        <f>_xlfn.XLOOKUP(C1005,Clientes!I:I,Clientes!F:F)</f>
        <v>GRUPO AGRO INDUSTRIAL SAO LUIZ LTDA</v>
      </c>
      <c r="F1005" s="254">
        <v>148</v>
      </c>
      <c r="G1005" s="254" t="s">
        <v>893</v>
      </c>
      <c r="H1005" s="254" t="s">
        <v>904</v>
      </c>
      <c r="I1005" s="255">
        <v>20000</v>
      </c>
      <c r="J1005" s="256">
        <v>20000</v>
      </c>
      <c r="K1005" s="258">
        <v>47000</v>
      </c>
      <c r="L1005" s="258">
        <v>-5640</v>
      </c>
      <c r="M1005" s="258">
        <f t="shared" si="62"/>
        <v>41360</v>
      </c>
      <c r="N1005" s="258">
        <v>-13597.093087557603</v>
      </c>
      <c r="O1005" s="258">
        <v>-10207.092555894</v>
      </c>
      <c r="P1005" s="258">
        <v>-76.696642424085624</v>
      </c>
      <c r="Q1005" s="258">
        <f t="shared" si="63"/>
        <v>17479.117714124313</v>
      </c>
      <c r="R1005" s="259">
        <f t="shared" si="64"/>
        <v>0.42260922906490117</v>
      </c>
      <c r="S1005" s="255">
        <f t="shared" si="61"/>
        <v>2.35</v>
      </c>
      <c r="T1005" s="255">
        <f t="shared" si="61"/>
        <v>2.35</v>
      </c>
      <c r="U1005" s="254">
        <v>100100</v>
      </c>
      <c r="V1005" s="254" t="s">
        <v>834</v>
      </c>
      <c r="W1005" s="254" t="s">
        <v>1080</v>
      </c>
      <c r="X1005" s="254" t="s">
        <v>446</v>
      </c>
      <c r="Y1005" s="254" t="s">
        <v>843</v>
      </c>
      <c r="Z1005" s="254" t="s">
        <v>1129</v>
      </c>
      <c r="AA1005" s="254" t="s">
        <v>838</v>
      </c>
    </row>
    <row r="1006" spans="1:27" ht="14.4" x14ac:dyDescent="0.3">
      <c r="A1006" s="253">
        <v>11</v>
      </c>
      <c r="B1006" s="254" t="s">
        <v>851</v>
      </c>
      <c r="C1006" s="254">
        <v>3232</v>
      </c>
      <c r="D1006" s="254" t="s">
        <v>153</v>
      </c>
      <c r="E1006" s="254" t="str">
        <f>_xlfn.XLOOKUP(C1006,Clientes!I:I,Clientes!F:F)</f>
        <v>GRUPO FERTILIZ TOCANTINS</v>
      </c>
      <c r="F1006" s="254">
        <v>7384</v>
      </c>
      <c r="G1006" s="254" t="s">
        <v>855</v>
      </c>
      <c r="H1006" s="254" t="s">
        <v>856</v>
      </c>
      <c r="I1006" s="255">
        <v>180000</v>
      </c>
      <c r="J1006" s="256">
        <v>180000</v>
      </c>
      <c r="K1006" s="258">
        <v>336600</v>
      </c>
      <c r="L1006" s="258">
        <v>-60588</v>
      </c>
      <c r="M1006" s="258">
        <f t="shared" si="62"/>
        <v>276012</v>
      </c>
      <c r="N1006" s="258">
        <v>-123792.21338912133</v>
      </c>
      <c r="O1006" s="258">
        <v>-10343.268</v>
      </c>
      <c r="P1006" s="258">
        <v>-77.71987203490248</v>
      </c>
      <c r="Q1006" s="258">
        <f t="shared" si="63"/>
        <v>141798.79873884373</v>
      </c>
      <c r="R1006" s="259">
        <f t="shared" si="64"/>
        <v>0.51374142696275427</v>
      </c>
      <c r="S1006" s="255">
        <f t="shared" si="61"/>
        <v>1.87</v>
      </c>
      <c r="T1006" s="255">
        <f t="shared" si="61"/>
        <v>1.87</v>
      </c>
      <c r="U1006" s="254">
        <v>100100</v>
      </c>
      <c r="V1006" s="254" t="s">
        <v>834</v>
      </c>
      <c r="W1006" s="254" t="s">
        <v>857</v>
      </c>
      <c r="X1006" s="254" t="s">
        <v>446</v>
      </c>
      <c r="Y1006" s="254" t="s">
        <v>843</v>
      </c>
      <c r="Z1006" s="254" t="s">
        <v>1129</v>
      </c>
      <c r="AA1006" s="254" t="s">
        <v>838</v>
      </c>
    </row>
    <row r="1007" spans="1:27" ht="14.4" x14ac:dyDescent="0.3">
      <c r="A1007" s="253">
        <v>11</v>
      </c>
      <c r="B1007" s="254" t="s">
        <v>851</v>
      </c>
      <c r="C1007" s="254">
        <v>812</v>
      </c>
      <c r="D1007" s="254" t="s">
        <v>151</v>
      </c>
      <c r="E1007" s="254" t="str">
        <f>_xlfn.XLOOKUP(C1007,Clientes!I:I,Clientes!F:F)</f>
        <v>GRUPO FERTIPAR SUDESTE</v>
      </c>
      <c r="F1007" s="254">
        <v>1042</v>
      </c>
      <c r="G1007" s="254" t="s">
        <v>855</v>
      </c>
      <c r="H1007" s="254" t="s">
        <v>909</v>
      </c>
      <c r="I1007" s="255">
        <v>30000</v>
      </c>
      <c r="J1007" s="256">
        <v>30000</v>
      </c>
      <c r="K1007" s="258">
        <v>51000</v>
      </c>
      <c r="L1007" s="258">
        <v>-9180</v>
      </c>
      <c r="M1007" s="258">
        <f t="shared" si="62"/>
        <v>41820</v>
      </c>
      <c r="N1007" s="258">
        <v>-16069.461666666664</v>
      </c>
      <c r="O1007" s="258">
        <v>-6895.5119999999997</v>
      </c>
      <c r="P1007" s="258">
        <v>-51.813248023268315</v>
      </c>
      <c r="Q1007" s="258">
        <f t="shared" si="63"/>
        <v>18803.213085310072</v>
      </c>
      <c r="R1007" s="259">
        <f t="shared" si="64"/>
        <v>0.44962250323553493</v>
      </c>
      <c r="S1007" s="255">
        <f t="shared" si="61"/>
        <v>1.7</v>
      </c>
      <c r="T1007" s="255">
        <f t="shared" si="61"/>
        <v>1.7</v>
      </c>
      <c r="U1007" s="254">
        <v>100100</v>
      </c>
      <c r="V1007" s="254" t="s">
        <v>834</v>
      </c>
      <c r="W1007" s="254" t="s">
        <v>1054</v>
      </c>
      <c r="X1007" s="254" t="s">
        <v>446</v>
      </c>
      <c r="Y1007" s="254" t="s">
        <v>843</v>
      </c>
      <c r="Z1007" s="254" t="s">
        <v>1129</v>
      </c>
      <c r="AA1007" s="254" t="s">
        <v>838</v>
      </c>
    </row>
    <row r="1008" spans="1:27" ht="14.4" x14ac:dyDescent="0.3">
      <c r="A1008" s="253">
        <v>11</v>
      </c>
      <c r="B1008" s="254" t="s">
        <v>851</v>
      </c>
      <c r="C1008" s="254">
        <v>7648</v>
      </c>
      <c r="D1008" s="254" t="s">
        <v>958</v>
      </c>
      <c r="E1008" s="254" t="str">
        <f>_xlfn.XLOOKUP(C1008,Clientes!I:I,Clientes!F:F)</f>
        <v>GRUPO LOUIS DREYFUS</v>
      </c>
      <c r="F1008" s="254">
        <v>14133</v>
      </c>
      <c r="G1008" s="254" t="s">
        <v>862</v>
      </c>
      <c r="H1008" s="254" t="s">
        <v>841</v>
      </c>
      <c r="I1008" s="255">
        <v>26400</v>
      </c>
      <c r="J1008" s="256">
        <v>26400</v>
      </c>
      <c r="K1008" s="258">
        <v>74184</v>
      </c>
      <c r="L1008" s="258">
        <v>-8902.08</v>
      </c>
      <c r="M1008" s="258">
        <f t="shared" si="62"/>
        <v>65281.919999999998</v>
      </c>
      <c r="N1008" s="258">
        <v>-31243.442057142849</v>
      </c>
      <c r="O1008" s="258">
        <v>-12363.653015999998</v>
      </c>
      <c r="P1008" s="258">
        <v>-92.901153705720091</v>
      </c>
      <c r="Q1008" s="258">
        <f t="shared" si="63"/>
        <v>21581.923773151433</v>
      </c>
      <c r="R1008" s="259">
        <f t="shared" si="64"/>
        <v>0.33059572655264174</v>
      </c>
      <c r="S1008" s="255">
        <f t="shared" si="61"/>
        <v>2.81</v>
      </c>
      <c r="T1008" s="255">
        <f t="shared" si="61"/>
        <v>2.81</v>
      </c>
      <c r="U1008" s="254">
        <v>100100</v>
      </c>
      <c r="V1008" s="254" t="s">
        <v>834</v>
      </c>
      <c r="W1008" s="254" t="s">
        <v>864</v>
      </c>
      <c r="X1008" s="254" t="s">
        <v>446</v>
      </c>
      <c r="Y1008" s="254" t="s">
        <v>843</v>
      </c>
      <c r="Z1008" s="254" t="s">
        <v>1129</v>
      </c>
      <c r="AA1008" s="254" t="s">
        <v>838</v>
      </c>
    </row>
    <row r="1009" spans="1:27" ht="14.4" x14ac:dyDescent="0.3">
      <c r="A1009" s="253">
        <v>11</v>
      </c>
      <c r="B1009" s="254" t="s">
        <v>851</v>
      </c>
      <c r="C1009" s="254">
        <v>7103</v>
      </c>
      <c r="D1009" s="254" t="s">
        <v>482</v>
      </c>
      <c r="E1009" s="254" t="str">
        <f>_xlfn.XLOOKUP(C1009,Clientes!I:I,Clientes!F:F)</f>
        <v>GRUPO MOSAIC FERTILIZANTES DO BRASIL</v>
      </c>
      <c r="F1009" s="254">
        <v>1043</v>
      </c>
      <c r="G1009" s="254" t="s">
        <v>867</v>
      </c>
      <c r="H1009" s="254" t="s">
        <v>860</v>
      </c>
      <c r="I1009" s="255">
        <v>60000</v>
      </c>
      <c r="J1009" s="256">
        <v>60000</v>
      </c>
      <c r="K1009" s="258">
        <v>114000</v>
      </c>
      <c r="L1009" s="258">
        <v>-7980.0000000000009</v>
      </c>
      <c r="M1009" s="258">
        <f t="shared" si="62"/>
        <v>106020</v>
      </c>
      <c r="N1009" s="258">
        <v>-23216.827055702917</v>
      </c>
      <c r="O1009" s="258">
        <v>-11377.594799999999</v>
      </c>
      <c r="P1009" s="258">
        <v>-85.49185923839272</v>
      </c>
      <c r="Q1009" s="258">
        <f t="shared" si="63"/>
        <v>71340.0862850587</v>
      </c>
      <c r="R1009" s="259">
        <f t="shared" si="64"/>
        <v>0.67289272104375308</v>
      </c>
      <c r="S1009" s="255">
        <f t="shared" si="61"/>
        <v>1.9</v>
      </c>
      <c r="T1009" s="255">
        <f t="shared" si="61"/>
        <v>1.9</v>
      </c>
      <c r="U1009" s="254">
        <v>100100</v>
      </c>
      <c r="V1009" s="254" t="s">
        <v>834</v>
      </c>
      <c r="W1009" s="254" t="s">
        <v>890</v>
      </c>
      <c r="X1009" s="254" t="s">
        <v>446</v>
      </c>
      <c r="Y1009" s="254" t="s">
        <v>843</v>
      </c>
      <c r="Z1009" s="254" t="s">
        <v>1129</v>
      </c>
      <c r="AA1009" s="254" t="s">
        <v>838</v>
      </c>
    </row>
    <row r="1010" spans="1:27" ht="14.4" x14ac:dyDescent="0.3">
      <c r="A1010" s="253">
        <v>11</v>
      </c>
      <c r="B1010" s="254" t="s">
        <v>851</v>
      </c>
      <c r="C1010" s="254">
        <v>6315</v>
      </c>
      <c r="D1010" s="254" t="s">
        <v>86</v>
      </c>
      <c r="E1010" s="254" t="str">
        <f>_xlfn.XLOOKUP(C1010,Clientes!I:I,Clientes!F:F)</f>
        <v>ONNO LOGISTICA  LTDA</v>
      </c>
      <c r="F1010" s="254">
        <v>13954</v>
      </c>
      <c r="G1010" s="254" t="s">
        <v>840</v>
      </c>
      <c r="H1010" s="254" t="s">
        <v>1133</v>
      </c>
      <c r="I1010" s="255">
        <v>120000</v>
      </c>
      <c r="J1010" s="256">
        <v>120000</v>
      </c>
      <c r="K1010" s="258">
        <v>180000</v>
      </c>
      <c r="L1010" s="258">
        <v>0</v>
      </c>
      <c r="M1010" s="258">
        <f t="shared" si="62"/>
        <v>180000</v>
      </c>
      <c r="N1010" s="258">
        <v>-41905.780000000013</v>
      </c>
      <c r="O1010" s="258">
        <v>-47923.808400000002</v>
      </c>
      <c r="P1010" s="258">
        <v>-360.10207376171479</v>
      </c>
      <c r="Q1010" s="258">
        <f t="shared" si="63"/>
        <v>89810.309526238241</v>
      </c>
      <c r="R1010" s="259">
        <f t="shared" si="64"/>
        <v>0.49894616403465691</v>
      </c>
      <c r="S1010" s="255">
        <f t="shared" si="61"/>
        <v>1.5</v>
      </c>
      <c r="T1010" s="255">
        <f t="shared" si="61"/>
        <v>1.5</v>
      </c>
      <c r="U1010" s="254">
        <v>100100</v>
      </c>
      <c r="V1010" s="254" t="s">
        <v>834</v>
      </c>
      <c r="W1010" s="254" t="s">
        <v>861</v>
      </c>
      <c r="X1010" s="254" t="s">
        <v>446</v>
      </c>
      <c r="Y1010" s="254" t="s">
        <v>843</v>
      </c>
      <c r="Z1010" s="254" t="s">
        <v>1129</v>
      </c>
      <c r="AA1010" s="254" t="s">
        <v>838</v>
      </c>
    </row>
    <row r="1011" spans="1:27" ht="14.4" x14ac:dyDescent="0.3">
      <c r="A1011" s="253">
        <v>11</v>
      </c>
      <c r="B1011" s="254" t="s">
        <v>851</v>
      </c>
      <c r="C1011" s="254">
        <v>16453</v>
      </c>
      <c r="D1011" s="254" t="s">
        <v>1114</v>
      </c>
      <c r="E1011" s="254" t="str">
        <f>_xlfn.XLOOKUP(C1011,Clientes!I:I,Clientes!F:F)</f>
        <v>HIDROVIAS DO BRASIL ADMINISTRACAO PORTUA</v>
      </c>
      <c r="F1011" s="254">
        <v>1043</v>
      </c>
      <c r="G1011" s="254" t="s">
        <v>908</v>
      </c>
      <c r="H1011" s="254" t="s">
        <v>860</v>
      </c>
      <c r="I1011" s="255">
        <v>60000</v>
      </c>
      <c r="J1011" s="256">
        <v>60000</v>
      </c>
      <c r="K1011" s="258">
        <v>141600</v>
      </c>
      <c r="L1011" s="258">
        <v>-16992</v>
      </c>
      <c r="M1011" s="258">
        <f t="shared" si="62"/>
        <v>124608</v>
      </c>
      <c r="N1011" s="258">
        <v>-23216.827055702917</v>
      </c>
      <c r="O1011" s="258">
        <v>0</v>
      </c>
      <c r="P1011" s="258">
        <v>0</v>
      </c>
      <c r="Q1011" s="258">
        <f t="shared" si="63"/>
        <v>101391.17294429708</v>
      </c>
      <c r="R1011" s="259">
        <f t="shared" si="64"/>
        <v>0.81368108744460299</v>
      </c>
      <c r="S1011" s="255">
        <f t="shared" si="61"/>
        <v>2.36</v>
      </c>
      <c r="T1011" s="255">
        <f t="shared" si="61"/>
        <v>2.36</v>
      </c>
      <c r="U1011" s="254">
        <v>100100</v>
      </c>
      <c r="V1011" s="254" t="s">
        <v>834</v>
      </c>
      <c r="W1011" s="254" t="s">
        <v>1115</v>
      </c>
      <c r="X1011" s="254" t="s">
        <v>446</v>
      </c>
      <c r="Y1011" s="254" t="s">
        <v>843</v>
      </c>
      <c r="Z1011" s="254" t="s">
        <v>1129</v>
      </c>
      <c r="AA1011" s="254" t="s">
        <v>838</v>
      </c>
    </row>
    <row r="1012" spans="1:27" ht="14.4" x14ac:dyDescent="0.3">
      <c r="A1012" s="253">
        <v>11</v>
      </c>
      <c r="B1012" s="254" t="s">
        <v>851</v>
      </c>
      <c r="C1012" s="254">
        <v>12568</v>
      </c>
      <c r="D1012" s="254" t="s">
        <v>1116</v>
      </c>
      <c r="E1012" s="254" t="str">
        <f>_xlfn.XLOOKUP(C1012,Clientes!I:I,Clientes!F:F)</f>
        <v>FRIBON FERTILIZANTES - BARCARENA</v>
      </c>
      <c r="F1012" s="254">
        <v>1043</v>
      </c>
      <c r="G1012" s="254" t="s">
        <v>926</v>
      </c>
      <c r="H1012" s="254" t="s">
        <v>860</v>
      </c>
      <c r="I1012" s="255">
        <v>30000</v>
      </c>
      <c r="J1012" s="256">
        <v>30000</v>
      </c>
      <c r="K1012" s="258">
        <v>69000</v>
      </c>
      <c r="L1012" s="258">
        <v>-4830.0000000000009</v>
      </c>
      <c r="M1012" s="258">
        <f t="shared" si="62"/>
        <v>64170</v>
      </c>
      <c r="N1012" s="258">
        <v>-11608.413527851459</v>
      </c>
      <c r="O1012" s="258">
        <v>-26978.690699999999</v>
      </c>
      <c r="P1012" s="258">
        <v>-202.71933289103728</v>
      </c>
      <c r="Q1012" s="258">
        <f t="shared" si="63"/>
        <v>25380.176439257506</v>
      </c>
      <c r="R1012" s="259">
        <f t="shared" si="64"/>
        <v>0.39551467101850563</v>
      </c>
      <c r="S1012" s="255">
        <f t="shared" si="61"/>
        <v>2.2999999999999998</v>
      </c>
      <c r="T1012" s="255">
        <f t="shared" si="61"/>
        <v>2.2999999999999998</v>
      </c>
      <c r="U1012" s="254">
        <v>100100</v>
      </c>
      <c r="V1012" s="254" t="s">
        <v>834</v>
      </c>
      <c r="W1012" s="254" t="s">
        <v>928</v>
      </c>
      <c r="X1012" s="254" t="s">
        <v>446</v>
      </c>
      <c r="Y1012" s="254" t="s">
        <v>843</v>
      </c>
      <c r="Z1012" s="254" t="s">
        <v>1129</v>
      </c>
      <c r="AA1012" s="254" t="s">
        <v>838</v>
      </c>
    </row>
    <row r="1013" spans="1:27" ht="14.4" x14ac:dyDescent="0.3">
      <c r="A1013" s="253">
        <v>11</v>
      </c>
      <c r="B1013" s="254" t="s">
        <v>851</v>
      </c>
      <c r="C1013" s="254">
        <v>466</v>
      </c>
      <c r="D1013" s="254" t="s">
        <v>40</v>
      </c>
      <c r="E1013" s="254" t="str">
        <f>_xlfn.XLOOKUP(C1013,Clientes!I:I,Clientes!F:F)</f>
        <v>GRUPO ADUBOS ARAGUAIA</v>
      </c>
      <c r="F1013" s="254">
        <v>1</v>
      </c>
      <c r="G1013" s="254" t="s">
        <v>840</v>
      </c>
      <c r="H1013" s="254" t="s">
        <v>873</v>
      </c>
      <c r="I1013" s="255">
        <v>30000</v>
      </c>
      <c r="J1013" s="256">
        <v>30000</v>
      </c>
      <c r="K1013" s="258">
        <v>72900</v>
      </c>
      <c r="L1013" s="258">
        <v>-5103.0000000000009</v>
      </c>
      <c r="M1013" s="258">
        <f t="shared" si="62"/>
        <v>67797</v>
      </c>
      <c r="N1013" s="258">
        <v>-20072.02166666666</v>
      </c>
      <c r="O1013" s="258">
        <v>-21002.580299999998</v>
      </c>
      <c r="P1013" s="258">
        <v>-157.81451793753806</v>
      </c>
      <c r="Q1013" s="258">
        <f t="shared" si="63"/>
        <v>26564.583515395803</v>
      </c>
      <c r="R1013" s="259">
        <f t="shared" si="64"/>
        <v>0.3918253538563034</v>
      </c>
      <c r="S1013" s="255">
        <f t="shared" si="61"/>
        <v>2.4300000000000002</v>
      </c>
      <c r="T1013" s="255">
        <f t="shared" si="61"/>
        <v>2.4300000000000002</v>
      </c>
      <c r="U1013" s="254">
        <v>100100</v>
      </c>
      <c r="V1013" s="254" t="s">
        <v>834</v>
      </c>
      <c r="W1013" s="254" t="s">
        <v>874</v>
      </c>
      <c r="X1013" s="254" t="s">
        <v>446</v>
      </c>
      <c r="Y1013" s="254" t="s">
        <v>843</v>
      </c>
      <c r="Z1013" s="254" t="s">
        <v>1129</v>
      </c>
      <c r="AA1013" s="254" t="s">
        <v>838</v>
      </c>
    </row>
    <row r="1014" spans="1:27" ht="14.4" x14ac:dyDescent="0.3">
      <c r="A1014" s="253">
        <v>11</v>
      </c>
      <c r="B1014" s="254" t="s">
        <v>851</v>
      </c>
      <c r="C1014" s="254">
        <v>729</v>
      </c>
      <c r="D1014" s="254" t="s">
        <v>937</v>
      </c>
      <c r="E1014" s="254" t="str">
        <f>_xlfn.XLOOKUP(C1014,Clientes!I:I,Clientes!F:F)</f>
        <v>GRUPO FERTILIZ TOCANTINS</v>
      </c>
      <c r="F1014" s="254">
        <v>8061</v>
      </c>
      <c r="G1014" s="254" t="s">
        <v>897</v>
      </c>
      <c r="H1014" s="254" t="s">
        <v>1089</v>
      </c>
      <c r="I1014" s="255">
        <v>30000</v>
      </c>
      <c r="J1014" s="256">
        <v>30000</v>
      </c>
      <c r="K1014" s="258">
        <v>85500</v>
      </c>
      <c r="L1014" s="258">
        <v>-5985.0000000000009</v>
      </c>
      <c r="M1014" s="258">
        <f t="shared" si="62"/>
        <v>79515</v>
      </c>
      <c r="N1014" s="258">
        <v>-16765.39</v>
      </c>
      <c r="O1014" s="258">
        <v>-26461.527299999998</v>
      </c>
      <c r="P1014" s="258">
        <v>-198.83333928929216</v>
      </c>
      <c r="Q1014" s="258">
        <f t="shared" si="63"/>
        <v>36089.24936071071</v>
      </c>
      <c r="R1014" s="259">
        <f t="shared" si="64"/>
        <v>0.45386718682903487</v>
      </c>
      <c r="S1014" s="255">
        <f t="shared" si="61"/>
        <v>2.85</v>
      </c>
      <c r="T1014" s="255">
        <f t="shared" si="61"/>
        <v>2.85</v>
      </c>
      <c r="U1014" s="254">
        <v>100100</v>
      </c>
      <c r="V1014" s="254" t="s">
        <v>834</v>
      </c>
      <c r="W1014" s="254" t="s">
        <v>899</v>
      </c>
      <c r="X1014" s="254" t="s">
        <v>446</v>
      </c>
      <c r="Y1014" s="254" t="s">
        <v>843</v>
      </c>
      <c r="Z1014" s="254" t="s">
        <v>1129</v>
      </c>
      <c r="AA1014" s="254" t="s">
        <v>838</v>
      </c>
    </row>
    <row r="1015" spans="1:27" ht="14.4" x14ac:dyDescent="0.3">
      <c r="A1015" s="253">
        <v>11</v>
      </c>
      <c r="B1015" s="254" t="s">
        <v>851</v>
      </c>
      <c r="C1015" s="254">
        <v>452</v>
      </c>
      <c r="D1015" s="254" t="s">
        <v>900</v>
      </c>
      <c r="E1015" s="254" t="str">
        <f>_xlfn.XLOOKUP(C1015,Clientes!I:I,Clientes!F:F)</f>
        <v>GRUPO FERTIPAR FERTILIZANTES MARANHAO</v>
      </c>
      <c r="F1015" s="254">
        <v>2</v>
      </c>
      <c r="G1015" s="254" t="s">
        <v>897</v>
      </c>
      <c r="H1015" s="254" t="s">
        <v>883</v>
      </c>
      <c r="I1015" s="255">
        <v>30000</v>
      </c>
      <c r="J1015" s="256">
        <v>30000</v>
      </c>
      <c r="K1015" s="258">
        <v>71100</v>
      </c>
      <c r="L1015" s="258">
        <v>-4977.0000000000009</v>
      </c>
      <c r="M1015" s="258">
        <f t="shared" si="62"/>
        <v>66123</v>
      </c>
      <c r="N1015" s="258">
        <v>-17018.045000000002</v>
      </c>
      <c r="O1015" s="258">
        <v>-26461.527299999998</v>
      </c>
      <c r="P1015" s="258">
        <v>-198.83333928929216</v>
      </c>
      <c r="Q1015" s="258">
        <f t="shared" si="63"/>
        <v>22444.594360710711</v>
      </c>
      <c r="R1015" s="259">
        <f t="shared" si="64"/>
        <v>0.33943702434418749</v>
      </c>
      <c r="S1015" s="255">
        <f t="shared" si="61"/>
        <v>2.37</v>
      </c>
      <c r="T1015" s="255">
        <f t="shared" si="61"/>
        <v>2.37</v>
      </c>
      <c r="U1015" s="254">
        <v>100100</v>
      </c>
      <c r="V1015" s="254" t="s">
        <v>834</v>
      </c>
      <c r="W1015" s="254" t="s">
        <v>899</v>
      </c>
      <c r="X1015" s="254" t="s">
        <v>446</v>
      </c>
      <c r="Y1015" s="254" t="s">
        <v>843</v>
      </c>
      <c r="Z1015" s="254" t="s">
        <v>1129</v>
      </c>
      <c r="AA1015" s="254" t="s">
        <v>838</v>
      </c>
    </row>
    <row r="1016" spans="1:27" ht="14.4" x14ac:dyDescent="0.3">
      <c r="A1016" s="253">
        <v>11</v>
      </c>
      <c r="B1016" s="254" t="s">
        <v>851</v>
      </c>
      <c r="C1016" s="254">
        <v>10598</v>
      </c>
      <c r="D1016" s="254" t="s">
        <v>292</v>
      </c>
      <c r="E1016" s="254" t="str">
        <f>_xlfn.XLOOKUP(C1016,Clientes!I:I,Clientes!F:F)</f>
        <v>GRUPO GEN FERTILIZANTES</v>
      </c>
      <c r="F1016" s="254">
        <v>1043</v>
      </c>
      <c r="G1016" s="254" t="s">
        <v>867</v>
      </c>
      <c r="H1016" s="254" t="s">
        <v>860</v>
      </c>
      <c r="I1016" s="255">
        <v>15000</v>
      </c>
      <c r="J1016" s="256">
        <v>15000</v>
      </c>
      <c r="K1016" s="258">
        <v>22500</v>
      </c>
      <c r="L1016" s="258">
        <v>-1575.0000000000002</v>
      </c>
      <c r="M1016" s="258">
        <f t="shared" si="62"/>
        <v>20925</v>
      </c>
      <c r="N1016" s="258">
        <v>-5804.2067639257293</v>
      </c>
      <c r="O1016" s="258">
        <v>-3845.8221984000002</v>
      </c>
      <c r="P1016" s="258">
        <v>-28.897714835256647</v>
      </c>
      <c r="Q1016" s="258">
        <f t="shared" si="63"/>
        <v>11246.073322839013</v>
      </c>
      <c r="R1016" s="259">
        <f t="shared" si="64"/>
        <v>0.53744675377964224</v>
      </c>
      <c r="S1016" s="255">
        <f t="shared" si="61"/>
        <v>1.5</v>
      </c>
      <c r="T1016" s="255">
        <f t="shared" si="61"/>
        <v>1.5</v>
      </c>
      <c r="U1016" s="254">
        <v>100100</v>
      </c>
      <c r="V1016" s="254" t="s">
        <v>834</v>
      </c>
      <c r="W1016" s="254" t="s">
        <v>1034</v>
      </c>
      <c r="X1016" s="254" t="s">
        <v>446</v>
      </c>
      <c r="Y1016" s="254" t="s">
        <v>843</v>
      </c>
      <c r="Z1016" s="254" t="s">
        <v>1129</v>
      </c>
      <c r="AA1016" s="254" t="s">
        <v>838</v>
      </c>
    </row>
    <row r="1017" spans="1:27" ht="14.4" x14ac:dyDescent="0.3">
      <c r="A1017" s="253">
        <v>11</v>
      </c>
      <c r="B1017" s="254" t="s">
        <v>851</v>
      </c>
      <c r="C1017" s="254">
        <v>10492</v>
      </c>
      <c r="D1017" s="254" t="s">
        <v>101</v>
      </c>
      <c r="E1017" s="254" t="str">
        <f>_xlfn.XLOOKUP(C1017,Clientes!I:I,Clientes!F:F)</f>
        <v>GRUPO UNIFERTIL</v>
      </c>
      <c r="F1017" s="254">
        <v>3</v>
      </c>
      <c r="G1017" s="254" t="s">
        <v>877</v>
      </c>
      <c r="H1017" s="254" t="s">
        <v>879</v>
      </c>
      <c r="I1017" s="255">
        <v>32000</v>
      </c>
      <c r="J1017" s="256">
        <v>32000</v>
      </c>
      <c r="K1017" s="258">
        <v>82880</v>
      </c>
      <c r="L1017" s="258">
        <v>-9945.6</v>
      </c>
      <c r="M1017" s="258">
        <f t="shared" si="62"/>
        <v>72934.399999999994</v>
      </c>
      <c r="N1017" s="258">
        <v>-24951.14</v>
      </c>
      <c r="O1017" s="258">
        <v>-26049.712</v>
      </c>
      <c r="P1017" s="258">
        <v>-195.73893697679142</v>
      </c>
      <c r="Q1017" s="258">
        <f t="shared" si="63"/>
        <v>21737.809063023204</v>
      </c>
      <c r="R1017" s="259">
        <f t="shared" si="64"/>
        <v>0.29804603949608421</v>
      </c>
      <c r="S1017" s="255">
        <f t="shared" si="61"/>
        <v>2.59</v>
      </c>
      <c r="T1017" s="255">
        <f t="shared" si="61"/>
        <v>2.59</v>
      </c>
      <c r="U1017" s="254">
        <v>100100</v>
      </c>
      <c r="V1017" s="254" t="s">
        <v>834</v>
      </c>
      <c r="W1017" s="254" t="s">
        <v>878</v>
      </c>
      <c r="X1017" s="254" t="s">
        <v>446</v>
      </c>
      <c r="Y1017" s="254" t="s">
        <v>843</v>
      </c>
      <c r="Z1017" s="254" t="s">
        <v>1129</v>
      </c>
      <c r="AA1017" s="254" t="s">
        <v>838</v>
      </c>
    </row>
    <row r="1018" spans="1:27" ht="14.4" x14ac:dyDescent="0.3">
      <c r="A1018" s="253">
        <v>11</v>
      </c>
      <c r="B1018" s="254" t="s">
        <v>851</v>
      </c>
      <c r="C1018" s="254">
        <v>1953</v>
      </c>
      <c r="D1018" s="254" t="s">
        <v>66</v>
      </c>
      <c r="E1018" s="254" t="str">
        <f>_xlfn.XLOOKUP(C1018,Clientes!I:I,Clientes!F:F)</f>
        <v>GRUPO AMAGGI</v>
      </c>
      <c r="F1018" s="254">
        <v>113</v>
      </c>
      <c r="G1018" s="254" t="s">
        <v>840</v>
      </c>
      <c r="H1018" s="254" t="s">
        <v>913</v>
      </c>
      <c r="I1018" s="255">
        <v>60000</v>
      </c>
      <c r="J1018" s="256">
        <v>60000</v>
      </c>
      <c r="K1018" s="258">
        <v>174000</v>
      </c>
      <c r="L1018" s="258">
        <v>-12180.000000000002</v>
      </c>
      <c r="M1018" s="258">
        <f t="shared" si="62"/>
        <v>161820</v>
      </c>
      <c r="N1018" s="258">
        <v>-54323.613397129178</v>
      </c>
      <c r="O1018" s="258">
        <v>-41876.730604799995</v>
      </c>
      <c r="P1018" s="258">
        <v>-314.66400598390567</v>
      </c>
      <c r="Q1018" s="258">
        <f t="shared" si="63"/>
        <v>65304.991992086936</v>
      </c>
      <c r="R1018" s="259">
        <f t="shared" si="64"/>
        <v>0.40356564078659585</v>
      </c>
      <c r="S1018" s="255">
        <f t="shared" si="61"/>
        <v>2.9</v>
      </c>
      <c r="T1018" s="255">
        <f t="shared" si="61"/>
        <v>2.9</v>
      </c>
      <c r="U1018" s="254">
        <v>100200</v>
      </c>
      <c r="V1018" s="254" t="s">
        <v>912</v>
      </c>
      <c r="W1018" s="254" t="s">
        <v>1008</v>
      </c>
      <c r="X1018" s="254" t="s">
        <v>446</v>
      </c>
      <c r="Y1018" s="254" t="s">
        <v>843</v>
      </c>
      <c r="Z1018" s="254" t="s">
        <v>1129</v>
      </c>
      <c r="AA1018" s="254" t="s">
        <v>838</v>
      </c>
    </row>
    <row r="1019" spans="1:27" ht="14.4" x14ac:dyDescent="0.3">
      <c r="A1019" s="253">
        <v>11</v>
      </c>
      <c r="B1019" s="254" t="s">
        <v>851</v>
      </c>
      <c r="C1019" s="254">
        <v>8414</v>
      </c>
      <c r="D1019" s="254" t="s">
        <v>98</v>
      </c>
      <c r="E1019" s="254" t="str">
        <f>_xlfn.XLOOKUP(C1019,Clientes!I:I,Clientes!F:F)</f>
        <v>GRUPO AMAGGI</v>
      </c>
      <c r="F1019" s="254">
        <v>113</v>
      </c>
      <c r="G1019" s="254" t="s">
        <v>1061</v>
      </c>
      <c r="H1019" s="254" t="s">
        <v>913</v>
      </c>
      <c r="I1019" s="255">
        <v>30000</v>
      </c>
      <c r="J1019" s="256">
        <v>30000</v>
      </c>
      <c r="K1019" s="258">
        <v>94500</v>
      </c>
      <c r="L1019" s="258">
        <v>-6615.0000000000009</v>
      </c>
      <c r="M1019" s="258">
        <f t="shared" si="62"/>
        <v>87885</v>
      </c>
      <c r="N1019" s="258">
        <v>-27161.806698564589</v>
      </c>
      <c r="O1019" s="258">
        <v>-24507.690479999997</v>
      </c>
      <c r="P1019" s="258">
        <v>-184.15210434232173</v>
      </c>
      <c r="Q1019" s="258">
        <f t="shared" si="63"/>
        <v>36031.350717093097</v>
      </c>
      <c r="R1019" s="259">
        <f t="shared" si="64"/>
        <v>0.40998294040044486</v>
      </c>
      <c r="S1019" s="255">
        <f t="shared" si="61"/>
        <v>3.15</v>
      </c>
      <c r="T1019" s="255">
        <f t="shared" si="61"/>
        <v>3.15</v>
      </c>
      <c r="U1019" s="254">
        <v>100200</v>
      </c>
      <c r="V1019" s="254" t="s">
        <v>912</v>
      </c>
      <c r="W1019" s="254" t="s">
        <v>1062</v>
      </c>
      <c r="X1019" s="254" t="s">
        <v>446</v>
      </c>
      <c r="Y1019" s="254" t="s">
        <v>843</v>
      </c>
      <c r="Z1019" s="254" t="s">
        <v>1129</v>
      </c>
      <c r="AA1019" s="254" t="s">
        <v>838</v>
      </c>
    </row>
    <row r="1020" spans="1:27" ht="14.4" x14ac:dyDescent="0.3">
      <c r="A1020" s="253">
        <v>11</v>
      </c>
      <c r="B1020" s="254" t="s">
        <v>851</v>
      </c>
      <c r="C1020" s="254">
        <v>8413</v>
      </c>
      <c r="D1020" s="254" t="s">
        <v>97</v>
      </c>
      <c r="E1020" s="254" t="str">
        <f>_xlfn.XLOOKUP(C1020,Clientes!I:I,Clientes!F:F)</f>
        <v>GRUPO AMAGGI</v>
      </c>
      <c r="F1020" s="254">
        <v>113</v>
      </c>
      <c r="G1020" s="254" t="s">
        <v>840</v>
      </c>
      <c r="H1020" s="254" t="s">
        <v>913</v>
      </c>
      <c r="I1020" s="255">
        <v>96000</v>
      </c>
      <c r="J1020" s="256">
        <v>96000</v>
      </c>
      <c r="K1020" s="258">
        <v>278400</v>
      </c>
      <c r="L1020" s="258">
        <v>-19488.000000000004</v>
      </c>
      <c r="M1020" s="258">
        <f t="shared" si="62"/>
        <v>258912</v>
      </c>
      <c r="N1020" s="258">
        <v>-86917.78143540668</v>
      </c>
      <c r="O1020" s="258">
        <v>-70058.401919999989</v>
      </c>
      <c r="P1020" s="258">
        <v>-526.42259991640606</v>
      </c>
      <c r="Q1020" s="258">
        <f t="shared" si="63"/>
        <v>101409.39404467693</v>
      </c>
      <c r="R1020" s="259">
        <f t="shared" si="64"/>
        <v>0.3916751407608644</v>
      </c>
      <c r="S1020" s="255">
        <f t="shared" si="61"/>
        <v>2.9</v>
      </c>
      <c r="T1020" s="255">
        <f t="shared" si="61"/>
        <v>2.9</v>
      </c>
      <c r="U1020" s="254">
        <v>100200</v>
      </c>
      <c r="V1020" s="254" t="s">
        <v>912</v>
      </c>
      <c r="W1020" s="254" t="s">
        <v>915</v>
      </c>
      <c r="X1020" s="254" t="s">
        <v>446</v>
      </c>
      <c r="Y1020" s="254" t="s">
        <v>843</v>
      </c>
      <c r="Z1020" s="254" t="s">
        <v>1129</v>
      </c>
      <c r="AA1020" s="254" t="s">
        <v>838</v>
      </c>
    </row>
    <row r="1021" spans="1:27" ht="14.4" x14ac:dyDescent="0.3">
      <c r="A1021" s="253">
        <v>11</v>
      </c>
      <c r="B1021" s="254" t="s">
        <v>851</v>
      </c>
      <c r="C1021" s="254">
        <v>452</v>
      </c>
      <c r="D1021" s="254" t="s">
        <v>900</v>
      </c>
      <c r="E1021" s="254" t="str">
        <f>_xlfn.XLOOKUP(C1021,Clientes!I:I,Clientes!F:F)</f>
        <v>GRUPO FERTIPAR FERTILIZANTES MARANHAO</v>
      </c>
      <c r="F1021" s="254">
        <v>113</v>
      </c>
      <c r="G1021" s="254" t="s">
        <v>897</v>
      </c>
      <c r="H1021" s="254" t="s">
        <v>913</v>
      </c>
      <c r="I1021" s="255">
        <v>60000</v>
      </c>
      <c r="J1021" s="256">
        <v>60000</v>
      </c>
      <c r="K1021" s="258">
        <v>211200</v>
      </c>
      <c r="L1021" s="258">
        <v>-14784.000000000002</v>
      </c>
      <c r="M1021" s="258">
        <f t="shared" si="62"/>
        <v>196416</v>
      </c>
      <c r="N1021" s="258">
        <v>-54323.613397129178</v>
      </c>
      <c r="O1021" s="258">
        <v>-52923.054599999996</v>
      </c>
      <c r="P1021" s="258">
        <v>-397.66667857858431</v>
      </c>
      <c r="Q1021" s="258">
        <f t="shared" si="63"/>
        <v>88771.665324292248</v>
      </c>
      <c r="R1021" s="259">
        <f t="shared" si="64"/>
        <v>0.45195740328838918</v>
      </c>
      <c r="S1021" s="255">
        <f t="shared" si="61"/>
        <v>3.52</v>
      </c>
      <c r="T1021" s="255">
        <f t="shared" si="61"/>
        <v>3.52</v>
      </c>
      <c r="U1021" s="254">
        <v>100200</v>
      </c>
      <c r="V1021" s="254" t="s">
        <v>912</v>
      </c>
      <c r="W1021" s="254" t="s">
        <v>899</v>
      </c>
      <c r="X1021" s="254" t="s">
        <v>446</v>
      </c>
      <c r="Y1021" s="254" t="s">
        <v>843</v>
      </c>
      <c r="Z1021" s="254" t="s">
        <v>1129</v>
      </c>
      <c r="AA1021" s="254" t="s">
        <v>838</v>
      </c>
    </row>
    <row r="1022" spans="1:27" ht="14.4" x14ac:dyDescent="0.3">
      <c r="A1022" s="253">
        <v>11</v>
      </c>
      <c r="B1022" s="254" t="s">
        <v>851</v>
      </c>
      <c r="C1022" s="254">
        <v>252</v>
      </c>
      <c r="D1022" s="254" t="s">
        <v>37</v>
      </c>
      <c r="E1022" s="254" t="str">
        <f>_xlfn.XLOOKUP(C1022,Clientes!I:I,Clientes!F:F)</f>
        <v>GRUPO FERTIPAR FERTILIZANTES PARANA</v>
      </c>
      <c r="F1022" s="254">
        <v>10343</v>
      </c>
      <c r="G1022" s="254" t="s">
        <v>862</v>
      </c>
      <c r="H1022" s="254" t="s">
        <v>911</v>
      </c>
      <c r="I1022" s="255">
        <v>30000</v>
      </c>
      <c r="J1022" s="256">
        <v>30000</v>
      </c>
      <c r="K1022" s="258">
        <v>112800</v>
      </c>
      <c r="L1022" s="258">
        <v>-13536</v>
      </c>
      <c r="M1022" s="258">
        <f t="shared" si="62"/>
        <v>99264</v>
      </c>
      <c r="N1022" s="258">
        <v>-51181.349999999991</v>
      </c>
      <c r="O1022" s="258">
        <v>-14049.6057</v>
      </c>
      <c r="P1022" s="258">
        <v>-105.56949284740919</v>
      </c>
      <c r="Q1022" s="258">
        <f t="shared" si="63"/>
        <v>33927.474807152597</v>
      </c>
      <c r="R1022" s="259">
        <f t="shared" si="64"/>
        <v>0.34179032486251409</v>
      </c>
      <c r="S1022" s="255">
        <f t="shared" si="61"/>
        <v>3.76</v>
      </c>
      <c r="T1022" s="255">
        <f t="shared" si="61"/>
        <v>3.76</v>
      </c>
      <c r="U1022" s="254">
        <v>100200</v>
      </c>
      <c r="V1022" s="254" t="s">
        <v>912</v>
      </c>
      <c r="W1022" s="254" t="s">
        <v>864</v>
      </c>
      <c r="X1022" s="254" t="s">
        <v>446</v>
      </c>
      <c r="Y1022" s="254" t="s">
        <v>843</v>
      </c>
      <c r="Z1022" s="254" t="s">
        <v>1129</v>
      </c>
      <c r="AA1022" s="254" t="s">
        <v>838</v>
      </c>
    </row>
    <row r="1023" spans="1:27" ht="14.4" x14ac:dyDescent="0.3">
      <c r="A1023" s="253">
        <v>11</v>
      </c>
      <c r="B1023" s="254" t="s">
        <v>851</v>
      </c>
      <c r="C1023" s="254">
        <v>214</v>
      </c>
      <c r="D1023" s="254" t="s">
        <v>149</v>
      </c>
      <c r="E1023" s="254" t="str">
        <f>_xlfn.XLOOKUP(C1023,Clientes!I:I,Clientes!F:F)</f>
        <v>GRUPO UNIFERTIL</v>
      </c>
      <c r="F1023" s="254">
        <v>113</v>
      </c>
      <c r="G1023" s="254" t="s">
        <v>877</v>
      </c>
      <c r="H1023" s="254" t="s">
        <v>913</v>
      </c>
      <c r="I1023" s="255">
        <v>120000</v>
      </c>
      <c r="J1023" s="256">
        <v>120000</v>
      </c>
      <c r="K1023" s="258">
        <v>370800</v>
      </c>
      <c r="L1023" s="258">
        <v>-44496</v>
      </c>
      <c r="M1023" s="258">
        <f t="shared" si="62"/>
        <v>326304</v>
      </c>
      <c r="N1023" s="258">
        <v>-108647.22679425836</v>
      </c>
      <c r="O1023" s="258">
        <v>-96767.018399999986</v>
      </c>
      <c r="P1023" s="258">
        <v>-727.11258059319857</v>
      </c>
      <c r="Q1023" s="258">
        <f t="shared" si="63"/>
        <v>120162.64222514848</v>
      </c>
      <c r="R1023" s="259">
        <f t="shared" si="64"/>
        <v>0.36825365985445618</v>
      </c>
      <c r="S1023" s="255">
        <f t="shared" si="61"/>
        <v>3.09</v>
      </c>
      <c r="T1023" s="255">
        <f t="shared" si="61"/>
        <v>3.09</v>
      </c>
      <c r="U1023" s="254">
        <v>100200</v>
      </c>
      <c r="V1023" s="254" t="s">
        <v>912</v>
      </c>
      <c r="W1023" s="254" t="s">
        <v>880</v>
      </c>
      <c r="X1023" s="254" t="s">
        <v>446</v>
      </c>
      <c r="Y1023" s="254" t="s">
        <v>843</v>
      </c>
      <c r="Z1023" s="254" t="s">
        <v>1129</v>
      </c>
      <c r="AA1023" s="254" t="s">
        <v>838</v>
      </c>
    </row>
    <row r="1024" spans="1:27" ht="14.4" x14ac:dyDescent="0.3">
      <c r="A1024" s="253">
        <v>11</v>
      </c>
      <c r="B1024" s="254" t="s">
        <v>851</v>
      </c>
      <c r="C1024" s="254">
        <v>14632</v>
      </c>
      <c r="D1024" s="254" t="s">
        <v>399</v>
      </c>
      <c r="E1024" s="254" t="str">
        <f>_xlfn.XLOOKUP(C1024,Clientes!I:I,Clientes!F:F)</f>
        <v>BIGFERTIL - CANDEIAS</v>
      </c>
      <c r="F1024" s="254">
        <v>113</v>
      </c>
      <c r="G1024" s="254" t="s">
        <v>875</v>
      </c>
      <c r="H1024" s="254" t="s">
        <v>913</v>
      </c>
      <c r="I1024" s="255">
        <v>30000</v>
      </c>
      <c r="J1024" s="256">
        <v>30000</v>
      </c>
      <c r="K1024" s="258">
        <v>109500</v>
      </c>
      <c r="L1024" s="258">
        <v>-7665.0000000000009</v>
      </c>
      <c r="M1024" s="258">
        <f t="shared" si="62"/>
        <v>101835</v>
      </c>
      <c r="N1024" s="258">
        <v>-27161.806698564589</v>
      </c>
      <c r="O1024" s="258">
        <v>-21548.474999999999</v>
      </c>
      <c r="P1024" s="258">
        <v>-161.91640007271349</v>
      </c>
      <c r="Q1024" s="258">
        <f t="shared" si="63"/>
        <v>52962.801901362705</v>
      </c>
      <c r="R1024" s="259">
        <f t="shared" si="64"/>
        <v>0.52008446900734229</v>
      </c>
      <c r="S1024" s="255">
        <f t="shared" si="61"/>
        <v>3.65</v>
      </c>
      <c r="T1024" s="255">
        <f t="shared" si="61"/>
        <v>3.65</v>
      </c>
      <c r="U1024" s="254">
        <v>100200</v>
      </c>
      <c r="V1024" s="254" t="s">
        <v>912</v>
      </c>
      <c r="W1024" s="254" t="s">
        <v>876</v>
      </c>
      <c r="X1024" s="254" t="s">
        <v>446</v>
      </c>
      <c r="Y1024" s="254" t="s">
        <v>843</v>
      </c>
      <c r="Z1024" s="254" t="s">
        <v>1129</v>
      </c>
      <c r="AA1024" s="254" t="s">
        <v>838</v>
      </c>
    </row>
    <row r="1025" spans="1:27" ht="14.4" x14ac:dyDescent="0.3">
      <c r="A1025" s="253">
        <v>11</v>
      </c>
      <c r="B1025" s="254" t="s">
        <v>851</v>
      </c>
      <c r="C1025" s="254">
        <v>12073</v>
      </c>
      <c r="D1025" s="254" t="s">
        <v>1037</v>
      </c>
      <c r="E1025" s="254" t="str">
        <f>_xlfn.XLOOKUP(C1025,Clientes!I:I,Clientes!F:F)</f>
        <v>GRUPO FERTILIZE</v>
      </c>
      <c r="F1025" s="254">
        <v>113</v>
      </c>
      <c r="G1025" s="254" t="s">
        <v>893</v>
      </c>
      <c r="H1025" s="254" t="s">
        <v>913</v>
      </c>
      <c r="I1025" s="255">
        <v>15000</v>
      </c>
      <c r="J1025" s="256">
        <v>15000</v>
      </c>
      <c r="K1025" s="258">
        <v>48150</v>
      </c>
      <c r="L1025" s="258">
        <v>-5778</v>
      </c>
      <c r="M1025" s="258">
        <f t="shared" si="62"/>
        <v>42372</v>
      </c>
      <c r="N1025" s="258">
        <v>-13580.903349282295</v>
      </c>
      <c r="O1025" s="258">
        <v>0</v>
      </c>
      <c r="P1025" s="258">
        <v>0</v>
      </c>
      <c r="Q1025" s="258">
        <f t="shared" si="63"/>
        <v>28791.096650717707</v>
      </c>
      <c r="R1025" s="259">
        <f t="shared" si="64"/>
        <v>0.67948401422443372</v>
      </c>
      <c r="S1025" s="255">
        <f t="shared" si="61"/>
        <v>3.21</v>
      </c>
      <c r="T1025" s="255">
        <f t="shared" si="61"/>
        <v>3.21</v>
      </c>
      <c r="U1025" s="254">
        <v>100200</v>
      </c>
      <c r="V1025" s="254" t="s">
        <v>912</v>
      </c>
      <c r="W1025" s="254" t="s">
        <v>1038</v>
      </c>
      <c r="X1025" s="254" t="s">
        <v>446</v>
      </c>
      <c r="Y1025" s="254" t="s">
        <v>843</v>
      </c>
      <c r="Z1025" s="254" t="s">
        <v>1129</v>
      </c>
      <c r="AA1025" s="254" t="s">
        <v>838</v>
      </c>
    </row>
    <row r="1026" spans="1:27" ht="14.4" x14ac:dyDescent="0.3">
      <c r="A1026" s="253">
        <v>11</v>
      </c>
      <c r="B1026" s="254" t="s">
        <v>851</v>
      </c>
      <c r="C1026" s="254">
        <v>456</v>
      </c>
      <c r="D1026" s="254" t="s">
        <v>312</v>
      </c>
      <c r="E1026" s="254" t="str">
        <f>_xlfn.XLOOKUP(C1026,Clientes!I:I,Clientes!F:F)</f>
        <v>GRUPO FERTIPAR FERTILIZANTES DO NORDESTE</v>
      </c>
      <c r="F1026" s="254">
        <v>113</v>
      </c>
      <c r="G1026" s="254" t="s">
        <v>875</v>
      </c>
      <c r="H1026" s="254" t="s">
        <v>913</v>
      </c>
      <c r="I1026" s="255">
        <v>30000</v>
      </c>
      <c r="J1026" s="256">
        <v>30000</v>
      </c>
      <c r="K1026" s="258">
        <v>100200</v>
      </c>
      <c r="L1026" s="258">
        <v>-7014.0000000000009</v>
      </c>
      <c r="M1026" s="258">
        <f t="shared" si="62"/>
        <v>93186</v>
      </c>
      <c r="N1026" s="258">
        <v>-27161.806698564589</v>
      </c>
      <c r="O1026" s="258">
        <v>-21548.474999999999</v>
      </c>
      <c r="P1026" s="258">
        <v>-161.91640007271349</v>
      </c>
      <c r="Q1026" s="258">
        <f t="shared" si="63"/>
        <v>44313.801901362705</v>
      </c>
      <c r="R1026" s="259">
        <f t="shared" si="64"/>
        <v>0.4755414107415567</v>
      </c>
      <c r="S1026" s="255">
        <f t="shared" si="61"/>
        <v>3.34</v>
      </c>
      <c r="T1026" s="255">
        <f t="shared" si="61"/>
        <v>3.34</v>
      </c>
      <c r="U1026" s="254">
        <v>100200</v>
      </c>
      <c r="V1026" s="254" t="s">
        <v>912</v>
      </c>
      <c r="W1026" s="254" t="s">
        <v>876</v>
      </c>
      <c r="X1026" s="254" t="s">
        <v>446</v>
      </c>
      <c r="Y1026" s="254" t="s">
        <v>843</v>
      </c>
      <c r="Z1026" s="254" t="s">
        <v>1129</v>
      </c>
      <c r="AA1026" s="254" t="s">
        <v>838</v>
      </c>
    </row>
    <row r="1027" spans="1:27" ht="14.4" x14ac:dyDescent="0.3">
      <c r="A1027" s="253">
        <v>11</v>
      </c>
      <c r="B1027" s="254" t="s">
        <v>851</v>
      </c>
      <c r="C1027" s="254">
        <v>10492</v>
      </c>
      <c r="D1027" s="254" t="s">
        <v>101</v>
      </c>
      <c r="E1027" s="254" t="str">
        <f>_xlfn.XLOOKUP(C1027,Clientes!I:I,Clientes!F:F)</f>
        <v>GRUPO UNIFERTIL</v>
      </c>
      <c r="F1027" s="254">
        <v>113</v>
      </c>
      <c r="G1027" s="254" t="s">
        <v>877</v>
      </c>
      <c r="H1027" s="254" t="s">
        <v>913</v>
      </c>
      <c r="I1027" s="255">
        <v>96000</v>
      </c>
      <c r="J1027" s="256">
        <v>96000</v>
      </c>
      <c r="K1027" s="258">
        <v>296640</v>
      </c>
      <c r="L1027" s="258">
        <v>-35596.799999999996</v>
      </c>
      <c r="M1027" s="258">
        <f t="shared" si="62"/>
        <v>261043.20000000001</v>
      </c>
      <c r="N1027" s="258">
        <v>-86917.78143540668</v>
      </c>
      <c r="O1027" s="258">
        <v>-78149.135999999999</v>
      </c>
      <c r="P1027" s="258">
        <v>-587.21681093037421</v>
      </c>
      <c r="Q1027" s="258">
        <f t="shared" si="63"/>
        <v>95389.065753662959</v>
      </c>
      <c r="R1027" s="259">
        <f t="shared" si="64"/>
        <v>0.36541486525472777</v>
      </c>
      <c r="S1027" s="255">
        <f t="shared" ref="S1027:T1090" si="65">$K1027/I1027</f>
        <v>3.09</v>
      </c>
      <c r="T1027" s="255">
        <f t="shared" si="65"/>
        <v>3.09</v>
      </c>
      <c r="U1027" s="254">
        <v>100200</v>
      </c>
      <c r="V1027" s="254" t="s">
        <v>912</v>
      </c>
      <c r="W1027" s="254" t="s">
        <v>878</v>
      </c>
      <c r="X1027" s="254" t="s">
        <v>446</v>
      </c>
      <c r="Y1027" s="254" t="s">
        <v>843</v>
      </c>
      <c r="Z1027" s="254" t="s">
        <v>1129</v>
      </c>
      <c r="AA1027" s="254" t="s">
        <v>838</v>
      </c>
    </row>
    <row r="1028" spans="1:27" ht="14.4" x14ac:dyDescent="0.3">
      <c r="A1028" s="253">
        <v>11</v>
      </c>
      <c r="B1028" s="254" t="s">
        <v>851</v>
      </c>
      <c r="C1028" s="254">
        <v>2588</v>
      </c>
      <c r="D1028" s="254" t="s">
        <v>70</v>
      </c>
      <c r="E1028" s="254" t="str">
        <f>_xlfn.XLOOKUP(C1028,Clientes!I:I,Clientes!F:F)</f>
        <v>GRUPO FERTILIZ TOCANTINS</v>
      </c>
      <c r="F1028" s="254">
        <v>6564</v>
      </c>
      <c r="G1028" s="254" t="s">
        <v>840</v>
      </c>
      <c r="H1028" s="254" t="s">
        <v>914</v>
      </c>
      <c r="I1028" s="255">
        <v>128000</v>
      </c>
      <c r="J1028" s="256">
        <v>128000</v>
      </c>
      <c r="K1028" s="258">
        <v>400640</v>
      </c>
      <c r="L1028" s="258">
        <v>-28044.800000000003</v>
      </c>
      <c r="M1028" s="258">
        <f t="shared" ref="M1028:M1091" si="66">SUM(K1028:L1028)</f>
        <v>372595.20000000001</v>
      </c>
      <c r="N1028" s="258">
        <v>-122111.62838709677</v>
      </c>
      <c r="O1028" s="258">
        <v>-93411.202560000005</v>
      </c>
      <c r="P1028" s="258">
        <v>-701.89679988854152</v>
      </c>
      <c r="Q1028" s="258">
        <f t="shared" ref="Q1028:Q1091" si="67">SUM(M1028:P1028)</f>
        <v>156370.47225301468</v>
      </c>
      <c r="R1028" s="259">
        <f t="shared" ref="R1028:R1091" si="68">Q1028/M1028</f>
        <v>0.41967924507082938</v>
      </c>
      <c r="S1028" s="255">
        <f t="shared" si="65"/>
        <v>3.13</v>
      </c>
      <c r="T1028" s="255">
        <f t="shared" si="65"/>
        <v>3.13</v>
      </c>
      <c r="U1028" s="254">
        <v>100200</v>
      </c>
      <c r="V1028" s="254" t="s">
        <v>912</v>
      </c>
      <c r="W1028" s="254" t="s">
        <v>915</v>
      </c>
      <c r="X1028" s="254" t="s">
        <v>446</v>
      </c>
      <c r="Y1028" s="254" t="s">
        <v>843</v>
      </c>
      <c r="Z1028" s="254" t="s">
        <v>1129</v>
      </c>
      <c r="AA1028" s="254" t="s">
        <v>838</v>
      </c>
    </row>
    <row r="1029" spans="1:27" ht="14.4" x14ac:dyDescent="0.3">
      <c r="A1029" s="253">
        <v>11</v>
      </c>
      <c r="B1029" s="254" t="s">
        <v>851</v>
      </c>
      <c r="C1029" s="254">
        <v>205</v>
      </c>
      <c r="D1029" s="254" t="s">
        <v>859</v>
      </c>
      <c r="E1029" s="254" t="str">
        <f>_xlfn.XLOOKUP(C1029,Clientes!I:I,Clientes!F:F)</f>
        <v>GRUPO FERTIPAR FERTILIZANTES MATO GROSSO</v>
      </c>
      <c r="F1029" s="254">
        <v>6564</v>
      </c>
      <c r="G1029" s="254" t="s">
        <v>840</v>
      </c>
      <c r="H1029" s="254" t="s">
        <v>914</v>
      </c>
      <c r="I1029" s="255">
        <v>120000</v>
      </c>
      <c r="J1029" s="256">
        <v>120000</v>
      </c>
      <c r="K1029" s="258">
        <v>302400</v>
      </c>
      <c r="L1029" s="258">
        <v>-21168.000000000004</v>
      </c>
      <c r="M1029" s="258">
        <f t="shared" si="66"/>
        <v>281232</v>
      </c>
      <c r="N1029" s="258">
        <v>-114479.65161290322</v>
      </c>
      <c r="O1029" s="258">
        <v>-47923.808400000002</v>
      </c>
      <c r="P1029" s="258">
        <v>-360.10207376171479</v>
      </c>
      <c r="Q1029" s="258">
        <f t="shared" si="67"/>
        <v>118468.43791333504</v>
      </c>
      <c r="R1029" s="259">
        <f t="shared" si="68"/>
        <v>0.4212480724573841</v>
      </c>
      <c r="S1029" s="255">
        <f t="shared" si="65"/>
        <v>2.52</v>
      </c>
      <c r="T1029" s="255">
        <f t="shared" si="65"/>
        <v>2.52</v>
      </c>
      <c r="U1029" s="254">
        <v>100200</v>
      </c>
      <c r="V1029" s="254" t="s">
        <v>912</v>
      </c>
      <c r="W1029" s="254" t="s">
        <v>861</v>
      </c>
      <c r="X1029" s="254" t="s">
        <v>446</v>
      </c>
      <c r="Y1029" s="254" t="s">
        <v>843</v>
      </c>
      <c r="Z1029" s="254" t="s">
        <v>1129</v>
      </c>
      <c r="AA1029" s="254" t="s">
        <v>838</v>
      </c>
    </row>
    <row r="1030" spans="1:27" ht="14.4" x14ac:dyDescent="0.3">
      <c r="A1030" s="253">
        <v>11</v>
      </c>
      <c r="B1030" s="254" t="s">
        <v>851</v>
      </c>
      <c r="C1030" s="254">
        <v>5182</v>
      </c>
      <c r="D1030" s="254" t="s">
        <v>1081</v>
      </c>
      <c r="E1030" s="254" t="str">
        <f>_xlfn.XLOOKUP(C1030,Clientes!I:I,Clientes!F:F)</f>
        <v>GRUPO FERTIPAR FERTILIZANTES MATO GROSSO</v>
      </c>
      <c r="F1030" s="254">
        <v>113</v>
      </c>
      <c r="G1030" s="254" t="s">
        <v>840</v>
      </c>
      <c r="H1030" s="254" t="s">
        <v>913</v>
      </c>
      <c r="I1030" s="255">
        <v>90000</v>
      </c>
      <c r="J1030" s="256">
        <v>90000</v>
      </c>
      <c r="K1030" s="258">
        <v>242100</v>
      </c>
      <c r="L1030" s="258">
        <v>-16947</v>
      </c>
      <c r="M1030" s="258">
        <f t="shared" si="66"/>
        <v>225153</v>
      </c>
      <c r="N1030" s="258">
        <v>-81485.420095693771</v>
      </c>
      <c r="O1030" s="258">
        <v>-65679.751799999998</v>
      </c>
      <c r="P1030" s="258">
        <v>-493.52118742163077</v>
      </c>
      <c r="Q1030" s="258">
        <f t="shared" si="67"/>
        <v>77494.306916884583</v>
      </c>
      <c r="R1030" s="259">
        <f t="shared" si="68"/>
        <v>0.34418509598754882</v>
      </c>
      <c r="S1030" s="255">
        <f t="shared" si="65"/>
        <v>2.69</v>
      </c>
      <c r="T1030" s="255">
        <f t="shared" si="65"/>
        <v>2.69</v>
      </c>
      <c r="U1030" s="254">
        <v>100200</v>
      </c>
      <c r="V1030" s="254" t="s">
        <v>912</v>
      </c>
      <c r="W1030" s="254" t="s">
        <v>915</v>
      </c>
      <c r="X1030" s="254" t="s">
        <v>446</v>
      </c>
      <c r="Y1030" s="254" t="s">
        <v>843</v>
      </c>
      <c r="Z1030" s="254" t="s">
        <v>1129</v>
      </c>
      <c r="AA1030" s="254" t="s">
        <v>838</v>
      </c>
    </row>
    <row r="1031" spans="1:27" ht="14.4" x14ac:dyDescent="0.3">
      <c r="A1031" s="253">
        <v>13</v>
      </c>
      <c r="B1031" s="254" t="s">
        <v>851</v>
      </c>
      <c r="C1031" s="254">
        <v>2648</v>
      </c>
      <c r="D1031" s="254" t="s">
        <v>452</v>
      </c>
      <c r="E1031" s="254" t="str">
        <f>_xlfn.XLOOKUP(C1031,Clientes!I:I,Clientes!F:F)</f>
        <v>SQM - CHILE</v>
      </c>
      <c r="F1031" s="254">
        <v>13025</v>
      </c>
      <c r="G1031" s="254" t="s">
        <v>832</v>
      </c>
      <c r="H1031" s="254" t="s">
        <v>935</v>
      </c>
      <c r="I1031" s="255">
        <v>11000</v>
      </c>
      <c r="J1031" s="256">
        <v>11000</v>
      </c>
      <c r="K1031" s="258">
        <v>274654.7194671359</v>
      </c>
      <c r="L1031" s="258">
        <v>0</v>
      </c>
      <c r="M1031" s="258">
        <f t="shared" si="66"/>
        <v>274654.7194671359</v>
      </c>
      <c r="N1031" s="258">
        <v>-68212.22</v>
      </c>
      <c r="O1031" s="258">
        <v>0</v>
      </c>
      <c r="P1031" s="258">
        <v>-1711.6313521028851</v>
      </c>
      <c r="Q1031" s="258">
        <f t="shared" si="67"/>
        <v>204730.86811503302</v>
      </c>
      <c r="R1031" s="259">
        <f t="shared" si="68"/>
        <v>0.74541179744603048</v>
      </c>
      <c r="S1031" s="255">
        <f t="shared" si="65"/>
        <v>24.968610860648717</v>
      </c>
      <c r="T1031" s="255">
        <f t="shared" si="65"/>
        <v>24.968610860648717</v>
      </c>
      <c r="U1031" s="254">
        <v>100300</v>
      </c>
      <c r="V1031" s="254" t="s">
        <v>917</v>
      </c>
      <c r="W1031" s="254" t="s">
        <v>1033</v>
      </c>
      <c r="X1031" s="254" t="s">
        <v>446</v>
      </c>
      <c r="Y1031" s="254" t="s">
        <v>836</v>
      </c>
      <c r="Z1031" s="254" t="s">
        <v>1129</v>
      </c>
      <c r="AA1031" s="254" t="s">
        <v>838</v>
      </c>
    </row>
    <row r="1032" spans="1:27" ht="14.4" x14ac:dyDescent="0.3">
      <c r="A1032" s="253">
        <v>13</v>
      </c>
      <c r="B1032" s="254" t="s">
        <v>851</v>
      </c>
      <c r="C1032" s="254">
        <v>5209</v>
      </c>
      <c r="D1032" s="254" t="s">
        <v>870</v>
      </c>
      <c r="E1032" s="254" t="str">
        <f>_xlfn.XLOOKUP(C1032,Clientes!I:I,Clientes!F:F)</f>
        <v>NUTRISOYA - CATALÃO</v>
      </c>
      <c r="F1032" s="254">
        <v>8217</v>
      </c>
      <c r="G1032" s="254" t="s">
        <v>867</v>
      </c>
      <c r="H1032" s="254" t="s">
        <v>927</v>
      </c>
      <c r="I1032" s="255">
        <v>3000</v>
      </c>
      <c r="J1032" s="256">
        <v>3000</v>
      </c>
      <c r="K1032" s="258">
        <v>90103.246890873474</v>
      </c>
      <c r="L1032" s="258">
        <v>-6300.0000000000009</v>
      </c>
      <c r="M1032" s="258">
        <f t="shared" si="66"/>
        <v>83803.246890873474</v>
      </c>
      <c r="N1032" s="258">
        <v>-43102.622000000003</v>
      </c>
      <c r="O1032" s="258">
        <v>-2121.6959999999981</v>
      </c>
      <c r="P1032" s="258">
        <v>-15.942537853313313</v>
      </c>
      <c r="Q1032" s="258">
        <f t="shared" si="67"/>
        <v>38562.986353020162</v>
      </c>
      <c r="R1032" s="259">
        <f t="shared" si="68"/>
        <v>0.46016100549464312</v>
      </c>
      <c r="S1032" s="255">
        <f t="shared" si="65"/>
        <v>30.034415630291157</v>
      </c>
      <c r="T1032" s="255">
        <f t="shared" si="65"/>
        <v>30.034415630291157</v>
      </c>
      <c r="U1032" s="254">
        <v>100300</v>
      </c>
      <c r="V1032" s="254" t="s">
        <v>917</v>
      </c>
      <c r="W1032" s="254" t="s">
        <v>871</v>
      </c>
      <c r="X1032" s="254" t="s">
        <v>446</v>
      </c>
      <c r="Y1032" s="254" t="s">
        <v>843</v>
      </c>
      <c r="Z1032" s="254" t="s">
        <v>1129</v>
      </c>
      <c r="AA1032" s="254" t="s">
        <v>838</v>
      </c>
    </row>
    <row r="1033" spans="1:27" ht="14.4" x14ac:dyDescent="0.3">
      <c r="A1033" s="253">
        <v>13</v>
      </c>
      <c r="B1033" s="254" t="s">
        <v>851</v>
      </c>
      <c r="C1033" s="254">
        <v>215</v>
      </c>
      <c r="D1033" s="254" t="s">
        <v>221</v>
      </c>
      <c r="E1033" s="254" t="str">
        <f>_xlfn.XLOOKUP(C1033,Clientes!I:I,Clientes!F:F)</f>
        <v>GRUPO UNIFERTIL</v>
      </c>
      <c r="F1033" s="254">
        <v>8216</v>
      </c>
      <c r="G1033" s="254" t="s">
        <v>877</v>
      </c>
      <c r="H1033" s="254" t="s">
        <v>938</v>
      </c>
      <c r="I1033" s="255">
        <v>24000</v>
      </c>
      <c r="J1033" s="256">
        <v>24000</v>
      </c>
      <c r="K1033" s="258">
        <v>746535.43490651704</v>
      </c>
      <c r="L1033" s="258">
        <v>-89481.599999999991</v>
      </c>
      <c r="M1033" s="258">
        <f t="shared" si="66"/>
        <v>657053.83490651706</v>
      </c>
      <c r="N1033" s="258">
        <v>-228901.05</v>
      </c>
      <c r="O1033" s="258">
        <v>-18675.345000000001</v>
      </c>
      <c r="P1033" s="258">
        <v>-140.32754672968503</v>
      </c>
      <c r="Q1033" s="258">
        <f t="shared" si="67"/>
        <v>409337.11235978734</v>
      </c>
      <c r="R1033" s="259">
        <f t="shared" si="68"/>
        <v>0.6229886968364261</v>
      </c>
      <c r="S1033" s="255">
        <f t="shared" si="65"/>
        <v>31.105643121104876</v>
      </c>
      <c r="T1033" s="255">
        <f t="shared" si="65"/>
        <v>31.105643121104876</v>
      </c>
      <c r="U1033" s="254">
        <v>100300</v>
      </c>
      <c r="V1033" s="254" t="s">
        <v>917</v>
      </c>
      <c r="W1033" s="254" t="s">
        <v>880</v>
      </c>
      <c r="X1033" s="254" t="s">
        <v>446</v>
      </c>
      <c r="Y1033" s="254" t="s">
        <v>843</v>
      </c>
      <c r="Z1033" s="254" t="s">
        <v>1129</v>
      </c>
      <c r="AA1033" s="254" t="s">
        <v>838</v>
      </c>
    </row>
    <row r="1034" spans="1:27" ht="14.4" x14ac:dyDescent="0.3">
      <c r="A1034" s="253">
        <v>13</v>
      </c>
      <c r="B1034" s="254" t="s">
        <v>851</v>
      </c>
      <c r="C1034" s="254">
        <v>9295</v>
      </c>
      <c r="D1034" s="254" t="s">
        <v>333</v>
      </c>
      <c r="E1034" s="254" t="str">
        <f>_xlfn.XLOOKUP(C1034,Clientes!I:I,Clientes!F:F)</f>
        <v>TECNOMYL S.A. - PARAGUAY</v>
      </c>
      <c r="F1034" s="254">
        <v>8204</v>
      </c>
      <c r="G1034" s="254" t="s">
        <v>832</v>
      </c>
      <c r="H1034" s="254" t="s">
        <v>1035</v>
      </c>
      <c r="I1034" s="255">
        <v>3300</v>
      </c>
      <c r="J1034" s="256">
        <v>3300</v>
      </c>
      <c r="K1034" s="258">
        <v>165820.30903899379</v>
      </c>
      <c r="L1034" s="258">
        <v>0</v>
      </c>
      <c r="M1034" s="258">
        <f t="shared" si="66"/>
        <v>165820.30903899379</v>
      </c>
      <c r="N1034" s="258">
        <v>-65229.297999999995</v>
      </c>
      <c r="O1034" s="258">
        <v>0</v>
      </c>
      <c r="P1034" s="258">
        <v>-513.48940563086546</v>
      </c>
      <c r="Q1034" s="258">
        <f t="shared" si="67"/>
        <v>100077.52163336292</v>
      </c>
      <c r="R1034" s="259">
        <f t="shared" si="68"/>
        <v>0.60352994282400596</v>
      </c>
      <c r="S1034" s="255">
        <f t="shared" si="65"/>
        <v>50.248578496664784</v>
      </c>
      <c r="T1034" s="255">
        <f t="shared" si="65"/>
        <v>50.248578496664784</v>
      </c>
      <c r="U1034" s="254">
        <v>100300</v>
      </c>
      <c r="V1034" s="254" t="s">
        <v>917</v>
      </c>
      <c r="W1034" s="254" t="s">
        <v>1012</v>
      </c>
      <c r="X1034" s="254" t="s">
        <v>446</v>
      </c>
      <c r="Y1034" s="254" t="s">
        <v>836</v>
      </c>
      <c r="Z1034" s="254" t="s">
        <v>1129</v>
      </c>
      <c r="AA1034" s="254" t="s">
        <v>838</v>
      </c>
    </row>
    <row r="1035" spans="1:27" ht="14.4" x14ac:dyDescent="0.3">
      <c r="A1035" s="253">
        <v>13</v>
      </c>
      <c r="B1035" s="254" t="s">
        <v>851</v>
      </c>
      <c r="C1035" s="254">
        <v>2655</v>
      </c>
      <c r="D1035" s="254" t="s">
        <v>318</v>
      </c>
      <c r="E1035" s="254" t="str">
        <f>_xlfn.XLOOKUP(C1035,Clientes!I:I,Clientes!F:F)</f>
        <v>EQUILIBRA PERU S.A</v>
      </c>
      <c r="F1035" s="254">
        <v>8203</v>
      </c>
      <c r="G1035" s="254" t="s">
        <v>832</v>
      </c>
      <c r="H1035" s="254" t="s">
        <v>1103</v>
      </c>
      <c r="I1035" s="255">
        <v>11000</v>
      </c>
      <c r="J1035" s="256">
        <v>11000</v>
      </c>
      <c r="K1035" s="258">
        <v>455261.67212395341</v>
      </c>
      <c r="L1035" s="258">
        <v>0</v>
      </c>
      <c r="M1035" s="258">
        <f t="shared" si="66"/>
        <v>455261.67212395341</v>
      </c>
      <c r="N1035" s="258">
        <v>-227209.28000000003</v>
      </c>
      <c r="O1035" s="258">
        <v>-9057.2866560000002</v>
      </c>
      <c r="P1035" s="258">
        <v>-1779.6882911561659</v>
      </c>
      <c r="Q1035" s="258">
        <f t="shared" si="67"/>
        <v>217215.4171767972</v>
      </c>
      <c r="R1035" s="259">
        <f t="shared" si="68"/>
        <v>0.47712212662975129</v>
      </c>
      <c r="S1035" s="255">
        <f t="shared" si="65"/>
        <v>41.38742473854122</v>
      </c>
      <c r="T1035" s="255">
        <f t="shared" si="65"/>
        <v>41.38742473854122</v>
      </c>
      <c r="U1035" s="254">
        <v>100300</v>
      </c>
      <c r="V1035" s="254" t="s">
        <v>917</v>
      </c>
      <c r="W1035" s="254" t="s">
        <v>872</v>
      </c>
      <c r="X1035" s="254" t="s">
        <v>446</v>
      </c>
      <c r="Y1035" s="254" t="s">
        <v>836</v>
      </c>
      <c r="Z1035" s="254" t="s">
        <v>1129</v>
      </c>
      <c r="AA1035" s="254" t="s">
        <v>838</v>
      </c>
    </row>
    <row r="1036" spans="1:27" ht="14.4" x14ac:dyDescent="0.3">
      <c r="A1036" s="253">
        <v>13</v>
      </c>
      <c r="B1036" s="254" t="s">
        <v>851</v>
      </c>
      <c r="C1036" s="254">
        <v>1936</v>
      </c>
      <c r="D1036" s="254" t="s">
        <v>889</v>
      </c>
      <c r="E1036" s="254" t="str">
        <f>_xlfn.XLOOKUP(C1036,Clientes!I:I,Clientes!F:F)</f>
        <v>GRUPO AGRO INDUSTRIAL SAO LUIZ LTDA</v>
      </c>
      <c r="F1036" s="254">
        <v>8218</v>
      </c>
      <c r="G1036" s="254" t="s">
        <v>862</v>
      </c>
      <c r="H1036" s="254" t="s">
        <v>923</v>
      </c>
      <c r="I1036" s="255">
        <v>10000</v>
      </c>
      <c r="J1036" s="256">
        <v>10000</v>
      </c>
      <c r="K1036" s="258">
        <v>300143.9268653763</v>
      </c>
      <c r="L1036" s="258">
        <v>-35976</v>
      </c>
      <c r="M1036" s="258">
        <f t="shared" si="66"/>
        <v>264167.9268653763</v>
      </c>
      <c r="N1036" s="258">
        <v>-115359.73043478261</v>
      </c>
      <c r="O1036" s="258">
        <v>0</v>
      </c>
      <c r="P1036" s="258">
        <v>0</v>
      </c>
      <c r="Q1036" s="258">
        <f t="shared" si="67"/>
        <v>148808.19643059367</v>
      </c>
      <c r="R1036" s="259">
        <f t="shared" si="68"/>
        <v>0.56330909734711443</v>
      </c>
      <c r="S1036" s="255">
        <f t="shared" si="65"/>
        <v>30.014392686537629</v>
      </c>
      <c r="T1036" s="255">
        <f t="shared" si="65"/>
        <v>30.014392686537629</v>
      </c>
      <c r="U1036" s="254">
        <v>100300</v>
      </c>
      <c r="V1036" s="254" t="s">
        <v>917</v>
      </c>
      <c r="W1036" s="254" t="s">
        <v>864</v>
      </c>
      <c r="X1036" s="254" t="s">
        <v>446</v>
      </c>
      <c r="Y1036" s="254" t="s">
        <v>843</v>
      </c>
      <c r="Z1036" s="254" t="s">
        <v>1129</v>
      </c>
      <c r="AA1036" s="254" t="s">
        <v>838</v>
      </c>
    </row>
    <row r="1037" spans="1:27" ht="14.4" x14ac:dyDescent="0.3">
      <c r="A1037" s="253">
        <v>13</v>
      </c>
      <c r="B1037" s="254" t="s">
        <v>851</v>
      </c>
      <c r="C1037" s="254">
        <v>16073</v>
      </c>
      <c r="D1037" s="254" t="s">
        <v>1095</v>
      </c>
      <c r="E1037" s="254" t="str">
        <f>_xlfn.XLOOKUP(C1037,Clientes!I:I,Clientes!F:F)</f>
        <v>IMEX SUL INSUMOS - SANTA MARIA</v>
      </c>
      <c r="F1037" s="254">
        <v>8218</v>
      </c>
      <c r="G1037" s="254" t="s">
        <v>877</v>
      </c>
      <c r="H1037" s="254" t="s">
        <v>923</v>
      </c>
      <c r="I1037" s="255">
        <v>3000</v>
      </c>
      <c r="J1037" s="256">
        <v>3000</v>
      </c>
      <c r="K1037" s="258">
        <v>75086.039075727895</v>
      </c>
      <c r="L1037" s="258">
        <v>-9000</v>
      </c>
      <c r="M1037" s="258">
        <f t="shared" si="66"/>
        <v>66086.039075727895</v>
      </c>
      <c r="N1037" s="258">
        <v>-34607.919130434784</v>
      </c>
      <c r="O1037" s="258">
        <v>-14498.255999999972</v>
      </c>
      <c r="P1037" s="258">
        <v>-108.9406753309742</v>
      </c>
      <c r="Q1037" s="258">
        <f t="shared" si="67"/>
        <v>16870.923269962164</v>
      </c>
      <c r="R1037" s="259">
        <f t="shared" si="68"/>
        <v>0.25528725137588892</v>
      </c>
      <c r="S1037" s="255">
        <f t="shared" si="65"/>
        <v>25.0286796919093</v>
      </c>
      <c r="T1037" s="255">
        <f t="shared" si="65"/>
        <v>25.0286796919093</v>
      </c>
      <c r="U1037" s="254">
        <v>100300</v>
      </c>
      <c r="V1037" s="254" t="s">
        <v>917</v>
      </c>
      <c r="W1037" s="254" t="s">
        <v>878</v>
      </c>
      <c r="X1037" s="254" t="s">
        <v>446</v>
      </c>
      <c r="Y1037" s="254" t="s">
        <v>843</v>
      </c>
      <c r="Z1037" s="254" t="s">
        <v>1129</v>
      </c>
      <c r="AA1037" s="254" t="s">
        <v>838</v>
      </c>
    </row>
    <row r="1038" spans="1:27" ht="14.4" x14ac:dyDescent="0.3">
      <c r="A1038" s="253">
        <v>13</v>
      </c>
      <c r="B1038" s="254" t="s">
        <v>851</v>
      </c>
      <c r="C1038" s="254">
        <v>2352</v>
      </c>
      <c r="D1038" s="254" t="s">
        <v>68</v>
      </c>
      <c r="E1038" s="254" t="str">
        <f>_xlfn.XLOOKUP(C1038,Clientes!I:I,Clientes!F:F)</f>
        <v>BR FERTIL - PARANAGUA</v>
      </c>
      <c r="F1038" s="254">
        <v>8225</v>
      </c>
      <c r="G1038" s="254" t="s">
        <v>862</v>
      </c>
      <c r="H1038" s="254" t="s">
        <v>919</v>
      </c>
      <c r="I1038" s="255">
        <v>12000</v>
      </c>
      <c r="J1038" s="256">
        <v>12000</v>
      </c>
      <c r="K1038" s="258">
        <v>288330.39005079516</v>
      </c>
      <c r="L1038" s="258">
        <v>-34560</v>
      </c>
      <c r="M1038" s="258">
        <f t="shared" si="66"/>
        <v>253770.39005079516</v>
      </c>
      <c r="N1038" s="258">
        <v>-75328.445999999996</v>
      </c>
      <c r="O1038" s="258">
        <v>-9901.2479999999723</v>
      </c>
      <c r="P1038" s="258">
        <v>-74.398509982128658</v>
      </c>
      <c r="Q1038" s="258">
        <f t="shared" si="67"/>
        <v>168466.29754081307</v>
      </c>
      <c r="R1038" s="259">
        <f t="shared" si="68"/>
        <v>0.66385324744582119</v>
      </c>
      <c r="S1038" s="255">
        <f t="shared" si="65"/>
        <v>24.02753250423293</v>
      </c>
      <c r="T1038" s="255">
        <f t="shared" si="65"/>
        <v>24.02753250423293</v>
      </c>
      <c r="U1038" s="254">
        <v>100300</v>
      </c>
      <c r="V1038" s="254" t="s">
        <v>917</v>
      </c>
      <c r="W1038" s="254" t="s">
        <v>864</v>
      </c>
      <c r="X1038" s="254" t="s">
        <v>446</v>
      </c>
      <c r="Y1038" s="254" t="s">
        <v>843</v>
      </c>
      <c r="Z1038" s="254" t="s">
        <v>1129</v>
      </c>
      <c r="AA1038" s="254" t="s">
        <v>838</v>
      </c>
    </row>
    <row r="1039" spans="1:27" ht="14.4" x14ac:dyDescent="0.3">
      <c r="A1039" s="253">
        <v>13</v>
      </c>
      <c r="B1039" s="254" t="s">
        <v>851</v>
      </c>
      <c r="C1039" s="254">
        <v>2622</v>
      </c>
      <c r="D1039" s="254" t="s">
        <v>73</v>
      </c>
      <c r="E1039" s="254" t="str">
        <f>_xlfn.XLOOKUP(C1039,Clientes!I:I,Clientes!F:F)</f>
        <v>ADUFERTIL JUNDIAI</v>
      </c>
      <c r="F1039" s="254">
        <v>8215</v>
      </c>
      <c r="G1039" s="254" t="s">
        <v>908</v>
      </c>
      <c r="H1039" s="254" t="s">
        <v>947</v>
      </c>
      <c r="I1039" s="255">
        <v>24000</v>
      </c>
      <c r="J1039" s="256">
        <v>24000</v>
      </c>
      <c r="K1039" s="258">
        <v>832073.45062158629</v>
      </c>
      <c r="L1039" s="258">
        <v>-99734.399999999994</v>
      </c>
      <c r="M1039" s="258">
        <f t="shared" si="66"/>
        <v>732339.05062158627</v>
      </c>
      <c r="N1039" s="258">
        <v>-301942.28499999997</v>
      </c>
      <c r="O1039" s="258">
        <v>-8810.9319999999989</v>
      </c>
      <c r="P1039" s="258">
        <v>-66.205816918620613</v>
      </c>
      <c r="Q1039" s="258">
        <f t="shared" si="67"/>
        <v>421519.62780466769</v>
      </c>
      <c r="R1039" s="259">
        <f t="shared" si="68"/>
        <v>0.57557988672991711</v>
      </c>
      <c r="S1039" s="255">
        <f t="shared" si="65"/>
        <v>34.66972710923276</v>
      </c>
      <c r="T1039" s="255">
        <f t="shared" si="65"/>
        <v>34.66972710923276</v>
      </c>
      <c r="U1039" s="254">
        <v>100300</v>
      </c>
      <c r="V1039" s="254" t="s">
        <v>917</v>
      </c>
      <c r="W1039" s="254" t="s">
        <v>948</v>
      </c>
      <c r="X1039" s="254" t="s">
        <v>446</v>
      </c>
      <c r="Y1039" s="254" t="s">
        <v>843</v>
      </c>
      <c r="Z1039" s="254" t="s">
        <v>1129</v>
      </c>
      <c r="AA1039" s="254" t="s">
        <v>838</v>
      </c>
    </row>
    <row r="1040" spans="1:27" ht="14.4" x14ac:dyDescent="0.3">
      <c r="A1040" s="253">
        <v>13</v>
      </c>
      <c r="B1040" s="254" t="s">
        <v>851</v>
      </c>
      <c r="C1040" s="254">
        <v>11212</v>
      </c>
      <c r="D1040" s="254" t="s">
        <v>230</v>
      </c>
      <c r="E1040" s="254" t="str">
        <f>_xlfn.XLOOKUP(C1040,Clientes!I:I,Clientes!F:F)</f>
        <v>INPEK FERTILIZANTES - PARANAGUA</v>
      </c>
      <c r="F1040" s="254">
        <v>8224</v>
      </c>
      <c r="G1040" s="254" t="s">
        <v>862</v>
      </c>
      <c r="H1040" s="254" t="s">
        <v>921</v>
      </c>
      <c r="I1040" s="255">
        <v>4000</v>
      </c>
      <c r="J1040" s="256">
        <v>4000</v>
      </c>
      <c r="K1040" s="258">
        <v>97311.506642143358</v>
      </c>
      <c r="L1040" s="258">
        <v>-11664</v>
      </c>
      <c r="M1040" s="258">
        <f t="shared" si="66"/>
        <v>85647.506642143358</v>
      </c>
      <c r="N1040" s="258">
        <v>-26609.870000000003</v>
      </c>
      <c r="O1040" s="258">
        <v>-9901.2479999999723</v>
      </c>
      <c r="P1040" s="258">
        <v>-74.398509982128658</v>
      </c>
      <c r="Q1040" s="258">
        <f t="shared" si="67"/>
        <v>49061.990132161256</v>
      </c>
      <c r="R1040" s="259">
        <f t="shared" si="68"/>
        <v>0.57283617533846587</v>
      </c>
      <c r="S1040" s="255">
        <f t="shared" si="65"/>
        <v>24.327876660535839</v>
      </c>
      <c r="T1040" s="255">
        <f t="shared" si="65"/>
        <v>24.327876660535839</v>
      </c>
      <c r="U1040" s="254">
        <v>100300</v>
      </c>
      <c r="V1040" s="254" t="s">
        <v>917</v>
      </c>
      <c r="W1040" s="254" t="s">
        <v>864</v>
      </c>
      <c r="X1040" s="254" t="s">
        <v>446</v>
      </c>
      <c r="Y1040" s="254" t="s">
        <v>843</v>
      </c>
      <c r="Z1040" s="254" t="s">
        <v>1129</v>
      </c>
      <c r="AA1040" s="254" t="s">
        <v>838</v>
      </c>
    </row>
    <row r="1041" spans="1:27" ht="14.4" x14ac:dyDescent="0.3">
      <c r="A1041" s="253">
        <v>13</v>
      </c>
      <c r="B1041" s="254" t="s">
        <v>851</v>
      </c>
      <c r="C1041" s="254">
        <v>6124</v>
      </c>
      <c r="D1041" s="254" t="s">
        <v>891</v>
      </c>
      <c r="E1041" s="254" t="str">
        <f>_xlfn.XLOOKUP(C1041,Clientes!I:I,Clientes!F:F)</f>
        <v>GRUPO MOSAIC FERTILIZANTES DO BRASIL</v>
      </c>
      <c r="F1041" s="254">
        <v>8215</v>
      </c>
      <c r="G1041" s="254" t="s">
        <v>855</v>
      </c>
      <c r="H1041" s="254" t="s">
        <v>947</v>
      </c>
      <c r="I1041" s="255">
        <v>24000</v>
      </c>
      <c r="J1041" s="256">
        <v>24000</v>
      </c>
      <c r="K1041" s="258">
        <v>870517.50262835901</v>
      </c>
      <c r="L1041" s="258">
        <v>0</v>
      </c>
      <c r="M1041" s="258">
        <f t="shared" si="66"/>
        <v>870517.50262835901</v>
      </c>
      <c r="N1041" s="258">
        <v>-301942.28499999997</v>
      </c>
      <c r="O1041" s="258">
        <v>-4003.2278000000001</v>
      </c>
      <c r="P1041" s="258">
        <v>-30.080468991286327</v>
      </c>
      <c r="Q1041" s="258">
        <f t="shared" si="67"/>
        <v>564541.9093593678</v>
      </c>
      <c r="R1041" s="259">
        <f t="shared" si="68"/>
        <v>0.64851299101378523</v>
      </c>
      <c r="S1041" s="255">
        <f t="shared" si="65"/>
        <v>36.271562609514959</v>
      </c>
      <c r="T1041" s="255">
        <f t="shared" si="65"/>
        <v>36.271562609514959</v>
      </c>
      <c r="U1041" s="254">
        <v>100300</v>
      </c>
      <c r="V1041" s="254" t="s">
        <v>917</v>
      </c>
      <c r="W1041" s="254" t="s">
        <v>892</v>
      </c>
      <c r="X1041" s="254" t="s">
        <v>446</v>
      </c>
      <c r="Y1041" s="254" t="s">
        <v>843</v>
      </c>
      <c r="Z1041" s="254" t="s">
        <v>1129</v>
      </c>
      <c r="AA1041" s="254" t="s">
        <v>838</v>
      </c>
    </row>
    <row r="1042" spans="1:27" ht="14.4" x14ac:dyDescent="0.3">
      <c r="A1042" s="253">
        <v>13</v>
      </c>
      <c r="B1042" s="254" t="s">
        <v>851</v>
      </c>
      <c r="C1042" s="254">
        <v>7662</v>
      </c>
      <c r="D1042" s="254" t="s">
        <v>95</v>
      </c>
      <c r="E1042" s="254" t="str">
        <f>_xlfn.XLOOKUP(C1042,Clientes!I:I,Clientes!F:F)</f>
        <v>BENTONIT UNIAO - CAMPINA GRANDE</v>
      </c>
      <c r="F1042" s="254">
        <v>7</v>
      </c>
      <c r="G1042" s="254" t="s">
        <v>1022</v>
      </c>
      <c r="H1042" s="254" t="s">
        <v>1023</v>
      </c>
      <c r="I1042" s="255">
        <v>4000</v>
      </c>
      <c r="J1042" s="256">
        <v>4000</v>
      </c>
      <c r="K1042" s="258">
        <v>156219.00716502109</v>
      </c>
      <c r="L1042" s="258">
        <v>-24346.141000000003</v>
      </c>
      <c r="M1042" s="258">
        <f t="shared" si="66"/>
        <v>131872.86616502109</v>
      </c>
      <c r="N1042" s="258">
        <v>-35015.440000000002</v>
      </c>
      <c r="O1042" s="258">
        <v>0</v>
      </c>
      <c r="P1042" s="258">
        <v>0</v>
      </c>
      <c r="Q1042" s="258">
        <f t="shared" si="67"/>
        <v>96857.426165021083</v>
      </c>
      <c r="R1042" s="259">
        <f t="shared" si="68"/>
        <v>0.73447577945122611</v>
      </c>
      <c r="S1042" s="255">
        <f t="shared" si="65"/>
        <v>39.054751791255271</v>
      </c>
      <c r="T1042" s="255">
        <f t="shared" si="65"/>
        <v>39.054751791255271</v>
      </c>
      <c r="U1042" s="254">
        <v>100300</v>
      </c>
      <c r="V1042" s="254" t="s">
        <v>917</v>
      </c>
      <c r="W1042" s="254" t="s">
        <v>1024</v>
      </c>
      <c r="X1042" s="254" t="s">
        <v>446</v>
      </c>
      <c r="Y1042" s="254" t="s">
        <v>843</v>
      </c>
      <c r="Z1042" s="254" t="s">
        <v>1129</v>
      </c>
      <c r="AA1042" s="254" t="s">
        <v>838</v>
      </c>
    </row>
    <row r="1043" spans="1:27" ht="14.4" x14ac:dyDescent="0.3">
      <c r="A1043" s="253">
        <v>13</v>
      </c>
      <c r="B1043" s="254" t="s">
        <v>851</v>
      </c>
      <c r="C1043" s="254">
        <v>5731</v>
      </c>
      <c r="D1043" s="254" t="s">
        <v>901</v>
      </c>
      <c r="E1043" s="254" t="str">
        <f>_xlfn.XLOOKUP(C1043,Clientes!I:I,Clientes!F:F)</f>
        <v>FERTILIZANTES ALIANÇA - APARECIDA DE GOI</v>
      </c>
      <c r="F1043" s="254">
        <v>8214</v>
      </c>
      <c r="G1043" s="254" t="s">
        <v>867</v>
      </c>
      <c r="H1043" s="254" t="s">
        <v>922</v>
      </c>
      <c r="I1043" s="255">
        <v>1000</v>
      </c>
      <c r="J1043" s="256">
        <v>1000</v>
      </c>
      <c r="K1043" s="258">
        <v>32036.710005643905</v>
      </c>
      <c r="L1043" s="258">
        <v>-2240</v>
      </c>
      <c r="M1043" s="258">
        <f t="shared" si="66"/>
        <v>29796.710005643905</v>
      </c>
      <c r="N1043" s="258">
        <v>-9143.4756250000009</v>
      </c>
      <c r="O1043" s="258">
        <v>-3500.7983999999979</v>
      </c>
      <c r="P1043" s="258">
        <v>-26.305187457966976</v>
      </c>
      <c r="Q1043" s="258">
        <f t="shared" si="67"/>
        <v>17126.130793185934</v>
      </c>
      <c r="R1043" s="259">
        <f t="shared" si="68"/>
        <v>0.57476583119216884</v>
      </c>
      <c r="S1043" s="255">
        <f t="shared" si="65"/>
        <v>32.036710005643904</v>
      </c>
      <c r="T1043" s="255">
        <f t="shared" si="65"/>
        <v>32.036710005643904</v>
      </c>
      <c r="U1043" s="254">
        <v>100300</v>
      </c>
      <c r="V1043" s="254" t="s">
        <v>917</v>
      </c>
      <c r="W1043" s="254" t="s">
        <v>902</v>
      </c>
      <c r="X1043" s="254" t="s">
        <v>446</v>
      </c>
      <c r="Y1043" s="254" t="s">
        <v>843</v>
      </c>
      <c r="Z1043" s="254" t="s">
        <v>1129</v>
      </c>
      <c r="AA1043" s="254" t="s">
        <v>838</v>
      </c>
    </row>
    <row r="1044" spans="1:27" ht="14.4" x14ac:dyDescent="0.3">
      <c r="A1044" s="253">
        <v>13</v>
      </c>
      <c r="B1044" s="254" t="s">
        <v>851</v>
      </c>
      <c r="C1044" s="254">
        <v>2678</v>
      </c>
      <c r="D1044" s="254" t="s">
        <v>581</v>
      </c>
      <c r="E1044" s="254" t="str">
        <f>_xlfn.XLOOKUP(C1044,Clientes!I:I,Clientes!F:F)</f>
        <v>LOUIS DREYFUS - URUGUAI</v>
      </c>
      <c r="F1044" s="254">
        <v>11792</v>
      </c>
      <c r="G1044" s="254" t="s">
        <v>832</v>
      </c>
      <c r="H1044" s="254" t="s">
        <v>1084</v>
      </c>
      <c r="I1044" s="255">
        <v>4000</v>
      </c>
      <c r="J1044" s="256">
        <v>4000</v>
      </c>
      <c r="K1044" s="258">
        <v>176201.90503104148</v>
      </c>
      <c r="L1044" s="258">
        <v>0</v>
      </c>
      <c r="M1044" s="258">
        <f t="shared" si="66"/>
        <v>176201.90503104148</v>
      </c>
      <c r="N1044" s="258">
        <v>-56784</v>
      </c>
      <c r="O1044" s="258">
        <v>-21958.799999999999</v>
      </c>
      <c r="P1044" s="258">
        <v>-787.41100495554815</v>
      </c>
      <c r="Q1044" s="258">
        <f t="shared" si="67"/>
        <v>96671.694026085926</v>
      </c>
      <c r="R1044" s="259">
        <f t="shared" si="68"/>
        <v>0.54864159390930123</v>
      </c>
      <c r="S1044" s="255">
        <f t="shared" si="65"/>
        <v>44.050476257760366</v>
      </c>
      <c r="T1044" s="255">
        <f t="shared" si="65"/>
        <v>44.050476257760366</v>
      </c>
      <c r="U1044" s="254">
        <v>100300</v>
      </c>
      <c r="V1044" s="254" t="s">
        <v>917</v>
      </c>
      <c r="W1044" s="254" t="s">
        <v>954</v>
      </c>
      <c r="X1044" s="254" t="s">
        <v>446</v>
      </c>
      <c r="Y1044" s="254" t="s">
        <v>836</v>
      </c>
      <c r="Z1044" s="254" t="s">
        <v>1129</v>
      </c>
      <c r="AA1044" s="254" t="s">
        <v>838</v>
      </c>
    </row>
    <row r="1045" spans="1:27" ht="14.4" x14ac:dyDescent="0.3">
      <c r="A1045" s="253">
        <v>13</v>
      </c>
      <c r="B1045" s="254" t="s">
        <v>851</v>
      </c>
      <c r="C1045" s="254">
        <v>97</v>
      </c>
      <c r="D1045" s="254" t="s">
        <v>300</v>
      </c>
      <c r="E1045" s="254" t="str">
        <f>_xlfn.XLOOKUP(C1045,Clientes!I:I,Clientes!F:F)</f>
        <v>FECOAGRO FEDERACAO DAS COOPERATIVAS</v>
      </c>
      <c r="F1045" s="254">
        <v>8223</v>
      </c>
      <c r="G1045" s="254" t="s">
        <v>893</v>
      </c>
      <c r="H1045" s="254" t="s">
        <v>920</v>
      </c>
      <c r="I1045" s="255">
        <v>12000</v>
      </c>
      <c r="J1045" s="256">
        <v>12000</v>
      </c>
      <c r="K1045" s="258">
        <v>456523.11758042563</v>
      </c>
      <c r="L1045" s="258">
        <v>-54720</v>
      </c>
      <c r="M1045" s="258">
        <f t="shared" si="66"/>
        <v>401803.11758042563</v>
      </c>
      <c r="N1045" s="258">
        <v>-138830.77000000002</v>
      </c>
      <c r="O1045" s="258">
        <v>-9901.2479999999723</v>
      </c>
      <c r="P1045" s="258">
        <v>-74.398509982128658</v>
      </c>
      <c r="Q1045" s="258">
        <f t="shared" si="67"/>
        <v>252996.70107044352</v>
      </c>
      <c r="R1045" s="259">
        <f t="shared" si="68"/>
        <v>0.62965340486638521</v>
      </c>
      <c r="S1045" s="255">
        <f t="shared" si="65"/>
        <v>38.043593131702139</v>
      </c>
      <c r="T1045" s="255">
        <f t="shared" si="65"/>
        <v>38.043593131702139</v>
      </c>
      <c r="U1045" s="254">
        <v>100300</v>
      </c>
      <c r="V1045" s="254" t="s">
        <v>917</v>
      </c>
      <c r="W1045" s="254" t="s">
        <v>894</v>
      </c>
      <c r="X1045" s="254" t="s">
        <v>446</v>
      </c>
      <c r="Y1045" s="254" t="s">
        <v>843</v>
      </c>
      <c r="Z1045" s="254" t="s">
        <v>1129</v>
      </c>
      <c r="AA1045" s="254" t="s">
        <v>838</v>
      </c>
    </row>
    <row r="1046" spans="1:27" ht="14.4" x14ac:dyDescent="0.3">
      <c r="A1046" s="253">
        <v>13</v>
      </c>
      <c r="B1046" s="254" t="s">
        <v>851</v>
      </c>
      <c r="C1046" s="254">
        <v>2247</v>
      </c>
      <c r="D1046" s="254" t="s">
        <v>425</v>
      </c>
      <c r="E1046" s="254" t="str">
        <f>_xlfn.XLOOKUP(C1046,Clientes!I:I,Clientes!F:F)</f>
        <v>ADUBOS LEAO - LARANJEIRAS</v>
      </c>
      <c r="F1046" s="254">
        <v>8225</v>
      </c>
      <c r="G1046" s="254" t="s">
        <v>887</v>
      </c>
      <c r="H1046" s="254" t="s">
        <v>919</v>
      </c>
      <c r="I1046" s="255">
        <v>1000</v>
      </c>
      <c r="J1046" s="256">
        <v>1000</v>
      </c>
      <c r="K1046" s="258">
        <v>30605.069527266693</v>
      </c>
      <c r="L1046" s="258">
        <v>-2139.9</v>
      </c>
      <c r="M1046" s="258">
        <f t="shared" si="66"/>
        <v>28465.169527266691</v>
      </c>
      <c r="N1046" s="258">
        <v>-6277.3705</v>
      </c>
      <c r="O1046" s="258">
        <v>-12188.49139872</v>
      </c>
      <c r="P1046" s="258">
        <v>-91.584979892914689</v>
      </c>
      <c r="Q1046" s="258">
        <f t="shared" si="67"/>
        <v>9907.7226486537766</v>
      </c>
      <c r="R1046" s="259">
        <f t="shared" si="68"/>
        <v>0.34806476874002812</v>
      </c>
      <c r="S1046" s="255">
        <f t="shared" si="65"/>
        <v>30.605069527266693</v>
      </c>
      <c r="T1046" s="255">
        <f t="shared" si="65"/>
        <v>30.605069527266693</v>
      </c>
      <c r="U1046" s="254">
        <v>100300</v>
      </c>
      <c r="V1046" s="254" t="s">
        <v>917</v>
      </c>
      <c r="W1046" s="254" t="s">
        <v>1030</v>
      </c>
      <c r="X1046" s="254" t="s">
        <v>446</v>
      </c>
      <c r="Y1046" s="254" t="s">
        <v>843</v>
      </c>
      <c r="Z1046" s="254" t="s">
        <v>1129</v>
      </c>
      <c r="AA1046" s="254" t="s">
        <v>838</v>
      </c>
    </row>
    <row r="1047" spans="1:27" ht="14.4" x14ac:dyDescent="0.3">
      <c r="A1047" s="253">
        <v>13</v>
      </c>
      <c r="B1047" s="254" t="s">
        <v>851</v>
      </c>
      <c r="C1047" s="254">
        <v>466</v>
      </c>
      <c r="D1047" s="254" t="s">
        <v>40</v>
      </c>
      <c r="E1047" s="254" t="str">
        <f>_xlfn.XLOOKUP(C1047,Clientes!I:I,Clientes!F:F)</f>
        <v>GRUPO ADUBOS ARAGUAIA</v>
      </c>
      <c r="F1047" s="254">
        <v>8214</v>
      </c>
      <c r="G1047" s="254" t="s">
        <v>840</v>
      </c>
      <c r="H1047" s="254" t="s">
        <v>922</v>
      </c>
      <c r="I1047" s="255">
        <v>12000</v>
      </c>
      <c r="J1047" s="256">
        <v>12000</v>
      </c>
      <c r="K1047" s="258">
        <v>455682.15394277748</v>
      </c>
      <c r="L1047" s="258">
        <v>-31861.200000000004</v>
      </c>
      <c r="M1047" s="258">
        <f t="shared" si="66"/>
        <v>423820.95394277747</v>
      </c>
      <c r="N1047" s="258">
        <v>-109721.70750000002</v>
      </c>
      <c r="O1047" s="258">
        <v>-15993.757</v>
      </c>
      <c r="P1047" s="258">
        <v>-120.17795027619179</v>
      </c>
      <c r="Q1047" s="258">
        <f t="shared" si="67"/>
        <v>297985.31149250129</v>
      </c>
      <c r="R1047" s="259">
        <f t="shared" si="68"/>
        <v>0.70309244675225291</v>
      </c>
      <c r="S1047" s="255">
        <f t="shared" si="65"/>
        <v>37.973512828564793</v>
      </c>
      <c r="T1047" s="255">
        <f t="shared" si="65"/>
        <v>37.973512828564793</v>
      </c>
      <c r="U1047" s="254">
        <v>100300</v>
      </c>
      <c r="V1047" s="254" t="s">
        <v>917</v>
      </c>
      <c r="W1047" s="254" t="s">
        <v>874</v>
      </c>
      <c r="X1047" s="254" t="s">
        <v>446</v>
      </c>
      <c r="Y1047" s="254" t="s">
        <v>843</v>
      </c>
      <c r="Z1047" s="254" t="s">
        <v>1129</v>
      </c>
      <c r="AA1047" s="254" t="s">
        <v>838</v>
      </c>
    </row>
    <row r="1048" spans="1:27" ht="14.4" x14ac:dyDescent="0.3">
      <c r="A1048" s="253">
        <v>13</v>
      </c>
      <c r="B1048" s="254" t="s">
        <v>851</v>
      </c>
      <c r="C1048" s="254">
        <v>13390</v>
      </c>
      <c r="D1048" s="254" t="s">
        <v>110</v>
      </c>
      <c r="E1048" s="254" t="str">
        <f>_xlfn.XLOOKUP(C1048,Clientes!I:I,Clientes!F:F)</f>
        <v>GRUPO HERINGER</v>
      </c>
      <c r="F1048" s="254">
        <v>8217</v>
      </c>
      <c r="G1048" s="254" t="s">
        <v>956</v>
      </c>
      <c r="H1048" s="254" t="s">
        <v>927</v>
      </c>
      <c r="I1048" s="255">
        <v>12000</v>
      </c>
      <c r="J1048" s="256">
        <v>12000</v>
      </c>
      <c r="K1048" s="258">
        <v>409309.01620960794</v>
      </c>
      <c r="L1048" s="258">
        <v>-28618.800000000003</v>
      </c>
      <c r="M1048" s="258">
        <f t="shared" si="66"/>
        <v>380690.21620960796</v>
      </c>
      <c r="N1048" s="258">
        <v>-172410.48800000001</v>
      </c>
      <c r="O1048" s="258">
        <v>-10254.863999999958</v>
      </c>
      <c r="P1048" s="258">
        <v>-77.055599624347437</v>
      </c>
      <c r="Q1048" s="258">
        <f t="shared" si="67"/>
        <v>197947.80860998365</v>
      </c>
      <c r="R1048" s="259">
        <f t="shared" si="68"/>
        <v>0.51997083240246345</v>
      </c>
      <c r="S1048" s="255">
        <f t="shared" si="65"/>
        <v>34.109084684133997</v>
      </c>
      <c r="T1048" s="255">
        <f t="shared" si="65"/>
        <v>34.109084684133997</v>
      </c>
      <c r="U1048" s="254">
        <v>100300</v>
      </c>
      <c r="V1048" s="254" t="s">
        <v>917</v>
      </c>
      <c r="W1048" s="254" t="s">
        <v>957</v>
      </c>
      <c r="X1048" s="254" t="s">
        <v>446</v>
      </c>
      <c r="Y1048" s="254" t="s">
        <v>843</v>
      </c>
      <c r="Z1048" s="254" t="s">
        <v>1129</v>
      </c>
      <c r="AA1048" s="254" t="s">
        <v>838</v>
      </c>
    </row>
    <row r="1049" spans="1:27" ht="14.4" x14ac:dyDescent="0.3">
      <c r="A1049" s="253">
        <v>13</v>
      </c>
      <c r="B1049" s="254" t="s">
        <v>851</v>
      </c>
      <c r="C1049" s="254">
        <v>10207</v>
      </c>
      <c r="D1049" s="254" t="s">
        <v>229</v>
      </c>
      <c r="E1049" s="254" t="str">
        <f>_xlfn.XLOOKUP(C1049,Clientes!I:I,Clientes!F:F)</f>
        <v>GRUPO JOSAPAR</v>
      </c>
      <c r="F1049" s="254">
        <v>8214</v>
      </c>
      <c r="G1049" s="254" t="s">
        <v>877</v>
      </c>
      <c r="H1049" s="254" t="s">
        <v>922</v>
      </c>
      <c r="I1049" s="255">
        <v>12000</v>
      </c>
      <c r="J1049" s="256">
        <v>12000</v>
      </c>
      <c r="K1049" s="258">
        <v>450996.78510445205</v>
      </c>
      <c r="L1049" s="258">
        <v>-54057.599999999999</v>
      </c>
      <c r="M1049" s="258">
        <f t="shared" si="66"/>
        <v>396939.18510445207</v>
      </c>
      <c r="N1049" s="258">
        <v>-109721.70750000002</v>
      </c>
      <c r="O1049" s="258">
        <v>-14498.255999999972</v>
      </c>
      <c r="P1049" s="258">
        <v>-108.9406753309742</v>
      </c>
      <c r="Q1049" s="258">
        <f t="shared" si="67"/>
        <v>272610.28092912107</v>
      </c>
      <c r="R1049" s="259">
        <f t="shared" si="68"/>
        <v>0.68678097592553222</v>
      </c>
      <c r="S1049" s="255">
        <f t="shared" si="65"/>
        <v>37.583065425371004</v>
      </c>
      <c r="T1049" s="255">
        <f t="shared" si="65"/>
        <v>37.583065425371004</v>
      </c>
      <c r="U1049" s="254">
        <v>100300</v>
      </c>
      <c r="V1049" s="254" t="s">
        <v>917</v>
      </c>
      <c r="W1049" s="254" t="s">
        <v>878</v>
      </c>
      <c r="X1049" s="254" t="s">
        <v>446</v>
      </c>
      <c r="Y1049" s="254" t="s">
        <v>843</v>
      </c>
      <c r="Z1049" s="254" t="s">
        <v>1129</v>
      </c>
      <c r="AA1049" s="254" t="s">
        <v>838</v>
      </c>
    </row>
    <row r="1050" spans="1:27" ht="14.4" x14ac:dyDescent="0.3">
      <c r="A1050" s="253">
        <v>13</v>
      </c>
      <c r="B1050" s="254" t="s">
        <v>851</v>
      </c>
      <c r="C1050" s="254">
        <v>139</v>
      </c>
      <c r="D1050" s="254" t="s">
        <v>32</v>
      </c>
      <c r="E1050" s="254" t="str">
        <f>_xlfn.XLOOKUP(C1050,Clientes!I:I,Clientes!F:F)</f>
        <v>COMIGO - RIO VERDE</v>
      </c>
      <c r="F1050" s="254">
        <v>8225</v>
      </c>
      <c r="G1050" s="254" t="s">
        <v>867</v>
      </c>
      <c r="H1050" s="254" t="s">
        <v>919</v>
      </c>
      <c r="I1050" s="255">
        <v>27000</v>
      </c>
      <c r="J1050" s="256">
        <v>27000</v>
      </c>
      <c r="K1050" s="258">
        <v>696798.44262275554</v>
      </c>
      <c r="L1050" s="258">
        <v>-48720.000000000044</v>
      </c>
      <c r="M1050" s="258">
        <f t="shared" si="66"/>
        <v>648078.44262275554</v>
      </c>
      <c r="N1050" s="258">
        <v>-169489.00349999999</v>
      </c>
      <c r="O1050" s="258">
        <v>-6320.8859999999995</v>
      </c>
      <c r="P1050" s="258">
        <v>-47.495477354662619</v>
      </c>
      <c r="Q1050" s="258">
        <f t="shared" si="67"/>
        <v>472221.05764540087</v>
      </c>
      <c r="R1050" s="259">
        <f t="shared" si="68"/>
        <v>0.72864799473090835</v>
      </c>
      <c r="S1050" s="255">
        <f t="shared" si="65"/>
        <v>25.807349726768724</v>
      </c>
      <c r="T1050" s="255">
        <f t="shared" si="65"/>
        <v>25.807349726768724</v>
      </c>
      <c r="U1050" s="254">
        <v>100300</v>
      </c>
      <c r="V1050" s="254" t="s">
        <v>917</v>
      </c>
      <c r="W1050" s="254" t="s">
        <v>890</v>
      </c>
      <c r="X1050" s="254" t="s">
        <v>446</v>
      </c>
      <c r="Y1050" s="254" t="s">
        <v>843</v>
      </c>
      <c r="Z1050" s="254" t="s">
        <v>1129</v>
      </c>
      <c r="AA1050" s="254" t="s">
        <v>838</v>
      </c>
    </row>
    <row r="1051" spans="1:27" ht="14.4" x14ac:dyDescent="0.3">
      <c r="A1051" s="253">
        <v>13</v>
      </c>
      <c r="B1051" s="254" t="s">
        <v>851</v>
      </c>
      <c r="C1051" s="254">
        <v>2975</v>
      </c>
      <c r="D1051" s="254" t="s">
        <v>420</v>
      </c>
      <c r="E1051" s="254" t="str">
        <f>_xlfn.XLOOKUP(C1051,Clientes!I:I,Clientes!F:F)</f>
        <v>COONAGRO COOPERATIVA - PARANAGUA</v>
      </c>
      <c r="F1051" s="254">
        <v>8218</v>
      </c>
      <c r="G1051" s="254" t="s">
        <v>862</v>
      </c>
      <c r="H1051" s="254" t="s">
        <v>923</v>
      </c>
      <c r="I1051" s="255">
        <v>10000</v>
      </c>
      <c r="J1051" s="256">
        <v>10000</v>
      </c>
      <c r="K1051" s="258">
        <v>300143.9268653763</v>
      </c>
      <c r="L1051" s="258">
        <v>-35976</v>
      </c>
      <c r="M1051" s="258">
        <f t="shared" si="66"/>
        <v>264167.9268653763</v>
      </c>
      <c r="N1051" s="258">
        <v>-115359.73043478261</v>
      </c>
      <c r="O1051" s="258">
        <v>-9901.2479999999723</v>
      </c>
      <c r="P1051" s="258">
        <v>-74.398509982128658</v>
      </c>
      <c r="Q1051" s="258">
        <f t="shared" si="67"/>
        <v>138832.54992061158</v>
      </c>
      <c r="R1051" s="259">
        <f t="shared" si="68"/>
        <v>0.52554657776968738</v>
      </c>
      <c r="S1051" s="255">
        <f t="shared" si="65"/>
        <v>30.014392686537629</v>
      </c>
      <c r="T1051" s="255">
        <f t="shared" si="65"/>
        <v>30.014392686537629</v>
      </c>
      <c r="U1051" s="254">
        <v>100300</v>
      </c>
      <c r="V1051" s="254" t="s">
        <v>917</v>
      </c>
      <c r="W1051" s="254" t="s">
        <v>864</v>
      </c>
      <c r="X1051" s="254" t="s">
        <v>446</v>
      </c>
      <c r="Y1051" s="254" t="s">
        <v>843</v>
      </c>
      <c r="Z1051" s="254" t="s">
        <v>1129</v>
      </c>
      <c r="AA1051" s="254" t="s">
        <v>838</v>
      </c>
    </row>
    <row r="1052" spans="1:27" ht="14.4" x14ac:dyDescent="0.3">
      <c r="A1052" s="253">
        <v>13</v>
      </c>
      <c r="B1052" s="254" t="s">
        <v>851</v>
      </c>
      <c r="C1052" s="254">
        <v>3142</v>
      </c>
      <c r="D1052" s="254" t="s">
        <v>78</v>
      </c>
      <c r="E1052" s="254" t="str">
        <f>_xlfn.XLOOKUP(C1052,Clientes!I:I,Clientes!F:F)</f>
        <v>INTERFERTIL - SAO FRANCISCO DO SUL</v>
      </c>
      <c r="F1052" s="254">
        <v>8214</v>
      </c>
      <c r="G1052" s="254" t="s">
        <v>893</v>
      </c>
      <c r="H1052" s="254" t="s">
        <v>922</v>
      </c>
      <c r="I1052" s="255">
        <v>3000</v>
      </c>
      <c r="J1052" s="256">
        <v>3000</v>
      </c>
      <c r="K1052" s="258">
        <v>98452.814436094428</v>
      </c>
      <c r="L1052" s="258">
        <v>-11800.8</v>
      </c>
      <c r="M1052" s="258">
        <f t="shared" si="66"/>
        <v>86652.014436094425</v>
      </c>
      <c r="N1052" s="258">
        <v>-27430.426875000005</v>
      </c>
      <c r="O1052" s="258">
        <v>-9901.2479999999723</v>
      </c>
      <c r="P1052" s="258">
        <v>-74.398509982128658</v>
      </c>
      <c r="Q1052" s="258">
        <f t="shared" si="67"/>
        <v>49245.941051112321</v>
      </c>
      <c r="R1052" s="259">
        <f t="shared" si="68"/>
        <v>0.56831847905199062</v>
      </c>
      <c r="S1052" s="255">
        <f t="shared" si="65"/>
        <v>32.817604812031476</v>
      </c>
      <c r="T1052" s="255">
        <f t="shared" si="65"/>
        <v>32.817604812031476</v>
      </c>
      <c r="U1052" s="254">
        <v>100300</v>
      </c>
      <c r="V1052" s="254" t="s">
        <v>917</v>
      </c>
      <c r="W1052" s="254" t="s">
        <v>894</v>
      </c>
      <c r="X1052" s="254" t="s">
        <v>446</v>
      </c>
      <c r="Y1052" s="254" t="s">
        <v>843</v>
      </c>
      <c r="Z1052" s="254" t="s">
        <v>1129</v>
      </c>
      <c r="AA1052" s="254" t="s">
        <v>838</v>
      </c>
    </row>
    <row r="1053" spans="1:27" ht="14.4" x14ac:dyDescent="0.3">
      <c r="A1053" s="253">
        <v>13</v>
      </c>
      <c r="B1053" s="254" t="s">
        <v>851</v>
      </c>
      <c r="C1053" s="254">
        <v>10891</v>
      </c>
      <c r="D1053" s="254" t="s">
        <v>104</v>
      </c>
      <c r="E1053" s="254" t="str">
        <f>_xlfn.XLOOKUP(C1053,Clientes!I:I,Clientes!F:F)</f>
        <v>GRUPO HINOVE</v>
      </c>
      <c r="F1053" s="254">
        <v>8214</v>
      </c>
      <c r="G1053" s="254" t="s">
        <v>924</v>
      </c>
      <c r="H1053" s="254" t="s">
        <v>922</v>
      </c>
      <c r="I1053" s="255">
        <v>4000</v>
      </c>
      <c r="J1053" s="256">
        <v>4000</v>
      </c>
      <c r="K1053" s="258">
        <v>124542.71014694068</v>
      </c>
      <c r="L1053" s="258">
        <v>-8708</v>
      </c>
      <c r="M1053" s="258">
        <f t="shared" si="66"/>
        <v>115834.71014694068</v>
      </c>
      <c r="N1053" s="258">
        <v>-36573.902500000004</v>
      </c>
      <c r="O1053" s="258">
        <v>-7691.1480000000047</v>
      </c>
      <c r="P1053" s="258">
        <v>-57.791699718260851</v>
      </c>
      <c r="Q1053" s="258">
        <f t="shared" si="67"/>
        <v>71511.867947222403</v>
      </c>
      <c r="R1053" s="259">
        <f t="shared" si="68"/>
        <v>0.61736130609302609</v>
      </c>
      <c r="S1053" s="255">
        <f t="shared" si="65"/>
        <v>31.135677536735169</v>
      </c>
      <c r="T1053" s="255">
        <f t="shared" si="65"/>
        <v>31.135677536735169</v>
      </c>
      <c r="U1053" s="254">
        <v>100300</v>
      </c>
      <c r="V1053" s="254" t="s">
        <v>917</v>
      </c>
      <c r="W1053" s="254" t="s">
        <v>925</v>
      </c>
      <c r="X1053" s="254" t="s">
        <v>446</v>
      </c>
      <c r="Y1053" s="254" t="s">
        <v>843</v>
      </c>
      <c r="Z1053" s="254" t="s">
        <v>1129</v>
      </c>
      <c r="AA1053" s="254" t="s">
        <v>838</v>
      </c>
    </row>
    <row r="1054" spans="1:27" ht="14.4" x14ac:dyDescent="0.3">
      <c r="A1054" s="253">
        <v>13</v>
      </c>
      <c r="B1054" s="254" t="s">
        <v>851</v>
      </c>
      <c r="C1054" s="254">
        <v>10492</v>
      </c>
      <c r="D1054" s="254" t="s">
        <v>101</v>
      </c>
      <c r="E1054" s="254" t="str">
        <f>_xlfn.XLOOKUP(C1054,Clientes!I:I,Clientes!F:F)</f>
        <v>GRUPO UNIFERTIL</v>
      </c>
      <c r="F1054" s="254">
        <v>8216</v>
      </c>
      <c r="G1054" s="254" t="s">
        <v>877</v>
      </c>
      <c r="H1054" s="254" t="s">
        <v>938</v>
      </c>
      <c r="I1054" s="255">
        <v>24000</v>
      </c>
      <c r="J1054" s="256">
        <v>24000</v>
      </c>
      <c r="K1054" s="258">
        <v>746535.43490651704</v>
      </c>
      <c r="L1054" s="258">
        <v>-89481.599999999991</v>
      </c>
      <c r="M1054" s="258">
        <f t="shared" si="66"/>
        <v>657053.83490651706</v>
      </c>
      <c r="N1054" s="258">
        <v>-228901.05</v>
      </c>
      <c r="O1054" s="258">
        <v>-25187.772999999997</v>
      </c>
      <c r="P1054" s="258">
        <v>-189.26228097388287</v>
      </c>
      <c r="Q1054" s="258">
        <f t="shared" si="67"/>
        <v>402775.74962554319</v>
      </c>
      <c r="R1054" s="259">
        <f t="shared" si="68"/>
        <v>0.61300266162033512</v>
      </c>
      <c r="S1054" s="255">
        <f t="shared" si="65"/>
        <v>31.105643121104876</v>
      </c>
      <c r="T1054" s="255">
        <f t="shared" si="65"/>
        <v>31.105643121104876</v>
      </c>
      <c r="U1054" s="254">
        <v>100300</v>
      </c>
      <c r="V1054" s="254" t="s">
        <v>917</v>
      </c>
      <c r="W1054" s="254" t="s">
        <v>878</v>
      </c>
      <c r="X1054" s="254" t="s">
        <v>446</v>
      </c>
      <c r="Y1054" s="254" t="s">
        <v>843</v>
      </c>
      <c r="Z1054" s="254" t="s">
        <v>1129</v>
      </c>
      <c r="AA1054" s="254" t="s">
        <v>838</v>
      </c>
    </row>
    <row r="1055" spans="1:27" ht="14.4" x14ac:dyDescent="0.3">
      <c r="A1055" s="253">
        <v>11</v>
      </c>
      <c r="B1055" s="254" t="s">
        <v>851</v>
      </c>
      <c r="C1055" s="254">
        <v>507</v>
      </c>
      <c r="D1055" s="254" t="s">
        <v>42</v>
      </c>
      <c r="E1055" s="254" t="str">
        <f>_xlfn.XLOOKUP(C1055,Clientes!I:I,Clientes!F:F)</f>
        <v>FERTIAL FERTILIZANTES USIFERTIL - MACEIO</v>
      </c>
      <c r="F1055" s="254">
        <v>14142</v>
      </c>
      <c r="G1055" s="254" t="s">
        <v>1040</v>
      </c>
      <c r="H1055" s="254" t="s">
        <v>962</v>
      </c>
      <c r="I1055" s="255">
        <v>12000</v>
      </c>
      <c r="J1055" s="256">
        <v>12000</v>
      </c>
      <c r="K1055" s="258">
        <v>72960</v>
      </c>
      <c r="L1055" s="258">
        <v>-5107.2000000000007</v>
      </c>
      <c r="M1055" s="258">
        <f t="shared" si="66"/>
        <v>67852.800000000003</v>
      </c>
      <c r="N1055" s="258">
        <v>-37764.564444444441</v>
      </c>
      <c r="O1055" s="258">
        <v>-21003.719143679999</v>
      </c>
      <c r="P1055" s="258">
        <v>-157.82307527019904</v>
      </c>
      <c r="Q1055" s="258">
        <f t="shared" si="67"/>
        <v>8926.6933366053654</v>
      </c>
      <c r="R1055" s="259">
        <f t="shared" si="68"/>
        <v>0.13155969004382081</v>
      </c>
      <c r="S1055" s="255">
        <f t="shared" si="65"/>
        <v>6.08</v>
      </c>
      <c r="T1055" s="255">
        <f t="shared" si="65"/>
        <v>6.08</v>
      </c>
      <c r="U1055" s="254">
        <v>100700</v>
      </c>
      <c r="V1055" s="254" t="s">
        <v>960</v>
      </c>
      <c r="W1055" s="254" t="s">
        <v>1041</v>
      </c>
      <c r="X1055" s="254" t="s">
        <v>446</v>
      </c>
      <c r="Y1055" s="254" t="s">
        <v>843</v>
      </c>
      <c r="Z1055" s="254" t="s">
        <v>1129</v>
      </c>
      <c r="AA1055" s="254" t="s">
        <v>838</v>
      </c>
    </row>
    <row r="1056" spans="1:27" ht="14.4" x14ac:dyDescent="0.3">
      <c r="A1056" s="253">
        <v>11</v>
      </c>
      <c r="B1056" s="254" t="s">
        <v>851</v>
      </c>
      <c r="C1056" s="254">
        <v>8995</v>
      </c>
      <c r="D1056" s="254" t="s">
        <v>172</v>
      </c>
      <c r="E1056" s="254" t="str">
        <f>_xlfn.XLOOKUP(C1056,Clientes!I:I,Clientes!F:F)</f>
        <v>FERTIPOL - DOURADOS</v>
      </c>
      <c r="F1056" s="254">
        <v>3351</v>
      </c>
      <c r="G1056" s="254" t="s">
        <v>924</v>
      </c>
      <c r="H1056" s="254" t="s">
        <v>965</v>
      </c>
      <c r="I1056" s="255">
        <v>30000</v>
      </c>
      <c r="J1056" s="256">
        <v>30000</v>
      </c>
      <c r="K1056" s="258">
        <v>160200</v>
      </c>
      <c r="L1056" s="258">
        <v>-11214.000000000002</v>
      </c>
      <c r="M1056" s="258">
        <f t="shared" si="66"/>
        <v>148986</v>
      </c>
      <c r="N1056" s="258">
        <v>-95443.8676923077</v>
      </c>
      <c r="O1056" s="258">
        <v>-11914.507987199999</v>
      </c>
      <c r="P1056" s="258">
        <v>-89.526253803344105</v>
      </c>
      <c r="Q1056" s="258">
        <f t="shared" si="67"/>
        <v>41538.098066688959</v>
      </c>
      <c r="R1056" s="259">
        <f t="shared" si="68"/>
        <v>0.27880537813411299</v>
      </c>
      <c r="S1056" s="255">
        <f t="shared" si="65"/>
        <v>5.34</v>
      </c>
      <c r="T1056" s="255">
        <f t="shared" si="65"/>
        <v>5.34</v>
      </c>
      <c r="U1056" s="254">
        <v>100700</v>
      </c>
      <c r="V1056" s="254" t="s">
        <v>960</v>
      </c>
      <c r="W1056" s="254" t="s">
        <v>1042</v>
      </c>
      <c r="X1056" s="254" t="s">
        <v>446</v>
      </c>
      <c r="Y1056" s="254" t="s">
        <v>843</v>
      </c>
      <c r="Z1056" s="254" t="s">
        <v>1129</v>
      </c>
      <c r="AA1056" s="254" t="s">
        <v>838</v>
      </c>
    </row>
    <row r="1057" spans="1:27" ht="14.4" x14ac:dyDescent="0.3">
      <c r="A1057" s="253">
        <v>11</v>
      </c>
      <c r="B1057" s="254" t="s">
        <v>851</v>
      </c>
      <c r="C1057" s="254">
        <v>5300</v>
      </c>
      <c r="D1057" s="254" t="s">
        <v>25</v>
      </c>
      <c r="E1057" s="254" t="str">
        <f>_xlfn.XLOOKUP(C1057,Clientes!I:I,Clientes!F:F)</f>
        <v>FOSNOR - LUIS EDUARDO MAGALHAES</v>
      </c>
      <c r="F1057" s="254">
        <v>4246</v>
      </c>
      <c r="G1057" s="254" t="s">
        <v>875</v>
      </c>
      <c r="H1057" s="254" t="s">
        <v>959</v>
      </c>
      <c r="I1057" s="255">
        <v>150000</v>
      </c>
      <c r="J1057" s="256">
        <v>150000</v>
      </c>
      <c r="K1057" s="258">
        <v>877500</v>
      </c>
      <c r="L1057" s="258">
        <v>-61425.000000000007</v>
      </c>
      <c r="M1057" s="258">
        <f t="shared" si="66"/>
        <v>816075</v>
      </c>
      <c r="N1057" s="258">
        <v>-395655.75</v>
      </c>
      <c r="O1057" s="258">
        <v>-77419.165823999996</v>
      </c>
      <c r="P1057" s="258">
        <v>-581.73177576856517</v>
      </c>
      <c r="Q1057" s="258">
        <f t="shared" si="67"/>
        <v>342418.35240023141</v>
      </c>
      <c r="R1057" s="259">
        <f t="shared" si="68"/>
        <v>0.41959176840392293</v>
      </c>
      <c r="S1057" s="255">
        <f t="shared" si="65"/>
        <v>5.85</v>
      </c>
      <c r="T1057" s="255">
        <f t="shared" si="65"/>
        <v>5.85</v>
      </c>
      <c r="U1057" s="254">
        <v>100700</v>
      </c>
      <c r="V1057" s="254" t="s">
        <v>960</v>
      </c>
      <c r="W1057" s="254" t="s">
        <v>961</v>
      </c>
      <c r="X1057" s="254" t="s">
        <v>446</v>
      </c>
      <c r="Y1057" s="254" t="s">
        <v>843</v>
      </c>
      <c r="Z1057" s="254" t="s">
        <v>1129</v>
      </c>
      <c r="AA1057" s="254" t="s">
        <v>838</v>
      </c>
    </row>
    <row r="1058" spans="1:27" ht="14.4" x14ac:dyDescent="0.3">
      <c r="A1058" s="253">
        <v>11</v>
      </c>
      <c r="B1058" s="254" t="s">
        <v>851</v>
      </c>
      <c r="C1058" s="254">
        <v>1789</v>
      </c>
      <c r="D1058" s="254" t="s">
        <v>61</v>
      </c>
      <c r="E1058" s="254" t="str">
        <f>_xlfn.XLOOKUP(C1058,Clientes!I:I,Clientes!F:F)</f>
        <v>GRUPO MOSAIC FERTILIZANTES P K LTDA</v>
      </c>
      <c r="F1058" s="254">
        <v>3359</v>
      </c>
      <c r="G1058" s="254" t="s">
        <v>855</v>
      </c>
      <c r="H1058" s="254" t="s">
        <v>967</v>
      </c>
      <c r="I1058" s="255">
        <v>300000</v>
      </c>
      <c r="J1058" s="256">
        <v>300000</v>
      </c>
      <c r="K1058" s="258">
        <v>1164000</v>
      </c>
      <c r="L1058" s="258">
        <v>0</v>
      </c>
      <c r="M1058" s="258">
        <f t="shared" si="66"/>
        <v>1164000</v>
      </c>
      <c r="N1058" s="258">
        <v>-737077.5</v>
      </c>
      <c r="O1058" s="258">
        <v>-31671.476927999996</v>
      </c>
      <c r="P1058" s="258">
        <v>-237.98118099623113</v>
      </c>
      <c r="Q1058" s="258">
        <f t="shared" si="67"/>
        <v>395013.04189100378</v>
      </c>
      <c r="R1058" s="259">
        <f t="shared" si="68"/>
        <v>0.3393582834115153</v>
      </c>
      <c r="S1058" s="255">
        <f t="shared" si="65"/>
        <v>3.88</v>
      </c>
      <c r="T1058" s="255">
        <f t="shared" si="65"/>
        <v>3.88</v>
      </c>
      <c r="U1058" s="254">
        <v>100700</v>
      </c>
      <c r="V1058" s="254" t="s">
        <v>960</v>
      </c>
      <c r="W1058" s="254" t="s">
        <v>969</v>
      </c>
      <c r="X1058" s="254" t="s">
        <v>446</v>
      </c>
      <c r="Y1058" s="254" t="s">
        <v>843</v>
      </c>
      <c r="Z1058" s="254" t="s">
        <v>1129</v>
      </c>
      <c r="AA1058" s="254" t="s">
        <v>838</v>
      </c>
    </row>
    <row r="1059" spans="1:27" ht="14.4" x14ac:dyDescent="0.3">
      <c r="A1059" s="253">
        <v>11</v>
      </c>
      <c r="B1059" s="254" t="s">
        <v>851</v>
      </c>
      <c r="C1059" s="254">
        <v>2619</v>
      </c>
      <c r="D1059" s="254" t="s">
        <v>1107</v>
      </c>
      <c r="E1059" s="254" t="str">
        <f>_xlfn.XLOOKUP(C1059,Clientes!I:I,Clientes!F:F)</f>
        <v>FOSPAR - PARANAGUÁ</v>
      </c>
      <c r="F1059" s="254">
        <v>4552</v>
      </c>
      <c r="G1059" s="254" t="s">
        <v>862</v>
      </c>
      <c r="H1059" s="254" t="s">
        <v>1108</v>
      </c>
      <c r="I1059" s="255">
        <v>60000</v>
      </c>
      <c r="J1059" s="256">
        <v>60000</v>
      </c>
      <c r="K1059" s="258">
        <v>384000</v>
      </c>
      <c r="L1059" s="258">
        <v>-46080</v>
      </c>
      <c r="M1059" s="258">
        <f t="shared" si="66"/>
        <v>337920</v>
      </c>
      <c r="N1059" s="258">
        <v>-180941.22</v>
      </c>
      <c r="O1059" s="258">
        <v>-28099.2114</v>
      </c>
      <c r="P1059" s="258">
        <v>-211.13898569481839</v>
      </c>
      <c r="Q1059" s="258">
        <f t="shared" si="67"/>
        <v>128668.42961430518</v>
      </c>
      <c r="R1059" s="259">
        <f t="shared" si="68"/>
        <v>0.38076594937945424</v>
      </c>
      <c r="S1059" s="255">
        <f t="shared" si="65"/>
        <v>6.4</v>
      </c>
      <c r="T1059" s="255">
        <f t="shared" si="65"/>
        <v>6.4</v>
      </c>
      <c r="U1059" s="254">
        <v>100700</v>
      </c>
      <c r="V1059" s="254" t="s">
        <v>960</v>
      </c>
      <c r="W1059" s="254" t="s">
        <v>864</v>
      </c>
      <c r="X1059" s="254" t="s">
        <v>446</v>
      </c>
      <c r="Y1059" s="254" t="s">
        <v>843</v>
      </c>
      <c r="Z1059" s="254" t="s">
        <v>1129</v>
      </c>
      <c r="AA1059" s="254" t="s">
        <v>838</v>
      </c>
    </row>
    <row r="1060" spans="1:27" ht="14.4" x14ac:dyDescent="0.3">
      <c r="A1060" s="253">
        <v>11</v>
      </c>
      <c r="B1060" s="254" t="s">
        <v>851</v>
      </c>
      <c r="C1060" s="254">
        <v>12629</v>
      </c>
      <c r="D1060" s="254" t="s">
        <v>109</v>
      </c>
      <c r="E1060" s="254" t="str">
        <f>_xlfn.XLOOKUP(C1060,Clientes!I:I,Clientes!F:F)</f>
        <v>EUROCHEM SERRA DO SALITRE</v>
      </c>
      <c r="F1060" s="254">
        <v>3359</v>
      </c>
      <c r="G1060" s="254" t="s">
        <v>855</v>
      </c>
      <c r="H1060" s="254" t="s">
        <v>967</v>
      </c>
      <c r="I1060" s="255">
        <v>120000</v>
      </c>
      <c r="J1060" s="256">
        <v>120000</v>
      </c>
      <c r="K1060" s="258">
        <v>654000</v>
      </c>
      <c r="L1060" s="258">
        <v>-117720</v>
      </c>
      <c r="M1060" s="258">
        <f t="shared" si="66"/>
        <v>536280</v>
      </c>
      <c r="N1060" s="258">
        <v>-294831</v>
      </c>
      <c r="O1060" s="258">
        <v>-16891.454361600001</v>
      </c>
      <c r="P1060" s="258">
        <v>-126.92329653132332</v>
      </c>
      <c r="Q1060" s="258">
        <f t="shared" si="67"/>
        <v>224430.6223418687</v>
      </c>
      <c r="R1060" s="259">
        <f t="shared" si="68"/>
        <v>0.41849523074115891</v>
      </c>
      <c r="S1060" s="255">
        <f t="shared" si="65"/>
        <v>5.45</v>
      </c>
      <c r="T1060" s="255">
        <f t="shared" si="65"/>
        <v>5.45</v>
      </c>
      <c r="U1060" s="254">
        <v>100700</v>
      </c>
      <c r="V1060" s="254" t="s">
        <v>960</v>
      </c>
      <c r="W1060" s="254" t="s">
        <v>968</v>
      </c>
      <c r="X1060" s="254" t="s">
        <v>446</v>
      </c>
      <c r="Y1060" s="254" t="s">
        <v>843</v>
      </c>
      <c r="Z1060" s="254" t="s">
        <v>1129</v>
      </c>
      <c r="AA1060" s="254" t="s">
        <v>838</v>
      </c>
    </row>
    <row r="1061" spans="1:27" ht="14.4" x14ac:dyDescent="0.3">
      <c r="A1061" s="253">
        <v>11</v>
      </c>
      <c r="B1061" s="254" t="s">
        <v>851</v>
      </c>
      <c r="C1061" s="254">
        <v>201</v>
      </c>
      <c r="D1061" s="254" t="s">
        <v>288</v>
      </c>
      <c r="E1061" s="254" t="str">
        <f>_xlfn.XLOOKUP(C1061,Clientes!I:I,Clientes!F:F)</f>
        <v>GRUPO JOSAPAR</v>
      </c>
      <c r="F1061" s="254">
        <v>14142</v>
      </c>
      <c r="G1061" s="254" t="s">
        <v>877</v>
      </c>
      <c r="H1061" s="254" t="s">
        <v>962</v>
      </c>
      <c r="I1061" s="255">
        <v>11400</v>
      </c>
      <c r="J1061" s="256">
        <v>11400</v>
      </c>
      <c r="K1061" s="258">
        <v>87666</v>
      </c>
      <c r="L1061" s="258">
        <v>-10519.92</v>
      </c>
      <c r="M1061" s="258">
        <f t="shared" si="66"/>
        <v>77146.080000000002</v>
      </c>
      <c r="N1061" s="258">
        <v>-35876.336222222228</v>
      </c>
      <c r="O1061" s="258">
        <v>-20182.774352831999</v>
      </c>
      <c r="P1061" s="258">
        <v>-151.65445195961416</v>
      </c>
      <c r="Q1061" s="258">
        <f t="shared" si="67"/>
        <v>20935.314972986162</v>
      </c>
      <c r="R1061" s="259">
        <f t="shared" si="68"/>
        <v>0.27137237527799418</v>
      </c>
      <c r="S1061" s="255">
        <f t="shared" si="65"/>
        <v>7.69</v>
      </c>
      <c r="T1061" s="255">
        <f t="shared" si="65"/>
        <v>7.69</v>
      </c>
      <c r="U1061" s="254">
        <v>100700</v>
      </c>
      <c r="V1061" s="254" t="s">
        <v>960</v>
      </c>
      <c r="W1061" s="254" t="s">
        <v>1109</v>
      </c>
      <c r="X1061" s="254" t="s">
        <v>446</v>
      </c>
      <c r="Y1061" s="254" t="s">
        <v>843</v>
      </c>
      <c r="Z1061" s="254" t="s">
        <v>1129</v>
      </c>
      <c r="AA1061" s="254" t="s">
        <v>838</v>
      </c>
    </row>
    <row r="1062" spans="1:27" ht="14.4" x14ac:dyDescent="0.3">
      <c r="A1062" s="253">
        <v>11</v>
      </c>
      <c r="B1062" s="254" t="s">
        <v>851</v>
      </c>
      <c r="C1062" s="254">
        <v>2603</v>
      </c>
      <c r="D1062" s="254" t="s">
        <v>1074</v>
      </c>
      <c r="E1062" s="254" t="str">
        <f>_xlfn.XLOOKUP(C1062,Clientes!I:I,Clientes!F:F)</f>
        <v>GRUPO MOSAIC FERTILIZANTES DO BRASIL</v>
      </c>
      <c r="F1062" s="254">
        <v>3362</v>
      </c>
      <c r="G1062" s="254" t="s">
        <v>897</v>
      </c>
      <c r="H1062" s="254" t="s">
        <v>1097</v>
      </c>
      <c r="I1062" s="255">
        <v>60000</v>
      </c>
      <c r="J1062" s="256">
        <v>60000</v>
      </c>
      <c r="K1062" s="258">
        <v>386400</v>
      </c>
      <c r="L1062" s="258">
        <v>-27048.000000000004</v>
      </c>
      <c r="M1062" s="258">
        <f t="shared" si="66"/>
        <v>359352</v>
      </c>
      <c r="N1062" s="258">
        <v>-190663.19999999998</v>
      </c>
      <c r="O1062" s="258">
        <v>0</v>
      </c>
      <c r="P1062" s="258">
        <v>0</v>
      </c>
      <c r="Q1062" s="258">
        <f t="shared" si="67"/>
        <v>168688.80000000002</v>
      </c>
      <c r="R1062" s="259">
        <f t="shared" si="68"/>
        <v>0.46942496493688646</v>
      </c>
      <c r="S1062" s="255">
        <f t="shared" si="65"/>
        <v>6.44</v>
      </c>
      <c r="T1062" s="255">
        <f t="shared" si="65"/>
        <v>6.44</v>
      </c>
      <c r="U1062" s="254">
        <v>100700</v>
      </c>
      <c r="V1062" s="254" t="s">
        <v>960</v>
      </c>
      <c r="W1062" s="254" t="s">
        <v>899</v>
      </c>
      <c r="X1062" s="254" t="s">
        <v>446</v>
      </c>
      <c r="Y1062" s="254" t="s">
        <v>843</v>
      </c>
      <c r="Z1062" s="254" t="s">
        <v>1129</v>
      </c>
      <c r="AA1062" s="254" t="s">
        <v>838</v>
      </c>
    </row>
    <row r="1063" spans="1:27" ht="14.4" x14ac:dyDescent="0.3">
      <c r="A1063" s="253">
        <v>11</v>
      </c>
      <c r="B1063" s="254" t="s">
        <v>851</v>
      </c>
      <c r="C1063" s="254">
        <v>1787</v>
      </c>
      <c r="D1063" s="254" t="s">
        <v>57</v>
      </c>
      <c r="E1063" s="254" t="str">
        <f>_xlfn.XLOOKUP(C1063,Clientes!I:I,Clientes!F:F)</f>
        <v>GRUPO MOSAIC FERTILIZANTES P K LTDA</v>
      </c>
      <c r="F1063" s="254">
        <v>3359</v>
      </c>
      <c r="G1063" s="254" t="s">
        <v>855</v>
      </c>
      <c r="H1063" s="254" t="s">
        <v>967</v>
      </c>
      <c r="I1063" s="255">
        <v>270000</v>
      </c>
      <c r="J1063" s="256">
        <v>270000</v>
      </c>
      <c r="K1063" s="258">
        <v>1047600</v>
      </c>
      <c r="L1063" s="258">
        <v>0</v>
      </c>
      <c r="M1063" s="258">
        <f t="shared" si="66"/>
        <v>1047600</v>
      </c>
      <c r="N1063" s="258">
        <v>-663369.75</v>
      </c>
      <c r="O1063" s="258">
        <v>-21979.444499999998</v>
      </c>
      <c r="P1063" s="258">
        <v>-165.15472807416774</v>
      </c>
      <c r="Q1063" s="258">
        <f t="shared" si="67"/>
        <v>362085.65077192587</v>
      </c>
      <c r="R1063" s="259">
        <f t="shared" si="68"/>
        <v>0.34563349634586282</v>
      </c>
      <c r="S1063" s="255">
        <f t="shared" si="65"/>
        <v>3.88</v>
      </c>
      <c r="T1063" s="255">
        <f t="shared" si="65"/>
        <v>3.88</v>
      </c>
      <c r="U1063" s="254">
        <v>100700</v>
      </c>
      <c r="V1063" s="254" t="s">
        <v>960</v>
      </c>
      <c r="W1063" s="254" t="s">
        <v>892</v>
      </c>
      <c r="X1063" s="254" t="s">
        <v>446</v>
      </c>
      <c r="Y1063" s="254" t="s">
        <v>843</v>
      </c>
      <c r="Z1063" s="254" t="s">
        <v>1129</v>
      </c>
      <c r="AA1063" s="254" t="s">
        <v>838</v>
      </c>
    </row>
    <row r="1064" spans="1:27" ht="14.4" x14ac:dyDescent="0.3">
      <c r="A1064" s="253">
        <v>11</v>
      </c>
      <c r="B1064" s="254" t="s">
        <v>851</v>
      </c>
      <c r="C1064" s="254">
        <v>456</v>
      </c>
      <c r="D1064" s="254" t="s">
        <v>312</v>
      </c>
      <c r="E1064" s="254" t="str">
        <f>_xlfn.XLOOKUP(C1064,Clientes!I:I,Clientes!F:F)</f>
        <v>GRUPO FERTIPAR FERTILIZANTES DO NORDESTE</v>
      </c>
      <c r="F1064" s="254">
        <v>3353</v>
      </c>
      <c r="G1064" s="254" t="s">
        <v>875</v>
      </c>
      <c r="H1064" s="254" t="s">
        <v>972</v>
      </c>
      <c r="I1064" s="255">
        <v>30000</v>
      </c>
      <c r="J1064" s="256">
        <v>30000</v>
      </c>
      <c r="K1064" s="258">
        <v>185400</v>
      </c>
      <c r="L1064" s="258">
        <v>-12978.000000000002</v>
      </c>
      <c r="M1064" s="258">
        <f t="shared" si="66"/>
        <v>172422</v>
      </c>
      <c r="N1064" s="258">
        <v>-97302.37</v>
      </c>
      <c r="O1064" s="258">
        <v>-21548.474999999999</v>
      </c>
      <c r="P1064" s="258">
        <v>-161.91640007271349</v>
      </c>
      <c r="Q1064" s="258">
        <f t="shared" si="67"/>
        <v>53409.238599927296</v>
      </c>
      <c r="R1064" s="259">
        <f t="shared" si="68"/>
        <v>0.30975883935882481</v>
      </c>
      <c r="S1064" s="255">
        <f t="shared" si="65"/>
        <v>6.18</v>
      </c>
      <c r="T1064" s="255">
        <f t="shared" si="65"/>
        <v>6.18</v>
      </c>
      <c r="U1064" s="254">
        <v>100700</v>
      </c>
      <c r="V1064" s="254" t="s">
        <v>960</v>
      </c>
      <c r="W1064" s="254" t="s">
        <v>876</v>
      </c>
      <c r="X1064" s="254" t="s">
        <v>446</v>
      </c>
      <c r="Y1064" s="254" t="s">
        <v>843</v>
      </c>
      <c r="Z1064" s="254" t="s">
        <v>1129</v>
      </c>
      <c r="AA1064" s="254" t="s">
        <v>838</v>
      </c>
    </row>
    <row r="1065" spans="1:27" ht="14.4" x14ac:dyDescent="0.3">
      <c r="A1065" s="253">
        <v>11</v>
      </c>
      <c r="B1065" s="254" t="s">
        <v>851</v>
      </c>
      <c r="C1065" s="254">
        <v>12741</v>
      </c>
      <c r="D1065" s="254" t="s">
        <v>964</v>
      </c>
      <c r="E1065" s="254" t="str">
        <f>_xlfn.XLOOKUP(C1065,Clientes!I:I,Clientes!F:F)</f>
        <v>GRUPO HINOVE</v>
      </c>
      <c r="F1065" s="254">
        <v>3351</v>
      </c>
      <c r="G1065" s="254" t="s">
        <v>908</v>
      </c>
      <c r="H1065" s="254" t="s">
        <v>965</v>
      </c>
      <c r="I1065" s="255">
        <v>30000</v>
      </c>
      <c r="J1065" s="256">
        <v>30000</v>
      </c>
      <c r="K1065" s="258">
        <v>175500</v>
      </c>
      <c r="L1065" s="258">
        <v>-21060</v>
      </c>
      <c r="M1065" s="258">
        <f t="shared" si="66"/>
        <v>154440</v>
      </c>
      <c r="N1065" s="258">
        <v>-95443.8676923077</v>
      </c>
      <c r="O1065" s="258">
        <v>0</v>
      </c>
      <c r="P1065" s="258">
        <v>0</v>
      </c>
      <c r="Q1065" s="258">
        <f t="shared" si="67"/>
        <v>58996.1323076923</v>
      </c>
      <c r="R1065" s="259">
        <f t="shared" si="68"/>
        <v>0.38200033869264632</v>
      </c>
      <c r="S1065" s="255">
        <f t="shared" si="65"/>
        <v>5.85</v>
      </c>
      <c r="T1065" s="255">
        <f t="shared" si="65"/>
        <v>5.85</v>
      </c>
      <c r="U1065" s="254">
        <v>100700</v>
      </c>
      <c r="V1065" s="254" t="s">
        <v>960</v>
      </c>
      <c r="W1065" s="254" t="s">
        <v>966</v>
      </c>
      <c r="X1065" s="254" t="s">
        <v>446</v>
      </c>
      <c r="Y1065" s="254" t="s">
        <v>843</v>
      </c>
      <c r="Z1065" s="254" t="s">
        <v>1129</v>
      </c>
      <c r="AA1065" s="254" t="s">
        <v>838</v>
      </c>
    </row>
    <row r="1066" spans="1:27" ht="14.4" x14ac:dyDescent="0.3">
      <c r="A1066" s="253">
        <v>11</v>
      </c>
      <c r="B1066" s="254" t="s">
        <v>851</v>
      </c>
      <c r="C1066" s="254">
        <v>6477</v>
      </c>
      <c r="D1066" s="254" t="s">
        <v>87</v>
      </c>
      <c r="E1066" s="254" t="str">
        <f>_xlfn.XLOOKUP(C1066,Clientes!I:I,Clientes!F:F)</f>
        <v>GRUPO MOSAIC FERTILIZANTES DO BRASIL</v>
      </c>
      <c r="F1066" s="254">
        <v>3362</v>
      </c>
      <c r="G1066" s="254" t="s">
        <v>862</v>
      </c>
      <c r="H1066" s="254" t="s">
        <v>1097</v>
      </c>
      <c r="I1066" s="255">
        <v>300000</v>
      </c>
      <c r="J1066" s="256">
        <v>300000</v>
      </c>
      <c r="K1066" s="258">
        <v>1839000</v>
      </c>
      <c r="L1066" s="258">
        <v>-220680</v>
      </c>
      <c r="M1066" s="258">
        <f t="shared" si="66"/>
        <v>1618320</v>
      </c>
      <c r="N1066" s="258">
        <v>-953316</v>
      </c>
      <c r="O1066" s="258">
        <v>-140496.057</v>
      </c>
      <c r="P1066" s="258">
        <v>-1055.694928474092</v>
      </c>
      <c r="Q1066" s="258">
        <f t="shared" si="67"/>
        <v>523452.24807152589</v>
      </c>
      <c r="R1066" s="259">
        <f t="shared" si="68"/>
        <v>0.32345410553631287</v>
      </c>
      <c r="S1066" s="255">
        <f t="shared" si="65"/>
        <v>6.13</v>
      </c>
      <c r="T1066" s="255">
        <f t="shared" si="65"/>
        <v>6.13</v>
      </c>
      <c r="U1066" s="254">
        <v>100700</v>
      </c>
      <c r="V1066" s="254" t="s">
        <v>960</v>
      </c>
      <c r="W1066" s="254" t="s">
        <v>864</v>
      </c>
      <c r="X1066" s="254" t="s">
        <v>446</v>
      </c>
      <c r="Y1066" s="254" t="s">
        <v>843</v>
      </c>
      <c r="Z1066" s="254" t="s">
        <v>1129</v>
      </c>
      <c r="AA1066" s="254" t="s">
        <v>838</v>
      </c>
    </row>
    <row r="1067" spans="1:27" ht="14.4" x14ac:dyDescent="0.3">
      <c r="A1067" s="253">
        <v>11</v>
      </c>
      <c r="B1067" s="254" t="s">
        <v>851</v>
      </c>
      <c r="C1067" s="254">
        <v>1792</v>
      </c>
      <c r="D1067" s="254" t="s">
        <v>970</v>
      </c>
      <c r="E1067" s="254" t="str">
        <f>_xlfn.XLOOKUP(C1067,Clientes!I:I,Clientes!F:F)</f>
        <v>GRUPO MOSAIC FERTILIZANTES P K LTDA</v>
      </c>
      <c r="F1067" s="254">
        <v>3359</v>
      </c>
      <c r="G1067" s="254" t="s">
        <v>867</v>
      </c>
      <c r="H1067" s="254" t="s">
        <v>967</v>
      </c>
      <c r="I1067" s="255">
        <v>120000</v>
      </c>
      <c r="J1067" s="256">
        <v>120000</v>
      </c>
      <c r="K1067" s="258">
        <v>468000</v>
      </c>
      <c r="L1067" s="258">
        <v>-32760.000000000004</v>
      </c>
      <c r="M1067" s="258">
        <f t="shared" si="66"/>
        <v>435240</v>
      </c>
      <c r="N1067" s="258">
        <v>-294831</v>
      </c>
      <c r="O1067" s="258">
        <v>-9768.6419999999998</v>
      </c>
      <c r="P1067" s="258">
        <v>-73.402101366296776</v>
      </c>
      <c r="Q1067" s="258">
        <f t="shared" si="67"/>
        <v>130566.95589863371</v>
      </c>
      <c r="R1067" s="259">
        <f t="shared" si="68"/>
        <v>0.29998841075873933</v>
      </c>
      <c r="S1067" s="255">
        <f t="shared" si="65"/>
        <v>3.9</v>
      </c>
      <c r="T1067" s="255">
        <f t="shared" si="65"/>
        <v>3.9</v>
      </c>
      <c r="U1067" s="254">
        <v>100700</v>
      </c>
      <c r="V1067" s="254" t="s">
        <v>960</v>
      </c>
      <c r="W1067" s="254" t="s">
        <v>871</v>
      </c>
      <c r="X1067" s="254" t="s">
        <v>446</v>
      </c>
      <c r="Y1067" s="254" t="s">
        <v>843</v>
      </c>
      <c r="Z1067" s="254" t="s">
        <v>1129</v>
      </c>
      <c r="AA1067" s="254" t="s">
        <v>838</v>
      </c>
    </row>
    <row r="1068" spans="1:27" ht="14.4" x14ac:dyDescent="0.3">
      <c r="A1068" s="253">
        <v>11</v>
      </c>
      <c r="B1068" s="254" t="s">
        <v>851</v>
      </c>
      <c r="C1068" s="254">
        <v>1788</v>
      </c>
      <c r="D1068" s="254" t="s">
        <v>59</v>
      </c>
      <c r="E1068" s="254" t="str">
        <f>_xlfn.XLOOKUP(C1068,Clientes!I:I,Clientes!F:F)</f>
        <v>GRUPO MOSAIC FERTILIZANTES P K LTDA</v>
      </c>
      <c r="F1068" s="254">
        <v>3359</v>
      </c>
      <c r="G1068" s="254" t="s">
        <v>855</v>
      </c>
      <c r="H1068" s="254" t="s">
        <v>967</v>
      </c>
      <c r="I1068" s="255">
        <v>30000</v>
      </c>
      <c r="J1068" s="256">
        <v>30000</v>
      </c>
      <c r="K1068" s="258">
        <v>116400</v>
      </c>
      <c r="L1068" s="258">
        <v>0</v>
      </c>
      <c r="M1068" s="258">
        <f t="shared" si="66"/>
        <v>116400</v>
      </c>
      <c r="N1068" s="258">
        <v>-73707.75</v>
      </c>
      <c r="O1068" s="258">
        <v>-2442.1605</v>
      </c>
      <c r="P1068" s="258">
        <v>-18.350525341574194</v>
      </c>
      <c r="Q1068" s="258">
        <f t="shared" si="67"/>
        <v>40231.73897465843</v>
      </c>
      <c r="R1068" s="259">
        <f t="shared" si="68"/>
        <v>0.34563349634586282</v>
      </c>
      <c r="S1068" s="255">
        <f t="shared" si="65"/>
        <v>3.88</v>
      </c>
      <c r="T1068" s="255">
        <f t="shared" si="65"/>
        <v>3.88</v>
      </c>
      <c r="U1068" s="254">
        <v>100700</v>
      </c>
      <c r="V1068" s="254" t="s">
        <v>960</v>
      </c>
      <c r="W1068" s="254" t="s">
        <v>892</v>
      </c>
      <c r="X1068" s="254" t="s">
        <v>446</v>
      </c>
      <c r="Y1068" s="254" t="s">
        <v>843</v>
      </c>
      <c r="Z1068" s="254" t="s">
        <v>1129</v>
      </c>
      <c r="AA1068" s="254" t="s">
        <v>838</v>
      </c>
    </row>
    <row r="1069" spans="1:27" ht="14.4" x14ac:dyDescent="0.3">
      <c r="A1069" s="253">
        <v>11</v>
      </c>
      <c r="B1069" s="254" t="s">
        <v>851</v>
      </c>
      <c r="C1069" s="254">
        <v>2225</v>
      </c>
      <c r="D1069" s="254" t="s">
        <v>617</v>
      </c>
      <c r="E1069" s="254" t="str">
        <f>_xlfn.XLOOKUP(C1069,Clientes!I:I,Clientes!F:F)</f>
        <v>ITAFOS - ARRAIAS/TO</v>
      </c>
      <c r="F1069" s="254">
        <v>3351</v>
      </c>
      <c r="G1069" s="254" t="s">
        <v>974</v>
      </c>
      <c r="H1069" s="254" t="s">
        <v>965</v>
      </c>
      <c r="I1069" s="255">
        <v>90000</v>
      </c>
      <c r="J1069" s="256">
        <v>90000</v>
      </c>
      <c r="K1069" s="258">
        <v>486000</v>
      </c>
      <c r="L1069" s="258">
        <v>-34020</v>
      </c>
      <c r="M1069" s="258">
        <f t="shared" si="66"/>
        <v>451980</v>
      </c>
      <c r="N1069" s="258">
        <v>-286331.60307692311</v>
      </c>
      <c r="O1069" s="258">
        <v>-41323.7365632</v>
      </c>
      <c r="P1069" s="258">
        <v>-310.50877901413025</v>
      </c>
      <c r="Q1069" s="258">
        <f t="shared" si="67"/>
        <v>124014.15158086276</v>
      </c>
      <c r="R1069" s="259">
        <f t="shared" si="68"/>
        <v>0.27437973268919591</v>
      </c>
      <c r="S1069" s="255">
        <f t="shared" si="65"/>
        <v>5.4</v>
      </c>
      <c r="T1069" s="255">
        <f t="shared" si="65"/>
        <v>5.4</v>
      </c>
      <c r="U1069" s="254">
        <v>100700</v>
      </c>
      <c r="V1069" s="254" t="s">
        <v>960</v>
      </c>
      <c r="W1069" s="254" t="s">
        <v>975</v>
      </c>
      <c r="X1069" s="254" t="s">
        <v>446</v>
      </c>
      <c r="Y1069" s="254" t="s">
        <v>843</v>
      </c>
      <c r="Z1069" s="254" t="s">
        <v>1129</v>
      </c>
      <c r="AA1069" s="254" t="s">
        <v>838</v>
      </c>
    </row>
    <row r="1070" spans="1:27" ht="14.4" x14ac:dyDescent="0.3">
      <c r="A1070" s="253">
        <v>11</v>
      </c>
      <c r="B1070" s="254" t="s">
        <v>851</v>
      </c>
      <c r="C1070" s="254">
        <v>11724</v>
      </c>
      <c r="D1070" s="254" t="s">
        <v>107</v>
      </c>
      <c r="E1070" s="254" t="str">
        <f>_xlfn.XLOOKUP(C1070,Clientes!I:I,Clientes!F:F)</f>
        <v>GRUPO HINOVE</v>
      </c>
      <c r="F1070" s="254">
        <v>14142</v>
      </c>
      <c r="G1070" s="254" t="s">
        <v>908</v>
      </c>
      <c r="H1070" s="254" t="s">
        <v>962</v>
      </c>
      <c r="I1070" s="255">
        <v>45600</v>
      </c>
      <c r="J1070" s="256">
        <v>45600</v>
      </c>
      <c r="K1070" s="258">
        <v>275880</v>
      </c>
      <c r="L1070" s="258">
        <v>-33105.599999999999</v>
      </c>
      <c r="M1070" s="258">
        <f t="shared" si="66"/>
        <v>242774.39999999999</v>
      </c>
      <c r="N1070" s="258">
        <v>-143505.34488888891</v>
      </c>
      <c r="O1070" s="258">
        <v>-17919.017835264</v>
      </c>
      <c r="P1070" s="258">
        <v>-134.64446373697879</v>
      </c>
      <c r="Q1070" s="258">
        <f t="shared" si="67"/>
        <v>81215.392812110091</v>
      </c>
      <c r="R1070" s="259">
        <f t="shared" si="68"/>
        <v>0.33453029978494475</v>
      </c>
      <c r="S1070" s="255">
        <f t="shared" si="65"/>
        <v>6.05</v>
      </c>
      <c r="T1070" s="255">
        <f t="shared" si="65"/>
        <v>6.05</v>
      </c>
      <c r="U1070" s="254">
        <v>100700</v>
      </c>
      <c r="V1070" s="254" t="s">
        <v>960</v>
      </c>
      <c r="W1070" s="254" t="s">
        <v>963</v>
      </c>
      <c r="X1070" s="254" t="s">
        <v>446</v>
      </c>
      <c r="Y1070" s="254" t="s">
        <v>843</v>
      </c>
      <c r="Z1070" s="254" t="s">
        <v>1129</v>
      </c>
      <c r="AA1070" s="254" t="s">
        <v>838</v>
      </c>
    </row>
    <row r="1071" spans="1:27" ht="14.4" x14ac:dyDescent="0.3">
      <c r="A1071" s="253">
        <v>11</v>
      </c>
      <c r="B1071" s="254" t="s">
        <v>851</v>
      </c>
      <c r="C1071" s="254">
        <v>14382</v>
      </c>
      <c r="D1071" s="254" t="s">
        <v>244</v>
      </c>
      <c r="E1071" s="254" t="str">
        <f>_xlfn.XLOOKUP(C1071,Clientes!I:I,Clientes!F:F)</f>
        <v>GECAL - PAINS-MG</v>
      </c>
      <c r="F1071" s="254">
        <v>3351</v>
      </c>
      <c r="G1071" s="254" t="s">
        <v>855</v>
      </c>
      <c r="H1071" s="254" t="s">
        <v>965</v>
      </c>
      <c r="I1071" s="255">
        <v>15000</v>
      </c>
      <c r="J1071" s="256">
        <v>15000</v>
      </c>
      <c r="K1071" s="258">
        <v>102900</v>
      </c>
      <c r="L1071" s="258">
        <v>-18522</v>
      </c>
      <c r="M1071" s="258">
        <f t="shared" si="66"/>
        <v>84378</v>
      </c>
      <c r="N1071" s="258">
        <v>-47721.93384615385</v>
      </c>
      <c r="O1071" s="258">
        <v>-6648.4965456</v>
      </c>
      <c r="P1071" s="258">
        <v>-49.957160613891389</v>
      </c>
      <c r="Q1071" s="258">
        <f t="shared" si="67"/>
        <v>29957.612447632258</v>
      </c>
      <c r="R1071" s="259">
        <f t="shared" si="68"/>
        <v>0.35504056090014291</v>
      </c>
      <c r="S1071" s="255">
        <f t="shared" si="65"/>
        <v>6.86</v>
      </c>
      <c r="T1071" s="255">
        <f t="shared" si="65"/>
        <v>6.86</v>
      </c>
      <c r="U1071" s="254">
        <v>100700</v>
      </c>
      <c r="V1071" s="254" t="s">
        <v>960</v>
      </c>
      <c r="W1071" s="254" t="s">
        <v>1086</v>
      </c>
      <c r="X1071" s="254" t="s">
        <v>446</v>
      </c>
      <c r="Y1071" s="254" t="s">
        <v>843</v>
      </c>
      <c r="Z1071" s="254" t="s">
        <v>1129</v>
      </c>
      <c r="AA1071" s="254" t="s">
        <v>838</v>
      </c>
    </row>
    <row r="1072" spans="1:27" ht="14.4" x14ac:dyDescent="0.3">
      <c r="A1072" s="253">
        <v>11</v>
      </c>
      <c r="B1072" s="254" t="s">
        <v>851</v>
      </c>
      <c r="C1072" s="254">
        <v>6370</v>
      </c>
      <c r="D1072" s="254" t="s">
        <v>264</v>
      </c>
      <c r="E1072" s="254" t="str">
        <f>_xlfn.XLOOKUP(C1072,Clientes!I:I,Clientes!F:F)</f>
        <v>YTL S.A. - PARAGUAI</v>
      </c>
      <c r="F1072" s="254">
        <v>7010</v>
      </c>
      <c r="G1072" s="254" t="s">
        <v>832</v>
      </c>
      <c r="H1072" s="254" t="s">
        <v>971</v>
      </c>
      <c r="I1072" s="255">
        <v>56000</v>
      </c>
      <c r="J1072" s="256">
        <v>56000</v>
      </c>
      <c r="K1072" s="258">
        <v>379680</v>
      </c>
      <c r="L1072" s="258">
        <v>0</v>
      </c>
      <c r="M1072" s="258">
        <f t="shared" si="66"/>
        <v>379680</v>
      </c>
      <c r="N1072" s="258">
        <v>-151704</v>
      </c>
      <c r="O1072" s="258">
        <v>-56880.552960000001</v>
      </c>
      <c r="P1072" s="258">
        <v>-9141.1631448038825</v>
      </c>
      <c r="Q1072" s="258">
        <f t="shared" si="67"/>
        <v>161954.2838951961</v>
      </c>
      <c r="R1072" s="259">
        <f t="shared" si="68"/>
        <v>0.42655468788241702</v>
      </c>
      <c r="S1072" s="255">
        <f t="shared" si="65"/>
        <v>6.78</v>
      </c>
      <c r="T1072" s="255">
        <f t="shared" si="65"/>
        <v>6.78</v>
      </c>
      <c r="U1072" s="254">
        <v>100700</v>
      </c>
      <c r="V1072" s="254" t="s">
        <v>960</v>
      </c>
      <c r="W1072" s="254" t="s">
        <v>896</v>
      </c>
      <c r="X1072" s="254" t="s">
        <v>446</v>
      </c>
      <c r="Y1072" s="254" t="s">
        <v>836</v>
      </c>
      <c r="Z1072" s="254" t="s">
        <v>1129</v>
      </c>
      <c r="AA1072" s="254" t="s">
        <v>838</v>
      </c>
    </row>
    <row r="1073" spans="1:27" ht="14.4" x14ac:dyDescent="0.3">
      <c r="A1073" s="253">
        <v>11</v>
      </c>
      <c r="B1073" s="254" t="s">
        <v>851</v>
      </c>
      <c r="C1073" s="254">
        <v>505</v>
      </c>
      <c r="D1073" s="254" t="s">
        <v>41</v>
      </c>
      <c r="E1073" s="254" t="str">
        <f>_xlfn.XLOOKUP(C1073,Clientes!I:I,Clientes!F:F)</f>
        <v>FERTINE - RECIFE</v>
      </c>
      <c r="F1073" s="254">
        <v>14142</v>
      </c>
      <c r="G1073" s="254" t="s">
        <v>1043</v>
      </c>
      <c r="H1073" s="254" t="s">
        <v>962</v>
      </c>
      <c r="I1073" s="255">
        <v>12000</v>
      </c>
      <c r="J1073" s="256">
        <v>12000</v>
      </c>
      <c r="K1073" s="258">
        <v>84600</v>
      </c>
      <c r="L1073" s="258">
        <v>-5922.0000000000009</v>
      </c>
      <c r="M1073" s="258">
        <f t="shared" si="66"/>
        <v>78678</v>
      </c>
      <c r="N1073" s="258">
        <v>-37764.564444444441</v>
      </c>
      <c r="O1073" s="258">
        <v>-18671.089731839998</v>
      </c>
      <c r="P1073" s="258">
        <v>-140.29557241587344</v>
      </c>
      <c r="Q1073" s="258">
        <f t="shared" si="67"/>
        <v>22102.050251299686</v>
      </c>
      <c r="R1073" s="259">
        <f t="shared" si="68"/>
        <v>0.28091779469864114</v>
      </c>
      <c r="S1073" s="255">
        <f t="shared" si="65"/>
        <v>7.05</v>
      </c>
      <c r="T1073" s="255">
        <f t="shared" si="65"/>
        <v>7.05</v>
      </c>
      <c r="U1073" s="254">
        <v>100700</v>
      </c>
      <c r="V1073" s="254" t="s">
        <v>960</v>
      </c>
      <c r="W1073" s="254" t="s">
        <v>1044</v>
      </c>
      <c r="X1073" s="254" t="s">
        <v>446</v>
      </c>
      <c r="Y1073" s="254" t="s">
        <v>843</v>
      </c>
      <c r="Z1073" s="254" t="s">
        <v>1129</v>
      </c>
      <c r="AA1073" s="254" t="s">
        <v>838</v>
      </c>
    </row>
    <row r="1074" spans="1:27" ht="14.4" x14ac:dyDescent="0.3">
      <c r="A1074" s="253">
        <v>11</v>
      </c>
      <c r="B1074" s="254" t="s">
        <v>851</v>
      </c>
      <c r="C1074" s="254">
        <v>207</v>
      </c>
      <c r="D1074" s="254" t="s">
        <v>1134</v>
      </c>
      <c r="E1074" s="254" t="str">
        <f>_xlfn.XLOOKUP(C1074,Clientes!I:I,Clientes!F:F)</f>
        <v>ADUBOS RIFERTIL - RIO VERDE</v>
      </c>
      <c r="F1074" s="254">
        <v>3351</v>
      </c>
      <c r="G1074" s="254" t="s">
        <v>867</v>
      </c>
      <c r="H1074" s="254" t="s">
        <v>965</v>
      </c>
      <c r="I1074" s="255">
        <v>30000</v>
      </c>
      <c r="J1074" s="256">
        <v>30000</v>
      </c>
      <c r="K1074" s="258">
        <v>135000</v>
      </c>
      <c r="L1074" s="258">
        <v>-9450</v>
      </c>
      <c r="M1074" s="258">
        <f t="shared" si="66"/>
        <v>125550</v>
      </c>
      <c r="N1074" s="258">
        <v>-95443.8676923077</v>
      </c>
      <c r="O1074" s="258">
        <v>-5688.7973999999995</v>
      </c>
      <c r="P1074" s="258">
        <v>-42.74592961919636</v>
      </c>
      <c r="Q1074" s="258">
        <f t="shared" si="67"/>
        <v>24374.588978073105</v>
      </c>
      <c r="R1074" s="259">
        <f t="shared" si="68"/>
        <v>0.19414248489106417</v>
      </c>
      <c r="S1074" s="255">
        <f t="shared" si="65"/>
        <v>4.5</v>
      </c>
      <c r="T1074" s="255">
        <f t="shared" si="65"/>
        <v>4.5</v>
      </c>
      <c r="U1074" s="254">
        <v>100700</v>
      </c>
      <c r="V1074" s="254" t="s">
        <v>960</v>
      </c>
      <c r="W1074" s="254" t="s">
        <v>890</v>
      </c>
      <c r="X1074" s="254" t="s">
        <v>446</v>
      </c>
      <c r="Y1074" s="254" t="s">
        <v>843</v>
      </c>
      <c r="Z1074" s="254" t="s">
        <v>1129</v>
      </c>
      <c r="AA1074" s="254" t="s">
        <v>838</v>
      </c>
    </row>
    <row r="1075" spans="1:27" ht="14.4" x14ac:dyDescent="0.3">
      <c r="A1075" s="253">
        <v>13</v>
      </c>
      <c r="B1075" s="254" t="s">
        <v>851</v>
      </c>
      <c r="C1075" s="254">
        <v>2</v>
      </c>
      <c r="D1075" s="254" t="s">
        <v>976</v>
      </c>
      <c r="E1075" s="254" t="str">
        <f>_xlfn.XLOOKUP(C1075,Clientes!I:I,Clientes!F:F)</f>
        <v>GRUPO CARGILL</v>
      </c>
      <c r="F1075" s="254">
        <v>3700</v>
      </c>
      <c r="G1075" s="254" t="s">
        <v>855</v>
      </c>
      <c r="H1075" s="254" t="s">
        <v>977</v>
      </c>
      <c r="I1075" s="254">
        <v>84000</v>
      </c>
      <c r="J1075" s="256">
        <v>84000</v>
      </c>
      <c r="K1075" s="258">
        <v>92400</v>
      </c>
      <c r="L1075" s="258">
        <v>-23640.539999999997</v>
      </c>
      <c r="M1075" s="258">
        <f t="shared" si="66"/>
        <v>68759.460000000006</v>
      </c>
      <c r="N1075" s="258">
        <v>-15390.9</v>
      </c>
      <c r="O1075" s="258">
        <v>0</v>
      </c>
      <c r="P1075" s="258">
        <v>0</v>
      </c>
      <c r="Q1075" s="258">
        <f t="shared" si="67"/>
        <v>53368.560000000005</v>
      </c>
      <c r="R1075" s="259">
        <f t="shared" si="68"/>
        <v>0.77616316358505433</v>
      </c>
      <c r="S1075" s="255">
        <f t="shared" si="65"/>
        <v>1.1000000000000001</v>
      </c>
      <c r="T1075" s="255">
        <f t="shared" si="65"/>
        <v>1.1000000000000001</v>
      </c>
      <c r="U1075" s="254">
        <v>100900</v>
      </c>
      <c r="V1075" s="254" t="s">
        <v>978</v>
      </c>
      <c r="W1075" s="254" t="s">
        <v>865</v>
      </c>
      <c r="X1075" s="254" t="s">
        <v>157</v>
      </c>
      <c r="Y1075" s="254" t="s">
        <v>843</v>
      </c>
      <c r="Z1075" s="254" t="s">
        <v>1129</v>
      </c>
      <c r="AA1075" s="254" t="s">
        <v>838</v>
      </c>
    </row>
    <row r="1076" spans="1:27" ht="14.4" x14ac:dyDescent="0.3">
      <c r="A1076" s="253">
        <v>11</v>
      </c>
      <c r="B1076" s="254" t="s">
        <v>851</v>
      </c>
      <c r="C1076" s="254">
        <v>2622</v>
      </c>
      <c r="D1076" s="254" t="s">
        <v>73</v>
      </c>
      <c r="E1076" s="254" t="str">
        <f>_xlfn.XLOOKUP(C1076,Clientes!I:I,Clientes!F:F)</f>
        <v>ADUFERTIL JUNDIAI</v>
      </c>
      <c r="F1076" s="254">
        <v>14150</v>
      </c>
      <c r="G1076" s="254" t="s">
        <v>908</v>
      </c>
      <c r="H1076" s="254" t="s">
        <v>1045</v>
      </c>
      <c r="I1076" s="255">
        <v>12000</v>
      </c>
      <c r="J1076" s="256">
        <v>12000</v>
      </c>
      <c r="K1076" s="258">
        <v>270460.01536510215</v>
      </c>
      <c r="L1076" s="258">
        <v>-10080</v>
      </c>
      <c r="M1076" s="258">
        <f t="shared" si="66"/>
        <v>260380.01536510215</v>
      </c>
      <c r="N1076" s="258">
        <v>-162145.60999999999</v>
      </c>
      <c r="O1076" s="258">
        <v>-5481.0480000000016</v>
      </c>
      <c r="P1076" s="258">
        <v>-41.184889454392781</v>
      </c>
      <c r="Q1076" s="258">
        <f t="shared" si="67"/>
        <v>92712.172475647778</v>
      </c>
      <c r="R1076" s="259">
        <f t="shared" si="68"/>
        <v>0.35606485522956793</v>
      </c>
      <c r="S1076" s="255">
        <f t="shared" si="65"/>
        <v>22.538334613758511</v>
      </c>
      <c r="T1076" s="255">
        <f t="shared" si="65"/>
        <v>22.538334613758511</v>
      </c>
      <c r="U1076" s="254">
        <v>101000</v>
      </c>
      <c r="V1076" s="254" t="s">
        <v>1046</v>
      </c>
      <c r="W1076" s="254" t="s">
        <v>948</v>
      </c>
      <c r="X1076" s="254" t="s">
        <v>446</v>
      </c>
      <c r="Y1076" s="254" t="s">
        <v>843</v>
      </c>
      <c r="Z1076" s="254" t="s">
        <v>1129</v>
      </c>
      <c r="AA1076" s="254" t="s">
        <v>838</v>
      </c>
    </row>
    <row r="1077" spans="1:27" ht="14.4" x14ac:dyDescent="0.3">
      <c r="A1077" s="253">
        <v>11</v>
      </c>
      <c r="B1077" s="254" t="s">
        <v>851</v>
      </c>
      <c r="C1077" s="254">
        <v>3297</v>
      </c>
      <c r="D1077" s="254" t="s">
        <v>550</v>
      </c>
      <c r="E1077" s="254" t="str">
        <f>_xlfn.XLOOKUP(C1077,Clientes!I:I,Clientes!F:F)</f>
        <v>MACROSOURCE PERU S.R.L.</v>
      </c>
      <c r="F1077" s="254">
        <v>14144</v>
      </c>
      <c r="G1077" s="254" t="s">
        <v>832</v>
      </c>
      <c r="H1077" s="254" t="s">
        <v>979</v>
      </c>
      <c r="I1077" s="255">
        <v>2000</v>
      </c>
      <c r="J1077" s="256">
        <v>2000</v>
      </c>
      <c r="K1077" s="258">
        <v>12402</v>
      </c>
      <c r="L1077" s="258">
        <v>0</v>
      </c>
      <c r="M1077" s="258">
        <f t="shared" si="66"/>
        <v>12402</v>
      </c>
      <c r="N1077" s="258">
        <v>-2941.7</v>
      </c>
      <c r="O1077" s="258">
        <v>-9057.2866560000002</v>
      </c>
      <c r="P1077" s="258">
        <v>-379.26263943562356</v>
      </c>
      <c r="Q1077" s="258">
        <f t="shared" si="67"/>
        <v>23.750704564375496</v>
      </c>
      <c r="R1077" s="259">
        <f t="shared" si="68"/>
        <v>1.9150705180112479E-3</v>
      </c>
      <c r="S1077" s="255">
        <f t="shared" si="65"/>
        <v>6.2009999999999996</v>
      </c>
      <c r="T1077" s="255">
        <f t="shared" si="65"/>
        <v>6.2009999999999996</v>
      </c>
      <c r="U1077" s="254">
        <v>101300</v>
      </c>
      <c r="V1077" s="254" t="s">
        <v>980</v>
      </c>
      <c r="W1077" s="254" t="s">
        <v>872</v>
      </c>
      <c r="X1077" s="254" t="s">
        <v>446</v>
      </c>
      <c r="Y1077" s="254" t="s">
        <v>836</v>
      </c>
      <c r="Z1077" s="254" t="s">
        <v>1129</v>
      </c>
      <c r="AA1077" s="254" t="s">
        <v>838</v>
      </c>
    </row>
    <row r="1078" spans="1:27" ht="14.4" x14ac:dyDescent="0.3">
      <c r="A1078" s="253">
        <v>11</v>
      </c>
      <c r="B1078" s="254" t="s">
        <v>851</v>
      </c>
      <c r="C1078" s="254">
        <v>215</v>
      </c>
      <c r="D1078" s="254" t="s">
        <v>221</v>
      </c>
      <c r="E1078" s="254" t="str">
        <f>_xlfn.XLOOKUP(C1078,Clientes!I:I,Clientes!F:F)</f>
        <v>GRUPO UNIFERTIL</v>
      </c>
      <c r="F1078" s="254">
        <v>14134</v>
      </c>
      <c r="G1078" s="254" t="s">
        <v>877</v>
      </c>
      <c r="H1078" s="254" t="s">
        <v>1048</v>
      </c>
      <c r="I1078" s="255">
        <v>12000</v>
      </c>
      <c r="J1078" s="256">
        <v>12000</v>
      </c>
      <c r="K1078" s="258">
        <v>49920</v>
      </c>
      <c r="L1078" s="258">
        <v>-5990.4</v>
      </c>
      <c r="M1078" s="258">
        <f t="shared" si="66"/>
        <v>43929.599999999999</v>
      </c>
      <c r="N1078" s="258">
        <v>-14441.580000000002</v>
      </c>
      <c r="O1078" s="258">
        <v>-14321.447999999978</v>
      </c>
      <c r="P1078" s="258">
        <v>-107.6121305098648</v>
      </c>
      <c r="Q1078" s="258">
        <f t="shared" si="67"/>
        <v>15058.959869490154</v>
      </c>
      <c r="R1078" s="259">
        <f t="shared" si="68"/>
        <v>0.34279756404543077</v>
      </c>
      <c r="S1078" s="255">
        <f t="shared" si="65"/>
        <v>4.16</v>
      </c>
      <c r="T1078" s="255">
        <f t="shared" si="65"/>
        <v>4.16</v>
      </c>
      <c r="U1078" s="254">
        <v>101300</v>
      </c>
      <c r="V1078" s="254" t="s">
        <v>980</v>
      </c>
      <c r="W1078" s="254" t="s">
        <v>880</v>
      </c>
      <c r="X1078" s="254" t="s">
        <v>446</v>
      </c>
      <c r="Y1078" s="254" t="s">
        <v>843</v>
      </c>
      <c r="Z1078" s="254" t="s">
        <v>1129</v>
      </c>
      <c r="AA1078" s="254" t="s">
        <v>838</v>
      </c>
    </row>
    <row r="1079" spans="1:27" ht="14.4" x14ac:dyDescent="0.3">
      <c r="A1079" s="253">
        <v>11</v>
      </c>
      <c r="B1079" s="254" t="s">
        <v>851</v>
      </c>
      <c r="C1079" s="254">
        <v>16645</v>
      </c>
      <c r="D1079" s="254" t="s">
        <v>573</v>
      </c>
      <c r="E1079" s="254" t="str">
        <f>_xlfn.XLOOKUP(C1079,Clientes!I:I,Clientes!F:F)</f>
        <v>OPCAO AGRONEGOCIOS</v>
      </c>
      <c r="F1079" s="254">
        <v>8368</v>
      </c>
      <c r="G1079" s="254" t="s">
        <v>855</v>
      </c>
      <c r="H1079" s="254" t="s">
        <v>989</v>
      </c>
      <c r="I1079" s="255">
        <v>555</v>
      </c>
      <c r="J1079" s="256">
        <v>9125.330132033745</v>
      </c>
      <c r="K1079" s="258">
        <v>96690.73941280444</v>
      </c>
      <c r="L1079" s="258">
        <v>-8701.8121534888505</v>
      </c>
      <c r="M1079" s="258">
        <f t="shared" si="66"/>
        <v>87988.927259315591</v>
      </c>
      <c r="N1079" s="258">
        <v>-31904.662561467256</v>
      </c>
      <c r="O1079" s="258">
        <v>-2202.66589393918</v>
      </c>
      <c r="P1079" s="258">
        <v>-22137.588676619176</v>
      </c>
      <c r="Q1079" s="258">
        <f t="shared" si="67"/>
        <v>31744.010127289985</v>
      </c>
      <c r="R1079" s="259">
        <f t="shared" si="68"/>
        <v>0.36077278262224949</v>
      </c>
      <c r="S1079" s="255">
        <f t="shared" si="65"/>
        <v>174.21754849153953</v>
      </c>
      <c r="T1079" s="255">
        <f t="shared" si="65"/>
        <v>10.595862068965516</v>
      </c>
      <c r="U1079" s="254">
        <v>101602</v>
      </c>
      <c r="V1079" s="254" t="s">
        <v>983</v>
      </c>
      <c r="W1079" s="254" t="s">
        <v>865</v>
      </c>
      <c r="X1079" s="254" t="s">
        <v>157</v>
      </c>
      <c r="Y1079" s="254" t="s">
        <v>843</v>
      </c>
      <c r="Z1079" s="254" t="s">
        <v>1129</v>
      </c>
      <c r="AA1079" s="254" t="s">
        <v>838</v>
      </c>
    </row>
    <row r="1080" spans="1:27" ht="14.4" x14ac:dyDescent="0.3">
      <c r="A1080" s="253">
        <v>11</v>
      </c>
      <c r="B1080" s="254" t="s">
        <v>851</v>
      </c>
      <c r="C1080" s="254">
        <v>11326</v>
      </c>
      <c r="D1080" s="254" t="s">
        <v>179</v>
      </c>
      <c r="E1080" s="254" t="str">
        <f>_xlfn.XLOOKUP(C1080,Clientes!I:I,Clientes!F:F)</f>
        <v>VEGA AGRO</v>
      </c>
      <c r="F1080" s="254">
        <v>8301</v>
      </c>
      <c r="G1080" s="254" t="s">
        <v>855</v>
      </c>
      <c r="H1080" s="254" t="s">
        <v>986</v>
      </c>
      <c r="I1080" s="255">
        <v>10</v>
      </c>
      <c r="J1080" s="256">
        <v>229.98966399641762</v>
      </c>
      <c r="K1080" s="258">
        <v>6083.2266127052462</v>
      </c>
      <c r="L1080" s="258">
        <v>-594.31362168545047</v>
      </c>
      <c r="M1080" s="258">
        <f t="shared" si="66"/>
        <v>5488.9129910197953</v>
      </c>
      <c r="N1080" s="258">
        <v>-1685.1209742622862</v>
      </c>
      <c r="O1080" s="258">
        <v>0</v>
      </c>
      <c r="P1080" s="258">
        <v>-1265.8120805485646</v>
      </c>
      <c r="Q1080" s="258">
        <f t="shared" si="67"/>
        <v>2537.9799362089448</v>
      </c>
      <c r="R1080" s="259">
        <f t="shared" si="68"/>
        <v>0.46238297826204178</v>
      </c>
      <c r="S1080" s="255">
        <f t="shared" si="65"/>
        <v>608.32266127052458</v>
      </c>
      <c r="T1080" s="255">
        <f t="shared" si="65"/>
        <v>26.45</v>
      </c>
      <c r="U1080" s="254">
        <v>101602</v>
      </c>
      <c r="V1080" s="254" t="s">
        <v>983</v>
      </c>
      <c r="W1080" s="254" t="s">
        <v>952</v>
      </c>
      <c r="X1080" s="254" t="s">
        <v>157</v>
      </c>
      <c r="Y1080" s="254" t="s">
        <v>843</v>
      </c>
      <c r="Z1080" s="254" t="s">
        <v>1129</v>
      </c>
      <c r="AA1080" s="254" t="s">
        <v>838</v>
      </c>
    </row>
    <row r="1081" spans="1:27" ht="14.4" x14ac:dyDescent="0.3">
      <c r="A1081" s="253">
        <v>11</v>
      </c>
      <c r="B1081" s="254" t="s">
        <v>851</v>
      </c>
      <c r="C1081" s="254">
        <v>15917</v>
      </c>
      <c r="D1081" s="254" t="s">
        <v>571</v>
      </c>
      <c r="E1081" s="254" t="str">
        <f>_xlfn.XLOOKUP(C1081,Clientes!I:I,Clientes!F:F)</f>
        <v>MINAS FARM</v>
      </c>
      <c r="F1081" s="254">
        <v>8368</v>
      </c>
      <c r="G1081" s="254" t="s">
        <v>855</v>
      </c>
      <c r="H1081" s="254" t="s">
        <v>989</v>
      </c>
      <c r="I1081" s="255">
        <v>638</v>
      </c>
      <c r="J1081" s="256">
        <v>10490.019142770323</v>
      </c>
      <c r="K1081" s="258">
        <v>108238.91131348841</v>
      </c>
      <c r="L1081" s="258">
        <v>-9741.1052978604657</v>
      </c>
      <c r="M1081" s="258">
        <f t="shared" si="66"/>
        <v>98497.806015627939</v>
      </c>
      <c r="N1081" s="258">
        <v>-36675.990476065061</v>
      </c>
      <c r="O1081" s="258">
        <v>0</v>
      </c>
      <c r="P1081" s="258">
        <v>-24839.267230375546</v>
      </c>
      <c r="Q1081" s="258">
        <f t="shared" si="67"/>
        <v>36982.548309187332</v>
      </c>
      <c r="R1081" s="259">
        <f t="shared" si="68"/>
        <v>0.37546570634598275</v>
      </c>
      <c r="S1081" s="255">
        <f t="shared" si="65"/>
        <v>169.65346600860252</v>
      </c>
      <c r="T1081" s="255">
        <f t="shared" si="65"/>
        <v>10.318275862068965</v>
      </c>
      <c r="U1081" s="254">
        <v>101602</v>
      </c>
      <c r="V1081" s="254" t="s">
        <v>983</v>
      </c>
      <c r="W1081" s="254" t="s">
        <v>865</v>
      </c>
      <c r="X1081" s="254" t="s">
        <v>157</v>
      </c>
      <c r="Y1081" s="254" t="s">
        <v>843</v>
      </c>
      <c r="Z1081" s="254" t="s">
        <v>1129</v>
      </c>
      <c r="AA1081" s="254" t="s">
        <v>838</v>
      </c>
    </row>
    <row r="1082" spans="1:27" ht="14.4" x14ac:dyDescent="0.3">
      <c r="A1082" s="253">
        <v>11</v>
      </c>
      <c r="B1082" s="254" t="s">
        <v>851</v>
      </c>
      <c r="C1082" s="254">
        <v>15917</v>
      </c>
      <c r="D1082" s="254" t="s">
        <v>571</v>
      </c>
      <c r="E1082" s="254" t="str">
        <f>_xlfn.XLOOKUP(C1082,Clientes!I:I,Clientes!F:F)</f>
        <v>MINAS FARM</v>
      </c>
      <c r="F1082" s="254">
        <v>8301</v>
      </c>
      <c r="G1082" s="254" t="s">
        <v>855</v>
      </c>
      <c r="H1082" s="254" t="s">
        <v>986</v>
      </c>
      <c r="I1082" s="255">
        <v>25</v>
      </c>
      <c r="J1082" s="256">
        <v>574.97415999104408</v>
      </c>
      <c r="K1082" s="258">
        <v>15208.066531763116</v>
      </c>
      <c r="L1082" s="258">
        <v>-1500.1019071589667</v>
      </c>
      <c r="M1082" s="258">
        <f t="shared" si="66"/>
        <v>13707.964624604148</v>
      </c>
      <c r="N1082" s="258">
        <v>-4212.8024356557162</v>
      </c>
      <c r="O1082" s="258">
        <v>-138.78686620473479</v>
      </c>
      <c r="P1082" s="258">
        <v>-3193.0875901598401</v>
      </c>
      <c r="Q1082" s="258">
        <f t="shared" si="67"/>
        <v>6163.2877325838572</v>
      </c>
      <c r="R1082" s="259">
        <f t="shared" si="68"/>
        <v>0.44961362983980108</v>
      </c>
      <c r="S1082" s="255">
        <f t="shared" si="65"/>
        <v>608.32266127052458</v>
      </c>
      <c r="T1082" s="255">
        <f t="shared" si="65"/>
        <v>26.45</v>
      </c>
      <c r="U1082" s="254">
        <v>101602</v>
      </c>
      <c r="V1082" s="254" t="s">
        <v>983</v>
      </c>
      <c r="W1082" s="254" t="s">
        <v>865</v>
      </c>
      <c r="X1082" s="254" t="s">
        <v>157</v>
      </c>
      <c r="Y1082" s="254" t="s">
        <v>843</v>
      </c>
      <c r="Z1082" s="254" t="s">
        <v>1129</v>
      </c>
      <c r="AA1082" s="254" t="s">
        <v>838</v>
      </c>
    </row>
    <row r="1083" spans="1:27" ht="14.4" x14ac:dyDescent="0.3">
      <c r="A1083" s="253">
        <v>11</v>
      </c>
      <c r="B1083" s="254" t="s">
        <v>851</v>
      </c>
      <c r="C1083" s="254">
        <v>13773</v>
      </c>
      <c r="D1083" s="254" t="s">
        <v>428</v>
      </c>
      <c r="E1083" s="254" t="str">
        <f>_xlfn.XLOOKUP(C1083,Clientes!I:I,Clientes!F:F)</f>
        <v>FERTLIZE AGRO</v>
      </c>
      <c r="F1083" s="254">
        <v>8368</v>
      </c>
      <c r="G1083" s="254" t="s">
        <v>855</v>
      </c>
      <c r="H1083" s="254" t="s">
        <v>989</v>
      </c>
      <c r="I1083" s="255">
        <v>500</v>
      </c>
      <c r="J1083" s="256">
        <v>8221.0181369673392</v>
      </c>
      <c r="K1083" s="258">
        <v>84826.733004301277</v>
      </c>
      <c r="L1083" s="258">
        <v>-7634.0950610191758</v>
      </c>
      <c r="M1083" s="258">
        <f t="shared" si="66"/>
        <v>77192.637943282098</v>
      </c>
      <c r="N1083" s="258">
        <v>-28742.939244565099</v>
      </c>
      <c r="O1083" s="258">
        <v>0</v>
      </c>
      <c r="P1083" s="258">
        <v>-19466.510368632873</v>
      </c>
      <c r="Q1083" s="258">
        <f t="shared" si="67"/>
        <v>28983.188330084122</v>
      </c>
      <c r="R1083" s="259">
        <f t="shared" si="68"/>
        <v>0.37546570634598275</v>
      </c>
      <c r="S1083" s="255">
        <f t="shared" si="65"/>
        <v>169.65346600860255</v>
      </c>
      <c r="T1083" s="255">
        <f t="shared" si="65"/>
        <v>10.318275862068965</v>
      </c>
      <c r="U1083" s="254">
        <v>101602</v>
      </c>
      <c r="V1083" s="254" t="s">
        <v>983</v>
      </c>
      <c r="W1083" s="254" t="s">
        <v>995</v>
      </c>
      <c r="X1083" s="254" t="s">
        <v>157</v>
      </c>
      <c r="Y1083" s="254" t="s">
        <v>843</v>
      </c>
      <c r="Z1083" s="254" t="s">
        <v>1129</v>
      </c>
      <c r="AA1083" s="254" t="s">
        <v>838</v>
      </c>
    </row>
    <row r="1084" spans="1:27" ht="14.4" x14ac:dyDescent="0.3">
      <c r="A1084" s="253">
        <v>11</v>
      </c>
      <c r="B1084" s="254" t="s">
        <v>851</v>
      </c>
      <c r="C1084" s="254">
        <v>15905</v>
      </c>
      <c r="D1084" s="254" t="s">
        <v>750</v>
      </c>
      <c r="E1084" s="254" t="str">
        <f>_xlfn.XLOOKUP(C1084,Clientes!I:I,Clientes!F:F)</f>
        <v>ADUFÉRTIL - CAMPEVO</v>
      </c>
      <c r="F1084" s="254">
        <v>8368</v>
      </c>
      <c r="G1084" s="254" t="s">
        <v>908</v>
      </c>
      <c r="H1084" s="254" t="s">
        <v>989</v>
      </c>
      <c r="I1084" s="255">
        <v>171</v>
      </c>
      <c r="J1084" s="256">
        <v>2811.58820284283</v>
      </c>
      <c r="K1084" s="258">
        <v>29791.200792053267</v>
      </c>
      <c r="L1084" s="258">
        <v>-2681.0988797235923</v>
      </c>
      <c r="M1084" s="258">
        <f t="shared" si="66"/>
        <v>27110.101912329676</v>
      </c>
      <c r="N1084" s="258">
        <v>-9830.0852216412641</v>
      </c>
      <c r="O1084" s="258">
        <v>-760.08110450794345</v>
      </c>
      <c r="P1084" s="258">
        <v>-6868.6593985223335</v>
      </c>
      <c r="Q1084" s="258">
        <f t="shared" si="67"/>
        <v>9651.2761876581353</v>
      </c>
      <c r="R1084" s="259">
        <f t="shared" si="68"/>
        <v>0.35600294749422295</v>
      </c>
      <c r="S1084" s="255">
        <f t="shared" si="65"/>
        <v>174.21754849153956</v>
      </c>
      <c r="T1084" s="255">
        <f t="shared" si="65"/>
        <v>10.595862068965516</v>
      </c>
      <c r="U1084" s="254">
        <v>101602</v>
      </c>
      <c r="V1084" s="254" t="s">
        <v>983</v>
      </c>
      <c r="W1084" s="254" t="s">
        <v>991</v>
      </c>
      <c r="X1084" s="254" t="s">
        <v>157</v>
      </c>
      <c r="Y1084" s="254" t="s">
        <v>843</v>
      </c>
      <c r="Z1084" s="254" t="s">
        <v>1129</v>
      </c>
      <c r="AA1084" s="254" t="s">
        <v>838</v>
      </c>
    </row>
    <row r="1085" spans="1:27" ht="14.4" x14ac:dyDescent="0.3">
      <c r="A1085" s="253">
        <v>11</v>
      </c>
      <c r="B1085" s="254" t="s">
        <v>851</v>
      </c>
      <c r="C1085" s="254">
        <v>15905</v>
      </c>
      <c r="D1085" s="254" t="s">
        <v>750</v>
      </c>
      <c r="E1085" s="254" t="str">
        <f>_xlfn.XLOOKUP(C1085,Clientes!I:I,Clientes!F:F)</f>
        <v>ADUFÉRTIL - CAMPEVO</v>
      </c>
      <c r="F1085" s="254">
        <v>13004</v>
      </c>
      <c r="G1085" s="254" t="s">
        <v>908</v>
      </c>
      <c r="H1085" s="254" t="s">
        <v>982</v>
      </c>
      <c r="I1085" s="255">
        <v>23</v>
      </c>
      <c r="J1085" s="256">
        <v>528.97622719176059</v>
      </c>
      <c r="K1085" s="258">
        <v>13991.421209222068</v>
      </c>
      <c r="L1085" s="258">
        <v>-1324.3932158137472</v>
      </c>
      <c r="M1085" s="258">
        <f t="shared" si="66"/>
        <v>12667.027993408321</v>
      </c>
      <c r="N1085" s="258">
        <v>-3740.29315686574</v>
      </c>
      <c r="O1085" s="258">
        <v>-143.00274649602875</v>
      </c>
      <c r="P1085" s="258">
        <v>-2969.7903075983413</v>
      </c>
      <c r="Q1085" s="258">
        <f t="shared" si="67"/>
        <v>5813.9417824482098</v>
      </c>
      <c r="R1085" s="259">
        <f t="shared" si="68"/>
        <v>0.4589823110419961</v>
      </c>
      <c r="S1085" s="255">
        <f t="shared" si="65"/>
        <v>608.32266127052469</v>
      </c>
      <c r="T1085" s="255">
        <f t="shared" si="65"/>
        <v>26.45</v>
      </c>
      <c r="U1085" s="254">
        <v>101602</v>
      </c>
      <c r="V1085" s="254" t="s">
        <v>983</v>
      </c>
      <c r="W1085" s="254" t="s">
        <v>991</v>
      </c>
      <c r="X1085" s="254" t="s">
        <v>157</v>
      </c>
      <c r="Y1085" s="254" t="s">
        <v>843</v>
      </c>
      <c r="Z1085" s="254" t="s">
        <v>1129</v>
      </c>
      <c r="AA1085" s="254" t="s">
        <v>838</v>
      </c>
    </row>
    <row r="1086" spans="1:27" ht="14.4" x14ac:dyDescent="0.3">
      <c r="A1086" s="253">
        <v>11</v>
      </c>
      <c r="B1086" s="254" t="s">
        <v>851</v>
      </c>
      <c r="C1086" s="254">
        <v>15904</v>
      </c>
      <c r="D1086" s="254" t="s">
        <v>754</v>
      </c>
      <c r="E1086" s="254" t="str">
        <f>_xlfn.XLOOKUP(C1086,Clientes!I:I,Clientes!F:F)</f>
        <v>ADUFÉRTIL - CAMPEVO</v>
      </c>
      <c r="F1086" s="254">
        <v>8368</v>
      </c>
      <c r="G1086" s="254" t="s">
        <v>908</v>
      </c>
      <c r="H1086" s="254" t="s">
        <v>989</v>
      </c>
      <c r="I1086" s="255">
        <v>171</v>
      </c>
      <c r="J1086" s="256">
        <v>2811.58820284283</v>
      </c>
      <c r="K1086" s="258">
        <v>29791.200792053267</v>
      </c>
      <c r="L1086" s="258">
        <v>-2681.0988797235923</v>
      </c>
      <c r="M1086" s="258">
        <f t="shared" si="66"/>
        <v>27110.101912329676</v>
      </c>
      <c r="N1086" s="258">
        <v>-9830.0852216412641</v>
      </c>
      <c r="O1086" s="258">
        <v>-760.08110450794345</v>
      </c>
      <c r="P1086" s="258">
        <v>-6844.9116598450019</v>
      </c>
      <c r="Q1086" s="258">
        <f t="shared" si="67"/>
        <v>9675.023926335467</v>
      </c>
      <c r="R1086" s="259">
        <f t="shared" si="68"/>
        <v>0.35687892128267013</v>
      </c>
      <c r="S1086" s="255">
        <f t="shared" si="65"/>
        <v>174.21754849153956</v>
      </c>
      <c r="T1086" s="255">
        <f t="shared" si="65"/>
        <v>10.595862068965516</v>
      </c>
      <c r="U1086" s="254">
        <v>101602</v>
      </c>
      <c r="V1086" s="254" t="s">
        <v>983</v>
      </c>
      <c r="W1086" s="254" t="s">
        <v>992</v>
      </c>
      <c r="X1086" s="254" t="s">
        <v>157</v>
      </c>
      <c r="Y1086" s="254" t="s">
        <v>843</v>
      </c>
      <c r="Z1086" s="254" t="s">
        <v>1129</v>
      </c>
      <c r="AA1086" s="254" t="s">
        <v>838</v>
      </c>
    </row>
    <row r="1087" spans="1:27" ht="14.4" x14ac:dyDescent="0.3">
      <c r="A1087" s="253">
        <v>11</v>
      </c>
      <c r="B1087" s="254" t="s">
        <v>851</v>
      </c>
      <c r="C1087" s="254">
        <v>15904</v>
      </c>
      <c r="D1087" s="254" t="s">
        <v>754</v>
      </c>
      <c r="E1087" s="254" t="str">
        <f>_xlfn.XLOOKUP(C1087,Clientes!I:I,Clientes!F:F)</f>
        <v>ADUFÉRTIL - CAMPEVO</v>
      </c>
      <c r="F1087" s="254">
        <v>13004</v>
      </c>
      <c r="G1087" s="254" t="s">
        <v>908</v>
      </c>
      <c r="H1087" s="254" t="s">
        <v>982</v>
      </c>
      <c r="I1087" s="255">
        <v>25</v>
      </c>
      <c r="J1087" s="256">
        <v>574.97415999104408</v>
      </c>
      <c r="K1087" s="258">
        <v>15208.066531763116</v>
      </c>
      <c r="L1087" s="258">
        <v>-1439.5578432758125</v>
      </c>
      <c r="M1087" s="258">
        <f t="shared" si="66"/>
        <v>13768.508688487304</v>
      </c>
      <c r="N1087" s="258">
        <v>-4065.5360400714562</v>
      </c>
      <c r="O1087" s="258">
        <v>-155.43776793046604</v>
      </c>
      <c r="P1087" s="258">
        <v>-3199.3416698307219</v>
      </c>
      <c r="Q1087" s="258">
        <f t="shared" si="67"/>
        <v>6348.1932106546601</v>
      </c>
      <c r="R1087" s="259">
        <f t="shared" si="68"/>
        <v>0.46106614407432334</v>
      </c>
      <c r="S1087" s="255">
        <f t="shared" si="65"/>
        <v>608.32266127052458</v>
      </c>
      <c r="T1087" s="255">
        <f t="shared" si="65"/>
        <v>26.45</v>
      </c>
      <c r="U1087" s="254">
        <v>101602</v>
      </c>
      <c r="V1087" s="254" t="s">
        <v>983</v>
      </c>
      <c r="W1087" s="254" t="s">
        <v>992</v>
      </c>
      <c r="X1087" s="254" t="s">
        <v>157</v>
      </c>
      <c r="Y1087" s="254" t="s">
        <v>843</v>
      </c>
      <c r="Z1087" s="254" t="s">
        <v>1129</v>
      </c>
      <c r="AA1087" s="254" t="s">
        <v>838</v>
      </c>
    </row>
    <row r="1088" spans="1:27" ht="14.4" x14ac:dyDescent="0.3">
      <c r="A1088" s="253">
        <v>11</v>
      </c>
      <c r="B1088" s="254" t="s">
        <v>851</v>
      </c>
      <c r="C1088" s="254">
        <v>15906</v>
      </c>
      <c r="D1088" s="254" t="s">
        <v>993</v>
      </c>
      <c r="E1088" s="254" t="str">
        <f>_xlfn.XLOOKUP(C1088,Clientes!I:I,Clientes!F:F)</f>
        <v>ADUFÉRTIL - CAMPEVO</v>
      </c>
      <c r="F1088" s="254">
        <v>8368</v>
      </c>
      <c r="G1088" s="254" t="s">
        <v>908</v>
      </c>
      <c r="H1088" s="254" t="s">
        <v>989</v>
      </c>
      <c r="I1088" s="255">
        <v>171</v>
      </c>
      <c r="J1088" s="256">
        <v>2811.58820284283</v>
      </c>
      <c r="K1088" s="258">
        <v>29791.200792053267</v>
      </c>
      <c r="L1088" s="258">
        <v>-2681.0988797235923</v>
      </c>
      <c r="M1088" s="258">
        <f t="shared" si="66"/>
        <v>27110.101912329676</v>
      </c>
      <c r="N1088" s="258">
        <v>-9830.0852216412641</v>
      </c>
      <c r="O1088" s="258">
        <v>-760.08110450794345</v>
      </c>
      <c r="P1088" s="258">
        <v>-6853.547201182213</v>
      </c>
      <c r="Q1088" s="258">
        <f t="shared" si="67"/>
        <v>9666.3883849982558</v>
      </c>
      <c r="R1088" s="259">
        <f t="shared" si="68"/>
        <v>0.35656038535959844</v>
      </c>
      <c r="S1088" s="255">
        <f t="shared" si="65"/>
        <v>174.21754849153956</v>
      </c>
      <c r="T1088" s="255">
        <f t="shared" si="65"/>
        <v>10.595862068965516</v>
      </c>
      <c r="U1088" s="254">
        <v>101602</v>
      </c>
      <c r="V1088" s="254" t="s">
        <v>983</v>
      </c>
      <c r="W1088" s="254" t="s">
        <v>994</v>
      </c>
      <c r="X1088" s="254" t="s">
        <v>157</v>
      </c>
      <c r="Y1088" s="254" t="s">
        <v>843</v>
      </c>
      <c r="Z1088" s="254" t="s">
        <v>1129</v>
      </c>
      <c r="AA1088" s="254" t="s">
        <v>838</v>
      </c>
    </row>
    <row r="1089" spans="1:27" ht="14.4" x14ac:dyDescent="0.3">
      <c r="A1089" s="253">
        <v>11</v>
      </c>
      <c r="B1089" s="254" t="s">
        <v>851</v>
      </c>
      <c r="C1089" s="254">
        <v>15906</v>
      </c>
      <c r="D1089" s="254" t="s">
        <v>993</v>
      </c>
      <c r="E1089" s="254" t="str">
        <f>_xlfn.XLOOKUP(C1089,Clientes!I:I,Clientes!F:F)</f>
        <v>ADUFÉRTIL - CAMPEVO</v>
      </c>
      <c r="F1089" s="254">
        <v>13004</v>
      </c>
      <c r="G1089" s="254" t="s">
        <v>908</v>
      </c>
      <c r="H1089" s="254" t="s">
        <v>982</v>
      </c>
      <c r="I1089" s="255">
        <v>22</v>
      </c>
      <c r="J1089" s="256">
        <v>505.97726079211878</v>
      </c>
      <c r="K1089" s="258">
        <v>13383.098547951542</v>
      </c>
      <c r="L1089" s="258">
        <v>-1266.8109020827151</v>
      </c>
      <c r="M1089" s="258">
        <f t="shared" si="66"/>
        <v>12116.287645868826</v>
      </c>
      <c r="N1089" s="258">
        <v>-3577.6717152628812</v>
      </c>
      <c r="O1089" s="258">
        <v>-136.78523577881009</v>
      </c>
      <c r="P1089" s="258">
        <v>-2828.0285598033643</v>
      </c>
      <c r="Q1089" s="258">
        <f t="shared" si="67"/>
        <v>5573.8021350237705</v>
      </c>
      <c r="R1089" s="259">
        <f t="shared" si="68"/>
        <v>0.46002557036719216</v>
      </c>
      <c r="S1089" s="255">
        <f t="shared" si="65"/>
        <v>608.32266127052469</v>
      </c>
      <c r="T1089" s="255">
        <f t="shared" si="65"/>
        <v>26.45</v>
      </c>
      <c r="U1089" s="254">
        <v>101602</v>
      </c>
      <c r="V1089" s="254" t="s">
        <v>983</v>
      </c>
      <c r="W1089" s="254" t="s">
        <v>994</v>
      </c>
      <c r="X1089" s="254" t="s">
        <v>157</v>
      </c>
      <c r="Y1089" s="254" t="s">
        <v>843</v>
      </c>
      <c r="Z1089" s="254" t="s">
        <v>1129</v>
      </c>
      <c r="AA1089" s="254" t="s">
        <v>838</v>
      </c>
    </row>
    <row r="1090" spans="1:27" ht="14.4" x14ac:dyDescent="0.3">
      <c r="A1090" s="253">
        <v>11</v>
      </c>
      <c r="B1090" s="254" t="s">
        <v>851</v>
      </c>
      <c r="C1090" s="254">
        <v>15908</v>
      </c>
      <c r="D1090" s="254" t="s">
        <v>981</v>
      </c>
      <c r="E1090" s="254" t="str">
        <f>_xlfn.XLOOKUP(C1090,Clientes!I:I,Clientes!F:F)</f>
        <v>ADUFÉRTIL - CAMPEVO</v>
      </c>
      <c r="F1090" s="254">
        <v>8368</v>
      </c>
      <c r="G1090" s="254" t="s">
        <v>908</v>
      </c>
      <c r="H1090" s="254" t="s">
        <v>989</v>
      </c>
      <c r="I1090" s="255">
        <v>171</v>
      </c>
      <c r="J1090" s="256">
        <v>2811.58820284283</v>
      </c>
      <c r="K1090" s="258">
        <v>29791.200792053267</v>
      </c>
      <c r="L1090" s="258">
        <v>-2681.0988797235923</v>
      </c>
      <c r="M1090" s="258">
        <f t="shared" si="66"/>
        <v>27110.101912329676</v>
      </c>
      <c r="N1090" s="258">
        <v>-9830.0852216412641</v>
      </c>
      <c r="O1090" s="258">
        <v>-760.08110450794345</v>
      </c>
      <c r="P1090" s="258">
        <v>-6844.9116598450019</v>
      </c>
      <c r="Q1090" s="258">
        <f t="shared" si="67"/>
        <v>9675.023926335467</v>
      </c>
      <c r="R1090" s="259">
        <f t="shared" si="68"/>
        <v>0.35687892128267013</v>
      </c>
      <c r="S1090" s="255">
        <f t="shared" si="65"/>
        <v>174.21754849153956</v>
      </c>
      <c r="T1090" s="255">
        <f t="shared" si="65"/>
        <v>10.595862068965516</v>
      </c>
      <c r="U1090" s="254">
        <v>101602</v>
      </c>
      <c r="V1090" s="254" t="s">
        <v>983</v>
      </c>
      <c r="W1090" s="254" t="s">
        <v>984</v>
      </c>
      <c r="X1090" s="254" t="s">
        <v>157</v>
      </c>
      <c r="Y1090" s="254" t="s">
        <v>843</v>
      </c>
      <c r="Z1090" s="254" t="s">
        <v>1129</v>
      </c>
      <c r="AA1090" s="254" t="s">
        <v>838</v>
      </c>
    </row>
    <row r="1091" spans="1:27" ht="14.4" x14ac:dyDescent="0.3">
      <c r="A1091" s="253">
        <v>11</v>
      </c>
      <c r="B1091" s="254" t="s">
        <v>851</v>
      </c>
      <c r="C1091" s="254">
        <v>14166</v>
      </c>
      <c r="D1091" s="254" t="s">
        <v>1050</v>
      </c>
      <c r="E1091" s="254" t="str">
        <f>_xlfn.XLOOKUP(C1091,Clientes!I:I,Clientes!F:F)</f>
        <v>GRUPO TAKI AGRO</v>
      </c>
      <c r="F1091" s="254">
        <v>8416</v>
      </c>
      <c r="G1091" s="254" t="s">
        <v>855</v>
      </c>
      <c r="H1091" s="254" t="s">
        <v>1051</v>
      </c>
      <c r="I1091" s="255">
        <v>50</v>
      </c>
      <c r="J1091" s="256">
        <v>287.48707999552204</v>
      </c>
      <c r="K1091" s="258">
        <v>7604.0332658815578</v>
      </c>
      <c r="L1091" s="258">
        <v>-810.39047670627565</v>
      </c>
      <c r="M1091" s="258">
        <f t="shared" si="66"/>
        <v>6793.6427891752819</v>
      </c>
      <c r="N1091" s="258">
        <v>-2431.3775492406739</v>
      </c>
      <c r="O1091" s="258">
        <v>-69.393433102367396</v>
      </c>
      <c r="P1091" s="258">
        <v>-1638.7798331566505</v>
      </c>
      <c r="Q1091" s="258">
        <f t="shared" si="67"/>
        <v>2654.09197367559</v>
      </c>
      <c r="R1091" s="259">
        <f t="shared" si="68"/>
        <v>0.39067287698795611</v>
      </c>
      <c r="S1091" s="255">
        <f t="shared" ref="S1091:T1154" si="69">$K1091/I1091</f>
        <v>152.08066531763114</v>
      </c>
      <c r="T1091" s="255">
        <f t="shared" si="69"/>
        <v>26.45</v>
      </c>
      <c r="U1091" s="254">
        <v>101602</v>
      </c>
      <c r="V1091" s="254" t="s">
        <v>983</v>
      </c>
      <c r="W1091" s="254" t="s">
        <v>1052</v>
      </c>
      <c r="X1091" s="254" t="s">
        <v>157</v>
      </c>
      <c r="Y1091" s="254" t="s">
        <v>843</v>
      </c>
      <c r="Z1091" s="254" t="s">
        <v>1129</v>
      </c>
      <c r="AA1091" s="254" t="s">
        <v>838</v>
      </c>
    </row>
    <row r="1092" spans="1:27" ht="14.4" x14ac:dyDescent="0.3">
      <c r="A1092" s="253">
        <v>11</v>
      </c>
      <c r="B1092" s="254" t="s">
        <v>851</v>
      </c>
      <c r="C1092" s="254">
        <v>16645</v>
      </c>
      <c r="D1092" s="254" t="s">
        <v>573</v>
      </c>
      <c r="E1092" s="254" t="str">
        <f>_xlfn.XLOOKUP(C1092,Clientes!I:I,Clientes!F:F)</f>
        <v>OPCAO AGRONEGOCIOS</v>
      </c>
      <c r="F1092" s="254">
        <v>8369</v>
      </c>
      <c r="G1092" s="254" t="s">
        <v>855</v>
      </c>
      <c r="H1092" s="254" t="s">
        <v>988</v>
      </c>
      <c r="I1092" s="255">
        <v>23100</v>
      </c>
      <c r="J1092" s="256">
        <v>21100.613218216171</v>
      </c>
      <c r="K1092" s="258">
        <v>204501.3224521323</v>
      </c>
      <c r="L1092" s="258">
        <v>-18404.369476595908</v>
      </c>
      <c r="M1092" s="258">
        <f t="shared" ref="M1092:M1155" si="70">SUM(K1092:L1092)</f>
        <v>186096.95297553641</v>
      </c>
      <c r="N1092" s="258">
        <v>-73403.773658549311</v>
      </c>
      <c r="O1092" s="258">
        <v>-5093.2514664659711</v>
      </c>
      <c r="P1092" s="258">
        <v>-47369.857854148373</v>
      </c>
      <c r="Q1092" s="258">
        <f t="shared" ref="Q1092:Q1155" si="71">SUM(M1092:P1092)</f>
        <v>60230.069996372753</v>
      </c>
      <c r="R1092" s="259">
        <f t="shared" ref="R1092:R1155" si="72">Q1092/M1092</f>
        <v>0.32364887782063989</v>
      </c>
      <c r="S1092" s="255">
        <f t="shared" si="69"/>
        <v>8.8528711018239097</v>
      </c>
      <c r="T1092" s="255">
        <f t="shared" si="69"/>
        <v>9.6917241379310344</v>
      </c>
      <c r="U1092" s="254">
        <v>101602</v>
      </c>
      <c r="V1092" s="254" t="s">
        <v>983</v>
      </c>
      <c r="W1092" s="254" t="s">
        <v>865</v>
      </c>
      <c r="X1092" s="254" t="s">
        <v>157</v>
      </c>
      <c r="Y1092" s="254" t="s">
        <v>843</v>
      </c>
      <c r="Z1092" s="254" t="s">
        <v>1129</v>
      </c>
      <c r="AA1092" s="254" t="s">
        <v>838</v>
      </c>
    </row>
    <row r="1093" spans="1:27" ht="14.4" x14ac:dyDescent="0.3">
      <c r="A1093" s="253">
        <v>11</v>
      </c>
      <c r="B1093" s="254" t="s">
        <v>851</v>
      </c>
      <c r="C1093" s="254">
        <v>8187</v>
      </c>
      <c r="D1093" s="254" t="s">
        <v>466</v>
      </c>
      <c r="E1093" s="254" t="str">
        <f>_xlfn.XLOOKUP(C1093,Clientes!I:I,Clientes!F:F)</f>
        <v>AGROREP. REPRESENTACOES AGRICOLAS</v>
      </c>
      <c r="F1093" s="254">
        <v>8369</v>
      </c>
      <c r="G1093" s="254" t="s">
        <v>840</v>
      </c>
      <c r="H1093" s="254" t="s">
        <v>988</v>
      </c>
      <c r="I1093" s="255">
        <v>70000</v>
      </c>
      <c r="J1093" s="256">
        <v>63941.252176412636</v>
      </c>
      <c r="K1093" s="258">
        <v>619700.97712767369</v>
      </c>
      <c r="L1093" s="258">
        <v>-55770.816595745171</v>
      </c>
      <c r="M1093" s="258">
        <f t="shared" si="70"/>
        <v>563930.16053192853</v>
      </c>
      <c r="N1093" s="258">
        <v>-222435.67775317971</v>
      </c>
      <c r="O1093" s="258">
        <v>-57583.999207993904</v>
      </c>
      <c r="P1093" s="258">
        <v>-143661.74910428934</v>
      </c>
      <c r="Q1093" s="258">
        <f t="shared" si="71"/>
        <v>140248.7344664656</v>
      </c>
      <c r="R1093" s="259">
        <f t="shared" si="72"/>
        <v>0.2486987649927708</v>
      </c>
      <c r="S1093" s="255">
        <f t="shared" si="69"/>
        <v>8.8528711018239097</v>
      </c>
      <c r="T1093" s="255">
        <f t="shared" si="69"/>
        <v>9.6917241379310362</v>
      </c>
      <c r="U1093" s="254">
        <v>101602</v>
      </c>
      <c r="V1093" s="254" t="s">
        <v>983</v>
      </c>
      <c r="W1093" s="254" t="s">
        <v>874</v>
      </c>
      <c r="X1093" s="254" t="s">
        <v>157</v>
      </c>
      <c r="Y1093" s="254" t="s">
        <v>843</v>
      </c>
      <c r="Z1093" s="254" t="s">
        <v>1129</v>
      </c>
      <c r="AA1093" s="254" t="s">
        <v>838</v>
      </c>
    </row>
    <row r="1094" spans="1:27" ht="14.4" x14ac:dyDescent="0.3">
      <c r="A1094" s="253">
        <v>11</v>
      </c>
      <c r="B1094" s="254" t="s">
        <v>851</v>
      </c>
      <c r="C1094" s="254">
        <v>12653</v>
      </c>
      <c r="D1094" s="254" t="s">
        <v>232</v>
      </c>
      <c r="E1094" s="254" t="str">
        <f>_xlfn.XLOOKUP(C1094,Clientes!I:I,Clientes!F:F)</f>
        <v>APROVAR AGROPECUARIA COMERCIO</v>
      </c>
      <c r="F1094" s="254">
        <v>8368</v>
      </c>
      <c r="G1094" s="254" t="s">
        <v>855</v>
      </c>
      <c r="H1094" s="254" t="s">
        <v>989</v>
      </c>
      <c r="I1094" s="255">
        <v>2000</v>
      </c>
      <c r="J1094" s="256">
        <v>32884.072547869357</v>
      </c>
      <c r="K1094" s="258">
        <v>348435.09698307922</v>
      </c>
      <c r="L1094" s="258">
        <v>-31357.881634194062</v>
      </c>
      <c r="M1094" s="258">
        <f t="shared" si="70"/>
        <v>317077.21534888516</v>
      </c>
      <c r="N1094" s="258">
        <v>-114971.7569782604</v>
      </c>
      <c r="O1094" s="258">
        <v>-7937.5347529339824</v>
      </c>
      <c r="P1094" s="258">
        <v>-79723.530298897502</v>
      </c>
      <c r="Q1094" s="258">
        <f t="shared" si="71"/>
        <v>114444.39331879327</v>
      </c>
      <c r="R1094" s="259">
        <f t="shared" si="72"/>
        <v>0.3609354055694865</v>
      </c>
      <c r="S1094" s="255">
        <f t="shared" si="69"/>
        <v>174.21754849153962</v>
      </c>
      <c r="T1094" s="255">
        <f t="shared" si="69"/>
        <v>10.595862068965518</v>
      </c>
      <c r="U1094" s="254">
        <v>101602</v>
      </c>
      <c r="V1094" s="254" t="s">
        <v>983</v>
      </c>
      <c r="W1094" s="254" t="s">
        <v>1054</v>
      </c>
      <c r="X1094" s="254" t="s">
        <v>157</v>
      </c>
      <c r="Y1094" s="254" t="s">
        <v>843</v>
      </c>
      <c r="Z1094" s="254" t="s">
        <v>1129</v>
      </c>
      <c r="AA1094" s="254" t="s">
        <v>838</v>
      </c>
    </row>
    <row r="1095" spans="1:27" ht="14.4" x14ac:dyDescent="0.3">
      <c r="A1095" s="253">
        <v>11</v>
      </c>
      <c r="B1095" s="254" t="s">
        <v>851</v>
      </c>
      <c r="C1095" s="254">
        <v>12653</v>
      </c>
      <c r="D1095" s="254" t="s">
        <v>232</v>
      </c>
      <c r="E1095" s="254" t="str">
        <f>_xlfn.XLOOKUP(C1095,Clientes!I:I,Clientes!F:F)</f>
        <v>APROVAR AGROPECUARIA COMERCIO</v>
      </c>
      <c r="F1095" s="254">
        <v>8301</v>
      </c>
      <c r="G1095" s="254" t="s">
        <v>855</v>
      </c>
      <c r="H1095" s="254" t="s">
        <v>986</v>
      </c>
      <c r="I1095" s="255">
        <v>90</v>
      </c>
      <c r="J1095" s="256">
        <v>2069.9069759677586</v>
      </c>
      <c r="K1095" s="258">
        <v>54749.039514347212</v>
      </c>
      <c r="L1095" s="258">
        <v>-5400.366865772281</v>
      </c>
      <c r="M1095" s="258">
        <f t="shared" si="70"/>
        <v>49348.672648574931</v>
      </c>
      <c r="N1095" s="258">
        <v>-15166.088768360576</v>
      </c>
      <c r="O1095" s="258">
        <v>-499.63271833704522</v>
      </c>
      <c r="P1095" s="258">
        <v>-11443.656109849886</v>
      </c>
      <c r="Q1095" s="258">
        <f t="shared" si="71"/>
        <v>22239.295052027424</v>
      </c>
      <c r="R1095" s="259">
        <f t="shared" si="72"/>
        <v>0.45065639780018768</v>
      </c>
      <c r="S1095" s="255">
        <f t="shared" si="69"/>
        <v>608.32266127052458</v>
      </c>
      <c r="T1095" s="255">
        <f t="shared" si="69"/>
        <v>26.45</v>
      </c>
      <c r="U1095" s="254">
        <v>101602</v>
      </c>
      <c r="V1095" s="254" t="s">
        <v>983</v>
      </c>
      <c r="W1095" s="254" t="s">
        <v>1054</v>
      </c>
      <c r="X1095" s="254" t="s">
        <v>157</v>
      </c>
      <c r="Y1095" s="254" t="s">
        <v>843</v>
      </c>
      <c r="Z1095" s="254" t="s">
        <v>1129</v>
      </c>
      <c r="AA1095" s="254" t="s">
        <v>838</v>
      </c>
    </row>
    <row r="1096" spans="1:27" ht="14.4" x14ac:dyDescent="0.3">
      <c r="A1096" s="253">
        <v>11</v>
      </c>
      <c r="B1096" s="254" t="s">
        <v>851</v>
      </c>
      <c r="C1096" s="254">
        <v>14848</v>
      </c>
      <c r="D1096" s="254" t="s">
        <v>330</v>
      </c>
      <c r="E1096" s="254" t="str">
        <f>_xlfn.XLOOKUP(C1096,Clientes!I:I,Clientes!F:F)</f>
        <v>FAZENDA FERRADURA</v>
      </c>
      <c r="F1096" s="254">
        <v>8369</v>
      </c>
      <c r="G1096" s="254" t="s">
        <v>840</v>
      </c>
      <c r="H1096" s="254" t="s">
        <v>988</v>
      </c>
      <c r="I1096" s="255">
        <v>20000</v>
      </c>
      <c r="J1096" s="256">
        <v>18268.929193260752</v>
      </c>
      <c r="K1096" s="258">
        <v>177057.42203647818</v>
      </c>
      <c r="L1096" s="258">
        <v>-15934.519027355764</v>
      </c>
      <c r="M1096" s="258">
        <f t="shared" si="70"/>
        <v>161122.90300912241</v>
      </c>
      <c r="N1096" s="258">
        <v>-63553.050786622771</v>
      </c>
      <c r="O1096" s="258">
        <v>-16452.571202283976</v>
      </c>
      <c r="P1096" s="258">
        <v>-41181.401373349727</v>
      </c>
      <c r="Q1096" s="258">
        <f t="shared" si="71"/>
        <v>39935.879646865942</v>
      </c>
      <c r="R1096" s="259">
        <f t="shared" si="72"/>
        <v>0.24785973254593646</v>
      </c>
      <c r="S1096" s="255">
        <f t="shared" si="69"/>
        <v>8.8528711018239097</v>
      </c>
      <c r="T1096" s="255">
        <f t="shared" si="69"/>
        <v>9.6917241379310344</v>
      </c>
      <c r="U1096" s="254">
        <v>101602</v>
      </c>
      <c r="V1096" s="254" t="s">
        <v>983</v>
      </c>
      <c r="W1096" s="254" t="s">
        <v>1135</v>
      </c>
      <c r="X1096" s="254" t="s">
        <v>157</v>
      </c>
      <c r="Y1096" s="254" t="s">
        <v>843</v>
      </c>
      <c r="Z1096" s="254" t="s">
        <v>1129</v>
      </c>
      <c r="AA1096" s="254" t="s">
        <v>838</v>
      </c>
    </row>
    <row r="1097" spans="1:27" ht="14.4" x14ac:dyDescent="0.3">
      <c r="A1097" s="253">
        <v>11</v>
      </c>
      <c r="B1097" s="254" t="s">
        <v>851</v>
      </c>
      <c r="C1097" s="254">
        <v>2247</v>
      </c>
      <c r="D1097" s="254" t="s">
        <v>425</v>
      </c>
      <c r="E1097" s="254" t="str">
        <f>_xlfn.XLOOKUP(C1097,Clientes!I:I,Clientes!F:F)</f>
        <v>ADUBOS LEAO - LARANJEIRAS</v>
      </c>
      <c r="F1097" s="254">
        <v>8369</v>
      </c>
      <c r="G1097" s="254" t="s">
        <v>887</v>
      </c>
      <c r="H1097" s="254" t="s">
        <v>988</v>
      </c>
      <c r="I1097" s="255">
        <v>1000</v>
      </c>
      <c r="J1097" s="256">
        <v>913.44645966303767</v>
      </c>
      <c r="K1097" s="258">
        <v>6447.6720790697873</v>
      </c>
      <c r="L1097" s="258">
        <v>-580.26685492416641</v>
      </c>
      <c r="M1097" s="258">
        <f t="shared" si="70"/>
        <v>5867.4052241456211</v>
      </c>
      <c r="N1097" s="258">
        <v>-3177.652539331139</v>
      </c>
      <c r="O1097" s="258">
        <v>-1065.5393244422107</v>
      </c>
      <c r="P1097" s="258">
        <v>-1666.0058722050901</v>
      </c>
      <c r="Q1097" s="258">
        <f t="shared" si="71"/>
        <v>-41.792511832818718</v>
      </c>
      <c r="R1097" s="259">
        <f t="shared" si="72"/>
        <v>-7.122826911772454E-3</v>
      </c>
      <c r="S1097" s="255">
        <f t="shared" si="69"/>
        <v>6.447672079069787</v>
      </c>
      <c r="T1097" s="255">
        <f t="shared" si="69"/>
        <v>7.0586206896551733</v>
      </c>
      <c r="U1097" s="254">
        <v>101602</v>
      </c>
      <c r="V1097" s="254" t="s">
        <v>983</v>
      </c>
      <c r="W1097" s="254" t="s">
        <v>1030</v>
      </c>
      <c r="X1097" s="254" t="s">
        <v>157</v>
      </c>
      <c r="Y1097" s="254" t="s">
        <v>843</v>
      </c>
      <c r="Z1097" s="254" t="s">
        <v>1129</v>
      </c>
      <c r="AA1097" s="254" t="s">
        <v>838</v>
      </c>
    </row>
    <row r="1098" spans="1:27" ht="14.4" x14ac:dyDescent="0.3">
      <c r="A1098" s="253">
        <v>11</v>
      </c>
      <c r="B1098" s="254" t="s">
        <v>851</v>
      </c>
      <c r="C1098" s="254">
        <v>8187</v>
      </c>
      <c r="D1098" s="254" t="s">
        <v>466</v>
      </c>
      <c r="E1098" s="254" t="str">
        <f>_xlfn.XLOOKUP(C1098,Clientes!I:I,Clientes!F:F)</f>
        <v>AGROREP. REPRESENTACOES AGRICOLAS</v>
      </c>
      <c r="F1098" s="254">
        <v>8301</v>
      </c>
      <c r="G1098" s="254" t="s">
        <v>840</v>
      </c>
      <c r="H1098" s="254" t="s">
        <v>986</v>
      </c>
      <c r="I1098" s="255">
        <v>180</v>
      </c>
      <c r="J1098" s="256">
        <v>4139.8139519355173</v>
      </c>
      <c r="K1098" s="258">
        <v>109498.07902869442</v>
      </c>
      <c r="L1098" s="258">
        <v>-10800.733731544562</v>
      </c>
      <c r="M1098" s="258">
        <f t="shared" si="70"/>
        <v>98697.345297149863</v>
      </c>
      <c r="N1098" s="258">
        <v>-30332.177536721152</v>
      </c>
      <c r="O1098" s="258">
        <v>-3728.2198145227417</v>
      </c>
      <c r="P1098" s="258">
        <v>-22900.985160150354</v>
      </c>
      <c r="Q1098" s="258">
        <f t="shared" si="71"/>
        <v>41735.962785755612</v>
      </c>
      <c r="R1098" s="259">
        <f t="shared" si="72"/>
        <v>0.42286813956444724</v>
      </c>
      <c r="S1098" s="255">
        <f t="shared" si="69"/>
        <v>608.32266127052458</v>
      </c>
      <c r="T1098" s="255">
        <f t="shared" si="69"/>
        <v>26.45</v>
      </c>
      <c r="U1098" s="254">
        <v>101602</v>
      </c>
      <c r="V1098" s="254" t="s">
        <v>983</v>
      </c>
      <c r="W1098" s="254" t="s">
        <v>874</v>
      </c>
      <c r="X1098" s="254" t="s">
        <v>157</v>
      </c>
      <c r="Y1098" s="254" t="s">
        <v>843</v>
      </c>
      <c r="Z1098" s="254" t="s">
        <v>1129</v>
      </c>
      <c r="AA1098" s="254" t="s">
        <v>838</v>
      </c>
    </row>
    <row r="1099" spans="1:27" ht="14.4" x14ac:dyDescent="0.3">
      <c r="A1099" s="253">
        <v>11</v>
      </c>
      <c r="B1099" s="254" t="s">
        <v>851</v>
      </c>
      <c r="C1099" s="254">
        <v>11326</v>
      </c>
      <c r="D1099" s="254" t="s">
        <v>179</v>
      </c>
      <c r="E1099" s="254" t="str">
        <f>_xlfn.XLOOKUP(C1099,Clientes!I:I,Clientes!F:F)</f>
        <v>VEGA AGRO</v>
      </c>
      <c r="F1099" s="254">
        <v>8369</v>
      </c>
      <c r="G1099" s="254" t="s">
        <v>855</v>
      </c>
      <c r="H1099" s="254" t="s">
        <v>988</v>
      </c>
      <c r="I1099" s="255">
        <v>2800</v>
      </c>
      <c r="J1099" s="256">
        <v>2557.6500870565055</v>
      </c>
      <c r="K1099" s="258">
        <v>24078.070698872296</v>
      </c>
      <c r="L1099" s="258">
        <v>-2166.9381112651236</v>
      </c>
      <c r="M1099" s="258">
        <f t="shared" si="70"/>
        <v>21911.132587607171</v>
      </c>
      <c r="N1099" s="258">
        <v>-8897.4271101271897</v>
      </c>
      <c r="O1099" s="258">
        <v>0</v>
      </c>
      <c r="P1099" s="258">
        <v>-5599.1744693131968</v>
      </c>
      <c r="Q1099" s="258">
        <f t="shared" si="71"/>
        <v>7414.5310081667849</v>
      </c>
      <c r="R1099" s="259">
        <f t="shared" si="72"/>
        <v>0.33839104293314382</v>
      </c>
      <c r="S1099" s="255">
        <f t="shared" si="69"/>
        <v>8.5993109638829637</v>
      </c>
      <c r="T1099" s="255">
        <f t="shared" si="69"/>
        <v>9.4141379310344835</v>
      </c>
      <c r="U1099" s="254">
        <v>101602</v>
      </c>
      <c r="V1099" s="254" t="s">
        <v>983</v>
      </c>
      <c r="W1099" s="254" t="s">
        <v>952</v>
      </c>
      <c r="X1099" s="254" t="s">
        <v>157</v>
      </c>
      <c r="Y1099" s="254" t="s">
        <v>843</v>
      </c>
      <c r="Z1099" s="254" t="s">
        <v>1129</v>
      </c>
      <c r="AA1099" s="254" t="s">
        <v>838</v>
      </c>
    </row>
    <row r="1100" spans="1:27" ht="14.4" x14ac:dyDescent="0.3">
      <c r="A1100" s="253">
        <v>11</v>
      </c>
      <c r="B1100" s="254" t="s">
        <v>851</v>
      </c>
      <c r="C1100" s="254">
        <v>15917</v>
      </c>
      <c r="D1100" s="254" t="s">
        <v>571</v>
      </c>
      <c r="E1100" s="254" t="str">
        <f>_xlfn.XLOOKUP(C1100,Clientes!I:I,Clientes!F:F)</f>
        <v>MINAS FARM</v>
      </c>
      <c r="F1100" s="254">
        <v>8369</v>
      </c>
      <c r="G1100" s="254" t="s">
        <v>855</v>
      </c>
      <c r="H1100" s="254" t="s">
        <v>988</v>
      </c>
      <c r="I1100" s="255">
        <v>23000</v>
      </c>
      <c r="J1100" s="256">
        <v>21009.268572249865</v>
      </c>
      <c r="K1100" s="258">
        <v>197784.1521693081</v>
      </c>
      <c r="L1100" s="258">
        <v>-17799.848771106368</v>
      </c>
      <c r="M1100" s="258">
        <f t="shared" si="70"/>
        <v>179984.30339820174</v>
      </c>
      <c r="N1100" s="258">
        <v>-73086.008404616194</v>
      </c>
      <c r="O1100" s="258">
        <v>0</v>
      </c>
      <c r="P1100" s="258">
        <v>-45993.218855072686</v>
      </c>
      <c r="Q1100" s="258">
        <f t="shared" si="71"/>
        <v>60905.076138512857</v>
      </c>
      <c r="R1100" s="259">
        <f t="shared" si="72"/>
        <v>0.33839104293314376</v>
      </c>
      <c r="S1100" s="255">
        <f t="shared" si="69"/>
        <v>8.5993109638829601</v>
      </c>
      <c r="T1100" s="255">
        <f t="shared" si="69"/>
        <v>9.4141379310344817</v>
      </c>
      <c r="U1100" s="254">
        <v>101602</v>
      </c>
      <c r="V1100" s="254" t="s">
        <v>983</v>
      </c>
      <c r="W1100" s="254" t="s">
        <v>865</v>
      </c>
      <c r="X1100" s="254" t="s">
        <v>157</v>
      </c>
      <c r="Y1100" s="254" t="s">
        <v>843</v>
      </c>
      <c r="Z1100" s="254" t="s">
        <v>1129</v>
      </c>
      <c r="AA1100" s="254" t="s">
        <v>838</v>
      </c>
    </row>
    <row r="1101" spans="1:27" ht="14.4" x14ac:dyDescent="0.3">
      <c r="A1101" s="253">
        <v>11</v>
      </c>
      <c r="B1101" s="254" t="s">
        <v>851</v>
      </c>
      <c r="C1101" s="254">
        <v>15858</v>
      </c>
      <c r="D1101" s="254" t="s">
        <v>985</v>
      </c>
      <c r="E1101" s="254" t="str">
        <f>_xlfn.XLOOKUP(C1101,Clientes!I:I,Clientes!F:F)</f>
        <v>GRUPO SAGRA</v>
      </c>
      <c r="F1101" s="254">
        <v>8301</v>
      </c>
      <c r="G1101" s="254" t="s">
        <v>855</v>
      </c>
      <c r="H1101" s="254" t="s">
        <v>986</v>
      </c>
      <c r="I1101" s="255">
        <v>10</v>
      </c>
      <c r="J1101" s="256">
        <v>229.98966399641762</v>
      </c>
      <c r="K1101" s="258">
        <v>6083.2266127052462</v>
      </c>
      <c r="L1101" s="258">
        <v>-594.31362168545047</v>
      </c>
      <c r="M1101" s="258">
        <f t="shared" si="70"/>
        <v>5488.9129910197953</v>
      </c>
      <c r="N1101" s="258">
        <v>-1685.1209742622862</v>
      </c>
      <c r="O1101" s="258">
        <v>0</v>
      </c>
      <c r="P1101" s="258">
        <v>-1265.8120805485646</v>
      </c>
      <c r="Q1101" s="258">
        <f t="shared" si="71"/>
        <v>2537.9799362089448</v>
      </c>
      <c r="R1101" s="259">
        <f t="shared" si="72"/>
        <v>0.46238297826204178</v>
      </c>
      <c r="S1101" s="255">
        <f t="shared" si="69"/>
        <v>608.32266127052458</v>
      </c>
      <c r="T1101" s="255">
        <f t="shared" si="69"/>
        <v>26.45</v>
      </c>
      <c r="U1101" s="254">
        <v>101602</v>
      </c>
      <c r="V1101" s="254" t="s">
        <v>983</v>
      </c>
      <c r="W1101" s="254" t="s">
        <v>987</v>
      </c>
      <c r="X1101" s="254" t="s">
        <v>157</v>
      </c>
      <c r="Y1101" s="254" t="s">
        <v>843</v>
      </c>
      <c r="Z1101" s="254" t="s">
        <v>1129</v>
      </c>
      <c r="AA1101" s="254" t="s">
        <v>838</v>
      </c>
    </row>
    <row r="1102" spans="1:27" ht="14.4" x14ac:dyDescent="0.3">
      <c r="A1102" s="253">
        <v>11</v>
      </c>
      <c r="B1102" s="254" t="s">
        <v>851</v>
      </c>
      <c r="C1102" s="254">
        <v>14166</v>
      </c>
      <c r="D1102" s="254" t="s">
        <v>1050</v>
      </c>
      <c r="E1102" s="254" t="str">
        <f>_xlfn.XLOOKUP(C1102,Clientes!I:I,Clientes!F:F)</f>
        <v>GRUPO TAKI AGRO</v>
      </c>
      <c r="F1102" s="254">
        <v>8368</v>
      </c>
      <c r="G1102" s="254" t="s">
        <v>855</v>
      </c>
      <c r="H1102" s="254" t="s">
        <v>989</v>
      </c>
      <c r="I1102" s="255">
        <v>2000</v>
      </c>
      <c r="J1102" s="256">
        <v>32884.072547869357</v>
      </c>
      <c r="K1102" s="258">
        <v>348435.09698307922</v>
      </c>
      <c r="L1102" s="258">
        <v>-31357.881634194062</v>
      </c>
      <c r="M1102" s="258">
        <f t="shared" si="70"/>
        <v>317077.21534888516</v>
      </c>
      <c r="N1102" s="258">
        <v>-114971.7569782604</v>
      </c>
      <c r="O1102" s="258">
        <v>-7937.5347529339824</v>
      </c>
      <c r="P1102" s="258">
        <v>-79729.28732645564</v>
      </c>
      <c r="Q1102" s="258">
        <f t="shared" si="71"/>
        <v>114438.63629123513</v>
      </c>
      <c r="R1102" s="259">
        <f t="shared" si="72"/>
        <v>0.36091724902187139</v>
      </c>
      <c r="S1102" s="255">
        <f t="shared" si="69"/>
        <v>174.21754849153962</v>
      </c>
      <c r="T1102" s="255">
        <f t="shared" si="69"/>
        <v>10.595862068965518</v>
      </c>
      <c r="U1102" s="254">
        <v>101602</v>
      </c>
      <c r="V1102" s="254" t="s">
        <v>983</v>
      </c>
      <c r="W1102" s="254" t="s">
        <v>1052</v>
      </c>
      <c r="X1102" s="254" t="s">
        <v>157</v>
      </c>
      <c r="Y1102" s="254" t="s">
        <v>843</v>
      </c>
      <c r="Z1102" s="254" t="s">
        <v>1129</v>
      </c>
      <c r="AA1102" s="254" t="s">
        <v>838</v>
      </c>
    </row>
    <row r="1103" spans="1:27" ht="14.4" x14ac:dyDescent="0.3">
      <c r="A1103" s="253">
        <v>11</v>
      </c>
      <c r="B1103" s="254" t="s">
        <v>851</v>
      </c>
      <c r="C1103" s="254">
        <v>14848</v>
      </c>
      <c r="D1103" s="254" t="s">
        <v>330</v>
      </c>
      <c r="E1103" s="254" t="str">
        <f>_xlfn.XLOOKUP(C1103,Clientes!I:I,Clientes!F:F)</f>
        <v>FAZENDA FERRADURA</v>
      </c>
      <c r="F1103" s="254">
        <v>8335</v>
      </c>
      <c r="G1103" s="254" t="s">
        <v>840</v>
      </c>
      <c r="H1103" s="254" t="s">
        <v>1136</v>
      </c>
      <c r="I1103" s="255">
        <v>3000</v>
      </c>
      <c r="J1103" s="256">
        <v>3449.8449599462647</v>
      </c>
      <c r="K1103" s="258">
        <v>91248.399190578697</v>
      </c>
      <c r="L1103" s="258">
        <v>-8610.3476798150914</v>
      </c>
      <c r="M1103" s="258">
        <f t="shared" si="70"/>
        <v>82638.051510763602</v>
      </c>
      <c r="N1103" s="258">
        <v>-21975.648297840973</v>
      </c>
      <c r="O1103" s="258">
        <v>-3106.8498454356186</v>
      </c>
      <c r="P1103" s="258">
        <v>-19130.842122065711</v>
      </c>
      <c r="Q1103" s="258">
        <f t="shared" si="71"/>
        <v>38424.711245421298</v>
      </c>
      <c r="R1103" s="259">
        <f t="shared" si="72"/>
        <v>0.46497600733502875</v>
      </c>
      <c r="S1103" s="255">
        <f t="shared" si="69"/>
        <v>30.416133063526232</v>
      </c>
      <c r="T1103" s="255">
        <f t="shared" si="69"/>
        <v>26.45</v>
      </c>
      <c r="U1103" s="254">
        <v>101602</v>
      </c>
      <c r="V1103" s="254" t="s">
        <v>983</v>
      </c>
      <c r="W1103" s="254" t="s">
        <v>1135</v>
      </c>
      <c r="X1103" s="254" t="s">
        <v>157</v>
      </c>
      <c r="Y1103" s="254" t="s">
        <v>843</v>
      </c>
      <c r="Z1103" s="254" t="s">
        <v>1129</v>
      </c>
      <c r="AA1103" s="254" t="s">
        <v>838</v>
      </c>
    </row>
    <row r="1104" spans="1:27" ht="14.4" x14ac:dyDescent="0.3">
      <c r="A1104" s="253">
        <v>11</v>
      </c>
      <c r="B1104" s="254" t="s">
        <v>851</v>
      </c>
      <c r="C1104" s="254">
        <v>15906</v>
      </c>
      <c r="D1104" s="254" t="s">
        <v>993</v>
      </c>
      <c r="E1104" s="254" t="str">
        <f>_xlfn.XLOOKUP(C1104,Clientes!I:I,Clientes!F:F)</f>
        <v>ADUFÉRTIL - CAMPEVO</v>
      </c>
      <c r="F1104" s="254">
        <v>8369</v>
      </c>
      <c r="G1104" s="254" t="s">
        <v>908</v>
      </c>
      <c r="H1104" s="254" t="s">
        <v>988</v>
      </c>
      <c r="I1104" s="255">
        <v>4200</v>
      </c>
      <c r="J1104" s="256">
        <v>3836.4751305847581</v>
      </c>
      <c r="K1104" s="258">
        <v>37182.058627660415</v>
      </c>
      <c r="L1104" s="258">
        <v>-3346.2489957447106</v>
      </c>
      <c r="M1104" s="258">
        <f t="shared" si="70"/>
        <v>33835.809631915705</v>
      </c>
      <c r="N1104" s="258">
        <v>-13346.140665190784</v>
      </c>
      <c r="O1104" s="258">
        <v>-1037.1477059562583</v>
      </c>
      <c r="P1104" s="258">
        <v>-8650.9943910358561</v>
      </c>
      <c r="Q1104" s="258">
        <f t="shared" si="71"/>
        <v>10801.52686973281</v>
      </c>
      <c r="R1104" s="259">
        <f t="shared" si="72"/>
        <v>0.31923358676023067</v>
      </c>
      <c r="S1104" s="255">
        <f t="shared" si="69"/>
        <v>8.8528711018239079</v>
      </c>
      <c r="T1104" s="255">
        <f t="shared" si="69"/>
        <v>9.6917241379310344</v>
      </c>
      <c r="U1104" s="254">
        <v>101602</v>
      </c>
      <c r="V1104" s="254" t="s">
        <v>983</v>
      </c>
      <c r="W1104" s="254" t="s">
        <v>994</v>
      </c>
      <c r="X1104" s="254" t="s">
        <v>157</v>
      </c>
      <c r="Y1104" s="254" t="s">
        <v>843</v>
      </c>
      <c r="Z1104" s="254" t="s">
        <v>1129</v>
      </c>
      <c r="AA1104" s="254" t="s">
        <v>838</v>
      </c>
    </row>
    <row r="1105" spans="1:27" ht="14.4" x14ac:dyDescent="0.3">
      <c r="A1105" s="253">
        <v>11</v>
      </c>
      <c r="B1105" s="254" t="s">
        <v>851</v>
      </c>
      <c r="C1105" s="254">
        <v>15858</v>
      </c>
      <c r="D1105" s="254" t="s">
        <v>985</v>
      </c>
      <c r="E1105" s="254" t="str">
        <f>_xlfn.XLOOKUP(C1105,Clientes!I:I,Clientes!F:F)</f>
        <v>GRUPO SAGRA</v>
      </c>
      <c r="F1105" s="254">
        <v>8368</v>
      </c>
      <c r="G1105" s="254" t="s">
        <v>855</v>
      </c>
      <c r="H1105" s="254" t="s">
        <v>989</v>
      </c>
      <c r="I1105" s="255">
        <v>834</v>
      </c>
      <c r="J1105" s="256">
        <v>13712.658252461522</v>
      </c>
      <c r="K1105" s="258">
        <v>141490.99065117451</v>
      </c>
      <c r="L1105" s="258">
        <v>-12733.670561779983</v>
      </c>
      <c r="M1105" s="258">
        <f t="shared" si="70"/>
        <v>128757.32008939452</v>
      </c>
      <c r="N1105" s="258">
        <v>-47943.222659934589</v>
      </c>
      <c r="O1105" s="258">
        <v>0</v>
      </c>
      <c r="P1105" s="258">
        <v>-32470.139294879635</v>
      </c>
      <c r="Q1105" s="258">
        <f t="shared" si="71"/>
        <v>48343.958134580294</v>
      </c>
      <c r="R1105" s="259">
        <f t="shared" si="72"/>
        <v>0.37546570634598264</v>
      </c>
      <c r="S1105" s="255">
        <f t="shared" si="69"/>
        <v>169.65346600860252</v>
      </c>
      <c r="T1105" s="255">
        <f t="shared" si="69"/>
        <v>10.318275862068964</v>
      </c>
      <c r="U1105" s="254">
        <v>101602</v>
      </c>
      <c r="V1105" s="254" t="s">
        <v>983</v>
      </c>
      <c r="W1105" s="254" t="s">
        <v>987</v>
      </c>
      <c r="X1105" s="254" t="s">
        <v>157</v>
      </c>
      <c r="Y1105" s="254" t="s">
        <v>843</v>
      </c>
      <c r="Z1105" s="254" t="s">
        <v>1129</v>
      </c>
      <c r="AA1105" s="254" t="s">
        <v>838</v>
      </c>
    </row>
    <row r="1106" spans="1:27" ht="14.4" x14ac:dyDescent="0.3">
      <c r="A1106" s="253">
        <v>11</v>
      </c>
      <c r="B1106" s="254" t="s">
        <v>851</v>
      </c>
      <c r="C1106" s="254">
        <v>11326</v>
      </c>
      <c r="D1106" s="254" t="s">
        <v>179</v>
      </c>
      <c r="E1106" s="254" t="str">
        <f>_xlfn.XLOOKUP(C1106,Clientes!I:I,Clientes!F:F)</f>
        <v>VEGA AGRO</v>
      </c>
      <c r="F1106" s="254">
        <v>8368</v>
      </c>
      <c r="G1106" s="254" t="s">
        <v>855</v>
      </c>
      <c r="H1106" s="254" t="s">
        <v>989</v>
      </c>
      <c r="I1106" s="255">
        <v>436</v>
      </c>
      <c r="J1106" s="256">
        <v>7168.7278154355199</v>
      </c>
      <c r="K1106" s="258">
        <v>73968.911179750707</v>
      </c>
      <c r="L1106" s="258">
        <v>-6656.9308932087206</v>
      </c>
      <c r="M1106" s="258">
        <f t="shared" si="70"/>
        <v>67311.980286541992</v>
      </c>
      <c r="N1106" s="258">
        <v>-25063.843021260767</v>
      </c>
      <c r="O1106" s="258">
        <v>0</v>
      </c>
      <c r="P1106" s="258">
        <v>-16974.79704144787</v>
      </c>
      <c r="Q1106" s="258">
        <f t="shared" si="71"/>
        <v>25273.340223833358</v>
      </c>
      <c r="R1106" s="259">
        <f t="shared" si="72"/>
        <v>0.37546570634598281</v>
      </c>
      <c r="S1106" s="255">
        <f t="shared" si="69"/>
        <v>169.65346600860255</v>
      </c>
      <c r="T1106" s="255">
        <f t="shared" si="69"/>
        <v>10.318275862068965</v>
      </c>
      <c r="U1106" s="254">
        <v>101602</v>
      </c>
      <c r="V1106" s="254" t="s">
        <v>983</v>
      </c>
      <c r="W1106" s="254" t="s">
        <v>952</v>
      </c>
      <c r="X1106" s="254" t="s">
        <v>157</v>
      </c>
      <c r="Y1106" s="254" t="s">
        <v>843</v>
      </c>
      <c r="Z1106" s="254" t="s">
        <v>1129</v>
      </c>
      <c r="AA1106" s="254" t="s">
        <v>838</v>
      </c>
    </row>
    <row r="1107" spans="1:27" ht="14.4" x14ac:dyDescent="0.3">
      <c r="A1107" s="253">
        <v>11</v>
      </c>
      <c r="B1107" s="254" t="s">
        <v>851</v>
      </c>
      <c r="C1107" s="254">
        <v>16645</v>
      </c>
      <c r="D1107" s="254" t="s">
        <v>573</v>
      </c>
      <c r="E1107" s="254" t="str">
        <f>_xlfn.XLOOKUP(C1107,Clientes!I:I,Clientes!F:F)</f>
        <v>OPCAO AGRONEGOCIOS</v>
      </c>
      <c r="F1107" s="254">
        <v>8301</v>
      </c>
      <c r="G1107" s="254" t="s">
        <v>855</v>
      </c>
      <c r="H1107" s="254" t="s">
        <v>986</v>
      </c>
      <c r="I1107" s="255">
        <v>15</v>
      </c>
      <c r="J1107" s="256">
        <v>344.98449599462646</v>
      </c>
      <c r="K1107" s="258">
        <v>9124.8399190578693</v>
      </c>
      <c r="L1107" s="258">
        <v>-900.06114429538013</v>
      </c>
      <c r="M1107" s="258">
        <f t="shared" si="70"/>
        <v>8224.7787747624898</v>
      </c>
      <c r="N1107" s="258">
        <v>-2527.6814613934298</v>
      </c>
      <c r="O1107" s="258">
        <v>-83.27211972284087</v>
      </c>
      <c r="P1107" s="258">
        <v>-1927.4871896112754</v>
      </c>
      <c r="Q1107" s="258">
        <f t="shared" si="71"/>
        <v>3686.3380040349439</v>
      </c>
      <c r="R1107" s="259">
        <f t="shared" si="72"/>
        <v>0.44819904644078351</v>
      </c>
      <c r="S1107" s="255">
        <f t="shared" si="69"/>
        <v>608.32266127052458</v>
      </c>
      <c r="T1107" s="255">
        <f t="shared" si="69"/>
        <v>26.45</v>
      </c>
      <c r="U1107" s="254">
        <v>101602</v>
      </c>
      <c r="V1107" s="254" t="s">
        <v>983</v>
      </c>
      <c r="W1107" s="254" t="s">
        <v>865</v>
      </c>
      <c r="X1107" s="254" t="s">
        <v>157</v>
      </c>
      <c r="Y1107" s="254" t="s">
        <v>843</v>
      </c>
      <c r="Z1107" s="254" t="s">
        <v>1129</v>
      </c>
      <c r="AA1107" s="254" t="s">
        <v>838</v>
      </c>
    </row>
    <row r="1108" spans="1:27" ht="14.4" x14ac:dyDescent="0.3">
      <c r="A1108" s="253">
        <v>11</v>
      </c>
      <c r="B1108" s="254" t="s">
        <v>851</v>
      </c>
      <c r="C1108" s="254">
        <v>13773</v>
      </c>
      <c r="D1108" s="254" t="s">
        <v>428</v>
      </c>
      <c r="E1108" s="254" t="str">
        <f>_xlfn.XLOOKUP(C1108,Clientes!I:I,Clientes!F:F)</f>
        <v>FERTLIZE AGRO</v>
      </c>
      <c r="F1108" s="254">
        <v>8301</v>
      </c>
      <c r="G1108" s="254" t="s">
        <v>855</v>
      </c>
      <c r="H1108" s="254" t="s">
        <v>986</v>
      </c>
      <c r="I1108" s="255">
        <v>5</v>
      </c>
      <c r="J1108" s="256">
        <v>114.99483199820881</v>
      </c>
      <c r="K1108" s="258">
        <v>3041.6133063526231</v>
      </c>
      <c r="L1108" s="258">
        <v>-297.15681084272524</v>
      </c>
      <c r="M1108" s="258">
        <f t="shared" si="70"/>
        <v>2744.4564955098976</v>
      </c>
      <c r="N1108" s="258">
        <v>-842.56048713114308</v>
      </c>
      <c r="O1108" s="258">
        <v>0</v>
      </c>
      <c r="P1108" s="258">
        <v>-632.9060402742823</v>
      </c>
      <c r="Q1108" s="258">
        <f t="shared" si="71"/>
        <v>1268.9899681044724</v>
      </c>
      <c r="R1108" s="259">
        <f t="shared" si="72"/>
        <v>0.46238297826204178</v>
      </c>
      <c r="S1108" s="255">
        <f t="shared" si="69"/>
        <v>608.32266127052458</v>
      </c>
      <c r="T1108" s="255">
        <f t="shared" si="69"/>
        <v>26.45</v>
      </c>
      <c r="U1108" s="254">
        <v>101602</v>
      </c>
      <c r="V1108" s="254" t="s">
        <v>983</v>
      </c>
      <c r="W1108" s="254" t="s">
        <v>995</v>
      </c>
      <c r="X1108" s="254" t="s">
        <v>157</v>
      </c>
      <c r="Y1108" s="254" t="s">
        <v>843</v>
      </c>
      <c r="Z1108" s="254" t="s">
        <v>1129</v>
      </c>
      <c r="AA1108" s="254" t="s">
        <v>838</v>
      </c>
    </row>
    <row r="1109" spans="1:27" ht="14.4" x14ac:dyDescent="0.3">
      <c r="A1109" s="253">
        <v>11</v>
      </c>
      <c r="B1109" s="254" t="s">
        <v>851</v>
      </c>
      <c r="C1109" s="254">
        <v>15908</v>
      </c>
      <c r="D1109" s="254" t="s">
        <v>981</v>
      </c>
      <c r="E1109" s="254" t="str">
        <f>_xlfn.XLOOKUP(C1109,Clientes!I:I,Clientes!F:F)</f>
        <v>ADUFÉRTIL - CAMPEVO</v>
      </c>
      <c r="F1109" s="254">
        <v>13004</v>
      </c>
      <c r="G1109" s="254" t="s">
        <v>908</v>
      </c>
      <c r="H1109" s="254" t="s">
        <v>982</v>
      </c>
      <c r="I1109" s="255">
        <v>22</v>
      </c>
      <c r="J1109" s="256">
        <v>505.97726079211878</v>
      </c>
      <c r="K1109" s="258">
        <v>13383.098547951542</v>
      </c>
      <c r="L1109" s="258">
        <v>-1266.8109020827151</v>
      </c>
      <c r="M1109" s="258">
        <f t="shared" si="70"/>
        <v>12116.287645868826</v>
      </c>
      <c r="N1109" s="258">
        <v>-3577.6717152628812</v>
      </c>
      <c r="O1109" s="258">
        <v>-136.78523577881009</v>
      </c>
      <c r="P1109" s="258">
        <v>-2819.3930184661526</v>
      </c>
      <c r="Q1109" s="258">
        <f t="shared" si="71"/>
        <v>5582.4376763609816</v>
      </c>
      <c r="R1109" s="259">
        <f t="shared" si="72"/>
        <v>0.4607382920844052</v>
      </c>
      <c r="S1109" s="255">
        <f t="shared" si="69"/>
        <v>608.32266127052469</v>
      </c>
      <c r="T1109" s="255">
        <f t="shared" si="69"/>
        <v>26.45</v>
      </c>
      <c r="U1109" s="254">
        <v>101602</v>
      </c>
      <c r="V1109" s="254" t="s">
        <v>983</v>
      </c>
      <c r="W1109" s="254" t="s">
        <v>984</v>
      </c>
      <c r="X1109" s="254" t="s">
        <v>157</v>
      </c>
      <c r="Y1109" s="254" t="s">
        <v>843</v>
      </c>
      <c r="Z1109" s="254" t="s">
        <v>1129</v>
      </c>
      <c r="AA1109" s="254" t="s">
        <v>838</v>
      </c>
    </row>
    <row r="1110" spans="1:27" ht="14.4" x14ac:dyDescent="0.3">
      <c r="A1110" s="253">
        <v>11</v>
      </c>
      <c r="B1110" s="254" t="s">
        <v>851</v>
      </c>
      <c r="C1110" s="254">
        <v>2696</v>
      </c>
      <c r="D1110" s="254" t="s">
        <v>119</v>
      </c>
      <c r="E1110" s="254" t="str">
        <f>_xlfn.XLOOKUP(C1110,Clientes!I:I,Clientes!F:F)</f>
        <v>MOSAIC FERTILIZANTES PARAGUAY S.R.L.</v>
      </c>
      <c r="F1110" s="254">
        <v>4676</v>
      </c>
      <c r="G1110" s="254" t="s">
        <v>832</v>
      </c>
      <c r="H1110" s="254" t="s">
        <v>999</v>
      </c>
      <c r="I1110" s="255">
        <v>30000</v>
      </c>
      <c r="J1110" s="256">
        <v>30000</v>
      </c>
      <c r="K1110" s="255">
        <v>338570.68054622674</v>
      </c>
      <c r="L1110" s="258">
        <v>0</v>
      </c>
      <c r="M1110" s="258">
        <f t="shared" si="70"/>
        <v>338570.68054622674</v>
      </c>
      <c r="N1110" s="258">
        <v>-174722.94</v>
      </c>
      <c r="O1110" s="258">
        <v>-27051.200000000012</v>
      </c>
      <c r="P1110" s="258">
        <v>-4871.3496774060823</v>
      </c>
      <c r="Q1110" s="258">
        <f t="shared" si="71"/>
        <v>131925.19086882065</v>
      </c>
      <c r="R1110" s="259">
        <f t="shared" si="72"/>
        <v>0.38965332336509939</v>
      </c>
      <c r="S1110" s="255">
        <f t="shared" si="69"/>
        <v>11.285689351540892</v>
      </c>
      <c r="T1110" s="255">
        <f t="shared" si="69"/>
        <v>11.285689351540892</v>
      </c>
      <c r="U1110" s="254">
        <v>101900</v>
      </c>
      <c r="V1110" s="254" t="s">
        <v>997</v>
      </c>
      <c r="W1110" s="254" t="s">
        <v>1012</v>
      </c>
      <c r="X1110" s="254" t="s">
        <v>446</v>
      </c>
      <c r="Y1110" s="254" t="s">
        <v>836</v>
      </c>
      <c r="Z1110" s="254" t="s">
        <v>1129</v>
      </c>
      <c r="AA1110" s="254" t="s">
        <v>838</v>
      </c>
    </row>
    <row r="1111" spans="1:27" ht="14.4" x14ac:dyDescent="0.3">
      <c r="A1111" s="253">
        <v>11</v>
      </c>
      <c r="B1111" s="254" t="s">
        <v>851</v>
      </c>
      <c r="C1111" s="254">
        <v>9355</v>
      </c>
      <c r="D1111" s="254" t="s">
        <v>302</v>
      </c>
      <c r="E1111" s="254" t="str">
        <f>_xlfn.XLOOKUP(C1111,Clientes!I:I,Clientes!F:F)</f>
        <v>NITROFERT SAS - COLOMBIA</v>
      </c>
      <c r="F1111" s="254">
        <v>14147</v>
      </c>
      <c r="G1111" s="254" t="s">
        <v>832</v>
      </c>
      <c r="H1111" s="254" t="s">
        <v>996</v>
      </c>
      <c r="I1111" s="255">
        <v>43200</v>
      </c>
      <c r="J1111" s="256">
        <v>43200</v>
      </c>
      <c r="K1111" s="255">
        <v>713229.30214034801</v>
      </c>
      <c r="L1111" s="258">
        <v>0</v>
      </c>
      <c r="M1111" s="258">
        <f t="shared" si="70"/>
        <v>713229.30214034801</v>
      </c>
      <c r="N1111" s="258">
        <v>-228301.88200000001</v>
      </c>
      <c r="O1111" s="258">
        <v>-49587.158016000001</v>
      </c>
      <c r="P1111" s="258">
        <v>-7094.6437004934141</v>
      </c>
      <c r="Q1111" s="258">
        <f t="shared" si="71"/>
        <v>428245.61842385458</v>
      </c>
      <c r="R1111" s="259">
        <f t="shared" si="72"/>
        <v>0.60043189075199432</v>
      </c>
      <c r="S1111" s="255">
        <f t="shared" si="69"/>
        <v>16.509937549545093</v>
      </c>
      <c r="T1111" s="255">
        <f t="shared" si="69"/>
        <v>16.509937549545093</v>
      </c>
      <c r="U1111" s="254">
        <v>101900</v>
      </c>
      <c r="V1111" s="254" t="s">
        <v>997</v>
      </c>
      <c r="W1111" s="254" t="s">
        <v>998</v>
      </c>
      <c r="X1111" s="254" t="s">
        <v>446</v>
      </c>
      <c r="Y1111" s="254" t="s">
        <v>836</v>
      </c>
      <c r="Z1111" s="254" t="s">
        <v>1129</v>
      </c>
      <c r="AA1111" s="254" t="s">
        <v>838</v>
      </c>
    </row>
    <row r="1112" spans="1:27" ht="14.4" x14ac:dyDescent="0.3">
      <c r="A1112" s="253">
        <v>11</v>
      </c>
      <c r="B1112" s="254" t="s">
        <v>851</v>
      </c>
      <c r="C1112" s="254">
        <v>1159</v>
      </c>
      <c r="D1112" s="254" t="s">
        <v>50</v>
      </c>
      <c r="E1112" s="254" t="str">
        <f>_xlfn.XLOOKUP(C1112,Clientes!I:I,Clientes!F:F)</f>
        <v>GRUPO YARA</v>
      </c>
      <c r="F1112" s="254">
        <v>4627</v>
      </c>
      <c r="G1112" s="254" t="s">
        <v>877</v>
      </c>
      <c r="H1112" s="254" t="s">
        <v>1000</v>
      </c>
      <c r="I1112" s="255">
        <v>330000</v>
      </c>
      <c r="J1112" s="256">
        <v>330000</v>
      </c>
      <c r="K1112" s="258">
        <v>2996432.1513888235</v>
      </c>
      <c r="L1112" s="258">
        <v>-358380</v>
      </c>
      <c r="M1112" s="258">
        <f t="shared" si="70"/>
        <v>2638052.1513888235</v>
      </c>
      <c r="N1112" s="258">
        <v>-1702922.936</v>
      </c>
      <c r="O1112" s="258">
        <v>-268637.65499999997</v>
      </c>
      <c r="P1112" s="258">
        <v>-2018.5577875731612</v>
      </c>
      <c r="Q1112" s="258">
        <f t="shared" si="71"/>
        <v>664473.00260125031</v>
      </c>
      <c r="R1112" s="259">
        <f t="shared" si="72"/>
        <v>0.25188016175170502</v>
      </c>
      <c r="S1112" s="255">
        <f t="shared" si="69"/>
        <v>9.0800974284509799</v>
      </c>
      <c r="T1112" s="255">
        <f t="shared" si="69"/>
        <v>9.0800974284509799</v>
      </c>
      <c r="U1112" s="254">
        <v>102200</v>
      </c>
      <c r="V1112" s="254" t="s">
        <v>1001</v>
      </c>
      <c r="W1112" s="254" t="s">
        <v>878</v>
      </c>
      <c r="X1112" s="254" t="s">
        <v>446</v>
      </c>
      <c r="Y1112" s="254" t="s">
        <v>843</v>
      </c>
      <c r="Z1112" s="254" t="s">
        <v>1129</v>
      </c>
      <c r="AA1112" s="254" t="s">
        <v>838</v>
      </c>
    </row>
    <row r="1113" spans="1:27" ht="14.4" x14ac:dyDescent="0.3">
      <c r="A1113" s="253">
        <v>11</v>
      </c>
      <c r="B1113" s="254" t="s">
        <v>851</v>
      </c>
      <c r="C1113" s="254">
        <v>903</v>
      </c>
      <c r="D1113" s="254" t="s">
        <v>47</v>
      </c>
      <c r="E1113" s="254" t="str">
        <f>_xlfn.XLOOKUP(C1113,Clientes!I:I,Clientes!F:F)</f>
        <v>GRUPO YARA</v>
      </c>
      <c r="F1113" s="254">
        <v>4627</v>
      </c>
      <c r="G1113" s="254" t="s">
        <v>862</v>
      </c>
      <c r="H1113" s="254" t="s">
        <v>1000</v>
      </c>
      <c r="I1113" s="255">
        <v>45000</v>
      </c>
      <c r="J1113" s="256">
        <v>45000</v>
      </c>
      <c r="K1113" s="258">
        <v>386029.5564195044</v>
      </c>
      <c r="L1113" s="258">
        <v>-46170</v>
      </c>
      <c r="M1113" s="258">
        <f t="shared" si="70"/>
        <v>339859.5564195044</v>
      </c>
      <c r="N1113" s="258">
        <v>-232216.764</v>
      </c>
      <c r="O1113" s="258">
        <v>-17720.945424000001</v>
      </c>
      <c r="P1113" s="258">
        <v>-133.15613698598651</v>
      </c>
      <c r="Q1113" s="258">
        <f t="shared" si="71"/>
        <v>89788.690858518414</v>
      </c>
      <c r="R1113" s="259">
        <f t="shared" si="72"/>
        <v>0.26419351512272343</v>
      </c>
      <c r="S1113" s="255">
        <f t="shared" si="69"/>
        <v>8.578434587100098</v>
      </c>
      <c r="T1113" s="255">
        <f t="shared" si="69"/>
        <v>8.578434587100098</v>
      </c>
      <c r="U1113" s="254">
        <v>102200</v>
      </c>
      <c r="V1113" s="254" t="s">
        <v>1001</v>
      </c>
      <c r="W1113" s="254" t="s">
        <v>1002</v>
      </c>
      <c r="X1113" s="254" t="s">
        <v>446</v>
      </c>
      <c r="Y1113" s="254" t="s">
        <v>843</v>
      </c>
      <c r="Z1113" s="254" t="s">
        <v>1129</v>
      </c>
      <c r="AA1113" s="254" t="s">
        <v>838</v>
      </c>
    </row>
    <row r="1114" spans="1:27" ht="14.4" x14ac:dyDescent="0.3">
      <c r="A1114" s="253">
        <v>11</v>
      </c>
      <c r="B1114" s="254" t="s">
        <v>851</v>
      </c>
      <c r="C1114" s="254">
        <v>2011</v>
      </c>
      <c r="D1114" s="254" t="s">
        <v>616</v>
      </c>
      <c r="E1114" s="254" t="str">
        <f>_xlfn.XLOOKUP(C1114,Clientes!I:I,Clientes!F:F)</f>
        <v>FERTGROW S.A</v>
      </c>
      <c r="F1114" s="254">
        <v>12813</v>
      </c>
      <c r="G1114" s="254" t="s">
        <v>897</v>
      </c>
      <c r="H1114" s="254" t="s">
        <v>1060</v>
      </c>
      <c r="I1114" s="255">
        <v>120000</v>
      </c>
      <c r="J1114" s="256">
        <v>120000</v>
      </c>
      <c r="K1114" s="258">
        <v>1348200.4121922581</v>
      </c>
      <c r="L1114" s="258">
        <v>-52512</v>
      </c>
      <c r="M1114" s="258">
        <f t="shared" si="70"/>
        <v>1295688.4121922581</v>
      </c>
      <c r="N1114" s="258">
        <v>-534671.13929313945</v>
      </c>
      <c r="O1114" s="258">
        <v>-105846.10919999999</v>
      </c>
      <c r="P1114" s="258">
        <v>-795.33335715716862</v>
      </c>
      <c r="Q1114" s="258">
        <f t="shared" si="71"/>
        <v>654375.83034196147</v>
      </c>
      <c r="R1114" s="259">
        <f t="shared" si="72"/>
        <v>0.50504104550474538</v>
      </c>
      <c r="S1114" s="255">
        <f t="shared" si="69"/>
        <v>11.235003434935484</v>
      </c>
      <c r="T1114" s="255">
        <f t="shared" si="69"/>
        <v>11.235003434935484</v>
      </c>
      <c r="U1114" s="254">
        <v>102300</v>
      </c>
      <c r="V1114" s="254" t="s">
        <v>1059</v>
      </c>
      <c r="W1114" s="254" t="s">
        <v>899</v>
      </c>
      <c r="X1114" s="254" t="s">
        <v>446</v>
      </c>
      <c r="Y1114" s="254" t="s">
        <v>843</v>
      </c>
      <c r="Z1114" s="254" t="s">
        <v>1129</v>
      </c>
      <c r="AA1114" s="254" t="s">
        <v>838</v>
      </c>
    </row>
    <row r="1115" spans="1:27" ht="14.4" x14ac:dyDescent="0.3">
      <c r="A1115" s="253">
        <v>11</v>
      </c>
      <c r="B1115" s="254" t="s">
        <v>851</v>
      </c>
      <c r="C1115" s="254">
        <v>252</v>
      </c>
      <c r="D1115" s="254" t="s">
        <v>37</v>
      </c>
      <c r="E1115" s="254" t="str">
        <f>_xlfn.XLOOKUP(C1115,Clientes!I:I,Clientes!F:F)</f>
        <v>GRUPO FERTIPAR FERTILIZANTES PARANA</v>
      </c>
      <c r="F1115" s="254">
        <v>12293</v>
      </c>
      <c r="G1115" s="254" t="s">
        <v>862</v>
      </c>
      <c r="H1115" s="254" t="s">
        <v>1058</v>
      </c>
      <c r="I1115" s="255">
        <v>14400</v>
      </c>
      <c r="J1115" s="256">
        <v>14400</v>
      </c>
      <c r="K1115" s="258">
        <v>118306.43470791297</v>
      </c>
      <c r="L1115" s="258">
        <v>-4608</v>
      </c>
      <c r="M1115" s="258">
        <f t="shared" si="70"/>
        <v>113698.43470791297</v>
      </c>
      <c r="N1115" s="258">
        <v>-45991.9</v>
      </c>
      <c r="O1115" s="258">
        <v>-10498.551068753279</v>
      </c>
      <c r="P1115" s="258">
        <v>-78.886677364967582</v>
      </c>
      <c r="Q1115" s="258">
        <f t="shared" si="71"/>
        <v>57129.096961794727</v>
      </c>
      <c r="R1115" s="259">
        <f t="shared" si="72"/>
        <v>0.50246159596266426</v>
      </c>
      <c r="S1115" s="255">
        <f t="shared" si="69"/>
        <v>8.2157246324939557</v>
      </c>
      <c r="T1115" s="255">
        <f t="shared" si="69"/>
        <v>8.2157246324939557</v>
      </c>
      <c r="U1115" s="254">
        <v>102300</v>
      </c>
      <c r="V1115" s="254" t="s">
        <v>1059</v>
      </c>
      <c r="W1115" s="254" t="s">
        <v>864</v>
      </c>
      <c r="X1115" s="254" t="s">
        <v>446</v>
      </c>
      <c r="Y1115" s="254" t="s">
        <v>843</v>
      </c>
      <c r="Z1115" s="254" t="s">
        <v>1129</v>
      </c>
      <c r="AA1115" s="254" t="s">
        <v>838</v>
      </c>
    </row>
    <row r="1116" spans="1:27" ht="14.4" x14ac:dyDescent="0.3">
      <c r="A1116" s="253">
        <v>11</v>
      </c>
      <c r="B1116" s="254" t="s">
        <v>851</v>
      </c>
      <c r="C1116" s="254">
        <v>97</v>
      </c>
      <c r="D1116" s="254" t="s">
        <v>300</v>
      </c>
      <c r="E1116" s="254" t="str">
        <f>_xlfn.XLOOKUP(C1116,Clientes!I:I,Clientes!F:F)</f>
        <v>FECOAGRO FEDERACAO DAS COOPERATIVAS</v>
      </c>
      <c r="F1116" s="254">
        <v>13600</v>
      </c>
      <c r="G1116" s="254" t="s">
        <v>893</v>
      </c>
      <c r="H1116" s="254" t="s">
        <v>1098</v>
      </c>
      <c r="I1116" s="255">
        <v>210000</v>
      </c>
      <c r="J1116" s="256">
        <v>210000</v>
      </c>
      <c r="K1116" s="258">
        <v>1940964.944426697</v>
      </c>
      <c r="L1116" s="258">
        <v>-75600</v>
      </c>
      <c r="M1116" s="258">
        <f t="shared" si="70"/>
        <v>1865364.944426697</v>
      </c>
      <c r="N1116" s="258">
        <v>-1203510.33</v>
      </c>
      <c r="O1116" s="258">
        <v>-117654.67349999999</v>
      </c>
      <c r="P1116" s="258">
        <v>-884.06354439701568</v>
      </c>
      <c r="Q1116" s="258">
        <f t="shared" si="71"/>
        <v>543315.87738229986</v>
      </c>
      <c r="R1116" s="259">
        <f t="shared" si="72"/>
        <v>0.29126519129975559</v>
      </c>
      <c r="S1116" s="255">
        <f t="shared" si="69"/>
        <v>9.2426902115557006</v>
      </c>
      <c r="T1116" s="255">
        <f t="shared" si="69"/>
        <v>9.2426902115557006</v>
      </c>
      <c r="U1116" s="254">
        <v>102300</v>
      </c>
      <c r="V1116" s="254" t="s">
        <v>1059</v>
      </c>
      <c r="W1116" s="254" t="s">
        <v>894</v>
      </c>
      <c r="X1116" s="254" t="s">
        <v>446</v>
      </c>
      <c r="Y1116" s="254" t="s">
        <v>843</v>
      </c>
      <c r="Z1116" s="254" t="s">
        <v>1129</v>
      </c>
      <c r="AA1116" s="254" t="s">
        <v>838</v>
      </c>
    </row>
    <row r="1117" spans="1:27" ht="14.4" x14ac:dyDescent="0.3">
      <c r="A1117" s="253">
        <v>11</v>
      </c>
      <c r="B1117" s="254" t="s">
        <v>851</v>
      </c>
      <c r="C1117" s="254">
        <v>5695</v>
      </c>
      <c r="D1117" s="254" t="s">
        <v>1123</v>
      </c>
      <c r="E1117" s="254" t="str">
        <f>_xlfn.XLOOKUP(C1117,Clientes!I:I,Clientes!F:F)</f>
        <v>GRUPO CAMPO RICO</v>
      </c>
      <c r="F1117" s="254">
        <v>12813</v>
      </c>
      <c r="G1117" s="254" t="s">
        <v>926</v>
      </c>
      <c r="H1117" s="254" t="s">
        <v>1060</v>
      </c>
      <c r="I1117" s="255">
        <v>70000</v>
      </c>
      <c r="J1117" s="256">
        <v>70000</v>
      </c>
      <c r="K1117" s="258">
        <v>718875.90534322115</v>
      </c>
      <c r="L1117" s="258">
        <v>-28000</v>
      </c>
      <c r="M1117" s="258">
        <f t="shared" si="70"/>
        <v>690875.90534322115</v>
      </c>
      <c r="N1117" s="258">
        <v>-311891.49792099802</v>
      </c>
      <c r="O1117" s="258">
        <v>-70850.266905600001</v>
      </c>
      <c r="P1117" s="258">
        <v>-532.37271600638383</v>
      </c>
      <c r="Q1117" s="258">
        <f t="shared" si="71"/>
        <v>307601.7678006168</v>
      </c>
      <c r="R1117" s="259">
        <f t="shared" si="72"/>
        <v>0.44523447036092961</v>
      </c>
      <c r="S1117" s="255">
        <f t="shared" si="69"/>
        <v>10.269655790617445</v>
      </c>
      <c r="T1117" s="255">
        <f t="shared" si="69"/>
        <v>10.269655790617445</v>
      </c>
      <c r="U1117" s="254">
        <v>102300</v>
      </c>
      <c r="V1117" s="254" t="s">
        <v>1059</v>
      </c>
      <c r="W1117" s="254" t="s">
        <v>1124</v>
      </c>
      <c r="X1117" s="254" t="s">
        <v>446</v>
      </c>
      <c r="Y1117" s="254" t="s">
        <v>843</v>
      </c>
      <c r="Z1117" s="254" t="s">
        <v>1129</v>
      </c>
      <c r="AA1117" s="254" t="s">
        <v>838</v>
      </c>
    </row>
    <row r="1118" spans="1:27" ht="14.4" x14ac:dyDescent="0.3">
      <c r="A1118" s="253">
        <v>11</v>
      </c>
      <c r="B1118" s="254" t="s">
        <v>851</v>
      </c>
      <c r="C1118" s="254">
        <v>2900</v>
      </c>
      <c r="D1118" s="254" t="s">
        <v>463</v>
      </c>
      <c r="E1118" s="254" t="str">
        <f>_xlfn.XLOOKUP(C1118,Clientes!I:I,Clientes!F:F)</f>
        <v>BIOSAFRA - MARUIM</v>
      </c>
      <c r="F1118" s="254">
        <v>12813</v>
      </c>
      <c r="G1118" s="254" t="s">
        <v>887</v>
      </c>
      <c r="H1118" s="254" t="s">
        <v>1060</v>
      </c>
      <c r="I1118" s="255">
        <v>2400</v>
      </c>
      <c r="J1118" s="256">
        <v>2400</v>
      </c>
      <c r="K1118" s="258">
        <v>28048.483895334364</v>
      </c>
      <c r="L1118" s="258">
        <v>-1092.48</v>
      </c>
      <c r="M1118" s="258">
        <f t="shared" si="70"/>
        <v>26956.003895334365</v>
      </c>
      <c r="N1118" s="258">
        <v>-10693.422785862789</v>
      </c>
      <c r="O1118" s="258">
        <v>-3897.0998277119998</v>
      </c>
      <c r="P1118" s="258">
        <v>-29.283017699726731</v>
      </c>
      <c r="Q1118" s="258">
        <f t="shared" si="71"/>
        <v>12336.198264059849</v>
      </c>
      <c r="R1118" s="259">
        <f t="shared" si="72"/>
        <v>0.4576419528636082</v>
      </c>
      <c r="S1118" s="255">
        <f t="shared" si="69"/>
        <v>11.686868289722652</v>
      </c>
      <c r="T1118" s="255">
        <f t="shared" si="69"/>
        <v>11.686868289722652</v>
      </c>
      <c r="U1118" s="254">
        <v>102300</v>
      </c>
      <c r="V1118" s="254" t="s">
        <v>1059</v>
      </c>
      <c r="W1118" s="254" t="s">
        <v>1009</v>
      </c>
      <c r="X1118" s="254" t="s">
        <v>446</v>
      </c>
      <c r="Y1118" s="254" t="s">
        <v>843</v>
      </c>
      <c r="Z1118" s="254" t="s">
        <v>1129</v>
      </c>
      <c r="AA1118" s="254" t="s">
        <v>838</v>
      </c>
    </row>
    <row r="1119" spans="1:27" ht="14.4" x14ac:dyDescent="0.3">
      <c r="A1119" s="253">
        <v>11</v>
      </c>
      <c r="B1119" s="254" t="s">
        <v>851</v>
      </c>
      <c r="C1119" s="254">
        <v>139</v>
      </c>
      <c r="D1119" s="254" t="s">
        <v>32</v>
      </c>
      <c r="E1119" s="254" t="str">
        <f>_xlfn.XLOOKUP(C1119,Clientes!I:I,Clientes!F:F)</f>
        <v>COMIGO - RIO VERDE</v>
      </c>
      <c r="F1119" s="254">
        <v>14190</v>
      </c>
      <c r="G1119" s="254" t="s">
        <v>867</v>
      </c>
      <c r="H1119" s="254" t="s">
        <v>1122</v>
      </c>
      <c r="I1119" s="255">
        <v>100000</v>
      </c>
      <c r="J1119" s="256">
        <v>100000</v>
      </c>
      <c r="K1119" s="258">
        <v>815410.6697750251</v>
      </c>
      <c r="L1119" s="258">
        <v>-31760</v>
      </c>
      <c r="M1119" s="258">
        <f t="shared" si="70"/>
        <v>783650.6697750251</v>
      </c>
      <c r="N1119" s="258">
        <v>-444441.07999999996</v>
      </c>
      <c r="O1119" s="258">
        <v>-18962.657999999999</v>
      </c>
      <c r="P1119" s="258">
        <v>-142.48643206398788</v>
      </c>
      <c r="Q1119" s="258">
        <f t="shared" si="71"/>
        <v>320104.44534296117</v>
      </c>
      <c r="R1119" s="259">
        <f t="shared" si="72"/>
        <v>0.40847849391216445</v>
      </c>
      <c r="S1119" s="255">
        <f t="shared" si="69"/>
        <v>8.154106697750251</v>
      </c>
      <c r="T1119" s="255">
        <f t="shared" si="69"/>
        <v>8.154106697750251</v>
      </c>
      <c r="U1119" s="254">
        <v>102300</v>
      </c>
      <c r="V1119" s="254" t="s">
        <v>1059</v>
      </c>
      <c r="W1119" s="254" t="s">
        <v>890</v>
      </c>
      <c r="X1119" s="254" t="s">
        <v>446</v>
      </c>
      <c r="Y1119" s="254" t="s">
        <v>843</v>
      </c>
      <c r="Z1119" s="254" t="s">
        <v>1129</v>
      </c>
      <c r="AA1119" s="254" t="s">
        <v>838</v>
      </c>
    </row>
    <row r="1120" spans="1:27" ht="14.4" x14ac:dyDescent="0.3">
      <c r="A1120" s="253">
        <v>11</v>
      </c>
      <c r="B1120" s="254" t="s">
        <v>851</v>
      </c>
      <c r="C1120" s="254">
        <v>139</v>
      </c>
      <c r="D1120" s="254" t="s">
        <v>32</v>
      </c>
      <c r="E1120" s="254" t="str">
        <f>_xlfn.XLOOKUP(C1120,Clientes!I:I,Clientes!F:F)</f>
        <v>COMIGO - RIO VERDE</v>
      </c>
      <c r="F1120" s="254">
        <v>14154</v>
      </c>
      <c r="G1120" s="254" t="s">
        <v>867</v>
      </c>
      <c r="H1120" s="254" t="s">
        <v>1007</v>
      </c>
      <c r="I1120" s="255">
        <v>30000</v>
      </c>
      <c r="J1120" s="256">
        <v>30000</v>
      </c>
      <c r="K1120" s="258">
        <v>48600</v>
      </c>
      <c r="L1120" s="258">
        <v>-3402.0000000000005</v>
      </c>
      <c r="M1120" s="258">
        <f t="shared" si="70"/>
        <v>45198</v>
      </c>
      <c r="N1120" s="258">
        <v>-34437.57142857142</v>
      </c>
      <c r="O1120" s="258">
        <v>-5688.7973999999995</v>
      </c>
      <c r="P1120" s="258">
        <v>-42.74592961919636</v>
      </c>
      <c r="Q1120" s="258">
        <f t="shared" si="71"/>
        <v>5028.8852418093838</v>
      </c>
      <c r="R1120" s="259">
        <f t="shared" si="72"/>
        <v>0.11126344621021692</v>
      </c>
      <c r="S1120" s="255">
        <f t="shared" si="69"/>
        <v>1.62</v>
      </c>
      <c r="T1120" s="255">
        <f t="shared" si="69"/>
        <v>1.62</v>
      </c>
      <c r="U1120" s="254">
        <v>102600</v>
      </c>
      <c r="V1120" s="254" t="s">
        <v>1005</v>
      </c>
      <c r="W1120" s="254" t="s">
        <v>890</v>
      </c>
      <c r="X1120" s="254" t="s">
        <v>446</v>
      </c>
      <c r="Y1120" s="254" t="s">
        <v>843</v>
      </c>
      <c r="Z1120" s="254" t="s">
        <v>1129</v>
      </c>
      <c r="AA1120" s="254" t="s">
        <v>838</v>
      </c>
    </row>
    <row r="1121" spans="1:27" ht="14.4" x14ac:dyDescent="0.3">
      <c r="A1121" s="253">
        <v>11</v>
      </c>
      <c r="B1121" s="254" t="s">
        <v>851</v>
      </c>
      <c r="C1121" s="254">
        <v>1953</v>
      </c>
      <c r="D1121" s="254" t="s">
        <v>66</v>
      </c>
      <c r="E1121" s="254" t="str">
        <f>_xlfn.XLOOKUP(C1121,Clientes!I:I,Clientes!F:F)</f>
        <v>GRUPO AMAGGI</v>
      </c>
      <c r="F1121" s="254">
        <v>7398</v>
      </c>
      <c r="G1121" s="254" t="s">
        <v>840</v>
      </c>
      <c r="H1121" s="254" t="s">
        <v>1004</v>
      </c>
      <c r="I1121" s="255">
        <v>60000</v>
      </c>
      <c r="J1121" s="256">
        <v>60000</v>
      </c>
      <c r="K1121" s="258">
        <v>125400</v>
      </c>
      <c r="L1121" s="258">
        <v>-8778</v>
      </c>
      <c r="M1121" s="258">
        <f t="shared" si="70"/>
        <v>116622</v>
      </c>
      <c r="N1121" s="258">
        <v>-38256.432487309648</v>
      </c>
      <c r="O1121" s="258">
        <v>-41876.730604799995</v>
      </c>
      <c r="P1121" s="258">
        <v>-314.66400598390567</v>
      </c>
      <c r="Q1121" s="258">
        <f t="shared" si="71"/>
        <v>36174.172901906451</v>
      </c>
      <c r="R1121" s="259">
        <f t="shared" si="72"/>
        <v>0.31018309497270197</v>
      </c>
      <c r="S1121" s="255">
        <f t="shared" si="69"/>
        <v>2.09</v>
      </c>
      <c r="T1121" s="255">
        <f t="shared" si="69"/>
        <v>2.09</v>
      </c>
      <c r="U1121" s="254">
        <v>102600</v>
      </c>
      <c r="V1121" s="254" t="s">
        <v>1005</v>
      </c>
      <c r="W1121" s="254" t="s">
        <v>1008</v>
      </c>
      <c r="X1121" s="254" t="s">
        <v>446</v>
      </c>
      <c r="Y1121" s="254" t="s">
        <v>843</v>
      </c>
      <c r="Z1121" s="254" t="s">
        <v>1129</v>
      </c>
      <c r="AA1121" s="254" t="s">
        <v>838</v>
      </c>
    </row>
    <row r="1122" spans="1:27" ht="14.4" x14ac:dyDescent="0.3">
      <c r="A1122" s="253">
        <v>11</v>
      </c>
      <c r="B1122" s="254" t="s">
        <v>851</v>
      </c>
      <c r="C1122" s="254">
        <v>7745</v>
      </c>
      <c r="D1122" s="254" t="s">
        <v>320</v>
      </c>
      <c r="E1122" s="254" t="str">
        <f>_xlfn.XLOOKUP(C1122,Clientes!I:I,Clientes!F:F)</f>
        <v>GRUPO LOUIS DREYFUS</v>
      </c>
      <c r="F1122" s="254">
        <v>14154</v>
      </c>
      <c r="G1122" s="254" t="s">
        <v>840</v>
      </c>
      <c r="H1122" s="254" t="s">
        <v>1007</v>
      </c>
      <c r="I1122" s="255">
        <v>12000</v>
      </c>
      <c r="J1122" s="256">
        <v>12000</v>
      </c>
      <c r="K1122" s="258">
        <v>34080</v>
      </c>
      <c r="L1122" s="258">
        <v>-2385.6000000000004</v>
      </c>
      <c r="M1122" s="258">
        <f t="shared" si="70"/>
        <v>31694.400000000001</v>
      </c>
      <c r="N1122" s="258">
        <v>-13775.028571428567</v>
      </c>
      <c r="O1122" s="258">
        <v>-14860.45806336</v>
      </c>
      <c r="P1122" s="258">
        <v>-111.66228111505704</v>
      </c>
      <c r="Q1122" s="258">
        <f t="shared" si="71"/>
        <v>2947.2510840963773</v>
      </c>
      <c r="R1122" s="259">
        <f t="shared" si="72"/>
        <v>9.2989647511748985E-2</v>
      </c>
      <c r="S1122" s="255">
        <f t="shared" si="69"/>
        <v>2.84</v>
      </c>
      <c r="T1122" s="255">
        <f t="shared" si="69"/>
        <v>2.84</v>
      </c>
      <c r="U1122" s="254">
        <v>102600</v>
      </c>
      <c r="V1122" s="254" t="s">
        <v>1005</v>
      </c>
      <c r="W1122" s="254" t="s">
        <v>1128</v>
      </c>
      <c r="X1122" s="254" t="s">
        <v>446</v>
      </c>
      <c r="Y1122" s="254" t="s">
        <v>843</v>
      </c>
      <c r="Z1122" s="254" t="s">
        <v>1129</v>
      </c>
      <c r="AA1122" s="254" t="s">
        <v>838</v>
      </c>
    </row>
    <row r="1123" spans="1:27" ht="14.4" x14ac:dyDescent="0.3">
      <c r="A1123" s="253">
        <v>11</v>
      </c>
      <c r="B1123" s="254" t="s">
        <v>851</v>
      </c>
      <c r="C1123" s="254">
        <v>8855</v>
      </c>
      <c r="D1123" s="254" t="s">
        <v>1003</v>
      </c>
      <c r="E1123" s="254" t="str">
        <f>_xlfn.XLOOKUP(C1123,Clientes!I:I,Clientes!F:F)</f>
        <v>TERMAG GUARUJA</v>
      </c>
      <c r="F1123" s="254">
        <v>7398</v>
      </c>
      <c r="G1123" s="254" t="s">
        <v>908</v>
      </c>
      <c r="H1123" s="254" t="s">
        <v>1004</v>
      </c>
      <c r="I1123" s="255">
        <v>60000</v>
      </c>
      <c r="J1123" s="256">
        <v>60000</v>
      </c>
      <c r="K1123" s="258">
        <v>147600</v>
      </c>
      <c r="L1123" s="258">
        <v>-17712</v>
      </c>
      <c r="M1123" s="258">
        <f t="shared" si="70"/>
        <v>129888</v>
      </c>
      <c r="N1123" s="258">
        <v>-38256.432487309648</v>
      </c>
      <c r="O1123" s="258">
        <v>-26091.264326399996</v>
      </c>
      <c r="P1123" s="258">
        <v>-196.05116339213328</v>
      </c>
      <c r="Q1123" s="258">
        <f t="shared" si="71"/>
        <v>65344.252022898225</v>
      </c>
      <c r="R1123" s="259">
        <f t="shared" si="72"/>
        <v>0.50308151655963773</v>
      </c>
      <c r="S1123" s="255">
        <f t="shared" si="69"/>
        <v>2.46</v>
      </c>
      <c r="T1123" s="255">
        <f t="shared" si="69"/>
        <v>2.46</v>
      </c>
      <c r="U1123" s="254">
        <v>102600</v>
      </c>
      <c r="V1123" s="254" t="s">
        <v>1005</v>
      </c>
      <c r="W1123" s="254" t="s">
        <v>1006</v>
      </c>
      <c r="X1123" s="254" t="s">
        <v>446</v>
      </c>
      <c r="Y1123" s="254" t="s">
        <v>843</v>
      </c>
      <c r="Z1123" s="254" t="s">
        <v>1129</v>
      </c>
      <c r="AA1123" s="254" t="s">
        <v>838</v>
      </c>
    </row>
    <row r="1124" spans="1:27" ht="14.4" x14ac:dyDescent="0.3">
      <c r="A1124" s="253">
        <v>11</v>
      </c>
      <c r="B1124" s="254" t="s">
        <v>851</v>
      </c>
      <c r="C1124" s="254">
        <v>8414</v>
      </c>
      <c r="D1124" s="254" t="s">
        <v>98</v>
      </c>
      <c r="E1124" s="254" t="str">
        <f>_xlfn.XLOOKUP(C1124,Clientes!I:I,Clientes!F:F)</f>
        <v>GRUPO AMAGGI</v>
      </c>
      <c r="F1124" s="254">
        <v>7398</v>
      </c>
      <c r="G1124" s="254" t="s">
        <v>1061</v>
      </c>
      <c r="H1124" s="254" t="s">
        <v>1004</v>
      </c>
      <c r="I1124" s="255">
        <v>30000</v>
      </c>
      <c r="J1124" s="256">
        <v>30000</v>
      </c>
      <c r="K1124" s="258">
        <v>70800</v>
      </c>
      <c r="L1124" s="258">
        <v>-4956.0000000000009</v>
      </c>
      <c r="M1124" s="258">
        <f t="shared" si="70"/>
        <v>65844</v>
      </c>
      <c r="N1124" s="258">
        <v>-19128.216243654824</v>
      </c>
      <c r="O1124" s="258">
        <v>-24507.690479999997</v>
      </c>
      <c r="P1124" s="258">
        <v>-184.15210434232173</v>
      </c>
      <c r="Q1124" s="258">
        <f t="shared" si="71"/>
        <v>22023.941172002858</v>
      </c>
      <c r="R1124" s="259">
        <f t="shared" si="72"/>
        <v>0.33448668325136471</v>
      </c>
      <c r="S1124" s="255">
        <f t="shared" si="69"/>
        <v>2.36</v>
      </c>
      <c r="T1124" s="255">
        <f t="shared" si="69"/>
        <v>2.36</v>
      </c>
      <c r="U1124" s="254">
        <v>102600</v>
      </c>
      <c r="V1124" s="254" t="s">
        <v>1005</v>
      </c>
      <c r="W1124" s="254" t="s">
        <v>1062</v>
      </c>
      <c r="X1124" s="254" t="s">
        <v>446</v>
      </c>
      <c r="Y1124" s="254" t="s">
        <v>843</v>
      </c>
      <c r="Z1124" s="254" t="s">
        <v>1129</v>
      </c>
      <c r="AA1124" s="254" t="s">
        <v>838</v>
      </c>
    </row>
    <row r="1125" spans="1:27" ht="14.4" x14ac:dyDescent="0.3">
      <c r="A1125" s="253">
        <v>11</v>
      </c>
      <c r="B1125" s="254" t="s">
        <v>851</v>
      </c>
      <c r="C1125" s="254">
        <v>3142</v>
      </c>
      <c r="D1125" s="254" t="s">
        <v>78</v>
      </c>
      <c r="E1125" s="254" t="str">
        <f>_xlfn.XLOOKUP(C1125,Clientes!I:I,Clientes!F:F)</f>
        <v>INTERFERTIL - SAO FRANCISCO DO SUL</v>
      </c>
      <c r="F1125" s="254">
        <v>7398</v>
      </c>
      <c r="G1125" s="254" t="s">
        <v>893</v>
      </c>
      <c r="H1125" s="254" t="s">
        <v>1004</v>
      </c>
      <c r="I1125" s="255">
        <v>15000</v>
      </c>
      <c r="J1125" s="256">
        <v>15000</v>
      </c>
      <c r="K1125" s="258">
        <v>41400</v>
      </c>
      <c r="L1125" s="258">
        <v>-4968</v>
      </c>
      <c r="M1125" s="258">
        <f t="shared" si="70"/>
        <v>36432</v>
      </c>
      <c r="N1125" s="258">
        <v>-9564.1081218274121</v>
      </c>
      <c r="O1125" s="258">
        <v>-12045.7338550185</v>
      </c>
      <c r="P1125" s="258">
        <v>-90.512292031737971</v>
      </c>
      <c r="Q1125" s="258">
        <f t="shared" si="71"/>
        <v>14731.645731122351</v>
      </c>
      <c r="R1125" s="259">
        <f t="shared" si="72"/>
        <v>0.40436006069176417</v>
      </c>
      <c r="S1125" s="255">
        <f t="shared" si="69"/>
        <v>2.76</v>
      </c>
      <c r="T1125" s="255">
        <f t="shared" si="69"/>
        <v>2.76</v>
      </c>
      <c r="U1125" s="254">
        <v>102600</v>
      </c>
      <c r="V1125" s="254" t="s">
        <v>1005</v>
      </c>
      <c r="W1125" s="254" t="s">
        <v>894</v>
      </c>
      <c r="X1125" s="254" t="s">
        <v>446</v>
      </c>
      <c r="Y1125" s="254" t="s">
        <v>843</v>
      </c>
      <c r="Z1125" s="254" t="s">
        <v>1129</v>
      </c>
      <c r="AA1125" s="254" t="s">
        <v>838</v>
      </c>
    </row>
    <row r="1126" spans="1:27" ht="14.4" x14ac:dyDescent="0.3">
      <c r="A1126" s="253">
        <v>11</v>
      </c>
      <c r="B1126" s="254" t="s">
        <v>851</v>
      </c>
      <c r="C1126" s="254">
        <v>8413</v>
      </c>
      <c r="D1126" s="254" t="s">
        <v>97</v>
      </c>
      <c r="E1126" s="254" t="str">
        <f>_xlfn.XLOOKUP(C1126,Clientes!I:I,Clientes!F:F)</f>
        <v>GRUPO AMAGGI</v>
      </c>
      <c r="F1126" s="254">
        <v>7398</v>
      </c>
      <c r="G1126" s="254" t="s">
        <v>840</v>
      </c>
      <c r="H1126" s="254" t="s">
        <v>1004</v>
      </c>
      <c r="I1126" s="255">
        <v>32000</v>
      </c>
      <c r="J1126" s="256">
        <v>32000</v>
      </c>
      <c r="K1126" s="258">
        <v>66240</v>
      </c>
      <c r="L1126" s="258">
        <v>-4636.8</v>
      </c>
      <c r="M1126" s="258">
        <f t="shared" si="70"/>
        <v>61603.199999999997</v>
      </c>
      <c r="N1126" s="258">
        <v>-20403.430659898473</v>
      </c>
      <c r="O1126" s="258">
        <v>-23352.800640000001</v>
      </c>
      <c r="P1126" s="258">
        <v>-175.47419997213538</v>
      </c>
      <c r="Q1126" s="258">
        <f t="shared" si="71"/>
        <v>17671.494500129393</v>
      </c>
      <c r="R1126" s="259">
        <f t="shared" si="72"/>
        <v>0.28686000889774221</v>
      </c>
      <c r="S1126" s="255">
        <f t="shared" si="69"/>
        <v>2.0699999999999998</v>
      </c>
      <c r="T1126" s="255">
        <f t="shared" si="69"/>
        <v>2.0699999999999998</v>
      </c>
      <c r="U1126" s="254">
        <v>102600</v>
      </c>
      <c r="V1126" s="254" t="s">
        <v>1005</v>
      </c>
      <c r="W1126" s="254" t="s">
        <v>915</v>
      </c>
      <c r="X1126" s="254" t="s">
        <v>446</v>
      </c>
      <c r="Y1126" s="254" t="s">
        <v>843</v>
      </c>
      <c r="Z1126" s="254" t="s">
        <v>1129</v>
      </c>
      <c r="AA1126" s="254" t="s">
        <v>838</v>
      </c>
    </row>
    <row r="1127" spans="1:27" ht="14.4" x14ac:dyDescent="0.3">
      <c r="A1127" s="253">
        <v>11</v>
      </c>
      <c r="B1127" s="254" t="s">
        <v>852</v>
      </c>
      <c r="C1127" s="254">
        <v>2696</v>
      </c>
      <c r="D1127" s="254" t="s">
        <v>119</v>
      </c>
      <c r="E1127" s="254" t="str">
        <f>_xlfn.XLOOKUP(C1127,Clientes!I:I,Clientes!F:F)</f>
        <v>MOSAIC FERTILIZANTES PARAGUAY S.R.L.</v>
      </c>
      <c r="F1127" s="254">
        <v>3245</v>
      </c>
      <c r="G1127" s="254" t="s">
        <v>832</v>
      </c>
      <c r="H1127" s="254" t="s">
        <v>1093</v>
      </c>
      <c r="I1127" s="255">
        <v>29810</v>
      </c>
      <c r="J1127" s="256">
        <v>29810</v>
      </c>
      <c r="K1127" s="258">
        <v>93215.87</v>
      </c>
      <c r="L1127" s="258">
        <v>0</v>
      </c>
      <c r="M1127" s="258">
        <f t="shared" si="70"/>
        <v>93215.87</v>
      </c>
      <c r="N1127" s="258">
        <v>-14267.5353</v>
      </c>
      <c r="O1127" s="258">
        <v>-26879.875733333341</v>
      </c>
      <c r="P1127" s="258">
        <v>-4439.6662443362493</v>
      </c>
      <c r="Q1127" s="258">
        <f t="shared" si="71"/>
        <v>47628.7927223304</v>
      </c>
      <c r="R1127" s="259">
        <f t="shared" si="72"/>
        <v>0.51095154422021061</v>
      </c>
      <c r="S1127" s="255">
        <f t="shared" si="69"/>
        <v>3.1269999999999998</v>
      </c>
      <c r="T1127" s="255">
        <f t="shared" si="69"/>
        <v>3.1269999999999998</v>
      </c>
      <c r="U1127" s="254">
        <v>100100</v>
      </c>
      <c r="V1127" s="254" t="s">
        <v>834</v>
      </c>
      <c r="W1127" s="254" t="s">
        <v>1012</v>
      </c>
      <c r="X1127" s="254" t="s">
        <v>446</v>
      </c>
      <c r="Y1127" s="254" t="s">
        <v>836</v>
      </c>
      <c r="Z1127" s="254" t="s">
        <v>1137</v>
      </c>
      <c r="AA1127" s="254" t="s">
        <v>838</v>
      </c>
    </row>
    <row r="1128" spans="1:27" ht="14.4" x14ac:dyDescent="0.3">
      <c r="A1128" s="253">
        <v>11</v>
      </c>
      <c r="B1128" s="254" t="s">
        <v>852</v>
      </c>
      <c r="C1128" s="254">
        <v>5209</v>
      </c>
      <c r="D1128" s="254" t="s">
        <v>870</v>
      </c>
      <c r="E1128" s="254" t="str">
        <f>_xlfn.XLOOKUP(C1128,Clientes!I:I,Clientes!F:F)</f>
        <v>NUTRISOYA - CATALÃO</v>
      </c>
      <c r="F1128" s="254">
        <v>1043</v>
      </c>
      <c r="G1128" s="254" t="s">
        <v>867</v>
      </c>
      <c r="H1128" s="254" t="s">
        <v>860</v>
      </c>
      <c r="I1128" s="255">
        <v>15000</v>
      </c>
      <c r="J1128" s="256">
        <v>15000</v>
      </c>
      <c r="K1128" s="258">
        <v>28500</v>
      </c>
      <c r="L1128" s="258">
        <v>-1995.0000000000002</v>
      </c>
      <c r="M1128" s="258">
        <f t="shared" si="70"/>
        <v>26505</v>
      </c>
      <c r="N1128" s="258">
        <v>-5959.5895204262833</v>
      </c>
      <c r="O1128" s="258">
        <v>-2614.5482999999999</v>
      </c>
      <c r="P1128" s="258">
        <v>-1.3287536355973533</v>
      </c>
      <c r="Q1128" s="258">
        <f t="shared" si="71"/>
        <v>17929.53342593812</v>
      </c>
      <c r="R1128" s="259">
        <f t="shared" si="72"/>
        <v>0.6764585333309987</v>
      </c>
      <c r="S1128" s="255">
        <f t="shared" si="69"/>
        <v>1.9</v>
      </c>
      <c r="T1128" s="255">
        <f t="shared" si="69"/>
        <v>1.9</v>
      </c>
      <c r="U1128" s="254">
        <v>100100</v>
      </c>
      <c r="V1128" s="254" t="s">
        <v>834</v>
      </c>
      <c r="W1128" s="254" t="s">
        <v>871</v>
      </c>
      <c r="X1128" s="254" t="s">
        <v>446</v>
      </c>
      <c r="Y1128" s="254" t="s">
        <v>843</v>
      </c>
      <c r="Z1128" s="254" t="s">
        <v>1137</v>
      </c>
      <c r="AA1128" s="254" t="s">
        <v>838</v>
      </c>
    </row>
    <row r="1129" spans="1:27" ht="14.4" x14ac:dyDescent="0.3">
      <c r="A1129" s="253">
        <v>11</v>
      </c>
      <c r="B1129" s="254" t="s">
        <v>852</v>
      </c>
      <c r="C1129" s="254">
        <v>13861</v>
      </c>
      <c r="D1129" s="254" t="s">
        <v>1090</v>
      </c>
      <c r="E1129" s="254" t="str">
        <f>_xlfn.XLOOKUP(C1129,Clientes!I:I,Clientes!F:F)</f>
        <v>GRUPO ADUBOS ARAGUAIA</v>
      </c>
      <c r="F1129" s="254">
        <v>1</v>
      </c>
      <c r="G1129" s="254" t="s">
        <v>840</v>
      </c>
      <c r="H1129" s="254" t="s">
        <v>873</v>
      </c>
      <c r="I1129" s="255">
        <v>30000</v>
      </c>
      <c r="J1129" s="256">
        <v>30000</v>
      </c>
      <c r="K1129" s="258">
        <v>85200</v>
      </c>
      <c r="L1129" s="258">
        <v>-5964.0000000000009</v>
      </c>
      <c r="M1129" s="258">
        <f t="shared" si="70"/>
        <v>79236</v>
      </c>
      <c r="N1129" s="258">
        <v>-19725.684705882359</v>
      </c>
      <c r="O1129" s="258">
        <v>-22431.382390052997</v>
      </c>
      <c r="P1129" s="258">
        <v>-11.399973334689349</v>
      </c>
      <c r="Q1129" s="258">
        <f t="shared" si="71"/>
        <v>37067.532930729954</v>
      </c>
      <c r="R1129" s="259">
        <f t="shared" si="72"/>
        <v>0.46781176398013474</v>
      </c>
      <c r="S1129" s="255">
        <f t="shared" si="69"/>
        <v>2.84</v>
      </c>
      <c r="T1129" s="255">
        <f t="shared" si="69"/>
        <v>2.84</v>
      </c>
      <c r="U1129" s="254">
        <v>100100</v>
      </c>
      <c r="V1129" s="254" t="s">
        <v>834</v>
      </c>
      <c r="W1129" s="254" t="s">
        <v>1091</v>
      </c>
      <c r="X1129" s="254" t="s">
        <v>446</v>
      </c>
      <c r="Y1129" s="254" t="s">
        <v>843</v>
      </c>
      <c r="Z1129" s="254" t="s">
        <v>1137</v>
      </c>
      <c r="AA1129" s="254" t="s">
        <v>838</v>
      </c>
    </row>
    <row r="1130" spans="1:27" ht="14.4" x14ac:dyDescent="0.3">
      <c r="A1130" s="253">
        <v>11</v>
      </c>
      <c r="B1130" s="254" t="s">
        <v>852</v>
      </c>
      <c r="C1130" s="254">
        <v>11133</v>
      </c>
      <c r="D1130" s="254" t="s">
        <v>895</v>
      </c>
      <c r="E1130" s="254" t="str">
        <f>_xlfn.XLOOKUP(C1130,Clientes!I:I,Clientes!F:F)</f>
        <v>GRUPO ADUBOS ARAGUAIA</v>
      </c>
      <c r="F1130" s="254">
        <v>1</v>
      </c>
      <c r="G1130" s="254" t="s">
        <v>862</v>
      </c>
      <c r="H1130" s="254" t="s">
        <v>873</v>
      </c>
      <c r="I1130" s="255">
        <v>15000</v>
      </c>
      <c r="J1130" s="256">
        <v>15000</v>
      </c>
      <c r="K1130" s="258">
        <v>38400</v>
      </c>
      <c r="L1130" s="258">
        <v>-4608</v>
      </c>
      <c r="M1130" s="258">
        <f t="shared" si="70"/>
        <v>33792</v>
      </c>
      <c r="N1130" s="258">
        <v>-9862.8423529411793</v>
      </c>
      <c r="O1130" s="258">
        <v>-10935.990696618001</v>
      </c>
      <c r="P1130" s="258">
        <v>-5.5578385746363921</v>
      </c>
      <c r="Q1130" s="258">
        <f t="shared" si="71"/>
        <v>12987.609111866183</v>
      </c>
      <c r="R1130" s="259">
        <f t="shared" si="72"/>
        <v>0.38433975828202482</v>
      </c>
      <c r="S1130" s="255">
        <f t="shared" si="69"/>
        <v>2.56</v>
      </c>
      <c r="T1130" s="255">
        <f t="shared" si="69"/>
        <v>2.56</v>
      </c>
      <c r="U1130" s="254">
        <v>100100</v>
      </c>
      <c r="V1130" s="254" t="s">
        <v>834</v>
      </c>
      <c r="W1130" s="254" t="s">
        <v>864</v>
      </c>
      <c r="X1130" s="254" t="s">
        <v>446</v>
      </c>
      <c r="Y1130" s="254" t="s">
        <v>843</v>
      </c>
      <c r="Z1130" s="254" t="s">
        <v>1137</v>
      </c>
      <c r="AA1130" s="254" t="s">
        <v>838</v>
      </c>
    </row>
    <row r="1131" spans="1:27" ht="14.4" x14ac:dyDescent="0.3">
      <c r="A1131" s="253">
        <v>11</v>
      </c>
      <c r="B1131" s="254" t="s">
        <v>852</v>
      </c>
      <c r="C1131" s="254">
        <v>16652</v>
      </c>
      <c r="D1131" s="254" t="s">
        <v>1138</v>
      </c>
      <c r="E1131" s="254" t="str">
        <f>_xlfn.XLOOKUP(C1131,Clientes!I:I,Clientes!F:F)</f>
        <v>GRUPO FERTIPAR SUDESTE</v>
      </c>
      <c r="F1131" s="254">
        <v>1042</v>
      </c>
      <c r="G1131" s="254" t="s">
        <v>855</v>
      </c>
      <c r="H1131" s="254" t="s">
        <v>909</v>
      </c>
      <c r="I1131" s="255">
        <v>45000</v>
      </c>
      <c r="J1131" s="256">
        <v>45000</v>
      </c>
      <c r="K1131" s="258">
        <v>76500</v>
      </c>
      <c r="L1131" s="258">
        <v>-13770</v>
      </c>
      <c r="M1131" s="258">
        <f t="shared" si="70"/>
        <v>62730</v>
      </c>
      <c r="N1131" s="258">
        <v>-23241.774000000005</v>
      </c>
      <c r="O1131" s="258">
        <v>0</v>
      </c>
      <c r="P1131" s="258">
        <v>0</v>
      </c>
      <c r="Q1131" s="258">
        <f t="shared" si="71"/>
        <v>39488.225999999995</v>
      </c>
      <c r="R1131" s="259">
        <f t="shared" si="72"/>
        <v>0.62949507412721173</v>
      </c>
      <c r="S1131" s="255">
        <f t="shared" si="69"/>
        <v>1.7</v>
      </c>
      <c r="T1131" s="255">
        <f t="shared" si="69"/>
        <v>1.7</v>
      </c>
      <c r="U1131" s="254">
        <v>100100</v>
      </c>
      <c r="V1131" s="254" t="s">
        <v>834</v>
      </c>
      <c r="W1131" s="254" t="s">
        <v>1139</v>
      </c>
      <c r="X1131" s="254" t="s">
        <v>446</v>
      </c>
      <c r="Y1131" s="254" t="s">
        <v>843</v>
      </c>
      <c r="Z1131" s="254" t="s">
        <v>1137</v>
      </c>
      <c r="AA1131" s="254" t="s">
        <v>838</v>
      </c>
    </row>
    <row r="1132" spans="1:27" ht="14.4" x14ac:dyDescent="0.3">
      <c r="A1132" s="253">
        <v>11</v>
      </c>
      <c r="B1132" s="254" t="s">
        <v>852</v>
      </c>
      <c r="C1132" s="254">
        <v>7479</v>
      </c>
      <c r="D1132" s="254" t="s">
        <v>1017</v>
      </c>
      <c r="E1132" s="254" t="str">
        <f>_xlfn.XLOOKUP(C1132,Clientes!I:I,Clientes!F:F)</f>
        <v>GRUPO MOSAIC FERTILIZANTES DO BRASIL</v>
      </c>
      <c r="F1132" s="254">
        <v>1043</v>
      </c>
      <c r="G1132" s="254" t="s">
        <v>908</v>
      </c>
      <c r="H1132" s="254" t="s">
        <v>860</v>
      </c>
      <c r="I1132" s="255">
        <v>30000</v>
      </c>
      <c r="J1132" s="256">
        <v>30000</v>
      </c>
      <c r="K1132" s="258">
        <v>64800</v>
      </c>
      <c r="L1132" s="258">
        <v>-7776</v>
      </c>
      <c r="M1132" s="258">
        <f t="shared" si="70"/>
        <v>57024</v>
      </c>
      <c r="N1132" s="258">
        <v>-11919.179040852567</v>
      </c>
      <c r="O1132" s="258">
        <v>0</v>
      </c>
      <c r="P1132" s="258">
        <v>0</v>
      </c>
      <c r="Q1132" s="258">
        <f t="shared" si="71"/>
        <v>45104.82095914743</v>
      </c>
      <c r="R1132" s="259">
        <f t="shared" si="72"/>
        <v>0.79097960436215331</v>
      </c>
      <c r="S1132" s="255">
        <f t="shared" si="69"/>
        <v>2.16</v>
      </c>
      <c r="T1132" s="255">
        <f t="shared" si="69"/>
        <v>2.16</v>
      </c>
      <c r="U1132" s="254">
        <v>100100</v>
      </c>
      <c r="V1132" s="254" t="s">
        <v>834</v>
      </c>
      <c r="W1132" s="254" t="s">
        <v>1018</v>
      </c>
      <c r="X1132" s="254" t="s">
        <v>446</v>
      </c>
      <c r="Y1132" s="254" t="s">
        <v>843</v>
      </c>
      <c r="Z1132" s="254" t="s">
        <v>1137</v>
      </c>
      <c r="AA1132" s="254" t="s">
        <v>838</v>
      </c>
    </row>
    <row r="1133" spans="1:27" ht="14.4" x14ac:dyDescent="0.3">
      <c r="A1133" s="253">
        <v>11</v>
      </c>
      <c r="B1133" s="254" t="s">
        <v>852</v>
      </c>
      <c r="C1133" s="254">
        <v>6124</v>
      </c>
      <c r="D1133" s="254" t="s">
        <v>891</v>
      </c>
      <c r="E1133" s="254" t="str">
        <f>_xlfn.XLOOKUP(C1133,Clientes!I:I,Clientes!F:F)</f>
        <v>GRUPO MOSAIC FERTILIZANTES DO BRASIL</v>
      </c>
      <c r="F1133" s="254">
        <v>1043</v>
      </c>
      <c r="G1133" s="254" t="s">
        <v>855</v>
      </c>
      <c r="H1133" s="254" t="s">
        <v>860</v>
      </c>
      <c r="I1133" s="255">
        <v>60000</v>
      </c>
      <c r="J1133" s="256">
        <v>60000</v>
      </c>
      <c r="K1133" s="258">
        <v>101400</v>
      </c>
      <c r="L1133" s="258">
        <v>0</v>
      </c>
      <c r="M1133" s="258">
        <f t="shared" si="70"/>
        <v>101400</v>
      </c>
      <c r="N1133" s="258">
        <v>-23838.358081705133</v>
      </c>
      <c r="O1133" s="258">
        <v>-4884.3209999999999</v>
      </c>
      <c r="P1133" s="258">
        <v>-2.4822870115554956</v>
      </c>
      <c r="Q1133" s="258">
        <f t="shared" si="71"/>
        <v>72674.838631283303</v>
      </c>
      <c r="R1133" s="259">
        <f t="shared" si="72"/>
        <v>0.7167143849238985</v>
      </c>
      <c r="S1133" s="255">
        <f t="shared" si="69"/>
        <v>1.69</v>
      </c>
      <c r="T1133" s="255">
        <f t="shared" si="69"/>
        <v>1.69</v>
      </c>
      <c r="U1133" s="254">
        <v>100100</v>
      </c>
      <c r="V1133" s="254" t="s">
        <v>834</v>
      </c>
      <c r="W1133" s="254" t="s">
        <v>892</v>
      </c>
      <c r="X1133" s="254" t="s">
        <v>446</v>
      </c>
      <c r="Y1133" s="254" t="s">
        <v>843</v>
      </c>
      <c r="Z1133" s="254" t="s">
        <v>1137</v>
      </c>
      <c r="AA1133" s="254" t="s">
        <v>838</v>
      </c>
    </row>
    <row r="1134" spans="1:27" ht="14.4" x14ac:dyDescent="0.3">
      <c r="A1134" s="253">
        <v>11</v>
      </c>
      <c r="B1134" s="254" t="s">
        <v>852</v>
      </c>
      <c r="C1134" s="254">
        <v>7102</v>
      </c>
      <c r="D1134" s="254" t="s">
        <v>906</v>
      </c>
      <c r="E1134" s="254" t="str">
        <f>_xlfn.XLOOKUP(C1134,Clientes!I:I,Clientes!F:F)</f>
        <v>GRUPO MOSAIC FERTILIZANTES DO BRASIL</v>
      </c>
      <c r="F1134" s="254">
        <v>1043</v>
      </c>
      <c r="G1134" s="254" t="s">
        <v>840</v>
      </c>
      <c r="H1134" s="254" t="s">
        <v>860</v>
      </c>
      <c r="I1134" s="255">
        <v>60000</v>
      </c>
      <c r="J1134" s="256">
        <v>60000</v>
      </c>
      <c r="K1134" s="258">
        <v>122400</v>
      </c>
      <c r="L1134" s="258">
        <v>-8568</v>
      </c>
      <c r="M1134" s="258">
        <f t="shared" si="70"/>
        <v>113832</v>
      </c>
      <c r="N1134" s="258">
        <v>-23838.358081705133</v>
      </c>
      <c r="O1134" s="258">
        <v>-23961.904200000001</v>
      </c>
      <c r="P1134" s="258">
        <v>-12.177808044925195</v>
      </c>
      <c r="Q1134" s="258">
        <f t="shared" si="71"/>
        <v>66019.559910249925</v>
      </c>
      <c r="R1134" s="259">
        <f t="shared" si="72"/>
        <v>0.57997364458368406</v>
      </c>
      <c r="S1134" s="255">
        <f t="shared" si="69"/>
        <v>2.04</v>
      </c>
      <c r="T1134" s="255">
        <f t="shared" si="69"/>
        <v>2.04</v>
      </c>
      <c r="U1134" s="254">
        <v>100100</v>
      </c>
      <c r="V1134" s="254" t="s">
        <v>834</v>
      </c>
      <c r="W1134" s="254" t="s">
        <v>861</v>
      </c>
      <c r="X1134" s="254" t="s">
        <v>446</v>
      </c>
      <c r="Y1134" s="254" t="s">
        <v>843</v>
      </c>
      <c r="Z1134" s="254" t="s">
        <v>1137</v>
      </c>
      <c r="AA1134" s="254" t="s">
        <v>838</v>
      </c>
    </row>
    <row r="1135" spans="1:27" ht="14.4" x14ac:dyDescent="0.3">
      <c r="A1135" s="253">
        <v>11</v>
      </c>
      <c r="B1135" s="254" t="s">
        <v>852</v>
      </c>
      <c r="C1135" s="254">
        <v>2645</v>
      </c>
      <c r="D1135" s="254" t="s">
        <v>342</v>
      </c>
      <c r="E1135" s="254" t="str">
        <f>_xlfn.XLOOKUP(C1135,Clientes!I:I,Clientes!F:F)</f>
        <v>ANAGRA - CHILE</v>
      </c>
      <c r="F1135" s="254">
        <v>14145</v>
      </c>
      <c r="G1135" s="254" t="s">
        <v>832</v>
      </c>
      <c r="H1135" s="254" t="s">
        <v>1075</v>
      </c>
      <c r="I1135" s="255">
        <v>24000</v>
      </c>
      <c r="J1135" s="256">
        <v>24000</v>
      </c>
      <c r="K1135" s="258">
        <v>148824</v>
      </c>
      <c r="L1135" s="258">
        <v>0</v>
      </c>
      <c r="M1135" s="258">
        <f t="shared" si="70"/>
        <v>148824</v>
      </c>
      <c r="N1135" s="258">
        <v>-38644.520000000004</v>
      </c>
      <c r="O1135" s="258">
        <v>-35277.834239999996</v>
      </c>
      <c r="P1135" s="258">
        <v>-3581.3011455276796</v>
      </c>
      <c r="Q1135" s="258">
        <f t="shared" si="71"/>
        <v>71320.344614472313</v>
      </c>
      <c r="R1135" s="259">
        <f t="shared" si="72"/>
        <v>0.4792260966945675</v>
      </c>
      <c r="S1135" s="255">
        <f t="shared" si="69"/>
        <v>6.2009999999999996</v>
      </c>
      <c r="T1135" s="255">
        <f t="shared" si="69"/>
        <v>6.2009999999999996</v>
      </c>
      <c r="U1135" s="254">
        <v>100100</v>
      </c>
      <c r="V1135" s="254" t="s">
        <v>834</v>
      </c>
      <c r="W1135" s="254" t="s">
        <v>1033</v>
      </c>
      <c r="X1135" s="254" t="s">
        <v>446</v>
      </c>
      <c r="Y1135" s="254" t="s">
        <v>836</v>
      </c>
      <c r="Z1135" s="254" t="s">
        <v>1137</v>
      </c>
      <c r="AA1135" s="254" t="s">
        <v>838</v>
      </c>
    </row>
    <row r="1136" spans="1:27" ht="14.4" x14ac:dyDescent="0.3">
      <c r="A1136" s="253">
        <v>11</v>
      </c>
      <c r="B1136" s="254" t="s">
        <v>852</v>
      </c>
      <c r="C1136" s="254">
        <v>7022</v>
      </c>
      <c r="D1136" s="254" t="s">
        <v>89</v>
      </c>
      <c r="E1136" s="254" t="str">
        <f>_xlfn.XLOOKUP(C1136,Clientes!I:I,Clientes!F:F)</f>
        <v>STRATOS - ROSARIO DO CATETE</v>
      </c>
      <c r="F1136" s="254">
        <v>1043</v>
      </c>
      <c r="G1136" s="254" t="s">
        <v>887</v>
      </c>
      <c r="H1136" s="254" t="s">
        <v>860</v>
      </c>
      <c r="I1136" s="255">
        <v>180000</v>
      </c>
      <c r="J1136" s="256">
        <v>180000</v>
      </c>
      <c r="K1136" s="258">
        <v>433800</v>
      </c>
      <c r="L1136" s="258">
        <v>-30366.000000000004</v>
      </c>
      <c r="M1136" s="258">
        <f t="shared" si="70"/>
        <v>403434</v>
      </c>
      <c r="N1136" s="258">
        <v>-71515.074245115393</v>
      </c>
      <c r="O1136" s="258">
        <v>-151269.0064704</v>
      </c>
      <c r="P1136" s="258">
        <v>-76.877234320262346</v>
      </c>
      <c r="Q1136" s="258">
        <f t="shared" si="71"/>
        <v>180573.04205016434</v>
      </c>
      <c r="R1136" s="259">
        <f t="shared" si="72"/>
        <v>0.4475900445925835</v>
      </c>
      <c r="S1136" s="255">
        <f t="shared" si="69"/>
        <v>2.41</v>
      </c>
      <c r="T1136" s="255">
        <f t="shared" si="69"/>
        <v>2.41</v>
      </c>
      <c r="U1136" s="254">
        <v>100100</v>
      </c>
      <c r="V1136" s="254" t="s">
        <v>834</v>
      </c>
      <c r="W1136" s="254" t="s">
        <v>888</v>
      </c>
      <c r="X1136" s="254" t="s">
        <v>446</v>
      </c>
      <c r="Y1136" s="254" t="s">
        <v>843</v>
      </c>
      <c r="Z1136" s="254" t="s">
        <v>1137</v>
      </c>
      <c r="AA1136" s="254" t="s">
        <v>838</v>
      </c>
    </row>
    <row r="1137" spans="1:27" ht="14.4" x14ac:dyDescent="0.3">
      <c r="A1137" s="253">
        <v>11</v>
      </c>
      <c r="B1137" s="254" t="s">
        <v>852</v>
      </c>
      <c r="C1137" s="254">
        <v>6315</v>
      </c>
      <c r="D1137" s="254" t="s">
        <v>86</v>
      </c>
      <c r="E1137" s="254" t="str">
        <f>_xlfn.XLOOKUP(C1137,Clientes!I:I,Clientes!F:F)</f>
        <v>ONNO LOGISTICA  LTDA</v>
      </c>
      <c r="F1137" s="254">
        <v>13954</v>
      </c>
      <c r="G1137" s="254" t="s">
        <v>840</v>
      </c>
      <c r="H1137" s="254" t="s">
        <v>1133</v>
      </c>
      <c r="I1137" s="255">
        <v>90000</v>
      </c>
      <c r="J1137" s="256">
        <v>90000</v>
      </c>
      <c r="K1137" s="258">
        <v>135000</v>
      </c>
      <c r="L1137" s="258">
        <v>0</v>
      </c>
      <c r="M1137" s="258">
        <f t="shared" si="70"/>
        <v>135000</v>
      </c>
      <c r="N1137" s="258">
        <v>-31727.010000000002</v>
      </c>
      <c r="O1137" s="258">
        <v>-35942.856299999999</v>
      </c>
      <c r="P1137" s="258">
        <v>-18.266712067387793</v>
      </c>
      <c r="Q1137" s="258">
        <f t="shared" si="71"/>
        <v>67311.866987932604</v>
      </c>
      <c r="R1137" s="259">
        <f t="shared" si="72"/>
        <v>0.49860642213283413</v>
      </c>
      <c r="S1137" s="255">
        <f t="shared" si="69"/>
        <v>1.5</v>
      </c>
      <c r="T1137" s="255">
        <f t="shared" si="69"/>
        <v>1.5</v>
      </c>
      <c r="U1137" s="254">
        <v>100100</v>
      </c>
      <c r="V1137" s="254" t="s">
        <v>834</v>
      </c>
      <c r="W1137" s="254" t="s">
        <v>861</v>
      </c>
      <c r="X1137" s="254" t="s">
        <v>446</v>
      </c>
      <c r="Y1137" s="254" t="s">
        <v>843</v>
      </c>
      <c r="Z1137" s="254" t="s">
        <v>1137</v>
      </c>
      <c r="AA1137" s="254" t="s">
        <v>838</v>
      </c>
    </row>
    <row r="1138" spans="1:27" ht="14.4" x14ac:dyDescent="0.3">
      <c r="A1138" s="253">
        <v>11</v>
      </c>
      <c r="B1138" s="254" t="s">
        <v>852</v>
      </c>
      <c r="C1138" s="254">
        <v>16073</v>
      </c>
      <c r="D1138" s="254" t="s">
        <v>1095</v>
      </c>
      <c r="E1138" s="254" t="str">
        <f>_xlfn.XLOOKUP(C1138,Clientes!I:I,Clientes!F:F)</f>
        <v>IMEX SUL INSUMOS - SANTA MARIA</v>
      </c>
      <c r="F1138" s="254">
        <v>1</v>
      </c>
      <c r="G1138" s="254" t="s">
        <v>877</v>
      </c>
      <c r="H1138" s="254" t="s">
        <v>873</v>
      </c>
      <c r="I1138" s="255">
        <v>30000</v>
      </c>
      <c r="J1138" s="256">
        <v>30000</v>
      </c>
      <c r="K1138" s="258">
        <v>84000</v>
      </c>
      <c r="L1138" s="258">
        <v>-10080</v>
      </c>
      <c r="M1138" s="258">
        <f t="shared" si="70"/>
        <v>73920</v>
      </c>
      <c r="N1138" s="258">
        <v>-19725.684705882359</v>
      </c>
      <c r="O1138" s="258">
        <v>-24421.605</v>
      </c>
      <c r="P1138" s="258">
        <v>-12.411435057777478</v>
      </c>
      <c r="Q1138" s="258">
        <f t="shared" si="71"/>
        <v>29760.298859059862</v>
      </c>
      <c r="R1138" s="259">
        <f t="shared" si="72"/>
        <v>0.40260144560416478</v>
      </c>
      <c r="S1138" s="255">
        <f t="shared" si="69"/>
        <v>2.8</v>
      </c>
      <c r="T1138" s="255">
        <f t="shared" si="69"/>
        <v>2.8</v>
      </c>
      <c r="U1138" s="254">
        <v>100100</v>
      </c>
      <c r="V1138" s="254" t="s">
        <v>834</v>
      </c>
      <c r="W1138" s="254" t="s">
        <v>878</v>
      </c>
      <c r="X1138" s="254" t="s">
        <v>446</v>
      </c>
      <c r="Y1138" s="254" t="s">
        <v>843</v>
      </c>
      <c r="Z1138" s="254" t="s">
        <v>1137</v>
      </c>
      <c r="AA1138" s="254" t="s">
        <v>838</v>
      </c>
    </row>
    <row r="1139" spans="1:27" ht="14.4" x14ac:dyDescent="0.3">
      <c r="A1139" s="253">
        <v>11</v>
      </c>
      <c r="B1139" s="254" t="s">
        <v>852</v>
      </c>
      <c r="C1139" s="254">
        <v>1874</v>
      </c>
      <c r="D1139" s="254" t="s">
        <v>210</v>
      </c>
      <c r="E1139" s="254" t="str">
        <f>_xlfn.XLOOKUP(C1139,Clientes!I:I,Clientes!F:F)</f>
        <v>GRUPO FERTILIZ TOCANTINS</v>
      </c>
      <c r="F1139" s="254">
        <v>148</v>
      </c>
      <c r="G1139" s="254" t="s">
        <v>926</v>
      </c>
      <c r="H1139" s="254" t="s">
        <v>904</v>
      </c>
      <c r="I1139" s="255">
        <v>60000</v>
      </c>
      <c r="J1139" s="256">
        <v>60000</v>
      </c>
      <c r="K1139" s="258">
        <v>168600</v>
      </c>
      <c r="L1139" s="258">
        <v>-11802.000000000002</v>
      </c>
      <c r="M1139" s="258">
        <f t="shared" si="70"/>
        <v>156798</v>
      </c>
      <c r="N1139" s="258">
        <v>-40396.030188679251</v>
      </c>
      <c r="O1139" s="258">
        <v>-53957.381399999998</v>
      </c>
      <c r="P1139" s="258">
        <v>-27.421970633536588</v>
      </c>
      <c r="Q1139" s="258">
        <f t="shared" si="71"/>
        <v>62417.166440687208</v>
      </c>
      <c r="R1139" s="259">
        <f t="shared" si="72"/>
        <v>0.39807374099597703</v>
      </c>
      <c r="S1139" s="255">
        <f t="shared" si="69"/>
        <v>2.81</v>
      </c>
      <c r="T1139" s="255">
        <f t="shared" si="69"/>
        <v>2.81</v>
      </c>
      <c r="U1139" s="254">
        <v>100100</v>
      </c>
      <c r="V1139" s="254" t="s">
        <v>834</v>
      </c>
      <c r="W1139" s="254" t="s">
        <v>928</v>
      </c>
      <c r="X1139" s="254" t="s">
        <v>446</v>
      </c>
      <c r="Y1139" s="254" t="s">
        <v>843</v>
      </c>
      <c r="Z1139" s="254" t="s">
        <v>1137</v>
      </c>
      <c r="AA1139" s="254" t="s">
        <v>838</v>
      </c>
    </row>
    <row r="1140" spans="1:27" ht="14.4" x14ac:dyDescent="0.3">
      <c r="A1140" s="253">
        <v>11</v>
      </c>
      <c r="B1140" s="254" t="s">
        <v>852</v>
      </c>
      <c r="C1140" s="254">
        <v>16099</v>
      </c>
      <c r="D1140" s="254" t="s">
        <v>1118</v>
      </c>
      <c r="E1140" s="254" t="str">
        <f>_xlfn.XLOOKUP(C1140,Clientes!I:I,Clientes!F:F)</f>
        <v>GRUPO MOSAIC FERTILIZANTES DO BRASIL</v>
      </c>
      <c r="F1140" s="254">
        <v>1043</v>
      </c>
      <c r="G1140" s="254" t="s">
        <v>974</v>
      </c>
      <c r="H1140" s="254" t="s">
        <v>860</v>
      </c>
      <c r="I1140" s="255">
        <v>30000</v>
      </c>
      <c r="J1140" s="256">
        <v>30000</v>
      </c>
      <c r="K1140" s="258">
        <v>65700</v>
      </c>
      <c r="L1140" s="258">
        <v>-4599</v>
      </c>
      <c r="M1140" s="258">
        <f t="shared" si="70"/>
        <v>61101</v>
      </c>
      <c r="N1140" s="258">
        <v>-11919.179040852567</v>
      </c>
      <c r="O1140" s="258">
        <v>0</v>
      </c>
      <c r="P1140" s="258">
        <v>0</v>
      </c>
      <c r="Q1140" s="258">
        <f t="shared" si="71"/>
        <v>49181.82095914743</v>
      </c>
      <c r="R1140" s="259">
        <f t="shared" si="72"/>
        <v>0.80492661264377718</v>
      </c>
      <c r="S1140" s="255">
        <f t="shared" si="69"/>
        <v>2.19</v>
      </c>
      <c r="T1140" s="255">
        <f t="shared" si="69"/>
        <v>2.19</v>
      </c>
      <c r="U1140" s="254">
        <v>100100</v>
      </c>
      <c r="V1140" s="254" t="s">
        <v>834</v>
      </c>
      <c r="W1140" s="254" t="s">
        <v>1119</v>
      </c>
      <c r="X1140" s="254" t="s">
        <v>446</v>
      </c>
      <c r="Y1140" s="254" t="s">
        <v>843</v>
      </c>
      <c r="Z1140" s="254" t="s">
        <v>1137</v>
      </c>
      <c r="AA1140" s="254" t="s">
        <v>838</v>
      </c>
    </row>
    <row r="1141" spans="1:27" ht="14.4" x14ac:dyDescent="0.3">
      <c r="A1141" s="253">
        <v>11</v>
      </c>
      <c r="B1141" s="254" t="s">
        <v>852</v>
      </c>
      <c r="C1141" s="254">
        <v>139</v>
      </c>
      <c r="D1141" s="254" t="s">
        <v>32</v>
      </c>
      <c r="E1141" s="254" t="str">
        <f>_xlfn.XLOOKUP(C1141,Clientes!I:I,Clientes!F:F)</f>
        <v>COMIGO - RIO VERDE</v>
      </c>
      <c r="F1141" s="254">
        <v>1043</v>
      </c>
      <c r="G1141" s="254" t="s">
        <v>867</v>
      </c>
      <c r="H1141" s="254" t="s">
        <v>860</v>
      </c>
      <c r="I1141" s="255">
        <v>90000</v>
      </c>
      <c r="J1141" s="256">
        <v>90000</v>
      </c>
      <c r="K1141" s="258">
        <v>61250.000000000036</v>
      </c>
      <c r="L1141" s="258">
        <v>-4287.5000000000027</v>
      </c>
      <c r="M1141" s="258">
        <f t="shared" si="70"/>
        <v>56962.500000000036</v>
      </c>
      <c r="N1141" s="258">
        <v>-35757.537122557696</v>
      </c>
      <c r="O1141" s="258">
        <v>-17066.392199999998</v>
      </c>
      <c r="P1141" s="258">
        <v>-8.6734028521409652</v>
      </c>
      <c r="Q1141" s="258">
        <f t="shared" si="71"/>
        <v>4129.8972745902001</v>
      </c>
      <c r="R1141" s="259">
        <f t="shared" si="72"/>
        <v>7.2502036859165203E-2</v>
      </c>
      <c r="S1141" s="255">
        <f t="shared" si="69"/>
        <v>0.68055555555555591</v>
      </c>
      <c r="T1141" s="255">
        <f t="shared" si="69"/>
        <v>0.68055555555555591</v>
      </c>
      <c r="U1141" s="254">
        <v>100100</v>
      </c>
      <c r="V1141" s="254" t="s">
        <v>834</v>
      </c>
      <c r="W1141" s="254" t="s">
        <v>890</v>
      </c>
      <c r="X1141" s="254" t="s">
        <v>446</v>
      </c>
      <c r="Y1141" s="254" t="s">
        <v>843</v>
      </c>
      <c r="Z1141" s="254" t="s">
        <v>1137</v>
      </c>
      <c r="AA1141" s="254" t="s">
        <v>838</v>
      </c>
    </row>
    <row r="1142" spans="1:27" ht="14.4" x14ac:dyDescent="0.3">
      <c r="A1142" s="253">
        <v>11</v>
      </c>
      <c r="B1142" s="254" t="s">
        <v>852</v>
      </c>
      <c r="C1142" s="254">
        <v>15508</v>
      </c>
      <c r="D1142" s="254" t="s">
        <v>484</v>
      </c>
      <c r="E1142" s="254" t="str">
        <f>_xlfn.XLOOKUP(C1142,Clientes!I:I,Clientes!F:F)</f>
        <v>SOMAX - PARAGUAI</v>
      </c>
      <c r="F1142" s="254">
        <v>14141</v>
      </c>
      <c r="G1142" s="254" t="s">
        <v>832</v>
      </c>
      <c r="H1142" s="254" t="s">
        <v>833</v>
      </c>
      <c r="I1142" s="255">
        <v>38400</v>
      </c>
      <c r="J1142" s="256">
        <v>38400</v>
      </c>
      <c r="K1142" s="258">
        <v>203520</v>
      </c>
      <c r="L1142" s="258">
        <v>0</v>
      </c>
      <c r="M1142" s="258">
        <f t="shared" si="70"/>
        <v>203520</v>
      </c>
      <c r="N1142" s="258">
        <v>-37938.587999999996</v>
      </c>
      <c r="O1142" s="258">
        <v>0</v>
      </c>
      <c r="P1142" s="258">
        <v>-5701.3958526297165</v>
      </c>
      <c r="Q1142" s="258">
        <f t="shared" si="71"/>
        <v>159880.0161473703</v>
      </c>
      <c r="R1142" s="259">
        <f t="shared" si="72"/>
        <v>0.78557397871152856</v>
      </c>
      <c r="S1142" s="255">
        <f t="shared" si="69"/>
        <v>5.3</v>
      </c>
      <c r="T1142" s="255">
        <f t="shared" si="69"/>
        <v>5.3</v>
      </c>
      <c r="U1142" s="254">
        <v>100100</v>
      </c>
      <c r="V1142" s="254" t="s">
        <v>834</v>
      </c>
      <c r="W1142" s="254" t="s">
        <v>1094</v>
      </c>
      <c r="X1142" s="254" t="s">
        <v>446</v>
      </c>
      <c r="Y1142" s="254" t="s">
        <v>836</v>
      </c>
      <c r="Z1142" s="254" t="s">
        <v>1137</v>
      </c>
      <c r="AA1142" s="254" t="s">
        <v>838</v>
      </c>
    </row>
    <row r="1143" spans="1:27" ht="14.4" x14ac:dyDescent="0.3">
      <c r="A1143" s="253">
        <v>11</v>
      </c>
      <c r="B1143" s="254" t="s">
        <v>852</v>
      </c>
      <c r="C1143" s="254">
        <v>87</v>
      </c>
      <c r="D1143" s="254" t="s">
        <v>218</v>
      </c>
      <c r="E1143" s="254" t="str">
        <f>_xlfn.XLOOKUP(C1143,Clientes!I:I,Clientes!F:F)</f>
        <v>GRUPO ADUBOS ARAGUAIA</v>
      </c>
      <c r="F1143" s="254">
        <v>14133</v>
      </c>
      <c r="G1143" s="254" t="s">
        <v>867</v>
      </c>
      <c r="H1143" s="254" t="s">
        <v>841</v>
      </c>
      <c r="I1143" s="255">
        <v>9000</v>
      </c>
      <c r="J1143" s="256">
        <v>9000</v>
      </c>
      <c r="K1143" s="258">
        <v>24750</v>
      </c>
      <c r="L1143" s="258">
        <v>-1732.5000000000002</v>
      </c>
      <c r="M1143" s="258">
        <f t="shared" si="70"/>
        <v>23017.5</v>
      </c>
      <c r="N1143" s="258">
        <v>-10967.948517350162</v>
      </c>
      <c r="O1143" s="258">
        <v>-1568.7289799999999</v>
      </c>
      <c r="P1143" s="258">
        <v>-0.79725218135841192</v>
      </c>
      <c r="Q1143" s="258">
        <f t="shared" si="71"/>
        <v>10480.025250468479</v>
      </c>
      <c r="R1143" s="259">
        <f t="shared" si="72"/>
        <v>0.45530684264009902</v>
      </c>
      <c r="S1143" s="255">
        <f t="shared" si="69"/>
        <v>2.75</v>
      </c>
      <c r="T1143" s="255">
        <f t="shared" si="69"/>
        <v>2.75</v>
      </c>
      <c r="U1143" s="254">
        <v>100100</v>
      </c>
      <c r="V1143" s="254" t="s">
        <v>834</v>
      </c>
      <c r="W1143" s="254" t="s">
        <v>871</v>
      </c>
      <c r="X1143" s="254" t="s">
        <v>446</v>
      </c>
      <c r="Y1143" s="254" t="s">
        <v>843</v>
      </c>
      <c r="Z1143" s="254" t="s">
        <v>1137</v>
      </c>
      <c r="AA1143" s="254" t="s">
        <v>838</v>
      </c>
    </row>
    <row r="1144" spans="1:27" ht="14.4" x14ac:dyDescent="0.3">
      <c r="A1144" s="253">
        <v>11</v>
      </c>
      <c r="B1144" s="254" t="s">
        <v>852</v>
      </c>
      <c r="C1144" s="254">
        <v>1023</v>
      </c>
      <c r="D1144" s="254" t="s">
        <v>49</v>
      </c>
      <c r="E1144" s="254" t="str">
        <f>_xlfn.XLOOKUP(C1144,Clientes!I:I,Clientes!F:F)</f>
        <v>GRUPO ADUBOS ARAGUAIA</v>
      </c>
      <c r="F1144" s="254">
        <v>1</v>
      </c>
      <c r="G1144" s="254" t="s">
        <v>840</v>
      </c>
      <c r="H1144" s="254" t="s">
        <v>873</v>
      </c>
      <c r="I1144" s="255">
        <v>30000</v>
      </c>
      <c r="J1144" s="256">
        <v>30000</v>
      </c>
      <c r="K1144" s="258">
        <v>72900</v>
      </c>
      <c r="L1144" s="258">
        <v>-5103.0000000000009</v>
      </c>
      <c r="M1144" s="258">
        <f t="shared" si="70"/>
        <v>67797</v>
      </c>
      <c r="N1144" s="258">
        <v>-19725.684705882359</v>
      </c>
      <c r="O1144" s="258">
        <v>-11980.9521</v>
      </c>
      <c r="P1144" s="258">
        <v>-6.0889040224625974</v>
      </c>
      <c r="Q1144" s="258">
        <f t="shared" si="71"/>
        <v>36084.274290095171</v>
      </c>
      <c r="R1144" s="259">
        <f t="shared" si="72"/>
        <v>0.53223998539898776</v>
      </c>
      <c r="S1144" s="255">
        <f t="shared" si="69"/>
        <v>2.4300000000000002</v>
      </c>
      <c r="T1144" s="255">
        <f t="shared" si="69"/>
        <v>2.4300000000000002</v>
      </c>
      <c r="U1144" s="254">
        <v>100100</v>
      </c>
      <c r="V1144" s="254" t="s">
        <v>834</v>
      </c>
      <c r="W1144" s="254" t="s">
        <v>861</v>
      </c>
      <c r="X1144" s="254" t="s">
        <v>446</v>
      </c>
      <c r="Y1144" s="254" t="s">
        <v>843</v>
      </c>
      <c r="Z1144" s="254" t="s">
        <v>1137</v>
      </c>
      <c r="AA1144" s="254" t="s">
        <v>838</v>
      </c>
    </row>
    <row r="1145" spans="1:27" ht="14.4" x14ac:dyDescent="0.3">
      <c r="A1145" s="253">
        <v>11</v>
      </c>
      <c r="B1145" s="254" t="s">
        <v>852</v>
      </c>
      <c r="C1145" s="254">
        <v>452</v>
      </c>
      <c r="D1145" s="254" t="s">
        <v>900</v>
      </c>
      <c r="E1145" s="254" t="str">
        <f>_xlfn.XLOOKUP(C1145,Clientes!I:I,Clientes!F:F)</f>
        <v>GRUPO FERTIPAR FERTILIZANTES MARANHAO</v>
      </c>
      <c r="F1145" s="254">
        <v>2</v>
      </c>
      <c r="G1145" s="254" t="s">
        <v>897</v>
      </c>
      <c r="H1145" s="254" t="s">
        <v>883</v>
      </c>
      <c r="I1145" s="255">
        <v>90000</v>
      </c>
      <c r="J1145" s="256">
        <v>90000</v>
      </c>
      <c r="K1145" s="258">
        <v>213300</v>
      </c>
      <c r="L1145" s="258">
        <v>-14931.000000000002</v>
      </c>
      <c r="M1145" s="258">
        <f t="shared" si="70"/>
        <v>198369</v>
      </c>
      <c r="N1145" s="258">
        <v>-59440.402499999997</v>
      </c>
      <c r="O1145" s="258">
        <v>-79384.58189999999</v>
      </c>
      <c r="P1145" s="258">
        <v>-40.344464781928423</v>
      </c>
      <c r="Q1145" s="258">
        <f t="shared" si="71"/>
        <v>59503.671135218086</v>
      </c>
      <c r="R1145" s="259">
        <f t="shared" si="72"/>
        <v>0.29996456671767308</v>
      </c>
      <c r="S1145" s="255">
        <f t="shared" si="69"/>
        <v>2.37</v>
      </c>
      <c r="T1145" s="255">
        <f t="shared" si="69"/>
        <v>2.37</v>
      </c>
      <c r="U1145" s="254">
        <v>100100</v>
      </c>
      <c r="V1145" s="254" t="s">
        <v>834</v>
      </c>
      <c r="W1145" s="254" t="s">
        <v>899</v>
      </c>
      <c r="X1145" s="254" t="s">
        <v>446</v>
      </c>
      <c r="Y1145" s="254" t="s">
        <v>843</v>
      </c>
      <c r="Z1145" s="254" t="s">
        <v>1137</v>
      </c>
      <c r="AA1145" s="254" t="s">
        <v>838</v>
      </c>
    </row>
    <row r="1146" spans="1:27" ht="14.4" x14ac:dyDescent="0.3">
      <c r="A1146" s="253">
        <v>11</v>
      </c>
      <c r="B1146" s="254" t="s">
        <v>852</v>
      </c>
      <c r="C1146" s="254">
        <v>5657</v>
      </c>
      <c r="D1146" s="254" t="s">
        <v>84</v>
      </c>
      <c r="E1146" s="254" t="str">
        <f>_xlfn.XLOOKUP(C1146,Clientes!I:I,Clientes!F:F)</f>
        <v>FERTIPLANTA - VARGEM GRANDE DO SUL</v>
      </c>
      <c r="F1146" s="254">
        <v>14133</v>
      </c>
      <c r="G1146" s="254" t="s">
        <v>908</v>
      </c>
      <c r="H1146" s="254" t="s">
        <v>841</v>
      </c>
      <c r="I1146" s="255">
        <v>7000</v>
      </c>
      <c r="J1146" s="256">
        <v>7000</v>
      </c>
      <c r="K1146" s="258">
        <v>24220</v>
      </c>
      <c r="L1146" s="258">
        <v>-2906.4</v>
      </c>
      <c r="M1146" s="258">
        <f t="shared" si="70"/>
        <v>21313.599999999999</v>
      </c>
      <c r="N1146" s="258">
        <v>-8530.6266246056803</v>
      </c>
      <c r="O1146" s="258">
        <v>-3601.1642284799996</v>
      </c>
      <c r="P1146" s="258">
        <v>-1.8301670162207129</v>
      </c>
      <c r="Q1146" s="258">
        <f t="shared" si="71"/>
        <v>9179.9789798980983</v>
      </c>
      <c r="R1146" s="259">
        <f t="shared" si="72"/>
        <v>0.43070992135998137</v>
      </c>
      <c r="S1146" s="255">
        <f t="shared" si="69"/>
        <v>3.46</v>
      </c>
      <c r="T1146" s="255">
        <f t="shared" si="69"/>
        <v>3.46</v>
      </c>
      <c r="U1146" s="254">
        <v>100100</v>
      </c>
      <c r="V1146" s="254" t="s">
        <v>834</v>
      </c>
      <c r="W1146" s="254" t="s">
        <v>1067</v>
      </c>
      <c r="X1146" s="254" t="s">
        <v>446</v>
      </c>
      <c r="Y1146" s="254" t="s">
        <v>843</v>
      </c>
      <c r="Z1146" s="254" t="s">
        <v>1137</v>
      </c>
      <c r="AA1146" s="254" t="s">
        <v>838</v>
      </c>
    </row>
    <row r="1147" spans="1:27" ht="14.4" x14ac:dyDescent="0.3">
      <c r="A1147" s="253">
        <v>11</v>
      </c>
      <c r="B1147" s="254" t="s">
        <v>852</v>
      </c>
      <c r="C1147" s="254">
        <v>16918</v>
      </c>
      <c r="D1147" s="254" t="s">
        <v>645</v>
      </c>
      <c r="E1147" s="254" t="str">
        <f>_xlfn.XLOOKUP(C1147,Clientes!I:I,Clientes!F:F)</f>
        <v>FERTZ FERTILIZANTES S/A</v>
      </c>
      <c r="F1147" s="254">
        <v>1043</v>
      </c>
      <c r="G1147" s="254" t="s">
        <v>926</v>
      </c>
      <c r="H1147" s="254" t="s">
        <v>860</v>
      </c>
      <c r="I1147" s="255">
        <v>30000</v>
      </c>
      <c r="J1147" s="256">
        <v>30000</v>
      </c>
      <c r="K1147" s="258">
        <v>66000</v>
      </c>
      <c r="L1147" s="258">
        <v>-4620</v>
      </c>
      <c r="M1147" s="258">
        <f t="shared" si="70"/>
        <v>61380</v>
      </c>
      <c r="N1147" s="258">
        <v>-11919.179040852567</v>
      </c>
      <c r="O1147" s="258">
        <v>-26978.690699999999</v>
      </c>
      <c r="P1147" s="258">
        <v>-13.710985316768294</v>
      </c>
      <c r="Q1147" s="258">
        <f t="shared" si="71"/>
        <v>22468.419273830663</v>
      </c>
      <c r="R1147" s="259">
        <f t="shared" si="72"/>
        <v>0.36605440328821542</v>
      </c>
      <c r="S1147" s="255">
        <f t="shared" si="69"/>
        <v>2.2000000000000002</v>
      </c>
      <c r="T1147" s="255">
        <f t="shared" si="69"/>
        <v>2.2000000000000002</v>
      </c>
      <c r="U1147" s="254">
        <v>100100</v>
      </c>
      <c r="V1147" s="254" t="s">
        <v>834</v>
      </c>
      <c r="W1147" s="254" t="s">
        <v>928</v>
      </c>
      <c r="X1147" s="254" t="s">
        <v>446</v>
      </c>
      <c r="Y1147" s="254" t="s">
        <v>843</v>
      </c>
      <c r="Z1147" s="254" t="s">
        <v>1137</v>
      </c>
      <c r="AA1147" s="254" t="s">
        <v>838</v>
      </c>
    </row>
    <row r="1148" spans="1:27" ht="14.4" x14ac:dyDescent="0.3">
      <c r="A1148" s="253">
        <v>11</v>
      </c>
      <c r="B1148" s="254" t="s">
        <v>852</v>
      </c>
      <c r="C1148" s="254">
        <v>12568</v>
      </c>
      <c r="D1148" s="254" t="s">
        <v>1116</v>
      </c>
      <c r="E1148" s="254" t="str">
        <f>_xlfn.XLOOKUP(C1148,Clientes!I:I,Clientes!F:F)</f>
        <v>FRIBON FERTILIZANTES - BARCARENA</v>
      </c>
      <c r="F1148" s="254">
        <v>1043</v>
      </c>
      <c r="G1148" s="254" t="s">
        <v>926</v>
      </c>
      <c r="H1148" s="254" t="s">
        <v>860</v>
      </c>
      <c r="I1148" s="255">
        <v>10000</v>
      </c>
      <c r="J1148" s="256">
        <v>10000</v>
      </c>
      <c r="K1148" s="258">
        <v>23000</v>
      </c>
      <c r="L1148" s="258">
        <v>-1610.0000000000002</v>
      </c>
      <c r="M1148" s="258">
        <f t="shared" si="70"/>
        <v>21390</v>
      </c>
      <c r="N1148" s="258">
        <v>-3973.0596802841887</v>
      </c>
      <c r="O1148" s="258">
        <v>-14525.944795830001</v>
      </c>
      <c r="P1148" s="258">
        <v>-7.3823084308465701</v>
      </c>
      <c r="Q1148" s="258">
        <f t="shared" si="71"/>
        <v>2883.6132154549628</v>
      </c>
      <c r="R1148" s="259">
        <f t="shared" si="72"/>
        <v>0.13481127701986736</v>
      </c>
      <c r="S1148" s="255">
        <f t="shared" si="69"/>
        <v>2.2999999999999998</v>
      </c>
      <c r="T1148" s="255">
        <f t="shared" si="69"/>
        <v>2.2999999999999998</v>
      </c>
      <c r="U1148" s="254">
        <v>100100</v>
      </c>
      <c r="V1148" s="254" t="s">
        <v>834</v>
      </c>
      <c r="W1148" s="254" t="s">
        <v>928</v>
      </c>
      <c r="X1148" s="254" t="s">
        <v>446</v>
      </c>
      <c r="Y1148" s="254" t="s">
        <v>843</v>
      </c>
      <c r="Z1148" s="254" t="s">
        <v>1137</v>
      </c>
      <c r="AA1148" s="254" t="s">
        <v>838</v>
      </c>
    </row>
    <row r="1149" spans="1:27" ht="14.4" x14ac:dyDescent="0.3">
      <c r="A1149" s="253">
        <v>11</v>
      </c>
      <c r="B1149" s="254" t="s">
        <v>852</v>
      </c>
      <c r="C1149" s="254">
        <v>341</v>
      </c>
      <c r="D1149" s="254" t="s">
        <v>422</v>
      </c>
      <c r="E1149" s="254" t="str">
        <f>_xlfn.XLOOKUP(C1149,Clientes!I:I,Clientes!F:F)</f>
        <v>ADUBOS PARANAIBA - UBERLANDIA</v>
      </c>
      <c r="F1149" s="254">
        <v>1043</v>
      </c>
      <c r="G1149" s="254" t="s">
        <v>855</v>
      </c>
      <c r="H1149" s="254" t="s">
        <v>860</v>
      </c>
      <c r="I1149" s="255">
        <v>6000</v>
      </c>
      <c r="J1149" s="256">
        <v>6000</v>
      </c>
      <c r="K1149" s="258">
        <v>12000</v>
      </c>
      <c r="L1149" s="258">
        <v>-2160</v>
      </c>
      <c r="M1149" s="258">
        <f t="shared" si="70"/>
        <v>9840</v>
      </c>
      <c r="N1149" s="258">
        <v>-2383.8358081705132</v>
      </c>
      <c r="O1149" s="258">
        <v>0</v>
      </c>
      <c r="P1149" s="258">
        <v>0</v>
      </c>
      <c r="Q1149" s="258">
        <f t="shared" si="71"/>
        <v>7456.1641918294863</v>
      </c>
      <c r="R1149" s="259">
        <f t="shared" si="72"/>
        <v>0.75774026339730549</v>
      </c>
      <c r="S1149" s="255">
        <f t="shared" si="69"/>
        <v>2</v>
      </c>
      <c r="T1149" s="255">
        <f t="shared" si="69"/>
        <v>2</v>
      </c>
      <c r="U1149" s="254">
        <v>100100</v>
      </c>
      <c r="V1149" s="254" t="s">
        <v>834</v>
      </c>
      <c r="W1149" s="254" t="s">
        <v>865</v>
      </c>
      <c r="X1149" s="254" t="s">
        <v>446</v>
      </c>
      <c r="Y1149" s="254" t="s">
        <v>843</v>
      </c>
      <c r="Z1149" s="254" t="s">
        <v>1137</v>
      </c>
      <c r="AA1149" s="254" t="s">
        <v>838</v>
      </c>
    </row>
    <row r="1150" spans="1:27" ht="14.4" x14ac:dyDescent="0.3">
      <c r="A1150" s="253">
        <v>11</v>
      </c>
      <c r="B1150" s="254" t="s">
        <v>852</v>
      </c>
      <c r="C1150" s="254">
        <v>86</v>
      </c>
      <c r="D1150" s="254" t="s">
        <v>31</v>
      </c>
      <c r="E1150" s="254" t="str">
        <f>_xlfn.XLOOKUP(C1150,Clientes!I:I,Clientes!F:F)</f>
        <v>GRUPO ADUBOS ARAGUAIA</v>
      </c>
      <c r="F1150" s="254">
        <v>1</v>
      </c>
      <c r="G1150" s="254" t="s">
        <v>867</v>
      </c>
      <c r="H1150" s="254" t="s">
        <v>873</v>
      </c>
      <c r="I1150" s="255">
        <v>60000</v>
      </c>
      <c r="J1150" s="256">
        <v>60000</v>
      </c>
      <c r="K1150" s="258">
        <v>127200</v>
      </c>
      <c r="L1150" s="258">
        <v>-8904</v>
      </c>
      <c r="M1150" s="258">
        <f t="shared" si="70"/>
        <v>118296</v>
      </c>
      <c r="N1150" s="258">
        <v>-39451.369411764717</v>
      </c>
      <c r="O1150" s="258">
        <v>-14940.276</v>
      </c>
      <c r="P1150" s="258">
        <v>-7.5928779176991625</v>
      </c>
      <c r="Q1150" s="258">
        <f t="shared" si="71"/>
        <v>63896.76171031758</v>
      </c>
      <c r="R1150" s="259">
        <f t="shared" si="72"/>
        <v>0.54014304549872849</v>
      </c>
      <c r="S1150" s="255">
        <f t="shared" si="69"/>
        <v>2.12</v>
      </c>
      <c r="T1150" s="255">
        <f t="shared" si="69"/>
        <v>2.12</v>
      </c>
      <c r="U1150" s="254">
        <v>100100</v>
      </c>
      <c r="V1150" s="254" t="s">
        <v>834</v>
      </c>
      <c r="W1150" s="254" t="s">
        <v>955</v>
      </c>
      <c r="X1150" s="254" t="s">
        <v>446</v>
      </c>
      <c r="Y1150" s="254" t="s">
        <v>843</v>
      </c>
      <c r="Z1150" s="254" t="s">
        <v>1137</v>
      </c>
      <c r="AA1150" s="254" t="s">
        <v>838</v>
      </c>
    </row>
    <row r="1151" spans="1:27" ht="14.4" x14ac:dyDescent="0.3">
      <c r="A1151" s="253">
        <v>11</v>
      </c>
      <c r="B1151" s="254" t="s">
        <v>852</v>
      </c>
      <c r="C1151" s="254">
        <v>5053</v>
      </c>
      <c r="D1151" s="254" t="s">
        <v>223</v>
      </c>
      <c r="E1151" s="254" t="str">
        <f>_xlfn.XLOOKUP(C1151,Clientes!I:I,Clientes!F:F)</f>
        <v>GRUPO ADUBOS ARAGUAIA</v>
      </c>
      <c r="F1151" s="254">
        <v>14133</v>
      </c>
      <c r="G1151" s="254" t="s">
        <v>840</v>
      </c>
      <c r="H1151" s="254" t="s">
        <v>841</v>
      </c>
      <c r="I1151" s="255">
        <v>7000</v>
      </c>
      <c r="J1151" s="256">
        <v>7000</v>
      </c>
      <c r="K1151" s="258">
        <v>19460</v>
      </c>
      <c r="L1151" s="258">
        <v>-1362.2</v>
      </c>
      <c r="M1151" s="258">
        <f t="shared" si="70"/>
        <v>18097.8</v>
      </c>
      <c r="N1151" s="258">
        <v>-8530.6266246056803</v>
      </c>
      <c r="O1151" s="258">
        <v>-6291.4930277381</v>
      </c>
      <c r="P1151" s="258">
        <v>-3.1974334664012138</v>
      </c>
      <c r="Q1151" s="258">
        <f t="shared" si="71"/>
        <v>3272.4829141898176</v>
      </c>
      <c r="R1151" s="259">
        <f t="shared" si="72"/>
        <v>0.18082213938654521</v>
      </c>
      <c r="S1151" s="255">
        <f t="shared" si="69"/>
        <v>2.78</v>
      </c>
      <c r="T1151" s="255">
        <f t="shared" si="69"/>
        <v>2.78</v>
      </c>
      <c r="U1151" s="254">
        <v>100100</v>
      </c>
      <c r="V1151" s="254" t="s">
        <v>834</v>
      </c>
      <c r="W1151" s="254" t="s">
        <v>842</v>
      </c>
      <c r="X1151" s="254" t="s">
        <v>446</v>
      </c>
      <c r="Y1151" s="254" t="s">
        <v>843</v>
      </c>
      <c r="Z1151" s="254" t="s">
        <v>1137</v>
      </c>
      <c r="AA1151" s="254" t="s">
        <v>838</v>
      </c>
    </row>
    <row r="1152" spans="1:27" ht="14.4" x14ac:dyDescent="0.3">
      <c r="A1152" s="253">
        <v>11</v>
      </c>
      <c r="B1152" s="254" t="s">
        <v>852</v>
      </c>
      <c r="C1152" s="254">
        <v>1936</v>
      </c>
      <c r="D1152" s="254" t="s">
        <v>889</v>
      </c>
      <c r="E1152" s="254" t="str">
        <f>_xlfn.XLOOKUP(C1152,Clientes!I:I,Clientes!F:F)</f>
        <v>GRUPO AGRO INDUSTRIAL SAO LUIZ LTDA</v>
      </c>
      <c r="F1152" s="254">
        <v>4</v>
      </c>
      <c r="G1152" s="254" t="s">
        <v>862</v>
      </c>
      <c r="H1152" s="254" t="s">
        <v>863</v>
      </c>
      <c r="I1152" s="255">
        <v>35000</v>
      </c>
      <c r="J1152" s="256">
        <v>35000</v>
      </c>
      <c r="K1152" s="258">
        <v>139650</v>
      </c>
      <c r="L1152" s="258">
        <v>-16758</v>
      </c>
      <c r="M1152" s="258">
        <f t="shared" si="70"/>
        <v>122892</v>
      </c>
      <c r="N1152" s="258">
        <v>-34256.254666666668</v>
      </c>
      <c r="O1152" s="258">
        <v>0</v>
      </c>
      <c r="P1152" s="258">
        <v>0</v>
      </c>
      <c r="Q1152" s="258">
        <f t="shared" si="71"/>
        <v>88635.745333333325</v>
      </c>
      <c r="R1152" s="259">
        <f t="shared" si="72"/>
        <v>0.72124910761752858</v>
      </c>
      <c r="S1152" s="255">
        <f t="shared" si="69"/>
        <v>3.99</v>
      </c>
      <c r="T1152" s="255">
        <f t="shared" si="69"/>
        <v>3.99</v>
      </c>
      <c r="U1152" s="254">
        <v>100100</v>
      </c>
      <c r="V1152" s="254" t="s">
        <v>834</v>
      </c>
      <c r="W1152" s="254" t="s">
        <v>864</v>
      </c>
      <c r="X1152" s="254" t="s">
        <v>446</v>
      </c>
      <c r="Y1152" s="254" t="s">
        <v>843</v>
      </c>
      <c r="Z1152" s="254" t="s">
        <v>1137</v>
      </c>
      <c r="AA1152" s="254" t="s">
        <v>838</v>
      </c>
    </row>
    <row r="1153" spans="1:27" ht="14.4" x14ac:dyDescent="0.3">
      <c r="A1153" s="253">
        <v>11</v>
      </c>
      <c r="B1153" s="254" t="s">
        <v>852</v>
      </c>
      <c r="C1153" s="254">
        <v>6477</v>
      </c>
      <c r="D1153" s="254" t="s">
        <v>87</v>
      </c>
      <c r="E1153" s="254" t="str">
        <f>_xlfn.XLOOKUP(C1153,Clientes!I:I,Clientes!F:F)</f>
        <v>GRUPO MOSAIC FERTILIZANTES DO BRASIL</v>
      </c>
      <c r="F1153" s="254">
        <v>1043</v>
      </c>
      <c r="G1153" s="254" t="s">
        <v>862</v>
      </c>
      <c r="H1153" s="254" t="s">
        <v>860</v>
      </c>
      <c r="I1153" s="255">
        <v>45000</v>
      </c>
      <c r="J1153" s="256">
        <v>45000</v>
      </c>
      <c r="K1153" s="258">
        <v>98550</v>
      </c>
      <c r="L1153" s="258">
        <v>-11826</v>
      </c>
      <c r="M1153" s="258">
        <f t="shared" si="70"/>
        <v>86724</v>
      </c>
      <c r="N1153" s="258">
        <v>-17878.768561278848</v>
      </c>
      <c r="O1153" s="258">
        <v>-21074.40855</v>
      </c>
      <c r="P1153" s="258">
        <v>-10.710338370446799</v>
      </c>
      <c r="Q1153" s="258">
        <f t="shared" si="71"/>
        <v>47760.112550350706</v>
      </c>
      <c r="R1153" s="259">
        <f t="shared" si="72"/>
        <v>0.55071390330647463</v>
      </c>
      <c r="S1153" s="255">
        <f t="shared" si="69"/>
        <v>2.19</v>
      </c>
      <c r="T1153" s="255">
        <f t="shared" si="69"/>
        <v>2.19</v>
      </c>
      <c r="U1153" s="254">
        <v>100100</v>
      </c>
      <c r="V1153" s="254" t="s">
        <v>834</v>
      </c>
      <c r="W1153" s="254" t="s">
        <v>864</v>
      </c>
      <c r="X1153" s="254" t="s">
        <v>446</v>
      </c>
      <c r="Y1153" s="254" t="s">
        <v>843</v>
      </c>
      <c r="Z1153" s="254" t="s">
        <v>1137</v>
      </c>
      <c r="AA1153" s="254" t="s">
        <v>838</v>
      </c>
    </row>
    <row r="1154" spans="1:27" ht="14.4" x14ac:dyDescent="0.3">
      <c r="A1154" s="253">
        <v>11</v>
      </c>
      <c r="B1154" s="254" t="s">
        <v>852</v>
      </c>
      <c r="C1154" s="254">
        <v>2559</v>
      </c>
      <c r="D1154" s="254" t="s">
        <v>451</v>
      </c>
      <c r="E1154" s="254" t="str">
        <f>_xlfn.XLOOKUP(C1154,Clientes!I:I,Clientes!F:F)</f>
        <v>GRUPO MOSAIC FERTILIZANTES DO BRASIL</v>
      </c>
      <c r="F1154" s="254">
        <v>1043</v>
      </c>
      <c r="G1154" s="254" t="s">
        <v>877</v>
      </c>
      <c r="H1154" s="254" t="s">
        <v>860</v>
      </c>
      <c r="I1154" s="255">
        <v>120000</v>
      </c>
      <c r="J1154" s="256">
        <v>120000</v>
      </c>
      <c r="K1154" s="258">
        <v>301200</v>
      </c>
      <c r="L1154" s="258">
        <v>-36144</v>
      </c>
      <c r="M1154" s="258">
        <f t="shared" si="70"/>
        <v>265056</v>
      </c>
      <c r="N1154" s="258">
        <v>-47676.716163410267</v>
      </c>
      <c r="O1154" s="258">
        <v>-97686.42</v>
      </c>
      <c r="P1154" s="258">
        <v>-49.645740231109912</v>
      </c>
      <c r="Q1154" s="258">
        <f t="shared" si="71"/>
        <v>119643.21809635861</v>
      </c>
      <c r="R1154" s="259">
        <f t="shared" si="72"/>
        <v>0.45138845412425532</v>
      </c>
      <c r="S1154" s="255">
        <f t="shared" si="69"/>
        <v>2.5099999999999998</v>
      </c>
      <c r="T1154" s="255">
        <f t="shared" si="69"/>
        <v>2.5099999999999998</v>
      </c>
      <c r="U1154" s="254">
        <v>100100</v>
      </c>
      <c r="V1154" s="254" t="s">
        <v>834</v>
      </c>
      <c r="W1154" s="254" t="s">
        <v>878</v>
      </c>
      <c r="X1154" s="254" t="s">
        <v>446</v>
      </c>
      <c r="Y1154" s="254" t="s">
        <v>843</v>
      </c>
      <c r="Z1154" s="254" t="s">
        <v>1137</v>
      </c>
      <c r="AA1154" s="254" t="s">
        <v>838</v>
      </c>
    </row>
    <row r="1155" spans="1:27" ht="14.4" x14ac:dyDescent="0.3">
      <c r="A1155" s="253">
        <v>11</v>
      </c>
      <c r="B1155" s="254" t="s">
        <v>852</v>
      </c>
      <c r="C1155" s="254">
        <v>1462</v>
      </c>
      <c r="D1155" s="254" t="s">
        <v>907</v>
      </c>
      <c r="E1155" s="254" t="str">
        <f>_xlfn.XLOOKUP(C1155,Clientes!I:I,Clientes!F:F)</f>
        <v>AURORA MINERAÇÃO LTDA</v>
      </c>
      <c r="F1155" s="254">
        <v>1042</v>
      </c>
      <c r="G1155" s="254" t="s">
        <v>908</v>
      </c>
      <c r="H1155" s="254" t="s">
        <v>909</v>
      </c>
      <c r="I1155" s="255">
        <v>45000</v>
      </c>
      <c r="J1155" s="256">
        <v>45000</v>
      </c>
      <c r="K1155" s="258">
        <v>75150</v>
      </c>
      <c r="L1155" s="258">
        <v>-9018</v>
      </c>
      <c r="M1155" s="258">
        <f t="shared" si="70"/>
        <v>66132</v>
      </c>
      <c r="N1155" s="258">
        <v>-23241.774000000005</v>
      </c>
      <c r="O1155" s="258">
        <v>0</v>
      </c>
      <c r="P1155" s="258">
        <v>0</v>
      </c>
      <c r="Q1155" s="258">
        <f t="shared" si="71"/>
        <v>42890.225999999995</v>
      </c>
      <c r="R1155" s="259">
        <f t="shared" si="72"/>
        <v>0.64855479949192518</v>
      </c>
      <c r="S1155" s="255">
        <f t="shared" ref="S1155:T1218" si="73">$K1155/I1155</f>
        <v>1.67</v>
      </c>
      <c r="T1155" s="255">
        <f t="shared" si="73"/>
        <v>1.67</v>
      </c>
      <c r="U1155" s="254">
        <v>100100</v>
      </c>
      <c r="V1155" s="254" t="s">
        <v>834</v>
      </c>
      <c r="W1155" s="254" t="s">
        <v>910</v>
      </c>
      <c r="X1155" s="254" t="s">
        <v>446</v>
      </c>
      <c r="Y1155" s="254" t="s">
        <v>843</v>
      </c>
      <c r="Z1155" s="254" t="s">
        <v>1137</v>
      </c>
      <c r="AA1155" s="254" t="s">
        <v>838</v>
      </c>
    </row>
    <row r="1156" spans="1:27" ht="14.4" x14ac:dyDescent="0.3">
      <c r="A1156" s="253">
        <v>11</v>
      </c>
      <c r="B1156" s="254" t="s">
        <v>852</v>
      </c>
      <c r="C1156" s="254">
        <v>31</v>
      </c>
      <c r="D1156" s="254" t="s">
        <v>261</v>
      </c>
      <c r="E1156" s="254" t="str">
        <f>_xlfn.XLOOKUP(C1156,Clientes!I:I,Clientes!F:F)</f>
        <v>SUL GOIANA - GOIATUBA</v>
      </c>
      <c r="F1156" s="254">
        <v>1042</v>
      </c>
      <c r="G1156" s="254" t="s">
        <v>867</v>
      </c>
      <c r="H1156" s="254" t="s">
        <v>909</v>
      </c>
      <c r="I1156" s="255">
        <v>60000</v>
      </c>
      <c r="J1156" s="256">
        <v>60000</v>
      </c>
      <c r="K1156" s="258">
        <v>120000</v>
      </c>
      <c r="L1156" s="258">
        <v>-8400</v>
      </c>
      <c r="M1156" s="258">
        <f t="shared" ref="M1156:M1219" si="74">SUM(K1156:L1156)</f>
        <v>111600</v>
      </c>
      <c r="N1156" s="258">
        <v>-30989.032000000007</v>
      </c>
      <c r="O1156" s="258">
        <v>-7010.4371999999994</v>
      </c>
      <c r="P1156" s="258">
        <v>-3.5628119459972987</v>
      </c>
      <c r="Q1156" s="258">
        <f t="shared" ref="Q1156:Q1219" si="75">SUM(M1156:P1156)</f>
        <v>73596.967988053992</v>
      </c>
      <c r="R1156" s="259">
        <f t="shared" ref="R1156:R1219" si="76">Q1156/M1156</f>
        <v>0.65947103931948026</v>
      </c>
      <c r="S1156" s="255">
        <f t="shared" si="73"/>
        <v>2</v>
      </c>
      <c r="T1156" s="255">
        <f t="shared" si="73"/>
        <v>2</v>
      </c>
      <c r="U1156" s="254">
        <v>100100</v>
      </c>
      <c r="V1156" s="254" t="s">
        <v>834</v>
      </c>
      <c r="W1156" s="254" t="s">
        <v>1020</v>
      </c>
      <c r="X1156" s="254" t="s">
        <v>446</v>
      </c>
      <c r="Y1156" s="254" t="s">
        <v>843</v>
      </c>
      <c r="Z1156" s="254" t="s">
        <v>1137</v>
      </c>
      <c r="AA1156" s="254" t="s">
        <v>838</v>
      </c>
    </row>
    <row r="1157" spans="1:27" ht="14.4" x14ac:dyDescent="0.3">
      <c r="A1157" s="253">
        <v>11</v>
      </c>
      <c r="B1157" s="254" t="s">
        <v>852</v>
      </c>
      <c r="C1157" s="254">
        <v>2011</v>
      </c>
      <c r="D1157" s="254" t="s">
        <v>616</v>
      </c>
      <c r="E1157" s="254" t="str">
        <f>_xlfn.XLOOKUP(C1157,Clientes!I:I,Clientes!F:F)</f>
        <v>FERTGROW S.A</v>
      </c>
      <c r="F1157" s="254">
        <v>6654</v>
      </c>
      <c r="G1157" s="254" t="s">
        <v>897</v>
      </c>
      <c r="H1157" s="254" t="s">
        <v>898</v>
      </c>
      <c r="I1157" s="255">
        <v>150000</v>
      </c>
      <c r="J1157" s="256">
        <v>150000</v>
      </c>
      <c r="K1157" s="258">
        <v>405000</v>
      </c>
      <c r="L1157" s="258">
        <v>-28350.000000000004</v>
      </c>
      <c r="M1157" s="258">
        <f t="shared" si="74"/>
        <v>376650</v>
      </c>
      <c r="N1157" s="258">
        <v>-58985.94</v>
      </c>
      <c r="O1157" s="258">
        <v>-132307.63649999999</v>
      </c>
      <c r="P1157" s="258">
        <v>-67.240774636547386</v>
      </c>
      <c r="Q1157" s="258">
        <f t="shared" si="75"/>
        <v>185289.18272536347</v>
      </c>
      <c r="R1157" s="259">
        <f t="shared" si="76"/>
        <v>0.49193995148111902</v>
      </c>
      <c r="S1157" s="255">
        <f t="shared" si="73"/>
        <v>2.7</v>
      </c>
      <c r="T1157" s="255">
        <f t="shared" si="73"/>
        <v>2.7</v>
      </c>
      <c r="U1157" s="254">
        <v>100100</v>
      </c>
      <c r="V1157" s="254" t="s">
        <v>834</v>
      </c>
      <c r="W1157" s="254" t="s">
        <v>899</v>
      </c>
      <c r="X1157" s="254" t="s">
        <v>446</v>
      </c>
      <c r="Y1157" s="254" t="s">
        <v>843</v>
      </c>
      <c r="Z1157" s="254" t="s">
        <v>1137</v>
      </c>
      <c r="AA1157" s="254" t="s">
        <v>838</v>
      </c>
    </row>
    <row r="1158" spans="1:27" ht="14.4" x14ac:dyDescent="0.3">
      <c r="A1158" s="253">
        <v>11</v>
      </c>
      <c r="B1158" s="254" t="s">
        <v>852</v>
      </c>
      <c r="C1158" s="254">
        <v>3273</v>
      </c>
      <c r="D1158" s="254" t="s">
        <v>79</v>
      </c>
      <c r="E1158" s="254" t="str">
        <f>_xlfn.XLOOKUP(C1158,Clientes!I:I,Clientes!F:F)</f>
        <v>FERTIMAXI - CONCEICAO DO JACUIPE</v>
      </c>
      <c r="F1158" s="254">
        <v>2</v>
      </c>
      <c r="G1158" s="254" t="s">
        <v>875</v>
      </c>
      <c r="H1158" s="254" t="s">
        <v>883</v>
      </c>
      <c r="I1158" s="255">
        <v>30000</v>
      </c>
      <c r="J1158" s="256">
        <v>30000</v>
      </c>
      <c r="K1158" s="258">
        <v>78900</v>
      </c>
      <c r="L1158" s="258">
        <v>-5523.0000000000009</v>
      </c>
      <c r="M1158" s="258">
        <f t="shared" si="74"/>
        <v>73377</v>
      </c>
      <c r="N1158" s="258">
        <v>-19813.467499999999</v>
      </c>
      <c r="O1158" s="258">
        <v>-18675.345000000001</v>
      </c>
      <c r="P1158" s="258">
        <v>-9.4910973971239532</v>
      </c>
      <c r="Q1158" s="258">
        <f t="shared" si="75"/>
        <v>34878.696402602873</v>
      </c>
      <c r="R1158" s="259">
        <f t="shared" si="76"/>
        <v>0.47533554659638405</v>
      </c>
      <c r="S1158" s="255">
        <f t="shared" si="73"/>
        <v>2.63</v>
      </c>
      <c r="T1158" s="255">
        <f t="shared" si="73"/>
        <v>2.63</v>
      </c>
      <c r="U1158" s="254">
        <v>100100</v>
      </c>
      <c r="V1158" s="254" t="s">
        <v>834</v>
      </c>
      <c r="W1158" s="254" t="s">
        <v>884</v>
      </c>
      <c r="X1158" s="254" t="s">
        <v>446</v>
      </c>
      <c r="Y1158" s="254" t="s">
        <v>843</v>
      </c>
      <c r="Z1158" s="254" t="s">
        <v>1137</v>
      </c>
      <c r="AA1158" s="254" t="s">
        <v>838</v>
      </c>
    </row>
    <row r="1159" spans="1:27" ht="14.4" x14ac:dyDescent="0.3">
      <c r="A1159" s="253">
        <v>11</v>
      </c>
      <c r="B1159" s="254" t="s">
        <v>852</v>
      </c>
      <c r="C1159" s="254">
        <v>11212</v>
      </c>
      <c r="D1159" s="254" t="s">
        <v>230</v>
      </c>
      <c r="E1159" s="254" t="str">
        <f>_xlfn.XLOOKUP(C1159,Clientes!I:I,Clientes!F:F)</f>
        <v>INPEK FERTILIZANTES - PARANAGUA</v>
      </c>
      <c r="F1159" s="254">
        <v>1043</v>
      </c>
      <c r="G1159" s="254" t="s">
        <v>862</v>
      </c>
      <c r="H1159" s="254" t="s">
        <v>860</v>
      </c>
      <c r="I1159" s="255">
        <v>30000</v>
      </c>
      <c r="J1159" s="256">
        <v>30000</v>
      </c>
      <c r="K1159" s="258">
        <v>57000</v>
      </c>
      <c r="L1159" s="258">
        <v>-6840</v>
      </c>
      <c r="M1159" s="258">
        <f t="shared" si="74"/>
        <v>50160</v>
      </c>
      <c r="N1159" s="258">
        <v>-11919.179040852567</v>
      </c>
      <c r="O1159" s="258">
        <v>-14049.6057</v>
      </c>
      <c r="P1159" s="258">
        <v>-7.1402255802978658</v>
      </c>
      <c r="Q1159" s="258">
        <f t="shared" si="75"/>
        <v>24184.075033567133</v>
      </c>
      <c r="R1159" s="259">
        <f t="shared" si="76"/>
        <v>0.48213865696904173</v>
      </c>
      <c r="S1159" s="255">
        <f t="shared" si="73"/>
        <v>1.9</v>
      </c>
      <c r="T1159" s="255">
        <f t="shared" si="73"/>
        <v>1.9</v>
      </c>
      <c r="U1159" s="254">
        <v>100100</v>
      </c>
      <c r="V1159" s="254" t="s">
        <v>834</v>
      </c>
      <c r="W1159" s="254" t="s">
        <v>864</v>
      </c>
      <c r="X1159" s="254" t="s">
        <v>446</v>
      </c>
      <c r="Y1159" s="254" t="s">
        <v>843</v>
      </c>
      <c r="Z1159" s="254" t="s">
        <v>1137</v>
      </c>
      <c r="AA1159" s="254" t="s">
        <v>838</v>
      </c>
    </row>
    <row r="1160" spans="1:27" ht="14.4" x14ac:dyDescent="0.3">
      <c r="A1160" s="253">
        <v>11</v>
      </c>
      <c r="B1160" s="254" t="s">
        <v>852</v>
      </c>
      <c r="C1160" s="254">
        <v>86</v>
      </c>
      <c r="D1160" s="254" t="s">
        <v>31</v>
      </c>
      <c r="E1160" s="254" t="str">
        <f>_xlfn.XLOOKUP(C1160,Clientes!I:I,Clientes!F:F)</f>
        <v>GRUPO ADUBOS ARAGUAIA</v>
      </c>
      <c r="F1160" s="254">
        <v>14133</v>
      </c>
      <c r="G1160" s="254" t="s">
        <v>867</v>
      </c>
      <c r="H1160" s="254" t="s">
        <v>841</v>
      </c>
      <c r="I1160" s="255">
        <v>12000</v>
      </c>
      <c r="J1160" s="256">
        <v>12000</v>
      </c>
      <c r="K1160" s="258">
        <v>33000</v>
      </c>
      <c r="L1160" s="258">
        <v>-2310</v>
      </c>
      <c r="M1160" s="258">
        <f t="shared" si="74"/>
        <v>30690</v>
      </c>
      <c r="N1160" s="258">
        <v>-14623.931356466881</v>
      </c>
      <c r="O1160" s="258">
        <v>-4650.7495518743999</v>
      </c>
      <c r="P1160" s="258">
        <v>-2.3635824112738217</v>
      </c>
      <c r="Q1160" s="258">
        <f t="shared" si="75"/>
        <v>11412.955509247446</v>
      </c>
      <c r="R1160" s="259">
        <f t="shared" si="76"/>
        <v>0.3718786415525398</v>
      </c>
      <c r="S1160" s="255">
        <f t="shared" si="73"/>
        <v>2.75</v>
      </c>
      <c r="T1160" s="255">
        <f t="shared" si="73"/>
        <v>2.75</v>
      </c>
      <c r="U1160" s="254">
        <v>100100</v>
      </c>
      <c r="V1160" s="254" t="s">
        <v>834</v>
      </c>
      <c r="W1160" s="254" t="s">
        <v>955</v>
      </c>
      <c r="X1160" s="254" t="s">
        <v>446</v>
      </c>
      <c r="Y1160" s="254" t="s">
        <v>843</v>
      </c>
      <c r="Z1160" s="254" t="s">
        <v>1137</v>
      </c>
      <c r="AA1160" s="254" t="s">
        <v>838</v>
      </c>
    </row>
    <row r="1161" spans="1:27" ht="14.4" x14ac:dyDescent="0.3">
      <c r="A1161" s="253">
        <v>11</v>
      </c>
      <c r="B1161" s="254" t="s">
        <v>852</v>
      </c>
      <c r="C1161" s="254">
        <v>43</v>
      </c>
      <c r="D1161" s="254" t="s">
        <v>674</v>
      </c>
      <c r="E1161" s="254" t="str">
        <f>_xlfn.XLOOKUP(C1161,Clientes!I:I,Clientes!F:F)</f>
        <v>GRUPO CIBRA</v>
      </c>
      <c r="F1161" s="254">
        <v>148</v>
      </c>
      <c r="G1161" s="254" t="s">
        <v>875</v>
      </c>
      <c r="H1161" s="254" t="s">
        <v>904</v>
      </c>
      <c r="I1161" s="255">
        <v>120000</v>
      </c>
      <c r="J1161" s="256">
        <v>120000</v>
      </c>
      <c r="K1161" s="258">
        <v>284400</v>
      </c>
      <c r="L1161" s="258">
        <v>-19908.000000000004</v>
      </c>
      <c r="M1161" s="258">
        <f t="shared" si="74"/>
        <v>264492</v>
      </c>
      <c r="N1161" s="258">
        <v>-80792.060377358503</v>
      </c>
      <c r="O1161" s="258">
        <v>-83049.650611200006</v>
      </c>
      <c r="P1161" s="258">
        <v>-42.20710903857541</v>
      </c>
      <c r="Q1161" s="258">
        <f t="shared" si="75"/>
        <v>100608.0819024029</v>
      </c>
      <c r="R1161" s="259">
        <f t="shared" si="76"/>
        <v>0.38038232499433972</v>
      </c>
      <c r="S1161" s="255">
        <f t="shared" si="73"/>
        <v>2.37</v>
      </c>
      <c r="T1161" s="255">
        <f t="shared" si="73"/>
        <v>2.37</v>
      </c>
      <c r="U1161" s="254">
        <v>100100</v>
      </c>
      <c r="V1161" s="254" t="s">
        <v>834</v>
      </c>
      <c r="W1161" s="254" t="s">
        <v>905</v>
      </c>
      <c r="X1161" s="254" t="s">
        <v>446</v>
      </c>
      <c r="Y1161" s="254" t="s">
        <v>843</v>
      </c>
      <c r="Z1161" s="254" t="s">
        <v>1137</v>
      </c>
      <c r="AA1161" s="254" t="s">
        <v>838</v>
      </c>
    </row>
    <row r="1162" spans="1:27" ht="14.4" x14ac:dyDescent="0.3">
      <c r="A1162" s="253">
        <v>11</v>
      </c>
      <c r="B1162" s="254" t="s">
        <v>852</v>
      </c>
      <c r="C1162" s="254">
        <v>729</v>
      </c>
      <c r="D1162" s="254" t="s">
        <v>937</v>
      </c>
      <c r="E1162" s="254" t="str">
        <f>_xlfn.XLOOKUP(C1162,Clientes!I:I,Clientes!F:F)</f>
        <v>GRUPO FERTILIZ TOCANTINS</v>
      </c>
      <c r="F1162" s="254">
        <v>8061</v>
      </c>
      <c r="G1162" s="254" t="s">
        <v>897</v>
      </c>
      <c r="H1162" s="254" t="s">
        <v>1089</v>
      </c>
      <c r="I1162" s="255">
        <v>30000</v>
      </c>
      <c r="J1162" s="256">
        <v>30000</v>
      </c>
      <c r="K1162" s="258">
        <v>85500</v>
      </c>
      <c r="L1162" s="258">
        <v>-5985.0000000000009</v>
      </c>
      <c r="M1162" s="258">
        <f t="shared" si="74"/>
        <v>79515</v>
      </c>
      <c r="N1162" s="258">
        <v>-16883.52</v>
      </c>
      <c r="O1162" s="258">
        <v>-26461.527299999998</v>
      </c>
      <c r="P1162" s="258">
        <v>-13.448154927309478</v>
      </c>
      <c r="Q1162" s="258">
        <f t="shared" si="75"/>
        <v>36156.504545072683</v>
      </c>
      <c r="R1162" s="259">
        <f t="shared" si="76"/>
        <v>0.45471300440259932</v>
      </c>
      <c r="S1162" s="255">
        <f t="shared" si="73"/>
        <v>2.85</v>
      </c>
      <c r="T1162" s="255">
        <f t="shared" si="73"/>
        <v>2.85</v>
      </c>
      <c r="U1162" s="254">
        <v>100100</v>
      </c>
      <c r="V1162" s="254" t="s">
        <v>834</v>
      </c>
      <c r="W1162" s="254" t="s">
        <v>899</v>
      </c>
      <c r="X1162" s="254" t="s">
        <v>446</v>
      </c>
      <c r="Y1162" s="254" t="s">
        <v>843</v>
      </c>
      <c r="Z1162" s="254" t="s">
        <v>1137</v>
      </c>
      <c r="AA1162" s="254" t="s">
        <v>838</v>
      </c>
    </row>
    <row r="1163" spans="1:27" ht="14.4" x14ac:dyDescent="0.3">
      <c r="A1163" s="253">
        <v>11</v>
      </c>
      <c r="B1163" s="254" t="s">
        <v>852</v>
      </c>
      <c r="C1163" s="254">
        <v>7097</v>
      </c>
      <c r="D1163" s="254" t="s">
        <v>1077</v>
      </c>
      <c r="E1163" s="254" t="str">
        <f>_xlfn.XLOOKUP(C1163,Clientes!I:I,Clientes!F:F)</f>
        <v>GRUPO MOSAIC FERTILIZANTES DO BRASIL</v>
      </c>
      <c r="F1163" s="254">
        <v>14133</v>
      </c>
      <c r="G1163" s="254" t="s">
        <v>893</v>
      </c>
      <c r="H1163" s="254" t="s">
        <v>841</v>
      </c>
      <c r="I1163" s="255">
        <v>13200</v>
      </c>
      <c r="J1163" s="256">
        <v>13200</v>
      </c>
      <c r="K1163" s="258">
        <v>35640</v>
      </c>
      <c r="L1163" s="258">
        <v>-4276.8</v>
      </c>
      <c r="M1163" s="258">
        <f t="shared" si="74"/>
        <v>31363.200000000001</v>
      </c>
      <c r="N1163" s="258">
        <v>-16086.32449211357</v>
      </c>
      <c r="O1163" s="258">
        <v>-10600.245792416279</v>
      </c>
      <c r="P1163" s="258">
        <v>-5.3872078534172338</v>
      </c>
      <c r="Q1163" s="258">
        <f t="shared" si="75"/>
        <v>4671.2425076167347</v>
      </c>
      <c r="R1163" s="259">
        <f t="shared" si="76"/>
        <v>0.14894023912154164</v>
      </c>
      <c r="S1163" s="255">
        <f t="shared" si="73"/>
        <v>2.7</v>
      </c>
      <c r="T1163" s="255">
        <f t="shared" si="73"/>
        <v>2.7</v>
      </c>
      <c r="U1163" s="254">
        <v>100100</v>
      </c>
      <c r="V1163" s="254" t="s">
        <v>834</v>
      </c>
      <c r="W1163" s="254" t="s">
        <v>894</v>
      </c>
      <c r="X1163" s="254" t="s">
        <v>446</v>
      </c>
      <c r="Y1163" s="254" t="s">
        <v>843</v>
      </c>
      <c r="Z1163" s="254" t="s">
        <v>1137</v>
      </c>
      <c r="AA1163" s="254" t="s">
        <v>838</v>
      </c>
    </row>
    <row r="1164" spans="1:27" ht="14.4" x14ac:dyDescent="0.3">
      <c r="A1164" s="253">
        <v>11</v>
      </c>
      <c r="B1164" s="254" t="s">
        <v>852</v>
      </c>
      <c r="C1164" s="254">
        <v>2997</v>
      </c>
      <c r="D1164" s="254" t="s">
        <v>287</v>
      </c>
      <c r="E1164" s="254" t="str">
        <f>_xlfn.XLOOKUP(C1164,Clientes!I:I,Clientes!F:F)</f>
        <v>AGROPLANTA - BATATAIS</v>
      </c>
      <c r="F1164" s="254">
        <v>1043</v>
      </c>
      <c r="G1164" s="254" t="s">
        <v>908</v>
      </c>
      <c r="H1164" s="254" t="s">
        <v>860</v>
      </c>
      <c r="I1164" s="255">
        <v>30000</v>
      </c>
      <c r="J1164" s="256">
        <v>30000</v>
      </c>
      <c r="K1164" s="258">
        <v>52200</v>
      </c>
      <c r="L1164" s="258">
        <v>-6264</v>
      </c>
      <c r="M1164" s="258">
        <f t="shared" si="74"/>
        <v>45936</v>
      </c>
      <c r="N1164" s="258">
        <v>-11919.179040852567</v>
      </c>
      <c r="O1164" s="258">
        <v>-4800.9937247999997</v>
      </c>
      <c r="P1164" s="258">
        <v>-2.4399388094333845</v>
      </c>
      <c r="Q1164" s="258">
        <f t="shared" si="75"/>
        <v>29213.387295537999</v>
      </c>
      <c r="R1164" s="259">
        <f t="shared" si="76"/>
        <v>0.63595844861411532</v>
      </c>
      <c r="S1164" s="255">
        <f t="shared" si="73"/>
        <v>1.74</v>
      </c>
      <c r="T1164" s="255">
        <f t="shared" si="73"/>
        <v>1.74</v>
      </c>
      <c r="U1164" s="254">
        <v>100100</v>
      </c>
      <c r="V1164" s="254" t="s">
        <v>834</v>
      </c>
      <c r="W1164" s="254" t="s">
        <v>1092</v>
      </c>
      <c r="X1164" s="254" t="s">
        <v>446</v>
      </c>
      <c r="Y1164" s="254" t="s">
        <v>843</v>
      </c>
      <c r="Z1164" s="254" t="s">
        <v>1137</v>
      </c>
      <c r="AA1164" s="254" t="s">
        <v>838</v>
      </c>
    </row>
    <row r="1165" spans="1:27" ht="14.4" x14ac:dyDescent="0.3">
      <c r="A1165" s="253">
        <v>11</v>
      </c>
      <c r="B1165" s="254" t="s">
        <v>852</v>
      </c>
      <c r="C1165" s="254">
        <v>14632</v>
      </c>
      <c r="D1165" s="254" t="s">
        <v>399</v>
      </c>
      <c r="E1165" s="254" t="str">
        <f>_xlfn.XLOOKUP(C1165,Clientes!I:I,Clientes!F:F)</f>
        <v>BIGFERTIL - CANDEIAS</v>
      </c>
      <c r="F1165" s="254">
        <v>1043</v>
      </c>
      <c r="G1165" s="254" t="s">
        <v>875</v>
      </c>
      <c r="H1165" s="254" t="s">
        <v>860</v>
      </c>
      <c r="I1165" s="255">
        <v>30000</v>
      </c>
      <c r="J1165" s="256">
        <v>30000</v>
      </c>
      <c r="K1165" s="258">
        <v>96900</v>
      </c>
      <c r="L1165" s="258">
        <v>-6783.0000000000009</v>
      </c>
      <c r="M1165" s="258">
        <f t="shared" si="74"/>
        <v>90117</v>
      </c>
      <c r="N1165" s="258">
        <v>-11919.179040852567</v>
      </c>
      <c r="O1165" s="258">
        <v>-21548.474999999999</v>
      </c>
      <c r="P1165" s="258">
        <v>-10.951266227450713</v>
      </c>
      <c r="Q1165" s="258">
        <f t="shared" si="75"/>
        <v>56638.394692919981</v>
      </c>
      <c r="R1165" s="259">
        <f t="shared" si="76"/>
        <v>0.62849844860481352</v>
      </c>
      <c r="S1165" s="255">
        <f t="shared" si="73"/>
        <v>3.23</v>
      </c>
      <c r="T1165" s="255">
        <f t="shared" si="73"/>
        <v>3.23</v>
      </c>
      <c r="U1165" s="254">
        <v>100100</v>
      </c>
      <c r="V1165" s="254" t="s">
        <v>834</v>
      </c>
      <c r="W1165" s="254" t="s">
        <v>876</v>
      </c>
      <c r="X1165" s="254" t="s">
        <v>446</v>
      </c>
      <c r="Y1165" s="254" t="s">
        <v>843</v>
      </c>
      <c r="Z1165" s="254" t="s">
        <v>1137</v>
      </c>
      <c r="AA1165" s="254" t="s">
        <v>838</v>
      </c>
    </row>
    <row r="1166" spans="1:27" ht="14.4" x14ac:dyDescent="0.3">
      <c r="A1166" s="253">
        <v>11</v>
      </c>
      <c r="B1166" s="254" t="s">
        <v>852</v>
      </c>
      <c r="C1166" s="254">
        <v>820</v>
      </c>
      <c r="D1166" s="254" t="s">
        <v>1131</v>
      </c>
      <c r="E1166" s="254" t="e">
        <f>_xlfn.XLOOKUP(C1166,Clientes!I:I,Clientes!F:F)</f>
        <v>#N/A</v>
      </c>
      <c r="F1166" s="254">
        <v>1043</v>
      </c>
      <c r="G1166" s="254" t="s">
        <v>855</v>
      </c>
      <c r="H1166" s="254" t="s">
        <v>860</v>
      </c>
      <c r="I1166" s="255">
        <v>120000</v>
      </c>
      <c r="J1166" s="256">
        <v>120000</v>
      </c>
      <c r="K1166" s="258">
        <v>283200</v>
      </c>
      <c r="L1166" s="258">
        <v>-72456.72</v>
      </c>
      <c r="M1166" s="258">
        <f t="shared" si="74"/>
        <v>210743.28</v>
      </c>
      <c r="N1166" s="258">
        <v>-47676.716163410267</v>
      </c>
      <c r="O1166" s="258">
        <v>0</v>
      </c>
      <c r="P1166" s="258">
        <v>0</v>
      </c>
      <c r="Q1166" s="258">
        <f t="shared" si="75"/>
        <v>163066.56383658975</v>
      </c>
      <c r="R1166" s="259">
        <f t="shared" si="76"/>
        <v>0.77376874762787096</v>
      </c>
      <c r="S1166" s="255">
        <f t="shared" si="73"/>
        <v>2.36</v>
      </c>
      <c r="T1166" s="255">
        <f t="shared" si="73"/>
        <v>2.36</v>
      </c>
      <c r="U1166" s="254">
        <v>100100</v>
      </c>
      <c r="V1166" s="254" t="s">
        <v>834</v>
      </c>
      <c r="W1166" s="254" t="s">
        <v>1132</v>
      </c>
      <c r="X1166" s="254" t="s">
        <v>446</v>
      </c>
      <c r="Y1166" s="254" t="s">
        <v>843</v>
      </c>
      <c r="Z1166" s="254" t="s">
        <v>1137</v>
      </c>
      <c r="AA1166" s="254" t="s">
        <v>838</v>
      </c>
    </row>
    <row r="1167" spans="1:27" ht="14.4" x14ac:dyDescent="0.3">
      <c r="A1167" s="253">
        <v>11</v>
      </c>
      <c r="B1167" s="254" t="s">
        <v>852</v>
      </c>
      <c r="C1167" s="254">
        <v>13836</v>
      </c>
      <c r="D1167" s="254" t="s">
        <v>1120</v>
      </c>
      <c r="E1167" s="254" t="str">
        <f>_xlfn.XLOOKUP(C1167,Clientes!I:I,Clientes!F:F)</f>
        <v>FERTALVO FERTILIZANTES - RONDONÓPOLIS</v>
      </c>
      <c r="F1167" s="254">
        <v>1043</v>
      </c>
      <c r="G1167" s="254" t="s">
        <v>840</v>
      </c>
      <c r="H1167" s="254" t="s">
        <v>860</v>
      </c>
      <c r="I1167" s="255">
        <v>30000</v>
      </c>
      <c r="J1167" s="256">
        <v>30000</v>
      </c>
      <c r="K1167" s="258">
        <v>60000</v>
      </c>
      <c r="L1167" s="258">
        <v>-10800</v>
      </c>
      <c r="M1167" s="258">
        <f t="shared" si="74"/>
        <v>49200</v>
      </c>
      <c r="N1167" s="258">
        <v>-11919.179040852567</v>
      </c>
      <c r="O1167" s="258">
        <v>-11980.9521</v>
      </c>
      <c r="P1167" s="258">
        <v>-6.0889040224625974</v>
      </c>
      <c r="Q1167" s="258">
        <f t="shared" si="75"/>
        <v>25293.779955124966</v>
      </c>
      <c r="R1167" s="259">
        <f t="shared" si="76"/>
        <v>0.51410121860010094</v>
      </c>
      <c r="S1167" s="255">
        <f t="shared" si="73"/>
        <v>2</v>
      </c>
      <c r="T1167" s="255">
        <f t="shared" si="73"/>
        <v>2</v>
      </c>
      <c r="U1167" s="254">
        <v>100100</v>
      </c>
      <c r="V1167" s="254" t="s">
        <v>834</v>
      </c>
      <c r="W1167" s="254" t="s">
        <v>861</v>
      </c>
      <c r="X1167" s="254" t="s">
        <v>446</v>
      </c>
      <c r="Y1167" s="254" t="s">
        <v>843</v>
      </c>
      <c r="Z1167" s="254" t="s">
        <v>1137</v>
      </c>
      <c r="AA1167" s="254" t="s">
        <v>838</v>
      </c>
    </row>
    <row r="1168" spans="1:27" ht="14.4" x14ac:dyDescent="0.3">
      <c r="A1168" s="253">
        <v>11</v>
      </c>
      <c r="B1168" s="254" t="s">
        <v>852</v>
      </c>
      <c r="C1168" s="254">
        <v>2975</v>
      </c>
      <c r="D1168" s="254" t="s">
        <v>420</v>
      </c>
      <c r="E1168" s="254" t="str">
        <f>_xlfn.XLOOKUP(C1168,Clientes!I:I,Clientes!F:F)</f>
        <v>COONAGRO COOPERATIVA - PARANAGUA</v>
      </c>
      <c r="F1168" s="254">
        <v>4</v>
      </c>
      <c r="G1168" s="254" t="s">
        <v>862</v>
      </c>
      <c r="H1168" s="254" t="s">
        <v>863</v>
      </c>
      <c r="I1168" s="255">
        <v>40000</v>
      </c>
      <c r="J1168" s="256">
        <v>40000</v>
      </c>
      <c r="K1168" s="258">
        <v>159600</v>
      </c>
      <c r="L1168" s="258">
        <v>-19152</v>
      </c>
      <c r="M1168" s="258">
        <f t="shared" si="74"/>
        <v>140448</v>
      </c>
      <c r="N1168" s="258">
        <v>-39150.005333333327</v>
      </c>
      <c r="O1168" s="258">
        <v>-18732.807599999996</v>
      </c>
      <c r="P1168" s="258">
        <v>-9.5203007737304866</v>
      </c>
      <c r="Q1168" s="258">
        <f t="shared" si="75"/>
        <v>82555.666765892936</v>
      </c>
      <c r="R1168" s="259">
        <f t="shared" si="76"/>
        <v>0.58780236646939032</v>
      </c>
      <c r="S1168" s="255">
        <f t="shared" si="73"/>
        <v>3.99</v>
      </c>
      <c r="T1168" s="255">
        <f t="shared" si="73"/>
        <v>3.99</v>
      </c>
      <c r="U1168" s="254">
        <v>100100</v>
      </c>
      <c r="V1168" s="254" t="s">
        <v>834</v>
      </c>
      <c r="W1168" s="254" t="s">
        <v>864</v>
      </c>
      <c r="X1168" s="254" t="s">
        <v>446</v>
      </c>
      <c r="Y1168" s="254" t="s">
        <v>843</v>
      </c>
      <c r="Z1168" s="254" t="s">
        <v>1137</v>
      </c>
      <c r="AA1168" s="254" t="s">
        <v>838</v>
      </c>
    </row>
    <row r="1169" spans="1:27" ht="14.4" x14ac:dyDescent="0.3">
      <c r="A1169" s="253">
        <v>11</v>
      </c>
      <c r="B1169" s="254" t="s">
        <v>852</v>
      </c>
      <c r="C1169" s="254">
        <v>16453</v>
      </c>
      <c r="D1169" s="254" t="s">
        <v>1114</v>
      </c>
      <c r="E1169" s="254" t="str">
        <f>_xlfn.XLOOKUP(C1169,Clientes!I:I,Clientes!F:F)</f>
        <v>HIDROVIAS DO BRASIL ADMINISTRACAO PORTUA</v>
      </c>
      <c r="F1169" s="254">
        <v>1043</v>
      </c>
      <c r="G1169" s="254" t="s">
        <v>908</v>
      </c>
      <c r="H1169" s="254" t="s">
        <v>860</v>
      </c>
      <c r="I1169" s="255">
        <v>60000</v>
      </c>
      <c r="J1169" s="256">
        <v>60000</v>
      </c>
      <c r="K1169" s="258">
        <v>141600</v>
      </c>
      <c r="L1169" s="258">
        <v>-16992</v>
      </c>
      <c r="M1169" s="258">
        <f t="shared" si="74"/>
        <v>124608</v>
      </c>
      <c r="N1169" s="258">
        <v>-23838.358081705133</v>
      </c>
      <c r="O1169" s="258">
        <v>0</v>
      </c>
      <c r="P1169" s="258">
        <v>0</v>
      </c>
      <c r="Q1169" s="258">
        <f t="shared" si="75"/>
        <v>100769.64191829486</v>
      </c>
      <c r="R1169" s="259">
        <f t="shared" si="76"/>
        <v>0.80869319721281829</v>
      </c>
      <c r="S1169" s="255">
        <f t="shared" si="73"/>
        <v>2.36</v>
      </c>
      <c r="T1169" s="255">
        <f t="shared" si="73"/>
        <v>2.36</v>
      </c>
      <c r="U1169" s="254">
        <v>100100</v>
      </c>
      <c r="V1169" s="254" t="s">
        <v>834</v>
      </c>
      <c r="W1169" s="254" t="s">
        <v>1115</v>
      </c>
      <c r="X1169" s="254" t="s">
        <v>446</v>
      </c>
      <c r="Y1169" s="254" t="s">
        <v>843</v>
      </c>
      <c r="Z1169" s="254" t="s">
        <v>1137</v>
      </c>
      <c r="AA1169" s="254" t="s">
        <v>838</v>
      </c>
    </row>
    <row r="1170" spans="1:27" ht="14.4" x14ac:dyDescent="0.3">
      <c r="A1170" s="253">
        <v>11</v>
      </c>
      <c r="B1170" s="254" t="s">
        <v>852</v>
      </c>
      <c r="C1170" s="254">
        <v>2622</v>
      </c>
      <c r="D1170" s="254" t="s">
        <v>73</v>
      </c>
      <c r="E1170" s="254" t="str">
        <f>_xlfn.XLOOKUP(C1170,Clientes!I:I,Clientes!F:F)</f>
        <v>ADUFERTIL JUNDIAI</v>
      </c>
      <c r="F1170" s="254">
        <v>1043</v>
      </c>
      <c r="G1170" s="254" t="s">
        <v>908</v>
      </c>
      <c r="H1170" s="254" t="s">
        <v>860</v>
      </c>
      <c r="I1170" s="255">
        <v>30000</v>
      </c>
      <c r="J1170" s="256">
        <v>30000</v>
      </c>
      <c r="K1170" s="258">
        <v>79200</v>
      </c>
      <c r="L1170" s="258">
        <v>-9504</v>
      </c>
      <c r="M1170" s="258">
        <f t="shared" si="74"/>
        <v>69696</v>
      </c>
      <c r="N1170" s="258">
        <v>-11919.179040852567</v>
      </c>
      <c r="O1170" s="258">
        <v>-9878.4844703999988</v>
      </c>
      <c r="P1170" s="258">
        <v>-5.0203976550121467</v>
      </c>
      <c r="Q1170" s="258">
        <f t="shared" si="75"/>
        <v>47893.31609109242</v>
      </c>
      <c r="R1170" s="259">
        <f t="shared" si="76"/>
        <v>0.68717453069175305</v>
      </c>
      <c r="S1170" s="255">
        <f t="shared" si="73"/>
        <v>2.64</v>
      </c>
      <c r="T1170" s="255">
        <f t="shared" si="73"/>
        <v>2.64</v>
      </c>
      <c r="U1170" s="254">
        <v>100100</v>
      </c>
      <c r="V1170" s="254" t="s">
        <v>834</v>
      </c>
      <c r="W1170" s="254" t="s">
        <v>948</v>
      </c>
      <c r="X1170" s="254" t="s">
        <v>446</v>
      </c>
      <c r="Y1170" s="254" t="s">
        <v>843</v>
      </c>
      <c r="Z1170" s="254" t="s">
        <v>1137</v>
      </c>
      <c r="AA1170" s="254" t="s">
        <v>838</v>
      </c>
    </row>
    <row r="1171" spans="1:27" ht="14.4" x14ac:dyDescent="0.3">
      <c r="A1171" s="253">
        <v>11</v>
      </c>
      <c r="B1171" s="254" t="s">
        <v>852</v>
      </c>
      <c r="C1171" s="254">
        <v>87</v>
      </c>
      <c r="D1171" s="254" t="s">
        <v>218</v>
      </c>
      <c r="E1171" s="254" t="str">
        <f>_xlfn.XLOOKUP(C1171,Clientes!I:I,Clientes!F:F)</f>
        <v>GRUPO ADUBOS ARAGUAIA</v>
      </c>
      <c r="F1171" s="254">
        <v>1</v>
      </c>
      <c r="G1171" s="254" t="s">
        <v>867</v>
      </c>
      <c r="H1171" s="254" t="s">
        <v>873</v>
      </c>
      <c r="I1171" s="255">
        <v>60000</v>
      </c>
      <c r="J1171" s="256">
        <v>60000</v>
      </c>
      <c r="K1171" s="258">
        <v>129000</v>
      </c>
      <c r="L1171" s="258">
        <v>-9030</v>
      </c>
      <c r="M1171" s="258">
        <f t="shared" si="74"/>
        <v>119970</v>
      </c>
      <c r="N1171" s="258">
        <v>-39451.369411764717</v>
      </c>
      <c r="O1171" s="258">
        <v>-4884.3209999999999</v>
      </c>
      <c r="P1171" s="258">
        <v>-2.4822870115554956</v>
      </c>
      <c r="Q1171" s="258">
        <f t="shared" si="75"/>
        <v>75631.827301223719</v>
      </c>
      <c r="R1171" s="259">
        <f t="shared" si="76"/>
        <v>0.63042283321850223</v>
      </c>
      <c r="S1171" s="255">
        <f t="shared" si="73"/>
        <v>2.15</v>
      </c>
      <c r="T1171" s="255">
        <f t="shared" si="73"/>
        <v>2.15</v>
      </c>
      <c r="U1171" s="254">
        <v>100100</v>
      </c>
      <c r="V1171" s="254" t="s">
        <v>834</v>
      </c>
      <c r="W1171" s="254" t="s">
        <v>871</v>
      </c>
      <c r="X1171" s="254" t="s">
        <v>446</v>
      </c>
      <c r="Y1171" s="254" t="s">
        <v>843</v>
      </c>
      <c r="Z1171" s="254" t="s">
        <v>1137</v>
      </c>
      <c r="AA1171" s="254" t="s">
        <v>838</v>
      </c>
    </row>
    <row r="1172" spans="1:27" ht="14.4" x14ac:dyDescent="0.3">
      <c r="A1172" s="253">
        <v>11</v>
      </c>
      <c r="B1172" s="254" t="s">
        <v>852</v>
      </c>
      <c r="C1172" s="254">
        <v>7024</v>
      </c>
      <c r="D1172" s="254" t="s">
        <v>721</v>
      </c>
      <c r="E1172" s="254" t="str">
        <f>_xlfn.XLOOKUP(C1172,Clientes!I:I,Clientes!F:F)</f>
        <v>GRUPO MOSAIC FERTILIZANTES DO BRASIL</v>
      </c>
      <c r="F1172" s="254">
        <v>1043</v>
      </c>
      <c r="G1172" s="254" t="s">
        <v>840</v>
      </c>
      <c r="H1172" s="254" t="s">
        <v>860</v>
      </c>
      <c r="I1172" s="255">
        <v>30000</v>
      </c>
      <c r="J1172" s="256">
        <v>30000</v>
      </c>
      <c r="K1172" s="258">
        <v>68400</v>
      </c>
      <c r="L1172" s="258">
        <v>-4788.0000000000009</v>
      </c>
      <c r="M1172" s="258">
        <f t="shared" si="74"/>
        <v>63612</v>
      </c>
      <c r="N1172" s="258">
        <v>-11919.179040852567</v>
      </c>
      <c r="O1172" s="258">
        <v>-21002.580299999998</v>
      </c>
      <c r="P1172" s="258">
        <v>-10.673834149688629</v>
      </c>
      <c r="Q1172" s="258">
        <f t="shared" si="75"/>
        <v>30679.566824997743</v>
      </c>
      <c r="R1172" s="259">
        <f t="shared" si="76"/>
        <v>0.48229212766455609</v>
      </c>
      <c r="S1172" s="255">
        <f t="shared" si="73"/>
        <v>2.2799999999999998</v>
      </c>
      <c r="T1172" s="255">
        <f t="shared" si="73"/>
        <v>2.2799999999999998</v>
      </c>
      <c r="U1172" s="254">
        <v>100100</v>
      </c>
      <c r="V1172" s="254" t="s">
        <v>834</v>
      </c>
      <c r="W1172" s="254" t="s">
        <v>874</v>
      </c>
      <c r="X1172" s="254" t="s">
        <v>446</v>
      </c>
      <c r="Y1172" s="254" t="s">
        <v>843</v>
      </c>
      <c r="Z1172" s="254" t="s">
        <v>1137</v>
      </c>
      <c r="AA1172" s="254" t="s">
        <v>838</v>
      </c>
    </row>
    <row r="1173" spans="1:27" ht="14.4" x14ac:dyDescent="0.3">
      <c r="A1173" s="253">
        <v>11</v>
      </c>
      <c r="B1173" s="254" t="s">
        <v>852</v>
      </c>
      <c r="C1173" s="254">
        <v>9295</v>
      </c>
      <c r="D1173" s="254" t="s">
        <v>333</v>
      </c>
      <c r="E1173" s="254" t="str">
        <f>_xlfn.XLOOKUP(C1173,Clientes!I:I,Clientes!F:F)</f>
        <v>TECNOMYL S.A. - PARAGUAY</v>
      </c>
      <c r="F1173" s="254">
        <v>14146</v>
      </c>
      <c r="G1173" s="254" t="s">
        <v>832</v>
      </c>
      <c r="H1173" s="254" t="s">
        <v>1011</v>
      </c>
      <c r="I1173" s="255">
        <v>26400</v>
      </c>
      <c r="J1173" s="256">
        <v>26400</v>
      </c>
      <c r="K1173" s="258">
        <v>135722.4</v>
      </c>
      <c r="L1173" s="258">
        <v>0</v>
      </c>
      <c r="M1173" s="258">
        <f t="shared" si="74"/>
        <v>135722.4</v>
      </c>
      <c r="N1173" s="258">
        <v>-53934.894999999997</v>
      </c>
      <c r="O1173" s="258">
        <v>-23805.056000000008</v>
      </c>
      <c r="P1173" s="258">
        <v>-3931.8077440616225</v>
      </c>
      <c r="Q1173" s="258">
        <f t="shared" si="75"/>
        <v>54050.641255938368</v>
      </c>
      <c r="R1173" s="259">
        <f t="shared" si="76"/>
        <v>0.39824407213502244</v>
      </c>
      <c r="S1173" s="255">
        <f t="shared" si="73"/>
        <v>5.141</v>
      </c>
      <c r="T1173" s="255">
        <f t="shared" si="73"/>
        <v>5.141</v>
      </c>
      <c r="U1173" s="254">
        <v>100100</v>
      </c>
      <c r="V1173" s="254" t="s">
        <v>834</v>
      </c>
      <c r="W1173" s="254" t="s">
        <v>1012</v>
      </c>
      <c r="X1173" s="254" t="s">
        <v>446</v>
      </c>
      <c r="Y1173" s="254" t="s">
        <v>836</v>
      </c>
      <c r="Z1173" s="254" t="s">
        <v>1137</v>
      </c>
      <c r="AA1173" s="254" t="s">
        <v>838</v>
      </c>
    </row>
    <row r="1174" spans="1:27" ht="14.4" x14ac:dyDescent="0.3">
      <c r="A1174" s="253">
        <v>11</v>
      </c>
      <c r="B1174" s="254" t="s">
        <v>852</v>
      </c>
      <c r="C1174" s="254">
        <v>210</v>
      </c>
      <c r="D1174" s="254" t="s">
        <v>942</v>
      </c>
      <c r="E1174" s="254" t="str">
        <f>_xlfn.XLOOKUP(C1174,Clientes!I:I,Clientes!F:F)</f>
        <v>SUPERFÉRTIL FERTILIZANTES - PATROCÍNIO</v>
      </c>
      <c r="F1174" s="254">
        <v>14133</v>
      </c>
      <c r="G1174" s="254" t="s">
        <v>855</v>
      </c>
      <c r="H1174" s="254" t="s">
        <v>841</v>
      </c>
      <c r="I1174" s="255">
        <v>2000</v>
      </c>
      <c r="J1174" s="256">
        <v>2000</v>
      </c>
      <c r="K1174" s="258">
        <v>5800</v>
      </c>
      <c r="L1174" s="258">
        <v>-1044</v>
      </c>
      <c r="M1174" s="258">
        <f t="shared" si="74"/>
        <v>4756</v>
      </c>
      <c r="N1174" s="258">
        <v>-2437.32189274448</v>
      </c>
      <c r="O1174" s="258">
        <v>-492.66741888000001</v>
      </c>
      <c r="P1174" s="258">
        <v>-0.25038115531358296</v>
      </c>
      <c r="Q1174" s="258">
        <f t="shared" si="75"/>
        <v>1825.7603072202064</v>
      </c>
      <c r="R1174" s="259">
        <f t="shared" si="76"/>
        <v>0.38388568276286933</v>
      </c>
      <c r="S1174" s="255">
        <f t="shared" si="73"/>
        <v>2.9</v>
      </c>
      <c r="T1174" s="255">
        <f t="shared" si="73"/>
        <v>2.9</v>
      </c>
      <c r="U1174" s="254">
        <v>100100</v>
      </c>
      <c r="V1174" s="254" t="s">
        <v>834</v>
      </c>
      <c r="W1174" s="254" t="s">
        <v>943</v>
      </c>
      <c r="X1174" s="254" t="s">
        <v>446</v>
      </c>
      <c r="Y1174" s="254" t="s">
        <v>843</v>
      </c>
      <c r="Z1174" s="254" t="s">
        <v>1137</v>
      </c>
      <c r="AA1174" s="254" t="s">
        <v>838</v>
      </c>
    </row>
    <row r="1175" spans="1:27" ht="14.4" x14ac:dyDescent="0.3">
      <c r="A1175" s="253">
        <v>11</v>
      </c>
      <c r="B1175" s="254" t="s">
        <v>852</v>
      </c>
      <c r="C1175" s="254">
        <v>97</v>
      </c>
      <c r="D1175" s="254" t="s">
        <v>300</v>
      </c>
      <c r="E1175" s="254" t="str">
        <f>_xlfn.XLOOKUP(C1175,Clientes!I:I,Clientes!F:F)</f>
        <v>FECOAGRO FEDERACAO DAS COOPERATIVAS</v>
      </c>
      <c r="F1175" s="254">
        <v>148</v>
      </c>
      <c r="G1175" s="254" t="s">
        <v>893</v>
      </c>
      <c r="H1175" s="254" t="s">
        <v>904</v>
      </c>
      <c r="I1175" s="255">
        <v>32000</v>
      </c>
      <c r="J1175" s="256">
        <v>32000</v>
      </c>
      <c r="K1175" s="258">
        <v>112000</v>
      </c>
      <c r="L1175" s="258">
        <v>-13440</v>
      </c>
      <c r="M1175" s="258">
        <f t="shared" si="74"/>
        <v>98560</v>
      </c>
      <c r="N1175" s="258">
        <v>-21544.549433962264</v>
      </c>
      <c r="O1175" s="258">
        <v>-17928.331200000001</v>
      </c>
      <c r="P1175" s="258">
        <v>-9.1114535012389961</v>
      </c>
      <c r="Q1175" s="258">
        <f t="shared" si="75"/>
        <v>59078.007912536494</v>
      </c>
      <c r="R1175" s="259">
        <f t="shared" si="76"/>
        <v>0.59941160625544332</v>
      </c>
      <c r="S1175" s="255">
        <f t="shared" si="73"/>
        <v>3.5</v>
      </c>
      <c r="T1175" s="255">
        <f t="shared" si="73"/>
        <v>3.5</v>
      </c>
      <c r="U1175" s="254">
        <v>100100</v>
      </c>
      <c r="V1175" s="254" t="s">
        <v>834</v>
      </c>
      <c r="W1175" s="254" t="s">
        <v>894</v>
      </c>
      <c r="X1175" s="254" t="s">
        <v>446</v>
      </c>
      <c r="Y1175" s="254" t="s">
        <v>843</v>
      </c>
      <c r="Z1175" s="254" t="s">
        <v>1137</v>
      </c>
      <c r="AA1175" s="254" t="s">
        <v>838</v>
      </c>
    </row>
    <row r="1176" spans="1:27" ht="14.4" x14ac:dyDescent="0.3">
      <c r="A1176" s="253">
        <v>11</v>
      </c>
      <c r="B1176" s="254" t="s">
        <v>852</v>
      </c>
      <c r="C1176" s="254">
        <v>3232</v>
      </c>
      <c r="D1176" s="254" t="s">
        <v>153</v>
      </c>
      <c r="E1176" s="254" t="str">
        <f>_xlfn.XLOOKUP(C1176,Clientes!I:I,Clientes!F:F)</f>
        <v>GRUPO FERTILIZ TOCANTINS</v>
      </c>
      <c r="F1176" s="254">
        <v>7384</v>
      </c>
      <c r="G1176" s="254" t="s">
        <v>855</v>
      </c>
      <c r="H1176" s="254" t="s">
        <v>856</v>
      </c>
      <c r="I1176" s="255">
        <v>150000</v>
      </c>
      <c r="J1176" s="256">
        <v>150000</v>
      </c>
      <c r="K1176" s="258">
        <v>280500</v>
      </c>
      <c r="L1176" s="258">
        <v>-50490</v>
      </c>
      <c r="M1176" s="258">
        <f t="shared" si="74"/>
        <v>230010</v>
      </c>
      <c r="N1176" s="258">
        <v>-103750.78</v>
      </c>
      <c r="O1176" s="258">
        <v>-8619.39</v>
      </c>
      <c r="P1176" s="258">
        <v>-4.3805064909802853</v>
      </c>
      <c r="Q1176" s="258">
        <f t="shared" si="75"/>
        <v>117635.44949350902</v>
      </c>
      <c r="R1176" s="259">
        <f t="shared" si="76"/>
        <v>0.51143623970048702</v>
      </c>
      <c r="S1176" s="255">
        <f t="shared" si="73"/>
        <v>1.87</v>
      </c>
      <c r="T1176" s="255">
        <f t="shared" si="73"/>
        <v>1.87</v>
      </c>
      <c r="U1176" s="254">
        <v>100100</v>
      </c>
      <c r="V1176" s="254" t="s">
        <v>834</v>
      </c>
      <c r="W1176" s="254" t="s">
        <v>857</v>
      </c>
      <c r="X1176" s="254" t="s">
        <v>446</v>
      </c>
      <c r="Y1176" s="254" t="s">
        <v>843</v>
      </c>
      <c r="Z1176" s="254" t="s">
        <v>1137</v>
      </c>
      <c r="AA1176" s="254" t="s">
        <v>838</v>
      </c>
    </row>
    <row r="1177" spans="1:27" ht="14.4" x14ac:dyDescent="0.3">
      <c r="A1177" s="253">
        <v>11</v>
      </c>
      <c r="B1177" s="254" t="s">
        <v>852</v>
      </c>
      <c r="C1177" s="254">
        <v>2949</v>
      </c>
      <c r="D1177" s="254" t="s">
        <v>720</v>
      </c>
      <c r="E1177" s="254" t="str">
        <f>_xlfn.XLOOKUP(C1177,Clientes!I:I,Clientes!F:F)</f>
        <v>GRUPO MOSAIC FERTILIZANTES DO BRASIL</v>
      </c>
      <c r="F1177" s="254">
        <v>1043</v>
      </c>
      <c r="G1177" s="254" t="s">
        <v>875</v>
      </c>
      <c r="H1177" s="254" t="s">
        <v>860</v>
      </c>
      <c r="I1177" s="255">
        <v>30000</v>
      </c>
      <c r="J1177" s="256">
        <v>30000</v>
      </c>
      <c r="K1177" s="258">
        <v>69900</v>
      </c>
      <c r="L1177" s="258">
        <v>-4893.0000000000009</v>
      </c>
      <c r="M1177" s="258">
        <f t="shared" si="74"/>
        <v>65007</v>
      </c>
      <c r="N1177" s="258">
        <v>-11919.179040852567</v>
      </c>
      <c r="O1177" s="258">
        <v>-21548.474999999999</v>
      </c>
      <c r="P1177" s="258">
        <v>-10.951266227450713</v>
      </c>
      <c r="Q1177" s="258">
        <f t="shared" si="75"/>
        <v>31528.394692919981</v>
      </c>
      <c r="R1177" s="259">
        <f t="shared" si="76"/>
        <v>0.48499999527620075</v>
      </c>
      <c r="S1177" s="255">
        <f t="shared" si="73"/>
        <v>2.33</v>
      </c>
      <c r="T1177" s="255">
        <f t="shared" si="73"/>
        <v>2.33</v>
      </c>
      <c r="U1177" s="254">
        <v>100100</v>
      </c>
      <c r="V1177" s="254" t="s">
        <v>834</v>
      </c>
      <c r="W1177" s="254" t="s">
        <v>876</v>
      </c>
      <c r="X1177" s="254" t="s">
        <v>446</v>
      </c>
      <c r="Y1177" s="254" t="s">
        <v>843</v>
      </c>
      <c r="Z1177" s="254" t="s">
        <v>1137</v>
      </c>
      <c r="AA1177" s="254" t="s">
        <v>838</v>
      </c>
    </row>
    <row r="1178" spans="1:27" ht="14.4" x14ac:dyDescent="0.3">
      <c r="A1178" s="253">
        <v>11</v>
      </c>
      <c r="B1178" s="254" t="s">
        <v>852</v>
      </c>
      <c r="C1178" s="254">
        <v>2603</v>
      </c>
      <c r="D1178" s="254" t="s">
        <v>1074</v>
      </c>
      <c r="E1178" s="254" t="str">
        <f>_xlfn.XLOOKUP(C1178,Clientes!I:I,Clientes!F:F)</f>
        <v>GRUPO MOSAIC FERTILIZANTES DO BRASIL</v>
      </c>
      <c r="F1178" s="254">
        <v>1043</v>
      </c>
      <c r="G1178" s="254" t="s">
        <v>897</v>
      </c>
      <c r="H1178" s="254" t="s">
        <v>860</v>
      </c>
      <c r="I1178" s="255">
        <v>60000</v>
      </c>
      <c r="J1178" s="256">
        <v>60000</v>
      </c>
      <c r="K1178" s="258">
        <v>147600</v>
      </c>
      <c r="L1178" s="258">
        <v>-10332.000000000002</v>
      </c>
      <c r="M1178" s="258">
        <f t="shared" si="74"/>
        <v>137268</v>
      </c>
      <c r="N1178" s="258">
        <v>-23838.358081705133</v>
      </c>
      <c r="O1178" s="258">
        <v>0</v>
      </c>
      <c r="P1178" s="258">
        <v>0</v>
      </c>
      <c r="Q1178" s="258">
        <f t="shared" si="75"/>
        <v>113429.64191829486</v>
      </c>
      <c r="R1178" s="259">
        <f t="shared" si="76"/>
        <v>0.82633710637799673</v>
      </c>
      <c r="S1178" s="255">
        <f t="shared" si="73"/>
        <v>2.46</v>
      </c>
      <c r="T1178" s="255">
        <f t="shared" si="73"/>
        <v>2.46</v>
      </c>
      <c r="U1178" s="254">
        <v>100100</v>
      </c>
      <c r="V1178" s="254" t="s">
        <v>834</v>
      </c>
      <c r="W1178" s="254" t="s">
        <v>899</v>
      </c>
      <c r="X1178" s="254" t="s">
        <v>446</v>
      </c>
      <c r="Y1178" s="254" t="s">
        <v>843</v>
      </c>
      <c r="Z1178" s="254" t="s">
        <v>1137</v>
      </c>
      <c r="AA1178" s="254" t="s">
        <v>838</v>
      </c>
    </row>
    <row r="1179" spans="1:27" ht="14.4" x14ac:dyDescent="0.3">
      <c r="A1179" s="253">
        <v>11</v>
      </c>
      <c r="B1179" s="254" t="s">
        <v>852</v>
      </c>
      <c r="C1179" s="254">
        <v>214</v>
      </c>
      <c r="D1179" s="254" t="s">
        <v>149</v>
      </c>
      <c r="E1179" s="254" t="str">
        <f>_xlfn.XLOOKUP(C1179,Clientes!I:I,Clientes!F:F)</f>
        <v>GRUPO UNIFERTIL</v>
      </c>
      <c r="F1179" s="254">
        <v>3</v>
      </c>
      <c r="G1179" s="254" t="s">
        <v>877</v>
      </c>
      <c r="H1179" s="254" t="s">
        <v>879</v>
      </c>
      <c r="I1179" s="255">
        <v>64000</v>
      </c>
      <c r="J1179" s="256">
        <v>64000</v>
      </c>
      <c r="K1179" s="258">
        <v>165760</v>
      </c>
      <c r="L1179" s="258">
        <v>-19891.2</v>
      </c>
      <c r="M1179" s="258">
        <f t="shared" si="74"/>
        <v>145868.79999999999</v>
      </c>
      <c r="N1179" s="258">
        <v>-50204.69</v>
      </c>
      <c r="O1179" s="258">
        <v>-51609.076479999996</v>
      </c>
      <c r="P1179" s="258">
        <v>-26.228525976216183</v>
      </c>
      <c r="Q1179" s="258">
        <f t="shared" si="75"/>
        <v>44028.804994023776</v>
      </c>
      <c r="R1179" s="259">
        <f t="shared" si="76"/>
        <v>0.30183839857477252</v>
      </c>
      <c r="S1179" s="255">
        <f t="shared" si="73"/>
        <v>2.59</v>
      </c>
      <c r="T1179" s="255">
        <f t="shared" si="73"/>
        <v>2.59</v>
      </c>
      <c r="U1179" s="254">
        <v>100100</v>
      </c>
      <c r="V1179" s="254" t="s">
        <v>834</v>
      </c>
      <c r="W1179" s="254" t="s">
        <v>880</v>
      </c>
      <c r="X1179" s="254" t="s">
        <v>446</v>
      </c>
      <c r="Y1179" s="254" t="s">
        <v>843</v>
      </c>
      <c r="Z1179" s="254" t="s">
        <v>1137</v>
      </c>
      <c r="AA1179" s="254" t="s">
        <v>838</v>
      </c>
    </row>
    <row r="1180" spans="1:27" ht="14.4" x14ac:dyDescent="0.3">
      <c r="A1180" s="253">
        <v>11</v>
      </c>
      <c r="B1180" s="254" t="s">
        <v>852</v>
      </c>
      <c r="C1180" s="254">
        <v>12596</v>
      </c>
      <c r="D1180" s="254" t="s">
        <v>1083</v>
      </c>
      <c r="E1180" s="254" t="str">
        <f>_xlfn.XLOOKUP(C1180,Clientes!I:I,Clientes!F:F)</f>
        <v>DREYFUS SUIÇA</v>
      </c>
      <c r="F1180" s="254">
        <v>14146</v>
      </c>
      <c r="G1180" s="254" t="s">
        <v>832</v>
      </c>
      <c r="H1180" s="254" t="s">
        <v>1011</v>
      </c>
      <c r="I1180" s="255">
        <v>26400</v>
      </c>
      <c r="J1180" s="256">
        <v>26400</v>
      </c>
      <c r="K1180" s="258">
        <v>138520.79999999999</v>
      </c>
      <c r="L1180" s="258">
        <v>0</v>
      </c>
      <c r="M1180" s="258">
        <f t="shared" si="74"/>
        <v>138520.79999999999</v>
      </c>
      <c r="N1180" s="258">
        <v>-53934.894999999997</v>
      </c>
      <c r="O1180" s="258">
        <v>-32701.3632</v>
      </c>
      <c r="P1180" s="258">
        <v>-3936.3289841302767</v>
      </c>
      <c r="Q1180" s="258">
        <f t="shared" si="75"/>
        <v>47948.212815869723</v>
      </c>
      <c r="R1180" s="259">
        <f t="shared" si="76"/>
        <v>0.34614449826935539</v>
      </c>
      <c r="S1180" s="255">
        <f t="shared" si="73"/>
        <v>5.2469999999999999</v>
      </c>
      <c r="T1180" s="255">
        <f t="shared" si="73"/>
        <v>5.2469999999999999</v>
      </c>
      <c r="U1180" s="254">
        <v>100100</v>
      </c>
      <c r="V1180" s="254" t="s">
        <v>834</v>
      </c>
      <c r="W1180" s="254" t="s">
        <v>1085</v>
      </c>
      <c r="X1180" s="254" t="s">
        <v>446</v>
      </c>
      <c r="Y1180" s="254" t="s">
        <v>836</v>
      </c>
      <c r="Z1180" s="254" t="s">
        <v>1137</v>
      </c>
      <c r="AA1180" s="254" t="s">
        <v>838</v>
      </c>
    </row>
    <row r="1181" spans="1:27" ht="14.4" x14ac:dyDescent="0.3">
      <c r="A1181" s="253">
        <v>11</v>
      </c>
      <c r="B1181" s="254" t="s">
        <v>852</v>
      </c>
      <c r="C1181" s="254">
        <v>2287</v>
      </c>
      <c r="D1181" s="254" t="s">
        <v>114</v>
      </c>
      <c r="E1181" s="254" t="str">
        <f>_xlfn.XLOOKUP(C1181,Clientes!I:I,Clientes!F:F)</f>
        <v>BUNGE PARAGUAY S.A</v>
      </c>
      <c r="F1181" s="254">
        <v>4067</v>
      </c>
      <c r="G1181" s="254" t="s">
        <v>832</v>
      </c>
      <c r="H1181" s="254" t="s">
        <v>881</v>
      </c>
      <c r="I1181" s="255">
        <v>60000</v>
      </c>
      <c r="J1181" s="256">
        <v>60000</v>
      </c>
      <c r="K1181" s="258">
        <v>318000</v>
      </c>
      <c r="L1181" s="258">
        <v>0</v>
      </c>
      <c r="M1181" s="258">
        <f t="shared" si="74"/>
        <v>318000</v>
      </c>
      <c r="N1181" s="258">
        <v>-92431.92</v>
      </c>
      <c r="O1181" s="258">
        <v>-71443.999999999796</v>
      </c>
      <c r="P1181" s="258">
        <v>-8944.7399587356012</v>
      </c>
      <c r="Q1181" s="258">
        <f t="shared" si="75"/>
        <v>145179.34004126463</v>
      </c>
      <c r="R1181" s="259">
        <f t="shared" si="76"/>
        <v>0.45653880516120954</v>
      </c>
      <c r="S1181" s="255">
        <f t="shared" si="73"/>
        <v>5.3</v>
      </c>
      <c r="T1181" s="255">
        <f t="shared" si="73"/>
        <v>5.3</v>
      </c>
      <c r="U1181" s="254">
        <v>100100</v>
      </c>
      <c r="V1181" s="254" t="s">
        <v>834</v>
      </c>
      <c r="W1181" s="254" t="s">
        <v>882</v>
      </c>
      <c r="X1181" s="254" t="s">
        <v>446</v>
      </c>
      <c r="Y1181" s="254" t="s">
        <v>836</v>
      </c>
      <c r="Z1181" s="254" t="s">
        <v>1137</v>
      </c>
      <c r="AA1181" s="254" t="s">
        <v>838</v>
      </c>
    </row>
    <row r="1182" spans="1:27" ht="14.4" x14ac:dyDescent="0.3">
      <c r="A1182" s="253">
        <v>11</v>
      </c>
      <c r="B1182" s="254" t="s">
        <v>852</v>
      </c>
      <c r="C1182" s="254">
        <v>12972</v>
      </c>
      <c r="D1182" s="254" t="s">
        <v>654</v>
      </c>
      <c r="E1182" s="254" t="str">
        <f>_xlfn.XLOOKUP(C1182,Clientes!I:I,Clientes!F:F)</f>
        <v>INVICTA FERTILIZER - RIO GRANDE</v>
      </c>
      <c r="F1182" s="254">
        <v>1</v>
      </c>
      <c r="G1182" s="254" t="s">
        <v>877</v>
      </c>
      <c r="H1182" s="254" t="s">
        <v>873</v>
      </c>
      <c r="I1182" s="255">
        <v>30000</v>
      </c>
      <c r="J1182" s="256">
        <v>30000</v>
      </c>
      <c r="K1182" s="258">
        <v>90000</v>
      </c>
      <c r="L1182" s="258">
        <v>-10800</v>
      </c>
      <c r="M1182" s="258">
        <f t="shared" si="74"/>
        <v>79200</v>
      </c>
      <c r="N1182" s="258">
        <v>-19725.684705882359</v>
      </c>
      <c r="O1182" s="258">
        <v>-24421.605</v>
      </c>
      <c r="P1182" s="258">
        <v>-12.411435057777478</v>
      </c>
      <c r="Q1182" s="258">
        <f t="shared" si="75"/>
        <v>35040.298859059862</v>
      </c>
      <c r="R1182" s="259">
        <f t="shared" si="76"/>
        <v>0.44242801589722047</v>
      </c>
      <c r="S1182" s="255">
        <f t="shared" si="73"/>
        <v>3</v>
      </c>
      <c r="T1182" s="255">
        <f t="shared" si="73"/>
        <v>3</v>
      </c>
      <c r="U1182" s="254">
        <v>100100</v>
      </c>
      <c r="V1182" s="254" t="s">
        <v>834</v>
      </c>
      <c r="W1182" s="254" t="s">
        <v>878</v>
      </c>
      <c r="X1182" s="254" t="s">
        <v>446</v>
      </c>
      <c r="Y1182" s="254" t="s">
        <v>843</v>
      </c>
      <c r="Z1182" s="254" t="s">
        <v>1137</v>
      </c>
      <c r="AA1182" s="254" t="s">
        <v>838</v>
      </c>
    </row>
    <row r="1183" spans="1:27" ht="14.4" x14ac:dyDescent="0.3">
      <c r="A1183" s="253">
        <v>11</v>
      </c>
      <c r="B1183" s="254" t="s">
        <v>852</v>
      </c>
      <c r="C1183" s="254">
        <v>3251</v>
      </c>
      <c r="D1183" s="254" t="s">
        <v>866</v>
      </c>
      <c r="E1183" s="254" t="str">
        <f>_xlfn.XLOOKUP(C1183,Clientes!I:I,Clientes!F:F)</f>
        <v>GRUPO FERTIMAN</v>
      </c>
      <c r="F1183" s="254">
        <v>1107</v>
      </c>
      <c r="G1183" s="254" t="s">
        <v>867</v>
      </c>
      <c r="H1183" s="254" t="s">
        <v>868</v>
      </c>
      <c r="I1183" s="255">
        <v>15000</v>
      </c>
      <c r="J1183" s="256">
        <v>15000</v>
      </c>
      <c r="K1183" s="258">
        <v>34500</v>
      </c>
      <c r="L1183" s="258">
        <v>-2415.0000000000005</v>
      </c>
      <c r="M1183" s="258">
        <f t="shared" si="74"/>
        <v>32085</v>
      </c>
      <c r="N1183" s="258">
        <v>-10625.030000000002</v>
      </c>
      <c r="O1183" s="258">
        <v>-3564.3074999999999</v>
      </c>
      <c r="P1183" s="258">
        <v>-1.8114358602638603</v>
      </c>
      <c r="Q1183" s="258">
        <f t="shared" si="75"/>
        <v>17893.851064139733</v>
      </c>
      <c r="R1183" s="259">
        <f t="shared" si="76"/>
        <v>0.55770145127441895</v>
      </c>
      <c r="S1183" s="255">
        <f t="shared" si="73"/>
        <v>2.2999999999999998</v>
      </c>
      <c r="T1183" s="255">
        <f t="shared" si="73"/>
        <v>2.2999999999999998</v>
      </c>
      <c r="U1183" s="254">
        <v>100100</v>
      </c>
      <c r="V1183" s="254" t="s">
        <v>834</v>
      </c>
      <c r="W1183" s="254" t="s">
        <v>869</v>
      </c>
      <c r="X1183" s="254" t="s">
        <v>446</v>
      </c>
      <c r="Y1183" s="254" t="s">
        <v>843</v>
      </c>
      <c r="Z1183" s="254" t="s">
        <v>1137</v>
      </c>
      <c r="AA1183" s="254" t="s">
        <v>838</v>
      </c>
    </row>
    <row r="1184" spans="1:27" ht="14.4" x14ac:dyDescent="0.3">
      <c r="A1184" s="253">
        <v>11</v>
      </c>
      <c r="B1184" s="254" t="s">
        <v>852</v>
      </c>
      <c r="C1184" s="254">
        <v>7648</v>
      </c>
      <c r="D1184" s="254" t="s">
        <v>958</v>
      </c>
      <c r="E1184" s="254" t="str">
        <f>_xlfn.XLOOKUP(C1184,Clientes!I:I,Clientes!F:F)</f>
        <v>GRUPO LOUIS DREYFUS</v>
      </c>
      <c r="F1184" s="254">
        <v>14133</v>
      </c>
      <c r="G1184" s="254" t="s">
        <v>862</v>
      </c>
      <c r="H1184" s="254" t="s">
        <v>841</v>
      </c>
      <c r="I1184" s="255">
        <v>13200</v>
      </c>
      <c r="J1184" s="256">
        <v>13200</v>
      </c>
      <c r="K1184" s="258">
        <v>37092</v>
      </c>
      <c r="L1184" s="258">
        <v>-4451.04</v>
      </c>
      <c r="M1184" s="258">
        <f t="shared" si="74"/>
        <v>32640.959999999999</v>
      </c>
      <c r="N1184" s="258">
        <v>-16086.32449211357</v>
      </c>
      <c r="O1184" s="258">
        <v>-9623.6718130238405</v>
      </c>
      <c r="P1184" s="258">
        <v>-4.8908979456800248</v>
      </c>
      <c r="Q1184" s="258">
        <f t="shared" si="75"/>
        <v>6926.0727969169084</v>
      </c>
      <c r="R1184" s="259">
        <f t="shared" si="76"/>
        <v>0.21218961687759516</v>
      </c>
      <c r="S1184" s="255">
        <f t="shared" si="73"/>
        <v>2.81</v>
      </c>
      <c r="T1184" s="255">
        <f t="shared" si="73"/>
        <v>2.81</v>
      </c>
      <c r="U1184" s="254">
        <v>100100</v>
      </c>
      <c r="V1184" s="254" t="s">
        <v>834</v>
      </c>
      <c r="W1184" s="254" t="s">
        <v>864</v>
      </c>
      <c r="X1184" s="254" t="s">
        <v>446</v>
      </c>
      <c r="Y1184" s="254" t="s">
        <v>843</v>
      </c>
      <c r="Z1184" s="254" t="s">
        <v>1137</v>
      </c>
      <c r="AA1184" s="254" t="s">
        <v>838</v>
      </c>
    </row>
    <row r="1185" spans="1:27" ht="14.4" x14ac:dyDescent="0.3">
      <c r="A1185" s="253">
        <v>11</v>
      </c>
      <c r="B1185" s="254" t="s">
        <v>852</v>
      </c>
      <c r="C1185" s="254">
        <v>10492</v>
      </c>
      <c r="D1185" s="254" t="s">
        <v>101</v>
      </c>
      <c r="E1185" s="254" t="str">
        <f>_xlfn.XLOOKUP(C1185,Clientes!I:I,Clientes!F:F)</f>
        <v>GRUPO UNIFERTIL</v>
      </c>
      <c r="F1185" s="254">
        <v>3</v>
      </c>
      <c r="G1185" s="254" t="s">
        <v>877</v>
      </c>
      <c r="H1185" s="254" t="s">
        <v>879</v>
      </c>
      <c r="I1185" s="255">
        <v>64000</v>
      </c>
      <c r="J1185" s="256">
        <v>64000</v>
      </c>
      <c r="K1185" s="258">
        <v>165760</v>
      </c>
      <c r="L1185" s="258">
        <v>-19891.2</v>
      </c>
      <c r="M1185" s="258">
        <f t="shared" si="74"/>
        <v>145868.79999999999</v>
      </c>
      <c r="N1185" s="258">
        <v>-50204.69</v>
      </c>
      <c r="O1185" s="258">
        <v>-52099.423999999999</v>
      </c>
      <c r="P1185" s="258">
        <v>-26.477728123258618</v>
      </c>
      <c r="Q1185" s="258">
        <f t="shared" si="75"/>
        <v>43538.208271876727</v>
      </c>
      <c r="R1185" s="259">
        <f t="shared" si="76"/>
        <v>0.29847512471396714</v>
      </c>
      <c r="S1185" s="255">
        <f t="shared" si="73"/>
        <v>2.59</v>
      </c>
      <c r="T1185" s="255">
        <f t="shared" si="73"/>
        <v>2.59</v>
      </c>
      <c r="U1185" s="254">
        <v>100100</v>
      </c>
      <c r="V1185" s="254" t="s">
        <v>834</v>
      </c>
      <c r="W1185" s="254" t="s">
        <v>878</v>
      </c>
      <c r="X1185" s="254" t="s">
        <v>446</v>
      </c>
      <c r="Y1185" s="254" t="s">
        <v>843</v>
      </c>
      <c r="Z1185" s="254" t="s">
        <v>1137</v>
      </c>
      <c r="AA1185" s="254" t="s">
        <v>838</v>
      </c>
    </row>
    <row r="1186" spans="1:27" ht="14.4" x14ac:dyDescent="0.3">
      <c r="A1186" s="253">
        <v>11</v>
      </c>
      <c r="B1186" s="254" t="s">
        <v>852</v>
      </c>
      <c r="C1186" s="254">
        <v>205</v>
      </c>
      <c r="D1186" s="254" t="s">
        <v>859</v>
      </c>
      <c r="E1186" s="254" t="str">
        <f>_xlfn.XLOOKUP(C1186,Clientes!I:I,Clientes!F:F)</f>
        <v>GRUPO FERTIPAR FERTILIZANTES MATO GROSSO</v>
      </c>
      <c r="F1186" s="254">
        <v>6564</v>
      </c>
      <c r="G1186" s="254" t="s">
        <v>840</v>
      </c>
      <c r="H1186" s="254" t="s">
        <v>914</v>
      </c>
      <c r="I1186" s="255">
        <v>60000</v>
      </c>
      <c r="J1186" s="256">
        <v>60000</v>
      </c>
      <c r="K1186" s="258">
        <v>151200</v>
      </c>
      <c r="L1186" s="258">
        <v>-10584.000000000002</v>
      </c>
      <c r="M1186" s="258">
        <f t="shared" si="74"/>
        <v>140616</v>
      </c>
      <c r="N1186" s="258">
        <v>-57544.515000000007</v>
      </c>
      <c r="O1186" s="258">
        <v>-23961.904200000001</v>
      </c>
      <c r="P1186" s="258">
        <v>-12.177808044925195</v>
      </c>
      <c r="Q1186" s="258">
        <f t="shared" si="75"/>
        <v>59097.402991955059</v>
      </c>
      <c r="R1186" s="259">
        <f t="shared" si="76"/>
        <v>0.42027509666008889</v>
      </c>
      <c r="S1186" s="255">
        <f t="shared" si="73"/>
        <v>2.52</v>
      </c>
      <c r="T1186" s="255">
        <f t="shared" si="73"/>
        <v>2.52</v>
      </c>
      <c r="U1186" s="254">
        <v>100200</v>
      </c>
      <c r="V1186" s="254" t="s">
        <v>912</v>
      </c>
      <c r="W1186" s="254" t="s">
        <v>861</v>
      </c>
      <c r="X1186" s="254" t="s">
        <v>446</v>
      </c>
      <c r="Y1186" s="254" t="s">
        <v>843</v>
      </c>
      <c r="Z1186" s="254" t="s">
        <v>1137</v>
      </c>
      <c r="AA1186" s="254" t="s">
        <v>838</v>
      </c>
    </row>
    <row r="1187" spans="1:27" ht="14.4" x14ac:dyDescent="0.3">
      <c r="A1187" s="253">
        <v>11</v>
      </c>
      <c r="B1187" s="254" t="s">
        <v>852</v>
      </c>
      <c r="C1187" s="254">
        <v>14632</v>
      </c>
      <c r="D1187" s="254" t="s">
        <v>399</v>
      </c>
      <c r="E1187" s="254" t="str">
        <f>_xlfn.XLOOKUP(C1187,Clientes!I:I,Clientes!F:F)</f>
        <v>BIGFERTIL - CANDEIAS</v>
      </c>
      <c r="F1187" s="254">
        <v>113</v>
      </c>
      <c r="G1187" s="254" t="s">
        <v>875</v>
      </c>
      <c r="H1187" s="254" t="s">
        <v>913</v>
      </c>
      <c r="I1187" s="255">
        <v>30000</v>
      </c>
      <c r="J1187" s="256">
        <v>30000</v>
      </c>
      <c r="K1187" s="258">
        <v>109500</v>
      </c>
      <c r="L1187" s="258">
        <v>-7665.0000000000009</v>
      </c>
      <c r="M1187" s="258">
        <f t="shared" si="74"/>
        <v>101835</v>
      </c>
      <c r="N1187" s="258">
        <v>-27044.233029197087</v>
      </c>
      <c r="O1187" s="258">
        <v>-21548.474999999999</v>
      </c>
      <c r="P1187" s="258">
        <v>-10.951266227450713</v>
      </c>
      <c r="Q1187" s="258">
        <f t="shared" si="75"/>
        <v>53231.340704575465</v>
      </c>
      <c r="R1187" s="259">
        <f t="shared" si="76"/>
        <v>0.52272146810600939</v>
      </c>
      <c r="S1187" s="255">
        <f t="shared" si="73"/>
        <v>3.65</v>
      </c>
      <c r="T1187" s="255">
        <f t="shared" si="73"/>
        <v>3.65</v>
      </c>
      <c r="U1187" s="254">
        <v>100200</v>
      </c>
      <c r="V1187" s="254" t="s">
        <v>912</v>
      </c>
      <c r="W1187" s="254" t="s">
        <v>876</v>
      </c>
      <c r="X1187" s="254" t="s">
        <v>446</v>
      </c>
      <c r="Y1187" s="254" t="s">
        <v>843</v>
      </c>
      <c r="Z1187" s="254" t="s">
        <v>1137</v>
      </c>
      <c r="AA1187" s="254" t="s">
        <v>838</v>
      </c>
    </row>
    <row r="1188" spans="1:27" ht="14.4" x14ac:dyDescent="0.3">
      <c r="A1188" s="253">
        <v>11</v>
      </c>
      <c r="B1188" s="254" t="s">
        <v>852</v>
      </c>
      <c r="C1188" s="254">
        <v>2588</v>
      </c>
      <c r="D1188" s="254" t="s">
        <v>70</v>
      </c>
      <c r="E1188" s="254" t="str">
        <f>_xlfn.XLOOKUP(C1188,Clientes!I:I,Clientes!F:F)</f>
        <v>GRUPO FERTILIZ TOCANTINS</v>
      </c>
      <c r="F1188" s="254">
        <v>6564</v>
      </c>
      <c r="G1188" s="254" t="s">
        <v>840</v>
      </c>
      <c r="H1188" s="254" t="s">
        <v>914</v>
      </c>
      <c r="I1188" s="255">
        <v>60000</v>
      </c>
      <c r="J1188" s="256">
        <v>60000</v>
      </c>
      <c r="K1188" s="258">
        <v>187800</v>
      </c>
      <c r="L1188" s="258">
        <v>-13146.000000000002</v>
      </c>
      <c r="M1188" s="258">
        <f t="shared" si="74"/>
        <v>174654</v>
      </c>
      <c r="N1188" s="258">
        <v>-57544.515000000007</v>
      </c>
      <c r="O1188" s="258">
        <v>-43786.501199999999</v>
      </c>
      <c r="P1188" s="258">
        <v>-22.252972974179851</v>
      </c>
      <c r="Q1188" s="258">
        <f t="shared" si="75"/>
        <v>73300.730827025807</v>
      </c>
      <c r="R1188" s="259">
        <f t="shared" si="76"/>
        <v>0.41969110828853506</v>
      </c>
      <c r="S1188" s="255">
        <f t="shared" si="73"/>
        <v>3.13</v>
      </c>
      <c r="T1188" s="255">
        <f t="shared" si="73"/>
        <v>3.13</v>
      </c>
      <c r="U1188" s="254">
        <v>100200</v>
      </c>
      <c r="V1188" s="254" t="s">
        <v>912</v>
      </c>
      <c r="W1188" s="254" t="s">
        <v>915</v>
      </c>
      <c r="X1188" s="254" t="s">
        <v>446</v>
      </c>
      <c r="Y1188" s="254" t="s">
        <v>843</v>
      </c>
      <c r="Z1188" s="254" t="s">
        <v>1137</v>
      </c>
      <c r="AA1188" s="254" t="s">
        <v>838</v>
      </c>
    </row>
    <row r="1189" spans="1:27" ht="14.4" x14ac:dyDescent="0.3">
      <c r="A1189" s="253">
        <v>11</v>
      </c>
      <c r="B1189" s="254" t="s">
        <v>852</v>
      </c>
      <c r="C1189" s="254">
        <v>452</v>
      </c>
      <c r="D1189" s="254" t="s">
        <v>900</v>
      </c>
      <c r="E1189" s="254" t="str">
        <f>_xlfn.XLOOKUP(C1189,Clientes!I:I,Clientes!F:F)</f>
        <v>GRUPO FERTIPAR FERTILIZANTES MARANHAO</v>
      </c>
      <c r="F1189" s="254">
        <v>113</v>
      </c>
      <c r="G1189" s="254" t="s">
        <v>897</v>
      </c>
      <c r="H1189" s="254" t="s">
        <v>913</v>
      </c>
      <c r="I1189" s="255">
        <v>60000</v>
      </c>
      <c r="J1189" s="256">
        <v>60000</v>
      </c>
      <c r="K1189" s="258">
        <v>211200</v>
      </c>
      <c r="L1189" s="258">
        <v>-14784.000000000002</v>
      </c>
      <c r="M1189" s="258">
        <f t="shared" si="74"/>
        <v>196416</v>
      </c>
      <c r="N1189" s="258">
        <v>-54088.466058394173</v>
      </c>
      <c r="O1189" s="258">
        <v>-52923.054599999996</v>
      </c>
      <c r="P1189" s="258">
        <v>-26.896309854618956</v>
      </c>
      <c r="Q1189" s="258">
        <f t="shared" si="75"/>
        <v>89377.583031751201</v>
      </c>
      <c r="R1189" s="259">
        <f t="shared" si="76"/>
        <v>0.45504227268527614</v>
      </c>
      <c r="S1189" s="255">
        <f t="shared" si="73"/>
        <v>3.52</v>
      </c>
      <c r="T1189" s="255">
        <f t="shared" si="73"/>
        <v>3.52</v>
      </c>
      <c r="U1189" s="254">
        <v>100200</v>
      </c>
      <c r="V1189" s="254" t="s">
        <v>912</v>
      </c>
      <c r="W1189" s="254" t="s">
        <v>899</v>
      </c>
      <c r="X1189" s="254" t="s">
        <v>446</v>
      </c>
      <c r="Y1189" s="254" t="s">
        <v>843</v>
      </c>
      <c r="Z1189" s="254" t="s">
        <v>1137</v>
      </c>
      <c r="AA1189" s="254" t="s">
        <v>838</v>
      </c>
    </row>
    <row r="1190" spans="1:27" ht="14.4" x14ac:dyDescent="0.3">
      <c r="A1190" s="253">
        <v>11</v>
      </c>
      <c r="B1190" s="254" t="s">
        <v>852</v>
      </c>
      <c r="C1190" s="254">
        <v>10492</v>
      </c>
      <c r="D1190" s="254" t="s">
        <v>101</v>
      </c>
      <c r="E1190" s="254" t="str">
        <f>_xlfn.XLOOKUP(C1190,Clientes!I:I,Clientes!F:F)</f>
        <v>GRUPO UNIFERTIL</v>
      </c>
      <c r="F1190" s="254">
        <v>113</v>
      </c>
      <c r="G1190" s="254" t="s">
        <v>877</v>
      </c>
      <c r="H1190" s="254" t="s">
        <v>913</v>
      </c>
      <c r="I1190" s="255">
        <v>96000</v>
      </c>
      <c r="J1190" s="256">
        <v>96000</v>
      </c>
      <c r="K1190" s="258">
        <v>296640</v>
      </c>
      <c r="L1190" s="258">
        <v>-35596.799999999996</v>
      </c>
      <c r="M1190" s="258">
        <f t="shared" si="74"/>
        <v>261043.20000000001</v>
      </c>
      <c r="N1190" s="258">
        <v>-86541.545693430686</v>
      </c>
      <c r="O1190" s="258">
        <v>-78149.135999999999</v>
      </c>
      <c r="P1190" s="258">
        <v>-39.716592184887929</v>
      </c>
      <c r="Q1190" s="258">
        <f t="shared" si="75"/>
        <v>96312.801714384419</v>
      </c>
      <c r="R1190" s="259">
        <f t="shared" si="76"/>
        <v>0.36895349779034431</v>
      </c>
      <c r="S1190" s="255">
        <f t="shared" si="73"/>
        <v>3.09</v>
      </c>
      <c r="T1190" s="255">
        <f t="shared" si="73"/>
        <v>3.09</v>
      </c>
      <c r="U1190" s="254">
        <v>100200</v>
      </c>
      <c r="V1190" s="254" t="s">
        <v>912</v>
      </c>
      <c r="W1190" s="254" t="s">
        <v>878</v>
      </c>
      <c r="X1190" s="254" t="s">
        <v>446</v>
      </c>
      <c r="Y1190" s="254" t="s">
        <v>843</v>
      </c>
      <c r="Z1190" s="254" t="s">
        <v>1137</v>
      </c>
      <c r="AA1190" s="254" t="s">
        <v>838</v>
      </c>
    </row>
    <row r="1191" spans="1:27" ht="14.4" x14ac:dyDescent="0.3">
      <c r="A1191" s="253">
        <v>11</v>
      </c>
      <c r="B1191" s="254" t="s">
        <v>852</v>
      </c>
      <c r="C1191" s="254">
        <v>1953</v>
      </c>
      <c r="D1191" s="254" t="s">
        <v>66</v>
      </c>
      <c r="E1191" s="254" t="str">
        <f>_xlfn.XLOOKUP(C1191,Clientes!I:I,Clientes!F:F)</f>
        <v>GRUPO AMAGGI</v>
      </c>
      <c r="F1191" s="254">
        <v>113</v>
      </c>
      <c r="G1191" s="254" t="s">
        <v>840</v>
      </c>
      <c r="H1191" s="254" t="s">
        <v>913</v>
      </c>
      <c r="I1191" s="255">
        <v>30000</v>
      </c>
      <c r="J1191" s="256">
        <v>30000</v>
      </c>
      <c r="K1191" s="258">
        <v>87000</v>
      </c>
      <c r="L1191" s="258">
        <v>-6090.0000000000009</v>
      </c>
      <c r="M1191" s="258">
        <f t="shared" si="74"/>
        <v>80910</v>
      </c>
      <c r="N1191" s="258">
        <v>-27044.233029197087</v>
      </c>
      <c r="O1191" s="258">
        <v>-20938.365302399998</v>
      </c>
      <c r="P1191" s="258">
        <v>-10.641199100827272</v>
      </c>
      <c r="Q1191" s="258">
        <f t="shared" si="75"/>
        <v>32916.760469302091</v>
      </c>
      <c r="R1191" s="259">
        <f t="shared" si="76"/>
        <v>0.40683179420716958</v>
      </c>
      <c r="S1191" s="255">
        <f t="shared" si="73"/>
        <v>2.9</v>
      </c>
      <c r="T1191" s="255">
        <f t="shared" si="73"/>
        <v>2.9</v>
      </c>
      <c r="U1191" s="254">
        <v>100200</v>
      </c>
      <c r="V1191" s="254" t="s">
        <v>912</v>
      </c>
      <c r="W1191" s="254" t="s">
        <v>1008</v>
      </c>
      <c r="X1191" s="254" t="s">
        <v>446</v>
      </c>
      <c r="Y1191" s="254" t="s">
        <v>843</v>
      </c>
      <c r="Z1191" s="254" t="s">
        <v>1137</v>
      </c>
      <c r="AA1191" s="254" t="s">
        <v>838</v>
      </c>
    </row>
    <row r="1192" spans="1:27" ht="14.4" x14ac:dyDescent="0.3">
      <c r="A1192" s="253">
        <v>11</v>
      </c>
      <c r="B1192" s="254" t="s">
        <v>852</v>
      </c>
      <c r="C1192" s="254">
        <v>5182</v>
      </c>
      <c r="D1192" s="254" t="s">
        <v>1081</v>
      </c>
      <c r="E1192" s="254" t="str">
        <f>_xlfn.XLOOKUP(C1192,Clientes!I:I,Clientes!F:F)</f>
        <v>GRUPO FERTIPAR FERTILIZANTES MATO GROSSO</v>
      </c>
      <c r="F1192" s="254">
        <v>113</v>
      </c>
      <c r="G1192" s="254" t="s">
        <v>840</v>
      </c>
      <c r="H1192" s="254" t="s">
        <v>913</v>
      </c>
      <c r="I1192" s="255">
        <v>30000</v>
      </c>
      <c r="J1192" s="256">
        <v>30000</v>
      </c>
      <c r="K1192" s="258">
        <v>80700</v>
      </c>
      <c r="L1192" s="258">
        <v>-5649.0000000000009</v>
      </c>
      <c r="M1192" s="258">
        <f t="shared" si="74"/>
        <v>75051</v>
      </c>
      <c r="N1192" s="258">
        <v>-27044.233029197087</v>
      </c>
      <c r="O1192" s="258">
        <v>-21893.250599999999</v>
      </c>
      <c r="P1192" s="258">
        <v>-11.126486487089926</v>
      </c>
      <c r="Q1192" s="258">
        <f t="shared" si="75"/>
        <v>26102.389884315824</v>
      </c>
      <c r="R1192" s="259">
        <f t="shared" si="76"/>
        <v>0.34779536427650298</v>
      </c>
      <c r="S1192" s="255">
        <f t="shared" si="73"/>
        <v>2.69</v>
      </c>
      <c r="T1192" s="255">
        <f t="shared" si="73"/>
        <v>2.69</v>
      </c>
      <c r="U1192" s="254">
        <v>100200</v>
      </c>
      <c r="V1192" s="254" t="s">
        <v>912</v>
      </c>
      <c r="W1192" s="254" t="s">
        <v>915</v>
      </c>
      <c r="X1192" s="254" t="s">
        <v>446</v>
      </c>
      <c r="Y1192" s="254" t="s">
        <v>843</v>
      </c>
      <c r="Z1192" s="254" t="s">
        <v>1137</v>
      </c>
      <c r="AA1192" s="254" t="s">
        <v>838</v>
      </c>
    </row>
    <row r="1193" spans="1:27" ht="14.4" x14ac:dyDescent="0.3">
      <c r="A1193" s="253">
        <v>11</v>
      </c>
      <c r="B1193" s="254" t="s">
        <v>852</v>
      </c>
      <c r="C1193" s="254">
        <v>252</v>
      </c>
      <c r="D1193" s="254" t="s">
        <v>37</v>
      </c>
      <c r="E1193" s="254" t="str">
        <f>_xlfn.XLOOKUP(C1193,Clientes!I:I,Clientes!F:F)</f>
        <v>GRUPO FERTIPAR FERTILIZANTES PARANA</v>
      </c>
      <c r="F1193" s="254">
        <v>10343</v>
      </c>
      <c r="G1193" s="254" t="s">
        <v>862</v>
      </c>
      <c r="H1193" s="254" t="s">
        <v>911</v>
      </c>
      <c r="I1193" s="255">
        <v>30000</v>
      </c>
      <c r="J1193" s="256">
        <v>30000</v>
      </c>
      <c r="K1193" s="258">
        <v>112800</v>
      </c>
      <c r="L1193" s="258">
        <v>-13536</v>
      </c>
      <c r="M1193" s="258">
        <f t="shared" si="74"/>
        <v>99264</v>
      </c>
      <c r="N1193" s="258">
        <v>-52126.350000000006</v>
      </c>
      <c r="O1193" s="258">
        <v>-14049.6057</v>
      </c>
      <c r="P1193" s="258">
        <v>-7.1402255802978658</v>
      </c>
      <c r="Q1193" s="258">
        <f t="shared" si="75"/>
        <v>33080.904074419697</v>
      </c>
      <c r="R1193" s="259">
        <f t="shared" si="76"/>
        <v>0.33326184794507269</v>
      </c>
      <c r="S1193" s="255">
        <f t="shared" si="73"/>
        <v>3.76</v>
      </c>
      <c r="T1193" s="255">
        <f t="shared" si="73"/>
        <v>3.76</v>
      </c>
      <c r="U1193" s="254">
        <v>100200</v>
      </c>
      <c r="V1193" s="254" t="s">
        <v>912</v>
      </c>
      <c r="W1193" s="254" t="s">
        <v>864</v>
      </c>
      <c r="X1193" s="254" t="s">
        <v>446</v>
      </c>
      <c r="Y1193" s="254" t="s">
        <v>843</v>
      </c>
      <c r="Z1193" s="254" t="s">
        <v>1137</v>
      </c>
      <c r="AA1193" s="254" t="s">
        <v>838</v>
      </c>
    </row>
    <row r="1194" spans="1:27" ht="14.4" x14ac:dyDescent="0.3">
      <c r="A1194" s="253">
        <v>11</v>
      </c>
      <c r="B1194" s="254" t="s">
        <v>852</v>
      </c>
      <c r="C1194" s="254">
        <v>729</v>
      </c>
      <c r="D1194" s="254" t="s">
        <v>937</v>
      </c>
      <c r="E1194" s="254" t="str">
        <f>_xlfn.XLOOKUP(C1194,Clientes!I:I,Clientes!F:F)</f>
        <v>GRUPO FERTILIZ TOCANTINS</v>
      </c>
      <c r="F1194" s="254">
        <v>113</v>
      </c>
      <c r="G1194" s="254" t="s">
        <v>897</v>
      </c>
      <c r="H1194" s="254" t="s">
        <v>913</v>
      </c>
      <c r="I1194" s="255">
        <v>60000</v>
      </c>
      <c r="J1194" s="256">
        <v>60000</v>
      </c>
      <c r="K1194" s="258">
        <v>173400</v>
      </c>
      <c r="L1194" s="258">
        <v>-12138.000000000002</v>
      </c>
      <c r="M1194" s="258">
        <f t="shared" si="74"/>
        <v>161262</v>
      </c>
      <c r="N1194" s="258">
        <v>-54088.466058394173</v>
      </c>
      <c r="O1194" s="258">
        <v>-52923.054599999996</v>
      </c>
      <c r="P1194" s="258">
        <v>-26.896309854618956</v>
      </c>
      <c r="Q1194" s="258">
        <f t="shared" si="75"/>
        <v>54223.583031751215</v>
      </c>
      <c r="R1194" s="259">
        <f t="shared" si="76"/>
        <v>0.33624525946441947</v>
      </c>
      <c r="S1194" s="255">
        <f t="shared" si="73"/>
        <v>2.89</v>
      </c>
      <c r="T1194" s="255">
        <f t="shared" si="73"/>
        <v>2.89</v>
      </c>
      <c r="U1194" s="254">
        <v>100200</v>
      </c>
      <c r="V1194" s="254" t="s">
        <v>912</v>
      </c>
      <c r="W1194" s="254" t="s">
        <v>899</v>
      </c>
      <c r="X1194" s="254" t="s">
        <v>446</v>
      </c>
      <c r="Y1194" s="254" t="s">
        <v>843</v>
      </c>
      <c r="Z1194" s="254" t="s">
        <v>1137</v>
      </c>
      <c r="AA1194" s="254" t="s">
        <v>838</v>
      </c>
    </row>
    <row r="1195" spans="1:27" ht="14.4" x14ac:dyDescent="0.3">
      <c r="A1195" s="253">
        <v>11</v>
      </c>
      <c r="B1195" s="254" t="s">
        <v>852</v>
      </c>
      <c r="C1195" s="254">
        <v>456</v>
      </c>
      <c r="D1195" s="254" t="s">
        <v>312</v>
      </c>
      <c r="E1195" s="254" t="str">
        <f>_xlfn.XLOOKUP(C1195,Clientes!I:I,Clientes!F:F)</f>
        <v>GRUPO FERTIPAR FERTILIZANTES DO NORDESTE</v>
      </c>
      <c r="F1195" s="254">
        <v>113</v>
      </c>
      <c r="G1195" s="254" t="s">
        <v>875</v>
      </c>
      <c r="H1195" s="254" t="s">
        <v>913</v>
      </c>
      <c r="I1195" s="255">
        <v>60000</v>
      </c>
      <c r="J1195" s="256">
        <v>60000</v>
      </c>
      <c r="K1195" s="258">
        <v>200400</v>
      </c>
      <c r="L1195" s="258">
        <v>-14028.000000000002</v>
      </c>
      <c r="M1195" s="258">
        <f t="shared" si="74"/>
        <v>186372</v>
      </c>
      <c r="N1195" s="258">
        <v>-54088.466058394173</v>
      </c>
      <c r="O1195" s="258">
        <v>-43096.95</v>
      </c>
      <c r="P1195" s="258">
        <v>-21.902532454901426</v>
      </c>
      <c r="Q1195" s="258">
        <f t="shared" si="75"/>
        <v>89164.68140915093</v>
      </c>
      <c r="R1195" s="259">
        <f t="shared" si="76"/>
        <v>0.47842316125357309</v>
      </c>
      <c r="S1195" s="255">
        <f t="shared" si="73"/>
        <v>3.34</v>
      </c>
      <c r="T1195" s="255">
        <f t="shared" si="73"/>
        <v>3.34</v>
      </c>
      <c r="U1195" s="254">
        <v>100200</v>
      </c>
      <c r="V1195" s="254" t="s">
        <v>912</v>
      </c>
      <c r="W1195" s="254" t="s">
        <v>876</v>
      </c>
      <c r="X1195" s="254" t="s">
        <v>446</v>
      </c>
      <c r="Y1195" s="254" t="s">
        <v>843</v>
      </c>
      <c r="Z1195" s="254" t="s">
        <v>1137</v>
      </c>
      <c r="AA1195" s="254" t="s">
        <v>838</v>
      </c>
    </row>
    <row r="1196" spans="1:27" ht="14.4" x14ac:dyDescent="0.3">
      <c r="A1196" s="253">
        <v>11</v>
      </c>
      <c r="B1196" s="254" t="s">
        <v>852</v>
      </c>
      <c r="C1196" s="254">
        <v>8414</v>
      </c>
      <c r="D1196" s="254" t="s">
        <v>98</v>
      </c>
      <c r="E1196" s="254" t="str">
        <f>_xlfn.XLOOKUP(C1196,Clientes!I:I,Clientes!F:F)</f>
        <v>GRUPO AMAGGI</v>
      </c>
      <c r="F1196" s="254">
        <v>113</v>
      </c>
      <c r="G1196" s="254" t="s">
        <v>1061</v>
      </c>
      <c r="H1196" s="254" t="s">
        <v>913</v>
      </c>
      <c r="I1196" s="255">
        <v>30000</v>
      </c>
      <c r="J1196" s="256">
        <v>30000</v>
      </c>
      <c r="K1196" s="258">
        <v>94500</v>
      </c>
      <c r="L1196" s="258">
        <v>-6615.0000000000009</v>
      </c>
      <c r="M1196" s="258">
        <f t="shared" si="74"/>
        <v>87885</v>
      </c>
      <c r="N1196" s="258">
        <v>-27044.233029197087</v>
      </c>
      <c r="O1196" s="258">
        <v>-24507.690479999997</v>
      </c>
      <c r="P1196" s="258">
        <v>-12.4551850219767</v>
      </c>
      <c r="Q1196" s="258">
        <f t="shared" si="75"/>
        <v>36320.621305780936</v>
      </c>
      <c r="R1196" s="259">
        <f t="shared" si="76"/>
        <v>0.41327440753007838</v>
      </c>
      <c r="S1196" s="255">
        <f t="shared" si="73"/>
        <v>3.15</v>
      </c>
      <c r="T1196" s="255">
        <f t="shared" si="73"/>
        <v>3.15</v>
      </c>
      <c r="U1196" s="254">
        <v>100200</v>
      </c>
      <c r="V1196" s="254" t="s">
        <v>912</v>
      </c>
      <c r="W1196" s="254" t="s">
        <v>1062</v>
      </c>
      <c r="X1196" s="254" t="s">
        <v>446</v>
      </c>
      <c r="Y1196" s="254" t="s">
        <v>843</v>
      </c>
      <c r="Z1196" s="254" t="s">
        <v>1137</v>
      </c>
      <c r="AA1196" s="254" t="s">
        <v>838</v>
      </c>
    </row>
    <row r="1197" spans="1:27" ht="14.4" x14ac:dyDescent="0.3">
      <c r="A1197" s="253">
        <v>11</v>
      </c>
      <c r="B1197" s="254" t="s">
        <v>852</v>
      </c>
      <c r="C1197" s="254">
        <v>8413</v>
      </c>
      <c r="D1197" s="254" t="s">
        <v>97</v>
      </c>
      <c r="E1197" s="254" t="str">
        <f>_xlfn.XLOOKUP(C1197,Clientes!I:I,Clientes!F:F)</f>
        <v>GRUPO AMAGGI</v>
      </c>
      <c r="F1197" s="254">
        <v>113</v>
      </c>
      <c r="G1197" s="254" t="s">
        <v>840</v>
      </c>
      <c r="H1197" s="254" t="s">
        <v>913</v>
      </c>
      <c r="I1197" s="255">
        <v>32000</v>
      </c>
      <c r="J1197" s="256">
        <v>32000</v>
      </c>
      <c r="K1197" s="258">
        <v>92800</v>
      </c>
      <c r="L1197" s="258">
        <v>-6496.0000000000009</v>
      </c>
      <c r="M1197" s="258">
        <f t="shared" si="74"/>
        <v>86304</v>
      </c>
      <c r="N1197" s="258">
        <v>-28847.181897810224</v>
      </c>
      <c r="O1197" s="258">
        <v>-23352.800640000001</v>
      </c>
      <c r="P1197" s="258">
        <v>-11.868252252895921</v>
      </c>
      <c r="Q1197" s="258">
        <f t="shared" si="75"/>
        <v>34092.149209936877</v>
      </c>
      <c r="R1197" s="259">
        <f t="shared" si="76"/>
        <v>0.39502397582889409</v>
      </c>
      <c r="S1197" s="255">
        <f t="shared" si="73"/>
        <v>2.9</v>
      </c>
      <c r="T1197" s="255">
        <f t="shared" si="73"/>
        <v>2.9</v>
      </c>
      <c r="U1197" s="254">
        <v>100200</v>
      </c>
      <c r="V1197" s="254" t="s">
        <v>912</v>
      </c>
      <c r="W1197" s="254" t="s">
        <v>915</v>
      </c>
      <c r="X1197" s="254" t="s">
        <v>446</v>
      </c>
      <c r="Y1197" s="254" t="s">
        <v>843</v>
      </c>
      <c r="Z1197" s="254" t="s">
        <v>1137</v>
      </c>
      <c r="AA1197" s="254" t="s">
        <v>838</v>
      </c>
    </row>
    <row r="1198" spans="1:27" ht="14.4" x14ac:dyDescent="0.3">
      <c r="A1198" s="253">
        <v>11</v>
      </c>
      <c r="B1198" s="254" t="s">
        <v>852</v>
      </c>
      <c r="C1198" s="254">
        <v>214</v>
      </c>
      <c r="D1198" s="254" t="s">
        <v>149</v>
      </c>
      <c r="E1198" s="254" t="str">
        <f>_xlfn.XLOOKUP(C1198,Clientes!I:I,Clientes!F:F)</f>
        <v>GRUPO UNIFERTIL</v>
      </c>
      <c r="F1198" s="254">
        <v>113</v>
      </c>
      <c r="G1198" s="254" t="s">
        <v>877</v>
      </c>
      <c r="H1198" s="254" t="s">
        <v>913</v>
      </c>
      <c r="I1198" s="255">
        <v>120000</v>
      </c>
      <c r="J1198" s="256">
        <v>120000</v>
      </c>
      <c r="K1198" s="258">
        <v>370800</v>
      </c>
      <c r="L1198" s="258">
        <v>-44496</v>
      </c>
      <c r="M1198" s="258">
        <f t="shared" si="74"/>
        <v>326304</v>
      </c>
      <c r="N1198" s="258">
        <v>-108176.93211678835</v>
      </c>
      <c r="O1198" s="258">
        <v>-96767.018399999986</v>
      </c>
      <c r="P1198" s="258">
        <v>-49.178486205405335</v>
      </c>
      <c r="Q1198" s="258">
        <f t="shared" si="75"/>
        <v>121310.87099700626</v>
      </c>
      <c r="R1198" s="259">
        <f t="shared" si="76"/>
        <v>0.37177255257982206</v>
      </c>
      <c r="S1198" s="255">
        <f t="shared" si="73"/>
        <v>3.09</v>
      </c>
      <c r="T1198" s="255">
        <f t="shared" si="73"/>
        <v>3.09</v>
      </c>
      <c r="U1198" s="254">
        <v>100200</v>
      </c>
      <c r="V1198" s="254" t="s">
        <v>912</v>
      </c>
      <c r="W1198" s="254" t="s">
        <v>880</v>
      </c>
      <c r="X1198" s="254" t="s">
        <v>446</v>
      </c>
      <c r="Y1198" s="254" t="s">
        <v>843</v>
      </c>
      <c r="Z1198" s="254" t="s">
        <v>1137</v>
      </c>
      <c r="AA1198" s="254" t="s">
        <v>838</v>
      </c>
    </row>
    <row r="1199" spans="1:27" ht="14.4" x14ac:dyDescent="0.3">
      <c r="A1199" s="253">
        <v>13</v>
      </c>
      <c r="B1199" s="254" t="s">
        <v>852</v>
      </c>
      <c r="C1199" s="254">
        <v>87</v>
      </c>
      <c r="D1199" s="254" t="s">
        <v>218</v>
      </c>
      <c r="E1199" s="254" t="str">
        <f>_xlfn.XLOOKUP(C1199,Clientes!I:I,Clientes!F:F)</f>
        <v>GRUPO ADUBOS ARAGUAIA</v>
      </c>
      <c r="F1199" s="254">
        <v>8214</v>
      </c>
      <c r="G1199" s="254" t="s">
        <v>867</v>
      </c>
      <c r="H1199" s="254" t="s">
        <v>922</v>
      </c>
      <c r="I1199" s="255">
        <v>3000</v>
      </c>
      <c r="J1199" s="256">
        <v>3000</v>
      </c>
      <c r="K1199" s="258">
        <v>96110.130016931711</v>
      </c>
      <c r="L1199" s="258">
        <v>-6720.0000000000009</v>
      </c>
      <c r="M1199" s="258">
        <f t="shared" si="74"/>
        <v>89390.130016931711</v>
      </c>
      <c r="N1199" s="258">
        <v>-27184.159830508481</v>
      </c>
      <c r="O1199" s="258">
        <v>-2121.6959999999981</v>
      </c>
      <c r="P1199" s="258">
        <v>-1.0782785208566847</v>
      </c>
      <c r="Q1199" s="258">
        <f t="shared" si="75"/>
        <v>60083.19590790238</v>
      </c>
      <c r="R1199" s="259">
        <f t="shared" si="76"/>
        <v>0.67214574916181236</v>
      </c>
      <c r="S1199" s="255">
        <f t="shared" si="73"/>
        <v>32.036710005643904</v>
      </c>
      <c r="T1199" s="255">
        <f t="shared" si="73"/>
        <v>32.036710005643904</v>
      </c>
      <c r="U1199" s="254">
        <v>100300</v>
      </c>
      <c r="V1199" s="254" t="s">
        <v>917</v>
      </c>
      <c r="W1199" s="254" t="s">
        <v>871</v>
      </c>
      <c r="X1199" s="254" t="s">
        <v>446</v>
      </c>
      <c r="Y1199" s="254" t="s">
        <v>843</v>
      </c>
      <c r="Z1199" s="254" t="s">
        <v>1137</v>
      </c>
      <c r="AA1199" s="254" t="s">
        <v>838</v>
      </c>
    </row>
    <row r="1200" spans="1:27" ht="14.4" x14ac:dyDescent="0.3">
      <c r="A1200" s="253">
        <v>13</v>
      </c>
      <c r="B1200" s="254" t="s">
        <v>852</v>
      </c>
      <c r="C1200" s="254">
        <v>3232</v>
      </c>
      <c r="D1200" s="254" t="s">
        <v>153</v>
      </c>
      <c r="E1200" s="254" t="str">
        <f>_xlfn.XLOOKUP(C1200,Clientes!I:I,Clientes!F:F)</f>
        <v>GRUPO FERTILIZ TOCANTINS</v>
      </c>
      <c r="F1200" s="254">
        <v>8217</v>
      </c>
      <c r="G1200" s="254" t="s">
        <v>855</v>
      </c>
      <c r="H1200" s="254" t="s">
        <v>927</v>
      </c>
      <c r="I1200" s="255">
        <v>20000</v>
      </c>
      <c r="J1200" s="256">
        <v>20000</v>
      </c>
      <c r="K1200" s="258">
        <v>840963.63764815254</v>
      </c>
      <c r="L1200" s="258">
        <v>-151200</v>
      </c>
      <c r="M1200" s="258">
        <f t="shared" si="74"/>
        <v>689763.63764815254</v>
      </c>
      <c r="N1200" s="258">
        <v>-313211.5720000001</v>
      </c>
      <c r="O1200" s="258">
        <v>-3543.527</v>
      </c>
      <c r="P1200" s="258">
        <v>-1.8008748907363399</v>
      </c>
      <c r="Q1200" s="258">
        <f t="shared" si="75"/>
        <v>373006.73777326167</v>
      </c>
      <c r="R1200" s="259">
        <f t="shared" si="76"/>
        <v>0.54077471964901092</v>
      </c>
      <c r="S1200" s="255">
        <f t="shared" si="73"/>
        <v>42.048181882407626</v>
      </c>
      <c r="T1200" s="255">
        <f t="shared" si="73"/>
        <v>42.048181882407626</v>
      </c>
      <c r="U1200" s="254">
        <v>100300</v>
      </c>
      <c r="V1200" s="254" t="s">
        <v>917</v>
      </c>
      <c r="W1200" s="254" t="s">
        <v>857</v>
      </c>
      <c r="X1200" s="254" t="s">
        <v>446</v>
      </c>
      <c r="Y1200" s="254" t="s">
        <v>843</v>
      </c>
      <c r="Z1200" s="254" t="s">
        <v>1137</v>
      </c>
      <c r="AA1200" s="254" t="s">
        <v>838</v>
      </c>
    </row>
    <row r="1201" spans="1:27" ht="14.4" x14ac:dyDescent="0.3">
      <c r="A1201" s="253">
        <v>13</v>
      </c>
      <c r="B1201" s="254" t="s">
        <v>852</v>
      </c>
      <c r="C1201" s="254">
        <v>2588</v>
      </c>
      <c r="D1201" s="254" t="s">
        <v>70</v>
      </c>
      <c r="E1201" s="254" t="str">
        <f>_xlfn.XLOOKUP(C1201,Clientes!I:I,Clientes!F:F)</f>
        <v>GRUPO FERTILIZ TOCANTINS</v>
      </c>
      <c r="F1201" s="254">
        <v>8217</v>
      </c>
      <c r="G1201" s="254" t="s">
        <v>840</v>
      </c>
      <c r="H1201" s="254" t="s">
        <v>927</v>
      </c>
      <c r="I1201" s="255">
        <v>18000</v>
      </c>
      <c r="J1201" s="256">
        <v>18000</v>
      </c>
      <c r="K1201" s="258">
        <v>665682.78802977328</v>
      </c>
      <c r="L1201" s="258">
        <v>-46544.4</v>
      </c>
      <c r="M1201" s="258">
        <f t="shared" si="74"/>
        <v>619138.38802977325</v>
      </c>
      <c r="N1201" s="258">
        <v>-281890.41480000003</v>
      </c>
      <c r="O1201" s="258">
        <v>-19700.094700000001</v>
      </c>
      <c r="P1201" s="258">
        <v>-10.011890946607165</v>
      </c>
      <c r="Q1201" s="258">
        <f t="shared" si="75"/>
        <v>317537.86663882661</v>
      </c>
      <c r="R1201" s="259">
        <f t="shared" si="76"/>
        <v>0.51287058398898178</v>
      </c>
      <c r="S1201" s="255">
        <f t="shared" si="73"/>
        <v>36.982377112765185</v>
      </c>
      <c r="T1201" s="255">
        <f t="shared" si="73"/>
        <v>36.982377112765185</v>
      </c>
      <c r="U1201" s="254">
        <v>100300</v>
      </c>
      <c r="V1201" s="254" t="s">
        <v>917</v>
      </c>
      <c r="W1201" s="254" t="s">
        <v>915</v>
      </c>
      <c r="X1201" s="254" t="s">
        <v>446</v>
      </c>
      <c r="Y1201" s="254" t="s">
        <v>843</v>
      </c>
      <c r="Z1201" s="254" t="s">
        <v>1137</v>
      </c>
      <c r="AA1201" s="254" t="s">
        <v>838</v>
      </c>
    </row>
    <row r="1202" spans="1:27" ht="14.4" x14ac:dyDescent="0.3">
      <c r="A1202" s="253">
        <v>13</v>
      </c>
      <c r="B1202" s="254" t="s">
        <v>852</v>
      </c>
      <c r="C1202" s="254">
        <v>215</v>
      </c>
      <c r="D1202" s="254" t="s">
        <v>221</v>
      </c>
      <c r="E1202" s="254" t="str">
        <f>_xlfn.XLOOKUP(C1202,Clientes!I:I,Clientes!F:F)</f>
        <v>GRUPO UNIFERTIL</v>
      </c>
      <c r="F1202" s="254">
        <v>8216</v>
      </c>
      <c r="G1202" s="254" t="s">
        <v>877</v>
      </c>
      <c r="H1202" s="254" t="s">
        <v>938</v>
      </c>
      <c r="I1202" s="255">
        <v>24000</v>
      </c>
      <c r="J1202" s="256">
        <v>24000</v>
      </c>
      <c r="K1202" s="258">
        <v>746535.43490651704</v>
      </c>
      <c r="L1202" s="258">
        <v>-89481.599999999991</v>
      </c>
      <c r="M1202" s="258">
        <f t="shared" si="74"/>
        <v>657053.83490651706</v>
      </c>
      <c r="N1202" s="258">
        <v>-228901.05</v>
      </c>
      <c r="O1202" s="258">
        <v>-18675.345000000001</v>
      </c>
      <c r="P1202" s="258">
        <v>-9.4910973971239532</v>
      </c>
      <c r="Q1202" s="258">
        <f t="shared" si="75"/>
        <v>409467.94880911993</v>
      </c>
      <c r="R1202" s="259">
        <f t="shared" si="76"/>
        <v>0.62318782275637641</v>
      </c>
      <c r="S1202" s="255">
        <f t="shared" si="73"/>
        <v>31.105643121104876</v>
      </c>
      <c r="T1202" s="255">
        <f t="shared" si="73"/>
        <v>31.105643121104876</v>
      </c>
      <c r="U1202" s="254">
        <v>100300</v>
      </c>
      <c r="V1202" s="254" t="s">
        <v>917</v>
      </c>
      <c r="W1202" s="254" t="s">
        <v>880</v>
      </c>
      <c r="X1202" s="254" t="s">
        <v>446</v>
      </c>
      <c r="Y1202" s="254" t="s">
        <v>843</v>
      </c>
      <c r="Z1202" s="254" t="s">
        <v>1137</v>
      </c>
      <c r="AA1202" s="254" t="s">
        <v>838</v>
      </c>
    </row>
    <row r="1203" spans="1:27" ht="14.4" x14ac:dyDescent="0.3">
      <c r="A1203" s="253">
        <v>13</v>
      </c>
      <c r="B1203" s="254" t="s">
        <v>852</v>
      </c>
      <c r="C1203" s="254">
        <v>2925</v>
      </c>
      <c r="D1203" s="254" t="s">
        <v>341</v>
      </c>
      <c r="E1203" s="254" t="str">
        <f>_xlfn.XLOOKUP(C1203,Clientes!I:I,Clientes!F:F)</f>
        <v>COPEVAL - CHILE</v>
      </c>
      <c r="F1203" s="254">
        <v>8202</v>
      </c>
      <c r="G1203" s="254" t="s">
        <v>832</v>
      </c>
      <c r="H1203" s="254" t="s">
        <v>1027</v>
      </c>
      <c r="I1203" s="255">
        <v>11000</v>
      </c>
      <c r="J1203" s="256">
        <v>11000</v>
      </c>
      <c r="K1203" s="258">
        <v>548648.68179040542</v>
      </c>
      <c r="L1203" s="258">
        <v>0</v>
      </c>
      <c r="M1203" s="258">
        <f t="shared" si="74"/>
        <v>548648.68179040542</v>
      </c>
      <c r="N1203" s="258">
        <v>-240966.41</v>
      </c>
      <c r="O1203" s="258">
        <v>0</v>
      </c>
      <c r="P1203" s="258">
        <v>-1633.2123536178874</v>
      </c>
      <c r="Q1203" s="258">
        <f t="shared" si="75"/>
        <v>306049.0594367875</v>
      </c>
      <c r="R1203" s="259">
        <f t="shared" si="76"/>
        <v>0.55782337512970503</v>
      </c>
      <c r="S1203" s="255">
        <f t="shared" si="73"/>
        <v>49.877152890036854</v>
      </c>
      <c r="T1203" s="255">
        <f t="shared" si="73"/>
        <v>49.877152890036854</v>
      </c>
      <c r="U1203" s="254">
        <v>100300</v>
      </c>
      <c r="V1203" s="254" t="s">
        <v>917</v>
      </c>
      <c r="W1203" s="254" t="s">
        <v>1076</v>
      </c>
      <c r="X1203" s="254" t="s">
        <v>446</v>
      </c>
      <c r="Y1203" s="254" t="s">
        <v>836</v>
      </c>
      <c r="Z1203" s="254" t="s">
        <v>1137</v>
      </c>
      <c r="AA1203" s="254" t="s">
        <v>838</v>
      </c>
    </row>
    <row r="1204" spans="1:27" ht="14.4" x14ac:dyDescent="0.3">
      <c r="A1204" s="253">
        <v>13</v>
      </c>
      <c r="B1204" s="254" t="s">
        <v>852</v>
      </c>
      <c r="C1204" s="254">
        <v>11212</v>
      </c>
      <c r="D1204" s="254" t="s">
        <v>230</v>
      </c>
      <c r="E1204" s="254" t="str">
        <f>_xlfn.XLOOKUP(C1204,Clientes!I:I,Clientes!F:F)</f>
        <v>INPEK FERTILIZANTES - PARANAGUA</v>
      </c>
      <c r="F1204" s="254">
        <v>8224</v>
      </c>
      <c r="G1204" s="254" t="s">
        <v>862</v>
      </c>
      <c r="H1204" s="254" t="s">
        <v>921</v>
      </c>
      <c r="I1204" s="255">
        <v>2000</v>
      </c>
      <c r="J1204" s="256">
        <v>2000</v>
      </c>
      <c r="K1204" s="258">
        <v>48655.753321071679</v>
      </c>
      <c r="L1204" s="258">
        <v>-5832</v>
      </c>
      <c r="M1204" s="258">
        <f t="shared" si="74"/>
        <v>42823.753321071679</v>
      </c>
      <c r="N1204" s="258">
        <v>-13388.967500000001</v>
      </c>
      <c r="O1204" s="258">
        <v>-9901.2479999999723</v>
      </c>
      <c r="P1204" s="258">
        <v>-5.0319664306645189</v>
      </c>
      <c r="Q1204" s="258">
        <f t="shared" si="75"/>
        <v>19528.505854641044</v>
      </c>
      <c r="R1204" s="259">
        <f t="shared" si="76"/>
        <v>0.45602041717889141</v>
      </c>
      <c r="S1204" s="255">
        <f t="shared" si="73"/>
        <v>24.327876660535839</v>
      </c>
      <c r="T1204" s="255">
        <f t="shared" si="73"/>
        <v>24.327876660535839</v>
      </c>
      <c r="U1204" s="254">
        <v>100300</v>
      </c>
      <c r="V1204" s="254" t="s">
        <v>917</v>
      </c>
      <c r="W1204" s="254" t="s">
        <v>864</v>
      </c>
      <c r="X1204" s="254" t="s">
        <v>446</v>
      </c>
      <c r="Y1204" s="254" t="s">
        <v>843</v>
      </c>
      <c r="Z1204" s="254" t="s">
        <v>1137</v>
      </c>
      <c r="AA1204" s="254" t="s">
        <v>838</v>
      </c>
    </row>
    <row r="1205" spans="1:27" ht="14.4" x14ac:dyDescent="0.3">
      <c r="A1205" s="253">
        <v>13</v>
      </c>
      <c r="B1205" s="254" t="s">
        <v>852</v>
      </c>
      <c r="C1205" s="254">
        <v>10434</v>
      </c>
      <c r="D1205" s="254" t="s">
        <v>99</v>
      </c>
      <c r="E1205" s="254" t="str">
        <f>_xlfn.XLOOKUP(C1205,Clientes!I:I,Clientes!F:F)</f>
        <v>GRUPO CIBRA</v>
      </c>
      <c r="F1205" s="254">
        <v>8218</v>
      </c>
      <c r="G1205" s="254" t="s">
        <v>840</v>
      </c>
      <c r="H1205" s="254" t="s">
        <v>923</v>
      </c>
      <c r="I1205" s="255">
        <v>22000</v>
      </c>
      <c r="J1205" s="256">
        <v>22000</v>
      </c>
      <c r="K1205" s="258">
        <v>568251.1437251087</v>
      </c>
      <c r="L1205" s="258">
        <v>-39732.000000000007</v>
      </c>
      <c r="M1205" s="258">
        <f t="shared" si="74"/>
        <v>528519.1437251087</v>
      </c>
      <c r="N1205" s="258">
        <v>-234122.65904761909</v>
      </c>
      <c r="O1205" s="258">
        <v>-19700.094700000001</v>
      </c>
      <c r="P1205" s="258">
        <v>-10.011890946607165</v>
      </c>
      <c r="Q1205" s="258">
        <f t="shared" si="75"/>
        <v>274686.378086543</v>
      </c>
      <c r="R1205" s="259">
        <f t="shared" si="76"/>
        <v>0.51972834162732207</v>
      </c>
      <c r="S1205" s="255">
        <f t="shared" si="73"/>
        <v>25.829597442050396</v>
      </c>
      <c r="T1205" s="255">
        <f t="shared" si="73"/>
        <v>25.829597442050396</v>
      </c>
      <c r="U1205" s="254">
        <v>100300</v>
      </c>
      <c r="V1205" s="254" t="s">
        <v>917</v>
      </c>
      <c r="W1205" s="254" t="s">
        <v>915</v>
      </c>
      <c r="X1205" s="254" t="s">
        <v>446</v>
      </c>
      <c r="Y1205" s="254" t="s">
        <v>843</v>
      </c>
      <c r="Z1205" s="254" t="s">
        <v>1137</v>
      </c>
      <c r="AA1205" s="254" t="s">
        <v>838</v>
      </c>
    </row>
    <row r="1206" spans="1:27" ht="14.4" x14ac:dyDescent="0.3">
      <c r="A1206" s="253">
        <v>13</v>
      </c>
      <c r="B1206" s="254" t="s">
        <v>852</v>
      </c>
      <c r="C1206" s="254">
        <v>5657</v>
      </c>
      <c r="D1206" s="254" t="s">
        <v>84</v>
      </c>
      <c r="E1206" s="254" t="str">
        <f>_xlfn.XLOOKUP(C1206,Clientes!I:I,Clientes!F:F)</f>
        <v>FERTIPLANTA - VARGEM GRANDE DO SUL</v>
      </c>
      <c r="F1206" s="254">
        <v>8214</v>
      </c>
      <c r="G1206" s="254" t="s">
        <v>908</v>
      </c>
      <c r="H1206" s="254" t="s">
        <v>922</v>
      </c>
      <c r="I1206" s="255">
        <v>1000</v>
      </c>
      <c r="J1206" s="256">
        <v>1000</v>
      </c>
      <c r="K1206" s="258">
        <v>36792.159147106671</v>
      </c>
      <c r="L1206" s="258">
        <v>-4410</v>
      </c>
      <c r="M1206" s="258">
        <f t="shared" si="74"/>
        <v>32382.159147106671</v>
      </c>
      <c r="N1206" s="258">
        <v>-9061.386610169493</v>
      </c>
      <c r="O1206" s="258">
        <v>-5039.0280000000012</v>
      </c>
      <c r="P1206" s="258">
        <v>-2.5609114870346295</v>
      </c>
      <c r="Q1206" s="258">
        <f t="shared" si="75"/>
        <v>18279.18362545014</v>
      </c>
      <c r="R1206" s="259">
        <f t="shared" si="76"/>
        <v>0.56448316316434921</v>
      </c>
      <c r="S1206" s="255">
        <f t="shared" si="73"/>
        <v>36.792159147106673</v>
      </c>
      <c r="T1206" s="255">
        <f t="shared" si="73"/>
        <v>36.792159147106673</v>
      </c>
      <c r="U1206" s="254">
        <v>100300</v>
      </c>
      <c r="V1206" s="254" t="s">
        <v>917</v>
      </c>
      <c r="W1206" s="254" t="s">
        <v>1067</v>
      </c>
      <c r="X1206" s="254" t="s">
        <v>446</v>
      </c>
      <c r="Y1206" s="254" t="s">
        <v>843</v>
      </c>
      <c r="Z1206" s="254" t="s">
        <v>1137</v>
      </c>
      <c r="AA1206" s="254" t="s">
        <v>838</v>
      </c>
    </row>
    <row r="1207" spans="1:27" ht="14.4" x14ac:dyDescent="0.3">
      <c r="A1207" s="253">
        <v>13</v>
      </c>
      <c r="B1207" s="254" t="s">
        <v>852</v>
      </c>
      <c r="C1207" s="254">
        <v>1705</v>
      </c>
      <c r="D1207" s="254" t="s">
        <v>1140</v>
      </c>
      <c r="E1207" s="254" t="str">
        <f>_xlfn.XLOOKUP(C1207,Clientes!I:I,Clientes!F:F)</f>
        <v>ADUBOS SUDOESTE - PARANAGUÁ</v>
      </c>
      <c r="F1207" s="254">
        <v>8214</v>
      </c>
      <c r="G1207" s="254" t="s">
        <v>862</v>
      </c>
      <c r="H1207" s="254" t="s">
        <v>922</v>
      </c>
      <c r="I1207" s="255">
        <v>12000</v>
      </c>
      <c r="J1207" s="256">
        <v>12000</v>
      </c>
      <c r="K1207" s="258">
        <v>276316.62379867869</v>
      </c>
      <c r="L1207" s="258">
        <v>-33120</v>
      </c>
      <c r="M1207" s="258">
        <f t="shared" si="74"/>
        <v>243196.62379867869</v>
      </c>
      <c r="N1207" s="258">
        <v>-108736.63932203392</v>
      </c>
      <c r="O1207" s="258">
        <v>-9901.2479999999723</v>
      </c>
      <c r="P1207" s="258">
        <v>-5.0319664306645189</v>
      </c>
      <c r="Q1207" s="258">
        <f t="shared" si="75"/>
        <v>124553.70451021414</v>
      </c>
      <c r="R1207" s="259">
        <f t="shared" si="76"/>
        <v>0.51215227647782358</v>
      </c>
      <c r="S1207" s="255">
        <f t="shared" si="73"/>
        <v>23.026385316556556</v>
      </c>
      <c r="T1207" s="255">
        <f t="shared" si="73"/>
        <v>23.026385316556556</v>
      </c>
      <c r="U1207" s="254">
        <v>100300</v>
      </c>
      <c r="V1207" s="254" t="s">
        <v>917</v>
      </c>
      <c r="W1207" s="254" t="s">
        <v>864</v>
      </c>
      <c r="X1207" s="254" t="s">
        <v>446</v>
      </c>
      <c r="Y1207" s="254" t="s">
        <v>843</v>
      </c>
      <c r="Z1207" s="254" t="s">
        <v>1137</v>
      </c>
      <c r="AA1207" s="254" t="s">
        <v>838</v>
      </c>
    </row>
    <row r="1208" spans="1:27" ht="14.4" x14ac:dyDescent="0.3">
      <c r="A1208" s="253">
        <v>13</v>
      </c>
      <c r="B1208" s="254" t="s">
        <v>852</v>
      </c>
      <c r="C1208" s="254">
        <v>2622</v>
      </c>
      <c r="D1208" s="254" t="s">
        <v>73</v>
      </c>
      <c r="E1208" s="254" t="str">
        <f>_xlfn.XLOOKUP(C1208,Clientes!I:I,Clientes!F:F)</f>
        <v>ADUFERTIL JUNDIAI</v>
      </c>
      <c r="F1208" s="254">
        <v>8215</v>
      </c>
      <c r="G1208" s="254" t="s">
        <v>908</v>
      </c>
      <c r="H1208" s="254" t="s">
        <v>947</v>
      </c>
      <c r="I1208" s="255">
        <v>24000</v>
      </c>
      <c r="J1208" s="256">
        <v>24000</v>
      </c>
      <c r="K1208" s="258">
        <v>832073.45062158629</v>
      </c>
      <c r="L1208" s="258">
        <v>-99734.399999999994</v>
      </c>
      <c r="M1208" s="258">
        <f t="shared" si="74"/>
        <v>732339.05062158627</v>
      </c>
      <c r="N1208" s="258">
        <v>-319811.46521739132</v>
      </c>
      <c r="O1208" s="258">
        <v>-8810.9319999999989</v>
      </c>
      <c r="P1208" s="258">
        <v>-4.4778510796687359</v>
      </c>
      <c r="Q1208" s="258">
        <f t="shared" si="75"/>
        <v>403712.17555311532</v>
      </c>
      <c r="R1208" s="259">
        <f t="shared" si="76"/>
        <v>0.5512640288817825</v>
      </c>
      <c r="S1208" s="255">
        <f t="shared" si="73"/>
        <v>34.66972710923276</v>
      </c>
      <c r="T1208" s="255">
        <f t="shared" si="73"/>
        <v>34.66972710923276</v>
      </c>
      <c r="U1208" s="254">
        <v>100300</v>
      </c>
      <c r="V1208" s="254" t="s">
        <v>917</v>
      </c>
      <c r="W1208" s="254" t="s">
        <v>948</v>
      </c>
      <c r="X1208" s="254" t="s">
        <v>446</v>
      </c>
      <c r="Y1208" s="254" t="s">
        <v>843</v>
      </c>
      <c r="Z1208" s="254" t="s">
        <v>1137</v>
      </c>
      <c r="AA1208" s="254" t="s">
        <v>838</v>
      </c>
    </row>
    <row r="1209" spans="1:27" ht="14.4" x14ac:dyDescent="0.3">
      <c r="A1209" s="253">
        <v>13</v>
      </c>
      <c r="B1209" s="254" t="s">
        <v>852</v>
      </c>
      <c r="C1209" s="254">
        <v>14632</v>
      </c>
      <c r="D1209" s="254" t="s">
        <v>399</v>
      </c>
      <c r="E1209" s="254" t="str">
        <f>_xlfn.XLOOKUP(C1209,Clientes!I:I,Clientes!F:F)</f>
        <v>BIGFERTIL - CANDEIAS</v>
      </c>
      <c r="F1209" s="254">
        <v>8224</v>
      </c>
      <c r="G1209" s="254" t="s">
        <v>875</v>
      </c>
      <c r="H1209" s="254" t="s">
        <v>921</v>
      </c>
      <c r="I1209" s="255">
        <v>6000</v>
      </c>
      <c r="J1209" s="256">
        <v>6000</v>
      </c>
      <c r="K1209" s="258">
        <v>145066.22749430631</v>
      </c>
      <c r="L1209" s="258">
        <v>-10143.000000000002</v>
      </c>
      <c r="M1209" s="258">
        <f t="shared" si="74"/>
        <v>134923.22749430631</v>
      </c>
      <c r="N1209" s="258">
        <v>-40166.902500000004</v>
      </c>
      <c r="O1209" s="258">
        <v>-13083.792000000029</v>
      </c>
      <c r="P1209" s="258">
        <v>-6.6493842119495774</v>
      </c>
      <c r="Q1209" s="258">
        <f t="shared" si="75"/>
        <v>81665.88361009433</v>
      </c>
      <c r="R1209" s="259">
        <f t="shared" si="76"/>
        <v>0.60527668309402538</v>
      </c>
      <c r="S1209" s="255">
        <f t="shared" si="73"/>
        <v>24.177704582384386</v>
      </c>
      <c r="T1209" s="255">
        <f t="shared" si="73"/>
        <v>24.177704582384386</v>
      </c>
      <c r="U1209" s="254">
        <v>100300</v>
      </c>
      <c r="V1209" s="254" t="s">
        <v>917</v>
      </c>
      <c r="W1209" s="254" t="s">
        <v>876</v>
      </c>
      <c r="X1209" s="254" t="s">
        <v>446</v>
      </c>
      <c r="Y1209" s="254" t="s">
        <v>843</v>
      </c>
      <c r="Z1209" s="254" t="s">
        <v>1137</v>
      </c>
      <c r="AA1209" s="254" t="s">
        <v>838</v>
      </c>
    </row>
    <row r="1210" spans="1:27" ht="14.4" x14ac:dyDescent="0.3">
      <c r="A1210" s="253">
        <v>13</v>
      </c>
      <c r="B1210" s="254" t="s">
        <v>852</v>
      </c>
      <c r="C1210" s="254">
        <v>210</v>
      </c>
      <c r="D1210" s="254" t="s">
        <v>942</v>
      </c>
      <c r="E1210" s="254" t="str">
        <f>_xlfn.XLOOKUP(C1210,Clientes!I:I,Clientes!F:F)</f>
        <v>SUPERFÉRTIL FERTILIZANTES - PATROCÍNIO</v>
      </c>
      <c r="F1210" s="254">
        <v>8214</v>
      </c>
      <c r="G1210" s="254" t="s">
        <v>855</v>
      </c>
      <c r="H1210" s="254" t="s">
        <v>922</v>
      </c>
      <c r="I1210" s="255">
        <v>1000</v>
      </c>
      <c r="J1210" s="256">
        <v>1000</v>
      </c>
      <c r="K1210" s="258">
        <v>36041.298756349395</v>
      </c>
      <c r="L1210" s="258">
        <v>-6480</v>
      </c>
      <c r="M1210" s="258">
        <f t="shared" si="74"/>
        <v>29561.298756349395</v>
      </c>
      <c r="N1210" s="258">
        <v>-9061.386610169493</v>
      </c>
      <c r="O1210" s="258">
        <v>0</v>
      </c>
      <c r="P1210" s="258">
        <v>0</v>
      </c>
      <c r="Q1210" s="258">
        <f t="shared" si="75"/>
        <v>20499.9121461799</v>
      </c>
      <c r="R1210" s="259">
        <f t="shared" si="76"/>
        <v>0.69347129553219566</v>
      </c>
      <c r="S1210" s="255">
        <f t="shared" si="73"/>
        <v>36.041298756349399</v>
      </c>
      <c r="T1210" s="255">
        <f t="shared" si="73"/>
        <v>36.041298756349399</v>
      </c>
      <c r="U1210" s="254">
        <v>100300</v>
      </c>
      <c r="V1210" s="254" t="s">
        <v>917</v>
      </c>
      <c r="W1210" s="254" t="s">
        <v>943</v>
      </c>
      <c r="X1210" s="254" t="s">
        <v>446</v>
      </c>
      <c r="Y1210" s="254" t="s">
        <v>843</v>
      </c>
      <c r="Z1210" s="254" t="s">
        <v>1137</v>
      </c>
      <c r="AA1210" s="254" t="s">
        <v>838</v>
      </c>
    </row>
    <row r="1211" spans="1:27" ht="14.4" x14ac:dyDescent="0.3">
      <c r="A1211" s="253">
        <v>13</v>
      </c>
      <c r="B1211" s="254" t="s">
        <v>852</v>
      </c>
      <c r="C1211" s="254">
        <v>16918</v>
      </c>
      <c r="D1211" s="254" t="s">
        <v>645</v>
      </c>
      <c r="E1211" s="254" t="str">
        <f>_xlfn.XLOOKUP(C1211,Clientes!I:I,Clientes!F:F)</f>
        <v>FERTZ FERTILIZANTES S/A</v>
      </c>
      <c r="F1211" s="254">
        <v>8225</v>
      </c>
      <c r="G1211" s="254" t="s">
        <v>926</v>
      </c>
      <c r="H1211" s="254" t="s">
        <v>919</v>
      </c>
      <c r="I1211" s="255">
        <v>10000</v>
      </c>
      <c r="J1211" s="256">
        <v>10000</v>
      </c>
      <c r="K1211" s="258">
        <v>250286.796919093</v>
      </c>
      <c r="L1211" s="258">
        <v>-17500</v>
      </c>
      <c r="M1211" s="258">
        <f t="shared" si="74"/>
        <v>232786.796919093</v>
      </c>
      <c r="N1211" s="258">
        <v>-62984.755102040814</v>
      </c>
      <c r="O1211" s="258">
        <v>-19714.091999999993</v>
      </c>
      <c r="P1211" s="258">
        <v>-10.019004589626702</v>
      </c>
      <c r="Q1211" s="258">
        <f t="shared" si="75"/>
        <v>150077.93081246255</v>
      </c>
      <c r="R1211" s="259">
        <f t="shared" si="76"/>
        <v>0.64470121501187794</v>
      </c>
      <c r="S1211" s="255">
        <f t="shared" si="73"/>
        <v>25.0286796919093</v>
      </c>
      <c r="T1211" s="255">
        <f t="shared" si="73"/>
        <v>25.0286796919093</v>
      </c>
      <c r="U1211" s="254">
        <v>100300</v>
      </c>
      <c r="V1211" s="254" t="s">
        <v>917</v>
      </c>
      <c r="W1211" s="254" t="s">
        <v>928</v>
      </c>
      <c r="X1211" s="254" t="s">
        <v>446</v>
      </c>
      <c r="Y1211" s="254" t="s">
        <v>843</v>
      </c>
      <c r="Z1211" s="254" t="s">
        <v>1137</v>
      </c>
      <c r="AA1211" s="254" t="s">
        <v>838</v>
      </c>
    </row>
    <row r="1212" spans="1:27" ht="14.4" x14ac:dyDescent="0.3">
      <c r="A1212" s="253">
        <v>13</v>
      </c>
      <c r="B1212" s="254" t="s">
        <v>852</v>
      </c>
      <c r="C1212" s="254">
        <v>139</v>
      </c>
      <c r="D1212" s="254" t="s">
        <v>32</v>
      </c>
      <c r="E1212" s="254" t="str">
        <f>_xlfn.XLOOKUP(C1212,Clientes!I:I,Clientes!F:F)</f>
        <v>COMIGO - RIO VERDE</v>
      </c>
      <c r="F1212" s="254">
        <v>8225</v>
      </c>
      <c r="G1212" s="254" t="s">
        <v>867</v>
      </c>
      <c r="H1212" s="254" t="s">
        <v>919</v>
      </c>
      <c r="I1212" s="255">
        <v>27000</v>
      </c>
      <c r="J1212" s="256">
        <v>27000</v>
      </c>
      <c r="K1212" s="258">
        <v>696798.44262275554</v>
      </c>
      <c r="L1212" s="258">
        <v>-48720.000000000044</v>
      </c>
      <c r="M1212" s="258">
        <f t="shared" si="74"/>
        <v>648078.44262275554</v>
      </c>
      <c r="N1212" s="258">
        <v>-170058.83877551017</v>
      </c>
      <c r="O1212" s="258">
        <v>-6320.8859999999995</v>
      </c>
      <c r="P1212" s="258">
        <v>-3.2123714267188759</v>
      </c>
      <c r="Q1212" s="258">
        <f t="shared" si="75"/>
        <v>471695.50547581865</v>
      </c>
      <c r="R1212" s="259">
        <f t="shared" si="76"/>
        <v>0.72783705559913392</v>
      </c>
      <c r="S1212" s="255">
        <f t="shared" si="73"/>
        <v>25.807349726768724</v>
      </c>
      <c r="T1212" s="255">
        <f t="shared" si="73"/>
        <v>25.807349726768724</v>
      </c>
      <c r="U1212" s="254">
        <v>100300</v>
      </c>
      <c r="V1212" s="254" t="s">
        <v>917</v>
      </c>
      <c r="W1212" s="254" t="s">
        <v>890</v>
      </c>
      <c r="X1212" s="254" t="s">
        <v>446</v>
      </c>
      <c r="Y1212" s="254" t="s">
        <v>843</v>
      </c>
      <c r="Z1212" s="254" t="s">
        <v>1137</v>
      </c>
      <c r="AA1212" s="254" t="s">
        <v>838</v>
      </c>
    </row>
    <row r="1213" spans="1:27" ht="14.4" x14ac:dyDescent="0.3">
      <c r="A1213" s="253">
        <v>13</v>
      </c>
      <c r="B1213" s="254" t="s">
        <v>852</v>
      </c>
      <c r="C1213" s="254">
        <v>2975</v>
      </c>
      <c r="D1213" s="254" t="s">
        <v>420</v>
      </c>
      <c r="E1213" s="254" t="str">
        <f>_xlfn.XLOOKUP(C1213,Clientes!I:I,Clientes!F:F)</f>
        <v>COONAGRO COOPERATIVA - PARANAGUA</v>
      </c>
      <c r="F1213" s="254">
        <v>8218</v>
      </c>
      <c r="G1213" s="254" t="s">
        <v>862</v>
      </c>
      <c r="H1213" s="254" t="s">
        <v>923</v>
      </c>
      <c r="I1213" s="255">
        <v>10000</v>
      </c>
      <c r="J1213" s="256">
        <v>10000</v>
      </c>
      <c r="K1213" s="258">
        <v>300143.9268653763</v>
      </c>
      <c r="L1213" s="258">
        <v>-35976</v>
      </c>
      <c r="M1213" s="258">
        <f t="shared" si="74"/>
        <v>264167.9268653763</v>
      </c>
      <c r="N1213" s="258">
        <v>-106419.39047619049</v>
      </c>
      <c r="O1213" s="258">
        <v>-9901.2479999999723</v>
      </c>
      <c r="P1213" s="258">
        <v>-5.0319664306645189</v>
      </c>
      <c r="Q1213" s="258">
        <f t="shared" si="75"/>
        <v>147842.25642275519</v>
      </c>
      <c r="R1213" s="259">
        <f t="shared" si="76"/>
        <v>0.55965255955579229</v>
      </c>
      <c r="S1213" s="255">
        <f t="shared" si="73"/>
        <v>30.014392686537629</v>
      </c>
      <c r="T1213" s="255">
        <f t="shared" si="73"/>
        <v>30.014392686537629</v>
      </c>
      <c r="U1213" s="254">
        <v>100300</v>
      </c>
      <c r="V1213" s="254" t="s">
        <v>917</v>
      </c>
      <c r="W1213" s="254" t="s">
        <v>864</v>
      </c>
      <c r="X1213" s="254" t="s">
        <v>446</v>
      </c>
      <c r="Y1213" s="254" t="s">
        <v>843</v>
      </c>
      <c r="Z1213" s="254" t="s">
        <v>1137</v>
      </c>
      <c r="AA1213" s="254" t="s">
        <v>838</v>
      </c>
    </row>
    <row r="1214" spans="1:27" ht="14.4" x14ac:dyDescent="0.3">
      <c r="A1214" s="253">
        <v>13</v>
      </c>
      <c r="B1214" s="254" t="s">
        <v>852</v>
      </c>
      <c r="C1214" s="254">
        <v>2352</v>
      </c>
      <c r="D1214" s="254" t="s">
        <v>68</v>
      </c>
      <c r="E1214" s="254" t="str">
        <f>_xlfn.XLOOKUP(C1214,Clientes!I:I,Clientes!F:F)</f>
        <v>BR FERTIL - PARANAGUA</v>
      </c>
      <c r="F1214" s="254">
        <v>8225</v>
      </c>
      <c r="G1214" s="254" t="s">
        <v>862</v>
      </c>
      <c r="H1214" s="254" t="s">
        <v>919</v>
      </c>
      <c r="I1214" s="255">
        <v>12000</v>
      </c>
      <c r="J1214" s="256">
        <v>12000</v>
      </c>
      <c r="K1214" s="258">
        <v>288330.39005079516</v>
      </c>
      <c r="L1214" s="258">
        <v>-34560</v>
      </c>
      <c r="M1214" s="258">
        <f t="shared" si="74"/>
        <v>253770.39005079516</v>
      </c>
      <c r="N1214" s="258">
        <v>-75581.706122448973</v>
      </c>
      <c r="O1214" s="258">
        <v>-9901.2479999999723</v>
      </c>
      <c r="P1214" s="258">
        <v>-5.0319664306645189</v>
      </c>
      <c r="Q1214" s="258">
        <f t="shared" si="75"/>
        <v>168282.40396191558</v>
      </c>
      <c r="R1214" s="259">
        <f t="shared" si="76"/>
        <v>0.66312860191542389</v>
      </c>
      <c r="S1214" s="255">
        <f t="shared" si="73"/>
        <v>24.02753250423293</v>
      </c>
      <c r="T1214" s="255">
        <f t="shared" si="73"/>
        <v>24.02753250423293</v>
      </c>
      <c r="U1214" s="254">
        <v>100300</v>
      </c>
      <c r="V1214" s="254" t="s">
        <v>917</v>
      </c>
      <c r="W1214" s="254" t="s">
        <v>864</v>
      </c>
      <c r="X1214" s="254" t="s">
        <v>446</v>
      </c>
      <c r="Y1214" s="254" t="s">
        <v>843</v>
      </c>
      <c r="Z1214" s="254" t="s">
        <v>1137</v>
      </c>
      <c r="AA1214" s="254" t="s">
        <v>838</v>
      </c>
    </row>
    <row r="1215" spans="1:27" ht="14.4" x14ac:dyDescent="0.3">
      <c r="A1215" s="253">
        <v>13</v>
      </c>
      <c r="B1215" s="254" t="s">
        <v>852</v>
      </c>
      <c r="C1215" s="254">
        <v>3142</v>
      </c>
      <c r="D1215" s="254" t="s">
        <v>78</v>
      </c>
      <c r="E1215" s="254" t="str">
        <f>_xlfn.XLOOKUP(C1215,Clientes!I:I,Clientes!F:F)</f>
        <v>INTERFERTIL - SAO FRANCISCO DO SUL</v>
      </c>
      <c r="F1215" s="254">
        <v>8214</v>
      </c>
      <c r="G1215" s="254" t="s">
        <v>893</v>
      </c>
      <c r="H1215" s="254" t="s">
        <v>922</v>
      </c>
      <c r="I1215" s="255">
        <v>3000</v>
      </c>
      <c r="J1215" s="256">
        <v>3000</v>
      </c>
      <c r="K1215" s="258">
        <v>98452.814436094428</v>
      </c>
      <c r="L1215" s="258">
        <v>-11800.8</v>
      </c>
      <c r="M1215" s="258">
        <f t="shared" si="74"/>
        <v>86652.014436094425</v>
      </c>
      <c r="N1215" s="258">
        <v>-27184.159830508481</v>
      </c>
      <c r="O1215" s="258">
        <v>-9901.2479999999723</v>
      </c>
      <c r="P1215" s="258">
        <v>-5.0319664306645189</v>
      </c>
      <c r="Q1215" s="258">
        <f t="shared" si="75"/>
        <v>49561.574639155311</v>
      </c>
      <c r="R1215" s="259">
        <f t="shared" si="76"/>
        <v>0.57196102089128942</v>
      </c>
      <c r="S1215" s="255">
        <f t="shared" si="73"/>
        <v>32.817604812031476</v>
      </c>
      <c r="T1215" s="255">
        <f t="shared" si="73"/>
        <v>32.817604812031476</v>
      </c>
      <c r="U1215" s="254">
        <v>100300</v>
      </c>
      <c r="V1215" s="254" t="s">
        <v>917</v>
      </c>
      <c r="W1215" s="254" t="s">
        <v>894</v>
      </c>
      <c r="X1215" s="254" t="s">
        <v>446</v>
      </c>
      <c r="Y1215" s="254" t="s">
        <v>843</v>
      </c>
      <c r="Z1215" s="254" t="s">
        <v>1137</v>
      </c>
      <c r="AA1215" s="254" t="s">
        <v>838</v>
      </c>
    </row>
    <row r="1216" spans="1:27" ht="14.4" x14ac:dyDescent="0.3">
      <c r="A1216" s="253">
        <v>13</v>
      </c>
      <c r="B1216" s="254" t="s">
        <v>852</v>
      </c>
      <c r="C1216" s="254">
        <v>11133</v>
      </c>
      <c r="D1216" s="254" t="s">
        <v>895</v>
      </c>
      <c r="E1216" s="254" t="str">
        <f>_xlfn.XLOOKUP(C1216,Clientes!I:I,Clientes!F:F)</f>
        <v>GRUPO ADUBOS ARAGUAIA</v>
      </c>
      <c r="F1216" s="254">
        <v>8214</v>
      </c>
      <c r="G1216" s="254" t="s">
        <v>862</v>
      </c>
      <c r="H1216" s="254" t="s">
        <v>922</v>
      </c>
      <c r="I1216" s="255">
        <v>4000</v>
      </c>
      <c r="J1216" s="256">
        <v>4000</v>
      </c>
      <c r="K1216" s="258">
        <v>152174.37252680855</v>
      </c>
      <c r="L1216" s="258">
        <v>-18240</v>
      </c>
      <c r="M1216" s="258">
        <f t="shared" si="74"/>
        <v>133934.37252680855</v>
      </c>
      <c r="N1216" s="258">
        <v>-36245.546440677972</v>
      </c>
      <c r="O1216" s="258">
        <v>-9901.2479999999723</v>
      </c>
      <c r="P1216" s="258">
        <v>-5.0319664306645189</v>
      </c>
      <c r="Q1216" s="258">
        <f t="shared" si="75"/>
        <v>87782.546119699939</v>
      </c>
      <c r="R1216" s="259">
        <f t="shared" si="76"/>
        <v>0.65541462183002519</v>
      </c>
      <c r="S1216" s="255">
        <f t="shared" si="73"/>
        <v>38.043593131702139</v>
      </c>
      <c r="T1216" s="255">
        <f t="shared" si="73"/>
        <v>38.043593131702139</v>
      </c>
      <c r="U1216" s="254">
        <v>100300</v>
      </c>
      <c r="V1216" s="254" t="s">
        <v>917</v>
      </c>
      <c r="W1216" s="254" t="s">
        <v>864</v>
      </c>
      <c r="X1216" s="254" t="s">
        <v>446</v>
      </c>
      <c r="Y1216" s="254" t="s">
        <v>843</v>
      </c>
      <c r="Z1216" s="254" t="s">
        <v>1137</v>
      </c>
      <c r="AA1216" s="254" t="s">
        <v>838</v>
      </c>
    </row>
    <row r="1217" spans="1:27" ht="14.4" x14ac:dyDescent="0.3">
      <c r="A1217" s="253">
        <v>13</v>
      </c>
      <c r="B1217" s="254" t="s">
        <v>852</v>
      </c>
      <c r="C1217" s="254">
        <v>729</v>
      </c>
      <c r="D1217" s="254" t="s">
        <v>937</v>
      </c>
      <c r="E1217" s="254" t="str">
        <f>_xlfn.XLOOKUP(C1217,Clientes!I:I,Clientes!F:F)</f>
        <v>GRUPO FERTILIZ TOCANTINS</v>
      </c>
      <c r="F1217" s="254">
        <v>8217</v>
      </c>
      <c r="G1217" s="254" t="s">
        <v>897</v>
      </c>
      <c r="H1217" s="254" t="s">
        <v>927</v>
      </c>
      <c r="I1217" s="255">
        <v>12000</v>
      </c>
      <c r="J1217" s="256">
        <v>12000</v>
      </c>
      <c r="K1217" s="258">
        <v>475504.86825876962</v>
      </c>
      <c r="L1217" s="258">
        <v>-33247.200000000004</v>
      </c>
      <c r="M1217" s="258">
        <f t="shared" si="74"/>
        <v>442257.66825876961</v>
      </c>
      <c r="N1217" s="258">
        <v>-187926.94320000004</v>
      </c>
      <c r="O1217" s="258">
        <v>-19802.496000000036</v>
      </c>
      <c r="P1217" s="258">
        <v>-10.063932861329086</v>
      </c>
      <c r="Q1217" s="258">
        <f t="shared" si="75"/>
        <v>234518.16512590821</v>
      </c>
      <c r="R1217" s="259">
        <f t="shared" si="76"/>
        <v>0.53027495498097088</v>
      </c>
      <c r="S1217" s="255">
        <f t="shared" si="73"/>
        <v>39.625405688230799</v>
      </c>
      <c r="T1217" s="255">
        <f t="shared" si="73"/>
        <v>39.625405688230799</v>
      </c>
      <c r="U1217" s="254">
        <v>100300</v>
      </c>
      <c r="V1217" s="254" t="s">
        <v>917</v>
      </c>
      <c r="W1217" s="254" t="s">
        <v>899</v>
      </c>
      <c r="X1217" s="254" t="s">
        <v>446</v>
      </c>
      <c r="Y1217" s="254" t="s">
        <v>843</v>
      </c>
      <c r="Z1217" s="254" t="s">
        <v>1137</v>
      </c>
      <c r="AA1217" s="254" t="s">
        <v>838</v>
      </c>
    </row>
    <row r="1218" spans="1:27" ht="14.4" x14ac:dyDescent="0.3">
      <c r="A1218" s="253">
        <v>13</v>
      </c>
      <c r="B1218" s="254" t="s">
        <v>852</v>
      </c>
      <c r="C1218" s="254">
        <v>7662</v>
      </c>
      <c r="D1218" s="254" t="s">
        <v>95</v>
      </c>
      <c r="E1218" s="254" t="str">
        <f>_xlfn.XLOOKUP(C1218,Clientes!I:I,Clientes!F:F)</f>
        <v>BENTONIT UNIAO - CAMPINA GRANDE</v>
      </c>
      <c r="F1218" s="254">
        <v>7</v>
      </c>
      <c r="G1218" s="254" t="s">
        <v>1022</v>
      </c>
      <c r="H1218" s="254" t="s">
        <v>1023</v>
      </c>
      <c r="I1218" s="255">
        <v>4000</v>
      </c>
      <c r="J1218" s="256">
        <v>4000</v>
      </c>
      <c r="K1218" s="258">
        <v>156219.00716502109</v>
      </c>
      <c r="L1218" s="258">
        <v>-24346.141000000003</v>
      </c>
      <c r="M1218" s="258">
        <f t="shared" si="74"/>
        <v>131872.86616502109</v>
      </c>
      <c r="N1218" s="258">
        <v>-35078.44</v>
      </c>
      <c r="O1218" s="258">
        <v>0</v>
      </c>
      <c r="P1218" s="258">
        <v>0</v>
      </c>
      <c r="Q1218" s="258">
        <f t="shared" si="75"/>
        <v>96794.426165021083</v>
      </c>
      <c r="R1218" s="259">
        <f t="shared" si="76"/>
        <v>0.73399804660267209</v>
      </c>
      <c r="S1218" s="255">
        <f t="shared" si="73"/>
        <v>39.054751791255271</v>
      </c>
      <c r="T1218" s="255">
        <f t="shared" si="73"/>
        <v>39.054751791255271</v>
      </c>
      <c r="U1218" s="254">
        <v>100300</v>
      </c>
      <c r="V1218" s="254" t="s">
        <v>917</v>
      </c>
      <c r="W1218" s="254" t="s">
        <v>1024</v>
      </c>
      <c r="X1218" s="254" t="s">
        <v>446</v>
      </c>
      <c r="Y1218" s="254" t="s">
        <v>843</v>
      </c>
      <c r="Z1218" s="254" t="s">
        <v>1137</v>
      </c>
      <c r="AA1218" s="254" t="s">
        <v>838</v>
      </c>
    </row>
    <row r="1219" spans="1:27" ht="14.4" x14ac:dyDescent="0.3">
      <c r="A1219" s="253">
        <v>13</v>
      </c>
      <c r="B1219" s="254" t="s">
        <v>852</v>
      </c>
      <c r="C1219" s="254">
        <v>943</v>
      </c>
      <c r="D1219" s="254" t="s">
        <v>152</v>
      </c>
      <c r="E1219" s="254" t="str">
        <f>_xlfn.XLOOKUP(C1219,Clientes!I:I,Clientes!F:F)</f>
        <v>FORTGREEN - PAICANDU</v>
      </c>
      <c r="F1219" s="254">
        <v>8214</v>
      </c>
      <c r="G1219" s="254" t="s">
        <v>862</v>
      </c>
      <c r="H1219" s="254" t="s">
        <v>922</v>
      </c>
      <c r="I1219" s="255">
        <v>2000</v>
      </c>
      <c r="J1219" s="256">
        <v>2000</v>
      </c>
      <c r="K1219" s="258">
        <v>72102.620456452307</v>
      </c>
      <c r="L1219" s="258">
        <v>-8642.4</v>
      </c>
      <c r="M1219" s="258">
        <f t="shared" si="74"/>
        <v>63460.220456452305</v>
      </c>
      <c r="N1219" s="258">
        <v>-18122.773220338986</v>
      </c>
      <c r="O1219" s="258">
        <v>0</v>
      </c>
      <c r="P1219" s="258">
        <v>0</v>
      </c>
      <c r="Q1219" s="258">
        <f t="shared" si="75"/>
        <v>45337.447236113323</v>
      </c>
      <c r="R1219" s="259">
        <f t="shared" si="76"/>
        <v>0.71442309702067297</v>
      </c>
      <c r="S1219" s="255">
        <f t="shared" ref="S1219:T1282" si="77">$K1219/I1219</f>
        <v>36.05131022822615</v>
      </c>
      <c r="T1219" s="255">
        <f t="shared" si="77"/>
        <v>36.05131022822615</v>
      </c>
      <c r="U1219" s="254">
        <v>100300</v>
      </c>
      <c r="V1219" s="254" t="s">
        <v>917</v>
      </c>
      <c r="W1219" s="254" t="s">
        <v>941</v>
      </c>
      <c r="X1219" s="254" t="s">
        <v>446</v>
      </c>
      <c r="Y1219" s="254" t="s">
        <v>843</v>
      </c>
      <c r="Z1219" s="254" t="s">
        <v>1137</v>
      </c>
      <c r="AA1219" s="254" t="s">
        <v>838</v>
      </c>
    </row>
    <row r="1220" spans="1:27" ht="14.4" x14ac:dyDescent="0.3">
      <c r="A1220" s="253">
        <v>13</v>
      </c>
      <c r="B1220" s="254" t="s">
        <v>852</v>
      </c>
      <c r="C1220" s="254">
        <v>9355</v>
      </c>
      <c r="D1220" s="254" t="s">
        <v>302</v>
      </c>
      <c r="E1220" s="254" t="str">
        <f>_xlfn.XLOOKUP(C1220,Clientes!I:I,Clientes!F:F)</f>
        <v>NITROFERT SAS - COLOMBIA</v>
      </c>
      <c r="F1220" s="254">
        <v>8206</v>
      </c>
      <c r="G1220" s="254" t="s">
        <v>832</v>
      </c>
      <c r="H1220" s="254" t="s">
        <v>1025</v>
      </c>
      <c r="I1220" s="255">
        <v>24000</v>
      </c>
      <c r="J1220" s="256">
        <v>24000</v>
      </c>
      <c r="K1220" s="258">
        <v>1260724.6304971017</v>
      </c>
      <c r="L1220" s="258">
        <v>0</v>
      </c>
      <c r="M1220" s="258">
        <f t="shared" ref="M1220:M1283" si="78">SUM(K1220:L1220)</f>
        <v>1260724.6304971017</v>
      </c>
      <c r="N1220" s="258">
        <v>-335009.89</v>
      </c>
      <c r="O1220" s="258">
        <v>0</v>
      </c>
      <c r="P1220" s="258">
        <v>-3563.3724078935725</v>
      </c>
      <c r="Q1220" s="258">
        <f t="shared" ref="Q1220:Q1283" si="79">SUM(M1220:P1220)</f>
        <v>922151.36808920815</v>
      </c>
      <c r="R1220" s="259">
        <f t="shared" ref="R1220:R1283" si="80">Q1220/M1220</f>
        <v>0.73144550822776055</v>
      </c>
      <c r="S1220" s="255">
        <f t="shared" si="77"/>
        <v>52.53019293737924</v>
      </c>
      <c r="T1220" s="255">
        <f t="shared" si="77"/>
        <v>52.53019293737924</v>
      </c>
      <c r="U1220" s="254">
        <v>100300</v>
      </c>
      <c r="V1220" s="254" t="s">
        <v>917</v>
      </c>
      <c r="W1220" s="254" t="s">
        <v>998</v>
      </c>
      <c r="X1220" s="254" t="s">
        <v>446</v>
      </c>
      <c r="Y1220" s="254" t="s">
        <v>836</v>
      </c>
      <c r="Z1220" s="254" t="s">
        <v>1137</v>
      </c>
      <c r="AA1220" s="254" t="s">
        <v>838</v>
      </c>
    </row>
    <row r="1221" spans="1:27" ht="14.4" x14ac:dyDescent="0.3">
      <c r="A1221" s="253">
        <v>13</v>
      </c>
      <c r="B1221" s="254" t="s">
        <v>852</v>
      </c>
      <c r="C1221" s="254">
        <v>5053</v>
      </c>
      <c r="D1221" s="254" t="s">
        <v>223</v>
      </c>
      <c r="E1221" s="254" t="str">
        <f>_xlfn.XLOOKUP(C1221,Clientes!I:I,Clientes!F:F)</f>
        <v>GRUPO ADUBOS ARAGUAIA</v>
      </c>
      <c r="F1221" s="254">
        <v>8214</v>
      </c>
      <c r="G1221" s="254" t="s">
        <v>840</v>
      </c>
      <c r="H1221" s="254" t="s">
        <v>922</v>
      </c>
      <c r="I1221" s="255">
        <v>5000</v>
      </c>
      <c r="J1221" s="256">
        <v>5000</v>
      </c>
      <c r="K1221" s="258">
        <v>199178.23298821421</v>
      </c>
      <c r="L1221" s="258">
        <v>-13926.500000000002</v>
      </c>
      <c r="M1221" s="258">
        <f t="shared" si="78"/>
        <v>185251.73298821421</v>
      </c>
      <c r="N1221" s="258">
        <v>-45306.93305084746</v>
      </c>
      <c r="O1221" s="258">
        <v>-11315.712000000007</v>
      </c>
      <c r="P1221" s="258">
        <v>-5.7508187779023272</v>
      </c>
      <c r="Q1221" s="258">
        <f t="shared" si="79"/>
        <v>128623.33711858884</v>
      </c>
      <c r="R1221" s="259">
        <f t="shared" si="80"/>
        <v>0.69431651215253087</v>
      </c>
      <c r="S1221" s="255">
        <f t="shared" si="77"/>
        <v>39.835646597642842</v>
      </c>
      <c r="T1221" s="255">
        <f t="shared" si="77"/>
        <v>39.835646597642842</v>
      </c>
      <c r="U1221" s="254">
        <v>100300</v>
      </c>
      <c r="V1221" s="254" t="s">
        <v>917</v>
      </c>
      <c r="W1221" s="254" t="s">
        <v>842</v>
      </c>
      <c r="X1221" s="254" t="s">
        <v>446</v>
      </c>
      <c r="Y1221" s="254" t="s">
        <v>843</v>
      </c>
      <c r="Z1221" s="254" t="s">
        <v>1137</v>
      </c>
      <c r="AA1221" s="254" t="s">
        <v>838</v>
      </c>
    </row>
    <row r="1222" spans="1:27" ht="14.4" x14ac:dyDescent="0.3">
      <c r="A1222" s="253">
        <v>13</v>
      </c>
      <c r="B1222" s="254" t="s">
        <v>852</v>
      </c>
      <c r="C1222" s="254">
        <v>5695</v>
      </c>
      <c r="D1222" s="254" t="s">
        <v>1123</v>
      </c>
      <c r="E1222" s="254" t="str">
        <f>_xlfn.XLOOKUP(C1222,Clientes!I:I,Clientes!F:F)</f>
        <v>GRUPO CAMPO RICO</v>
      </c>
      <c r="F1222" s="254">
        <v>8215</v>
      </c>
      <c r="G1222" s="254" t="s">
        <v>926</v>
      </c>
      <c r="H1222" s="254" t="s">
        <v>947</v>
      </c>
      <c r="I1222" s="255">
        <v>12000</v>
      </c>
      <c r="J1222" s="256">
        <v>12000</v>
      </c>
      <c r="K1222" s="258">
        <v>360412.98756349389</v>
      </c>
      <c r="L1222" s="258">
        <v>-25200.000000000004</v>
      </c>
      <c r="M1222" s="258">
        <f t="shared" si="78"/>
        <v>335212.98756349389</v>
      </c>
      <c r="N1222" s="258">
        <v>-159905.73260869566</v>
      </c>
      <c r="O1222" s="258">
        <v>-19714.091999999993</v>
      </c>
      <c r="P1222" s="258">
        <v>-10.019004589626702</v>
      </c>
      <c r="Q1222" s="258">
        <f t="shared" si="79"/>
        <v>155583.14395020861</v>
      </c>
      <c r="R1222" s="259">
        <f t="shared" si="80"/>
        <v>0.46413220764824648</v>
      </c>
      <c r="S1222" s="255">
        <f t="shared" si="77"/>
        <v>30.034415630291157</v>
      </c>
      <c r="T1222" s="255">
        <f t="shared" si="77"/>
        <v>30.034415630291157</v>
      </c>
      <c r="U1222" s="254">
        <v>100300</v>
      </c>
      <c r="V1222" s="254" t="s">
        <v>917</v>
      </c>
      <c r="W1222" s="254" t="s">
        <v>1124</v>
      </c>
      <c r="X1222" s="254" t="s">
        <v>446</v>
      </c>
      <c r="Y1222" s="254" t="s">
        <v>843</v>
      </c>
      <c r="Z1222" s="254" t="s">
        <v>1137</v>
      </c>
      <c r="AA1222" s="254" t="s">
        <v>838</v>
      </c>
    </row>
    <row r="1223" spans="1:27" ht="14.4" x14ac:dyDescent="0.3">
      <c r="A1223" s="253">
        <v>13</v>
      </c>
      <c r="B1223" s="254" t="s">
        <v>852</v>
      </c>
      <c r="C1223" s="254">
        <v>10891</v>
      </c>
      <c r="D1223" s="254" t="s">
        <v>104</v>
      </c>
      <c r="E1223" s="254" t="str">
        <f>_xlfn.XLOOKUP(C1223,Clientes!I:I,Clientes!F:F)</f>
        <v>GRUPO HINOVE</v>
      </c>
      <c r="F1223" s="254">
        <v>8214</v>
      </c>
      <c r="G1223" s="254" t="s">
        <v>924</v>
      </c>
      <c r="H1223" s="254" t="s">
        <v>922</v>
      </c>
      <c r="I1223" s="255">
        <v>4000</v>
      </c>
      <c r="J1223" s="256">
        <v>4000</v>
      </c>
      <c r="K1223" s="258">
        <v>124542.71014694068</v>
      </c>
      <c r="L1223" s="258">
        <v>-8708</v>
      </c>
      <c r="M1223" s="258">
        <f t="shared" si="78"/>
        <v>115834.71014694068</v>
      </c>
      <c r="N1223" s="258">
        <v>-36245.546440677972</v>
      </c>
      <c r="O1223" s="258">
        <v>-7691.1480000000047</v>
      </c>
      <c r="P1223" s="258">
        <v>-3.9087596381054888</v>
      </c>
      <c r="Q1223" s="258">
        <f t="shared" si="79"/>
        <v>71894.106946624612</v>
      </c>
      <c r="R1223" s="259">
        <f t="shared" si="80"/>
        <v>0.62066117190110148</v>
      </c>
      <c r="S1223" s="255">
        <f t="shared" si="77"/>
        <v>31.135677536735169</v>
      </c>
      <c r="T1223" s="255">
        <f t="shared" si="77"/>
        <v>31.135677536735169</v>
      </c>
      <c r="U1223" s="254">
        <v>100300</v>
      </c>
      <c r="V1223" s="254" t="s">
        <v>917</v>
      </c>
      <c r="W1223" s="254" t="s">
        <v>925</v>
      </c>
      <c r="X1223" s="254" t="s">
        <v>446</v>
      </c>
      <c r="Y1223" s="254" t="s">
        <v>843</v>
      </c>
      <c r="Z1223" s="254" t="s">
        <v>1137</v>
      </c>
      <c r="AA1223" s="254" t="s">
        <v>838</v>
      </c>
    </row>
    <row r="1224" spans="1:27" ht="14.4" x14ac:dyDescent="0.3">
      <c r="A1224" s="253">
        <v>13</v>
      </c>
      <c r="B1224" s="254" t="s">
        <v>852</v>
      </c>
      <c r="C1224" s="254">
        <v>7648</v>
      </c>
      <c r="D1224" s="254" t="s">
        <v>958</v>
      </c>
      <c r="E1224" s="254" t="str">
        <f>_xlfn.XLOOKUP(C1224,Clientes!I:I,Clientes!F:F)</f>
        <v>GRUPO LOUIS DREYFUS</v>
      </c>
      <c r="F1224" s="254">
        <v>8215</v>
      </c>
      <c r="G1224" s="254" t="s">
        <v>862</v>
      </c>
      <c r="H1224" s="254" t="s">
        <v>947</v>
      </c>
      <c r="I1224" s="255">
        <v>8000</v>
      </c>
      <c r="J1224" s="256">
        <v>8000</v>
      </c>
      <c r="K1224" s="258">
        <v>270710.19954769098</v>
      </c>
      <c r="L1224" s="258">
        <v>-32448</v>
      </c>
      <c r="M1224" s="258">
        <f t="shared" si="78"/>
        <v>238262.19954769098</v>
      </c>
      <c r="N1224" s="258">
        <v>-106603.82173913045</v>
      </c>
      <c r="O1224" s="258">
        <v>-9901.2479999999723</v>
      </c>
      <c r="P1224" s="258">
        <v>-5.0319664306645189</v>
      </c>
      <c r="Q1224" s="258">
        <f t="shared" si="79"/>
        <v>121752.09784212989</v>
      </c>
      <c r="R1224" s="259">
        <f t="shared" si="80"/>
        <v>0.51100047793254666</v>
      </c>
      <c r="S1224" s="255">
        <f t="shared" si="77"/>
        <v>33.838774943461374</v>
      </c>
      <c r="T1224" s="255">
        <f t="shared" si="77"/>
        <v>33.838774943461374</v>
      </c>
      <c r="U1224" s="254">
        <v>100300</v>
      </c>
      <c r="V1224" s="254" t="s">
        <v>917</v>
      </c>
      <c r="W1224" s="254" t="s">
        <v>864</v>
      </c>
      <c r="X1224" s="254" t="s">
        <v>446</v>
      </c>
      <c r="Y1224" s="254" t="s">
        <v>843</v>
      </c>
      <c r="Z1224" s="254" t="s">
        <v>1137</v>
      </c>
      <c r="AA1224" s="254" t="s">
        <v>838</v>
      </c>
    </row>
    <row r="1225" spans="1:27" ht="14.4" x14ac:dyDescent="0.3">
      <c r="A1225" s="253">
        <v>13</v>
      </c>
      <c r="B1225" s="254" t="s">
        <v>852</v>
      </c>
      <c r="C1225" s="254">
        <v>6124</v>
      </c>
      <c r="D1225" s="254" t="s">
        <v>891</v>
      </c>
      <c r="E1225" s="254" t="str">
        <f>_xlfn.XLOOKUP(C1225,Clientes!I:I,Clientes!F:F)</f>
        <v>GRUPO MOSAIC FERTILIZANTES DO BRASIL</v>
      </c>
      <c r="F1225" s="254">
        <v>8215</v>
      </c>
      <c r="G1225" s="254" t="s">
        <v>855</v>
      </c>
      <c r="H1225" s="254" t="s">
        <v>947</v>
      </c>
      <c r="I1225" s="255">
        <v>24000</v>
      </c>
      <c r="J1225" s="256">
        <v>24000</v>
      </c>
      <c r="K1225" s="258">
        <v>870517.50262835901</v>
      </c>
      <c r="L1225" s="258">
        <v>0</v>
      </c>
      <c r="M1225" s="258">
        <f t="shared" si="78"/>
        <v>870517.50262835901</v>
      </c>
      <c r="N1225" s="258">
        <v>-319811.46521739132</v>
      </c>
      <c r="O1225" s="258">
        <v>-4003.2278000000001</v>
      </c>
      <c r="P1225" s="258">
        <v>-2.0345019035886218</v>
      </c>
      <c r="Q1225" s="258">
        <f t="shared" si="79"/>
        <v>546700.77510906418</v>
      </c>
      <c r="R1225" s="259">
        <f t="shared" si="80"/>
        <v>0.62801813112132387</v>
      </c>
      <c r="S1225" s="255">
        <f t="shared" si="77"/>
        <v>36.271562609514959</v>
      </c>
      <c r="T1225" s="255">
        <f t="shared" si="77"/>
        <v>36.271562609514959</v>
      </c>
      <c r="U1225" s="254">
        <v>100300</v>
      </c>
      <c r="V1225" s="254" t="s">
        <v>917</v>
      </c>
      <c r="W1225" s="254" t="s">
        <v>892</v>
      </c>
      <c r="X1225" s="254" t="s">
        <v>446</v>
      </c>
      <c r="Y1225" s="254" t="s">
        <v>843</v>
      </c>
      <c r="Z1225" s="254" t="s">
        <v>1137</v>
      </c>
      <c r="AA1225" s="254" t="s">
        <v>838</v>
      </c>
    </row>
    <row r="1226" spans="1:27" ht="14.4" x14ac:dyDescent="0.3">
      <c r="A1226" s="253">
        <v>13</v>
      </c>
      <c r="B1226" s="254" t="s">
        <v>852</v>
      </c>
      <c r="C1226" s="254">
        <v>97</v>
      </c>
      <c r="D1226" s="254" t="s">
        <v>300</v>
      </c>
      <c r="E1226" s="254" t="str">
        <f>_xlfn.XLOOKUP(C1226,Clientes!I:I,Clientes!F:F)</f>
        <v>FECOAGRO FEDERACAO DAS COOPERATIVAS</v>
      </c>
      <c r="F1226" s="254">
        <v>8223</v>
      </c>
      <c r="G1226" s="254" t="s">
        <v>893</v>
      </c>
      <c r="H1226" s="254" t="s">
        <v>920</v>
      </c>
      <c r="I1226" s="255">
        <v>12000</v>
      </c>
      <c r="J1226" s="256">
        <v>12000</v>
      </c>
      <c r="K1226" s="258">
        <v>456523.11758042563</v>
      </c>
      <c r="L1226" s="258">
        <v>-54720</v>
      </c>
      <c r="M1226" s="258">
        <f t="shared" si="78"/>
        <v>401803.11758042563</v>
      </c>
      <c r="N1226" s="258">
        <v>-138830.76999999999</v>
      </c>
      <c r="O1226" s="258">
        <v>-9901.2479999999723</v>
      </c>
      <c r="P1226" s="258">
        <v>-5.0319664306645189</v>
      </c>
      <c r="Q1226" s="258">
        <f t="shared" si="79"/>
        <v>253066.06761399505</v>
      </c>
      <c r="R1226" s="259">
        <f t="shared" si="80"/>
        <v>0.62982604300809308</v>
      </c>
      <c r="S1226" s="255">
        <f t="shared" si="77"/>
        <v>38.043593131702139</v>
      </c>
      <c r="T1226" s="255">
        <f t="shared" si="77"/>
        <v>38.043593131702139</v>
      </c>
      <c r="U1226" s="254">
        <v>100300</v>
      </c>
      <c r="V1226" s="254" t="s">
        <v>917</v>
      </c>
      <c r="W1226" s="254" t="s">
        <v>894</v>
      </c>
      <c r="X1226" s="254" t="s">
        <v>446</v>
      </c>
      <c r="Y1226" s="254" t="s">
        <v>843</v>
      </c>
      <c r="Z1226" s="254" t="s">
        <v>1137</v>
      </c>
      <c r="AA1226" s="254" t="s">
        <v>838</v>
      </c>
    </row>
    <row r="1227" spans="1:27" ht="14.4" x14ac:dyDescent="0.3">
      <c r="A1227" s="253">
        <v>13</v>
      </c>
      <c r="B1227" s="254" t="s">
        <v>852</v>
      </c>
      <c r="C1227" s="254">
        <v>3426</v>
      </c>
      <c r="D1227" s="254" t="s">
        <v>350</v>
      </c>
      <c r="E1227" s="254" t="str">
        <f>_xlfn.XLOOKUP(C1227,Clientes!I:I,Clientes!F:F)</f>
        <v>C I ACEPALMA SA - COLOMBIA</v>
      </c>
      <c r="F1227" s="254">
        <v>8204</v>
      </c>
      <c r="G1227" s="254" t="s">
        <v>832</v>
      </c>
      <c r="H1227" s="254" t="s">
        <v>1035</v>
      </c>
      <c r="I1227" s="255">
        <v>11000</v>
      </c>
      <c r="J1227" s="256">
        <v>11000</v>
      </c>
      <c r="K1227" s="258">
        <v>519465.24126963917</v>
      </c>
      <c r="L1227" s="258">
        <v>0</v>
      </c>
      <c r="M1227" s="258">
        <f t="shared" si="78"/>
        <v>519465.24126963917</v>
      </c>
      <c r="N1227" s="258">
        <v>-217431</v>
      </c>
      <c r="O1227" s="258">
        <v>0</v>
      </c>
      <c r="P1227" s="258">
        <v>-1633.2123536178874</v>
      </c>
      <c r="Q1227" s="258">
        <f t="shared" si="79"/>
        <v>300401.02891602129</v>
      </c>
      <c r="R1227" s="259">
        <f t="shared" si="80"/>
        <v>0.57828898846398835</v>
      </c>
      <c r="S1227" s="255">
        <f t="shared" si="77"/>
        <v>47.224112842694467</v>
      </c>
      <c r="T1227" s="255">
        <f t="shared" si="77"/>
        <v>47.224112842694467</v>
      </c>
      <c r="U1227" s="254">
        <v>100300</v>
      </c>
      <c r="V1227" s="254" t="s">
        <v>917</v>
      </c>
      <c r="W1227" s="254" t="s">
        <v>1065</v>
      </c>
      <c r="X1227" s="254" t="s">
        <v>446</v>
      </c>
      <c r="Y1227" s="254" t="s">
        <v>836</v>
      </c>
      <c r="Z1227" s="254" t="s">
        <v>1137</v>
      </c>
      <c r="AA1227" s="254" t="s">
        <v>838</v>
      </c>
    </row>
    <row r="1228" spans="1:27" ht="14.4" x14ac:dyDescent="0.3">
      <c r="A1228" s="253">
        <v>13</v>
      </c>
      <c r="B1228" s="254" t="s">
        <v>852</v>
      </c>
      <c r="C1228" s="254">
        <v>8413</v>
      </c>
      <c r="D1228" s="254" t="s">
        <v>97</v>
      </c>
      <c r="E1228" s="254" t="str">
        <f>_xlfn.XLOOKUP(C1228,Clientes!I:I,Clientes!F:F)</f>
        <v>GRUPO AMAGGI</v>
      </c>
      <c r="F1228" s="254">
        <v>8214</v>
      </c>
      <c r="G1228" s="254" t="s">
        <v>840</v>
      </c>
      <c r="H1228" s="254" t="s">
        <v>922</v>
      </c>
      <c r="I1228" s="255">
        <v>24000</v>
      </c>
      <c r="J1228" s="256">
        <v>24000</v>
      </c>
      <c r="K1228" s="258">
        <v>747496.5362066864</v>
      </c>
      <c r="L1228" s="258">
        <v>-52264.800000000003</v>
      </c>
      <c r="M1228" s="258">
        <f t="shared" si="78"/>
        <v>695231.73620668636</v>
      </c>
      <c r="N1228" s="258">
        <v>-217473.27864406785</v>
      </c>
      <c r="O1228" s="258">
        <v>-19700.094700000001</v>
      </c>
      <c r="P1228" s="258">
        <v>-10.011890946607165</v>
      </c>
      <c r="Q1228" s="258">
        <f t="shared" si="79"/>
        <v>458048.35097167193</v>
      </c>
      <c r="R1228" s="259">
        <f t="shared" si="80"/>
        <v>0.65884269534481976</v>
      </c>
      <c r="S1228" s="255">
        <f t="shared" si="77"/>
        <v>31.145689008611935</v>
      </c>
      <c r="T1228" s="255">
        <f t="shared" si="77"/>
        <v>31.145689008611935</v>
      </c>
      <c r="U1228" s="254">
        <v>100300</v>
      </c>
      <c r="V1228" s="254" t="s">
        <v>917</v>
      </c>
      <c r="W1228" s="254" t="s">
        <v>915</v>
      </c>
      <c r="X1228" s="254" t="s">
        <v>446</v>
      </c>
      <c r="Y1228" s="254" t="s">
        <v>843</v>
      </c>
      <c r="Z1228" s="254" t="s">
        <v>1137</v>
      </c>
      <c r="AA1228" s="254" t="s">
        <v>838</v>
      </c>
    </row>
    <row r="1229" spans="1:27" ht="14.4" x14ac:dyDescent="0.3">
      <c r="A1229" s="253">
        <v>13</v>
      </c>
      <c r="B1229" s="254" t="s">
        <v>852</v>
      </c>
      <c r="C1229" s="254">
        <v>1936</v>
      </c>
      <c r="D1229" s="254" t="s">
        <v>889</v>
      </c>
      <c r="E1229" s="254" t="str">
        <f>_xlfn.XLOOKUP(C1229,Clientes!I:I,Clientes!F:F)</f>
        <v>GRUPO AGRO INDUSTRIAL SAO LUIZ LTDA</v>
      </c>
      <c r="F1229" s="254">
        <v>8218</v>
      </c>
      <c r="G1229" s="254" t="s">
        <v>862</v>
      </c>
      <c r="H1229" s="254" t="s">
        <v>923</v>
      </c>
      <c r="I1229" s="255">
        <v>10000</v>
      </c>
      <c r="J1229" s="256">
        <v>10000</v>
      </c>
      <c r="K1229" s="258">
        <v>300143.9268653763</v>
      </c>
      <c r="L1229" s="258">
        <v>-35976</v>
      </c>
      <c r="M1229" s="258">
        <f t="shared" si="78"/>
        <v>264167.9268653763</v>
      </c>
      <c r="N1229" s="258">
        <v>-106419.39047619049</v>
      </c>
      <c r="O1229" s="258">
        <v>0</v>
      </c>
      <c r="P1229" s="258">
        <v>0</v>
      </c>
      <c r="Q1229" s="258">
        <f t="shared" si="79"/>
        <v>157748.53638918581</v>
      </c>
      <c r="R1229" s="259">
        <f t="shared" si="80"/>
        <v>0.59715249410113547</v>
      </c>
      <c r="S1229" s="255">
        <f t="shared" si="77"/>
        <v>30.014392686537629</v>
      </c>
      <c r="T1229" s="255">
        <f t="shared" si="77"/>
        <v>30.014392686537629</v>
      </c>
      <c r="U1229" s="254">
        <v>100300</v>
      </c>
      <c r="V1229" s="254" t="s">
        <v>917</v>
      </c>
      <c r="W1229" s="254" t="s">
        <v>864</v>
      </c>
      <c r="X1229" s="254" t="s">
        <v>446</v>
      </c>
      <c r="Y1229" s="254" t="s">
        <v>843</v>
      </c>
      <c r="Z1229" s="254" t="s">
        <v>1137</v>
      </c>
      <c r="AA1229" s="254" t="s">
        <v>838</v>
      </c>
    </row>
    <row r="1230" spans="1:27" ht="14.4" x14ac:dyDescent="0.3">
      <c r="A1230" s="253">
        <v>13</v>
      </c>
      <c r="B1230" s="254" t="s">
        <v>852</v>
      </c>
      <c r="C1230" s="254">
        <v>7745</v>
      </c>
      <c r="D1230" s="254" t="s">
        <v>320</v>
      </c>
      <c r="E1230" s="254" t="str">
        <f>_xlfn.XLOOKUP(C1230,Clientes!I:I,Clientes!F:F)</f>
        <v>GRUPO LOUIS DREYFUS</v>
      </c>
      <c r="F1230" s="254">
        <v>8215</v>
      </c>
      <c r="G1230" s="254" t="s">
        <v>840</v>
      </c>
      <c r="H1230" s="254" t="s">
        <v>947</v>
      </c>
      <c r="I1230" s="255">
        <v>4000</v>
      </c>
      <c r="J1230" s="256">
        <v>4000</v>
      </c>
      <c r="K1230" s="258">
        <v>137557.62358673351</v>
      </c>
      <c r="L1230" s="258">
        <v>-9618.0000000000018</v>
      </c>
      <c r="M1230" s="258">
        <f t="shared" si="78"/>
        <v>127939.62358673351</v>
      </c>
      <c r="N1230" s="258">
        <v>-53301.910869565225</v>
      </c>
      <c r="O1230" s="258">
        <v>-11138.904000000013</v>
      </c>
      <c r="P1230" s="258">
        <v>-5.6609622344976067</v>
      </c>
      <c r="Q1230" s="258">
        <f t="shared" si="79"/>
        <v>63493.147754933772</v>
      </c>
      <c r="R1230" s="259">
        <f t="shared" si="80"/>
        <v>0.49627430482387003</v>
      </c>
      <c r="S1230" s="255">
        <f t="shared" si="77"/>
        <v>34.389405896683378</v>
      </c>
      <c r="T1230" s="255">
        <f t="shared" si="77"/>
        <v>34.389405896683378</v>
      </c>
      <c r="U1230" s="254">
        <v>100300</v>
      </c>
      <c r="V1230" s="254" t="s">
        <v>917</v>
      </c>
      <c r="W1230" s="254" t="s">
        <v>1128</v>
      </c>
      <c r="X1230" s="254" t="s">
        <v>446</v>
      </c>
      <c r="Y1230" s="254" t="s">
        <v>843</v>
      </c>
      <c r="Z1230" s="254" t="s">
        <v>1137</v>
      </c>
      <c r="AA1230" s="254" t="s">
        <v>838</v>
      </c>
    </row>
    <row r="1231" spans="1:27" ht="14.4" x14ac:dyDescent="0.3">
      <c r="A1231" s="253">
        <v>13</v>
      </c>
      <c r="B1231" s="254" t="s">
        <v>852</v>
      </c>
      <c r="C1231" s="254">
        <v>7102</v>
      </c>
      <c r="D1231" s="254" t="s">
        <v>906</v>
      </c>
      <c r="E1231" s="254" t="str">
        <f>_xlfn.XLOOKUP(C1231,Clientes!I:I,Clientes!F:F)</f>
        <v>GRUPO MOSAIC FERTILIZANTES DO BRASIL</v>
      </c>
      <c r="F1231" s="254">
        <v>8215</v>
      </c>
      <c r="G1231" s="254" t="s">
        <v>840</v>
      </c>
      <c r="H1231" s="254" t="s">
        <v>947</v>
      </c>
      <c r="I1231" s="255">
        <v>20000</v>
      </c>
      <c r="J1231" s="256">
        <v>20000</v>
      </c>
      <c r="K1231" s="258">
        <v>740848.91888051527</v>
      </c>
      <c r="L1231" s="258">
        <v>-51800.000000000007</v>
      </c>
      <c r="M1231" s="258">
        <f t="shared" si="78"/>
        <v>689048.91888051527</v>
      </c>
      <c r="N1231" s="258">
        <v>-266509.55434782611</v>
      </c>
      <c r="O1231" s="258">
        <v>-11071.1276</v>
      </c>
      <c r="P1231" s="258">
        <v>-5.6265172261924556</v>
      </c>
      <c r="Q1231" s="258">
        <f t="shared" si="79"/>
        <v>411462.61041546293</v>
      </c>
      <c r="R1231" s="259">
        <f t="shared" si="80"/>
        <v>0.59714571656822046</v>
      </c>
      <c r="S1231" s="255">
        <f t="shared" si="77"/>
        <v>37.042445944025765</v>
      </c>
      <c r="T1231" s="255">
        <f t="shared" si="77"/>
        <v>37.042445944025765</v>
      </c>
      <c r="U1231" s="254">
        <v>100300</v>
      </c>
      <c r="V1231" s="254" t="s">
        <v>917</v>
      </c>
      <c r="W1231" s="254" t="s">
        <v>861</v>
      </c>
      <c r="X1231" s="254" t="s">
        <v>446</v>
      </c>
      <c r="Y1231" s="254" t="s">
        <v>843</v>
      </c>
      <c r="Z1231" s="254" t="s">
        <v>1137</v>
      </c>
      <c r="AA1231" s="254" t="s">
        <v>838</v>
      </c>
    </row>
    <row r="1232" spans="1:27" ht="14.4" x14ac:dyDescent="0.3">
      <c r="A1232" s="253">
        <v>13</v>
      </c>
      <c r="B1232" s="254" t="s">
        <v>852</v>
      </c>
      <c r="C1232" s="254">
        <v>10492</v>
      </c>
      <c r="D1232" s="254" t="s">
        <v>101</v>
      </c>
      <c r="E1232" s="254" t="str">
        <f>_xlfn.XLOOKUP(C1232,Clientes!I:I,Clientes!F:F)</f>
        <v>GRUPO UNIFERTIL</v>
      </c>
      <c r="F1232" s="254">
        <v>8216</v>
      </c>
      <c r="G1232" s="254" t="s">
        <v>877</v>
      </c>
      <c r="H1232" s="254" t="s">
        <v>938</v>
      </c>
      <c r="I1232" s="255">
        <v>24000</v>
      </c>
      <c r="J1232" s="256">
        <v>24000</v>
      </c>
      <c r="K1232" s="258">
        <v>746535.43490651704</v>
      </c>
      <c r="L1232" s="258">
        <v>-89481.599999999991</v>
      </c>
      <c r="M1232" s="258">
        <f t="shared" si="78"/>
        <v>657053.83490651706</v>
      </c>
      <c r="N1232" s="258">
        <v>-228901.05</v>
      </c>
      <c r="O1232" s="258">
        <v>-25187.772999999997</v>
      </c>
      <c r="P1232" s="258">
        <v>-12.800813412531278</v>
      </c>
      <c r="Q1232" s="258">
        <f t="shared" si="79"/>
        <v>402952.21109310456</v>
      </c>
      <c r="R1232" s="259">
        <f t="shared" si="80"/>
        <v>0.61327122632262687</v>
      </c>
      <c r="S1232" s="255">
        <f t="shared" si="77"/>
        <v>31.105643121104876</v>
      </c>
      <c r="T1232" s="255">
        <f t="shared" si="77"/>
        <v>31.105643121104876</v>
      </c>
      <c r="U1232" s="254">
        <v>100300</v>
      </c>
      <c r="V1232" s="254" t="s">
        <v>917</v>
      </c>
      <c r="W1232" s="254" t="s">
        <v>878</v>
      </c>
      <c r="X1232" s="254" t="s">
        <v>446</v>
      </c>
      <c r="Y1232" s="254" t="s">
        <v>843</v>
      </c>
      <c r="Z1232" s="254" t="s">
        <v>1137</v>
      </c>
      <c r="AA1232" s="254" t="s">
        <v>838</v>
      </c>
    </row>
    <row r="1233" spans="1:27" ht="14.4" x14ac:dyDescent="0.3">
      <c r="A1233" s="253">
        <v>11</v>
      </c>
      <c r="B1233" s="254" t="s">
        <v>852</v>
      </c>
      <c r="C1233" s="254">
        <v>5300</v>
      </c>
      <c r="D1233" s="254" t="s">
        <v>25</v>
      </c>
      <c r="E1233" s="254" t="str">
        <f>_xlfn.XLOOKUP(C1233,Clientes!I:I,Clientes!F:F)</f>
        <v>FOSNOR - LUIS EDUARDO MAGALHAES</v>
      </c>
      <c r="F1233" s="254">
        <v>4246</v>
      </c>
      <c r="G1233" s="254" t="s">
        <v>875</v>
      </c>
      <c r="H1233" s="254" t="s">
        <v>959</v>
      </c>
      <c r="I1233" s="255">
        <v>120000</v>
      </c>
      <c r="J1233" s="256">
        <v>120000</v>
      </c>
      <c r="K1233" s="258">
        <v>702000</v>
      </c>
      <c r="L1233" s="258">
        <v>-49140.000000000007</v>
      </c>
      <c r="M1233" s="258">
        <f t="shared" si="78"/>
        <v>652860</v>
      </c>
      <c r="N1233" s="258">
        <v>-316524.59999999998</v>
      </c>
      <c r="O1233" s="258">
        <v>-61935.332659199994</v>
      </c>
      <c r="P1233" s="258">
        <v>-31.476488096564708</v>
      </c>
      <c r="Q1233" s="258">
        <f t="shared" si="79"/>
        <v>274368.59085270343</v>
      </c>
      <c r="R1233" s="259">
        <f t="shared" si="80"/>
        <v>0.42025639624529521</v>
      </c>
      <c r="S1233" s="255">
        <f t="shared" si="77"/>
        <v>5.85</v>
      </c>
      <c r="T1233" s="255">
        <f t="shared" si="77"/>
        <v>5.85</v>
      </c>
      <c r="U1233" s="254">
        <v>100700</v>
      </c>
      <c r="V1233" s="254" t="s">
        <v>960</v>
      </c>
      <c r="W1233" s="254" t="s">
        <v>961</v>
      </c>
      <c r="X1233" s="254" t="s">
        <v>446</v>
      </c>
      <c r="Y1233" s="254" t="s">
        <v>843</v>
      </c>
      <c r="Z1233" s="254" t="s">
        <v>1137</v>
      </c>
      <c r="AA1233" s="254" t="s">
        <v>838</v>
      </c>
    </row>
    <row r="1234" spans="1:27" ht="14.4" x14ac:dyDescent="0.3">
      <c r="A1234" s="253">
        <v>11</v>
      </c>
      <c r="B1234" s="254" t="s">
        <v>852</v>
      </c>
      <c r="C1234" s="254">
        <v>6370</v>
      </c>
      <c r="D1234" s="254" t="s">
        <v>264</v>
      </c>
      <c r="E1234" s="254" t="str">
        <f>_xlfn.XLOOKUP(C1234,Clientes!I:I,Clientes!F:F)</f>
        <v>YTL S.A. - PARAGUAI</v>
      </c>
      <c r="F1234" s="254">
        <v>7010</v>
      </c>
      <c r="G1234" s="254" t="s">
        <v>832</v>
      </c>
      <c r="H1234" s="254" t="s">
        <v>971</v>
      </c>
      <c r="I1234" s="255">
        <v>28000</v>
      </c>
      <c r="J1234" s="256">
        <v>28000</v>
      </c>
      <c r="K1234" s="258">
        <v>189840</v>
      </c>
      <c r="L1234" s="258">
        <v>0</v>
      </c>
      <c r="M1234" s="258">
        <f t="shared" si="78"/>
        <v>189840</v>
      </c>
      <c r="N1234" s="258">
        <v>-75852</v>
      </c>
      <c r="O1234" s="258">
        <v>-28440.27648</v>
      </c>
      <c r="P1234" s="258">
        <v>-4171.721594886103</v>
      </c>
      <c r="Q1234" s="258">
        <f t="shared" si="79"/>
        <v>81376.001925113902</v>
      </c>
      <c r="R1234" s="259">
        <f t="shared" si="80"/>
        <v>0.42865572021235726</v>
      </c>
      <c r="S1234" s="255">
        <f t="shared" si="77"/>
        <v>6.78</v>
      </c>
      <c r="T1234" s="255">
        <f t="shared" si="77"/>
        <v>6.78</v>
      </c>
      <c r="U1234" s="254">
        <v>100700</v>
      </c>
      <c r="V1234" s="254" t="s">
        <v>960</v>
      </c>
      <c r="W1234" s="254" t="s">
        <v>896</v>
      </c>
      <c r="X1234" s="254" t="s">
        <v>446</v>
      </c>
      <c r="Y1234" s="254" t="s">
        <v>836</v>
      </c>
      <c r="Z1234" s="254" t="s">
        <v>1137</v>
      </c>
      <c r="AA1234" s="254" t="s">
        <v>838</v>
      </c>
    </row>
    <row r="1235" spans="1:27" ht="14.4" x14ac:dyDescent="0.3">
      <c r="A1235" s="253">
        <v>11</v>
      </c>
      <c r="B1235" s="254" t="s">
        <v>852</v>
      </c>
      <c r="C1235" s="254">
        <v>1792</v>
      </c>
      <c r="D1235" s="254" t="s">
        <v>970</v>
      </c>
      <c r="E1235" s="254" t="str">
        <f>_xlfn.XLOOKUP(C1235,Clientes!I:I,Clientes!F:F)</f>
        <v>GRUPO MOSAIC FERTILIZANTES P K LTDA</v>
      </c>
      <c r="F1235" s="254">
        <v>3359</v>
      </c>
      <c r="G1235" s="254" t="s">
        <v>867</v>
      </c>
      <c r="H1235" s="254" t="s">
        <v>967</v>
      </c>
      <c r="I1235" s="255">
        <v>90000</v>
      </c>
      <c r="J1235" s="256">
        <v>90000</v>
      </c>
      <c r="K1235" s="258">
        <v>351000</v>
      </c>
      <c r="L1235" s="258">
        <v>-24570.000000000004</v>
      </c>
      <c r="M1235" s="258">
        <f t="shared" si="78"/>
        <v>326430</v>
      </c>
      <c r="N1235" s="258">
        <v>-220579.35576923078</v>
      </c>
      <c r="O1235" s="258">
        <v>-7326.4814999999999</v>
      </c>
      <c r="P1235" s="258">
        <v>-3.7234305173332429</v>
      </c>
      <c r="Q1235" s="258">
        <f t="shared" si="79"/>
        <v>98520.439300251892</v>
      </c>
      <c r="R1235" s="259">
        <f t="shared" si="80"/>
        <v>0.3018118411305698</v>
      </c>
      <c r="S1235" s="255">
        <f t="shared" si="77"/>
        <v>3.9</v>
      </c>
      <c r="T1235" s="255">
        <f t="shared" si="77"/>
        <v>3.9</v>
      </c>
      <c r="U1235" s="254">
        <v>100700</v>
      </c>
      <c r="V1235" s="254" t="s">
        <v>960</v>
      </c>
      <c r="W1235" s="254" t="s">
        <v>871</v>
      </c>
      <c r="X1235" s="254" t="s">
        <v>446</v>
      </c>
      <c r="Y1235" s="254" t="s">
        <v>843</v>
      </c>
      <c r="Z1235" s="254" t="s">
        <v>1137</v>
      </c>
      <c r="AA1235" s="254" t="s">
        <v>838</v>
      </c>
    </row>
    <row r="1236" spans="1:27" ht="14.4" x14ac:dyDescent="0.3">
      <c r="A1236" s="253">
        <v>11</v>
      </c>
      <c r="B1236" s="254" t="s">
        <v>852</v>
      </c>
      <c r="C1236" s="254">
        <v>2225</v>
      </c>
      <c r="D1236" s="254" t="s">
        <v>617</v>
      </c>
      <c r="E1236" s="254" t="str">
        <f>_xlfn.XLOOKUP(C1236,Clientes!I:I,Clientes!F:F)</f>
        <v>ITAFOS - ARRAIAS/TO</v>
      </c>
      <c r="F1236" s="254">
        <v>3351</v>
      </c>
      <c r="G1236" s="254" t="s">
        <v>974</v>
      </c>
      <c r="H1236" s="254" t="s">
        <v>965</v>
      </c>
      <c r="I1236" s="255">
        <v>60000</v>
      </c>
      <c r="J1236" s="256">
        <v>60000</v>
      </c>
      <c r="K1236" s="258">
        <v>324000</v>
      </c>
      <c r="L1236" s="258">
        <v>-22680.000000000004</v>
      </c>
      <c r="M1236" s="258">
        <f t="shared" si="78"/>
        <v>301320</v>
      </c>
      <c r="N1236" s="258">
        <v>-190887.73500000002</v>
      </c>
      <c r="O1236" s="258">
        <v>-27549.157708799998</v>
      </c>
      <c r="P1236" s="258">
        <v>-14.00090541957586</v>
      </c>
      <c r="Q1236" s="258">
        <f t="shared" si="79"/>
        <v>82869.106385780426</v>
      </c>
      <c r="R1236" s="259">
        <f t="shared" si="80"/>
        <v>0.27502026545128244</v>
      </c>
      <c r="S1236" s="255">
        <f t="shared" si="77"/>
        <v>5.4</v>
      </c>
      <c r="T1236" s="255">
        <f t="shared" si="77"/>
        <v>5.4</v>
      </c>
      <c r="U1236" s="254">
        <v>100700</v>
      </c>
      <c r="V1236" s="254" t="s">
        <v>960</v>
      </c>
      <c r="W1236" s="254" t="s">
        <v>975</v>
      </c>
      <c r="X1236" s="254" t="s">
        <v>446</v>
      </c>
      <c r="Y1236" s="254" t="s">
        <v>843</v>
      </c>
      <c r="Z1236" s="254" t="s">
        <v>1137</v>
      </c>
      <c r="AA1236" s="254" t="s">
        <v>838</v>
      </c>
    </row>
    <row r="1237" spans="1:27" ht="14.4" x14ac:dyDescent="0.3">
      <c r="A1237" s="253">
        <v>11</v>
      </c>
      <c r="B1237" s="254" t="s">
        <v>852</v>
      </c>
      <c r="C1237" s="254">
        <v>456</v>
      </c>
      <c r="D1237" s="254" t="s">
        <v>312</v>
      </c>
      <c r="E1237" s="254" t="str">
        <f>_xlfn.XLOOKUP(C1237,Clientes!I:I,Clientes!F:F)</f>
        <v>GRUPO FERTIPAR FERTILIZANTES DO NORDESTE</v>
      </c>
      <c r="F1237" s="254">
        <v>3353</v>
      </c>
      <c r="G1237" s="254" t="s">
        <v>875</v>
      </c>
      <c r="H1237" s="254" t="s">
        <v>972</v>
      </c>
      <c r="I1237" s="255">
        <v>30000</v>
      </c>
      <c r="J1237" s="256">
        <v>30000</v>
      </c>
      <c r="K1237" s="258">
        <v>185400</v>
      </c>
      <c r="L1237" s="258">
        <v>-12978.000000000002</v>
      </c>
      <c r="M1237" s="258">
        <f t="shared" si="78"/>
        <v>172422</v>
      </c>
      <c r="N1237" s="258">
        <v>-97302.37</v>
      </c>
      <c r="O1237" s="258">
        <v>-21548.474999999999</v>
      </c>
      <c r="P1237" s="258">
        <v>-10.951266227450713</v>
      </c>
      <c r="Q1237" s="258">
        <f t="shared" si="79"/>
        <v>53560.203733772556</v>
      </c>
      <c r="R1237" s="259">
        <f t="shared" si="80"/>
        <v>0.31063439545865701</v>
      </c>
      <c r="S1237" s="255">
        <f t="shared" si="77"/>
        <v>6.18</v>
      </c>
      <c r="T1237" s="255">
        <f t="shared" si="77"/>
        <v>6.18</v>
      </c>
      <c r="U1237" s="254">
        <v>100700</v>
      </c>
      <c r="V1237" s="254" t="s">
        <v>960</v>
      </c>
      <c r="W1237" s="254" t="s">
        <v>876</v>
      </c>
      <c r="X1237" s="254" t="s">
        <v>446</v>
      </c>
      <c r="Y1237" s="254" t="s">
        <v>843</v>
      </c>
      <c r="Z1237" s="254" t="s">
        <v>1137</v>
      </c>
      <c r="AA1237" s="254" t="s">
        <v>838</v>
      </c>
    </row>
    <row r="1238" spans="1:27" ht="14.4" x14ac:dyDescent="0.3">
      <c r="A1238" s="253">
        <v>11</v>
      </c>
      <c r="B1238" s="254" t="s">
        <v>852</v>
      </c>
      <c r="C1238" s="254">
        <v>1787</v>
      </c>
      <c r="D1238" s="254" t="s">
        <v>57</v>
      </c>
      <c r="E1238" s="254" t="str">
        <f>_xlfn.XLOOKUP(C1238,Clientes!I:I,Clientes!F:F)</f>
        <v>GRUPO MOSAIC FERTILIZANTES P K LTDA</v>
      </c>
      <c r="F1238" s="254">
        <v>3359</v>
      </c>
      <c r="G1238" s="254" t="s">
        <v>855</v>
      </c>
      <c r="H1238" s="254" t="s">
        <v>967</v>
      </c>
      <c r="I1238" s="255">
        <v>270000</v>
      </c>
      <c r="J1238" s="256">
        <v>270000</v>
      </c>
      <c r="K1238" s="258">
        <v>1047600</v>
      </c>
      <c r="L1238" s="258">
        <v>0</v>
      </c>
      <c r="M1238" s="258">
        <f t="shared" si="78"/>
        <v>1047600</v>
      </c>
      <c r="N1238" s="258">
        <v>-661738.06730769225</v>
      </c>
      <c r="O1238" s="258">
        <v>-21979.444499999998</v>
      </c>
      <c r="P1238" s="258">
        <v>-11.170291551999728</v>
      </c>
      <c r="Q1238" s="258">
        <f t="shared" si="79"/>
        <v>363871.31790075579</v>
      </c>
      <c r="R1238" s="259">
        <f t="shared" si="80"/>
        <v>0.3473380277784992</v>
      </c>
      <c r="S1238" s="255">
        <f t="shared" si="77"/>
        <v>3.88</v>
      </c>
      <c r="T1238" s="255">
        <f t="shared" si="77"/>
        <v>3.88</v>
      </c>
      <c r="U1238" s="254">
        <v>100700</v>
      </c>
      <c r="V1238" s="254" t="s">
        <v>960</v>
      </c>
      <c r="W1238" s="254" t="s">
        <v>892</v>
      </c>
      <c r="X1238" s="254" t="s">
        <v>446</v>
      </c>
      <c r="Y1238" s="254" t="s">
        <v>843</v>
      </c>
      <c r="Z1238" s="254" t="s">
        <v>1137</v>
      </c>
      <c r="AA1238" s="254" t="s">
        <v>838</v>
      </c>
    </row>
    <row r="1239" spans="1:27" ht="14.4" x14ac:dyDescent="0.3">
      <c r="A1239" s="253">
        <v>11</v>
      </c>
      <c r="B1239" s="254" t="s">
        <v>852</v>
      </c>
      <c r="C1239" s="254">
        <v>6477</v>
      </c>
      <c r="D1239" s="254" t="s">
        <v>87</v>
      </c>
      <c r="E1239" s="254" t="str">
        <f>_xlfn.XLOOKUP(C1239,Clientes!I:I,Clientes!F:F)</f>
        <v>GRUPO MOSAIC FERTILIZANTES DO BRASIL</v>
      </c>
      <c r="F1239" s="254">
        <v>3362</v>
      </c>
      <c r="G1239" s="254" t="s">
        <v>862</v>
      </c>
      <c r="H1239" s="254" t="s">
        <v>1097</v>
      </c>
      <c r="I1239" s="255">
        <v>300000</v>
      </c>
      <c r="J1239" s="256">
        <v>300000</v>
      </c>
      <c r="K1239" s="258">
        <v>1839000</v>
      </c>
      <c r="L1239" s="258">
        <v>-220680</v>
      </c>
      <c r="M1239" s="258">
        <f t="shared" si="78"/>
        <v>1618320</v>
      </c>
      <c r="N1239" s="258">
        <v>-953316</v>
      </c>
      <c r="O1239" s="258">
        <v>-140496.057</v>
      </c>
      <c r="P1239" s="258">
        <v>-71.402255802978658</v>
      </c>
      <c r="Q1239" s="258">
        <f t="shared" si="79"/>
        <v>524436.54074419697</v>
      </c>
      <c r="R1239" s="259">
        <f t="shared" si="80"/>
        <v>0.32406232435130072</v>
      </c>
      <c r="S1239" s="255">
        <f t="shared" si="77"/>
        <v>6.13</v>
      </c>
      <c r="T1239" s="255">
        <f t="shared" si="77"/>
        <v>6.13</v>
      </c>
      <c r="U1239" s="254">
        <v>100700</v>
      </c>
      <c r="V1239" s="254" t="s">
        <v>960</v>
      </c>
      <c r="W1239" s="254" t="s">
        <v>864</v>
      </c>
      <c r="X1239" s="254" t="s">
        <v>446</v>
      </c>
      <c r="Y1239" s="254" t="s">
        <v>843</v>
      </c>
      <c r="Z1239" s="254" t="s">
        <v>1137</v>
      </c>
      <c r="AA1239" s="254" t="s">
        <v>838</v>
      </c>
    </row>
    <row r="1240" spans="1:27" ht="14.4" x14ac:dyDescent="0.3">
      <c r="A1240" s="253">
        <v>11</v>
      </c>
      <c r="B1240" s="254" t="s">
        <v>852</v>
      </c>
      <c r="C1240" s="254">
        <v>2603</v>
      </c>
      <c r="D1240" s="254" t="s">
        <v>1074</v>
      </c>
      <c r="E1240" s="254" t="str">
        <f>_xlfn.XLOOKUP(C1240,Clientes!I:I,Clientes!F:F)</f>
        <v>GRUPO MOSAIC FERTILIZANTES DO BRASIL</v>
      </c>
      <c r="F1240" s="254">
        <v>3362</v>
      </c>
      <c r="G1240" s="254" t="s">
        <v>897</v>
      </c>
      <c r="H1240" s="254" t="s">
        <v>1097</v>
      </c>
      <c r="I1240" s="255">
        <v>60000</v>
      </c>
      <c r="J1240" s="256">
        <v>60000</v>
      </c>
      <c r="K1240" s="258">
        <v>386400</v>
      </c>
      <c r="L1240" s="258">
        <v>-27048.000000000004</v>
      </c>
      <c r="M1240" s="258">
        <f t="shared" si="78"/>
        <v>359352</v>
      </c>
      <c r="N1240" s="258">
        <v>-190663.19999999998</v>
      </c>
      <c r="O1240" s="258">
        <v>0</v>
      </c>
      <c r="P1240" s="258">
        <v>0</v>
      </c>
      <c r="Q1240" s="258">
        <f t="shared" si="79"/>
        <v>168688.80000000002</v>
      </c>
      <c r="R1240" s="259">
        <f t="shared" si="80"/>
        <v>0.46942496493688646</v>
      </c>
      <c r="S1240" s="255">
        <f t="shared" si="77"/>
        <v>6.44</v>
      </c>
      <c r="T1240" s="255">
        <f t="shared" si="77"/>
        <v>6.44</v>
      </c>
      <c r="U1240" s="254">
        <v>100700</v>
      </c>
      <c r="V1240" s="254" t="s">
        <v>960</v>
      </c>
      <c r="W1240" s="254" t="s">
        <v>899</v>
      </c>
      <c r="X1240" s="254" t="s">
        <v>446</v>
      </c>
      <c r="Y1240" s="254" t="s">
        <v>843</v>
      </c>
      <c r="Z1240" s="254" t="s">
        <v>1137</v>
      </c>
      <c r="AA1240" s="254" t="s">
        <v>838</v>
      </c>
    </row>
    <row r="1241" spans="1:27" ht="14.4" x14ac:dyDescent="0.3">
      <c r="A1241" s="253">
        <v>11</v>
      </c>
      <c r="B1241" s="254" t="s">
        <v>852</v>
      </c>
      <c r="C1241" s="254">
        <v>14382</v>
      </c>
      <c r="D1241" s="254" t="s">
        <v>244</v>
      </c>
      <c r="E1241" s="254" t="str">
        <f>_xlfn.XLOOKUP(C1241,Clientes!I:I,Clientes!F:F)</f>
        <v>GECAL - PAINS-MG</v>
      </c>
      <c r="F1241" s="254">
        <v>3351</v>
      </c>
      <c r="G1241" s="254" t="s">
        <v>855</v>
      </c>
      <c r="H1241" s="254" t="s">
        <v>965</v>
      </c>
      <c r="I1241" s="255">
        <v>15000</v>
      </c>
      <c r="J1241" s="256">
        <v>15000</v>
      </c>
      <c r="K1241" s="258">
        <v>102900</v>
      </c>
      <c r="L1241" s="258">
        <v>-18522</v>
      </c>
      <c r="M1241" s="258">
        <f t="shared" si="78"/>
        <v>84378</v>
      </c>
      <c r="N1241" s="258">
        <v>-47721.933750000004</v>
      </c>
      <c r="O1241" s="258">
        <v>-6648.4965456</v>
      </c>
      <c r="P1241" s="258">
        <v>-3.3788681418593205</v>
      </c>
      <c r="Q1241" s="258">
        <f t="shared" si="79"/>
        <v>30004.190836258138</v>
      </c>
      <c r="R1241" s="259">
        <f t="shared" si="80"/>
        <v>0.35559258143423805</v>
      </c>
      <c r="S1241" s="255">
        <f t="shared" si="77"/>
        <v>6.86</v>
      </c>
      <c r="T1241" s="255">
        <f t="shared" si="77"/>
        <v>6.86</v>
      </c>
      <c r="U1241" s="254">
        <v>100700</v>
      </c>
      <c r="V1241" s="254" t="s">
        <v>960</v>
      </c>
      <c r="W1241" s="254" t="s">
        <v>1086</v>
      </c>
      <c r="X1241" s="254" t="s">
        <v>446</v>
      </c>
      <c r="Y1241" s="254" t="s">
        <v>843</v>
      </c>
      <c r="Z1241" s="254" t="s">
        <v>1137</v>
      </c>
      <c r="AA1241" s="254" t="s">
        <v>838</v>
      </c>
    </row>
    <row r="1242" spans="1:27" ht="14.4" x14ac:dyDescent="0.3">
      <c r="A1242" s="253">
        <v>11</v>
      </c>
      <c r="B1242" s="254" t="s">
        <v>852</v>
      </c>
      <c r="C1242" s="254">
        <v>11724</v>
      </c>
      <c r="D1242" s="254" t="s">
        <v>107</v>
      </c>
      <c r="E1242" s="254" t="str">
        <f>_xlfn.XLOOKUP(C1242,Clientes!I:I,Clientes!F:F)</f>
        <v>GRUPO HINOVE</v>
      </c>
      <c r="F1242" s="254">
        <v>14142</v>
      </c>
      <c r="G1242" s="254" t="s">
        <v>908</v>
      </c>
      <c r="H1242" s="254" t="s">
        <v>962</v>
      </c>
      <c r="I1242" s="255">
        <v>45600</v>
      </c>
      <c r="J1242" s="256">
        <v>45600</v>
      </c>
      <c r="K1242" s="258">
        <v>275880</v>
      </c>
      <c r="L1242" s="258">
        <v>-33105.599999999999</v>
      </c>
      <c r="M1242" s="258">
        <f t="shared" si="78"/>
        <v>242774.39999999999</v>
      </c>
      <c r="N1242" s="258">
        <v>-141211.20554455445</v>
      </c>
      <c r="O1242" s="258">
        <v>-17919.017835264</v>
      </c>
      <c r="P1242" s="258">
        <v>-9.1067203061197439</v>
      </c>
      <c r="Q1242" s="258">
        <f t="shared" si="79"/>
        <v>83635.069899875409</v>
      </c>
      <c r="R1242" s="259">
        <f t="shared" si="80"/>
        <v>0.3444970717665265</v>
      </c>
      <c r="S1242" s="255">
        <f t="shared" si="77"/>
        <v>6.05</v>
      </c>
      <c r="T1242" s="255">
        <f t="shared" si="77"/>
        <v>6.05</v>
      </c>
      <c r="U1242" s="254">
        <v>100700</v>
      </c>
      <c r="V1242" s="254" t="s">
        <v>960</v>
      </c>
      <c r="W1242" s="254" t="s">
        <v>963</v>
      </c>
      <c r="X1242" s="254" t="s">
        <v>446</v>
      </c>
      <c r="Y1242" s="254" t="s">
        <v>843</v>
      </c>
      <c r="Z1242" s="254" t="s">
        <v>1137</v>
      </c>
      <c r="AA1242" s="254" t="s">
        <v>838</v>
      </c>
    </row>
    <row r="1243" spans="1:27" ht="14.4" x14ac:dyDescent="0.3">
      <c r="A1243" s="253">
        <v>11</v>
      </c>
      <c r="B1243" s="254" t="s">
        <v>852</v>
      </c>
      <c r="C1243" s="254">
        <v>1788</v>
      </c>
      <c r="D1243" s="254" t="s">
        <v>59</v>
      </c>
      <c r="E1243" s="254" t="str">
        <f>_xlfn.XLOOKUP(C1243,Clientes!I:I,Clientes!F:F)</f>
        <v>GRUPO MOSAIC FERTILIZANTES P K LTDA</v>
      </c>
      <c r="F1243" s="254">
        <v>3359</v>
      </c>
      <c r="G1243" s="254" t="s">
        <v>855</v>
      </c>
      <c r="H1243" s="254" t="s">
        <v>967</v>
      </c>
      <c r="I1243" s="255">
        <v>30000</v>
      </c>
      <c r="J1243" s="256">
        <v>30000</v>
      </c>
      <c r="K1243" s="258">
        <v>116400</v>
      </c>
      <c r="L1243" s="258">
        <v>0</v>
      </c>
      <c r="M1243" s="258">
        <f t="shared" si="78"/>
        <v>116400</v>
      </c>
      <c r="N1243" s="258">
        <v>-73526.451923076922</v>
      </c>
      <c r="O1243" s="258">
        <v>-2442.1605</v>
      </c>
      <c r="P1243" s="258">
        <v>-1.2411435057777478</v>
      </c>
      <c r="Q1243" s="258">
        <f t="shared" si="79"/>
        <v>40430.1464334173</v>
      </c>
      <c r="R1243" s="259">
        <f t="shared" si="80"/>
        <v>0.34733802777849915</v>
      </c>
      <c r="S1243" s="255">
        <f t="shared" si="77"/>
        <v>3.88</v>
      </c>
      <c r="T1243" s="255">
        <f t="shared" si="77"/>
        <v>3.88</v>
      </c>
      <c r="U1243" s="254">
        <v>100700</v>
      </c>
      <c r="V1243" s="254" t="s">
        <v>960</v>
      </c>
      <c r="W1243" s="254" t="s">
        <v>892</v>
      </c>
      <c r="X1243" s="254" t="s">
        <v>446</v>
      </c>
      <c r="Y1243" s="254" t="s">
        <v>843</v>
      </c>
      <c r="Z1243" s="254" t="s">
        <v>1137</v>
      </c>
      <c r="AA1243" s="254" t="s">
        <v>838</v>
      </c>
    </row>
    <row r="1244" spans="1:27" ht="14.4" x14ac:dyDescent="0.3">
      <c r="A1244" s="253">
        <v>11</v>
      </c>
      <c r="B1244" s="254" t="s">
        <v>852</v>
      </c>
      <c r="C1244" s="254">
        <v>8995</v>
      </c>
      <c r="D1244" s="254" t="s">
        <v>172</v>
      </c>
      <c r="E1244" s="254" t="str">
        <f>_xlfn.XLOOKUP(C1244,Clientes!I:I,Clientes!F:F)</f>
        <v>FERTIPOL - DOURADOS</v>
      </c>
      <c r="F1244" s="254">
        <v>3351</v>
      </c>
      <c r="G1244" s="254" t="s">
        <v>924</v>
      </c>
      <c r="H1244" s="254" t="s">
        <v>965</v>
      </c>
      <c r="I1244" s="255">
        <v>30000</v>
      </c>
      <c r="J1244" s="256">
        <v>30000</v>
      </c>
      <c r="K1244" s="258">
        <v>160200</v>
      </c>
      <c r="L1244" s="258">
        <v>-11214.000000000002</v>
      </c>
      <c r="M1244" s="258">
        <f t="shared" si="78"/>
        <v>148986</v>
      </c>
      <c r="N1244" s="258">
        <v>-95443.867500000008</v>
      </c>
      <c r="O1244" s="258">
        <v>-11914.507987199999</v>
      </c>
      <c r="P1244" s="258">
        <v>-6.0551361029917494</v>
      </c>
      <c r="Q1244" s="258">
        <f t="shared" si="79"/>
        <v>41621.569376697</v>
      </c>
      <c r="R1244" s="259">
        <f t="shared" si="80"/>
        <v>0.27936564091053523</v>
      </c>
      <c r="S1244" s="255">
        <f t="shared" si="77"/>
        <v>5.34</v>
      </c>
      <c r="T1244" s="255">
        <f t="shared" si="77"/>
        <v>5.34</v>
      </c>
      <c r="U1244" s="254">
        <v>100700</v>
      </c>
      <c r="V1244" s="254" t="s">
        <v>960</v>
      </c>
      <c r="W1244" s="254" t="s">
        <v>1042</v>
      </c>
      <c r="X1244" s="254" t="s">
        <v>446</v>
      </c>
      <c r="Y1244" s="254" t="s">
        <v>843</v>
      </c>
      <c r="Z1244" s="254" t="s">
        <v>1137</v>
      </c>
      <c r="AA1244" s="254" t="s">
        <v>838</v>
      </c>
    </row>
    <row r="1245" spans="1:27" ht="14.4" x14ac:dyDescent="0.3">
      <c r="A1245" s="253">
        <v>11</v>
      </c>
      <c r="B1245" s="254" t="s">
        <v>852</v>
      </c>
      <c r="C1245" s="254">
        <v>2133</v>
      </c>
      <c r="D1245" s="254" t="s">
        <v>260</v>
      </c>
      <c r="E1245" s="254" t="str">
        <f>_xlfn.XLOOKUP(C1245,Clientes!I:I,Clientes!F:F)</f>
        <v>GRUPO FERTIPAR FERTILIZANTES PARANA</v>
      </c>
      <c r="F1245" s="254">
        <v>3353</v>
      </c>
      <c r="G1245" s="254" t="s">
        <v>908</v>
      </c>
      <c r="H1245" s="254" t="s">
        <v>972</v>
      </c>
      <c r="I1245" s="255">
        <v>30000</v>
      </c>
      <c r="J1245" s="256">
        <v>30000</v>
      </c>
      <c r="K1245" s="258">
        <v>179700</v>
      </c>
      <c r="L1245" s="258">
        <v>-21564</v>
      </c>
      <c r="M1245" s="258">
        <f t="shared" si="78"/>
        <v>158136</v>
      </c>
      <c r="N1245" s="258">
        <v>-97302.37</v>
      </c>
      <c r="O1245" s="258">
        <v>-11663.147059199999</v>
      </c>
      <c r="P1245" s="258">
        <v>-5.9273906155868605</v>
      </c>
      <c r="Q1245" s="258">
        <f t="shared" si="79"/>
        <v>49164.555550184421</v>
      </c>
      <c r="R1245" s="259">
        <f t="shared" si="80"/>
        <v>0.31090046257768261</v>
      </c>
      <c r="S1245" s="255">
        <f t="shared" si="77"/>
        <v>5.99</v>
      </c>
      <c r="T1245" s="255">
        <f t="shared" si="77"/>
        <v>5.99</v>
      </c>
      <c r="U1245" s="254">
        <v>100700</v>
      </c>
      <c r="V1245" s="254" t="s">
        <v>960</v>
      </c>
      <c r="W1245" s="254" t="s">
        <v>973</v>
      </c>
      <c r="X1245" s="254" t="s">
        <v>446</v>
      </c>
      <c r="Y1245" s="254" t="s">
        <v>843</v>
      </c>
      <c r="Z1245" s="254" t="s">
        <v>1137</v>
      </c>
      <c r="AA1245" s="254" t="s">
        <v>838</v>
      </c>
    </row>
    <row r="1246" spans="1:27" ht="14.4" x14ac:dyDescent="0.3">
      <c r="A1246" s="253">
        <v>11</v>
      </c>
      <c r="B1246" s="254" t="s">
        <v>852</v>
      </c>
      <c r="C1246" s="254">
        <v>2619</v>
      </c>
      <c r="D1246" s="254" t="s">
        <v>1107</v>
      </c>
      <c r="E1246" s="254" t="str">
        <f>_xlfn.XLOOKUP(C1246,Clientes!I:I,Clientes!F:F)</f>
        <v>FOSPAR - PARANAGUÁ</v>
      </c>
      <c r="F1246" s="254">
        <v>4552</v>
      </c>
      <c r="G1246" s="254" t="s">
        <v>862</v>
      </c>
      <c r="H1246" s="254" t="s">
        <v>1108</v>
      </c>
      <c r="I1246" s="255">
        <v>60000</v>
      </c>
      <c r="J1246" s="256">
        <v>60000</v>
      </c>
      <c r="K1246" s="258">
        <v>384000</v>
      </c>
      <c r="L1246" s="258">
        <v>-46080</v>
      </c>
      <c r="M1246" s="258">
        <f t="shared" si="78"/>
        <v>337920</v>
      </c>
      <c r="N1246" s="258">
        <v>-180941.22</v>
      </c>
      <c r="O1246" s="258">
        <v>-28099.2114</v>
      </c>
      <c r="P1246" s="258">
        <v>-14.280451160595732</v>
      </c>
      <c r="Q1246" s="258">
        <f t="shared" si="79"/>
        <v>128865.28814883941</v>
      </c>
      <c r="R1246" s="259">
        <f t="shared" si="80"/>
        <v>0.38134850896318478</v>
      </c>
      <c r="S1246" s="255">
        <f t="shared" si="77"/>
        <v>6.4</v>
      </c>
      <c r="T1246" s="255">
        <f t="shared" si="77"/>
        <v>6.4</v>
      </c>
      <c r="U1246" s="254">
        <v>100700</v>
      </c>
      <c r="V1246" s="254" t="s">
        <v>960</v>
      </c>
      <c r="W1246" s="254" t="s">
        <v>864</v>
      </c>
      <c r="X1246" s="254" t="s">
        <v>446</v>
      </c>
      <c r="Y1246" s="254" t="s">
        <v>843</v>
      </c>
      <c r="Z1246" s="254" t="s">
        <v>1137</v>
      </c>
      <c r="AA1246" s="254" t="s">
        <v>838</v>
      </c>
    </row>
    <row r="1247" spans="1:27" ht="14.4" x14ac:dyDescent="0.3">
      <c r="A1247" s="253">
        <v>11</v>
      </c>
      <c r="B1247" s="254" t="s">
        <v>852</v>
      </c>
      <c r="C1247" s="254">
        <v>12629</v>
      </c>
      <c r="D1247" s="254" t="s">
        <v>109</v>
      </c>
      <c r="E1247" s="254" t="str">
        <f>_xlfn.XLOOKUP(C1247,Clientes!I:I,Clientes!F:F)</f>
        <v>EUROCHEM SERRA DO SALITRE</v>
      </c>
      <c r="F1247" s="254">
        <v>3359</v>
      </c>
      <c r="G1247" s="254" t="s">
        <v>855</v>
      </c>
      <c r="H1247" s="254" t="s">
        <v>967</v>
      </c>
      <c r="I1247" s="255">
        <v>120000</v>
      </c>
      <c r="J1247" s="256">
        <v>120000</v>
      </c>
      <c r="K1247" s="258">
        <v>654000</v>
      </c>
      <c r="L1247" s="258">
        <v>-117720</v>
      </c>
      <c r="M1247" s="258">
        <f t="shared" si="78"/>
        <v>536280</v>
      </c>
      <c r="N1247" s="258">
        <v>-294105.80769230769</v>
      </c>
      <c r="O1247" s="258">
        <v>-16891.454361600001</v>
      </c>
      <c r="P1247" s="258">
        <v>-8.5844967536085584</v>
      </c>
      <c r="Q1247" s="258">
        <f t="shared" si="79"/>
        <v>225274.15344933872</v>
      </c>
      <c r="R1247" s="259">
        <f t="shared" si="80"/>
        <v>0.42006816112728185</v>
      </c>
      <c r="S1247" s="255">
        <f t="shared" si="77"/>
        <v>5.45</v>
      </c>
      <c r="T1247" s="255">
        <f t="shared" si="77"/>
        <v>5.45</v>
      </c>
      <c r="U1247" s="254">
        <v>100700</v>
      </c>
      <c r="V1247" s="254" t="s">
        <v>960</v>
      </c>
      <c r="W1247" s="254" t="s">
        <v>968</v>
      </c>
      <c r="X1247" s="254" t="s">
        <v>446</v>
      </c>
      <c r="Y1247" s="254" t="s">
        <v>843</v>
      </c>
      <c r="Z1247" s="254" t="s">
        <v>1137</v>
      </c>
      <c r="AA1247" s="254" t="s">
        <v>838</v>
      </c>
    </row>
    <row r="1248" spans="1:27" ht="14.4" x14ac:dyDescent="0.3">
      <c r="A1248" s="253">
        <v>11</v>
      </c>
      <c r="B1248" s="254" t="s">
        <v>852</v>
      </c>
      <c r="C1248" s="254">
        <v>5519</v>
      </c>
      <c r="D1248" s="254" t="s">
        <v>272</v>
      </c>
      <c r="E1248" s="254" t="str">
        <f>_xlfn.XLOOKUP(C1248,Clientes!I:I,Clientes!F:F)</f>
        <v>GRANUPAR - RIO BRANCO DO SUL</v>
      </c>
      <c r="F1248" s="254">
        <v>3351</v>
      </c>
      <c r="G1248" s="254" t="s">
        <v>862</v>
      </c>
      <c r="H1248" s="254" t="s">
        <v>965</v>
      </c>
      <c r="I1248" s="255">
        <v>15000</v>
      </c>
      <c r="J1248" s="256">
        <v>15000</v>
      </c>
      <c r="K1248" s="258">
        <v>92250</v>
      </c>
      <c r="L1248" s="258">
        <v>-11070</v>
      </c>
      <c r="M1248" s="258">
        <f t="shared" si="78"/>
        <v>81180</v>
      </c>
      <c r="N1248" s="258">
        <v>-47721.933750000004</v>
      </c>
      <c r="O1248" s="258">
        <v>-12630.886632</v>
      </c>
      <c r="P1248" s="258">
        <v>-6.4192107420956841</v>
      </c>
      <c r="Q1248" s="258">
        <f t="shared" si="79"/>
        <v>20820.760407257898</v>
      </c>
      <c r="R1248" s="259">
        <f t="shared" si="80"/>
        <v>0.25647647705417465</v>
      </c>
      <c r="S1248" s="255">
        <f t="shared" si="77"/>
        <v>6.15</v>
      </c>
      <c r="T1248" s="255">
        <f t="shared" si="77"/>
        <v>6.15</v>
      </c>
      <c r="U1248" s="254">
        <v>100700</v>
      </c>
      <c r="V1248" s="254" t="s">
        <v>960</v>
      </c>
      <c r="W1248" s="254" t="s">
        <v>1071</v>
      </c>
      <c r="X1248" s="254" t="s">
        <v>446</v>
      </c>
      <c r="Y1248" s="254" t="s">
        <v>843</v>
      </c>
      <c r="Z1248" s="254" t="s">
        <v>1137</v>
      </c>
      <c r="AA1248" s="254" t="s">
        <v>838</v>
      </c>
    </row>
    <row r="1249" spans="1:27" ht="14.4" x14ac:dyDescent="0.3">
      <c r="A1249" s="253">
        <v>11</v>
      </c>
      <c r="B1249" s="254" t="s">
        <v>852</v>
      </c>
      <c r="C1249" s="254">
        <v>506</v>
      </c>
      <c r="D1249" s="254" t="s">
        <v>1039</v>
      </c>
      <c r="E1249" s="254" t="str">
        <f>_xlfn.XLOOKUP(C1249,Clientes!I:I,Clientes!F:F)</f>
        <v>GRUPO FERTINOR</v>
      </c>
      <c r="F1249" s="254">
        <v>14142</v>
      </c>
      <c r="G1249" s="254" t="s">
        <v>887</v>
      </c>
      <c r="H1249" s="254" t="s">
        <v>962</v>
      </c>
      <c r="I1249" s="255">
        <v>15000</v>
      </c>
      <c r="J1249" s="256">
        <v>15000</v>
      </c>
      <c r="K1249" s="258">
        <v>94800</v>
      </c>
      <c r="L1249" s="258">
        <v>-6636.0000000000009</v>
      </c>
      <c r="M1249" s="258">
        <f t="shared" si="78"/>
        <v>88164</v>
      </c>
      <c r="N1249" s="258">
        <v>-46451.054455445548</v>
      </c>
      <c r="O1249" s="258">
        <v>-24356.873923200001</v>
      </c>
      <c r="P1249" s="258">
        <v>-12.378537729533768</v>
      </c>
      <c r="Q1249" s="258">
        <f t="shared" si="79"/>
        <v>17343.693083624916</v>
      </c>
      <c r="R1249" s="259">
        <f t="shared" si="80"/>
        <v>0.19672080535847869</v>
      </c>
      <c r="S1249" s="255">
        <f t="shared" si="77"/>
        <v>6.32</v>
      </c>
      <c r="T1249" s="255">
        <f t="shared" si="77"/>
        <v>6.32</v>
      </c>
      <c r="U1249" s="254">
        <v>100700</v>
      </c>
      <c r="V1249" s="254" t="s">
        <v>960</v>
      </c>
      <c r="W1249" s="254" t="s">
        <v>1009</v>
      </c>
      <c r="X1249" s="254" t="s">
        <v>446</v>
      </c>
      <c r="Y1249" s="254" t="s">
        <v>843</v>
      </c>
      <c r="Z1249" s="254" t="s">
        <v>1137</v>
      </c>
      <c r="AA1249" s="254" t="s">
        <v>838</v>
      </c>
    </row>
    <row r="1250" spans="1:27" ht="14.4" x14ac:dyDescent="0.3">
      <c r="A1250" s="253">
        <v>11</v>
      </c>
      <c r="B1250" s="254" t="s">
        <v>852</v>
      </c>
      <c r="C1250" s="254">
        <v>1789</v>
      </c>
      <c r="D1250" s="254" t="s">
        <v>61</v>
      </c>
      <c r="E1250" s="254" t="str">
        <f>_xlfn.XLOOKUP(C1250,Clientes!I:I,Clientes!F:F)</f>
        <v>GRUPO MOSAIC FERTILIZANTES P K LTDA</v>
      </c>
      <c r="F1250" s="254">
        <v>3359</v>
      </c>
      <c r="G1250" s="254" t="s">
        <v>855</v>
      </c>
      <c r="H1250" s="254" t="s">
        <v>967</v>
      </c>
      <c r="I1250" s="255">
        <v>270000</v>
      </c>
      <c r="J1250" s="256">
        <v>270000</v>
      </c>
      <c r="K1250" s="258">
        <v>1047600</v>
      </c>
      <c r="L1250" s="258">
        <v>0</v>
      </c>
      <c r="M1250" s="258">
        <f t="shared" si="78"/>
        <v>1047600</v>
      </c>
      <c r="N1250" s="258">
        <v>-661738.06730769225</v>
      </c>
      <c r="O1250" s="258">
        <v>-28504.329235199999</v>
      </c>
      <c r="P1250" s="258">
        <v>-14.486338271714439</v>
      </c>
      <c r="Q1250" s="258">
        <f t="shared" si="79"/>
        <v>357343.11711883603</v>
      </c>
      <c r="R1250" s="259">
        <f t="shared" si="80"/>
        <v>0.3411064500943452</v>
      </c>
      <c r="S1250" s="255">
        <f t="shared" si="77"/>
        <v>3.88</v>
      </c>
      <c r="T1250" s="255">
        <f t="shared" si="77"/>
        <v>3.88</v>
      </c>
      <c r="U1250" s="254">
        <v>100700</v>
      </c>
      <c r="V1250" s="254" t="s">
        <v>960</v>
      </c>
      <c r="W1250" s="254" t="s">
        <v>969</v>
      </c>
      <c r="X1250" s="254" t="s">
        <v>446</v>
      </c>
      <c r="Y1250" s="254" t="s">
        <v>843</v>
      </c>
      <c r="Z1250" s="254" t="s">
        <v>1137</v>
      </c>
      <c r="AA1250" s="254" t="s">
        <v>838</v>
      </c>
    </row>
    <row r="1251" spans="1:27" ht="14.4" x14ac:dyDescent="0.3">
      <c r="A1251" s="253">
        <v>13</v>
      </c>
      <c r="B1251" s="254" t="s">
        <v>852</v>
      </c>
      <c r="C1251" s="254">
        <v>2</v>
      </c>
      <c r="D1251" s="254" t="s">
        <v>976</v>
      </c>
      <c r="E1251" s="254" t="str">
        <f>_xlfn.XLOOKUP(C1251,Clientes!I:I,Clientes!F:F)</f>
        <v>GRUPO CARGILL</v>
      </c>
      <c r="F1251" s="254">
        <v>3700</v>
      </c>
      <c r="G1251" s="254" t="s">
        <v>855</v>
      </c>
      <c r="H1251" s="254" t="s">
        <v>977</v>
      </c>
      <c r="I1251" s="254">
        <v>84000</v>
      </c>
      <c r="J1251" s="256">
        <v>84000</v>
      </c>
      <c r="K1251" s="258">
        <v>92400</v>
      </c>
      <c r="L1251" s="258">
        <v>-23640.539999999997</v>
      </c>
      <c r="M1251" s="258">
        <f t="shared" si="78"/>
        <v>68759.460000000006</v>
      </c>
      <c r="N1251" s="258">
        <v>-15542.5</v>
      </c>
      <c r="O1251" s="258">
        <v>0</v>
      </c>
      <c r="P1251" s="258">
        <v>0</v>
      </c>
      <c r="Q1251" s="258">
        <f t="shared" si="79"/>
        <v>53216.960000000006</v>
      </c>
      <c r="R1251" s="259">
        <f t="shared" si="80"/>
        <v>0.77395837605472761</v>
      </c>
      <c r="S1251" s="255">
        <f t="shared" si="77"/>
        <v>1.1000000000000001</v>
      </c>
      <c r="T1251" s="255">
        <f t="shared" si="77"/>
        <v>1.1000000000000001</v>
      </c>
      <c r="U1251" s="254">
        <v>100900</v>
      </c>
      <c r="V1251" s="254" t="s">
        <v>978</v>
      </c>
      <c r="W1251" s="254" t="s">
        <v>865</v>
      </c>
      <c r="X1251" s="254" t="s">
        <v>157</v>
      </c>
      <c r="Y1251" s="254" t="s">
        <v>843</v>
      </c>
      <c r="Z1251" s="254" t="s">
        <v>1137</v>
      </c>
      <c r="AA1251" s="254" t="s">
        <v>838</v>
      </c>
    </row>
    <row r="1252" spans="1:27" ht="14.4" x14ac:dyDescent="0.3">
      <c r="A1252" s="253">
        <v>11</v>
      </c>
      <c r="B1252" s="254" t="s">
        <v>852</v>
      </c>
      <c r="C1252" s="254">
        <v>3273</v>
      </c>
      <c r="D1252" s="254" t="s">
        <v>79</v>
      </c>
      <c r="E1252" s="254" t="str">
        <f>_xlfn.XLOOKUP(C1252,Clientes!I:I,Clientes!F:F)</f>
        <v>FERTIMAXI - CONCEICAO DO JACUIPE</v>
      </c>
      <c r="F1252" s="254">
        <v>7305</v>
      </c>
      <c r="G1252" s="254" t="s">
        <v>875</v>
      </c>
      <c r="H1252" s="254" t="s">
        <v>1072</v>
      </c>
      <c r="I1252" s="255">
        <v>3000</v>
      </c>
      <c r="J1252" s="256">
        <v>3000</v>
      </c>
      <c r="K1252" s="258">
        <v>75471.223335214207</v>
      </c>
      <c r="L1252" s="258">
        <v>-2812.8</v>
      </c>
      <c r="M1252" s="258">
        <f t="shared" si="78"/>
        <v>72658.423335214204</v>
      </c>
      <c r="N1252" s="258">
        <v>-19540.41</v>
      </c>
      <c r="O1252" s="258">
        <v>-12906.984000000033</v>
      </c>
      <c r="P1252" s="258">
        <v>-6.5595276685448551</v>
      </c>
      <c r="Q1252" s="258">
        <f t="shared" si="79"/>
        <v>40204.469807545625</v>
      </c>
      <c r="R1252" s="259">
        <f t="shared" si="80"/>
        <v>0.55333529083145361</v>
      </c>
      <c r="S1252" s="255">
        <f t="shared" si="77"/>
        <v>25.157074445071402</v>
      </c>
      <c r="T1252" s="255">
        <f t="shared" si="77"/>
        <v>25.157074445071402</v>
      </c>
      <c r="U1252" s="254">
        <v>101000</v>
      </c>
      <c r="V1252" s="254" t="s">
        <v>1046</v>
      </c>
      <c r="W1252" s="254" t="s">
        <v>884</v>
      </c>
      <c r="X1252" s="254" t="s">
        <v>446</v>
      </c>
      <c r="Y1252" s="254" t="s">
        <v>843</v>
      </c>
      <c r="Z1252" s="254" t="s">
        <v>1137</v>
      </c>
      <c r="AA1252" s="254" t="s">
        <v>838</v>
      </c>
    </row>
    <row r="1253" spans="1:27" ht="14.4" x14ac:dyDescent="0.3">
      <c r="A1253" s="253">
        <v>11</v>
      </c>
      <c r="B1253" s="254" t="s">
        <v>852</v>
      </c>
      <c r="C1253" s="254">
        <v>2900</v>
      </c>
      <c r="D1253" s="254" t="s">
        <v>463</v>
      </c>
      <c r="E1253" s="254" t="str">
        <f>_xlfn.XLOOKUP(C1253,Clientes!I:I,Clientes!F:F)</f>
        <v>BIOSAFRA - MARUIM</v>
      </c>
      <c r="F1253" s="254">
        <v>7305</v>
      </c>
      <c r="G1253" s="254" t="s">
        <v>887</v>
      </c>
      <c r="H1253" s="254" t="s">
        <v>1072</v>
      </c>
      <c r="I1253" s="255">
        <v>2000</v>
      </c>
      <c r="J1253" s="256">
        <v>2000</v>
      </c>
      <c r="K1253" s="258">
        <v>46879.735996617703</v>
      </c>
      <c r="L1253" s="258">
        <v>-1747.2</v>
      </c>
      <c r="M1253" s="258">
        <f t="shared" si="78"/>
        <v>45132.535996617706</v>
      </c>
      <c r="N1253" s="258">
        <v>-13026.94</v>
      </c>
      <c r="O1253" s="258">
        <v>-14851.871999999958</v>
      </c>
      <c r="P1253" s="258">
        <v>-7.5479496459967796</v>
      </c>
      <c r="Q1253" s="258">
        <f t="shared" si="79"/>
        <v>17246.176046971748</v>
      </c>
      <c r="R1253" s="259">
        <f t="shared" si="80"/>
        <v>0.38212291124664921</v>
      </c>
      <c r="S1253" s="255">
        <f t="shared" si="77"/>
        <v>23.439867998308852</v>
      </c>
      <c r="T1253" s="255">
        <f t="shared" si="77"/>
        <v>23.439867998308852</v>
      </c>
      <c r="U1253" s="254">
        <v>101000</v>
      </c>
      <c r="V1253" s="254" t="s">
        <v>1046</v>
      </c>
      <c r="W1253" s="254" t="s">
        <v>1009</v>
      </c>
      <c r="X1253" s="254" t="s">
        <v>446</v>
      </c>
      <c r="Y1253" s="254" t="s">
        <v>843</v>
      </c>
      <c r="Z1253" s="254" t="s">
        <v>1137</v>
      </c>
      <c r="AA1253" s="254" t="s">
        <v>838</v>
      </c>
    </row>
    <row r="1254" spans="1:27" ht="14.4" x14ac:dyDescent="0.3">
      <c r="A1254" s="253">
        <v>11</v>
      </c>
      <c r="B1254" s="254" t="s">
        <v>852</v>
      </c>
      <c r="C1254" s="254">
        <v>16645</v>
      </c>
      <c r="D1254" s="254" t="s">
        <v>573</v>
      </c>
      <c r="E1254" s="254" t="str">
        <f>_xlfn.XLOOKUP(C1254,Clientes!I:I,Clientes!F:F)</f>
        <v>OPCAO AGRONEGOCIOS</v>
      </c>
      <c r="F1254" s="254">
        <v>8301</v>
      </c>
      <c r="G1254" s="254" t="s">
        <v>855</v>
      </c>
      <c r="H1254" s="254" t="s">
        <v>986</v>
      </c>
      <c r="I1254" s="255">
        <v>15</v>
      </c>
      <c r="J1254" s="256">
        <v>344.98449599462646</v>
      </c>
      <c r="K1254" s="258">
        <v>9124.8399190578693</v>
      </c>
      <c r="L1254" s="258">
        <v>-900.06114429538013</v>
      </c>
      <c r="M1254" s="258">
        <f t="shared" si="78"/>
        <v>8224.7787747624898</v>
      </c>
      <c r="N1254" s="258">
        <v>-2527.6817645736251</v>
      </c>
      <c r="O1254" s="258">
        <v>-83.27211972284087</v>
      </c>
      <c r="P1254" s="258">
        <v>-1933.839930662115</v>
      </c>
      <c r="Q1254" s="258">
        <f t="shared" si="79"/>
        <v>3679.9849598039091</v>
      </c>
      <c r="R1254" s="259">
        <f t="shared" si="80"/>
        <v>0.44742661907160869</v>
      </c>
      <c r="S1254" s="255">
        <f t="shared" si="77"/>
        <v>608.32266127052458</v>
      </c>
      <c r="T1254" s="255">
        <f t="shared" si="77"/>
        <v>26.45</v>
      </c>
      <c r="U1254" s="254">
        <v>101602</v>
      </c>
      <c r="V1254" s="254" t="s">
        <v>983</v>
      </c>
      <c r="W1254" s="254" t="s">
        <v>865</v>
      </c>
      <c r="X1254" s="254" t="s">
        <v>157</v>
      </c>
      <c r="Y1254" s="254" t="s">
        <v>843</v>
      </c>
      <c r="Z1254" s="254" t="s">
        <v>1137</v>
      </c>
      <c r="AA1254" s="254" t="s">
        <v>838</v>
      </c>
    </row>
    <row r="1255" spans="1:27" ht="14.4" x14ac:dyDescent="0.3">
      <c r="A1255" s="253">
        <v>11</v>
      </c>
      <c r="B1255" s="254" t="s">
        <v>852</v>
      </c>
      <c r="C1255" s="254">
        <v>13773</v>
      </c>
      <c r="D1255" s="254" t="s">
        <v>428</v>
      </c>
      <c r="E1255" s="254" t="str">
        <f>_xlfn.XLOOKUP(C1255,Clientes!I:I,Clientes!F:F)</f>
        <v>FERTLIZE AGRO</v>
      </c>
      <c r="F1255" s="254">
        <v>8368</v>
      </c>
      <c r="G1255" s="254" t="s">
        <v>855</v>
      </c>
      <c r="H1255" s="254" t="s">
        <v>989</v>
      </c>
      <c r="I1255" s="255">
        <v>445</v>
      </c>
      <c r="J1255" s="256">
        <v>7316.7061419009315</v>
      </c>
      <c r="K1255" s="258">
        <v>74219.153302172315</v>
      </c>
      <c r="L1255" s="258">
        <v>-6679.4517670320802</v>
      </c>
      <c r="M1255" s="258">
        <f t="shared" si="78"/>
        <v>67539.701535140237</v>
      </c>
      <c r="N1255" s="258">
        <v>-25581.21546679379</v>
      </c>
      <c r="O1255" s="258">
        <v>0</v>
      </c>
      <c r="P1255" s="258">
        <v>-17345.112123553936</v>
      </c>
      <c r="Q1255" s="258">
        <f t="shared" si="79"/>
        <v>24613.373944792515</v>
      </c>
      <c r="R1255" s="259">
        <f t="shared" si="80"/>
        <v>0.36442823088263754</v>
      </c>
      <c r="S1255" s="255">
        <f t="shared" si="77"/>
        <v>166.78461416218497</v>
      </c>
      <c r="T1255" s="255">
        <f t="shared" si="77"/>
        <v>10.143793103448276</v>
      </c>
      <c r="U1255" s="254">
        <v>101602</v>
      </c>
      <c r="V1255" s="254" t="s">
        <v>983</v>
      </c>
      <c r="W1255" s="254" t="s">
        <v>995</v>
      </c>
      <c r="X1255" s="254" t="s">
        <v>157</v>
      </c>
      <c r="Y1255" s="254" t="s">
        <v>843</v>
      </c>
      <c r="Z1255" s="254" t="s">
        <v>1137</v>
      </c>
      <c r="AA1255" s="254" t="s">
        <v>838</v>
      </c>
    </row>
    <row r="1256" spans="1:27" ht="14.4" x14ac:dyDescent="0.3">
      <c r="A1256" s="253">
        <v>11</v>
      </c>
      <c r="B1256" s="254" t="s">
        <v>852</v>
      </c>
      <c r="C1256" s="254">
        <v>15905</v>
      </c>
      <c r="D1256" s="254" t="s">
        <v>750</v>
      </c>
      <c r="E1256" s="254" t="str">
        <f>_xlfn.XLOOKUP(C1256,Clientes!I:I,Clientes!F:F)</f>
        <v>ADUFÉRTIL - CAMPEVO</v>
      </c>
      <c r="F1256" s="254">
        <v>8368</v>
      </c>
      <c r="G1256" s="254" t="s">
        <v>908</v>
      </c>
      <c r="H1256" s="254" t="s">
        <v>989</v>
      </c>
      <c r="I1256" s="255">
        <v>170</v>
      </c>
      <c r="J1256" s="256">
        <v>2795.1461665688953</v>
      </c>
      <c r="K1256" s="258">
        <v>29129.278429670743</v>
      </c>
      <c r="L1256" s="258">
        <v>-2621.528293205939</v>
      </c>
      <c r="M1256" s="258">
        <f t="shared" si="78"/>
        <v>26507.750136464805</v>
      </c>
      <c r="N1256" s="258">
        <v>-9772.5991670897638</v>
      </c>
      <c r="O1256" s="258">
        <v>-755.63618576813087</v>
      </c>
      <c r="P1256" s="258">
        <v>-6786.2739683474447</v>
      </c>
      <c r="Q1256" s="258">
        <f t="shared" si="79"/>
        <v>9193.2408152594653</v>
      </c>
      <c r="R1256" s="259">
        <f t="shared" si="80"/>
        <v>0.34681331942287269</v>
      </c>
      <c r="S1256" s="255">
        <f t="shared" si="77"/>
        <v>171.34869664512203</v>
      </c>
      <c r="T1256" s="255">
        <f t="shared" si="77"/>
        <v>10.421379310344827</v>
      </c>
      <c r="U1256" s="254">
        <v>101602</v>
      </c>
      <c r="V1256" s="254" t="s">
        <v>983</v>
      </c>
      <c r="W1256" s="254" t="s">
        <v>991</v>
      </c>
      <c r="X1256" s="254" t="s">
        <v>157</v>
      </c>
      <c r="Y1256" s="254" t="s">
        <v>843</v>
      </c>
      <c r="Z1256" s="254" t="s">
        <v>1137</v>
      </c>
      <c r="AA1256" s="254" t="s">
        <v>838</v>
      </c>
    </row>
    <row r="1257" spans="1:27" ht="14.4" x14ac:dyDescent="0.3">
      <c r="A1257" s="253">
        <v>11</v>
      </c>
      <c r="B1257" s="254" t="s">
        <v>852</v>
      </c>
      <c r="C1257" s="254">
        <v>15908</v>
      </c>
      <c r="D1257" s="254" t="s">
        <v>981</v>
      </c>
      <c r="E1257" s="254" t="str">
        <f>_xlfn.XLOOKUP(C1257,Clientes!I:I,Clientes!F:F)</f>
        <v>ADUFÉRTIL - CAMPEVO</v>
      </c>
      <c r="F1257" s="254">
        <v>8368</v>
      </c>
      <c r="G1257" s="254" t="s">
        <v>908</v>
      </c>
      <c r="H1257" s="254" t="s">
        <v>989</v>
      </c>
      <c r="I1257" s="255">
        <v>500</v>
      </c>
      <c r="J1257" s="256">
        <v>8221.0181369673392</v>
      </c>
      <c r="K1257" s="258">
        <v>85674.348322561011</v>
      </c>
      <c r="L1257" s="258">
        <v>-7710.3773329586438</v>
      </c>
      <c r="M1257" s="258">
        <f t="shared" si="78"/>
        <v>77963.970989602371</v>
      </c>
      <c r="N1257" s="258">
        <v>-28742.938726734596</v>
      </c>
      <c r="O1257" s="258">
        <v>-2222.4593699062671</v>
      </c>
      <c r="P1257" s="258">
        <v>-19950.5590934641</v>
      </c>
      <c r="Q1257" s="258">
        <f t="shared" si="79"/>
        <v>27048.013799497407</v>
      </c>
      <c r="R1257" s="259">
        <f t="shared" si="80"/>
        <v>0.34692965809943999</v>
      </c>
      <c r="S1257" s="255">
        <f t="shared" si="77"/>
        <v>171.34869664512203</v>
      </c>
      <c r="T1257" s="255">
        <f t="shared" si="77"/>
        <v>10.421379310344827</v>
      </c>
      <c r="U1257" s="254">
        <v>101602</v>
      </c>
      <c r="V1257" s="254" t="s">
        <v>983</v>
      </c>
      <c r="W1257" s="254" t="s">
        <v>984</v>
      </c>
      <c r="X1257" s="254" t="s">
        <v>157</v>
      </c>
      <c r="Y1257" s="254" t="s">
        <v>843</v>
      </c>
      <c r="Z1257" s="254" t="s">
        <v>1137</v>
      </c>
      <c r="AA1257" s="254" t="s">
        <v>838</v>
      </c>
    </row>
    <row r="1258" spans="1:27" ht="14.4" x14ac:dyDescent="0.3">
      <c r="A1258" s="253">
        <v>11</v>
      </c>
      <c r="B1258" s="254" t="s">
        <v>852</v>
      </c>
      <c r="C1258" s="254">
        <v>15908</v>
      </c>
      <c r="D1258" s="254" t="s">
        <v>981</v>
      </c>
      <c r="E1258" s="254" t="str">
        <f>_xlfn.XLOOKUP(C1258,Clientes!I:I,Clientes!F:F)</f>
        <v>ADUFÉRTIL - CAMPEVO</v>
      </c>
      <c r="F1258" s="254">
        <v>13004</v>
      </c>
      <c r="G1258" s="254" t="s">
        <v>908</v>
      </c>
      <c r="H1258" s="254" t="s">
        <v>982</v>
      </c>
      <c r="I1258" s="255">
        <v>63</v>
      </c>
      <c r="J1258" s="256">
        <v>1448.9348831774312</v>
      </c>
      <c r="K1258" s="258">
        <v>38324.327660043054</v>
      </c>
      <c r="L1258" s="258">
        <v>-3627.6857650550473</v>
      </c>
      <c r="M1258" s="258">
        <f t="shared" si="78"/>
        <v>34696.64189498801</v>
      </c>
      <c r="N1258" s="258">
        <v>-10245.14613524024</v>
      </c>
      <c r="O1258" s="258">
        <v>-391.70317518477435</v>
      </c>
      <c r="P1258" s="258">
        <v>-8121.7432113953691</v>
      </c>
      <c r="Q1258" s="258">
        <f t="shared" si="79"/>
        <v>15938.049373167625</v>
      </c>
      <c r="R1258" s="259">
        <f t="shared" si="80"/>
        <v>0.45935423437822392</v>
      </c>
      <c r="S1258" s="255">
        <f t="shared" si="77"/>
        <v>608.32266127052469</v>
      </c>
      <c r="T1258" s="255">
        <f t="shared" si="77"/>
        <v>26.45</v>
      </c>
      <c r="U1258" s="254">
        <v>101602</v>
      </c>
      <c r="V1258" s="254" t="s">
        <v>983</v>
      </c>
      <c r="W1258" s="254" t="s">
        <v>984</v>
      </c>
      <c r="X1258" s="254" t="s">
        <v>157</v>
      </c>
      <c r="Y1258" s="254" t="s">
        <v>843</v>
      </c>
      <c r="Z1258" s="254" t="s">
        <v>1137</v>
      </c>
      <c r="AA1258" s="254" t="s">
        <v>838</v>
      </c>
    </row>
    <row r="1259" spans="1:27" ht="14.4" x14ac:dyDescent="0.3">
      <c r="A1259" s="253">
        <v>11</v>
      </c>
      <c r="B1259" s="254" t="s">
        <v>852</v>
      </c>
      <c r="C1259" s="254">
        <v>14298</v>
      </c>
      <c r="D1259" s="254" t="s">
        <v>1056</v>
      </c>
      <c r="E1259" s="254" t="str">
        <f>_xlfn.XLOOKUP(C1259,Clientes!I:I,Clientes!F:F)</f>
        <v>GRUPO SAGRA</v>
      </c>
      <c r="F1259" s="254">
        <v>8416</v>
      </c>
      <c r="G1259" s="254" t="s">
        <v>855</v>
      </c>
      <c r="H1259" s="254" t="s">
        <v>1051</v>
      </c>
      <c r="I1259" s="255">
        <v>25</v>
      </c>
      <c r="J1259" s="256">
        <v>143.74353999776102</v>
      </c>
      <c r="K1259" s="258">
        <v>3802.0166329407789</v>
      </c>
      <c r="L1259" s="258">
        <v>-401.61577511680275</v>
      </c>
      <c r="M1259" s="258">
        <f t="shared" si="78"/>
        <v>3400.4008578239764</v>
      </c>
      <c r="N1259" s="258">
        <v>-1215.6870322743976</v>
      </c>
      <c r="O1259" s="258">
        <v>0</v>
      </c>
      <c r="P1259" s="258">
        <v>-803.96413756503307</v>
      </c>
      <c r="Q1259" s="258">
        <f t="shared" si="79"/>
        <v>1380.7496879845457</v>
      </c>
      <c r="R1259" s="259">
        <f t="shared" si="80"/>
        <v>0.40605497578545224</v>
      </c>
      <c r="S1259" s="255">
        <f t="shared" si="77"/>
        <v>152.08066531763114</v>
      </c>
      <c r="T1259" s="255">
        <f t="shared" si="77"/>
        <v>26.45</v>
      </c>
      <c r="U1259" s="254">
        <v>101602</v>
      </c>
      <c r="V1259" s="254" t="s">
        <v>983</v>
      </c>
      <c r="W1259" s="254" t="s">
        <v>1057</v>
      </c>
      <c r="X1259" s="254" t="s">
        <v>157</v>
      </c>
      <c r="Y1259" s="254" t="s">
        <v>843</v>
      </c>
      <c r="Z1259" s="254" t="s">
        <v>1137</v>
      </c>
      <c r="AA1259" s="254" t="s">
        <v>838</v>
      </c>
    </row>
    <row r="1260" spans="1:27" ht="14.4" x14ac:dyDescent="0.3">
      <c r="A1260" s="253">
        <v>11</v>
      </c>
      <c r="B1260" s="254" t="s">
        <v>852</v>
      </c>
      <c r="C1260" s="254">
        <v>7060</v>
      </c>
      <c r="D1260" s="254" t="s">
        <v>165</v>
      </c>
      <c r="E1260" s="254" t="str">
        <f>_xlfn.XLOOKUP(C1260,Clientes!I:I,Clientes!F:F)</f>
        <v>AGROVIVA</v>
      </c>
      <c r="F1260" s="254">
        <v>8417</v>
      </c>
      <c r="G1260" s="254" t="s">
        <v>855</v>
      </c>
      <c r="H1260" s="254" t="s">
        <v>1141</v>
      </c>
      <c r="I1260" s="255">
        <v>20</v>
      </c>
      <c r="J1260" s="256">
        <v>459.97932799283524</v>
      </c>
      <c r="K1260" s="258">
        <v>12166.453225410492</v>
      </c>
      <c r="L1260" s="258">
        <v>-1220.6992339684639</v>
      </c>
      <c r="M1260" s="258">
        <f t="shared" si="78"/>
        <v>10945.753991442029</v>
      </c>
      <c r="N1260" s="258">
        <v>-3559.1632288740161</v>
      </c>
      <c r="O1260" s="258">
        <v>0</v>
      </c>
      <c r="P1260" s="258">
        <v>-2575.0681522081059</v>
      </c>
      <c r="Q1260" s="258">
        <f t="shared" si="79"/>
        <v>4811.5226103599061</v>
      </c>
      <c r="R1260" s="259">
        <f t="shared" si="80"/>
        <v>0.43957891015290584</v>
      </c>
      <c r="S1260" s="255">
        <f t="shared" si="77"/>
        <v>608.32266127052458</v>
      </c>
      <c r="T1260" s="255">
        <f t="shared" si="77"/>
        <v>26.45</v>
      </c>
      <c r="U1260" s="254">
        <v>101602</v>
      </c>
      <c r="V1260" s="254" t="s">
        <v>983</v>
      </c>
      <c r="W1260" s="254" t="s">
        <v>1053</v>
      </c>
      <c r="X1260" s="254" t="s">
        <v>157</v>
      </c>
      <c r="Y1260" s="254" t="s">
        <v>843</v>
      </c>
      <c r="Z1260" s="254" t="s">
        <v>1137</v>
      </c>
      <c r="AA1260" s="254" t="s">
        <v>838</v>
      </c>
    </row>
    <row r="1261" spans="1:27" ht="14.4" x14ac:dyDescent="0.3">
      <c r="A1261" s="253">
        <v>11</v>
      </c>
      <c r="B1261" s="254" t="s">
        <v>852</v>
      </c>
      <c r="C1261" s="254">
        <v>15904</v>
      </c>
      <c r="D1261" s="254" t="s">
        <v>754</v>
      </c>
      <c r="E1261" s="254" t="str">
        <f>_xlfn.XLOOKUP(C1261,Clientes!I:I,Clientes!F:F)</f>
        <v>ADUFÉRTIL - CAMPEVO</v>
      </c>
      <c r="F1261" s="254">
        <v>13004</v>
      </c>
      <c r="G1261" s="254" t="s">
        <v>908</v>
      </c>
      <c r="H1261" s="254" t="s">
        <v>982</v>
      </c>
      <c r="I1261" s="255">
        <v>71</v>
      </c>
      <c r="J1261" s="256">
        <v>1632.9266143745651</v>
      </c>
      <c r="K1261" s="258">
        <v>43190.908950207246</v>
      </c>
      <c r="L1261" s="258">
        <v>-4088.3442749033075</v>
      </c>
      <c r="M1261" s="258">
        <f t="shared" si="78"/>
        <v>39102.56467530394</v>
      </c>
      <c r="N1261" s="258">
        <v>-11546.117073048525</v>
      </c>
      <c r="O1261" s="258">
        <v>-441.44326092252351</v>
      </c>
      <c r="P1261" s="258">
        <v>-9152.7913746786107</v>
      </c>
      <c r="Q1261" s="258">
        <f t="shared" si="79"/>
        <v>17962.212966654282</v>
      </c>
      <c r="R1261" s="259">
        <f t="shared" si="80"/>
        <v>0.45936150520578772</v>
      </c>
      <c r="S1261" s="255">
        <f t="shared" si="77"/>
        <v>608.32266127052458</v>
      </c>
      <c r="T1261" s="255">
        <f t="shared" si="77"/>
        <v>26.45</v>
      </c>
      <c r="U1261" s="254">
        <v>101602</v>
      </c>
      <c r="V1261" s="254" t="s">
        <v>983</v>
      </c>
      <c r="W1261" s="254" t="s">
        <v>992</v>
      </c>
      <c r="X1261" s="254" t="s">
        <v>157</v>
      </c>
      <c r="Y1261" s="254" t="s">
        <v>843</v>
      </c>
      <c r="Z1261" s="254" t="s">
        <v>1137</v>
      </c>
      <c r="AA1261" s="254" t="s">
        <v>838</v>
      </c>
    </row>
    <row r="1262" spans="1:27" ht="14.4" x14ac:dyDescent="0.3">
      <c r="A1262" s="253">
        <v>11</v>
      </c>
      <c r="B1262" s="254" t="s">
        <v>852</v>
      </c>
      <c r="C1262" s="254">
        <v>15917</v>
      </c>
      <c r="D1262" s="254" t="s">
        <v>571</v>
      </c>
      <c r="E1262" s="254" t="str">
        <f>_xlfn.XLOOKUP(C1262,Clientes!I:I,Clientes!F:F)</f>
        <v>MINAS FARM</v>
      </c>
      <c r="F1262" s="254">
        <v>8301</v>
      </c>
      <c r="G1262" s="254" t="s">
        <v>855</v>
      </c>
      <c r="H1262" s="254" t="s">
        <v>986</v>
      </c>
      <c r="I1262" s="255">
        <v>25</v>
      </c>
      <c r="J1262" s="256">
        <v>574.97415999104408</v>
      </c>
      <c r="K1262" s="258">
        <v>15208.066531763116</v>
      </c>
      <c r="L1262" s="258">
        <v>-1500.1019071589667</v>
      </c>
      <c r="M1262" s="258">
        <f t="shared" si="78"/>
        <v>13707.964624604148</v>
      </c>
      <c r="N1262" s="258">
        <v>-4212.8029409560413</v>
      </c>
      <c r="O1262" s="258">
        <v>-138.78686620473479</v>
      </c>
      <c r="P1262" s="258">
        <v>-3221.7550307661677</v>
      </c>
      <c r="Q1262" s="258">
        <f t="shared" si="79"/>
        <v>6134.6197866772054</v>
      </c>
      <c r="R1262" s="259">
        <f t="shared" si="80"/>
        <v>0.44752229486106931</v>
      </c>
      <c r="S1262" s="255">
        <f t="shared" si="77"/>
        <v>608.32266127052458</v>
      </c>
      <c r="T1262" s="255">
        <f t="shared" si="77"/>
        <v>26.45</v>
      </c>
      <c r="U1262" s="254">
        <v>101602</v>
      </c>
      <c r="V1262" s="254" t="s">
        <v>983</v>
      </c>
      <c r="W1262" s="254" t="s">
        <v>865</v>
      </c>
      <c r="X1262" s="254" t="s">
        <v>157</v>
      </c>
      <c r="Y1262" s="254" t="s">
        <v>843</v>
      </c>
      <c r="Z1262" s="254" t="s">
        <v>1137</v>
      </c>
      <c r="AA1262" s="254" t="s">
        <v>838</v>
      </c>
    </row>
    <row r="1263" spans="1:27" ht="14.4" x14ac:dyDescent="0.3">
      <c r="A1263" s="253">
        <v>11</v>
      </c>
      <c r="B1263" s="254" t="s">
        <v>852</v>
      </c>
      <c r="C1263" s="254">
        <v>15858</v>
      </c>
      <c r="D1263" s="254" t="s">
        <v>985</v>
      </c>
      <c r="E1263" s="254" t="str">
        <f>_xlfn.XLOOKUP(C1263,Clientes!I:I,Clientes!F:F)</f>
        <v>GRUPO SAGRA</v>
      </c>
      <c r="F1263" s="254">
        <v>8368</v>
      </c>
      <c r="G1263" s="254" t="s">
        <v>855</v>
      </c>
      <c r="H1263" s="254" t="s">
        <v>989</v>
      </c>
      <c r="I1263" s="255">
        <v>530</v>
      </c>
      <c r="J1263" s="256">
        <v>8714.2792251853789</v>
      </c>
      <c r="K1263" s="258">
        <v>88395.84550595803</v>
      </c>
      <c r="L1263" s="258">
        <v>-7955.3021045550631</v>
      </c>
      <c r="M1263" s="258">
        <f t="shared" si="78"/>
        <v>80440.543401402974</v>
      </c>
      <c r="N1263" s="258">
        <v>-30467.515050338669</v>
      </c>
      <c r="O1263" s="258">
        <v>0</v>
      </c>
      <c r="P1263" s="258">
        <v>-20658.223428052999</v>
      </c>
      <c r="Q1263" s="258">
        <f t="shared" si="79"/>
        <v>29314.804923011307</v>
      </c>
      <c r="R1263" s="259">
        <f t="shared" si="80"/>
        <v>0.36442823088263754</v>
      </c>
      <c r="S1263" s="255">
        <f t="shared" si="77"/>
        <v>166.78461416218497</v>
      </c>
      <c r="T1263" s="255">
        <f t="shared" si="77"/>
        <v>10.143793103448276</v>
      </c>
      <c r="U1263" s="254">
        <v>101602</v>
      </c>
      <c r="V1263" s="254" t="s">
        <v>983</v>
      </c>
      <c r="W1263" s="254" t="s">
        <v>987</v>
      </c>
      <c r="X1263" s="254" t="s">
        <v>157</v>
      </c>
      <c r="Y1263" s="254" t="s">
        <v>843</v>
      </c>
      <c r="Z1263" s="254" t="s">
        <v>1137</v>
      </c>
      <c r="AA1263" s="254" t="s">
        <v>838</v>
      </c>
    </row>
    <row r="1264" spans="1:27" ht="14.4" x14ac:dyDescent="0.3">
      <c r="A1264" s="253">
        <v>11</v>
      </c>
      <c r="B1264" s="254" t="s">
        <v>852</v>
      </c>
      <c r="C1264" s="254">
        <v>14166</v>
      </c>
      <c r="D1264" s="254" t="s">
        <v>1050</v>
      </c>
      <c r="E1264" s="254" t="str">
        <f>_xlfn.XLOOKUP(C1264,Clientes!I:I,Clientes!F:F)</f>
        <v>GRUPO TAKI AGRO</v>
      </c>
      <c r="F1264" s="254">
        <v>8368</v>
      </c>
      <c r="G1264" s="254" t="s">
        <v>855</v>
      </c>
      <c r="H1264" s="254" t="s">
        <v>989</v>
      </c>
      <c r="I1264" s="255">
        <v>1000</v>
      </c>
      <c r="J1264" s="256">
        <v>16442.036273934678</v>
      </c>
      <c r="K1264" s="258">
        <v>171348.69664512202</v>
      </c>
      <c r="L1264" s="258">
        <v>-15420.754665917288</v>
      </c>
      <c r="M1264" s="258">
        <f t="shared" si="78"/>
        <v>155927.94197920474</v>
      </c>
      <c r="N1264" s="258">
        <v>-57485.877453469191</v>
      </c>
      <c r="O1264" s="258">
        <v>-3968.7673764669912</v>
      </c>
      <c r="P1264" s="258">
        <v>-39900.631463984755</v>
      </c>
      <c r="Q1264" s="258">
        <f t="shared" si="79"/>
        <v>54572.665685283806</v>
      </c>
      <c r="R1264" s="259">
        <f t="shared" si="80"/>
        <v>0.34998644240787752</v>
      </c>
      <c r="S1264" s="255">
        <f t="shared" si="77"/>
        <v>171.34869664512203</v>
      </c>
      <c r="T1264" s="255">
        <f t="shared" si="77"/>
        <v>10.421379310344827</v>
      </c>
      <c r="U1264" s="254">
        <v>101602</v>
      </c>
      <c r="V1264" s="254" t="s">
        <v>983</v>
      </c>
      <c r="W1264" s="254" t="s">
        <v>1052</v>
      </c>
      <c r="X1264" s="254" t="s">
        <v>157</v>
      </c>
      <c r="Y1264" s="254" t="s">
        <v>843</v>
      </c>
      <c r="Z1264" s="254" t="s">
        <v>1137</v>
      </c>
      <c r="AA1264" s="254" t="s">
        <v>838</v>
      </c>
    </row>
    <row r="1265" spans="1:27" ht="14.4" x14ac:dyDescent="0.3">
      <c r="A1265" s="253">
        <v>11</v>
      </c>
      <c r="B1265" s="254" t="s">
        <v>852</v>
      </c>
      <c r="C1265" s="254">
        <v>12653</v>
      </c>
      <c r="D1265" s="254" t="s">
        <v>232</v>
      </c>
      <c r="E1265" s="254" t="str">
        <f>_xlfn.XLOOKUP(C1265,Clientes!I:I,Clientes!F:F)</f>
        <v>APROVAR AGROPECUARIA COMERCIO</v>
      </c>
      <c r="F1265" s="254">
        <v>8368</v>
      </c>
      <c r="G1265" s="254" t="s">
        <v>855</v>
      </c>
      <c r="H1265" s="254" t="s">
        <v>989</v>
      </c>
      <c r="I1265" s="255">
        <v>1000</v>
      </c>
      <c r="J1265" s="256">
        <v>16442.036273934678</v>
      </c>
      <c r="K1265" s="258">
        <v>171348.69664512202</v>
      </c>
      <c r="L1265" s="258">
        <v>-15420.754665917288</v>
      </c>
      <c r="M1265" s="258">
        <f t="shared" si="78"/>
        <v>155927.94197920474</v>
      </c>
      <c r="N1265" s="258">
        <v>-57485.877453469191</v>
      </c>
      <c r="O1265" s="258">
        <v>-3968.7673764669912</v>
      </c>
      <c r="P1265" s="258">
        <v>-39900.242085630001</v>
      </c>
      <c r="Q1265" s="258">
        <f t="shared" si="79"/>
        <v>54573.05506363856</v>
      </c>
      <c r="R1265" s="259">
        <f t="shared" si="80"/>
        <v>0.34998893957644017</v>
      </c>
      <c r="S1265" s="255">
        <f t="shared" si="77"/>
        <v>171.34869664512203</v>
      </c>
      <c r="T1265" s="255">
        <f t="shared" si="77"/>
        <v>10.421379310344827</v>
      </c>
      <c r="U1265" s="254">
        <v>101602</v>
      </c>
      <c r="V1265" s="254" t="s">
        <v>983</v>
      </c>
      <c r="W1265" s="254" t="s">
        <v>1054</v>
      </c>
      <c r="X1265" s="254" t="s">
        <v>157</v>
      </c>
      <c r="Y1265" s="254" t="s">
        <v>843</v>
      </c>
      <c r="Z1265" s="254" t="s">
        <v>1137</v>
      </c>
      <c r="AA1265" s="254" t="s">
        <v>838</v>
      </c>
    </row>
    <row r="1266" spans="1:27" ht="14.4" x14ac:dyDescent="0.3">
      <c r="A1266" s="253">
        <v>11</v>
      </c>
      <c r="B1266" s="254" t="s">
        <v>852</v>
      </c>
      <c r="C1266" s="254">
        <v>11326</v>
      </c>
      <c r="D1266" s="254" t="s">
        <v>179</v>
      </c>
      <c r="E1266" s="254" t="str">
        <f>_xlfn.XLOOKUP(C1266,Clientes!I:I,Clientes!F:F)</f>
        <v>VEGA AGRO</v>
      </c>
      <c r="F1266" s="254">
        <v>8368</v>
      </c>
      <c r="G1266" s="254" t="s">
        <v>855</v>
      </c>
      <c r="H1266" s="254" t="s">
        <v>989</v>
      </c>
      <c r="I1266" s="255">
        <v>380</v>
      </c>
      <c r="J1266" s="256">
        <v>6247.9737840951775</v>
      </c>
      <c r="K1266" s="258">
        <v>63378.153381630284</v>
      </c>
      <c r="L1266" s="258">
        <v>-5703.8015089262717</v>
      </c>
      <c r="M1266" s="258">
        <f t="shared" si="78"/>
        <v>57674.351872704014</v>
      </c>
      <c r="N1266" s="258">
        <v>-21844.633432318293</v>
      </c>
      <c r="O1266" s="258">
        <v>0</v>
      </c>
      <c r="P1266" s="258">
        <v>-14811.556420113473</v>
      </c>
      <c r="Q1266" s="258">
        <f t="shared" si="79"/>
        <v>21018.162020272252</v>
      </c>
      <c r="R1266" s="259">
        <f t="shared" si="80"/>
        <v>0.36442823088263743</v>
      </c>
      <c r="S1266" s="255">
        <f t="shared" si="77"/>
        <v>166.78461416218497</v>
      </c>
      <c r="T1266" s="255">
        <f t="shared" si="77"/>
        <v>10.143793103448274</v>
      </c>
      <c r="U1266" s="254">
        <v>101602</v>
      </c>
      <c r="V1266" s="254" t="s">
        <v>983</v>
      </c>
      <c r="W1266" s="254" t="s">
        <v>952</v>
      </c>
      <c r="X1266" s="254" t="s">
        <v>157</v>
      </c>
      <c r="Y1266" s="254" t="s">
        <v>843</v>
      </c>
      <c r="Z1266" s="254" t="s">
        <v>1137</v>
      </c>
      <c r="AA1266" s="254" t="s">
        <v>838</v>
      </c>
    </row>
    <row r="1267" spans="1:27" ht="14.4" x14ac:dyDescent="0.3">
      <c r="A1267" s="253">
        <v>11</v>
      </c>
      <c r="B1267" s="254" t="s">
        <v>852</v>
      </c>
      <c r="C1267" s="254">
        <v>11326</v>
      </c>
      <c r="D1267" s="254" t="s">
        <v>179</v>
      </c>
      <c r="E1267" s="254" t="str">
        <f>_xlfn.XLOOKUP(C1267,Clientes!I:I,Clientes!F:F)</f>
        <v>VEGA AGRO</v>
      </c>
      <c r="F1267" s="254">
        <v>8369</v>
      </c>
      <c r="G1267" s="254" t="s">
        <v>855</v>
      </c>
      <c r="H1267" s="254" t="s">
        <v>988</v>
      </c>
      <c r="I1267" s="255">
        <v>6300</v>
      </c>
      <c r="J1267" s="256">
        <v>5754.7126958771369</v>
      </c>
      <c r="K1267" s="258">
        <v>53308.483400704623</v>
      </c>
      <c r="L1267" s="258">
        <v>-4797.5681182853787</v>
      </c>
      <c r="M1267" s="258">
        <f t="shared" si="78"/>
        <v>48510.915282419242</v>
      </c>
      <c r="N1267" s="258">
        <v>-19718.958588562869</v>
      </c>
      <c r="O1267" s="258">
        <v>0</v>
      </c>
      <c r="P1267" s="258">
        <v>-12622.28810448621</v>
      </c>
      <c r="Q1267" s="258">
        <f t="shared" si="79"/>
        <v>16169.668589370163</v>
      </c>
      <c r="R1267" s="259">
        <f t="shared" si="80"/>
        <v>0.33332021247659671</v>
      </c>
      <c r="S1267" s="255">
        <f t="shared" si="77"/>
        <v>8.4616640318578771</v>
      </c>
      <c r="T1267" s="255">
        <f t="shared" si="77"/>
        <v>9.2634482758620695</v>
      </c>
      <c r="U1267" s="254">
        <v>101602</v>
      </c>
      <c r="V1267" s="254" t="s">
        <v>983</v>
      </c>
      <c r="W1267" s="254" t="s">
        <v>952</v>
      </c>
      <c r="X1267" s="254" t="s">
        <v>157</v>
      </c>
      <c r="Y1267" s="254" t="s">
        <v>843</v>
      </c>
      <c r="Z1267" s="254" t="s">
        <v>1137</v>
      </c>
      <c r="AA1267" s="254" t="s">
        <v>838</v>
      </c>
    </row>
    <row r="1268" spans="1:27" ht="14.4" x14ac:dyDescent="0.3">
      <c r="A1268" s="253">
        <v>11</v>
      </c>
      <c r="B1268" s="254" t="s">
        <v>852</v>
      </c>
      <c r="C1268" s="254">
        <v>15906</v>
      </c>
      <c r="D1268" s="254" t="s">
        <v>993</v>
      </c>
      <c r="E1268" s="254" t="str">
        <f>_xlfn.XLOOKUP(C1268,Clientes!I:I,Clientes!F:F)</f>
        <v>ADUFÉRTIL - CAMPEVO</v>
      </c>
      <c r="F1268" s="254">
        <v>8369</v>
      </c>
      <c r="G1268" s="254" t="s">
        <v>908</v>
      </c>
      <c r="H1268" s="254" t="s">
        <v>988</v>
      </c>
      <c r="I1268" s="255">
        <v>4900</v>
      </c>
      <c r="J1268" s="256">
        <v>4475.8876523488843</v>
      </c>
      <c r="K1268" s="258">
        <v>42704.598432014238</v>
      </c>
      <c r="L1268" s="258">
        <v>-3843.2573367657128</v>
      </c>
      <c r="M1268" s="258">
        <f t="shared" si="78"/>
        <v>38861.341095248528</v>
      </c>
      <c r="N1268" s="258">
        <v>-15336.967791104453</v>
      </c>
      <c r="O1268" s="258">
        <v>-1210.005656948968</v>
      </c>
      <c r="P1268" s="258">
        <v>-10070.292373577899</v>
      </c>
      <c r="Q1268" s="258">
        <f t="shared" si="79"/>
        <v>12244.075273617209</v>
      </c>
      <c r="R1268" s="259">
        <f t="shared" si="80"/>
        <v>0.31507083720057871</v>
      </c>
      <c r="S1268" s="255">
        <f t="shared" si="77"/>
        <v>8.7152241697988249</v>
      </c>
      <c r="T1268" s="255">
        <f t="shared" si="77"/>
        <v>9.5410344827586222</v>
      </c>
      <c r="U1268" s="254">
        <v>101602</v>
      </c>
      <c r="V1268" s="254" t="s">
        <v>983</v>
      </c>
      <c r="W1268" s="254" t="s">
        <v>994</v>
      </c>
      <c r="X1268" s="254" t="s">
        <v>157</v>
      </c>
      <c r="Y1268" s="254" t="s">
        <v>843</v>
      </c>
      <c r="Z1268" s="254" t="s">
        <v>1137</v>
      </c>
      <c r="AA1268" s="254" t="s">
        <v>838</v>
      </c>
    </row>
    <row r="1269" spans="1:27" ht="14.4" x14ac:dyDescent="0.3">
      <c r="A1269" s="253">
        <v>11</v>
      </c>
      <c r="B1269" s="254" t="s">
        <v>852</v>
      </c>
      <c r="C1269" s="254">
        <v>15906</v>
      </c>
      <c r="D1269" s="254" t="s">
        <v>993</v>
      </c>
      <c r="E1269" s="254" t="str">
        <f>_xlfn.XLOOKUP(C1269,Clientes!I:I,Clientes!F:F)</f>
        <v>ADUFÉRTIL - CAMPEVO</v>
      </c>
      <c r="F1269" s="254">
        <v>13004</v>
      </c>
      <c r="G1269" s="254" t="s">
        <v>908</v>
      </c>
      <c r="H1269" s="254" t="s">
        <v>982</v>
      </c>
      <c r="I1269" s="255">
        <v>63</v>
      </c>
      <c r="J1269" s="256">
        <v>1448.9348831774312</v>
      </c>
      <c r="K1269" s="258">
        <v>38324.327660043054</v>
      </c>
      <c r="L1269" s="258">
        <v>-3627.6857650550473</v>
      </c>
      <c r="M1269" s="258">
        <f t="shared" si="78"/>
        <v>34696.64189498801</v>
      </c>
      <c r="N1269" s="258">
        <v>-10245.14613524024</v>
      </c>
      <c r="O1269" s="258">
        <v>-391.70317518477435</v>
      </c>
      <c r="P1269" s="258">
        <v>-8122.3272789274997</v>
      </c>
      <c r="Q1269" s="258">
        <f t="shared" si="79"/>
        <v>15937.465305635495</v>
      </c>
      <c r="R1269" s="259">
        <f t="shared" si="80"/>
        <v>0.45933740083179891</v>
      </c>
      <c r="S1269" s="255">
        <f t="shared" si="77"/>
        <v>608.32266127052469</v>
      </c>
      <c r="T1269" s="255">
        <f t="shared" si="77"/>
        <v>26.45</v>
      </c>
      <c r="U1269" s="254">
        <v>101602</v>
      </c>
      <c r="V1269" s="254" t="s">
        <v>983</v>
      </c>
      <c r="W1269" s="254" t="s">
        <v>994</v>
      </c>
      <c r="X1269" s="254" t="s">
        <v>157</v>
      </c>
      <c r="Y1269" s="254" t="s">
        <v>843</v>
      </c>
      <c r="Z1269" s="254" t="s">
        <v>1137</v>
      </c>
      <c r="AA1269" s="254" t="s">
        <v>838</v>
      </c>
    </row>
    <row r="1270" spans="1:27" ht="14.4" x14ac:dyDescent="0.3">
      <c r="A1270" s="253">
        <v>11</v>
      </c>
      <c r="B1270" s="254" t="s">
        <v>852</v>
      </c>
      <c r="C1270" s="254">
        <v>14166</v>
      </c>
      <c r="D1270" s="254" t="s">
        <v>1050</v>
      </c>
      <c r="E1270" s="254" t="str">
        <f>_xlfn.XLOOKUP(C1270,Clientes!I:I,Clientes!F:F)</f>
        <v>GRUPO TAKI AGRO</v>
      </c>
      <c r="F1270" s="254">
        <v>8416</v>
      </c>
      <c r="G1270" s="254" t="s">
        <v>855</v>
      </c>
      <c r="H1270" s="254" t="s">
        <v>1051</v>
      </c>
      <c r="I1270" s="255">
        <v>50</v>
      </c>
      <c r="J1270" s="256">
        <v>287.48707999552204</v>
      </c>
      <c r="K1270" s="258">
        <v>7604.0332658815578</v>
      </c>
      <c r="L1270" s="258">
        <v>-810.39047670627565</v>
      </c>
      <c r="M1270" s="258">
        <f t="shared" si="78"/>
        <v>6793.6427891752819</v>
      </c>
      <c r="N1270" s="258">
        <v>-2431.3740645487951</v>
      </c>
      <c r="O1270" s="258">
        <v>-69.393433102367396</v>
      </c>
      <c r="P1270" s="258">
        <v>-1611.6548032662927</v>
      </c>
      <c r="Q1270" s="258">
        <f t="shared" si="79"/>
        <v>2681.2204882578267</v>
      </c>
      <c r="R1270" s="259">
        <f t="shared" si="80"/>
        <v>0.39466609762438143</v>
      </c>
      <c r="S1270" s="255">
        <f t="shared" si="77"/>
        <v>152.08066531763114</v>
      </c>
      <c r="T1270" s="255">
        <f t="shared" si="77"/>
        <v>26.45</v>
      </c>
      <c r="U1270" s="254">
        <v>101602</v>
      </c>
      <c r="V1270" s="254" t="s">
        <v>983</v>
      </c>
      <c r="W1270" s="254" t="s">
        <v>1052</v>
      </c>
      <c r="X1270" s="254" t="s">
        <v>157</v>
      </c>
      <c r="Y1270" s="254" t="s">
        <v>843</v>
      </c>
      <c r="Z1270" s="254" t="s">
        <v>1137</v>
      </c>
      <c r="AA1270" s="254" t="s">
        <v>838</v>
      </c>
    </row>
    <row r="1271" spans="1:27" ht="14.4" x14ac:dyDescent="0.3">
      <c r="A1271" s="253">
        <v>11</v>
      </c>
      <c r="B1271" s="254" t="s">
        <v>852</v>
      </c>
      <c r="C1271" s="254">
        <v>15917</v>
      </c>
      <c r="D1271" s="254" t="s">
        <v>571</v>
      </c>
      <c r="E1271" s="254" t="str">
        <f>_xlfn.XLOOKUP(C1271,Clientes!I:I,Clientes!F:F)</f>
        <v>MINAS FARM</v>
      </c>
      <c r="F1271" s="254">
        <v>8368</v>
      </c>
      <c r="G1271" s="254" t="s">
        <v>855</v>
      </c>
      <c r="H1271" s="254" t="s">
        <v>989</v>
      </c>
      <c r="I1271" s="255">
        <v>694</v>
      </c>
      <c r="J1271" s="256">
        <v>11410.773174110667</v>
      </c>
      <c r="K1271" s="258">
        <v>115748.52222855637</v>
      </c>
      <c r="L1271" s="258">
        <v>-10416.942755775874</v>
      </c>
      <c r="M1271" s="258">
        <f t="shared" si="78"/>
        <v>105331.57947278049</v>
      </c>
      <c r="N1271" s="258">
        <v>-39895.198952707622</v>
      </c>
      <c r="O1271" s="258">
        <v>0</v>
      </c>
      <c r="P1271" s="258">
        <v>-27050.57935673355</v>
      </c>
      <c r="Q1271" s="258">
        <f t="shared" si="79"/>
        <v>38385.801163339318</v>
      </c>
      <c r="R1271" s="259">
        <f t="shared" si="80"/>
        <v>0.36442823088263737</v>
      </c>
      <c r="S1271" s="255">
        <f t="shared" si="77"/>
        <v>166.78461416218497</v>
      </c>
      <c r="T1271" s="255">
        <f t="shared" si="77"/>
        <v>10.143793103448274</v>
      </c>
      <c r="U1271" s="254">
        <v>101602</v>
      </c>
      <c r="V1271" s="254" t="s">
        <v>983</v>
      </c>
      <c r="W1271" s="254" t="s">
        <v>865</v>
      </c>
      <c r="X1271" s="254" t="s">
        <v>157</v>
      </c>
      <c r="Y1271" s="254" t="s">
        <v>843</v>
      </c>
      <c r="Z1271" s="254" t="s">
        <v>1137</v>
      </c>
      <c r="AA1271" s="254" t="s">
        <v>838</v>
      </c>
    </row>
    <row r="1272" spans="1:27" ht="14.4" x14ac:dyDescent="0.3">
      <c r="A1272" s="253">
        <v>11</v>
      </c>
      <c r="B1272" s="254" t="s">
        <v>852</v>
      </c>
      <c r="C1272" s="254">
        <v>16645</v>
      </c>
      <c r="D1272" s="254" t="s">
        <v>573</v>
      </c>
      <c r="E1272" s="254" t="str">
        <f>_xlfn.XLOOKUP(C1272,Clientes!I:I,Clientes!F:F)</f>
        <v>OPCAO AGRONEGOCIOS</v>
      </c>
      <c r="F1272" s="254">
        <v>8369</v>
      </c>
      <c r="G1272" s="254" t="s">
        <v>855</v>
      </c>
      <c r="H1272" s="254" t="s">
        <v>988</v>
      </c>
      <c r="I1272" s="255">
        <v>9800</v>
      </c>
      <c r="J1272" s="256">
        <v>8951.7753046977687</v>
      </c>
      <c r="K1272" s="258">
        <v>85409.196864028476</v>
      </c>
      <c r="L1272" s="258">
        <v>-7686.5146735314256</v>
      </c>
      <c r="M1272" s="258">
        <f t="shared" si="78"/>
        <v>77722.682190497057</v>
      </c>
      <c r="N1272" s="258">
        <v>-30673.935582208906</v>
      </c>
      <c r="O1272" s="258">
        <v>-2160.7733494098061</v>
      </c>
      <c r="P1272" s="258">
        <v>-20136.906041517901</v>
      </c>
      <c r="Q1272" s="258">
        <f t="shared" si="79"/>
        <v>24751.067217360443</v>
      </c>
      <c r="R1272" s="259">
        <f t="shared" si="80"/>
        <v>0.31845359063517614</v>
      </c>
      <c r="S1272" s="255">
        <f t="shared" si="77"/>
        <v>8.7152241697988249</v>
      </c>
      <c r="T1272" s="255">
        <f t="shared" si="77"/>
        <v>9.5410344827586222</v>
      </c>
      <c r="U1272" s="254">
        <v>101602</v>
      </c>
      <c r="V1272" s="254" t="s">
        <v>983</v>
      </c>
      <c r="W1272" s="254" t="s">
        <v>865</v>
      </c>
      <c r="X1272" s="254" t="s">
        <v>157</v>
      </c>
      <c r="Y1272" s="254" t="s">
        <v>843</v>
      </c>
      <c r="Z1272" s="254" t="s">
        <v>1137</v>
      </c>
      <c r="AA1272" s="254" t="s">
        <v>838</v>
      </c>
    </row>
    <row r="1273" spans="1:27" ht="14.4" x14ac:dyDescent="0.3">
      <c r="A1273" s="253">
        <v>11</v>
      </c>
      <c r="B1273" s="254" t="s">
        <v>852</v>
      </c>
      <c r="C1273" s="254">
        <v>15905</v>
      </c>
      <c r="D1273" s="254" t="s">
        <v>750</v>
      </c>
      <c r="E1273" s="254" t="str">
        <f>_xlfn.XLOOKUP(C1273,Clientes!I:I,Clientes!F:F)</f>
        <v>ADUFÉRTIL - CAMPEVO</v>
      </c>
      <c r="F1273" s="254">
        <v>13004</v>
      </c>
      <c r="G1273" s="254" t="s">
        <v>908</v>
      </c>
      <c r="H1273" s="254" t="s">
        <v>982</v>
      </c>
      <c r="I1273" s="255">
        <v>23</v>
      </c>
      <c r="J1273" s="256">
        <v>528.97622719176059</v>
      </c>
      <c r="K1273" s="258">
        <v>13991.421209222068</v>
      </c>
      <c r="L1273" s="258">
        <v>-1324.3932158137472</v>
      </c>
      <c r="M1273" s="258">
        <f t="shared" si="78"/>
        <v>12667.027993408321</v>
      </c>
      <c r="N1273" s="258">
        <v>-3740.291446198818</v>
      </c>
      <c r="O1273" s="258">
        <v>-143.00274649602875</v>
      </c>
      <c r="P1273" s="258">
        <v>-2968.1085806925162</v>
      </c>
      <c r="Q1273" s="258">
        <f t="shared" si="79"/>
        <v>5815.6252200209565</v>
      </c>
      <c r="R1273" s="259">
        <f t="shared" si="80"/>
        <v>0.45911521021721091</v>
      </c>
      <c r="S1273" s="255">
        <f t="shared" si="77"/>
        <v>608.32266127052469</v>
      </c>
      <c r="T1273" s="255">
        <f t="shared" si="77"/>
        <v>26.45</v>
      </c>
      <c r="U1273" s="254">
        <v>101602</v>
      </c>
      <c r="V1273" s="254" t="s">
        <v>983</v>
      </c>
      <c r="W1273" s="254" t="s">
        <v>991</v>
      </c>
      <c r="X1273" s="254" t="s">
        <v>157</v>
      </c>
      <c r="Y1273" s="254" t="s">
        <v>843</v>
      </c>
      <c r="Z1273" s="254" t="s">
        <v>1137</v>
      </c>
      <c r="AA1273" s="254" t="s">
        <v>838</v>
      </c>
    </row>
    <row r="1274" spans="1:27" ht="14.4" x14ac:dyDescent="0.3">
      <c r="A1274" s="253">
        <v>11</v>
      </c>
      <c r="B1274" s="254" t="s">
        <v>852</v>
      </c>
      <c r="C1274" s="254">
        <v>15906</v>
      </c>
      <c r="D1274" s="254" t="s">
        <v>993</v>
      </c>
      <c r="E1274" s="254" t="str">
        <f>_xlfn.XLOOKUP(C1274,Clientes!I:I,Clientes!F:F)</f>
        <v>ADUFÉRTIL - CAMPEVO</v>
      </c>
      <c r="F1274" s="254">
        <v>8368</v>
      </c>
      <c r="G1274" s="254" t="s">
        <v>908</v>
      </c>
      <c r="H1274" s="254" t="s">
        <v>989</v>
      </c>
      <c r="I1274" s="255">
        <v>500</v>
      </c>
      <c r="J1274" s="256">
        <v>8221.0181369673392</v>
      </c>
      <c r="K1274" s="258">
        <v>85674.348322561011</v>
      </c>
      <c r="L1274" s="258">
        <v>-7710.3773329586438</v>
      </c>
      <c r="M1274" s="258">
        <f t="shared" si="78"/>
        <v>77963.970989602371</v>
      </c>
      <c r="N1274" s="258">
        <v>-28742.938726734596</v>
      </c>
      <c r="O1274" s="258">
        <v>-2222.4593699062671</v>
      </c>
      <c r="P1274" s="258">
        <v>-19951.143160996231</v>
      </c>
      <c r="Q1274" s="258">
        <f t="shared" si="79"/>
        <v>27047.429731965276</v>
      </c>
      <c r="R1274" s="259">
        <f t="shared" si="80"/>
        <v>0.34692216659375191</v>
      </c>
      <c r="S1274" s="255">
        <f t="shared" si="77"/>
        <v>171.34869664512203</v>
      </c>
      <c r="T1274" s="255">
        <f t="shared" si="77"/>
        <v>10.421379310344827</v>
      </c>
      <c r="U1274" s="254">
        <v>101602</v>
      </c>
      <c r="V1274" s="254" t="s">
        <v>983</v>
      </c>
      <c r="W1274" s="254" t="s">
        <v>994</v>
      </c>
      <c r="X1274" s="254" t="s">
        <v>157</v>
      </c>
      <c r="Y1274" s="254" t="s">
        <v>843</v>
      </c>
      <c r="Z1274" s="254" t="s">
        <v>1137</v>
      </c>
      <c r="AA1274" s="254" t="s">
        <v>838</v>
      </c>
    </row>
    <row r="1275" spans="1:27" ht="14.4" x14ac:dyDescent="0.3">
      <c r="A1275" s="253">
        <v>11</v>
      </c>
      <c r="B1275" s="254" t="s">
        <v>852</v>
      </c>
      <c r="C1275" s="254">
        <v>8187</v>
      </c>
      <c r="D1275" s="254" t="s">
        <v>466</v>
      </c>
      <c r="E1275" s="254" t="str">
        <f>_xlfn.XLOOKUP(C1275,Clientes!I:I,Clientes!F:F)</f>
        <v>AGROREP. REPRESENTACOES AGRICOLAS</v>
      </c>
      <c r="F1275" s="254">
        <v>8301</v>
      </c>
      <c r="G1275" s="254" t="s">
        <v>840</v>
      </c>
      <c r="H1275" s="254" t="s">
        <v>986</v>
      </c>
      <c r="I1275" s="255">
        <v>180</v>
      </c>
      <c r="J1275" s="256">
        <v>4139.8139519355173</v>
      </c>
      <c r="K1275" s="258">
        <v>109498.07902869442</v>
      </c>
      <c r="L1275" s="258">
        <v>-10800.733731544562</v>
      </c>
      <c r="M1275" s="258">
        <f t="shared" si="78"/>
        <v>98697.345297149863</v>
      </c>
      <c r="N1275" s="258">
        <v>-30332.181174883499</v>
      </c>
      <c r="O1275" s="258">
        <v>-3728.2198145227417</v>
      </c>
      <c r="P1275" s="258">
        <v>-23190.600075028437</v>
      </c>
      <c r="Q1275" s="258">
        <f t="shared" si="79"/>
        <v>41446.344232715179</v>
      </c>
      <c r="R1275" s="259">
        <f t="shared" si="80"/>
        <v>0.41993372879414265</v>
      </c>
      <c r="S1275" s="255">
        <f t="shared" si="77"/>
        <v>608.32266127052458</v>
      </c>
      <c r="T1275" s="255">
        <f t="shared" si="77"/>
        <v>26.45</v>
      </c>
      <c r="U1275" s="254">
        <v>101602</v>
      </c>
      <c r="V1275" s="254" t="s">
        <v>983</v>
      </c>
      <c r="W1275" s="254" t="s">
        <v>874</v>
      </c>
      <c r="X1275" s="254" t="s">
        <v>157</v>
      </c>
      <c r="Y1275" s="254" t="s">
        <v>843</v>
      </c>
      <c r="Z1275" s="254" t="s">
        <v>1137</v>
      </c>
      <c r="AA1275" s="254" t="s">
        <v>838</v>
      </c>
    </row>
    <row r="1276" spans="1:27" ht="14.4" x14ac:dyDescent="0.3">
      <c r="A1276" s="253">
        <v>11</v>
      </c>
      <c r="B1276" s="254" t="s">
        <v>852</v>
      </c>
      <c r="C1276" s="254">
        <v>11326</v>
      </c>
      <c r="D1276" s="254" t="s">
        <v>179</v>
      </c>
      <c r="E1276" s="254" t="str">
        <f>_xlfn.XLOOKUP(C1276,Clientes!I:I,Clientes!F:F)</f>
        <v>VEGA AGRO</v>
      </c>
      <c r="F1276" s="254">
        <v>8301</v>
      </c>
      <c r="G1276" s="254" t="s">
        <v>855</v>
      </c>
      <c r="H1276" s="254" t="s">
        <v>986</v>
      </c>
      <c r="I1276" s="255">
        <v>10</v>
      </c>
      <c r="J1276" s="256">
        <v>229.98966399641762</v>
      </c>
      <c r="K1276" s="258">
        <v>6083.2266127052462</v>
      </c>
      <c r="L1276" s="258">
        <v>-594.31362168545047</v>
      </c>
      <c r="M1276" s="258">
        <f t="shared" si="78"/>
        <v>5488.9129910197953</v>
      </c>
      <c r="N1276" s="258">
        <v>-1685.1211763824167</v>
      </c>
      <c r="O1276" s="258">
        <v>0</v>
      </c>
      <c r="P1276" s="258">
        <v>-1288.1267801040528</v>
      </c>
      <c r="Q1276" s="258">
        <f t="shared" si="79"/>
        <v>2515.6650345333255</v>
      </c>
      <c r="R1276" s="259">
        <f t="shared" si="80"/>
        <v>0.45831752819713317</v>
      </c>
      <c r="S1276" s="255">
        <f t="shared" si="77"/>
        <v>608.32266127052458</v>
      </c>
      <c r="T1276" s="255">
        <f t="shared" si="77"/>
        <v>26.45</v>
      </c>
      <c r="U1276" s="254">
        <v>101602</v>
      </c>
      <c r="V1276" s="254" t="s">
        <v>983</v>
      </c>
      <c r="W1276" s="254" t="s">
        <v>952</v>
      </c>
      <c r="X1276" s="254" t="s">
        <v>157</v>
      </c>
      <c r="Y1276" s="254" t="s">
        <v>843</v>
      </c>
      <c r="Z1276" s="254" t="s">
        <v>1137</v>
      </c>
      <c r="AA1276" s="254" t="s">
        <v>838</v>
      </c>
    </row>
    <row r="1277" spans="1:27" ht="14.4" x14ac:dyDescent="0.3">
      <c r="A1277" s="253">
        <v>11</v>
      </c>
      <c r="B1277" s="254" t="s">
        <v>852</v>
      </c>
      <c r="C1277" s="254">
        <v>15904</v>
      </c>
      <c r="D1277" s="254" t="s">
        <v>754</v>
      </c>
      <c r="E1277" s="254" t="str">
        <f>_xlfn.XLOOKUP(C1277,Clientes!I:I,Clientes!F:F)</f>
        <v>ADUFÉRTIL - CAMPEVO</v>
      </c>
      <c r="F1277" s="254">
        <v>8368</v>
      </c>
      <c r="G1277" s="254" t="s">
        <v>908</v>
      </c>
      <c r="H1277" s="254" t="s">
        <v>989</v>
      </c>
      <c r="I1277" s="255">
        <v>500</v>
      </c>
      <c r="J1277" s="256">
        <v>8221.0181369673392</v>
      </c>
      <c r="K1277" s="258">
        <v>85674.348322561011</v>
      </c>
      <c r="L1277" s="258">
        <v>-7710.3773329586438</v>
      </c>
      <c r="M1277" s="258">
        <f t="shared" si="78"/>
        <v>77963.970989602371</v>
      </c>
      <c r="N1277" s="258">
        <v>-28742.938726734596</v>
      </c>
      <c r="O1277" s="258">
        <v>-2222.4593699062671</v>
      </c>
      <c r="P1277" s="258">
        <v>-19950.5590934641</v>
      </c>
      <c r="Q1277" s="258">
        <f t="shared" si="79"/>
        <v>27048.013799497407</v>
      </c>
      <c r="R1277" s="259">
        <f t="shared" si="80"/>
        <v>0.34692965809943999</v>
      </c>
      <c r="S1277" s="255">
        <f t="shared" si="77"/>
        <v>171.34869664512203</v>
      </c>
      <c r="T1277" s="255">
        <f t="shared" si="77"/>
        <v>10.421379310344827</v>
      </c>
      <c r="U1277" s="254">
        <v>101602</v>
      </c>
      <c r="V1277" s="254" t="s">
        <v>983</v>
      </c>
      <c r="W1277" s="254" t="s">
        <v>992</v>
      </c>
      <c r="X1277" s="254" t="s">
        <v>157</v>
      </c>
      <c r="Y1277" s="254" t="s">
        <v>843</v>
      </c>
      <c r="Z1277" s="254" t="s">
        <v>1137</v>
      </c>
      <c r="AA1277" s="254" t="s">
        <v>838</v>
      </c>
    </row>
    <row r="1278" spans="1:27" ht="14.4" x14ac:dyDescent="0.3">
      <c r="A1278" s="253">
        <v>11</v>
      </c>
      <c r="B1278" s="254" t="s">
        <v>852</v>
      </c>
      <c r="C1278" s="254">
        <v>15917</v>
      </c>
      <c r="D1278" s="254" t="s">
        <v>571</v>
      </c>
      <c r="E1278" s="254" t="str">
        <f>_xlfn.XLOOKUP(C1278,Clientes!I:I,Clientes!F:F)</f>
        <v>MINAS FARM</v>
      </c>
      <c r="F1278" s="254">
        <v>8369</v>
      </c>
      <c r="G1278" s="254" t="s">
        <v>855</v>
      </c>
      <c r="H1278" s="254" t="s">
        <v>988</v>
      </c>
      <c r="I1278" s="255">
        <v>23000</v>
      </c>
      <c r="J1278" s="256">
        <v>21009.268572249865</v>
      </c>
      <c r="K1278" s="258">
        <v>194618.27273273116</v>
      </c>
      <c r="L1278" s="258">
        <v>-17514.931225486303</v>
      </c>
      <c r="M1278" s="258">
        <f t="shared" si="78"/>
        <v>177103.34150724486</v>
      </c>
      <c r="N1278" s="258">
        <v>-71989.848815388235</v>
      </c>
      <c r="O1278" s="258">
        <v>0</v>
      </c>
      <c r="P1278" s="258">
        <v>-46081.369270346477</v>
      </c>
      <c r="Q1278" s="258">
        <f t="shared" si="79"/>
        <v>59032.123421510143</v>
      </c>
      <c r="R1278" s="259">
        <f t="shared" si="80"/>
        <v>0.33332021247659682</v>
      </c>
      <c r="S1278" s="255">
        <f t="shared" si="77"/>
        <v>8.4616640318578771</v>
      </c>
      <c r="T1278" s="255">
        <f t="shared" si="77"/>
        <v>9.2634482758620695</v>
      </c>
      <c r="U1278" s="254">
        <v>101602</v>
      </c>
      <c r="V1278" s="254" t="s">
        <v>983</v>
      </c>
      <c r="W1278" s="254" t="s">
        <v>865</v>
      </c>
      <c r="X1278" s="254" t="s">
        <v>157</v>
      </c>
      <c r="Y1278" s="254" t="s">
        <v>843</v>
      </c>
      <c r="Z1278" s="254" t="s">
        <v>1137</v>
      </c>
      <c r="AA1278" s="254" t="s">
        <v>838</v>
      </c>
    </row>
    <row r="1279" spans="1:27" ht="14.4" x14ac:dyDescent="0.3">
      <c r="A1279" s="253">
        <v>11</v>
      </c>
      <c r="B1279" s="254" t="s">
        <v>852</v>
      </c>
      <c r="C1279" s="254">
        <v>12653</v>
      </c>
      <c r="D1279" s="254" t="s">
        <v>232</v>
      </c>
      <c r="E1279" s="254" t="str">
        <f>_xlfn.XLOOKUP(C1279,Clientes!I:I,Clientes!F:F)</f>
        <v>APROVAR AGROPECUARIA COMERCIO</v>
      </c>
      <c r="F1279" s="254">
        <v>8301</v>
      </c>
      <c r="G1279" s="254" t="s">
        <v>855</v>
      </c>
      <c r="H1279" s="254" t="s">
        <v>986</v>
      </c>
      <c r="I1279" s="255">
        <v>90</v>
      </c>
      <c r="J1279" s="256">
        <v>2069.9069759677586</v>
      </c>
      <c r="K1279" s="258">
        <v>54749.039514347212</v>
      </c>
      <c r="L1279" s="258">
        <v>-5400.366865772281</v>
      </c>
      <c r="M1279" s="258">
        <f t="shared" si="78"/>
        <v>49348.672648574931</v>
      </c>
      <c r="N1279" s="258">
        <v>-15166.090587441749</v>
      </c>
      <c r="O1279" s="258">
        <v>-499.63271833704522</v>
      </c>
      <c r="P1279" s="258">
        <v>-11594.837650717949</v>
      </c>
      <c r="Q1279" s="258">
        <f t="shared" si="79"/>
        <v>22088.111692078186</v>
      </c>
      <c r="R1279" s="259">
        <f t="shared" si="80"/>
        <v>0.44759282279735313</v>
      </c>
      <c r="S1279" s="255">
        <f t="shared" si="77"/>
        <v>608.32266127052458</v>
      </c>
      <c r="T1279" s="255">
        <f t="shared" si="77"/>
        <v>26.45</v>
      </c>
      <c r="U1279" s="254">
        <v>101602</v>
      </c>
      <c r="V1279" s="254" t="s">
        <v>983</v>
      </c>
      <c r="W1279" s="254" t="s">
        <v>1054</v>
      </c>
      <c r="X1279" s="254" t="s">
        <v>157</v>
      </c>
      <c r="Y1279" s="254" t="s">
        <v>843</v>
      </c>
      <c r="Z1279" s="254" t="s">
        <v>1137</v>
      </c>
      <c r="AA1279" s="254" t="s">
        <v>838</v>
      </c>
    </row>
    <row r="1280" spans="1:27" ht="14.4" x14ac:dyDescent="0.3">
      <c r="A1280" s="253">
        <v>11</v>
      </c>
      <c r="B1280" s="254" t="s">
        <v>852</v>
      </c>
      <c r="C1280" s="254">
        <v>16645</v>
      </c>
      <c r="D1280" s="254" t="s">
        <v>573</v>
      </c>
      <c r="E1280" s="254" t="str">
        <f>_xlfn.XLOOKUP(C1280,Clientes!I:I,Clientes!F:F)</f>
        <v>OPCAO AGRONEGOCIOS</v>
      </c>
      <c r="F1280" s="254">
        <v>8368</v>
      </c>
      <c r="G1280" s="254" t="s">
        <v>855</v>
      </c>
      <c r="H1280" s="254" t="s">
        <v>989</v>
      </c>
      <c r="I1280" s="255">
        <v>500</v>
      </c>
      <c r="J1280" s="256">
        <v>8221.0181369673392</v>
      </c>
      <c r="K1280" s="258">
        <v>85674.348322561011</v>
      </c>
      <c r="L1280" s="258">
        <v>-7710.3773329586438</v>
      </c>
      <c r="M1280" s="258">
        <f t="shared" si="78"/>
        <v>77963.970989602371</v>
      </c>
      <c r="N1280" s="258">
        <v>-28742.938726734596</v>
      </c>
      <c r="O1280" s="258">
        <v>-1984.3836882334956</v>
      </c>
      <c r="P1280" s="258">
        <v>-19950.287448430303</v>
      </c>
      <c r="Q1280" s="258">
        <f t="shared" si="79"/>
        <v>27286.361126203978</v>
      </c>
      <c r="R1280" s="259">
        <f t="shared" si="80"/>
        <v>0.3499868051852183</v>
      </c>
      <c r="S1280" s="255">
        <f t="shared" si="77"/>
        <v>171.34869664512203</v>
      </c>
      <c r="T1280" s="255">
        <f t="shared" si="77"/>
        <v>10.421379310344827</v>
      </c>
      <c r="U1280" s="254">
        <v>101602</v>
      </c>
      <c r="V1280" s="254" t="s">
        <v>983</v>
      </c>
      <c r="W1280" s="254" t="s">
        <v>865</v>
      </c>
      <c r="X1280" s="254" t="s">
        <v>157</v>
      </c>
      <c r="Y1280" s="254" t="s">
        <v>843</v>
      </c>
      <c r="Z1280" s="254" t="s">
        <v>1137</v>
      </c>
      <c r="AA1280" s="254" t="s">
        <v>838</v>
      </c>
    </row>
    <row r="1281" spans="1:27" ht="14.4" x14ac:dyDescent="0.3">
      <c r="A1281" s="253">
        <v>11</v>
      </c>
      <c r="B1281" s="254" t="s">
        <v>852</v>
      </c>
      <c r="C1281" s="254">
        <v>13773</v>
      </c>
      <c r="D1281" s="254" t="s">
        <v>428</v>
      </c>
      <c r="E1281" s="254" t="str">
        <f>_xlfn.XLOOKUP(C1281,Clientes!I:I,Clientes!F:F)</f>
        <v>FERTLIZE AGRO</v>
      </c>
      <c r="F1281" s="254">
        <v>8301</v>
      </c>
      <c r="G1281" s="254" t="s">
        <v>855</v>
      </c>
      <c r="H1281" s="254" t="s">
        <v>986</v>
      </c>
      <c r="I1281" s="255">
        <v>5</v>
      </c>
      <c r="J1281" s="256">
        <v>114.99483199820881</v>
      </c>
      <c r="K1281" s="258">
        <v>3041.6133063526231</v>
      </c>
      <c r="L1281" s="258">
        <v>-297.15681084272524</v>
      </c>
      <c r="M1281" s="258">
        <f t="shared" si="78"/>
        <v>2744.4564955098976</v>
      </c>
      <c r="N1281" s="258">
        <v>-842.56058819120835</v>
      </c>
      <c r="O1281" s="258">
        <v>0</v>
      </c>
      <c r="P1281" s="258">
        <v>-644.06339005202642</v>
      </c>
      <c r="Q1281" s="258">
        <f t="shared" si="79"/>
        <v>1257.8325172666628</v>
      </c>
      <c r="R1281" s="259">
        <f t="shared" si="80"/>
        <v>0.45831752819713317</v>
      </c>
      <c r="S1281" s="255">
        <f t="shared" si="77"/>
        <v>608.32266127052458</v>
      </c>
      <c r="T1281" s="255">
        <f t="shared" si="77"/>
        <v>26.45</v>
      </c>
      <c r="U1281" s="254">
        <v>101602</v>
      </c>
      <c r="V1281" s="254" t="s">
        <v>983</v>
      </c>
      <c r="W1281" s="254" t="s">
        <v>995</v>
      </c>
      <c r="X1281" s="254" t="s">
        <v>157</v>
      </c>
      <c r="Y1281" s="254" t="s">
        <v>843</v>
      </c>
      <c r="Z1281" s="254" t="s">
        <v>1137</v>
      </c>
      <c r="AA1281" s="254" t="s">
        <v>838</v>
      </c>
    </row>
    <row r="1282" spans="1:27" ht="14.4" x14ac:dyDescent="0.3">
      <c r="A1282" s="253">
        <v>11</v>
      </c>
      <c r="B1282" s="254" t="s">
        <v>852</v>
      </c>
      <c r="C1282" s="254">
        <v>6477</v>
      </c>
      <c r="D1282" s="254" t="s">
        <v>87</v>
      </c>
      <c r="E1282" s="254" t="str">
        <f>_xlfn.XLOOKUP(C1282,Clientes!I:I,Clientes!F:F)</f>
        <v>GRUPO MOSAIC FERTILIZANTES DO BRASIL</v>
      </c>
      <c r="F1282" s="254">
        <v>4676</v>
      </c>
      <c r="G1282" s="254" t="s">
        <v>862</v>
      </c>
      <c r="H1282" s="254" t="s">
        <v>999</v>
      </c>
      <c r="I1282" s="255">
        <v>60000</v>
      </c>
      <c r="J1282" s="256">
        <v>60000</v>
      </c>
      <c r="K1282" s="255">
        <v>689453.02220322529</v>
      </c>
      <c r="L1282" s="258">
        <v>-80640</v>
      </c>
      <c r="M1282" s="258">
        <f t="shared" si="78"/>
        <v>608813.02220322529</v>
      </c>
      <c r="N1282" s="258">
        <v>-343791</v>
      </c>
      <c r="O1282" s="258">
        <v>-28099.2114</v>
      </c>
      <c r="P1282" s="258">
        <v>-14.280451160595732</v>
      </c>
      <c r="Q1282" s="258">
        <f t="shared" si="79"/>
        <v>236908.5303520647</v>
      </c>
      <c r="R1282" s="259">
        <f t="shared" si="80"/>
        <v>0.38913183803907414</v>
      </c>
      <c r="S1282" s="255">
        <f t="shared" si="77"/>
        <v>11.490883703387087</v>
      </c>
      <c r="T1282" s="255">
        <f t="shared" si="77"/>
        <v>11.490883703387087</v>
      </c>
      <c r="U1282" s="254">
        <v>101900</v>
      </c>
      <c r="V1282" s="254" t="s">
        <v>997</v>
      </c>
      <c r="W1282" s="254" t="s">
        <v>864</v>
      </c>
      <c r="X1282" s="254" t="s">
        <v>446</v>
      </c>
      <c r="Y1282" s="254" t="s">
        <v>843</v>
      </c>
      <c r="Z1282" s="254" t="s">
        <v>1137</v>
      </c>
      <c r="AA1282" s="254" t="s">
        <v>838</v>
      </c>
    </row>
    <row r="1283" spans="1:27" ht="14.4" x14ac:dyDescent="0.3">
      <c r="A1283" s="253">
        <v>11</v>
      </c>
      <c r="B1283" s="254" t="s">
        <v>852</v>
      </c>
      <c r="C1283" s="254">
        <v>2696</v>
      </c>
      <c r="D1283" s="254" t="s">
        <v>119</v>
      </c>
      <c r="E1283" s="254" t="str">
        <f>_xlfn.XLOOKUP(C1283,Clientes!I:I,Clientes!F:F)</f>
        <v>MOSAIC FERTILIZANTES PARAGUAY S.R.L.</v>
      </c>
      <c r="F1283" s="254">
        <v>4676</v>
      </c>
      <c r="G1283" s="254" t="s">
        <v>832</v>
      </c>
      <c r="H1283" s="254" t="s">
        <v>999</v>
      </c>
      <c r="I1283" s="255">
        <v>60000</v>
      </c>
      <c r="J1283" s="256">
        <v>60000</v>
      </c>
      <c r="K1283" s="255">
        <v>677141.36109245347</v>
      </c>
      <c r="L1283" s="258">
        <v>0</v>
      </c>
      <c r="M1283" s="258">
        <f t="shared" si="78"/>
        <v>677141.36109245347</v>
      </c>
      <c r="N1283" s="258">
        <v>-343791</v>
      </c>
      <c r="O1283" s="258">
        <v>-54102.400000000023</v>
      </c>
      <c r="P1283" s="258">
        <v>-8935.9266910491424</v>
      </c>
      <c r="Q1283" s="258">
        <f t="shared" si="79"/>
        <v>270312.03440140432</v>
      </c>
      <c r="R1283" s="259">
        <f t="shared" si="80"/>
        <v>0.39919586947886537</v>
      </c>
      <c r="S1283" s="255">
        <f t="shared" ref="S1283:T1346" si="81">$K1283/I1283</f>
        <v>11.285689351540892</v>
      </c>
      <c r="T1283" s="255">
        <f t="shared" si="81"/>
        <v>11.285689351540892</v>
      </c>
      <c r="U1283" s="254">
        <v>101900</v>
      </c>
      <c r="V1283" s="254" t="s">
        <v>997</v>
      </c>
      <c r="W1283" s="254" t="s">
        <v>1012</v>
      </c>
      <c r="X1283" s="254" t="s">
        <v>446</v>
      </c>
      <c r="Y1283" s="254" t="s">
        <v>836</v>
      </c>
      <c r="Z1283" s="254" t="s">
        <v>1137</v>
      </c>
      <c r="AA1283" s="254" t="s">
        <v>838</v>
      </c>
    </row>
    <row r="1284" spans="1:27" ht="14.4" x14ac:dyDescent="0.3">
      <c r="A1284" s="253">
        <v>11</v>
      </c>
      <c r="B1284" s="254" t="s">
        <v>852</v>
      </c>
      <c r="C1284" s="254">
        <v>903</v>
      </c>
      <c r="D1284" s="254" t="s">
        <v>47</v>
      </c>
      <c r="E1284" s="254" t="str">
        <f>_xlfn.XLOOKUP(C1284,Clientes!I:I,Clientes!F:F)</f>
        <v>GRUPO YARA</v>
      </c>
      <c r="F1284" s="254">
        <v>4627</v>
      </c>
      <c r="G1284" s="254" t="s">
        <v>862</v>
      </c>
      <c r="H1284" s="254" t="s">
        <v>1000</v>
      </c>
      <c r="I1284" s="255">
        <v>45000</v>
      </c>
      <c r="J1284" s="256">
        <v>45000</v>
      </c>
      <c r="K1284" s="258">
        <v>386029.5564195044</v>
      </c>
      <c r="L1284" s="258">
        <v>-46170</v>
      </c>
      <c r="M1284" s="258">
        <f t="shared" ref="M1284:M1347" si="82">SUM(K1284:L1284)</f>
        <v>339859.5564195044</v>
      </c>
      <c r="N1284" s="258">
        <v>-232645.55857142858</v>
      </c>
      <c r="O1284" s="258">
        <v>-17720.945424000001</v>
      </c>
      <c r="P1284" s="258">
        <v>-9.0060568620446926</v>
      </c>
      <c r="Q1284" s="258">
        <f t="shared" ref="Q1284:Q1347" si="83">SUM(M1284:P1284)</f>
        <v>89484.04636721377</v>
      </c>
      <c r="R1284" s="259">
        <f t="shared" ref="R1284:R1347" si="84">Q1284/M1284</f>
        <v>0.26329713164445923</v>
      </c>
      <c r="S1284" s="255">
        <f t="shared" si="81"/>
        <v>8.578434587100098</v>
      </c>
      <c r="T1284" s="255">
        <f t="shared" si="81"/>
        <v>8.578434587100098</v>
      </c>
      <c r="U1284" s="254">
        <v>102200</v>
      </c>
      <c r="V1284" s="254" t="s">
        <v>1001</v>
      </c>
      <c r="W1284" s="254" t="s">
        <v>1002</v>
      </c>
      <c r="X1284" s="254" t="s">
        <v>446</v>
      </c>
      <c r="Y1284" s="254" t="s">
        <v>843</v>
      </c>
      <c r="Z1284" s="254" t="s">
        <v>1137</v>
      </c>
      <c r="AA1284" s="254" t="s">
        <v>838</v>
      </c>
    </row>
    <row r="1285" spans="1:27" ht="14.4" x14ac:dyDescent="0.3">
      <c r="A1285" s="253">
        <v>11</v>
      </c>
      <c r="B1285" s="254" t="s">
        <v>852</v>
      </c>
      <c r="C1285" s="254">
        <v>1159</v>
      </c>
      <c r="D1285" s="254" t="s">
        <v>50</v>
      </c>
      <c r="E1285" s="254" t="str">
        <f>_xlfn.XLOOKUP(C1285,Clientes!I:I,Clientes!F:F)</f>
        <v>GRUPO YARA</v>
      </c>
      <c r="F1285" s="254">
        <v>4627</v>
      </c>
      <c r="G1285" s="254" t="s">
        <v>877</v>
      </c>
      <c r="H1285" s="254" t="s">
        <v>1000</v>
      </c>
      <c r="I1285" s="255">
        <v>270000</v>
      </c>
      <c r="J1285" s="256">
        <v>270000</v>
      </c>
      <c r="K1285" s="258">
        <v>2451626.3056817646</v>
      </c>
      <c r="L1285" s="258">
        <v>-293220</v>
      </c>
      <c r="M1285" s="258">
        <f t="shared" si="82"/>
        <v>2158406.3056817646</v>
      </c>
      <c r="N1285" s="258">
        <v>-1395873.3514285714</v>
      </c>
      <c r="O1285" s="258">
        <v>-219794.44500000001</v>
      </c>
      <c r="P1285" s="258">
        <v>-111.70291551999729</v>
      </c>
      <c r="Q1285" s="258">
        <f t="shared" si="83"/>
        <v>542626.80633767322</v>
      </c>
      <c r="R1285" s="259">
        <f t="shared" si="84"/>
        <v>0.25140160353927271</v>
      </c>
      <c r="S1285" s="255">
        <f t="shared" si="81"/>
        <v>9.0800974284509799</v>
      </c>
      <c r="T1285" s="255">
        <f t="shared" si="81"/>
        <v>9.0800974284509799</v>
      </c>
      <c r="U1285" s="254">
        <v>102200</v>
      </c>
      <c r="V1285" s="254" t="s">
        <v>1001</v>
      </c>
      <c r="W1285" s="254" t="s">
        <v>878</v>
      </c>
      <c r="X1285" s="254" t="s">
        <v>446</v>
      </c>
      <c r="Y1285" s="254" t="s">
        <v>843</v>
      </c>
      <c r="Z1285" s="254" t="s">
        <v>1137</v>
      </c>
      <c r="AA1285" s="254" t="s">
        <v>838</v>
      </c>
    </row>
    <row r="1286" spans="1:27" ht="14.4" x14ac:dyDescent="0.3">
      <c r="A1286" s="253">
        <v>11</v>
      </c>
      <c r="B1286" s="254" t="s">
        <v>852</v>
      </c>
      <c r="C1286" s="254">
        <v>3273</v>
      </c>
      <c r="D1286" s="254" t="s">
        <v>79</v>
      </c>
      <c r="E1286" s="254" t="str">
        <f>_xlfn.XLOOKUP(C1286,Clientes!I:I,Clientes!F:F)</f>
        <v>FERTIMAXI - CONCEICAO DO JACUIPE</v>
      </c>
      <c r="F1286" s="254">
        <v>12293</v>
      </c>
      <c r="G1286" s="254" t="s">
        <v>875</v>
      </c>
      <c r="H1286" s="254" t="s">
        <v>1058</v>
      </c>
      <c r="I1286" s="255">
        <v>9000</v>
      </c>
      <c r="J1286" s="256">
        <v>9000</v>
      </c>
      <c r="K1286" s="258">
        <v>63312.427949156547</v>
      </c>
      <c r="L1286" s="258">
        <v>-2466</v>
      </c>
      <c r="M1286" s="258">
        <f t="shared" si="82"/>
        <v>60846.427949156547</v>
      </c>
      <c r="N1286" s="258">
        <v>-28972.550000000003</v>
      </c>
      <c r="O1286" s="258">
        <v>-9271.4684019750002</v>
      </c>
      <c r="P1286" s="258">
        <v>-4.7119027582891722</v>
      </c>
      <c r="Q1286" s="258">
        <f t="shared" si="83"/>
        <v>22597.697644423257</v>
      </c>
      <c r="R1286" s="259">
        <f t="shared" si="84"/>
        <v>0.37138905940881128</v>
      </c>
      <c r="S1286" s="255">
        <f t="shared" si="81"/>
        <v>7.0347142165729499</v>
      </c>
      <c r="T1286" s="255">
        <f t="shared" si="81"/>
        <v>7.0347142165729499</v>
      </c>
      <c r="U1286" s="254">
        <v>102300</v>
      </c>
      <c r="V1286" s="254" t="s">
        <v>1059</v>
      </c>
      <c r="W1286" s="254" t="s">
        <v>884</v>
      </c>
      <c r="X1286" s="254" t="s">
        <v>446</v>
      </c>
      <c r="Y1286" s="254" t="s">
        <v>843</v>
      </c>
      <c r="Z1286" s="254" t="s">
        <v>1137</v>
      </c>
      <c r="AA1286" s="254" t="s">
        <v>838</v>
      </c>
    </row>
    <row r="1287" spans="1:27" ht="14.4" x14ac:dyDescent="0.3">
      <c r="A1287" s="253">
        <v>11</v>
      </c>
      <c r="B1287" s="254" t="s">
        <v>852</v>
      </c>
      <c r="C1287" s="254">
        <v>139</v>
      </c>
      <c r="D1287" s="254" t="s">
        <v>32</v>
      </c>
      <c r="E1287" s="254" t="str">
        <f>_xlfn.XLOOKUP(C1287,Clientes!I:I,Clientes!F:F)</f>
        <v>COMIGO - RIO VERDE</v>
      </c>
      <c r="F1287" s="254">
        <v>14190</v>
      </c>
      <c r="G1287" s="254" t="s">
        <v>867</v>
      </c>
      <c r="H1287" s="254" t="s">
        <v>1122</v>
      </c>
      <c r="I1287" s="255">
        <v>100000</v>
      </c>
      <c r="J1287" s="256">
        <v>100000</v>
      </c>
      <c r="K1287" s="258">
        <v>815410.6697750251</v>
      </c>
      <c r="L1287" s="258">
        <v>-31760</v>
      </c>
      <c r="M1287" s="258">
        <f t="shared" si="82"/>
        <v>783650.6697750251</v>
      </c>
      <c r="N1287" s="258">
        <v>-446918.00000000006</v>
      </c>
      <c r="O1287" s="258">
        <v>-18962.657999999999</v>
      </c>
      <c r="P1287" s="258">
        <v>-9.637114280156629</v>
      </c>
      <c r="Q1287" s="258">
        <f t="shared" si="83"/>
        <v>317760.37466074491</v>
      </c>
      <c r="R1287" s="259">
        <f t="shared" si="84"/>
        <v>0.40548727502774851</v>
      </c>
      <c r="S1287" s="255">
        <f t="shared" si="81"/>
        <v>8.154106697750251</v>
      </c>
      <c r="T1287" s="255">
        <f t="shared" si="81"/>
        <v>8.154106697750251</v>
      </c>
      <c r="U1287" s="254">
        <v>102300</v>
      </c>
      <c r="V1287" s="254" t="s">
        <v>1059</v>
      </c>
      <c r="W1287" s="254" t="s">
        <v>890</v>
      </c>
      <c r="X1287" s="254" t="s">
        <v>446</v>
      </c>
      <c r="Y1287" s="254" t="s">
        <v>843</v>
      </c>
      <c r="Z1287" s="254" t="s">
        <v>1137</v>
      </c>
      <c r="AA1287" s="254" t="s">
        <v>838</v>
      </c>
    </row>
    <row r="1288" spans="1:27" ht="14.4" x14ac:dyDescent="0.3">
      <c r="A1288" s="253">
        <v>11</v>
      </c>
      <c r="B1288" s="254" t="s">
        <v>852</v>
      </c>
      <c r="C1288" s="254">
        <v>97</v>
      </c>
      <c r="D1288" s="254" t="s">
        <v>300</v>
      </c>
      <c r="E1288" s="254" t="str">
        <f>_xlfn.XLOOKUP(C1288,Clientes!I:I,Clientes!F:F)</f>
        <v>FECOAGRO FEDERACAO DAS COOPERATIVAS</v>
      </c>
      <c r="F1288" s="254">
        <v>13600</v>
      </c>
      <c r="G1288" s="254" t="s">
        <v>893</v>
      </c>
      <c r="H1288" s="254" t="s">
        <v>1098</v>
      </c>
      <c r="I1288" s="255">
        <v>210000</v>
      </c>
      <c r="J1288" s="256">
        <v>210000</v>
      </c>
      <c r="K1288" s="258">
        <v>1940964.944426697</v>
      </c>
      <c r="L1288" s="258">
        <v>-75600</v>
      </c>
      <c r="M1288" s="258">
        <f t="shared" si="82"/>
        <v>1865364.944426697</v>
      </c>
      <c r="N1288" s="258">
        <v>-1208441.8099999998</v>
      </c>
      <c r="O1288" s="258">
        <v>-117654.67349999999</v>
      </c>
      <c r="P1288" s="258">
        <v>-59.793913601880895</v>
      </c>
      <c r="Q1288" s="258">
        <f t="shared" si="83"/>
        <v>539208.66701309523</v>
      </c>
      <c r="R1288" s="259">
        <f t="shared" si="84"/>
        <v>0.28906336458403648</v>
      </c>
      <c r="S1288" s="255">
        <f t="shared" si="81"/>
        <v>9.2426902115557006</v>
      </c>
      <c r="T1288" s="255">
        <f t="shared" si="81"/>
        <v>9.2426902115557006</v>
      </c>
      <c r="U1288" s="254">
        <v>102300</v>
      </c>
      <c r="V1288" s="254" t="s">
        <v>1059</v>
      </c>
      <c r="W1288" s="254" t="s">
        <v>894</v>
      </c>
      <c r="X1288" s="254" t="s">
        <v>446</v>
      </c>
      <c r="Y1288" s="254" t="s">
        <v>843</v>
      </c>
      <c r="Z1288" s="254" t="s">
        <v>1137</v>
      </c>
      <c r="AA1288" s="254" t="s">
        <v>838</v>
      </c>
    </row>
    <row r="1289" spans="1:27" ht="14.4" x14ac:dyDescent="0.3">
      <c r="A1289" s="253">
        <v>11</v>
      </c>
      <c r="B1289" s="254" t="s">
        <v>852</v>
      </c>
      <c r="C1289" s="254">
        <v>5695</v>
      </c>
      <c r="D1289" s="254" t="s">
        <v>1123</v>
      </c>
      <c r="E1289" s="254" t="str">
        <f>_xlfn.XLOOKUP(C1289,Clientes!I:I,Clientes!F:F)</f>
        <v>GRUPO CAMPO RICO</v>
      </c>
      <c r="F1289" s="254">
        <v>12813</v>
      </c>
      <c r="G1289" s="254" t="s">
        <v>926</v>
      </c>
      <c r="H1289" s="254" t="s">
        <v>1060</v>
      </c>
      <c r="I1289" s="255">
        <v>70000</v>
      </c>
      <c r="J1289" s="256">
        <v>70000</v>
      </c>
      <c r="K1289" s="258">
        <v>718875.90534322115</v>
      </c>
      <c r="L1289" s="258">
        <v>-28000</v>
      </c>
      <c r="M1289" s="258">
        <f t="shared" si="82"/>
        <v>690875.90534322115</v>
      </c>
      <c r="N1289" s="258">
        <v>-313669.56687500002</v>
      </c>
      <c r="O1289" s="258">
        <v>-70850.266905600001</v>
      </c>
      <c r="P1289" s="258">
        <v>-36.007194716524786</v>
      </c>
      <c r="Q1289" s="258">
        <f t="shared" si="83"/>
        <v>306320.06436790462</v>
      </c>
      <c r="R1289" s="259">
        <f t="shared" si="84"/>
        <v>0.44337928417944678</v>
      </c>
      <c r="S1289" s="255">
        <f t="shared" si="81"/>
        <v>10.269655790617445</v>
      </c>
      <c r="T1289" s="255">
        <f t="shared" si="81"/>
        <v>10.269655790617445</v>
      </c>
      <c r="U1289" s="254">
        <v>102300</v>
      </c>
      <c r="V1289" s="254" t="s">
        <v>1059</v>
      </c>
      <c r="W1289" s="254" t="s">
        <v>1124</v>
      </c>
      <c r="X1289" s="254" t="s">
        <v>446</v>
      </c>
      <c r="Y1289" s="254" t="s">
        <v>843</v>
      </c>
      <c r="Z1289" s="254" t="s">
        <v>1137</v>
      </c>
      <c r="AA1289" s="254" t="s">
        <v>838</v>
      </c>
    </row>
    <row r="1290" spans="1:27" ht="14.4" x14ac:dyDescent="0.3">
      <c r="A1290" s="253">
        <v>11</v>
      </c>
      <c r="B1290" s="254" t="s">
        <v>852</v>
      </c>
      <c r="C1290" s="254">
        <v>2011</v>
      </c>
      <c r="D1290" s="254" t="s">
        <v>616</v>
      </c>
      <c r="E1290" s="254" t="str">
        <f>_xlfn.XLOOKUP(C1290,Clientes!I:I,Clientes!F:F)</f>
        <v>FERTGROW S.A</v>
      </c>
      <c r="F1290" s="254">
        <v>12813</v>
      </c>
      <c r="G1290" s="254" t="s">
        <v>897</v>
      </c>
      <c r="H1290" s="254" t="s">
        <v>1060</v>
      </c>
      <c r="I1290" s="255">
        <v>90000</v>
      </c>
      <c r="J1290" s="256">
        <v>90000</v>
      </c>
      <c r="K1290" s="258">
        <v>1011150.3091441935</v>
      </c>
      <c r="L1290" s="258">
        <v>-39384</v>
      </c>
      <c r="M1290" s="258">
        <f t="shared" si="82"/>
        <v>971766.30914419354</v>
      </c>
      <c r="N1290" s="258">
        <v>-403289.44312499999</v>
      </c>
      <c r="O1290" s="258">
        <v>-79384.58189999999</v>
      </c>
      <c r="P1290" s="258">
        <v>-40.344464781928423</v>
      </c>
      <c r="Q1290" s="258">
        <f t="shared" si="83"/>
        <v>489051.93965441163</v>
      </c>
      <c r="R1290" s="259">
        <f t="shared" si="84"/>
        <v>0.50326085093967243</v>
      </c>
      <c r="S1290" s="255">
        <f t="shared" si="81"/>
        <v>11.235003434935484</v>
      </c>
      <c r="T1290" s="255">
        <f t="shared" si="81"/>
        <v>11.235003434935484</v>
      </c>
      <c r="U1290" s="254">
        <v>102300</v>
      </c>
      <c r="V1290" s="254" t="s">
        <v>1059</v>
      </c>
      <c r="W1290" s="254" t="s">
        <v>899</v>
      </c>
      <c r="X1290" s="254" t="s">
        <v>446</v>
      </c>
      <c r="Y1290" s="254" t="s">
        <v>843</v>
      </c>
      <c r="Z1290" s="254" t="s">
        <v>1137</v>
      </c>
      <c r="AA1290" s="254" t="s">
        <v>838</v>
      </c>
    </row>
    <row r="1291" spans="1:27" ht="14.4" x14ac:dyDescent="0.3">
      <c r="A1291" s="253">
        <v>11</v>
      </c>
      <c r="B1291" s="254" t="s">
        <v>852</v>
      </c>
      <c r="C1291" s="254">
        <v>139</v>
      </c>
      <c r="D1291" s="254" t="s">
        <v>32</v>
      </c>
      <c r="E1291" s="254" t="str">
        <f>_xlfn.XLOOKUP(C1291,Clientes!I:I,Clientes!F:F)</f>
        <v>COMIGO - RIO VERDE</v>
      </c>
      <c r="F1291" s="254">
        <v>14154</v>
      </c>
      <c r="G1291" s="254" t="s">
        <v>867</v>
      </c>
      <c r="H1291" s="254" t="s">
        <v>1007</v>
      </c>
      <c r="I1291" s="255">
        <v>30000</v>
      </c>
      <c r="J1291" s="256">
        <v>30000</v>
      </c>
      <c r="K1291" s="258">
        <v>48600</v>
      </c>
      <c r="L1291" s="258">
        <v>-3402.0000000000005</v>
      </c>
      <c r="M1291" s="258">
        <f t="shared" si="82"/>
        <v>45198</v>
      </c>
      <c r="N1291" s="258">
        <v>-34555.701086956527</v>
      </c>
      <c r="O1291" s="258">
        <v>-5688.7973999999995</v>
      </c>
      <c r="P1291" s="258">
        <v>-2.8911342840469882</v>
      </c>
      <c r="Q1291" s="258">
        <f t="shared" si="83"/>
        <v>4950.6103787594257</v>
      </c>
      <c r="R1291" s="259">
        <f t="shared" si="84"/>
        <v>0.10953162482320956</v>
      </c>
      <c r="S1291" s="255">
        <f t="shared" si="81"/>
        <v>1.62</v>
      </c>
      <c r="T1291" s="255">
        <f t="shared" si="81"/>
        <v>1.62</v>
      </c>
      <c r="U1291" s="254">
        <v>102600</v>
      </c>
      <c r="V1291" s="254" t="s">
        <v>1005</v>
      </c>
      <c r="W1291" s="254" t="s">
        <v>890</v>
      </c>
      <c r="X1291" s="254" t="s">
        <v>446</v>
      </c>
      <c r="Y1291" s="254" t="s">
        <v>843</v>
      </c>
      <c r="Z1291" s="254" t="s">
        <v>1137</v>
      </c>
      <c r="AA1291" s="254" t="s">
        <v>838</v>
      </c>
    </row>
    <row r="1292" spans="1:27" ht="14.4" x14ac:dyDescent="0.3">
      <c r="A1292" s="253">
        <v>11</v>
      </c>
      <c r="B1292" s="254" t="s">
        <v>852</v>
      </c>
      <c r="C1292" s="254">
        <v>8855</v>
      </c>
      <c r="D1292" s="254" t="s">
        <v>1003</v>
      </c>
      <c r="E1292" s="254" t="str">
        <f>_xlfn.XLOOKUP(C1292,Clientes!I:I,Clientes!F:F)</f>
        <v>TERMAG GUARUJA</v>
      </c>
      <c r="F1292" s="254">
        <v>7398</v>
      </c>
      <c r="G1292" s="254" t="s">
        <v>908</v>
      </c>
      <c r="H1292" s="254" t="s">
        <v>1004</v>
      </c>
      <c r="I1292" s="255">
        <v>30000</v>
      </c>
      <c r="J1292" s="256">
        <v>30000</v>
      </c>
      <c r="K1292" s="258">
        <v>73800</v>
      </c>
      <c r="L1292" s="258">
        <v>-8856</v>
      </c>
      <c r="M1292" s="258">
        <f t="shared" si="82"/>
        <v>64944</v>
      </c>
      <c r="N1292" s="258">
        <v>-19353.792660550458</v>
      </c>
      <c r="O1292" s="258">
        <v>-13045.632163199998</v>
      </c>
      <c r="P1292" s="258">
        <v>-6.6299907963137503</v>
      </c>
      <c r="Q1292" s="258">
        <f t="shared" si="83"/>
        <v>32537.945185453227</v>
      </c>
      <c r="R1292" s="259">
        <f t="shared" si="84"/>
        <v>0.50101541613471956</v>
      </c>
      <c r="S1292" s="255">
        <f t="shared" si="81"/>
        <v>2.46</v>
      </c>
      <c r="T1292" s="255">
        <f t="shared" si="81"/>
        <v>2.46</v>
      </c>
      <c r="U1292" s="254">
        <v>102600</v>
      </c>
      <c r="V1292" s="254" t="s">
        <v>1005</v>
      </c>
      <c r="W1292" s="254" t="s">
        <v>1006</v>
      </c>
      <c r="X1292" s="254" t="s">
        <v>446</v>
      </c>
      <c r="Y1292" s="254" t="s">
        <v>843</v>
      </c>
      <c r="Z1292" s="254" t="s">
        <v>1137</v>
      </c>
      <c r="AA1292" s="254" t="s">
        <v>838</v>
      </c>
    </row>
    <row r="1293" spans="1:27" ht="14.4" x14ac:dyDescent="0.3">
      <c r="A1293" s="253">
        <v>11</v>
      </c>
      <c r="B1293" s="254" t="s">
        <v>852</v>
      </c>
      <c r="C1293" s="254">
        <v>3142</v>
      </c>
      <c r="D1293" s="254" t="s">
        <v>78</v>
      </c>
      <c r="E1293" s="254" t="str">
        <f>_xlfn.XLOOKUP(C1293,Clientes!I:I,Clientes!F:F)</f>
        <v>INTERFERTIL - SAO FRANCISCO DO SUL</v>
      </c>
      <c r="F1293" s="254">
        <v>7398</v>
      </c>
      <c r="G1293" s="254" t="s">
        <v>893</v>
      </c>
      <c r="H1293" s="254" t="s">
        <v>1004</v>
      </c>
      <c r="I1293" s="255">
        <v>15000</v>
      </c>
      <c r="J1293" s="256">
        <v>15000</v>
      </c>
      <c r="K1293" s="258">
        <v>41400</v>
      </c>
      <c r="L1293" s="258">
        <v>-4968</v>
      </c>
      <c r="M1293" s="258">
        <f t="shared" si="82"/>
        <v>36432</v>
      </c>
      <c r="N1293" s="258">
        <v>-9676.896330275229</v>
      </c>
      <c r="O1293" s="258">
        <v>-12045.7338550185</v>
      </c>
      <c r="P1293" s="258">
        <v>-6.1218271061559477</v>
      </c>
      <c r="Q1293" s="258">
        <f t="shared" si="83"/>
        <v>14703.247987600114</v>
      </c>
      <c r="R1293" s="259">
        <f t="shared" si="84"/>
        <v>0.40358058815327497</v>
      </c>
      <c r="S1293" s="255">
        <f t="shared" si="81"/>
        <v>2.76</v>
      </c>
      <c r="T1293" s="255">
        <f t="shared" si="81"/>
        <v>2.76</v>
      </c>
      <c r="U1293" s="254">
        <v>102600</v>
      </c>
      <c r="V1293" s="254" t="s">
        <v>1005</v>
      </c>
      <c r="W1293" s="254" t="s">
        <v>894</v>
      </c>
      <c r="X1293" s="254" t="s">
        <v>446</v>
      </c>
      <c r="Y1293" s="254" t="s">
        <v>843</v>
      </c>
      <c r="Z1293" s="254" t="s">
        <v>1137</v>
      </c>
      <c r="AA1293" s="254" t="s">
        <v>838</v>
      </c>
    </row>
    <row r="1294" spans="1:27" ht="14.4" x14ac:dyDescent="0.3">
      <c r="A1294" s="253">
        <v>11</v>
      </c>
      <c r="B1294" s="254" t="s">
        <v>852</v>
      </c>
      <c r="C1294" s="254">
        <v>7745</v>
      </c>
      <c r="D1294" s="254" t="s">
        <v>320</v>
      </c>
      <c r="E1294" s="254" t="str">
        <f>_xlfn.XLOOKUP(C1294,Clientes!I:I,Clientes!F:F)</f>
        <v>GRUPO LOUIS DREYFUS</v>
      </c>
      <c r="F1294" s="254">
        <v>14154</v>
      </c>
      <c r="G1294" s="254" t="s">
        <v>840</v>
      </c>
      <c r="H1294" s="254" t="s">
        <v>1007</v>
      </c>
      <c r="I1294" s="255">
        <v>12000</v>
      </c>
      <c r="J1294" s="256">
        <v>12000</v>
      </c>
      <c r="K1294" s="258">
        <v>34080</v>
      </c>
      <c r="L1294" s="258">
        <v>-2385.6000000000004</v>
      </c>
      <c r="M1294" s="258">
        <f t="shared" si="82"/>
        <v>31694.400000000001</v>
      </c>
      <c r="N1294" s="258">
        <v>-13822.280434782611</v>
      </c>
      <c r="O1294" s="258">
        <v>-14860.45806336</v>
      </c>
      <c r="P1294" s="258">
        <v>-7.552313215377052</v>
      </c>
      <c r="Q1294" s="258">
        <f t="shared" si="83"/>
        <v>3004.1091886420149</v>
      </c>
      <c r="R1294" s="259">
        <f t="shared" si="84"/>
        <v>9.4783595481915256E-2</v>
      </c>
      <c r="S1294" s="255">
        <f t="shared" si="81"/>
        <v>2.84</v>
      </c>
      <c r="T1294" s="255">
        <f t="shared" si="81"/>
        <v>2.84</v>
      </c>
      <c r="U1294" s="254">
        <v>102600</v>
      </c>
      <c r="V1294" s="254" t="s">
        <v>1005</v>
      </c>
      <c r="W1294" s="254" t="s">
        <v>1128</v>
      </c>
      <c r="X1294" s="254" t="s">
        <v>446</v>
      </c>
      <c r="Y1294" s="254" t="s">
        <v>843</v>
      </c>
      <c r="Z1294" s="254" t="s">
        <v>1137</v>
      </c>
      <c r="AA1294" s="254" t="s">
        <v>838</v>
      </c>
    </row>
    <row r="1295" spans="1:27" ht="14.4" x14ac:dyDescent="0.3">
      <c r="A1295" s="253">
        <v>11</v>
      </c>
      <c r="B1295" s="254" t="s">
        <v>852</v>
      </c>
      <c r="C1295" s="254">
        <v>8413</v>
      </c>
      <c r="D1295" s="254" t="s">
        <v>97</v>
      </c>
      <c r="E1295" s="254" t="str">
        <f>_xlfn.XLOOKUP(C1295,Clientes!I:I,Clientes!F:F)</f>
        <v>GRUPO AMAGGI</v>
      </c>
      <c r="F1295" s="254">
        <v>7398</v>
      </c>
      <c r="G1295" s="254" t="s">
        <v>840</v>
      </c>
      <c r="H1295" s="254" t="s">
        <v>1004</v>
      </c>
      <c r="I1295" s="255">
        <v>64000</v>
      </c>
      <c r="J1295" s="256">
        <v>64000</v>
      </c>
      <c r="K1295" s="258">
        <v>132480</v>
      </c>
      <c r="L1295" s="258">
        <v>-9273.6</v>
      </c>
      <c r="M1295" s="258">
        <f t="shared" si="82"/>
        <v>123206.39999999999</v>
      </c>
      <c r="N1295" s="258">
        <v>-41288.091009174314</v>
      </c>
      <c r="O1295" s="258">
        <v>-46705.601280000003</v>
      </c>
      <c r="P1295" s="258">
        <v>-23.736504505791842</v>
      </c>
      <c r="Q1295" s="258">
        <f t="shared" si="83"/>
        <v>35188.971206319889</v>
      </c>
      <c r="R1295" s="259">
        <f t="shared" si="84"/>
        <v>0.28560992940561442</v>
      </c>
      <c r="S1295" s="255">
        <f t="shared" si="81"/>
        <v>2.0699999999999998</v>
      </c>
      <c r="T1295" s="255">
        <f t="shared" si="81"/>
        <v>2.0699999999999998</v>
      </c>
      <c r="U1295" s="254">
        <v>102600</v>
      </c>
      <c r="V1295" s="254" t="s">
        <v>1005</v>
      </c>
      <c r="W1295" s="254" t="s">
        <v>915</v>
      </c>
      <c r="X1295" s="254" t="s">
        <v>446</v>
      </c>
      <c r="Y1295" s="254" t="s">
        <v>843</v>
      </c>
      <c r="Z1295" s="254" t="s">
        <v>1137</v>
      </c>
      <c r="AA1295" s="254" t="s">
        <v>838</v>
      </c>
    </row>
    <row r="1296" spans="1:27" ht="14.4" x14ac:dyDescent="0.3">
      <c r="A1296" s="253">
        <v>11</v>
      </c>
      <c r="B1296" s="254" t="s">
        <v>852</v>
      </c>
      <c r="C1296" s="254">
        <v>7648</v>
      </c>
      <c r="D1296" s="254" t="s">
        <v>958</v>
      </c>
      <c r="E1296" s="254" t="str">
        <f>_xlfn.XLOOKUP(C1296,Clientes!I:I,Clientes!F:F)</f>
        <v>GRUPO LOUIS DREYFUS</v>
      </c>
      <c r="F1296" s="254">
        <v>14154</v>
      </c>
      <c r="G1296" s="254" t="s">
        <v>862</v>
      </c>
      <c r="H1296" s="254" t="s">
        <v>1007</v>
      </c>
      <c r="I1296" s="255">
        <v>13200</v>
      </c>
      <c r="J1296" s="256">
        <v>13200</v>
      </c>
      <c r="K1296" s="258">
        <v>47916</v>
      </c>
      <c r="L1296" s="258">
        <v>-5749.92</v>
      </c>
      <c r="M1296" s="258">
        <f t="shared" si="82"/>
        <v>42166.080000000002</v>
      </c>
      <c r="N1296" s="258">
        <v>-15204.508478260874</v>
      </c>
      <c r="O1296" s="258">
        <v>-9623.6718130238405</v>
      </c>
      <c r="P1296" s="258">
        <v>-4.8908979456800248</v>
      </c>
      <c r="Q1296" s="258">
        <f t="shared" si="83"/>
        <v>17333.008810769606</v>
      </c>
      <c r="R1296" s="259">
        <f t="shared" si="84"/>
        <v>0.41106521665683898</v>
      </c>
      <c r="S1296" s="255">
        <f t="shared" si="81"/>
        <v>3.63</v>
      </c>
      <c r="T1296" s="255">
        <f t="shared" si="81"/>
        <v>3.63</v>
      </c>
      <c r="U1296" s="254">
        <v>102600</v>
      </c>
      <c r="V1296" s="254" t="s">
        <v>1005</v>
      </c>
      <c r="W1296" s="254" t="s">
        <v>864</v>
      </c>
      <c r="X1296" s="254" t="s">
        <v>446</v>
      </c>
      <c r="Y1296" s="254" t="s">
        <v>843</v>
      </c>
      <c r="Z1296" s="254" t="s">
        <v>1137</v>
      </c>
      <c r="AA1296" s="254" t="s">
        <v>838</v>
      </c>
    </row>
    <row r="1297" spans="1:27" ht="14.4" x14ac:dyDescent="0.3">
      <c r="A1297" s="253">
        <v>11</v>
      </c>
      <c r="B1297" s="254" t="s">
        <v>853</v>
      </c>
      <c r="C1297" s="254">
        <v>2651</v>
      </c>
      <c r="D1297" s="254" t="s">
        <v>1064</v>
      </c>
      <c r="E1297" s="254" t="str">
        <f>_xlfn.XLOOKUP(C1297,Clientes!I:I,Clientes!F:F)</f>
        <v>AGROBROKERS - COLÔMBIA</v>
      </c>
      <c r="F1297" s="254">
        <v>14146</v>
      </c>
      <c r="G1297" s="254" t="s">
        <v>832</v>
      </c>
      <c r="H1297" s="254" t="s">
        <v>1011</v>
      </c>
      <c r="I1297" s="255">
        <v>2400</v>
      </c>
      <c r="J1297" s="256">
        <v>2400</v>
      </c>
      <c r="K1297" s="258">
        <v>23913.599999999999</v>
      </c>
      <c r="L1297" s="258">
        <v>0</v>
      </c>
      <c r="M1297" s="258">
        <f t="shared" si="82"/>
        <v>23913.599999999999</v>
      </c>
      <c r="N1297" s="258">
        <v>-4820.3269565217388</v>
      </c>
      <c r="O1297" s="258">
        <v>-4558.3718399999998</v>
      </c>
      <c r="P1297" s="258">
        <v>-858.283438223546</v>
      </c>
      <c r="Q1297" s="258">
        <f t="shared" si="83"/>
        <v>13676.617765254716</v>
      </c>
      <c r="R1297" s="259">
        <f t="shared" si="84"/>
        <v>0.57191797827406654</v>
      </c>
      <c r="S1297" s="255">
        <f t="shared" si="81"/>
        <v>9.9639999999999986</v>
      </c>
      <c r="T1297" s="255">
        <f t="shared" si="81"/>
        <v>9.9639999999999986</v>
      </c>
      <c r="U1297" s="254">
        <v>100100</v>
      </c>
      <c r="V1297" s="254" t="s">
        <v>834</v>
      </c>
      <c r="W1297" s="254" t="s">
        <v>1065</v>
      </c>
      <c r="X1297" s="254" t="s">
        <v>446</v>
      </c>
      <c r="Y1297" s="254" t="s">
        <v>836</v>
      </c>
      <c r="Z1297" s="254" t="s">
        <v>1142</v>
      </c>
      <c r="AA1297" s="254" t="s">
        <v>838</v>
      </c>
    </row>
    <row r="1298" spans="1:27" ht="14.4" x14ac:dyDescent="0.3">
      <c r="A1298" s="253">
        <v>11</v>
      </c>
      <c r="B1298" s="254" t="s">
        <v>853</v>
      </c>
      <c r="C1298" s="254">
        <v>2011</v>
      </c>
      <c r="D1298" s="254" t="s">
        <v>616</v>
      </c>
      <c r="E1298" s="254" t="str">
        <f>_xlfn.XLOOKUP(C1298,Clientes!I:I,Clientes!F:F)</f>
        <v>FERTGROW S.A</v>
      </c>
      <c r="F1298" s="254">
        <v>6654</v>
      </c>
      <c r="G1298" s="254" t="s">
        <v>897</v>
      </c>
      <c r="H1298" s="254" t="s">
        <v>898</v>
      </c>
      <c r="I1298" s="255">
        <v>60000</v>
      </c>
      <c r="J1298" s="256">
        <v>60000</v>
      </c>
      <c r="K1298" s="258">
        <v>162000</v>
      </c>
      <c r="L1298" s="258">
        <v>-11340.000000000002</v>
      </c>
      <c r="M1298" s="258">
        <f t="shared" si="82"/>
        <v>150660</v>
      </c>
      <c r="N1298" s="258">
        <v>-23594.379999999997</v>
      </c>
      <c r="O1298" s="258">
        <v>-52923.054599999996</v>
      </c>
      <c r="P1298" s="258">
        <v>-26.344299013428788</v>
      </c>
      <c r="Q1298" s="258">
        <f t="shared" si="83"/>
        <v>74116.221100986557</v>
      </c>
      <c r="R1298" s="259">
        <f t="shared" si="84"/>
        <v>0.49194358888216222</v>
      </c>
      <c r="S1298" s="255">
        <f t="shared" si="81"/>
        <v>2.7</v>
      </c>
      <c r="T1298" s="255">
        <f t="shared" si="81"/>
        <v>2.7</v>
      </c>
      <c r="U1298" s="254">
        <v>100100</v>
      </c>
      <c r="V1298" s="254" t="s">
        <v>834</v>
      </c>
      <c r="W1298" s="254" t="s">
        <v>899</v>
      </c>
      <c r="X1298" s="254" t="s">
        <v>446</v>
      </c>
      <c r="Y1298" s="254" t="s">
        <v>843</v>
      </c>
      <c r="Z1298" s="254" t="s">
        <v>1142</v>
      </c>
      <c r="AA1298" s="254" t="s">
        <v>838</v>
      </c>
    </row>
    <row r="1299" spans="1:27" ht="14.4" x14ac:dyDescent="0.3">
      <c r="A1299" s="253">
        <v>11</v>
      </c>
      <c r="B1299" s="254" t="s">
        <v>853</v>
      </c>
      <c r="C1299" s="254">
        <v>11212</v>
      </c>
      <c r="D1299" s="254" t="s">
        <v>230</v>
      </c>
      <c r="E1299" s="254" t="str">
        <f>_xlfn.XLOOKUP(C1299,Clientes!I:I,Clientes!F:F)</f>
        <v>INPEK FERTILIZANTES - PARANAGUA</v>
      </c>
      <c r="F1299" s="254">
        <v>1043</v>
      </c>
      <c r="G1299" s="254" t="s">
        <v>862</v>
      </c>
      <c r="H1299" s="254" t="s">
        <v>860</v>
      </c>
      <c r="I1299" s="255">
        <v>30000</v>
      </c>
      <c r="J1299" s="256">
        <v>30000</v>
      </c>
      <c r="K1299" s="258">
        <v>57000</v>
      </c>
      <c r="L1299" s="258">
        <v>-6840</v>
      </c>
      <c r="M1299" s="258">
        <f t="shared" si="82"/>
        <v>50160</v>
      </c>
      <c r="N1299" s="258">
        <v>-12050.881176470586</v>
      </c>
      <c r="O1299" s="258">
        <v>-14049.6057</v>
      </c>
      <c r="P1299" s="258">
        <v>-6.9936819856496619</v>
      </c>
      <c r="Q1299" s="258">
        <f t="shared" si="83"/>
        <v>24052.519441543762</v>
      </c>
      <c r="R1299" s="259">
        <f t="shared" si="84"/>
        <v>0.47951593782981983</v>
      </c>
      <c r="S1299" s="255">
        <f t="shared" si="81"/>
        <v>1.9</v>
      </c>
      <c r="T1299" s="255">
        <f t="shared" si="81"/>
        <v>1.9</v>
      </c>
      <c r="U1299" s="254">
        <v>100100</v>
      </c>
      <c r="V1299" s="254" t="s">
        <v>834</v>
      </c>
      <c r="W1299" s="254" t="s">
        <v>864</v>
      </c>
      <c r="X1299" s="254" t="s">
        <v>446</v>
      </c>
      <c r="Y1299" s="254" t="s">
        <v>843</v>
      </c>
      <c r="Z1299" s="254" t="s">
        <v>1142</v>
      </c>
      <c r="AA1299" s="254" t="s">
        <v>838</v>
      </c>
    </row>
    <row r="1300" spans="1:27" ht="14.4" x14ac:dyDescent="0.3">
      <c r="A1300" s="253">
        <v>11</v>
      </c>
      <c r="B1300" s="254" t="s">
        <v>853</v>
      </c>
      <c r="C1300" s="254">
        <v>5053</v>
      </c>
      <c r="D1300" s="254" t="s">
        <v>223</v>
      </c>
      <c r="E1300" s="254" t="str">
        <f>_xlfn.XLOOKUP(C1300,Clientes!I:I,Clientes!F:F)</f>
        <v>GRUPO ADUBOS ARAGUAIA</v>
      </c>
      <c r="F1300" s="254">
        <v>14133</v>
      </c>
      <c r="G1300" s="254" t="s">
        <v>840</v>
      </c>
      <c r="H1300" s="254" t="s">
        <v>841</v>
      </c>
      <c r="I1300" s="255">
        <v>7000</v>
      </c>
      <c r="J1300" s="256">
        <v>7000</v>
      </c>
      <c r="K1300" s="258">
        <v>19460</v>
      </c>
      <c r="L1300" s="258">
        <v>-1362.2</v>
      </c>
      <c r="M1300" s="258">
        <f t="shared" si="82"/>
        <v>18097.8</v>
      </c>
      <c r="N1300" s="258">
        <v>-8111.5756886227582</v>
      </c>
      <c r="O1300" s="258">
        <v>-6291.4930277381</v>
      </c>
      <c r="P1300" s="258">
        <v>-3.1318104145038319</v>
      </c>
      <c r="Q1300" s="258">
        <f t="shared" si="83"/>
        <v>3691.5994732246381</v>
      </c>
      <c r="R1300" s="259">
        <f t="shared" si="84"/>
        <v>0.20398056521923319</v>
      </c>
      <c r="S1300" s="255">
        <f t="shared" si="81"/>
        <v>2.78</v>
      </c>
      <c r="T1300" s="255">
        <f t="shared" si="81"/>
        <v>2.78</v>
      </c>
      <c r="U1300" s="254">
        <v>100100</v>
      </c>
      <c r="V1300" s="254" t="s">
        <v>834</v>
      </c>
      <c r="W1300" s="254" t="s">
        <v>842</v>
      </c>
      <c r="X1300" s="254" t="s">
        <v>446</v>
      </c>
      <c r="Y1300" s="254" t="s">
        <v>843</v>
      </c>
      <c r="Z1300" s="254" t="s">
        <v>1142</v>
      </c>
      <c r="AA1300" s="254" t="s">
        <v>838</v>
      </c>
    </row>
    <row r="1301" spans="1:27" ht="14.4" x14ac:dyDescent="0.3">
      <c r="A1301" s="253">
        <v>11</v>
      </c>
      <c r="B1301" s="254" t="s">
        <v>853</v>
      </c>
      <c r="C1301" s="254">
        <v>205</v>
      </c>
      <c r="D1301" s="254" t="s">
        <v>859</v>
      </c>
      <c r="E1301" s="254" t="str">
        <f>_xlfn.XLOOKUP(C1301,Clientes!I:I,Clientes!F:F)</f>
        <v>GRUPO FERTIPAR FERTILIZANTES MATO GROSSO</v>
      </c>
      <c r="F1301" s="254">
        <v>1043</v>
      </c>
      <c r="G1301" s="254" t="s">
        <v>840</v>
      </c>
      <c r="H1301" s="254" t="s">
        <v>860</v>
      </c>
      <c r="I1301" s="255">
        <v>30000</v>
      </c>
      <c r="J1301" s="256">
        <v>30000</v>
      </c>
      <c r="K1301" s="258">
        <v>54300</v>
      </c>
      <c r="L1301" s="258">
        <v>-3801.0000000000005</v>
      </c>
      <c r="M1301" s="258">
        <f t="shared" si="82"/>
        <v>50499</v>
      </c>
      <c r="N1301" s="258">
        <v>-12050.881176470586</v>
      </c>
      <c r="O1301" s="258">
        <v>-11980.9521</v>
      </c>
      <c r="P1301" s="258">
        <v>-5.9639373988055402</v>
      </c>
      <c r="Q1301" s="258">
        <f t="shared" si="83"/>
        <v>26461.202786130601</v>
      </c>
      <c r="R1301" s="259">
        <f t="shared" si="84"/>
        <v>0.52399458971723401</v>
      </c>
      <c r="S1301" s="255">
        <f t="shared" si="81"/>
        <v>1.81</v>
      </c>
      <c r="T1301" s="255">
        <f t="shared" si="81"/>
        <v>1.81</v>
      </c>
      <c r="U1301" s="254">
        <v>100100</v>
      </c>
      <c r="V1301" s="254" t="s">
        <v>834</v>
      </c>
      <c r="W1301" s="254" t="s">
        <v>861</v>
      </c>
      <c r="X1301" s="254" t="s">
        <v>446</v>
      </c>
      <c r="Y1301" s="254" t="s">
        <v>843</v>
      </c>
      <c r="Z1301" s="254" t="s">
        <v>1142</v>
      </c>
      <c r="AA1301" s="254" t="s">
        <v>838</v>
      </c>
    </row>
    <row r="1302" spans="1:27" ht="14.4" x14ac:dyDescent="0.3">
      <c r="A1302" s="253">
        <v>11</v>
      </c>
      <c r="B1302" s="254" t="s">
        <v>853</v>
      </c>
      <c r="C1302" s="254">
        <v>812</v>
      </c>
      <c r="D1302" s="254" t="s">
        <v>151</v>
      </c>
      <c r="E1302" s="254" t="str">
        <f>_xlfn.XLOOKUP(C1302,Clientes!I:I,Clientes!F:F)</f>
        <v>GRUPO FERTIPAR SUDESTE</v>
      </c>
      <c r="F1302" s="254">
        <v>1042</v>
      </c>
      <c r="G1302" s="254" t="s">
        <v>855</v>
      </c>
      <c r="H1302" s="254" t="s">
        <v>909</v>
      </c>
      <c r="I1302" s="255">
        <v>30000</v>
      </c>
      <c r="J1302" s="256">
        <v>30000</v>
      </c>
      <c r="K1302" s="258">
        <v>51000</v>
      </c>
      <c r="L1302" s="258">
        <v>-9180</v>
      </c>
      <c r="M1302" s="258">
        <f t="shared" si="82"/>
        <v>41820</v>
      </c>
      <c r="N1302" s="258">
        <v>-16216.018000000004</v>
      </c>
      <c r="O1302" s="258">
        <v>-6895.5119999999997</v>
      </c>
      <c r="P1302" s="258">
        <v>-3.4324819561470732</v>
      </c>
      <c r="Q1302" s="258">
        <f t="shared" si="83"/>
        <v>18705.03751804385</v>
      </c>
      <c r="R1302" s="259">
        <f t="shared" si="84"/>
        <v>0.4472749286954531</v>
      </c>
      <c r="S1302" s="255">
        <f t="shared" si="81"/>
        <v>1.7</v>
      </c>
      <c r="T1302" s="255">
        <f t="shared" si="81"/>
        <v>1.7</v>
      </c>
      <c r="U1302" s="254">
        <v>100100</v>
      </c>
      <c r="V1302" s="254" t="s">
        <v>834</v>
      </c>
      <c r="W1302" s="254" t="s">
        <v>1054</v>
      </c>
      <c r="X1302" s="254" t="s">
        <v>446</v>
      </c>
      <c r="Y1302" s="254" t="s">
        <v>843</v>
      </c>
      <c r="Z1302" s="254" t="s">
        <v>1142</v>
      </c>
      <c r="AA1302" s="254" t="s">
        <v>838</v>
      </c>
    </row>
    <row r="1303" spans="1:27" ht="14.4" x14ac:dyDescent="0.3">
      <c r="A1303" s="253">
        <v>11</v>
      </c>
      <c r="B1303" s="254" t="s">
        <v>853</v>
      </c>
      <c r="C1303" s="254">
        <v>6477</v>
      </c>
      <c r="D1303" s="254" t="s">
        <v>87</v>
      </c>
      <c r="E1303" s="254" t="str">
        <f>_xlfn.XLOOKUP(C1303,Clientes!I:I,Clientes!F:F)</f>
        <v>GRUPO MOSAIC FERTILIZANTES DO BRASIL</v>
      </c>
      <c r="F1303" s="254">
        <v>1043</v>
      </c>
      <c r="G1303" s="254" t="s">
        <v>862</v>
      </c>
      <c r="H1303" s="254" t="s">
        <v>860</v>
      </c>
      <c r="I1303" s="255">
        <v>30000</v>
      </c>
      <c r="J1303" s="256">
        <v>30000</v>
      </c>
      <c r="K1303" s="258">
        <v>65700</v>
      </c>
      <c r="L1303" s="258">
        <v>-7884</v>
      </c>
      <c r="M1303" s="258">
        <f t="shared" si="82"/>
        <v>57816</v>
      </c>
      <c r="N1303" s="258">
        <v>-12050.881176470586</v>
      </c>
      <c r="O1303" s="258">
        <v>-14049.6057</v>
      </c>
      <c r="P1303" s="258">
        <v>-6.9936819856496619</v>
      </c>
      <c r="Q1303" s="258">
        <f t="shared" si="83"/>
        <v>31708.519441543762</v>
      </c>
      <c r="R1303" s="259">
        <f t="shared" si="84"/>
        <v>0.54843848487518609</v>
      </c>
      <c r="S1303" s="255">
        <f t="shared" si="81"/>
        <v>2.19</v>
      </c>
      <c r="T1303" s="255">
        <f t="shared" si="81"/>
        <v>2.19</v>
      </c>
      <c r="U1303" s="254">
        <v>100100</v>
      </c>
      <c r="V1303" s="254" t="s">
        <v>834</v>
      </c>
      <c r="W1303" s="254" t="s">
        <v>864</v>
      </c>
      <c r="X1303" s="254" t="s">
        <v>446</v>
      </c>
      <c r="Y1303" s="254" t="s">
        <v>843</v>
      </c>
      <c r="Z1303" s="254" t="s">
        <v>1142</v>
      </c>
      <c r="AA1303" s="254" t="s">
        <v>838</v>
      </c>
    </row>
    <row r="1304" spans="1:27" ht="14.4" x14ac:dyDescent="0.3">
      <c r="A1304" s="253">
        <v>11</v>
      </c>
      <c r="B1304" s="254" t="s">
        <v>853</v>
      </c>
      <c r="C1304" s="254">
        <v>214</v>
      </c>
      <c r="D1304" s="254" t="s">
        <v>149</v>
      </c>
      <c r="E1304" s="254" t="str">
        <f>_xlfn.XLOOKUP(C1304,Clientes!I:I,Clientes!F:F)</f>
        <v>GRUPO UNIFERTIL</v>
      </c>
      <c r="F1304" s="254">
        <v>3</v>
      </c>
      <c r="G1304" s="254" t="s">
        <v>877</v>
      </c>
      <c r="H1304" s="254" t="s">
        <v>879</v>
      </c>
      <c r="I1304" s="255">
        <v>32000</v>
      </c>
      <c r="J1304" s="256">
        <v>32000</v>
      </c>
      <c r="K1304" s="258">
        <v>82880</v>
      </c>
      <c r="L1304" s="258">
        <v>-9945.6</v>
      </c>
      <c r="M1304" s="258">
        <f t="shared" si="82"/>
        <v>72934.399999999994</v>
      </c>
      <c r="N1304" s="258">
        <v>-25102.34</v>
      </c>
      <c r="O1304" s="258">
        <v>-25804.538239999998</v>
      </c>
      <c r="P1304" s="258">
        <v>-12.845110253670379</v>
      </c>
      <c r="Q1304" s="258">
        <f t="shared" si="83"/>
        <v>22014.676649746329</v>
      </c>
      <c r="R1304" s="259">
        <f t="shared" si="84"/>
        <v>0.3018421574695388</v>
      </c>
      <c r="S1304" s="255">
        <f t="shared" si="81"/>
        <v>2.59</v>
      </c>
      <c r="T1304" s="255">
        <f t="shared" si="81"/>
        <v>2.59</v>
      </c>
      <c r="U1304" s="254">
        <v>100100</v>
      </c>
      <c r="V1304" s="254" t="s">
        <v>834</v>
      </c>
      <c r="W1304" s="254" t="s">
        <v>880</v>
      </c>
      <c r="X1304" s="254" t="s">
        <v>446</v>
      </c>
      <c r="Y1304" s="254" t="s">
        <v>843</v>
      </c>
      <c r="Z1304" s="254" t="s">
        <v>1142</v>
      </c>
      <c r="AA1304" s="254" t="s">
        <v>838</v>
      </c>
    </row>
    <row r="1305" spans="1:27" ht="14.4" x14ac:dyDescent="0.3">
      <c r="A1305" s="253">
        <v>11</v>
      </c>
      <c r="B1305" s="254" t="s">
        <v>853</v>
      </c>
      <c r="C1305" s="254">
        <v>139</v>
      </c>
      <c r="D1305" s="254" t="s">
        <v>32</v>
      </c>
      <c r="E1305" s="254" t="str">
        <f>_xlfn.XLOOKUP(C1305,Clientes!I:I,Clientes!F:F)</f>
        <v>COMIGO - RIO VERDE</v>
      </c>
      <c r="F1305" s="254">
        <v>1043</v>
      </c>
      <c r="G1305" s="254" t="s">
        <v>867</v>
      </c>
      <c r="H1305" s="254" t="s">
        <v>860</v>
      </c>
      <c r="I1305" s="255">
        <v>90000</v>
      </c>
      <c r="J1305" s="256">
        <v>90000</v>
      </c>
      <c r="K1305" s="258">
        <v>61250.000000000036</v>
      </c>
      <c r="L1305" s="258">
        <v>-4287.5000000000027</v>
      </c>
      <c r="M1305" s="258">
        <f t="shared" si="82"/>
        <v>56962.500000000036</v>
      </c>
      <c r="N1305" s="258">
        <v>-36152.643529411762</v>
      </c>
      <c r="O1305" s="258">
        <v>-17066.392199999998</v>
      </c>
      <c r="P1305" s="258">
        <v>-8.4953928414640068</v>
      </c>
      <c r="Q1305" s="258">
        <f t="shared" si="83"/>
        <v>3734.9688777468123</v>
      </c>
      <c r="R1305" s="259">
        <f t="shared" si="84"/>
        <v>6.5568907223994902E-2</v>
      </c>
      <c r="S1305" s="255">
        <f t="shared" si="81"/>
        <v>0.68055555555555591</v>
      </c>
      <c r="T1305" s="255">
        <f t="shared" si="81"/>
        <v>0.68055555555555591</v>
      </c>
      <c r="U1305" s="254">
        <v>100100</v>
      </c>
      <c r="V1305" s="254" t="s">
        <v>834</v>
      </c>
      <c r="W1305" s="254" t="s">
        <v>890</v>
      </c>
      <c r="X1305" s="254" t="s">
        <v>446</v>
      </c>
      <c r="Y1305" s="254" t="s">
        <v>843</v>
      </c>
      <c r="Z1305" s="254" t="s">
        <v>1142</v>
      </c>
      <c r="AA1305" s="254" t="s">
        <v>838</v>
      </c>
    </row>
    <row r="1306" spans="1:27" ht="14.4" x14ac:dyDescent="0.3">
      <c r="A1306" s="253">
        <v>11</v>
      </c>
      <c r="B1306" s="254" t="s">
        <v>853</v>
      </c>
      <c r="C1306" s="254">
        <v>3232</v>
      </c>
      <c r="D1306" s="254" t="s">
        <v>153</v>
      </c>
      <c r="E1306" s="254" t="str">
        <f>_xlfn.XLOOKUP(C1306,Clientes!I:I,Clientes!F:F)</f>
        <v>GRUPO FERTILIZ TOCANTINS</v>
      </c>
      <c r="F1306" s="254">
        <v>7384</v>
      </c>
      <c r="G1306" s="254" t="s">
        <v>855</v>
      </c>
      <c r="H1306" s="254" t="s">
        <v>856</v>
      </c>
      <c r="I1306" s="255">
        <v>30000</v>
      </c>
      <c r="J1306" s="256">
        <v>30000</v>
      </c>
      <c r="K1306" s="258">
        <v>56100</v>
      </c>
      <c r="L1306" s="258">
        <v>-10098</v>
      </c>
      <c r="M1306" s="258">
        <f t="shared" si="82"/>
        <v>46002</v>
      </c>
      <c r="N1306" s="258">
        <v>-20750.160674157301</v>
      </c>
      <c r="O1306" s="258">
        <v>-1723.8779999999999</v>
      </c>
      <c r="P1306" s="258">
        <v>-0.8581204890367683</v>
      </c>
      <c r="Q1306" s="258">
        <f t="shared" si="83"/>
        <v>23527.103205353662</v>
      </c>
      <c r="R1306" s="259">
        <f t="shared" si="84"/>
        <v>0.51143652896295078</v>
      </c>
      <c r="S1306" s="255">
        <f t="shared" si="81"/>
        <v>1.87</v>
      </c>
      <c r="T1306" s="255">
        <f t="shared" si="81"/>
        <v>1.87</v>
      </c>
      <c r="U1306" s="254">
        <v>100100</v>
      </c>
      <c r="V1306" s="254" t="s">
        <v>834</v>
      </c>
      <c r="W1306" s="254" t="s">
        <v>857</v>
      </c>
      <c r="X1306" s="254" t="s">
        <v>446</v>
      </c>
      <c r="Y1306" s="254" t="s">
        <v>843</v>
      </c>
      <c r="Z1306" s="254" t="s">
        <v>1142</v>
      </c>
      <c r="AA1306" s="254" t="s">
        <v>838</v>
      </c>
    </row>
    <row r="1307" spans="1:27" ht="14.4" x14ac:dyDescent="0.3">
      <c r="A1307" s="253">
        <v>11</v>
      </c>
      <c r="B1307" s="254" t="s">
        <v>853</v>
      </c>
      <c r="C1307" s="254">
        <v>2003</v>
      </c>
      <c r="D1307" s="254" t="s">
        <v>316</v>
      </c>
      <c r="E1307" s="254" t="str">
        <f>_xlfn.XLOOKUP(C1307,Clientes!I:I,Clientes!F:F)</f>
        <v>GRUPO HERINGER</v>
      </c>
      <c r="F1307" s="254">
        <v>7384</v>
      </c>
      <c r="G1307" s="254" t="s">
        <v>877</v>
      </c>
      <c r="H1307" s="254" t="s">
        <v>856</v>
      </c>
      <c r="I1307" s="255">
        <v>20000</v>
      </c>
      <c r="J1307" s="256">
        <v>20000</v>
      </c>
      <c r="K1307" s="258">
        <v>70000</v>
      </c>
      <c r="L1307" s="258">
        <v>-8400</v>
      </c>
      <c r="M1307" s="258">
        <f t="shared" si="82"/>
        <v>61600</v>
      </c>
      <c r="N1307" s="258">
        <v>-13833.440449438202</v>
      </c>
      <c r="O1307" s="258">
        <v>-16281.07</v>
      </c>
      <c r="P1307" s="258">
        <v>-8.1044712853472571</v>
      </c>
      <c r="Q1307" s="258">
        <f t="shared" si="83"/>
        <v>31477.38507927645</v>
      </c>
      <c r="R1307" s="259">
        <f t="shared" si="84"/>
        <v>0.51099651102721511</v>
      </c>
      <c r="S1307" s="255">
        <f t="shared" si="81"/>
        <v>3.5</v>
      </c>
      <c r="T1307" s="255">
        <f t="shared" si="81"/>
        <v>3.5</v>
      </c>
      <c r="U1307" s="254">
        <v>100100</v>
      </c>
      <c r="V1307" s="254" t="s">
        <v>834</v>
      </c>
      <c r="W1307" s="254" t="s">
        <v>878</v>
      </c>
      <c r="X1307" s="254" t="s">
        <v>446</v>
      </c>
      <c r="Y1307" s="254" t="s">
        <v>843</v>
      </c>
      <c r="Z1307" s="254" t="s">
        <v>1142</v>
      </c>
      <c r="AA1307" s="254" t="s">
        <v>838</v>
      </c>
    </row>
    <row r="1308" spans="1:27" ht="14.4" x14ac:dyDescent="0.3">
      <c r="A1308" s="253">
        <v>11</v>
      </c>
      <c r="B1308" s="254" t="s">
        <v>853</v>
      </c>
      <c r="C1308" s="254">
        <v>7443</v>
      </c>
      <c r="D1308" s="254" t="s">
        <v>1016</v>
      </c>
      <c r="E1308" s="254" t="str">
        <f>_xlfn.XLOOKUP(C1308,Clientes!I:I,Clientes!F:F)</f>
        <v>GRUPO MOSAIC FERTILIZANTES DO BRASIL</v>
      </c>
      <c r="F1308" s="254">
        <v>1043</v>
      </c>
      <c r="G1308" s="254" t="s">
        <v>867</v>
      </c>
      <c r="H1308" s="254" t="s">
        <v>860</v>
      </c>
      <c r="I1308" s="255">
        <v>30000</v>
      </c>
      <c r="J1308" s="256">
        <v>30000</v>
      </c>
      <c r="K1308" s="258">
        <v>72000</v>
      </c>
      <c r="L1308" s="258">
        <v>-5040.0000000000009</v>
      </c>
      <c r="M1308" s="258">
        <f t="shared" si="82"/>
        <v>66960</v>
      </c>
      <c r="N1308" s="258">
        <v>-12050.881176470586</v>
      </c>
      <c r="O1308" s="258">
        <v>-2442.1605</v>
      </c>
      <c r="P1308" s="258">
        <v>-1.2156706928020884</v>
      </c>
      <c r="Q1308" s="258">
        <f t="shared" si="83"/>
        <v>52465.742652836612</v>
      </c>
      <c r="R1308" s="259">
        <f t="shared" si="84"/>
        <v>0.78353857008417882</v>
      </c>
      <c r="S1308" s="255">
        <f t="shared" si="81"/>
        <v>2.4</v>
      </c>
      <c r="T1308" s="255">
        <f t="shared" si="81"/>
        <v>2.4</v>
      </c>
      <c r="U1308" s="254">
        <v>100100</v>
      </c>
      <c r="V1308" s="254" t="s">
        <v>834</v>
      </c>
      <c r="W1308" s="254" t="s">
        <v>871</v>
      </c>
      <c r="X1308" s="254" t="s">
        <v>446</v>
      </c>
      <c r="Y1308" s="254" t="s">
        <v>843</v>
      </c>
      <c r="Z1308" s="254" t="s">
        <v>1142</v>
      </c>
      <c r="AA1308" s="254" t="s">
        <v>838</v>
      </c>
    </row>
    <row r="1309" spans="1:27" ht="14.4" x14ac:dyDescent="0.3">
      <c r="A1309" s="253">
        <v>11</v>
      </c>
      <c r="B1309" s="254" t="s">
        <v>853</v>
      </c>
      <c r="C1309" s="254">
        <v>2809</v>
      </c>
      <c r="D1309" s="254" t="s">
        <v>159</v>
      </c>
      <c r="E1309" s="254" t="str">
        <f>_xlfn.XLOOKUP(C1309,Clientes!I:I,Clientes!F:F)</f>
        <v>CISBRA QUIMICA - FORMOSA</v>
      </c>
      <c r="F1309" s="254">
        <v>1043</v>
      </c>
      <c r="G1309" s="254" t="s">
        <v>867</v>
      </c>
      <c r="H1309" s="254" t="s">
        <v>860</v>
      </c>
      <c r="I1309" s="255">
        <v>30000</v>
      </c>
      <c r="J1309" s="256">
        <v>30000</v>
      </c>
      <c r="K1309" s="258">
        <v>55500</v>
      </c>
      <c r="L1309" s="258">
        <v>-3885.0000000000005</v>
      </c>
      <c r="M1309" s="258">
        <f t="shared" si="82"/>
        <v>51615</v>
      </c>
      <c r="N1309" s="258">
        <v>-12050.881176470586</v>
      </c>
      <c r="O1309" s="258">
        <v>-7786.1822999999995</v>
      </c>
      <c r="P1309" s="258">
        <v>-3.8758442088160701</v>
      </c>
      <c r="Q1309" s="258">
        <f t="shared" si="83"/>
        <v>31774.060679320595</v>
      </c>
      <c r="R1309" s="259">
        <f t="shared" si="84"/>
        <v>0.61559741701677018</v>
      </c>
      <c r="S1309" s="255">
        <f t="shared" si="81"/>
        <v>1.85</v>
      </c>
      <c r="T1309" s="255">
        <f t="shared" si="81"/>
        <v>1.85</v>
      </c>
      <c r="U1309" s="254">
        <v>100100</v>
      </c>
      <c r="V1309" s="254" t="s">
        <v>834</v>
      </c>
      <c r="W1309" s="254" t="s">
        <v>886</v>
      </c>
      <c r="X1309" s="254" t="s">
        <v>446</v>
      </c>
      <c r="Y1309" s="254" t="s">
        <v>843</v>
      </c>
      <c r="Z1309" s="254" t="s">
        <v>1142</v>
      </c>
      <c r="AA1309" s="254" t="s">
        <v>838</v>
      </c>
    </row>
    <row r="1310" spans="1:27" ht="14.4" x14ac:dyDescent="0.3">
      <c r="A1310" s="253">
        <v>11</v>
      </c>
      <c r="B1310" s="254" t="s">
        <v>853</v>
      </c>
      <c r="C1310" s="254">
        <v>9294</v>
      </c>
      <c r="D1310" s="254" t="s">
        <v>1013</v>
      </c>
      <c r="E1310" s="254" t="str">
        <f>_xlfn.XLOOKUP(C1310,Clientes!I:I,Clientes!F:F)</f>
        <v>SOLINAG CÍA.LTDA - EQUADOR</v>
      </c>
      <c r="F1310" s="254">
        <v>14141</v>
      </c>
      <c r="G1310" s="254" t="s">
        <v>832</v>
      </c>
      <c r="H1310" s="254" t="s">
        <v>833</v>
      </c>
      <c r="I1310" s="255">
        <v>2400</v>
      </c>
      <c r="J1310" s="256">
        <v>2400</v>
      </c>
      <c r="K1310" s="258">
        <v>18912</v>
      </c>
      <c r="L1310" s="258">
        <v>0</v>
      </c>
      <c r="M1310" s="258">
        <f t="shared" si="82"/>
        <v>18912</v>
      </c>
      <c r="N1310" s="258">
        <v>-2371.1680000000001</v>
      </c>
      <c r="O1310" s="258">
        <v>0</v>
      </c>
      <c r="P1310" s="258">
        <v>-856.01434941763728</v>
      </c>
      <c r="Q1310" s="258">
        <f t="shared" si="83"/>
        <v>15684.817650582361</v>
      </c>
      <c r="R1310" s="259">
        <f t="shared" si="84"/>
        <v>0.82935795529729073</v>
      </c>
      <c r="S1310" s="255">
        <f t="shared" si="81"/>
        <v>7.88</v>
      </c>
      <c r="T1310" s="255">
        <f t="shared" si="81"/>
        <v>7.88</v>
      </c>
      <c r="U1310" s="254">
        <v>100100</v>
      </c>
      <c r="V1310" s="254" t="s">
        <v>834</v>
      </c>
      <c r="W1310" s="254" t="s">
        <v>1014</v>
      </c>
      <c r="X1310" s="254" t="s">
        <v>446</v>
      </c>
      <c r="Y1310" s="254" t="s">
        <v>836</v>
      </c>
      <c r="Z1310" s="254" t="s">
        <v>1142</v>
      </c>
      <c r="AA1310" s="254" t="s">
        <v>838</v>
      </c>
    </row>
    <row r="1311" spans="1:27" ht="14.4" x14ac:dyDescent="0.3">
      <c r="A1311" s="253">
        <v>11</v>
      </c>
      <c r="B1311" s="254" t="s">
        <v>853</v>
      </c>
      <c r="C1311" s="254">
        <v>97</v>
      </c>
      <c r="D1311" s="254" t="s">
        <v>300</v>
      </c>
      <c r="E1311" s="254" t="str">
        <f>_xlfn.XLOOKUP(C1311,Clientes!I:I,Clientes!F:F)</f>
        <v>FECOAGRO FEDERACAO DAS COOPERATIVAS</v>
      </c>
      <c r="F1311" s="254">
        <v>148</v>
      </c>
      <c r="G1311" s="254" t="s">
        <v>893</v>
      </c>
      <c r="H1311" s="254" t="s">
        <v>904</v>
      </c>
      <c r="I1311" s="255">
        <v>32000</v>
      </c>
      <c r="J1311" s="256">
        <v>32000</v>
      </c>
      <c r="K1311" s="258">
        <v>112000</v>
      </c>
      <c r="L1311" s="258">
        <v>-13440</v>
      </c>
      <c r="M1311" s="258">
        <f t="shared" si="82"/>
        <v>98560</v>
      </c>
      <c r="N1311" s="258">
        <v>-21502.766896551722</v>
      </c>
      <c r="O1311" s="258">
        <v>-17928.331200000001</v>
      </c>
      <c r="P1311" s="258">
        <v>-8.9244530859823907</v>
      </c>
      <c r="Q1311" s="258">
        <f t="shared" si="83"/>
        <v>59119.977450362298</v>
      </c>
      <c r="R1311" s="259">
        <f t="shared" si="84"/>
        <v>0.59983743354669539</v>
      </c>
      <c r="S1311" s="255">
        <f t="shared" si="81"/>
        <v>3.5</v>
      </c>
      <c r="T1311" s="255">
        <f t="shared" si="81"/>
        <v>3.5</v>
      </c>
      <c r="U1311" s="254">
        <v>100100</v>
      </c>
      <c r="V1311" s="254" t="s">
        <v>834</v>
      </c>
      <c r="W1311" s="254" t="s">
        <v>894</v>
      </c>
      <c r="X1311" s="254" t="s">
        <v>446</v>
      </c>
      <c r="Y1311" s="254" t="s">
        <v>843</v>
      </c>
      <c r="Z1311" s="254" t="s">
        <v>1142</v>
      </c>
      <c r="AA1311" s="254" t="s">
        <v>838</v>
      </c>
    </row>
    <row r="1312" spans="1:27" ht="14.4" x14ac:dyDescent="0.3">
      <c r="A1312" s="253">
        <v>11</v>
      </c>
      <c r="B1312" s="254" t="s">
        <v>853</v>
      </c>
      <c r="C1312" s="254">
        <v>2622</v>
      </c>
      <c r="D1312" s="254" t="s">
        <v>73</v>
      </c>
      <c r="E1312" s="254" t="str">
        <f>_xlfn.XLOOKUP(C1312,Clientes!I:I,Clientes!F:F)</f>
        <v>ADUFERTIL JUNDIAI</v>
      </c>
      <c r="F1312" s="254">
        <v>1043</v>
      </c>
      <c r="G1312" s="254" t="s">
        <v>908</v>
      </c>
      <c r="H1312" s="254" t="s">
        <v>860</v>
      </c>
      <c r="I1312" s="255">
        <v>30000</v>
      </c>
      <c r="J1312" s="256">
        <v>30000</v>
      </c>
      <c r="K1312" s="258">
        <v>79200</v>
      </c>
      <c r="L1312" s="258">
        <v>-9504</v>
      </c>
      <c r="M1312" s="258">
        <f t="shared" si="82"/>
        <v>69696</v>
      </c>
      <c r="N1312" s="258">
        <v>-12050.881176470586</v>
      </c>
      <c r="O1312" s="258">
        <v>-9878.4844703999988</v>
      </c>
      <c r="P1312" s="258">
        <v>-4.9173606976141979</v>
      </c>
      <c r="Q1312" s="258">
        <f t="shared" si="83"/>
        <v>47761.7169924318</v>
      </c>
      <c r="R1312" s="259">
        <f t="shared" si="84"/>
        <v>0.68528634344053896</v>
      </c>
      <c r="S1312" s="255">
        <f t="shared" si="81"/>
        <v>2.64</v>
      </c>
      <c r="T1312" s="255">
        <f t="shared" si="81"/>
        <v>2.64</v>
      </c>
      <c r="U1312" s="254">
        <v>100100</v>
      </c>
      <c r="V1312" s="254" t="s">
        <v>834</v>
      </c>
      <c r="W1312" s="254" t="s">
        <v>948</v>
      </c>
      <c r="X1312" s="254" t="s">
        <v>446</v>
      </c>
      <c r="Y1312" s="254" t="s">
        <v>843</v>
      </c>
      <c r="Z1312" s="254" t="s">
        <v>1142</v>
      </c>
      <c r="AA1312" s="254" t="s">
        <v>838</v>
      </c>
    </row>
    <row r="1313" spans="1:27" ht="14.4" x14ac:dyDescent="0.3">
      <c r="A1313" s="253">
        <v>11</v>
      </c>
      <c r="B1313" s="254" t="s">
        <v>853</v>
      </c>
      <c r="C1313" s="254">
        <v>1936</v>
      </c>
      <c r="D1313" s="254" t="s">
        <v>889</v>
      </c>
      <c r="E1313" s="254" t="str">
        <f>_xlfn.XLOOKUP(C1313,Clientes!I:I,Clientes!F:F)</f>
        <v>GRUPO AGRO INDUSTRIAL SAO LUIZ LTDA</v>
      </c>
      <c r="F1313" s="254">
        <v>4</v>
      </c>
      <c r="G1313" s="254" t="s">
        <v>862</v>
      </c>
      <c r="H1313" s="254" t="s">
        <v>863</v>
      </c>
      <c r="I1313" s="255">
        <v>30000</v>
      </c>
      <c r="J1313" s="256">
        <v>30000</v>
      </c>
      <c r="K1313" s="258">
        <v>119700</v>
      </c>
      <c r="L1313" s="258">
        <v>-14364</v>
      </c>
      <c r="M1313" s="258">
        <f t="shared" si="82"/>
        <v>105336</v>
      </c>
      <c r="N1313" s="258">
        <v>-29362.500000000004</v>
      </c>
      <c r="O1313" s="258">
        <v>0</v>
      </c>
      <c r="P1313" s="258">
        <v>0</v>
      </c>
      <c r="Q1313" s="258">
        <f t="shared" si="83"/>
        <v>75973.5</v>
      </c>
      <c r="R1313" s="259">
        <f t="shared" si="84"/>
        <v>0.72124914559125086</v>
      </c>
      <c r="S1313" s="255">
        <f t="shared" si="81"/>
        <v>3.99</v>
      </c>
      <c r="T1313" s="255">
        <f t="shared" si="81"/>
        <v>3.99</v>
      </c>
      <c r="U1313" s="254">
        <v>100100</v>
      </c>
      <c r="V1313" s="254" t="s">
        <v>834</v>
      </c>
      <c r="W1313" s="254" t="s">
        <v>864</v>
      </c>
      <c r="X1313" s="254" t="s">
        <v>446</v>
      </c>
      <c r="Y1313" s="254" t="s">
        <v>843</v>
      </c>
      <c r="Z1313" s="254" t="s">
        <v>1142</v>
      </c>
      <c r="AA1313" s="254" t="s">
        <v>838</v>
      </c>
    </row>
    <row r="1314" spans="1:27" ht="14.4" x14ac:dyDescent="0.3">
      <c r="A1314" s="253">
        <v>11</v>
      </c>
      <c r="B1314" s="254" t="s">
        <v>853</v>
      </c>
      <c r="C1314" s="254">
        <v>1292</v>
      </c>
      <c r="D1314" s="254" t="s">
        <v>1079</v>
      </c>
      <c r="E1314" s="254" t="str">
        <f>_xlfn.XLOOKUP(C1314,Clientes!I:I,Clientes!F:F)</f>
        <v>GRUPO AGRO INDUSTRIAL SAO LUIZ LTDA</v>
      </c>
      <c r="F1314" s="254">
        <v>148</v>
      </c>
      <c r="G1314" s="254" t="s">
        <v>893</v>
      </c>
      <c r="H1314" s="254" t="s">
        <v>904</v>
      </c>
      <c r="I1314" s="255">
        <v>20000</v>
      </c>
      <c r="J1314" s="256">
        <v>20000</v>
      </c>
      <c r="K1314" s="258">
        <v>47000</v>
      </c>
      <c r="L1314" s="258">
        <v>-5640</v>
      </c>
      <c r="M1314" s="258">
        <f t="shared" si="82"/>
        <v>41360</v>
      </c>
      <c r="N1314" s="258">
        <v>-13439.229310344828</v>
      </c>
      <c r="O1314" s="258">
        <v>-10207.092555894</v>
      </c>
      <c r="P1314" s="258">
        <v>-5.0809368503498025</v>
      </c>
      <c r="Q1314" s="258">
        <f t="shared" si="83"/>
        <v>17708.597196910821</v>
      </c>
      <c r="R1314" s="259">
        <f t="shared" si="84"/>
        <v>0.42815757245915914</v>
      </c>
      <c r="S1314" s="255">
        <f t="shared" si="81"/>
        <v>2.35</v>
      </c>
      <c r="T1314" s="255">
        <f t="shared" si="81"/>
        <v>2.35</v>
      </c>
      <c r="U1314" s="254">
        <v>100100</v>
      </c>
      <c r="V1314" s="254" t="s">
        <v>834</v>
      </c>
      <c r="W1314" s="254" t="s">
        <v>1080</v>
      </c>
      <c r="X1314" s="254" t="s">
        <v>446</v>
      </c>
      <c r="Y1314" s="254" t="s">
        <v>843</v>
      </c>
      <c r="Z1314" s="254" t="s">
        <v>1142</v>
      </c>
      <c r="AA1314" s="254" t="s">
        <v>838</v>
      </c>
    </row>
    <row r="1315" spans="1:27" ht="14.4" x14ac:dyDescent="0.3">
      <c r="A1315" s="253">
        <v>11</v>
      </c>
      <c r="B1315" s="254" t="s">
        <v>853</v>
      </c>
      <c r="C1315" s="254">
        <v>33</v>
      </c>
      <c r="D1315" s="254" t="s">
        <v>885</v>
      </c>
      <c r="E1315" s="254" t="str">
        <f>_xlfn.XLOOKUP(C1315,Clientes!I:I,Clientes!F:F)</f>
        <v>GRUPO HERINGER</v>
      </c>
      <c r="F1315" s="254">
        <v>7384</v>
      </c>
      <c r="G1315" s="254" t="s">
        <v>862</v>
      </c>
      <c r="H1315" s="254" t="s">
        <v>856</v>
      </c>
      <c r="I1315" s="255">
        <v>15000</v>
      </c>
      <c r="J1315" s="256">
        <v>15000</v>
      </c>
      <c r="K1315" s="258">
        <v>49200</v>
      </c>
      <c r="L1315" s="258">
        <v>-5904</v>
      </c>
      <c r="M1315" s="258">
        <f t="shared" si="82"/>
        <v>43296</v>
      </c>
      <c r="N1315" s="258">
        <v>-10375.080337078651</v>
      </c>
      <c r="O1315" s="258">
        <v>-10935.990696618001</v>
      </c>
      <c r="P1315" s="258">
        <v>-5.4437713600866111</v>
      </c>
      <c r="Q1315" s="258">
        <f t="shared" si="83"/>
        <v>21979.485194943263</v>
      </c>
      <c r="R1315" s="259">
        <f t="shared" si="84"/>
        <v>0.50765625450256979</v>
      </c>
      <c r="S1315" s="255">
        <f t="shared" si="81"/>
        <v>3.28</v>
      </c>
      <c r="T1315" s="255">
        <f t="shared" si="81"/>
        <v>3.28</v>
      </c>
      <c r="U1315" s="254">
        <v>100100</v>
      </c>
      <c r="V1315" s="254" t="s">
        <v>834</v>
      </c>
      <c r="W1315" s="254" t="s">
        <v>864</v>
      </c>
      <c r="X1315" s="254" t="s">
        <v>446</v>
      </c>
      <c r="Y1315" s="254" t="s">
        <v>843</v>
      </c>
      <c r="Z1315" s="254" t="s">
        <v>1142</v>
      </c>
      <c r="AA1315" s="254" t="s">
        <v>838</v>
      </c>
    </row>
    <row r="1316" spans="1:27" ht="14.4" x14ac:dyDescent="0.3">
      <c r="A1316" s="253">
        <v>11</v>
      </c>
      <c r="B1316" s="254" t="s">
        <v>853</v>
      </c>
      <c r="C1316" s="254">
        <v>2559</v>
      </c>
      <c r="D1316" s="254" t="s">
        <v>451</v>
      </c>
      <c r="E1316" s="254" t="str">
        <f>_xlfn.XLOOKUP(C1316,Clientes!I:I,Clientes!F:F)</f>
        <v>GRUPO MOSAIC FERTILIZANTES DO BRASIL</v>
      </c>
      <c r="F1316" s="254">
        <v>1043</v>
      </c>
      <c r="G1316" s="254" t="s">
        <v>877</v>
      </c>
      <c r="H1316" s="254" t="s">
        <v>860</v>
      </c>
      <c r="I1316" s="255">
        <v>60000</v>
      </c>
      <c r="J1316" s="256">
        <v>60000</v>
      </c>
      <c r="K1316" s="258">
        <v>150600</v>
      </c>
      <c r="L1316" s="258">
        <v>-18072</v>
      </c>
      <c r="M1316" s="258">
        <f t="shared" si="82"/>
        <v>132528</v>
      </c>
      <c r="N1316" s="258">
        <v>-24101.762352941172</v>
      </c>
      <c r="O1316" s="258">
        <v>-48843.21</v>
      </c>
      <c r="P1316" s="258">
        <v>-24.31341385604177</v>
      </c>
      <c r="Q1316" s="258">
        <f t="shared" si="83"/>
        <v>59558.71423320278</v>
      </c>
      <c r="R1316" s="259">
        <f t="shared" si="84"/>
        <v>0.44940476150853237</v>
      </c>
      <c r="S1316" s="255">
        <f t="shared" si="81"/>
        <v>2.5099999999999998</v>
      </c>
      <c r="T1316" s="255">
        <f t="shared" si="81"/>
        <v>2.5099999999999998</v>
      </c>
      <c r="U1316" s="254">
        <v>100100</v>
      </c>
      <c r="V1316" s="254" t="s">
        <v>834</v>
      </c>
      <c r="W1316" s="254" t="s">
        <v>878</v>
      </c>
      <c r="X1316" s="254" t="s">
        <v>446</v>
      </c>
      <c r="Y1316" s="254" t="s">
        <v>843</v>
      </c>
      <c r="Z1316" s="254" t="s">
        <v>1142</v>
      </c>
      <c r="AA1316" s="254" t="s">
        <v>838</v>
      </c>
    </row>
    <row r="1317" spans="1:27" ht="14.4" x14ac:dyDescent="0.3">
      <c r="A1317" s="253">
        <v>11</v>
      </c>
      <c r="B1317" s="254" t="s">
        <v>853</v>
      </c>
      <c r="C1317" s="254">
        <v>7103</v>
      </c>
      <c r="D1317" s="254" t="s">
        <v>482</v>
      </c>
      <c r="E1317" s="254" t="str">
        <f>_xlfn.XLOOKUP(C1317,Clientes!I:I,Clientes!F:F)</f>
        <v>GRUPO MOSAIC FERTILIZANTES DO BRASIL</v>
      </c>
      <c r="F1317" s="254">
        <v>1043</v>
      </c>
      <c r="G1317" s="254" t="s">
        <v>867</v>
      </c>
      <c r="H1317" s="254" t="s">
        <v>860</v>
      </c>
      <c r="I1317" s="255">
        <v>60000</v>
      </c>
      <c r="J1317" s="256">
        <v>60000</v>
      </c>
      <c r="K1317" s="258">
        <v>114000</v>
      </c>
      <c r="L1317" s="258">
        <v>-7980.0000000000009</v>
      </c>
      <c r="M1317" s="258">
        <f t="shared" si="82"/>
        <v>106020</v>
      </c>
      <c r="N1317" s="258">
        <v>-24101.762352941172</v>
      </c>
      <c r="O1317" s="258">
        <v>-11377.594799999999</v>
      </c>
      <c r="P1317" s="258">
        <v>-5.66359522764267</v>
      </c>
      <c r="Q1317" s="258">
        <f t="shared" si="83"/>
        <v>70534.979251831188</v>
      </c>
      <c r="R1317" s="259">
        <f t="shared" si="84"/>
        <v>0.66529880448812662</v>
      </c>
      <c r="S1317" s="255">
        <f t="shared" si="81"/>
        <v>1.9</v>
      </c>
      <c r="T1317" s="255">
        <f t="shared" si="81"/>
        <v>1.9</v>
      </c>
      <c r="U1317" s="254">
        <v>100100</v>
      </c>
      <c r="V1317" s="254" t="s">
        <v>834</v>
      </c>
      <c r="W1317" s="254" t="s">
        <v>890</v>
      </c>
      <c r="X1317" s="254" t="s">
        <v>446</v>
      </c>
      <c r="Y1317" s="254" t="s">
        <v>843</v>
      </c>
      <c r="Z1317" s="254" t="s">
        <v>1142</v>
      </c>
      <c r="AA1317" s="254" t="s">
        <v>838</v>
      </c>
    </row>
    <row r="1318" spans="1:27" ht="14.4" x14ac:dyDescent="0.3">
      <c r="A1318" s="253">
        <v>11</v>
      </c>
      <c r="B1318" s="254" t="s">
        <v>853</v>
      </c>
      <c r="C1318" s="254">
        <v>6124</v>
      </c>
      <c r="D1318" s="254" t="s">
        <v>891</v>
      </c>
      <c r="E1318" s="254" t="str">
        <f>_xlfn.XLOOKUP(C1318,Clientes!I:I,Clientes!F:F)</f>
        <v>GRUPO MOSAIC FERTILIZANTES DO BRASIL</v>
      </c>
      <c r="F1318" s="254">
        <v>1043</v>
      </c>
      <c r="G1318" s="254" t="s">
        <v>855</v>
      </c>
      <c r="H1318" s="254" t="s">
        <v>860</v>
      </c>
      <c r="I1318" s="255">
        <v>60000</v>
      </c>
      <c r="J1318" s="256">
        <v>60000</v>
      </c>
      <c r="K1318" s="258">
        <v>101400</v>
      </c>
      <c r="L1318" s="258">
        <v>0</v>
      </c>
      <c r="M1318" s="258">
        <f t="shared" si="82"/>
        <v>101400</v>
      </c>
      <c r="N1318" s="258">
        <v>-24101.762352941172</v>
      </c>
      <c r="O1318" s="258">
        <v>-4884.3209999999999</v>
      </c>
      <c r="P1318" s="258">
        <v>-2.4313413856041768</v>
      </c>
      <c r="Q1318" s="258">
        <f t="shared" si="83"/>
        <v>72411.485305673225</v>
      </c>
      <c r="R1318" s="259">
        <f t="shared" si="84"/>
        <v>0.71411721208750711</v>
      </c>
      <c r="S1318" s="255">
        <f t="shared" si="81"/>
        <v>1.69</v>
      </c>
      <c r="T1318" s="255">
        <f t="shared" si="81"/>
        <v>1.69</v>
      </c>
      <c r="U1318" s="254">
        <v>100100</v>
      </c>
      <c r="V1318" s="254" t="s">
        <v>834</v>
      </c>
      <c r="W1318" s="254" t="s">
        <v>892</v>
      </c>
      <c r="X1318" s="254" t="s">
        <v>446</v>
      </c>
      <c r="Y1318" s="254" t="s">
        <v>843</v>
      </c>
      <c r="Z1318" s="254" t="s">
        <v>1142</v>
      </c>
      <c r="AA1318" s="254" t="s">
        <v>838</v>
      </c>
    </row>
    <row r="1319" spans="1:27" ht="14.4" x14ac:dyDescent="0.3">
      <c r="A1319" s="253">
        <v>11</v>
      </c>
      <c r="B1319" s="254" t="s">
        <v>853</v>
      </c>
      <c r="C1319" s="254">
        <v>1462</v>
      </c>
      <c r="D1319" s="254" t="s">
        <v>907</v>
      </c>
      <c r="E1319" s="254" t="str">
        <f>_xlfn.XLOOKUP(C1319,Clientes!I:I,Clientes!F:F)</f>
        <v>AURORA MINERAÇÃO LTDA</v>
      </c>
      <c r="F1319" s="254">
        <v>1042</v>
      </c>
      <c r="G1319" s="254" t="s">
        <v>908</v>
      </c>
      <c r="H1319" s="254" t="s">
        <v>909</v>
      </c>
      <c r="I1319" s="255">
        <v>90000</v>
      </c>
      <c r="J1319" s="256">
        <v>90000</v>
      </c>
      <c r="K1319" s="258">
        <v>150300</v>
      </c>
      <c r="L1319" s="258">
        <v>-18036</v>
      </c>
      <c r="M1319" s="258">
        <f t="shared" si="82"/>
        <v>132264</v>
      </c>
      <c r="N1319" s="258">
        <v>-48648.054000000004</v>
      </c>
      <c r="O1319" s="258">
        <v>0</v>
      </c>
      <c r="P1319" s="258">
        <v>0</v>
      </c>
      <c r="Q1319" s="258">
        <f t="shared" si="83"/>
        <v>83615.945999999996</v>
      </c>
      <c r="R1319" s="259">
        <f t="shared" si="84"/>
        <v>0.6321897568499365</v>
      </c>
      <c r="S1319" s="255">
        <f t="shared" si="81"/>
        <v>1.67</v>
      </c>
      <c r="T1319" s="255">
        <f t="shared" si="81"/>
        <v>1.67</v>
      </c>
      <c r="U1319" s="254">
        <v>100100</v>
      </c>
      <c r="V1319" s="254" t="s">
        <v>834</v>
      </c>
      <c r="W1319" s="254" t="s">
        <v>910</v>
      </c>
      <c r="X1319" s="254" t="s">
        <v>446</v>
      </c>
      <c r="Y1319" s="254" t="s">
        <v>843</v>
      </c>
      <c r="Z1319" s="254" t="s">
        <v>1142</v>
      </c>
      <c r="AA1319" s="254" t="s">
        <v>838</v>
      </c>
    </row>
    <row r="1320" spans="1:27" ht="14.4" x14ac:dyDescent="0.3">
      <c r="A1320" s="253">
        <v>11</v>
      </c>
      <c r="B1320" s="254" t="s">
        <v>853</v>
      </c>
      <c r="C1320" s="254">
        <v>9295</v>
      </c>
      <c r="D1320" s="254" t="s">
        <v>333</v>
      </c>
      <c r="E1320" s="254" t="str">
        <f>_xlfn.XLOOKUP(C1320,Clientes!I:I,Clientes!F:F)</f>
        <v>TECNOMYL S.A. - PARAGUAY</v>
      </c>
      <c r="F1320" s="254">
        <v>14146</v>
      </c>
      <c r="G1320" s="254" t="s">
        <v>832</v>
      </c>
      <c r="H1320" s="254" t="s">
        <v>1011</v>
      </c>
      <c r="I1320" s="255">
        <v>52800</v>
      </c>
      <c r="J1320" s="256">
        <v>52800</v>
      </c>
      <c r="K1320" s="258">
        <v>271444.8</v>
      </c>
      <c r="L1320" s="258">
        <v>0</v>
      </c>
      <c r="M1320" s="258">
        <f t="shared" si="82"/>
        <v>271444.8</v>
      </c>
      <c r="N1320" s="258">
        <v>-106047.19304347827</v>
      </c>
      <c r="O1320" s="258">
        <v>-47610.112000000016</v>
      </c>
      <c r="P1320" s="258">
        <v>-18856.015283442823</v>
      </c>
      <c r="Q1320" s="258">
        <f t="shared" si="83"/>
        <v>98931.479673078866</v>
      </c>
      <c r="R1320" s="259">
        <f t="shared" si="84"/>
        <v>0.36446260776805772</v>
      </c>
      <c r="S1320" s="255">
        <f t="shared" si="81"/>
        <v>5.141</v>
      </c>
      <c r="T1320" s="255">
        <f t="shared" si="81"/>
        <v>5.141</v>
      </c>
      <c r="U1320" s="254">
        <v>100100</v>
      </c>
      <c r="V1320" s="254" t="s">
        <v>834</v>
      </c>
      <c r="W1320" s="254" t="s">
        <v>1012</v>
      </c>
      <c r="X1320" s="254" t="s">
        <v>446</v>
      </c>
      <c r="Y1320" s="254" t="s">
        <v>836</v>
      </c>
      <c r="Z1320" s="254" t="s">
        <v>1142</v>
      </c>
      <c r="AA1320" s="254" t="s">
        <v>838</v>
      </c>
    </row>
    <row r="1321" spans="1:27" ht="14.4" x14ac:dyDescent="0.3">
      <c r="A1321" s="253">
        <v>11</v>
      </c>
      <c r="B1321" s="254" t="s">
        <v>853</v>
      </c>
      <c r="C1321" s="254">
        <v>16453</v>
      </c>
      <c r="D1321" s="254" t="s">
        <v>1114</v>
      </c>
      <c r="E1321" s="254" t="str">
        <f>_xlfn.XLOOKUP(C1321,Clientes!I:I,Clientes!F:F)</f>
        <v>HIDROVIAS DO BRASIL ADMINISTRACAO PORTUA</v>
      </c>
      <c r="F1321" s="254">
        <v>1043</v>
      </c>
      <c r="G1321" s="254" t="s">
        <v>908</v>
      </c>
      <c r="H1321" s="254" t="s">
        <v>860</v>
      </c>
      <c r="I1321" s="255">
        <v>60000</v>
      </c>
      <c r="J1321" s="256">
        <v>60000</v>
      </c>
      <c r="K1321" s="258">
        <v>141600</v>
      </c>
      <c r="L1321" s="258">
        <v>-16992</v>
      </c>
      <c r="M1321" s="258">
        <f t="shared" si="82"/>
        <v>124608</v>
      </c>
      <c r="N1321" s="258">
        <v>-24101.762352941172</v>
      </c>
      <c r="O1321" s="258">
        <v>0</v>
      </c>
      <c r="P1321" s="258">
        <v>0</v>
      </c>
      <c r="Q1321" s="258">
        <f t="shared" si="83"/>
        <v>100506.23764705882</v>
      </c>
      <c r="R1321" s="259">
        <f t="shared" si="84"/>
        <v>0.80657933396779358</v>
      </c>
      <c r="S1321" s="255">
        <f t="shared" si="81"/>
        <v>2.36</v>
      </c>
      <c r="T1321" s="255">
        <f t="shared" si="81"/>
        <v>2.36</v>
      </c>
      <c r="U1321" s="254">
        <v>100100</v>
      </c>
      <c r="V1321" s="254" t="s">
        <v>834</v>
      </c>
      <c r="W1321" s="254" t="s">
        <v>1115</v>
      </c>
      <c r="X1321" s="254" t="s">
        <v>446</v>
      </c>
      <c r="Y1321" s="254" t="s">
        <v>843</v>
      </c>
      <c r="Z1321" s="254" t="s">
        <v>1142</v>
      </c>
      <c r="AA1321" s="254" t="s">
        <v>838</v>
      </c>
    </row>
    <row r="1322" spans="1:27" ht="14.4" x14ac:dyDescent="0.3">
      <c r="A1322" s="253">
        <v>11</v>
      </c>
      <c r="B1322" s="254" t="s">
        <v>853</v>
      </c>
      <c r="C1322" s="254">
        <v>2603</v>
      </c>
      <c r="D1322" s="254" t="s">
        <v>1074</v>
      </c>
      <c r="E1322" s="254" t="str">
        <f>_xlfn.XLOOKUP(C1322,Clientes!I:I,Clientes!F:F)</f>
        <v>GRUPO MOSAIC FERTILIZANTES DO BRASIL</v>
      </c>
      <c r="F1322" s="254">
        <v>1043</v>
      </c>
      <c r="G1322" s="254" t="s">
        <v>897</v>
      </c>
      <c r="H1322" s="254" t="s">
        <v>860</v>
      </c>
      <c r="I1322" s="255">
        <v>60000</v>
      </c>
      <c r="J1322" s="256">
        <v>60000</v>
      </c>
      <c r="K1322" s="258">
        <v>147600</v>
      </c>
      <c r="L1322" s="258">
        <v>-10332.000000000002</v>
      </c>
      <c r="M1322" s="258">
        <f t="shared" si="82"/>
        <v>137268</v>
      </c>
      <c r="N1322" s="258">
        <v>-24101.762352941172</v>
      </c>
      <c r="O1322" s="258">
        <v>0</v>
      </c>
      <c r="P1322" s="258">
        <v>0</v>
      </c>
      <c r="Q1322" s="258">
        <f t="shared" si="83"/>
        <v>113166.23764705882</v>
      </c>
      <c r="R1322" s="259">
        <f t="shared" si="84"/>
        <v>0.82441820123451071</v>
      </c>
      <c r="S1322" s="255">
        <f t="shared" si="81"/>
        <v>2.46</v>
      </c>
      <c r="T1322" s="255">
        <f t="shared" si="81"/>
        <v>2.46</v>
      </c>
      <c r="U1322" s="254">
        <v>100100</v>
      </c>
      <c r="V1322" s="254" t="s">
        <v>834</v>
      </c>
      <c r="W1322" s="254" t="s">
        <v>899</v>
      </c>
      <c r="X1322" s="254" t="s">
        <v>446</v>
      </c>
      <c r="Y1322" s="254" t="s">
        <v>843</v>
      </c>
      <c r="Z1322" s="254" t="s">
        <v>1142</v>
      </c>
      <c r="AA1322" s="254" t="s">
        <v>838</v>
      </c>
    </row>
    <row r="1323" spans="1:27" ht="14.4" x14ac:dyDescent="0.3">
      <c r="A1323" s="253">
        <v>11</v>
      </c>
      <c r="B1323" s="254" t="s">
        <v>853</v>
      </c>
      <c r="C1323" s="254">
        <v>11637</v>
      </c>
      <c r="D1323" s="254" t="s">
        <v>625</v>
      </c>
      <c r="E1323" s="254" t="str">
        <f>_xlfn.XLOOKUP(C1323,Clientes!I:I,Clientes!F:F)</f>
        <v>AGROPECUARIA MARATA LTDA - MARUIM</v>
      </c>
      <c r="F1323" s="254">
        <v>14130</v>
      </c>
      <c r="G1323" s="254" t="s">
        <v>887</v>
      </c>
      <c r="H1323" s="254" t="s">
        <v>903</v>
      </c>
      <c r="I1323" s="255">
        <v>10000</v>
      </c>
      <c r="J1323" s="256">
        <v>10000</v>
      </c>
      <c r="K1323" s="258">
        <v>29700</v>
      </c>
      <c r="L1323" s="258">
        <v>-2079</v>
      </c>
      <c r="M1323" s="258">
        <f t="shared" si="82"/>
        <v>27621</v>
      </c>
      <c r="N1323" s="258">
        <v>-12674.32</v>
      </c>
      <c r="O1323" s="258">
        <v>0</v>
      </c>
      <c r="P1323" s="258">
        <v>0</v>
      </c>
      <c r="Q1323" s="258">
        <f t="shared" si="83"/>
        <v>14946.68</v>
      </c>
      <c r="R1323" s="259">
        <f t="shared" si="84"/>
        <v>0.54113464393034283</v>
      </c>
      <c r="S1323" s="255">
        <f t="shared" si="81"/>
        <v>2.97</v>
      </c>
      <c r="T1323" s="255">
        <f t="shared" si="81"/>
        <v>2.97</v>
      </c>
      <c r="U1323" s="254">
        <v>100100</v>
      </c>
      <c r="V1323" s="254" t="s">
        <v>834</v>
      </c>
      <c r="W1323" s="254" t="s">
        <v>1009</v>
      </c>
      <c r="X1323" s="254" t="s">
        <v>446</v>
      </c>
      <c r="Y1323" s="254" t="s">
        <v>843</v>
      </c>
      <c r="Z1323" s="254" t="s">
        <v>1142</v>
      </c>
      <c r="AA1323" s="254" t="s">
        <v>838</v>
      </c>
    </row>
    <row r="1324" spans="1:27" ht="14.4" x14ac:dyDescent="0.3">
      <c r="A1324" s="253">
        <v>11</v>
      </c>
      <c r="B1324" s="254" t="s">
        <v>853</v>
      </c>
      <c r="C1324" s="254">
        <v>14632</v>
      </c>
      <c r="D1324" s="254" t="s">
        <v>399</v>
      </c>
      <c r="E1324" s="254" t="str">
        <f>_xlfn.XLOOKUP(C1324,Clientes!I:I,Clientes!F:F)</f>
        <v>BIGFERTIL - CANDEIAS</v>
      </c>
      <c r="F1324" s="254">
        <v>1043</v>
      </c>
      <c r="G1324" s="254" t="s">
        <v>875</v>
      </c>
      <c r="H1324" s="254" t="s">
        <v>860</v>
      </c>
      <c r="I1324" s="255">
        <v>30000</v>
      </c>
      <c r="J1324" s="256">
        <v>30000</v>
      </c>
      <c r="K1324" s="258">
        <v>96900</v>
      </c>
      <c r="L1324" s="258">
        <v>-6783.0000000000009</v>
      </c>
      <c r="M1324" s="258">
        <f t="shared" si="82"/>
        <v>90117</v>
      </c>
      <c r="N1324" s="258">
        <v>-12050.881176470586</v>
      </c>
      <c r="O1324" s="258">
        <v>-21548.474999999999</v>
      </c>
      <c r="P1324" s="258">
        <v>-10.726506112959605</v>
      </c>
      <c r="Q1324" s="258">
        <f t="shared" si="83"/>
        <v>56506.917317416453</v>
      </c>
      <c r="R1324" s="259">
        <f t="shared" si="84"/>
        <v>0.62703948552899513</v>
      </c>
      <c r="S1324" s="255">
        <f t="shared" si="81"/>
        <v>3.23</v>
      </c>
      <c r="T1324" s="255">
        <f t="shared" si="81"/>
        <v>3.23</v>
      </c>
      <c r="U1324" s="254">
        <v>100100</v>
      </c>
      <c r="V1324" s="254" t="s">
        <v>834</v>
      </c>
      <c r="W1324" s="254" t="s">
        <v>876</v>
      </c>
      <c r="X1324" s="254" t="s">
        <v>446</v>
      </c>
      <c r="Y1324" s="254" t="s">
        <v>843</v>
      </c>
      <c r="Z1324" s="254" t="s">
        <v>1142</v>
      </c>
      <c r="AA1324" s="254" t="s">
        <v>838</v>
      </c>
    </row>
    <row r="1325" spans="1:27" ht="14.4" x14ac:dyDescent="0.3">
      <c r="A1325" s="253">
        <v>11</v>
      </c>
      <c r="B1325" s="254" t="s">
        <v>853</v>
      </c>
      <c r="C1325" s="254">
        <v>6370</v>
      </c>
      <c r="D1325" s="254" t="s">
        <v>264</v>
      </c>
      <c r="E1325" s="254" t="str">
        <f>_xlfn.XLOOKUP(C1325,Clientes!I:I,Clientes!F:F)</f>
        <v>YTL S.A. - PARAGUAI</v>
      </c>
      <c r="F1325" s="254">
        <v>4067</v>
      </c>
      <c r="G1325" s="254" t="s">
        <v>832</v>
      </c>
      <c r="H1325" s="254" t="s">
        <v>881</v>
      </c>
      <c r="I1325" s="255">
        <v>30000</v>
      </c>
      <c r="J1325" s="256">
        <v>30000</v>
      </c>
      <c r="K1325" s="258">
        <v>154200</v>
      </c>
      <c r="L1325" s="258">
        <v>0</v>
      </c>
      <c r="M1325" s="258">
        <f t="shared" si="82"/>
        <v>154200</v>
      </c>
      <c r="N1325" s="258">
        <v>-46215.96</v>
      </c>
      <c r="O1325" s="258">
        <v>-30471.7248</v>
      </c>
      <c r="P1325" s="258">
        <v>-10715.34773310779</v>
      </c>
      <c r="Q1325" s="258">
        <f t="shared" si="83"/>
        <v>66796.967466892223</v>
      </c>
      <c r="R1325" s="259">
        <f t="shared" si="84"/>
        <v>0.43318396541434645</v>
      </c>
      <c r="S1325" s="255">
        <f t="shared" si="81"/>
        <v>5.14</v>
      </c>
      <c r="T1325" s="255">
        <f t="shared" si="81"/>
        <v>5.14</v>
      </c>
      <c r="U1325" s="254">
        <v>100100</v>
      </c>
      <c r="V1325" s="254" t="s">
        <v>834</v>
      </c>
      <c r="W1325" s="254" t="s">
        <v>896</v>
      </c>
      <c r="X1325" s="254" t="s">
        <v>446</v>
      </c>
      <c r="Y1325" s="254" t="s">
        <v>836</v>
      </c>
      <c r="Z1325" s="254" t="s">
        <v>1142</v>
      </c>
      <c r="AA1325" s="254" t="s">
        <v>838</v>
      </c>
    </row>
    <row r="1326" spans="1:27" ht="14.4" x14ac:dyDescent="0.3">
      <c r="A1326" s="253">
        <v>11</v>
      </c>
      <c r="B1326" s="254" t="s">
        <v>853</v>
      </c>
      <c r="C1326" s="254">
        <v>3273</v>
      </c>
      <c r="D1326" s="254" t="s">
        <v>79</v>
      </c>
      <c r="E1326" s="254" t="str">
        <f>_xlfn.XLOOKUP(C1326,Clientes!I:I,Clientes!F:F)</f>
        <v>FERTIMAXI - CONCEICAO DO JACUIPE</v>
      </c>
      <c r="F1326" s="254">
        <v>2</v>
      </c>
      <c r="G1326" s="254" t="s">
        <v>875</v>
      </c>
      <c r="H1326" s="254" t="s">
        <v>883</v>
      </c>
      <c r="I1326" s="255">
        <v>60000</v>
      </c>
      <c r="J1326" s="256">
        <v>60000</v>
      </c>
      <c r="K1326" s="258">
        <v>157800</v>
      </c>
      <c r="L1326" s="258">
        <v>-11046.000000000002</v>
      </c>
      <c r="M1326" s="258">
        <f t="shared" si="82"/>
        <v>146754</v>
      </c>
      <c r="N1326" s="258">
        <v>-38080.525531914893</v>
      </c>
      <c r="O1326" s="258">
        <v>-37350.69</v>
      </c>
      <c r="P1326" s="258">
        <v>-18.59261059579665</v>
      </c>
      <c r="Q1326" s="258">
        <f t="shared" si="83"/>
        <v>71304.191857489306</v>
      </c>
      <c r="R1326" s="259">
        <f t="shared" si="84"/>
        <v>0.48587562763188263</v>
      </c>
      <c r="S1326" s="255">
        <f t="shared" si="81"/>
        <v>2.63</v>
      </c>
      <c r="T1326" s="255">
        <f t="shared" si="81"/>
        <v>2.63</v>
      </c>
      <c r="U1326" s="254">
        <v>100100</v>
      </c>
      <c r="V1326" s="254" t="s">
        <v>834</v>
      </c>
      <c r="W1326" s="254" t="s">
        <v>884</v>
      </c>
      <c r="X1326" s="254" t="s">
        <v>446</v>
      </c>
      <c r="Y1326" s="254" t="s">
        <v>843</v>
      </c>
      <c r="Z1326" s="254" t="s">
        <v>1142</v>
      </c>
      <c r="AA1326" s="254" t="s">
        <v>838</v>
      </c>
    </row>
    <row r="1327" spans="1:27" ht="14.4" x14ac:dyDescent="0.3">
      <c r="A1327" s="253">
        <v>11</v>
      </c>
      <c r="B1327" s="254" t="s">
        <v>853</v>
      </c>
      <c r="C1327" s="254">
        <v>16073</v>
      </c>
      <c r="D1327" s="254" t="s">
        <v>1095</v>
      </c>
      <c r="E1327" s="254" t="str">
        <f>_xlfn.XLOOKUP(C1327,Clientes!I:I,Clientes!F:F)</f>
        <v>IMEX SUL INSUMOS - SANTA MARIA</v>
      </c>
      <c r="F1327" s="254">
        <v>1</v>
      </c>
      <c r="G1327" s="254" t="s">
        <v>877</v>
      </c>
      <c r="H1327" s="254" t="s">
        <v>873</v>
      </c>
      <c r="I1327" s="255">
        <v>30000</v>
      </c>
      <c r="J1327" s="256">
        <v>30000</v>
      </c>
      <c r="K1327" s="258">
        <v>84000</v>
      </c>
      <c r="L1327" s="258">
        <v>-10080</v>
      </c>
      <c r="M1327" s="258">
        <f t="shared" si="82"/>
        <v>73920</v>
      </c>
      <c r="N1327" s="258">
        <v>-21763.572000000004</v>
      </c>
      <c r="O1327" s="258">
        <v>-24421.605</v>
      </c>
      <c r="P1327" s="258">
        <v>-12.156706928020885</v>
      </c>
      <c r="Q1327" s="258">
        <f t="shared" si="83"/>
        <v>27722.666293071979</v>
      </c>
      <c r="R1327" s="259">
        <f t="shared" si="84"/>
        <v>0.37503606998203437</v>
      </c>
      <c r="S1327" s="255">
        <f t="shared" si="81"/>
        <v>2.8</v>
      </c>
      <c r="T1327" s="255">
        <f t="shared" si="81"/>
        <v>2.8</v>
      </c>
      <c r="U1327" s="254">
        <v>100100</v>
      </c>
      <c r="V1327" s="254" t="s">
        <v>834</v>
      </c>
      <c r="W1327" s="254" t="s">
        <v>878</v>
      </c>
      <c r="X1327" s="254" t="s">
        <v>446</v>
      </c>
      <c r="Y1327" s="254" t="s">
        <v>843</v>
      </c>
      <c r="Z1327" s="254" t="s">
        <v>1142</v>
      </c>
      <c r="AA1327" s="254" t="s">
        <v>838</v>
      </c>
    </row>
    <row r="1328" spans="1:27" ht="14.4" x14ac:dyDescent="0.3">
      <c r="A1328" s="253">
        <v>11</v>
      </c>
      <c r="B1328" s="254" t="s">
        <v>853</v>
      </c>
      <c r="C1328" s="254">
        <v>4577</v>
      </c>
      <c r="D1328" s="254" t="s">
        <v>620</v>
      </c>
      <c r="E1328" s="254" t="str">
        <f>_xlfn.XLOOKUP(C1328,Clientes!I:I,Clientes!F:F)</f>
        <v>MICROSOLO INDUSTRIAL - SETE LAGOAS</v>
      </c>
      <c r="F1328" s="254">
        <v>1</v>
      </c>
      <c r="G1328" s="254" t="s">
        <v>855</v>
      </c>
      <c r="H1328" s="254" t="s">
        <v>873</v>
      </c>
      <c r="I1328" s="255">
        <v>30000</v>
      </c>
      <c r="J1328" s="256">
        <v>30000</v>
      </c>
      <c r="K1328" s="258">
        <v>69600</v>
      </c>
      <c r="L1328" s="258">
        <v>-6438</v>
      </c>
      <c r="M1328" s="258">
        <f t="shared" si="82"/>
        <v>63162</v>
      </c>
      <c r="N1328" s="258">
        <v>-21763.572000000004</v>
      </c>
      <c r="O1328" s="258">
        <v>-10004.1649344</v>
      </c>
      <c r="P1328" s="258">
        <v>-4.9799225385507659</v>
      </c>
      <c r="Q1328" s="258">
        <f t="shared" si="83"/>
        <v>31389.28314306145</v>
      </c>
      <c r="R1328" s="259">
        <f t="shared" si="84"/>
        <v>0.49696468039424735</v>
      </c>
      <c r="S1328" s="255">
        <f t="shared" si="81"/>
        <v>2.3199999999999998</v>
      </c>
      <c r="T1328" s="255">
        <f t="shared" si="81"/>
        <v>2.3199999999999998</v>
      </c>
      <c r="U1328" s="254">
        <v>100100</v>
      </c>
      <c r="V1328" s="254" t="s">
        <v>834</v>
      </c>
      <c r="W1328" s="254" t="s">
        <v>1066</v>
      </c>
      <c r="X1328" s="254" t="s">
        <v>446</v>
      </c>
      <c r="Y1328" s="254" t="s">
        <v>843</v>
      </c>
      <c r="Z1328" s="254" t="s">
        <v>1142</v>
      </c>
      <c r="AA1328" s="254" t="s">
        <v>838</v>
      </c>
    </row>
    <row r="1329" spans="1:27" ht="14.4" x14ac:dyDescent="0.3">
      <c r="A1329" s="253">
        <v>11</v>
      </c>
      <c r="B1329" s="254" t="s">
        <v>853</v>
      </c>
      <c r="C1329" s="254">
        <v>3142</v>
      </c>
      <c r="D1329" s="254" t="s">
        <v>78</v>
      </c>
      <c r="E1329" s="254" t="str">
        <f>_xlfn.XLOOKUP(C1329,Clientes!I:I,Clientes!F:F)</f>
        <v>INTERFERTIL - SAO FRANCISCO DO SUL</v>
      </c>
      <c r="F1329" s="254">
        <v>1</v>
      </c>
      <c r="G1329" s="254" t="s">
        <v>893</v>
      </c>
      <c r="H1329" s="254" t="s">
        <v>873</v>
      </c>
      <c r="I1329" s="255">
        <v>30000</v>
      </c>
      <c r="J1329" s="256">
        <v>30000</v>
      </c>
      <c r="K1329" s="258">
        <v>83100</v>
      </c>
      <c r="L1329" s="258">
        <v>-9972</v>
      </c>
      <c r="M1329" s="258">
        <f t="shared" si="82"/>
        <v>73128</v>
      </c>
      <c r="N1329" s="258">
        <v>-21763.572000000004</v>
      </c>
      <c r="O1329" s="258">
        <v>-16807.8105</v>
      </c>
      <c r="P1329" s="258">
        <v>-8.3666747681084903</v>
      </c>
      <c r="Q1329" s="258">
        <f t="shared" si="83"/>
        <v>34548.250825231895</v>
      </c>
      <c r="R1329" s="259">
        <f t="shared" si="84"/>
        <v>0.47243533017765965</v>
      </c>
      <c r="S1329" s="255">
        <f t="shared" si="81"/>
        <v>2.77</v>
      </c>
      <c r="T1329" s="255">
        <f t="shared" si="81"/>
        <v>2.77</v>
      </c>
      <c r="U1329" s="254">
        <v>100100</v>
      </c>
      <c r="V1329" s="254" t="s">
        <v>834</v>
      </c>
      <c r="W1329" s="254" t="s">
        <v>894</v>
      </c>
      <c r="X1329" s="254" t="s">
        <v>446</v>
      </c>
      <c r="Y1329" s="254" t="s">
        <v>843</v>
      </c>
      <c r="Z1329" s="254" t="s">
        <v>1142</v>
      </c>
      <c r="AA1329" s="254" t="s">
        <v>838</v>
      </c>
    </row>
    <row r="1330" spans="1:27" ht="14.4" x14ac:dyDescent="0.3">
      <c r="A1330" s="253">
        <v>11</v>
      </c>
      <c r="B1330" s="254" t="s">
        <v>853</v>
      </c>
      <c r="C1330" s="254">
        <v>1874</v>
      </c>
      <c r="D1330" s="254" t="s">
        <v>210</v>
      </c>
      <c r="E1330" s="254" t="str">
        <f>_xlfn.XLOOKUP(C1330,Clientes!I:I,Clientes!F:F)</f>
        <v>GRUPO FERTILIZ TOCANTINS</v>
      </c>
      <c r="F1330" s="254">
        <v>148</v>
      </c>
      <c r="G1330" s="254" t="s">
        <v>926</v>
      </c>
      <c r="H1330" s="254" t="s">
        <v>904</v>
      </c>
      <c r="I1330" s="255">
        <v>60000</v>
      </c>
      <c r="J1330" s="256">
        <v>60000</v>
      </c>
      <c r="K1330" s="258">
        <v>168600</v>
      </c>
      <c r="L1330" s="258">
        <v>-11802.000000000002</v>
      </c>
      <c r="M1330" s="258">
        <f t="shared" si="82"/>
        <v>156798</v>
      </c>
      <c r="N1330" s="258">
        <v>-40317.687931034488</v>
      </c>
      <c r="O1330" s="258">
        <v>-53957.381399999998</v>
      </c>
      <c r="P1330" s="258">
        <v>-26.85917130685085</v>
      </c>
      <c r="Q1330" s="258">
        <f t="shared" si="83"/>
        <v>62496.071497658668</v>
      </c>
      <c r="R1330" s="259">
        <f t="shared" si="84"/>
        <v>0.39857696844129814</v>
      </c>
      <c r="S1330" s="255">
        <f t="shared" si="81"/>
        <v>2.81</v>
      </c>
      <c r="T1330" s="255">
        <f t="shared" si="81"/>
        <v>2.81</v>
      </c>
      <c r="U1330" s="254">
        <v>100100</v>
      </c>
      <c r="V1330" s="254" t="s">
        <v>834</v>
      </c>
      <c r="W1330" s="254" t="s">
        <v>928</v>
      </c>
      <c r="X1330" s="254" t="s">
        <v>446</v>
      </c>
      <c r="Y1330" s="254" t="s">
        <v>843</v>
      </c>
      <c r="Z1330" s="254" t="s">
        <v>1142</v>
      </c>
      <c r="AA1330" s="254" t="s">
        <v>838</v>
      </c>
    </row>
    <row r="1331" spans="1:27" ht="14.4" x14ac:dyDescent="0.3">
      <c r="A1331" s="253">
        <v>11</v>
      </c>
      <c r="B1331" s="254" t="s">
        <v>853</v>
      </c>
      <c r="C1331" s="254">
        <v>205</v>
      </c>
      <c r="D1331" s="254" t="s">
        <v>859</v>
      </c>
      <c r="E1331" s="254" t="str">
        <f>_xlfn.XLOOKUP(C1331,Clientes!I:I,Clientes!F:F)</f>
        <v>GRUPO FERTIPAR FERTILIZANTES MATO GROSSO</v>
      </c>
      <c r="F1331" s="254">
        <v>231</v>
      </c>
      <c r="G1331" s="254" t="s">
        <v>840</v>
      </c>
      <c r="H1331" s="254" t="s">
        <v>1088</v>
      </c>
      <c r="I1331" s="255">
        <v>30000</v>
      </c>
      <c r="J1331" s="256">
        <v>30000</v>
      </c>
      <c r="K1331" s="258">
        <v>73800</v>
      </c>
      <c r="L1331" s="258">
        <v>-5166.0000000000009</v>
      </c>
      <c r="M1331" s="258">
        <f t="shared" si="82"/>
        <v>68634</v>
      </c>
      <c r="N1331" s="258">
        <v>-33184.969999999994</v>
      </c>
      <c r="O1331" s="258">
        <v>-11980.9521</v>
      </c>
      <c r="P1331" s="258">
        <v>-5.9639373988055402</v>
      </c>
      <c r="Q1331" s="258">
        <f t="shared" si="83"/>
        <v>23462.113962601197</v>
      </c>
      <c r="R1331" s="259">
        <f t="shared" si="84"/>
        <v>0.34184389606610716</v>
      </c>
      <c r="S1331" s="255">
        <f t="shared" si="81"/>
        <v>2.46</v>
      </c>
      <c r="T1331" s="255">
        <f t="shared" si="81"/>
        <v>2.46</v>
      </c>
      <c r="U1331" s="254">
        <v>100100</v>
      </c>
      <c r="V1331" s="254" t="s">
        <v>834</v>
      </c>
      <c r="W1331" s="254" t="s">
        <v>861</v>
      </c>
      <c r="X1331" s="254" t="s">
        <v>446</v>
      </c>
      <c r="Y1331" s="254" t="s">
        <v>843</v>
      </c>
      <c r="Z1331" s="254" t="s">
        <v>1142</v>
      </c>
      <c r="AA1331" s="254" t="s">
        <v>838</v>
      </c>
    </row>
    <row r="1332" spans="1:27" ht="14.4" x14ac:dyDescent="0.3">
      <c r="A1332" s="253">
        <v>11</v>
      </c>
      <c r="B1332" s="254" t="s">
        <v>853</v>
      </c>
      <c r="C1332" s="254">
        <v>1613</v>
      </c>
      <c r="D1332" s="254" t="s">
        <v>211</v>
      </c>
      <c r="E1332" s="254" t="str">
        <f>_xlfn.XLOOKUP(C1332,Clientes!I:I,Clientes!F:F)</f>
        <v>GRUPO HERINGER</v>
      </c>
      <c r="F1332" s="254">
        <v>7384</v>
      </c>
      <c r="G1332" s="254" t="s">
        <v>875</v>
      </c>
      <c r="H1332" s="254" t="s">
        <v>856</v>
      </c>
      <c r="I1332" s="255">
        <v>24000</v>
      </c>
      <c r="J1332" s="256">
        <v>24000</v>
      </c>
      <c r="K1332" s="258">
        <v>89760</v>
      </c>
      <c r="L1332" s="258">
        <v>-6283.2000000000007</v>
      </c>
      <c r="M1332" s="258">
        <f t="shared" si="82"/>
        <v>83476.800000000003</v>
      </c>
      <c r="N1332" s="258">
        <v>-16600.12853932584</v>
      </c>
      <c r="O1332" s="258">
        <v>-17238.78</v>
      </c>
      <c r="P1332" s="258">
        <v>-8.5812048903676832</v>
      </c>
      <c r="Q1332" s="258">
        <f t="shared" si="83"/>
        <v>49629.310255783792</v>
      </c>
      <c r="R1332" s="259">
        <f t="shared" si="84"/>
        <v>0.59452818334895197</v>
      </c>
      <c r="S1332" s="255">
        <f t="shared" si="81"/>
        <v>3.74</v>
      </c>
      <c r="T1332" s="255">
        <f t="shared" si="81"/>
        <v>3.74</v>
      </c>
      <c r="U1332" s="254">
        <v>100100</v>
      </c>
      <c r="V1332" s="254" t="s">
        <v>834</v>
      </c>
      <c r="W1332" s="254" t="s">
        <v>876</v>
      </c>
      <c r="X1332" s="254" t="s">
        <v>446</v>
      </c>
      <c r="Y1332" s="254" t="s">
        <v>843</v>
      </c>
      <c r="Z1332" s="254" t="s">
        <v>1142</v>
      </c>
      <c r="AA1332" s="254" t="s">
        <v>838</v>
      </c>
    </row>
    <row r="1333" spans="1:27" ht="14.4" x14ac:dyDescent="0.3">
      <c r="A1333" s="253">
        <v>11</v>
      </c>
      <c r="B1333" s="254" t="s">
        <v>853</v>
      </c>
      <c r="C1333" s="254">
        <v>7097</v>
      </c>
      <c r="D1333" s="254" t="s">
        <v>1077</v>
      </c>
      <c r="E1333" s="254" t="str">
        <f>_xlfn.XLOOKUP(C1333,Clientes!I:I,Clientes!F:F)</f>
        <v>GRUPO MOSAIC FERTILIZANTES DO BRASIL</v>
      </c>
      <c r="F1333" s="254">
        <v>14133</v>
      </c>
      <c r="G1333" s="254" t="s">
        <v>893</v>
      </c>
      <c r="H1333" s="254" t="s">
        <v>841</v>
      </c>
      <c r="I1333" s="255">
        <v>13200</v>
      </c>
      <c r="J1333" s="256">
        <v>13200</v>
      </c>
      <c r="K1333" s="258">
        <v>35640</v>
      </c>
      <c r="L1333" s="258">
        <v>-4276.8</v>
      </c>
      <c r="M1333" s="258">
        <f t="shared" si="82"/>
        <v>31363.200000000001</v>
      </c>
      <c r="N1333" s="258">
        <v>-15296.11415568863</v>
      </c>
      <c r="O1333" s="258">
        <v>-10600.245792416279</v>
      </c>
      <c r="P1333" s="258">
        <v>-5.276642606552322</v>
      </c>
      <c r="Q1333" s="258">
        <f t="shared" si="83"/>
        <v>5461.5634092885384</v>
      </c>
      <c r="R1333" s="259">
        <f t="shared" si="84"/>
        <v>0.17413922716076607</v>
      </c>
      <c r="S1333" s="255">
        <f t="shared" si="81"/>
        <v>2.7</v>
      </c>
      <c r="T1333" s="255">
        <f t="shared" si="81"/>
        <v>2.7</v>
      </c>
      <c r="U1333" s="254">
        <v>100100</v>
      </c>
      <c r="V1333" s="254" t="s">
        <v>834</v>
      </c>
      <c r="W1333" s="254" t="s">
        <v>894</v>
      </c>
      <c r="X1333" s="254" t="s">
        <v>446</v>
      </c>
      <c r="Y1333" s="254" t="s">
        <v>843</v>
      </c>
      <c r="Z1333" s="254" t="s">
        <v>1142</v>
      </c>
      <c r="AA1333" s="254" t="s">
        <v>838</v>
      </c>
    </row>
    <row r="1334" spans="1:27" ht="14.4" x14ac:dyDescent="0.3">
      <c r="A1334" s="253">
        <v>11</v>
      </c>
      <c r="B1334" s="254" t="s">
        <v>853</v>
      </c>
      <c r="C1334" s="254">
        <v>16951</v>
      </c>
      <c r="D1334" s="254" t="s">
        <v>637</v>
      </c>
      <c r="E1334" s="254" t="str">
        <f>_xlfn.XLOOKUP(C1334,Clientes!I:I,Clientes!F:F)</f>
        <v>3 TENTOS - SANTA BARBARA DO SUL</v>
      </c>
      <c r="F1334" s="254">
        <v>1</v>
      </c>
      <c r="G1334" s="254" t="s">
        <v>877</v>
      </c>
      <c r="H1334" s="254" t="s">
        <v>873</v>
      </c>
      <c r="I1334" s="255">
        <v>30000</v>
      </c>
      <c r="J1334" s="256">
        <v>30000</v>
      </c>
      <c r="K1334" s="258">
        <v>90000</v>
      </c>
      <c r="L1334" s="258">
        <v>-10800</v>
      </c>
      <c r="M1334" s="258">
        <f t="shared" si="82"/>
        <v>79200</v>
      </c>
      <c r="N1334" s="258">
        <v>-21763.572000000004</v>
      </c>
      <c r="O1334" s="258">
        <v>0</v>
      </c>
      <c r="P1334" s="258">
        <v>0</v>
      </c>
      <c r="Q1334" s="258">
        <f t="shared" si="83"/>
        <v>57436.428</v>
      </c>
      <c r="R1334" s="259">
        <f t="shared" si="84"/>
        <v>0.72520742424242424</v>
      </c>
      <c r="S1334" s="255">
        <f t="shared" si="81"/>
        <v>3</v>
      </c>
      <c r="T1334" s="255">
        <f t="shared" si="81"/>
        <v>3</v>
      </c>
      <c r="U1334" s="254">
        <v>100100</v>
      </c>
      <c r="V1334" s="254" t="s">
        <v>834</v>
      </c>
      <c r="W1334" s="254" t="s">
        <v>1117</v>
      </c>
      <c r="X1334" s="254" t="s">
        <v>446</v>
      </c>
      <c r="Y1334" s="254" t="s">
        <v>843</v>
      </c>
      <c r="Z1334" s="254" t="s">
        <v>1142</v>
      </c>
      <c r="AA1334" s="254" t="s">
        <v>838</v>
      </c>
    </row>
    <row r="1335" spans="1:27" ht="14.4" x14ac:dyDescent="0.3">
      <c r="A1335" s="253">
        <v>11</v>
      </c>
      <c r="B1335" s="254" t="s">
        <v>853</v>
      </c>
      <c r="C1335" s="254">
        <v>820</v>
      </c>
      <c r="D1335" s="254" t="s">
        <v>1131</v>
      </c>
      <c r="E1335" s="254" t="e">
        <f>_xlfn.XLOOKUP(C1335,Clientes!I:I,Clientes!F:F)</f>
        <v>#N/A</v>
      </c>
      <c r="F1335" s="254">
        <v>1043</v>
      </c>
      <c r="G1335" s="254" t="s">
        <v>855</v>
      </c>
      <c r="H1335" s="254" t="s">
        <v>860</v>
      </c>
      <c r="I1335" s="255">
        <v>120000</v>
      </c>
      <c r="J1335" s="256">
        <v>120000</v>
      </c>
      <c r="K1335" s="258">
        <v>283200</v>
      </c>
      <c r="L1335" s="258">
        <v>-72456.72</v>
      </c>
      <c r="M1335" s="258">
        <f t="shared" si="82"/>
        <v>210743.28</v>
      </c>
      <c r="N1335" s="258">
        <v>-48203.524705882344</v>
      </c>
      <c r="O1335" s="258">
        <v>0</v>
      </c>
      <c r="P1335" s="258">
        <v>0</v>
      </c>
      <c r="Q1335" s="258">
        <f t="shared" si="83"/>
        <v>162539.75529411767</v>
      </c>
      <c r="R1335" s="259">
        <f t="shared" si="84"/>
        <v>0.77126898325829263</v>
      </c>
      <c r="S1335" s="255">
        <f t="shared" si="81"/>
        <v>2.36</v>
      </c>
      <c r="T1335" s="255">
        <f t="shared" si="81"/>
        <v>2.36</v>
      </c>
      <c r="U1335" s="254">
        <v>100100</v>
      </c>
      <c r="V1335" s="254" t="s">
        <v>834</v>
      </c>
      <c r="W1335" s="254" t="s">
        <v>1132</v>
      </c>
      <c r="X1335" s="254" t="s">
        <v>446</v>
      </c>
      <c r="Y1335" s="254" t="s">
        <v>843</v>
      </c>
      <c r="Z1335" s="254" t="s">
        <v>1142</v>
      </c>
      <c r="AA1335" s="254" t="s">
        <v>838</v>
      </c>
    </row>
    <row r="1336" spans="1:27" ht="14.4" x14ac:dyDescent="0.3">
      <c r="A1336" s="253">
        <v>11</v>
      </c>
      <c r="B1336" s="254" t="s">
        <v>853</v>
      </c>
      <c r="C1336" s="254">
        <v>7022</v>
      </c>
      <c r="D1336" s="254" t="s">
        <v>89</v>
      </c>
      <c r="E1336" s="254" t="str">
        <f>_xlfn.XLOOKUP(C1336,Clientes!I:I,Clientes!F:F)</f>
        <v>STRATOS - ROSARIO DO CATETE</v>
      </c>
      <c r="F1336" s="254">
        <v>1043</v>
      </c>
      <c r="G1336" s="254" t="s">
        <v>887</v>
      </c>
      <c r="H1336" s="254" t="s">
        <v>860</v>
      </c>
      <c r="I1336" s="255">
        <v>180000</v>
      </c>
      <c r="J1336" s="256">
        <v>180000</v>
      </c>
      <c r="K1336" s="258">
        <v>433800</v>
      </c>
      <c r="L1336" s="258">
        <v>-30366.000000000004</v>
      </c>
      <c r="M1336" s="258">
        <f t="shared" si="82"/>
        <v>403434</v>
      </c>
      <c r="N1336" s="258">
        <v>-72305.287058823524</v>
      </c>
      <c r="O1336" s="258">
        <v>-151269.0064704</v>
      </c>
      <c r="P1336" s="258">
        <v>-75.299431751252541</v>
      </c>
      <c r="Q1336" s="258">
        <f t="shared" si="83"/>
        <v>179784.40703902525</v>
      </c>
      <c r="R1336" s="259">
        <f t="shared" si="84"/>
        <v>0.44563523907014591</v>
      </c>
      <c r="S1336" s="255">
        <f t="shared" si="81"/>
        <v>2.41</v>
      </c>
      <c r="T1336" s="255">
        <f t="shared" si="81"/>
        <v>2.41</v>
      </c>
      <c r="U1336" s="254">
        <v>100100</v>
      </c>
      <c r="V1336" s="254" t="s">
        <v>834</v>
      </c>
      <c r="W1336" s="254" t="s">
        <v>888</v>
      </c>
      <c r="X1336" s="254" t="s">
        <v>446</v>
      </c>
      <c r="Y1336" s="254" t="s">
        <v>843</v>
      </c>
      <c r="Z1336" s="254" t="s">
        <v>1142</v>
      </c>
      <c r="AA1336" s="254" t="s">
        <v>838</v>
      </c>
    </row>
    <row r="1337" spans="1:27" ht="14.4" x14ac:dyDescent="0.3">
      <c r="A1337" s="253">
        <v>11</v>
      </c>
      <c r="B1337" s="254" t="s">
        <v>853</v>
      </c>
      <c r="C1337" s="254">
        <v>1152</v>
      </c>
      <c r="D1337" s="254" t="s">
        <v>317</v>
      </c>
      <c r="E1337" s="254" t="str">
        <f>_xlfn.XLOOKUP(C1337,Clientes!I:I,Clientes!F:F)</f>
        <v>ADUBOS BOA SAFRA - ITUMBIARA</v>
      </c>
      <c r="F1337" s="254">
        <v>1043</v>
      </c>
      <c r="G1337" s="254" t="s">
        <v>867</v>
      </c>
      <c r="H1337" s="254" t="s">
        <v>860</v>
      </c>
      <c r="I1337" s="255">
        <v>15000</v>
      </c>
      <c r="J1337" s="256">
        <v>15000</v>
      </c>
      <c r="K1337" s="258">
        <v>30000</v>
      </c>
      <c r="L1337" s="258">
        <v>-2100</v>
      </c>
      <c r="M1337" s="258">
        <f t="shared" si="82"/>
        <v>27900</v>
      </c>
      <c r="N1337" s="258">
        <v>-6025.440588235293</v>
      </c>
      <c r="O1337" s="258">
        <v>-2873.13</v>
      </c>
      <c r="P1337" s="258">
        <v>-1.4302008150612806</v>
      </c>
      <c r="Q1337" s="258">
        <f t="shared" si="83"/>
        <v>18999.999210949642</v>
      </c>
      <c r="R1337" s="259">
        <f t="shared" si="84"/>
        <v>0.68100355594801587</v>
      </c>
      <c r="S1337" s="255">
        <f t="shared" si="81"/>
        <v>2</v>
      </c>
      <c r="T1337" s="255">
        <f t="shared" si="81"/>
        <v>2</v>
      </c>
      <c r="U1337" s="254">
        <v>100100</v>
      </c>
      <c r="V1337" s="254" t="s">
        <v>834</v>
      </c>
      <c r="W1337" s="254" t="s">
        <v>1015</v>
      </c>
      <c r="X1337" s="254" t="s">
        <v>446</v>
      </c>
      <c r="Y1337" s="254" t="s">
        <v>843</v>
      </c>
      <c r="Z1337" s="254" t="s">
        <v>1142</v>
      </c>
      <c r="AA1337" s="254" t="s">
        <v>838</v>
      </c>
    </row>
    <row r="1338" spans="1:27" ht="14.4" x14ac:dyDescent="0.3">
      <c r="A1338" s="253">
        <v>11</v>
      </c>
      <c r="B1338" s="254" t="s">
        <v>853</v>
      </c>
      <c r="C1338" s="254">
        <v>16652</v>
      </c>
      <c r="D1338" s="254" t="s">
        <v>1138</v>
      </c>
      <c r="E1338" s="254" t="str">
        <f>_xlfn.XLOOKUP(C1338,Clientes!I:I,Clientes!F:F)</f>
        <v>GRUPO FERTIPAR SUDESTE</v>
      </c>
      <c r="F1338" s="254">
        <v>1042</v>
      </c>
      <c r="G1338" s="254" t="s">
        <v>855</v>
      </c>
      <c r="H1338" s="254" t="s">
        <v>909</v>
      </c>
      <c r="I1338" s="255">
        <v>30000</v>
      </c>
      <c r="J1338" s="256">
        <v>30000</v>
      </c>
      <c r="K1338" s="258">
        <v>51000</v>
      </c>
      <c r="L1338" s="258">
        <v>-9180</v>
      </c>
      <c r="M1338" s="258">
        <f t="shared" si="82"/>
        <v>41820</v>
      </c>
      <c r="N1338" s="258">
        <v>-16216.018000000004</v>
      </c>
      <c r="O1338" s="258">
        <v>0</v>
      </c>
      <c r="P1338" s="258">
        <v>0</v>
      </c>
      <c r="Q1338" s="258">
        <f t="shared" si="83"/>
        <v>25603.981999999996</v>
      </c>
      <c r="R1338" s="259">
        <f t="shared" si="84"/>
        <v>0.6122425155428024</v>
      </c>
      <c r="S1338" s="255">
        <f t="shared" si="81"/>
        <v>1.7</v>
      </c>
      <c r="T1338" s="255">
        <f t="shared" si="81"/>
        <v>1.7</v>
      </c>
      <c r="U1338" s="254">
        <v>100100</v>
      </c>
      <c r="V1338" s="254" t="s">
        <v>834</v>
      </c>
      <c r="W1338" s="254" t="s">
        <v>1139</v>
      </c>
      <c r="X1338" s="254" t="s">
        <v>446</v>
      </c>
      <c r="Y1338" s="254" t="s">
        <v>843</v>
      </c>
      <c r="Z1338" s="254" t="s">
        <v>1142</v>
      </c>
      <c r="AA1338" s="254" t="s">
        <v>838</v>
      </c>
    </row>
    <row r="1339" spans="1:27" ht="14.4" x14ac:dyDescent="0.3">
      <c r="A1339" s="253">
        <v>11</v>
      </c>
      <c r="B1339" s="254" t="s">
        <v>853</v>
      </c>
      <c r="C1339" s="254">
        <v>2287</v>
      </c>
      <c r="D1339" s="254" t="s">
        <v>114</v>
      </c>
      <c r="E1339" s="254" t="str">
        <f>_xlfn.XLOOKUP(C1339,Clientes!I:I,Clientes!F:F)</f>
        <v>BUNGE PARAGUAY S.A</v>
      </c>
      <c r="F1339" s="254">
        <v>4067</v>
      </c>
      <c r="G1339" s="254" t="s">
        <v>832</v>
      </c>
      <c r="H1339" s="254" t="s">
        <v>881</v>
      </c>
      <c r="I1339" s="255">
        <v>30000</v>
      </c>
      <c r="J1339" s="256">
        <v>30000</v>
      </c>
      <c r="K1339" s="258">
        <v>159000</v>
      </c>
      <c r="L1339" s="258">
        <v>0</v>
      </c>
      <c r="M1339" s="258">
        <f t="shared" si="82"/>
        <v>159000</v>
      </c>
      <c r="N1339" s="258">
        <v>-46215.96</v>
      </c>
      <c r="O1339" s="258">
        <v>-35721.999999999898</v>
      </c>
      <c r="P1339" s="258">
        <v>-10717.961240979113</v>
      </c>
      <c r="Q1339" s="258">
        <f t="shared" si="83"/>
        <v>66344.078759020995</v>
      </c>
      <c r="R1339" s="259">
        <f t="shared" si="84"/>
        <v>0.41725835697497482</v>
      </c>
      <c r="S1339" s="255">
        <f t="shared" si="81"/>
        <v>5.3</v>
      </c>
      <c r="T1339" s="255">
        <f t="shared" si="81"/>
        <v>5.3</v>
      </c>
      <c r="U1339" s="254">
        <v>100100</v>
      </c>
      <c r="V1339" s="254" t="s">
        <v>834</v>
      </c>
      <c r="W1339" s="254" t="s">
        <v>882</v>
      </c>
      <c r="X1339" s="254" t="s">
        <v>446</v>
      </c>
      <c r="Y1339" s="254" t="s">
        <v>836</v>
      </c>
      <c r="Z1339" s="254" t="s">
        <v>1142</v>
      </c>
      <c r="AA1339" s="254" t="s">
        <v>838</v>
      </c>
    </row>
    <row r="1340" spans="1:27" ht="14.4" x14ac:dyDescent="0.3">
      <c r="A1340" s="253">
        <v>11</v>
      </c>
      <c r="B1340" s="254" t="s">
        <v>853</v>
      </c>
      <c r="C1340" s="254">
        <v>6315</v>
      </c>
      <c r="D1340" s="254" t="s">
        <v>86</v>
      </c>
      <c r="E1340" s="254" t="str">
        <f>_xlfn.XLOOKUP(C1340,Clientes!I:I,Clientes!F:F)</f>
        <v>ONNO LOGISTICA  LTDA</v>
      </c>
      <c r="F1340" s="254">
        <v>13954</v>
      </c>
      <c r="G1340" s="254" t="s">
        <v>840</v>
      </c>
      <c r="H1340" s="254" t="s">
        <v>1133</v>
      </c>
      <c r="I1340" s="255">
        <v>120000</v>
      </c>
      <c r="J1340" s="256">
        <v>120000</v>
      </c>
      <c r="K1340" s="258">
        <v>180000</v>
      </c>
      <c r="L1340" s="258">
        <v>0</v>
      </c>
      <c r="M1340" s="258">
        <f t="shared" si="82"/>
        <v>180000</v>
      </c>
      <c r="N1340" s="258">
        <v>-42302.680000000008</v>
      </c>
      <c r="O1340" s="258">
        <v>-47923.808400000002</v>
      </c>
      <c r="P1340" s="258">
        <v>-23.855749595222161</v>
      </c>
      <c r="Q1340" s="258">
        <f t="shared" si="83"/>
        <v>89749.655850404772</v>
      </c>
      <c r="R1340" s="259">
        <f t="shared" si="84"/>
        <v>0.49860919916891538</v>
      </c>
      <c r="S1340" s="255">
        <f t="shared" si="81"/>
        <v>1.5</v>
      </c>
      <c r="T1340" s="255">
        <f t="shared" si="81"/>
        <v>1.5</v>
      </c>
      <c r="U1340" s="254">
        <v>100100</v>
      </c>
      <c r="V1340" s="254" t="s">
        <v>834</v>
      </c>
      <c r="W1340" s="254" t="s">
        <v>861</v>
      </c>
      <c r="X1340" s="254" t="s">
        <v>446</v>
      </c>
      <c r="Y1340" s="254" t="s">
        <v>843</v>
      </c>
      <c r="Z1340" s="254" t="s">
        <v>1142</v>
      </c>
      <c r="AA1340" s="254" t="s">
        <v>838</v>
      </c>
    </row>
    <row r="1341" spans="1:27" ht="14.4" x14ac:dyDescent="0.3">
      <c r="A1341" s="253">
        <v>11</v>
      </c>
      <c r="B1341" s="254" t="s">
        <v>853</v>
      </c>
      <c r="C1341" s="254">
        <v>7648</v>
      </c>
      <c r="D1341" s="254" t="s">
        <v>958</v>
      </c>
      <c r="E1341" s="254" t="str">
        <f>_xlfn.XLOOKUP(C1341,Clientes!I:I,Clientes!F:F)</f>
        <v>GRUPO LOUIS DREYFUS</v>
      </c>
      <c r="F1341" s="254">
        <v>14133</v>
      </c>
      <c r="G1341" s="254" t="s">
        <v>862</v>
      </c>
      <c r="H1341" s="254" t="s">
        <v>841</v>
      </c>
      <c r="I1341" s="255">
        <v>13200</v>
      </c>
      <c r="J1341" s="256">
        <v>13200</v>
      </c>
      <c r="K1341" s="258">
        <v>37092</v>
      </c>
      <c r="L1341" s="258">
        <v>-4451.04</v>
      </c>
      <c r="M1341" s="258">
        <f t="shared" si="82"/>
        <v>32640.959999999999</v>
      </c>
      <c r="N1341" s="258">
        <v>-15296.11415568863</v>
      </c>
      <c r="O1341" s="258">
        <v>-9623.6718130238405</v>
      </c>
      <c r="P1341" s="258">
        <v>-4.790518796876218</v>
      </c>
      <c r="Q1341" s="258">
        <f t="shared" si="83"/>
        <v>7716.3835124906536</v>
      </c>
      <c r="R1341" s="259">
        <f t="shared" si="84"/>
        <v>0.23640185559771079</v>
      </c>
      <c r="S1341" s="255">
        <f t="shared" si="81"/>
        <v>2.81</v>
      </c>
      <c r="T1341" s="255">
        <f t="shared" si="81"/>
        <v>2.81</v>
      </c>
      <c r="U1341" s="254">
        <v>100100</v>
      </c>
      <c r="V1341" s="254" t="s">
        <v>834</v>
      </c>
      <c r="W1341" s="254" t="s">
        <v>864</v>
      </c>
      <c r="X1341" s="254" t="s">
        <v>446</v>
      </c>
      <c r="Y1341" s="254" t="s">
        <v>843</v>
      </c>
      <c r="Z1341" s="254" t="s">
        <v>1142</v>
      </c>
      <c r="AA1341" s="254" t="s">
        <v>838</v>
      </c>
    </row>
    <row r="1342" spans="1:27" ht="14.4" x14ac:dyDescent="0.3">
      <c r="A1342" s="253">
        <v>11</v>
      </c>
      <c r="B1342" s="254" t="s">
        <v>853</v>
      </c>
      <c r="C1342" s="254">
        <v>16099</v>
      </c>
      <c r="D1342" s="254" t="s">
        <v>1118</v>
      </c>
      <c r="E1342" s="254" t="str">
        <f>_xlfn.XLOOKUP(C1342,Clientes!I:I,Clientes!F:F)</f>
        <v>GRUPO MOSAIC FERTILIZANTES DO BRASIL</v>
      </c>
      <c r="F1342" s="254">
        <v>1043</v>
      </c>
      <c r="G1342" s="254" t="s">
        <v>974</v>
      </c>
      <c r="H1342" s="254" t="s">
        <v>860</v>
      </c>
      <c r="I1342" s="255">
        <v>30000</v>
      </c>
      <c r="J1342" s="256">
        <v>30000</v>
      </c>
      <c r="K1342" s="258">
        <v>65700</v>
      </c>
      <c r="L1342" s="258">
        <v>-4599</v>
      </c>
      <c r="M1342" s="258">
        <f t="shared" si="82"/>
        <v>61101</v>
      </c>
      <c r="N1342" s="258">
        <v>-12050.881176470586</v>
      </c>
      <c r="O1342" s="258">
        <v>0</v>
      </c>
      <c r="P1342" s="258">
        <v>0</v>
      </c>
      <c r="Q1342" s="258">
        <f t="shared" si="83"/>
        <v>49050.11882352941</v>
      </c>
      <c r="R1342" s="259">
        <f t="shared" si="84"/>
        <v>0.80277113015383395</v>
      </c>
      <c r="S1342" s="255">
        <f t="shared" si="81"/>
        <v>2.19</v>
      </c>
      <c r="T1342" s="255">
        <f t="shared" si="81"/>
        <v>2.19</v>
      </c>
      <c r="U1342" s="254">
        <v>100100</v>
      </c>
      <c r="V1342" s="254" t="s">
        <v>834</v>
      </c>
      <c r="W1342" s="254" t="s">
        <v>1119</v>
      </c>
      <c r="X1342" s="254" t="s">
        <v>446</v>
      </c>
      <c r="Y1342" s="254" t="s">
        <v>843</v>
      </c>
      <c r="Z1342" s="254" t="s">
        <v>1142</v>
      </c>
      <c r="AA1342" s="254" t="s">
        <v>838</v>
      </c>
    </row>
    <row r="1343" spans="1:27" ht="14.4" x14ac:dyDescent="0.3">
      <c r="A1343" s="253">
        <v>11</v>
      </c>
      <c r="B1343" s="254" t="s">
        <v>853</v>
      </c>
      <c r="C1343" s="254">
        <v>7102</v>
      </c>
      <c r="D1343" s="254" t="s">
        <v>906</v>
      </c>
      <c r="E1343" s="254" t="str">
        <f>_xlfn.XLOOKUP(C1343,Clientes!I:I,Clientes!F:F)</f>
        <v>GRUPO MOSAIC FERTILIZANTES DO BRASIL</v>
      </c>
      <c r="F1343" s="254">
        <v>1043</v>
      </c>
      <c r="G1343" s="254" t="s">
        <v>840</v>
      </c>
      <c r="H1343" s="254" t="s">
        <v>860</v>
      </c>
      <c r="I1343" s="255">
        <v>30000</v>
      </c>
      <c r="J1343" s="256">
        <v>30000</v>
      </c>
      <c r="K1343" s="258">
        <v>61200</v>
      </c>
      <c r="L1343" s="258">
        <v>-4284</v>
      </c>
      <c r="M1343" s="258">
        <f t="shared" si="82"/>
        <v>56916</v>
      </c>
      <c r="N1343" s="258">
        <v>-12050.881176470586</v>
      </c>
      <c r="O1343" s="258">
        <v>-11980.9521</v>
      </c>
      <c r="P1343" s="258">
        <v>-5.9639373988055402</v>
      </c>
      <c r="Q1343" s="258">
        <f t="shared" si="83"/>
        <v>32878.202786130605</v>
      </c>
      <c r="R1343" s="259">
        <f t="shared" si="84"/>
        <v>0.57766186636676164</v>
      </c>
      <c r="S1343" s="255">
        <f t="shared" si="81"/>
        <v>2.04</v>
      </c>
      <c r="T1343" s="255">
        <f t="shared" si="81"/>
        <v>2.04</v>
      </c>
      <c r="U1343" s="254">
        <v>100100</v>
      </c>
      <c r="V1343" s="254" t="s">
        <v>834</v>
      </c>
      <c r="W1343" s="254" t="s">
        <v>861</v>
      </c>
      <c r="X1343" s="254" t="s">
        <v>446</v>
      </c>
      <c r="Y1343" s="254" t="s">
        <v>843</v>
      </c>
      <c r="Z1343" s="254" t="s">
        <v>1142</v>
      </c>
      <c r="AA1343" s="254" t="s">
        <v>838</v>
      </c>
    </row>
    <row r="1344" spans="1:27" ht="14.4" x14ac:dyDescent="0.3">
      <c r="A1344" s="253">
        <v>11</v>
      </c>
      <c r="B1344" s="254" t="s">
        <v>853</v>
      </c>
      <c r="C1344" s="254">
        <v>10492</v>
      </c>
      <c r="D1344" s="254" t="s">
        <v>101</v>
      </c>
      <c r="E1344" s="254" t="str">
        <f>_xlfn.XLOOKUP(C1344,Clientes!I:I,Clientes!F:F)</f>
        <v>GRUPO UNIFERTIL</v>
      </c>
      <c r="F1344" s="254">
        <v>3</v>
      </c>
      <c r="G1344" s="254" t="s">
        <v>877</v>
      </c>
      <c r="H1344" s="254" t="s">
        <v>879</v>
      </c>
      <c r="I1344" s="255">
        <v>64000</v>
      </c>
      <c r="J1344" s="256">
        <v>64000</v>
      </c>
      <c r="K1344" s="258">
        <v>165760</v>
      </c>
      <c r="L1344" s="258">
        <v>-19891.2</v>
      </c>
      <c r="M1344" s="258">
        <f t="shared" si="82"/>
        <v>145868.79999999999</v>
      </c>
      <c r="N1344" s="258">
        <v>-50204.68</v>
      </c>
      <c r="O1344" s="258">
        <v>-52099.423999999999</v>
      </c>
      <c r="P1344" s="258">
        <v>-25.934308113111221</v>
      </c>
      <c r="Q1344" s="258">
        <f t="shared" si="83"/>
        <v>43538.761691886888</v>
      </c>
      <c r="R1344" s="259">
        <f t="shared" si="84"/>
        <v>0.2984789186713464</v>
      </c>
      <c r="S1344" s="255">
        <f t="shared" si="81"/>
        <v>2.59</v>
      </c>
      <c r="T1344" s="255">
        <f t="shared" si="81"/>
        <v>2.59</v>
      </c>
      <c r="U1344" s="254">
        <v>100100</v>
      </c>
      <c r="V1344" s="254" t="s">
        <v>834</v>
      </c>
      <c r="W1344" s="254" t="s">
        <v>878</v>
      </c>
      <c r="X1344" s="254" t="s">
        <v>446</v>
      </c>
      <c r="Y1344" s="254" t="s">
        <v>843</v>
      </c>
      <c r="Z1344" s="254" t="s">
        <v>1142</v>
      </c>
      <c r="AA1344" s="254" t="s">
        <v>838</v>
      </c>
    </row>
    <row r="1345" spans="1:27" ht="14.4" x14ac:dyDescent="0.3">
      <c r="A1345" s="253">
        <v>11</v>
      </c>
      <c r="B1345" s="254" t="s">
        <v>853</v>
      </c>
      <c r="C1345" s="254">
        <v>2975</v>
      </c>
      <c r="D1345" s="254" t="s">
        <v>420</v>
      </c>
      <c r="E1345" s="254" t="str">
        <f>_xlfn.XLOOKUP(C1345,Clientes!I:I,Clientes!F:F)</f>
        <v>COONAGRO COOPERATIVA - PARANAGUA</v>
      </c>
      <c r="F1345" s="254">
        <v>4</v>
      </c>
      <c r="G1345" s="254" t="s">
        <v>862</v>
      </c>
      <c r="H1345" s="254" t="s">
        <v>863</v>
      </c>
      <c r="I1345" s="255">
        <v>15000</v>
      </c>
      <c r="J1345" s="256">
        <v>15000</v>
      </c>
      <c r="K1345" s="258">
        <v>59850</v>
      </c>
      <c r="L1345" s="258">
        <v>-7182</v>
      </c>
      <c r="M1345" s="258">
        <f t="shared" si="82"/>
        <v>52668</v>
      </c>
      <c r="N1345" s="258">
        <v>-14681.250000000002</v>
      </c>
      <c r="O1345" s="258">
        <v>-10935.990696618001</v>
      </c>
      <c r="P1345" s="258">
        <v>-5.4437713600866111</v>
      </c>
      <c r="Q1345" s="258">
        <f t="shared" si="83"/>
        <v>27045.315532021916</v>
      </c>
      <c r="R1345" s="259">
        <f t="shared" si="84"/>
        <v>0.51350564919917052</v>
      </c>
      <c r="S1345" s="255">
        <f t="shared" si="81"/>
        <v>3.99</v>
      </c>
      <c r="T1345" s="255">
        <f t="shared" si="81"/>
        <v>3.99</v>
      </c>
      <c r="U1345" s="254">
        <v>100100</v>
      </c>
      <c r="V1345" s="254" t="s">
        <v>834</v>
      </c>
      <c r="W1345" s="254" t="s">
        <v>864</v>
      </c>
      <c r="X1345" s="254" t="s">
        <v>446</v>
      </c>
      <c r="Y1345" s="254" t="s">
        <v>843</v>
      </c>
      <c r="Z1345" s="254" t="s">
        <v>1142</v>
      </c>
      <c r="AA1345" s="254" t="s">
        <v>838</v>
      </c>
    </row>
    <row r="1346" spans="1:27" ht="14.4" x14ac:dyDescent="0.3">
      <c r="A1346" s="253">
        <v>11</v>
      </c>
      <c r="B1346" s="254" t="s">
        <v>853</v>
      </c>
      <c r="C1346" s="254">
        <v>466</v>
      </c>
      <c r="D1346" s="254" t="s">
        <v>40</v>
      </c>
      <c r="E1346" s="254" t="str">
        <f>_xlfn.XLOOKUP(C1346,Clientes!I:I,Clientes!F:F)</f>
        <v>GRUPO ADUBOS ARAGUAIA</v>
      </c>
      <c r="F1346" s="254">
        <v>1</v>
      </c>
      <c r="G1346" s="254" t="s">
        <v>840</v>
      </c>
      <c r="H1346" s="254" t="s">
        <v>873</v>
      </c>
      <c r="I1346" s="255">
        <v>30000</v>
      </c>
      <c r="J1346" s="256">
        <v>30000</v>
      </c>
      <c r="K1346" s="258">
        <v>72900</v>
      </c>
      <c r="L1346" s="258">
        <v>-5103.0000000000009</v>
      </c>
      <c r="M1346" s="258">
        <f t="shared" si="82"/>
        <v>67797</v>
      </c>
      <c r="N1346" s="258">
        <v>-21763.572000000004</v>
      </c>
      <c r="O1346" s="258">
        <v>-21002.580299999998</v>
      </c>
      <c r="P1346" s="258">
        <v>-10.45476795809796</v>
      </c>
      <c r="Q1346" s="258">
        <f t="shared" si="83"/>
        <v>25020.392932041905</v>
      </c>
      <c r="R1346" s="259">
        <f t="shared" si="84"/>
        <v>0.36904867371774419</v>
      </c>
      <c r="S1346" s="255">
        <f t="shared" si="81"/>
        <v>2.4300000000000002</v>
      </c>
      <c r="T1346" s="255">
        <f t="shared" si="81"/>
        <v>2.4300000000000002</v>
      </c>
      <c r="U1346" s="254">
        <v>100100</v>
      </c>
      <c r="V1346" s="254" t="s">
        <v>834</v>
      </c>
      <c r="W1346" s="254" t="s">
        <v>874</v>
      </c>
      <c r="X1346" s="254" t="s">
        <v>446</v>
      </c>
      <c r="Y1346" s="254" t="s">
        <v>843</v>
      </c>
      <c r="Z1346" s="254" t="s">
        <v>1142</v>
      </c>
      <c r="AA1346" s="254" t="s">
        <v>838</v>
      </c>
    </row>
    <row r="1347" spans="1:27" ht="14.4" x14ac:dyDescent="0.3">
      <c r="A1347" s="253">
        <v>11</v>
      </c>
      <c r="B1347" s="254" t="s">
        <v>853</v>
      </c>
      <c r="C1347" s="254">
        <v>43</v>
      </c>
      <c r="D1347" s="254" t="s">
        <v>674</v>
      </c>
      <c r="E1347" s="254" t="str">
        <f>_xlfn.XLOOKUP(C1347,Clientes!I:I,Clientes!F:F)</f>
        <v>GRUPO CIBRA</v>
      </c>
      <c r="F1347" s="254">
        <v>148</v>
      </c>
      <c r="G1347" s="254" t="s">
        <v>875</v>
      </c>
      <c r="H1347" s="254" t="s">
        <v>904</v>
      </c>
      <c r="I1347" s="255">
        <v>120000</v>
      </c>
      <c r="J1347" s="256">
        <v>120000</v>
      </c>
      <c r="K1347" s="258">
        <v>284400</v>
      </c>
      <c r="L1347" s="258">
        <v>-19908.000000000004</v>
      </c>
      <c r="M1347" s="258">
        <f t="shared" si="82"/>
        <v>264492</v>
      </c>
      <c r="N1347" s="258">
        <v>-80635.375862068977</v>
      </c>
      <c r="O1347" s="258">
        <v>-83049.650611200006</v>
      </c>
      <c r="P1347" s="258">
        <v>-41.340864490883753</v>
      </c>
      <c r="Q1347" s="258">
        <f t="shared" si="83"/>
        <v>100765.63266224015</v>
      </c>
      <c r="R1347" s="259">
        <f t="shared" si="84"/>
        <v>0.38097799805756</v>
      </c>
      <c r="S1347" s="255">
        <f t="shared" ref="S1347:T1410" si="85">$K1347/I1347</f>
        <v>2.37</v>
      </c>
      <c r="T1347" s="255">
        <f t="shared" si="85"/>
        <v>2.37</v>
      </c>
      <c r="U1347" s="254">
        <v>100100</v>
      </c>
      <c r="V1347" s="254" t="s">
        <v>834</v>
      </c>
      <c r="W1347" s="254" t="s">
        <v>905</v>
      </c>
      <c r="X1347" s="254" t="s">
        <v>446</v>
      </c>
      <c r="Y1347" s="254" t="s">
        <v>843</v>
      </c>
      <c r="Z1347" s="254" t="s">
        <v>1142</v>
      </c>
      <c r="AA1347" s="254" t="s">
        <v>838</v>
      </c>
    </row>
    <row r="1348" spans="1:27" ht="14.4" x14ac:dyDescent="0.3">
      <c r="A1348" s="253">
        <v>11</v>
      </c>
      <c r="B1348" s="254" t="s">
        <v>853</v>
      </c>
      <c r="C1348" s="254">
        <v>452</v>
      </c>
      <c r="D1348" s="254" t="s">
        <v>900</v>
      </c>
      <c r="E1348" s="254" t="str">
        <f>_xlfn.XLOOKUP(C1348,Clientes!I:I,Clientes!F:F)</f>
        <v>GRUPO FERTIPAR FERTILIZANTES MARANHAO</v>
      </c>
      <c r="F1348" s="254">
        <v>2</v>
      </c>
      <c r="G1348" s="254" t="s">
        <v>897</v>
      </c>
      <c r="H1348" s="254" t="s">
        <v>883</v>
      </c>
      <c r="I1348" s="255">
        <v>128000</v>
      </c>
      <c r="J1348" s="256">
        <v>128000</v>
      </c>
      <c r="K1348" s="258">
        <v>303360</v>
      </c>
      <c r="L1348" s="258">
        <v>-21235.200000000001</v>
      </c>
      <c r="M1348" s="258">
        <f t="shared" ref="M1348:M1411" si="86">SUM(K1348:L1348)</f>
        <v>282124.79999999999</v>
      </c>
      <c r="N1348" s="258">
        <v>-81238.454468085096</v>
      </c>
      <c r="O1348" s="258">
        <v>-112902.51647999999</v>
      </c>
      <c r="P1348" s="258">
        <v>-56.201171228648079</v>
      </c>
      <c r="Q1348" s="258">
        <f t="shared" ref="Q1348:Q1411" si="87">SUM(M1348:P1348)</f>
        <v>87927.627880686268</v>
      </c>
      <c r="R1348" s="259">
        <f t="shared" ref="R1348:R1411" si="88">Q1348/M1348</f>
        <v>0.31166217177889455</v>
      </c>
      <c r="S1348" s="255">
        <f t="shared" si="85"/>
        <v>2.37</v>
      </c>
      <c r="T1348" s="255">
        <f t="shared" si="85"/>
        <v>2.37</v>
      </c>
      <c r="U1348" s="254">
        <v>100100</v>
      </c>
      <c r="V1348" s="254" t="s">
        <v>834</v>
      </c>
      <c r="W1348" s="254" t="s">
        <v>899</v>
      </c>
      <c r="X1348" s="254" t="s">
        <v>446</v>
      </c>
      <c r="Y1348" s="254" t="s">
        <v>843</v>
      </c>
      <c r="Z1348" s="254" t="s">
        <v>1142</v>
      </c>
      <c r="AA1348" s="254" t="s">
        <v>838</v>
      </c>
    </row>
    <row r="1349" spans="1:27" ht="14.4" x14ac:dyDescent="0.3">
      <c r="A1349" s="253">
        <v>11</v>
      </c>
      <c r="B1349" s="254" t="s">
        <v>853</v>
      </c>
      <c r="C1349" s="254">
        <v>10598</v>
      </c>
      <c r="D1349" s="254" t="s">
        <v>292</v>
      </c>
      <c r="E1349" s="254" t="str">
        <f>_xlfn.XLOOKUP(C1349,Clientes!I:I,Clientes!F:F)</f>
        <v>GRUPO GEN FERTILIZANTES</v>
      </c>
      <c r="F1349" s="254">
        <v>1043</v>
      </c>
      <c r="G1349" s="254" t="s">
        <v>867</v>
      </c>
      <c r="H1349" s="254" t="s">
        <v>860</v>
      </c>
      <c r="I1349" s="255">
        <v>15000</v>
      </c>
      <c r="J1349" s="256">
        <v>15000</v>
      </c>
      <c r="K1349" s="258">
        <v>22500</v>
      </c>
      <c r="L1349" s="258">
        <v>-1575.0000000000002</v>
      </c>
      <c r="M1349" s="258">
        <f t="shared" si="86"/>
        <v>20925</v>
      </c>
      <c r="N1349" s="258">
        <v>-6025.440588235293</v>
      </c>
      <c r="O1349" s="258">
        <v>-3845.8221984000002</v>
      </c>
      <c r="P1349" s="258">
        <v>-1.9143923326589629</v>
      </c>
      <c r="Q1349" s="258">
        <f t="shared" si="87"/>
        <v>11051.822821032049</v>
      </c>
      <c r="R1349" s="259">
        <f t="shared" si="88"/>
        <v>0.52816357567656147</v>
      </c>
      <c r="S1349" s="255">
        <f t="shared" si="85"/>
        <v>1.5</v>
      </c>
      <c r="T1349" s="255">
        <f t="shared" si="85"/>
        <v>1.5</v>
      </c>
      <c r="U1349" s="254">
        <v>100100</v>
      </c>
      <c r="V1349" s="254" t="s">
        <v>834</v>
      </c>
      <c r="W1349" s="254" t="s">
        <v>1034</v>
      </c>
      <c r="X1349" s="254" t="s">
        <v>446</v>
      </c>
      <c r="Y1349" s="254" t="s">
        <v>843</v>
      </c>
      <c r="Z1349" s="254" t="s">
        <v>1142</v>
      </c>
      <c r="AA1349" s="254" t="s">
        <v>838</v>
      </c>
    </row>
    <row r="1350" spans="1:27" ht="14.4" x14ac:dyDescent="0.3">
      <c r="A1350" s="253">
        <v>11</v>
      </c>
      <c r="B1350" s="254" t="s">
        <v>853</v>
      </c>
      <c r="C1350" s="254">
        <v>7479</v>
      </c>
      <c r="D1350" s="254" t="s">
        <v>1017</v>
      </c>
      <c r="E1350" s="254" t="str">
        <f>_xlfn.XLOOKUP(C1350,Clientes!I:I,Clientes!F:F)</f>
        <v>GRUPO MOSAIC FERTILIZANTES DO BRASIL</v>
      </c>
      <c r="F1350" s="254">
        <v>1043</v>
      </c>
      <c r="G1350" s="254" t="s">
        <v>908</v>
      </c>
      <c r="H1350" s="254" t="s">
        <v>860</v>
      </c>
      <c r="I1350" s="255">
        <v>30000</v>
      </c>
      <c r="J1350" s="256">
        <v>30000</v>
      </c>
      <c r="K1350" s="258">
        <v>64800</v>
      </c>
      <c r="L1350" s="258">
        <v>-7776</v>
      </c>
      <c r="M1350" s="258">
        <f t="shared" si="86"/>
        <v>57024</v>
      </c>
      <c r="N1350" s="258">
        <v>-12050.881176470586</v>
      </c>
      <c r="O1350" s="258">
        <v>0</v>
      </c>
      <c r="P1350" s="258">
        <v>0</v>
      </c>
      <c r="Q1350" s="258">
        <f t="shared" si="87"/>
        <v>44973.11882352941</v>
      </c>
      <c r="R1350" s="259">
        <f t="shared" si="88"/>
        <v>0.78867001303888551</v>
      </c>
      <c r="S1350" s="255">
        <f t="shared" si="85"/>
        <v>2.16</v>
      </c>
      <c r="T1350" s="255">
        <f t="shared" si="85"/>
        <v>2.16</v>
      </c>
      <c r="U1350" s="254">
        <v>100100</v>
      </c>
      <c r="V1350" s="254" t="s">
        <v>834</v>
      </c>
      <c r="W1350" s="254" t="s">
        <v>1018</v>
      </c>
      <c r="X1350" s="254" t="s">
        <v>446</v>
      </c>
      <c r="Y1350" s="254" t="s">
        <v>843</v>
      </c>
      <c r="Z1350" s="254" t="s">
        <v>1142</v>
      </c>
      <c r="AA1350" s="254" t="s">
        <v>838</v>
      </c>
    </row>
    <row r="1351" spans="1:27" ht="14.4" x14ac:dyDescent="0.3">
      <c r="A1351" s="253">
        <v>11</v>
      </c>
      <c r="B1351" s="254" t="s">
        <v>853</v>
      </c>
      <c r="C1351" s="254">
        <v>729</v>
      </c>
      <c r="D1351" s="254" t="s">
        <v>937</v>
      </c>
      <c r="E1351" s="254" t="str">
        <f>_xlfn.XLOOKUP(C1351,Clientes!I:I,Clientes!F:F)</f>
        <v>GRUPO FERTILIZ TOCANTINS</v>
      </c>
      <c r="F1351" s="254">
        <v>113</v>
      </c>
      <c r="G1351" s="254" t="s">
        <v>897</v>
      </c>
      <c r="H1351" s="254" t="s">
        <v>913</v>
      </c>
      <c r="I1351" s="255">
        <v>30000</v>
      </c>
      <c r="J1351" s="256">
        <v>30000</v>
      </c>
      <c r="K1351" s="258">
        <v>86700</v>
      </c>
      <c r="L1351" s="258">
        <v>-6069.0000000000009</v>
      </c>
      <c r="M1351" s="258">
        <f t="shared" si="86"/>
        <v>80631</v>
      </c>
      <c r="N1351" s="258">
        <v>-27044.233576642335</v>
      </c>
      <c r="O1351" s="258">
        <v>-26461.527299999998</v>
      </c>
      <c r="P1351" s="258">
        <v>-13.172149506714394</v>
      </c>
      <c r="Q1351" s="258">
        <f t="shared" si="87"/>
        <v>27112.066973850953</v>
      </c>
      <c r="R1351" s="259">
        <f t="shared" si="88"/>
        <v>0.33624867574321232</v>
      </c>
      <c r="S1351" s="255">
        <f t="shared" si="85"/>
        <v>2.89</v>
      </c>
      <c r="T1351" s="255">
        <f t="shared" si="85"/>
        <v>2.89</v>
      </c>
      <c r="U1351" s="254">
        <v>100200</v>
      </c>
      <c r="V1351" s="254" t="s">
        <v>912</v>
      </c>
      <c r="W1351" s="254" t="s">
        <v>899</v>
      </c>
      <c r="X1351" s="254" t="s">
        <v>446</v>
      </c>
      <c r="Y1351" s="254" t="s">
        <v>843</v>
      </c>
      <c r="Z1351" s="254" t="s">
        <v>1142</v>
      </c>
      <c r="AA1351" s="254" t="s">
        <v>838</v>
      </c>
    </row>
    <row r="1352" spans="1:27" ht="14.4" x14ac:dyDescent="0.3">
      <c r="A1352" s="253">
        <v>11</v>
      </c>
      <c r="B1352" s="254" t="s">
        <v>853</v>
      </c>
      <c r="C1352" s="254">
        <v>252</v>
      </c>
      <c r="D1352" s="254" t="s">
        <v>37</v>
      </c>
      <c r="E1352" s="254" t="str">
        <f>_xlfn.XLOOKUP(C1352,Clientes!I:I,Clientes!F:F)</f>
        <v>GRUPO FERTIPAR FERTILIZANTES PARANA</v>
      </c>
      <c r="F1352" s="254">
        <v>10343</v>
      </c>
      <c r="G1352" s="254" t="s">
        <v>862</v>
      </c>
      <c r="H1352" s="254" t="s">
        <v>911</v>
      </c>
      <c r="I1352" s="255">
        <v>30000</v>
      </c>
      <c r="J1352" s="256">
        <v>30000</v>
      </c>
      <c r="K1352" s="258">
        <v>112800</v>
      </c>
      <c r="L1352" s="258">
        <v>-13536</v>
      </c>
      <c r="M1352" s="258">
        <f t="shared" si="86"/>
        <v>99264</v>
      </c>
      <c r="N1352" s="258">
        <v>-52126.35</v>
      </c>
      <c r="O1352" s="258">
        <v>-14049.6057</v>
      </c>
      <c r="P1352" s="258">
        <v>-6.9936819856496619</v>
      </c>
      <c r="Q1352" s="258">
        <f t="shared" si="87"/>
        <v>33081.050618014349</v>
      </c>
      <c r="R1352" s="259">
        <f t="shared" si="88"/>
        <v>0.33326332424659844</v>
      </c>
      <c r="S1352" s="255">
        <f t="shared" si="85"/>
        <v>3.76</v>
      </c>
      <c r="T1352" s="255">
        <f t="shared" si="85"/>
        <v>3.76</v>
      </c>
      <c r="U1352" s="254">
        <v>100200</v>
      </c>
      <c r="V1352" s="254" t="s">
        <v>912</v>
      </c>
      <c r="W1352" s="254" t="s">
        <v>864</v>
      </c>
      <c r="X1352" s="254" t="s">
        <v>446</v>
      </c>
      <c r="Y1352" s="254" t="s">
        <v>843</v>
      </c>
      <c r="Z1352" s="254" t="s">
        <v>1142</v>
      </c>
      <c r="AA1352" s="254" t="s">
        <v>838</v>
      </c>
    </row>
    <row r="1353" spans="1:27" ht="14.4" x14ac:dyDescent="0.3">
      <c r="A1353" s="253">
        <v>11</v>
      </c>
      <c r="B1353" s="254" t="s">
        <v>853</v>
      </c>
      <c r="C1353" s="254">
        <v>214</v>
      </c>
      <c r="D1353" s="254" t="s">
        <v>149</v>
      </c>
      <c r="E1353" s="254" t="str">
        <f>_xlfn.XLOOKUP(C1353,Clientes!I:I,Clientes!F:F)</f>
        <v>GRUPO UNIFERTIL</v>
      </c>
      <c r="F1353" s="254">
        <v>113</v>
      </c>
      <c r="G1353" s="254" t="s">
        <v>877</v>
      </c>
      <c r="H1353" s="254" t="s">
        <v>913</v>
      </c>
      <c r="I1353" s="255">
        <v>60000</v>
      </c>
      <c r="J1353" s="256">
        <v>60000</v>
      </c>
      <c r="K1353" s="258">
        <v>185400</v>
      </c>
      <c r="L1353" s="258">
        <v>-22248</v>
      </c>
      <c r="M1353" s="258">
        <f t="shared" si="86"/>
        <v>163152</v>
      </c>
      <c r="N1353" s="258">
        <v>-54088.46715328467</v>
      </c>
      <c r="O1353" s="258">
        <v>-48383.509199999993</v>
      </c>
      <c r="P1353" s="258">
        <v>-24.08458172563196</v>
      </c>
      <c r="Q1353" s="258">
        <f t="shared" si="87"/>
        <v>60655.939064989703</v>
      </c>
      <c r="R1353" s="259">
        <f t="shared" si="88"/>
        <v>0.37177563906657413</v>
      </c>
      <c r="S1353" s="255">
        <f t="shared" si="85"/>
        <v>3.09</v>
      </c>
      <c r="T1353" s="255">
        <f t="shared" si="85"/>
        <v>3.09</v>
      </c>
      <c r="U1353" s="254">
        <v>100200</v>
      </c>
      <c r="V1353" s="254" t="s">
        <v>912</v>
      </c>
      <c r="W1353" s="254" t="s">
        <v>880</v>
      </c>
      <c r="X1353" s="254" t="s">
        <v>446</v>
      </c>
      <c r="Y1353" s="254" t="s">
        <v>843</v>
      </c>
      <c r="Z1353" s="254" t="s">
        <v>1142</v>
      </c>
      <c r="AA1353" s="254" t="s">
        <v>838</v>
      </c>
    </row>
    <row r="1354" spans="1:27" ht="14.4" x14ac:dyDescent="0.3">
      <c r="A1354" s="253">
        <v>11</v>
      </c>
      <c r="B1354" s="254" t="s">
        <v>853</v>
      </c>
      <c r="C1354" s="254">
        <v>456</v>
      </c>
      <c r="D1354" s="254" t="s">
        <v>312</v>
      </c>
      <c r="E1354" s="254" t="str">
        <f>_xlfn.XLOOKUP(C1354,Clientes!I:I,Clientes!F:F)</f>
        <v>GRUPO FERTIPAR FERTILIZANTES DO NORDESTE</v>
      </c>
      <c r="F1354" s="254">
        <v>113</v>
      </c>
      <c r="G1354" s="254" t="s">
        <v>875</v>
      </c>
      <c r="H1354" s="254" t="s">
        <v>913</v>
      </c>
      <c r="I1354" s="255">
        <v>30000</v>
      </c>
      <c r="J1354" s="256">
        <v>30000</v>
      </c>
      <c r="K1354" s="258">
        <v>100200</v>
      </c>
      <c r="L1354" s="258">
        <v>-7014.0000000000009</v>
      </c>
      <c r="M1354" s="258">
        <f t="shared" si="86"/>
        <v>93186</v>
      </c>
      <c r="N1354" s="258">
        <v>-27044.233576642335</v>
      </c>
      <c r="O1354" s="258">
        <v>-21548.474999999999</v>
      </c>
      <c r="P1354" s="258">
        <v>-10.726506112959605</v>
      </c>
      <c r="Q1354" s="258">
        <f t="shared" si="87"/>
        <v>44582.564917244708</v>
      </c>
      <c r="R1354" s="259">
        <f t="shared" si="88"/>
        <v>0.4784255673303362</v>
      </c>
      <c r="S1354" s="255">
        <f t="shared" si="85"/>
        <v>3.34</v>
      </c>
      <c r="T1354" s="255">
        <f t="shared" si="85"/>
        <v>3.34</v>
      </c>
      <c r="U1354" s="254">
        <v>100200</v>
      </c>
      <c r="V1354" s="254" t="s">
        <v>912</v>
      </c>
      <c r="W1354" s="254" t="s">
        <v>876</v>
      </c>
      <c r="X1354" s="254" t="s">
        <v>446</v>
      </c>
      <c r="Y1354" s="254" t="s">
        <v>843</v>
      </c>
      <c r="Z1354" s="254" t="s">
        <v>1142</v>
      </c>
      <c r="AA1354" s="254" t="s">
        <v>838</v>
      </c>
    </row>
    <row r="1355" spans="1:27" ht="14.4" x14ac:dyDescent="0.3">
      <c r="A1355" s="253">
        <v>11</v>
      </c>
      <c r="B1355" s="254" t="s">
        <v>853</v>
      </c>
      <c r="C1355" s="254">
        <v>10492</v>
      </c>
      <c r="D1355" s="254" t="s">
        <v>101</v>
      </c>
      <c r="E1355" s="254" t="str">
        <f>_xlfn.XLOOKUP(C1355,Clientes!I:I,Clientes!F:F)</f>
        <v>GRUPO UNIFERTIL</v>
      </c>
      <c r="F1355" s="254">
        <v>113</v>
      </c>
      <c r="G1355" s="254" t="s">
        <v>877</v>
      </c>
      <c r="H1355" s="254" t="s">
        <v>913</v>
      </c>
      <c r="I1355" s="255">
        <v>64000</v>
      </c>
      <c r="J1355" s="256">
        <v>64000</v>
      </c>
      <c r="K1355" s="258">
        <v>197760</v>
      </c>
      <c r="L1355" s="258">
        <v>-23731.200000000001</v>
      </c>
      <c r="M1355" s="258">
        <f t="shared" si="86"/>
        <v>174028.79999999999</v>
      </c>
      <c r="N1355" s="258">
        <v>-57694.364963503642</v>
      </c>
      <c r="O1355" s="258">
        <v>-52099.423999999999</v>
      </c>
      <c r="P1355" s="258">
        <v>-25.934308113111221</v>
      </c>
      <c r="Q1355" s="258">
        <f t="shared" si="87"/>
        <v>64209.076728383239</v>
      </c>
      <c r="R1355" s="259">
        <f t="shared" si="88"/>
        <v>0.36895661366614746</v>
      </c>
      <c r="S1355" s="255">
        <f t="shared" si="85"/>
        <v>3.09</v>
      </c>
      <c r="T1355" s="255">
        <f t="shared" si="85"/>
        <v>3.09</v>
      </c>
      <c r="U1355" s="254">
        <v>100200</v>
      </c>
      <c r="V1355" s="254" t="s">
        <v>912</v>
      </c>
      <c r="W1355" s="254" t="s">
        <v>878</v>
      </c>
      <c r="X1355" s="254" t="s">
        <v>446</v>
      </c>
      <c r="Y1355" s="254" t="s">
        <v>843</v>
      </c>
      <c r="Z1355" s="254" t="s">
        <v>1142</v>
      </c>
      <c r="AA1355" s="254" t="s">
        <v>838</v>
      </c>
    </row>
    <row r="1356" spans="1:27" ht="14.4" x14ac:dyDescent="0.3">
      <c r="A1356" s="253">
        <v>11</v>
      </c>
      <c r="B1356" s="254" t="s">
        <v>853</v>
      </c>
      <c r="C1356" s="254">
        <v>14632</v>
      </c>
      <c r="D1356" s="254" t="s">
        <v>399</v>
      </c>
      <c r="E1356" s="254" t="str">
        <f>_xlfn.XLOOKUP(C1356,Clientes!I:I,Clientes!F:F)</f>
        <v>BIGFERTIL - CANDEIAS</v>
      </c>
      <c r="F1356" s="254">
        <v>113</v>
      </c>
      <c r="G1356" s="254" t="s">
        <v>875</v>
      </c>
      <c r="H1356" s="254" t="s">
        <v>913</v>
      </c>
      <c r="I1356" s="255">
        <v>30000</v>
      </c>
      <c r="J1356" s="256">
        <v>30000</v>
      </c>
      <c r="K1356" s="258">
        <v>109500</v>
      </c>
      <c r="L1356" s="258">
        <v>-7665.0000000000009</v>
      </c>
      <c r="M1356" s="258">
        <f t="shared" si="86"/>
        <v>101835</v>
      </c>
      <c r="N1356" s="258">
        <v>-27044.233576642335</v>
      </c>
      <c r="O1356" s="258">
        <v>-21548.474999999999</v>
      </c>
      <c r="P1356" s="258">
        <v>-10.726506112959605</v>
      </c>
      <c r="Q1356" s="258">
        <f t="shared" si="87"/>
        <v>53231.564917244708</v>
      </c>
      <c r="R1356" s="259">
        <f t="shared" si="88"/>
        <v>0.52272366983104734</v>
      </c>
      <c r="S1356" s="255">
        <f t="shared" si="85"/>
        <v>3.65</v>
      </c>
      <c r="T1356" s="255">
        <f t="shared" si="85"/>
        <v>3.65</v>
      </c>
      <c r="U1356" s="254">
        <v>100200</v>
      </c>
      <c r="V1356" s="254" t="s">
        <v>912</v>
      </c>
      <c r="W1356" s="254" t="s">
        <v>876</v>
      </c>
      <c r="X1356" s="254" t="s">
        <v>446</v>
      </c>
      <c r="Y1356" s="254" t="s">
        <v>843</v>
      </c>
      <c r="Z1356" s="254" t="s">
        <v>1142</v>
      </c>
      <c r="AA1356" s="254" t="s">
        <v>838</v>
      </c>
    </row>
    <row r="1357" spans="1:27" ht="14.4" x14ac:dyDescent="0.3">
      <c r="A1357" s="253">
        <v>11</v>
      </c>
      <c r="B1357" s="254" t="s">
        <v>853</v>
      </c>
      <c r="C1357" s="254">
        <v>452</v>
      </c>
      <c r="D1357" s="254" t="s">
        <v>900</v>
      </c>
      <c r="E1357" s="254" t="str">
        <f>_xlfn.XLOOKUP(C1357,Clientes!I:I,Clientes!F:F)</f>
        <v>GRUPO FERTIPAR FERTILIZANTES MARANHAO</v>
      </c>
      <c r="F1357" s="254">
        <v>113</v>
      </c>
      <c r="G1357" s="254" t="s">
        <v>897</v>
      </c>
      <c r="H1357" s="254" t="s">
        <v>913</v>
      </c>
      <c r="I1357" s="255">
        <v>60000</v>
      </c>
      <c r="J1357" s="256">
        <v>60000</v>
      </c>
      <c r="K1357" s="258">
        <v>211200</v>
      </c>
      <c r="L1357" s="258">
        <v>-14784.000000000002</v>
      </c>
      <c r="M1357" s="258">
        <f t="shared" si="86"/>
        <v>196416</v>
      </c>
      <c r="N1357" s="258">
        <v>-54088.46715328467</v>
      </c>
      <c r="O1357" s="258">
        <v>-52923.054599999996</v>
      </c>
      <c r="P1357" s="258">
        <v>-26.344299013428788</v>
      </c>
      <c r="Q1357" s="258">
        <f t="shared" si="87"/>
        <v>89378.133947701892</v>
      </c>
      <c r="R1357" s="259">
        <f t="shared" si="88"/>
        <v>0.45504507752780776</v>
      </c>
      <c r="S1357" s="255">
        <f t="shared" si="85"/>
        <v>3.52</v>
      </c>
      <c r="T1357" s="255">
        <f t="shared" si="85"/>
        <v>3.52</v>
      </c>
      <c r="U1357" s="254">
        <v>100200</v>
      </c>
      <c r="V1357" s="254" t="s">
        <v>912</v>
      </c>
      <c r="W1357" s="254" t="s">
        <v>899</v>
      </c>
      <c r="X1357" s="254" t="s">
        <v>446</v>
      </c>
      <c r="Y1357" s="254" t="s">
        <v>843</v>
      </c>
      <c r="Z1357" s="254" t="s">
        <v>1142</v>
      </c>
      <c r="AA1357" s="254" t="s">
        <v>838</v>
      </c>
    </row>
    <row r="1358" spans="1:27" ht="14.4" x14ac:dyDescent="0.3">
      <c r="A1358" s="253">
        <v>13</v>
      </c>
      <c r="B1358" s="254" t="s">
        <v>853</v>
      </c>
      <c r="C1358" s="254">
        <v>1705</v>
      </c>
      <c r="D1358" s="254" t="s">
        <v>1140</v>
      </c>
      <c r="E1358" s="254" t="str">
        <f>_xlfn.XLOOKUP(C1358,Clientes!I:I,Clientes!F:F)</f>
        <v>ADUBOS SUDOESTE - PARANAGUÁ</v>
      </c>
      <c r="F1358" s="254">
        <v>8214</v>
      </c>
      <c r="G1358" s="254" t="s">
        <v>862</v>
      </c>
      <c r="H1358" s="254" t="s">
        <v>922</v>
      </c>
      <c r="I1358" s="255">
        <v>12000</v>
      </c>
      <c r="J1358" s="256">
        <v>12000</v>
      </c>
      <c r="K1358" s="258">
        <v>276316.62379867869</v>
      </c>
      <c r="L1358" s="258">
        <v>-33120</v>
      </c>
      <c r="M1358" s="258">
        <f t="shared" si="86"/>
        <v>243196.62379867869</v>
      </c>
      <c r="N1358" s="258">
        <v>-132942.25787234041</v>
      </c>
      <c r="O1358" s="258">
        <v>-9901.2479999999723</v>
      </c>
      <c r="P1358" s="258">
        <v>-4.9286920395957834</v>
      </c>
      <c r="Q1358" s="258">
        <f t="shared" si="87"/>
        <v>100348.1892342987</v>
      </c>
      <c r="R1358" s="259">
        <f t="shared" si="88"/>
        <v>0.41262163786191469</v>
      </c>
      <c r="S1358" s="255">
        <f t="shared" si="85"/>
        <v>23.026385316556556</v>
      </c>
      <c r="T1358" s="255">
        <f t="shared" si="85"/>
        <v>23.026385316556556</v>
      </c>
      <c r="U1358" s="254">
        <v>100300</v>
      </c>
      <c r="V1358" s="254" t="s">
        <v>917</v>
      </c>
      <c r="W1358" s="254" t="s">
        <v>864</v>
      </c>
      <c r="X1358" s="254" t="s">
        <v>446</v>
      </c>
      <c r="Y1358" s="254" t="s">
        <v>843</v>
      </c>
      <c r="Z1358" s="254" t="s">
        <v>1142</v>
      </c>
      <c r="AA1358" s="254" t="s">
        <v>838</v>
      </c>
    </row>
    <row r="1359" spans="1:27" ht="14.4" x14ac:dyDescent="0.3">
      <c r="A1359" s="253">
        <v>13</v>
      </c>
      <c r="B1359" s="254" t="s">
        <v>853</v>
      </c>
      <c r="C1359" s="254">
        <v>7662</v>
      </c>
      <c r="D1359" s="254" t="s">
        <v>95</v>
      </c>
      <c r="E1359" s="254" t="str">
        <f>_xlfn.XLOOKUP(C1359,Clientes!I:I,Clientes!F:F)</f>
        <v>BENTONIT UNIAO - CAMPINA GRANDE</v>
      </c>
      <c r="F1359" s="254">
        <v>7</v>
      </c>
      <c r="G1359" s="254" t="s">
        <v>1022</v>
      </c>
      <c r="H1359" s="254" t="s">
        <v>1023</v>
      </c>
      <c r="I1359" s="255">
        <v>3000</v>
      </c>
      <c r="J1359" s="256">
        <v>3000</v>
      </c>
      <c r="K1359" s="258">
        <v>117164.25537376582</v>
      </c>
      <c r="L1359" s="258">
        <v>-18259.605750000002</v>
      </c>
      <c r="M1359" s="258">
        <f t="shared" si="86"/>
        <v>98904.649623765814</v>
      </c>
      <c r="N1359" s="258">
        <v>-26308.829999999998</v>
      </c>
      <c r="O1359" s="258">
        <v>0</v>
      </c>
      <c r="P1359" s="258">
        <v>0</v>
      </c>
      <c r="Q1359" s="258">
        <f t="shared" si="87"/>
        <v>72595.819623765812</v>
      </c>
      <c r="R1359" s="259">
        <f t="shared" si="88"/>
        <v>0.73399804660267209</v>
      </c>
      <c r="S1359" s="255">
        <f t="shared" si="85"/>
        <v>39.054751791255271</v>
      </c>
      <c r="T1359" s="255">
        <f t="shared" si="85"/>
        <v>39.054751791255271</v>
      </c>
      <c r="U1359" s="254">
        <v>100300</v>
      </c>
      <c r="V1359" s="254" t="s">
        <v>917</v>
      </c>
      <c r="W1359" s="254" t="s">
        <v>1024</v>
      </c>
      <c r="X1359" s="254" t="s">
        <v>446</v>
      </c>
      <c r="Y1359" s="254" t="s">
        <v>843</v>
      </c>
      <c r="Z1359" s="254" t="s">
        <v>1142</v>
      </c>
      <c r="AA1359" s="254" t="s">
        <v>838</v>
      </c>
    </row>
    <row r="1360" spans="1:27" ht="14.4" x14ac:dyDescent="0.3">
      <c r="A1360" s="253">
        <v>13</v>
      </c>
      <c r="B1360" s="254" t="s">
        <v>853</v>
      </c>
      <c r="C1360" s="254">
        <v>7420</v>
      </c>
      <c r="D1360" s="254" t="s">
        <v>528</v>
      </c>
      <c r="E1360" s="254" t="str">
        <f>_xlfn.XLOOKUP(C1360,Clientes!I:I,Clientes!F:F)</f>
        <v>SAFRA FERTILIZANTES - ALFENAS</v>
      </c>
      <c r="F1360" s="254">
        <v>8215</v>
      </c>
      <c r="G1360" s="254" t="s">
        <v>855</v>
      </c>
      <c r="H1360" s="254" t="s">
        <v>947</v>
      </c>
      <c r="I1360" s="255">
        <v>2000</v>
      </c>
      <c r="J1360" s="256">
        <v>2000</v>
      </c>
      <c r="K1360" s="258">
        <v>92485.977197543252</v>
      </c>
      <c r="L1360" s="258">
        <v>-16628.399999999998</v>
      </c>
      <c r="M1360" s="258">
        <f t="shared" si="86"/>
        <v>75857.577197543258</v>
      </c>
      <c r="N1360" s="258">
        <v>-26744.649210526317</v>
      </c>
      <c r="O1360" s="258">
        <v>-6023.9958999999999</v>
      </c>
      <c r="P1360" s="258">
        <v>-2.9986543755784849</v>
      </c>
      <c r="Q1360" s="258">
        <f t="shared" si="87"/>
        <v>43085.933432641359</v>
      </c>
      <c r="R1360" s="259">
        <f t="shared" si="88"/>
        <v>0.56798457088129561</v>
      </c>
      <c r="S1360" s="255">
        <f t="shared" si="85"/>
        <v>46.242988598771625</v>
      </c>
      <c r="T1360" s="255">
        <f t="shared" si="85"/>
        <v>46.242988598771625</v>
      </c>
      <c r="U1360" s="254">
        <v>100300</v>
      </c>
      <c r="V1360" s="254" t="s">
        <v>917</v>
      </c>
      <c r="W1360" s="254" t="s">
        <v>1055</v>
      </c>
      <c r="X1360" s="254" t="s">
        <v>446</v>
      </c>
      <c r="Y1360" s="254" t="s">
        <v>843</v>
      </c>
      <c r="Z1360" s="254" t="s">
        <v>1142</v>
      </c>
      <c r="AA1360" s="254" t="s">
        <v>838</v>
      </c>
    </row>
    <row r="1361" spans="1:27" ht="14.4" x14ac:dyDescent="0.3">
      <c r="A1361" s="253">
        <v>13</v>
      </c>
      <c r="B1361" s="254" t="s">
        <v>853</v>
      </c>
      <c r="C1361" s="254">
        <v>6382</v>
      </c>
      <c r="D1361" s="254" t="s">
        <v>423</v>
      </c>
      <c r="E1361" s="254" t="str">
        <f>_xlfn.XLOOKUP(C1361,Clientes!I:I,Clientes!F:F)</f>
        <v>FERTYMEND - EQUADOR</v>
      </c>
      <c r="F1361" s="254">
        <v>8201</v>
      </c>
      <c r="G1361" s="254" t="s">
        <v>832</v>
      </c>
      <c r="H1361" s="254" t="s">
        <v>916</v>
      </c>
      <c r="I1361" s="255">
        <v>1100</v>
      </c>
      <c r="J1361" s="256">
        <v>1100</v>
      </c>
      <c r="K1361" s="258">
        <v>58366.881041532492</v>
      </c>
      <c r="L1361" s="258">
        <v>0</v>
      </c>
      <c r="M1361" s="258">
        <f t="shared" si="86"/>
        <v>58366.881041532492</v>
      </c>
      <c r="N1361" s="258">
        <v>-22437.737500000003</v>
      </c>
      <c r="O1361" s="258">
        <v>-9409.0740480000004</v>
      </c>
      <c r="P1361" s="258">
        <v>-397.02360541325106</v>
      </c>
      <c r="Q1361" s="258">
        <f t="shared" si="87"/>
        <v>26123.045888119235</v>
      </c>
      <c r="R1361" s="259">
        <f t="shared" si="88"/>
        <v>0.44756624685034468</v>
      </c>
      <c r="S1361" s="255">
        <f t="shared" si="85"/>
        <v>53.060800946847721</v>
      </c>
      <c r="T1361" s="255">
        <f t="shared" si="85"/>
        <v>53.060800946847721</v>
      </c>
      <c r="U1361" s="254">
        <v>100300</v>
      </c>
      <c r="V1361" s="254" t="s">
        <v>917</v>
      </c>
      <c r="W1361" s="254" t="s">
        <v>1026</v>
      </c>
      <c r="X1361" s="254" t="s">
        <v>446</v>
      </c>
      <c r="Y1361" s="254" t="s">
        <v>836</v>
      </c>
      <c r="Z1361" s="254" t="s">
        <v>1142</v>
      </c>
      <c r="AA1361" s="254" t="s">
        <v>838</v>
      </c>
    </row>
    <row r="1362" spans="1:27" ht="14.4" x14ac:dyDescent="0.3">
      <c r="A1362" s="253">
        <v>13</v>
      </c>
      <c r="B1362" s="254" t="s">
        <v>853</v>
      </c>
      <c r="C1362" s="254">
        <v>2925</v>
      </c>
      <c r="D1362" s="254" t="s">
        <v>341</v>
      </c>
      <c r="E1362" s="254" t="str">
        <f>_xlfn.XLOOKUP(C1362,Clientes!I:I,Clientes!F:F)</f>
        <v>COPEVAL - CHILE</v>
      </c>
      <c r="F1362" s="254">
        <v>8208</v>
      </c>
      <c r="G1362" s="254" t="s">
        <v>832</v>
      </c>
      <c r="H1362" s="254" t="s">
        <v>933</v>
      </c>
      <c r="I1362" s="255">
        <v>1000</v>
      </c>
      <c r="J1362" s="256">
        <v>1000</v>
      </c>
      <c r="K1362" s="258">
        <v>58366.881041532492</v>
      </c>
      <c r="L1362" s="258">
        <v>0</v>
      </c>
      <c r="M1362" s="258">
        <f t="shared" si="86"/>
        <v>58366.881041532492</v>
      </c>
      <c r="N1362" s="258">
        <v>-13114.6</v>
      </c>
      <c r="O1362" s="258">
        <v>0</v>
      </c>
      <c r="P1362" s="258">
        <v>-356.67264559068224</v>
      </c>
      <c r="Q1362" s="258">
        <f t="shared" si="87"/>
        <v>44895.60839594181</v>
      </c>
      <c r="R1362" s="259">
        <f t="shared" si="88"/>
        <v>0.76919663334409039</v>
      </c>
      <c r="S1362" s="255">
        <f t="shared" si="85"/>
        <v>58.366881041532494</v>
      </c>
      <c r="T1362" s="255">
        <f t="shared" si="85"/>
        <v>58.366881041532494</v>
      </c>
      <c r="U1362" s="254">
        <v>100300</v>
      </c>
      <c r="V1362" s="254" t="s">
        <v>917</v>
      </c>
      <c r="W1362" s="254" t="s">
        <v>1076</v>
      </c>
      <c r="X1362" s="254" t="s">
        <v>446</v>
      </c>
      <c r="Y1362" s="254" t="s">
        <v>836</v>
      </c>
      <c r="Z1362" s="254" t="s">
        <v>1142</v>
      </c>
      <c r="AA1362" s="254" t="s">
        <v>838</v>
      </c>
    </row>
    <row r="1363" spans="1:27" ht="14.4" x14ac:dyDescent="0.3">
      <c r="A1363" s="253">
        <v>13</v>
      </c>
      <c r="B1363" s="254" t="s">
        <v>853</v>
      </c>
      <c r="C1363" s="254">
        <v>11212</v>
      </c>
      <c r="D1363" s="254" t="s">
        <v>230</v>
      </c>
      <c r="E1363" s="254" t="str">
        <f>_xlfn.XLOOKUP(C1363,Clientes!I:I,Clientes!F:F)</f>
        <v>INPEK FERTILIZANTES - PARANAGUA</v>
      </c>
      <c r="F1363" s="254">
        <v>8224</v>
      </c>
      <c r="G1363" s="254" t="s">
        <v>862</v>
      </c>
      <c r="H1363" s="254" t="s">
        <v>921</v>
      </c>
      <c r="I1363" s="255">
        <v>4000</v>
      </c>
      <c r="J1363" s="256">
        <v>4000</v>
      </c>
      <c r="K1363" s="258">
        <v>97311.506642143358</v>
      </c>
      <c r="L1363" s="258">
        <v>-11664</v>
      </c>
      <c r="M1363" s="258">
        <f t="shared" si="86"/>
        <v>85647.506642143358</v>
      </c>
      <c r="N1363" s="258">
        <v>-26791.885000000002</v>
      </c>
      <c r="O1363" s="258">
        <v>-9901.2479999999723</v>
      </c>
      <c r="P1363" s="258">
        <v>-4.9286920395957834</v>
      </c>
      <c r="Q1363" s="258">
        <f t="shared" si="87"/>
        <v>48949.444950103789</v>
      </c>
      <c r="R1363" s="259">
        <f t="shared" si="88"/>
        <v>0.57152212445164086</v>
      </c>
      <c r="S1363" s="255">
        <f t="shared" si="85"/>
        <v>24.327876660535839</v>
      </c>
      <c r="T1363" s="255">
        <f t="shared" si="85"/>
        <v>24.327876660535839</v>
      </c>
      <c r="U1363" s="254">
        <v>100300</v>
      </c>
      <c r="V1363" s="254" t="s">
        <v>917</v>
      </c>
      <c r="W1363" s="254" t="s">
        <v>864</v>
      </c>
      <c r="X1363" s="254" t="s">
        <v>446</v>
      </c>
      <c r="Y1363" s="254" t="s">
        <v>843</v>
      </c>
      <c r="Z1363" s="254" t="s">
        <v>1142</v>
      </c>
      <c r="AA1363" s="254" t="s">
        <v>838</v>
      </c>
    </row>
    <row r="1364" spans="1:27" ht="14.4" x14ac:dyDescent="0.3">
      <c r="A1364" s="253">
        <v>13</v>
      </c>
      <c r="B1364" s="254" t="s">
        <v>853</v>
      </c>
      <c r="C1364" s="254">
        <v>12972</v>
      </c>
      <c r="D1364" s="254" t="s">
        <v>654</v>
      </c>
      <c r="E1364" s="254" t="str">
        <f>_xlfn.XLOOKUP(C1364,Clientes!I:I,Clientes!F:F)</f>
        <v>INVICTA FERTILIZER - RIO GRANDE</v>
      </c>
      <c r="F1364" s="254">
        <v>8217</v>
      </c>
      <c r="G1364" s="254" t="s">
        <v>877</v>
      </c>
      <c r="H1364" s="254" t="s">
        <v>927</v>
      </c>
      <c r="I1364" s="255">
        <v>5000</v>
      </c>
      <c r="J1364" s="256">
        <v>5000</v>
      </c>
      <c r="K1364" s="258">
        <v>126094.48828783905</v>
      </c>
      <c r="L1364" s="258">
        <v>-15114</v>
      </c>
      <c r="M1364" s="258">
        <f t="shared" si="86"/>
        <v>110980.48828783905</v>
      </c>
      <c r="N1364" s="258">
        <v>-79952.967605633821</v>
      </c>
      <c r="O1364" s="258">
        <v>-14498.255999999972</v>
      </c>
      <c r="P1364" s="258">
        <v>-7.2170133436938322</v>
      </c>
      <c r="Q1364" s="258">
        <f t="shared" si="87"/>
        <v>16522.047668861564</v>
      </c>
      <c r="R1364" s="259">
        <f t="shared" si="88"/>
        <v>0.14887344544754544</v>
      </c>
      <c r="S1364" s="255">
        <f t="shared" si="85"/>
        <v>25.218897657567808</v>
      </c>
      <c r="T1364" s="255">
        <f t="shared" si="85"/>
        <v>25.218897657567808</v>
      </c>
      <c r="U1364" s="254">
        <v>100300</v>
      </c>
      <c r="V1364" s="254" t="s">
        <v>917</v>
      </c>
      <c r="W1364" s="254" t="s">
        <v>878</v>
      </c>
      <c r="X1364" s="254" t="s">
        <v>446</v>
      </c>
      <c r="Y1364" s="254" t="s">
        <v>843</v>
      </c>
      <c r="Z1364" s="254" t="s">
        <v>1142</v>
      </c>
      <c r="AA1364" s="254" t="s">
        <v>838</v>
      </c>
    </row>
    <row r="1365" spans="1:27" ht="14.4" x14ac:dyDescent="0.3">
      <c r="A1365" s="253">
        <v>13</v>
      </c>
      <c r="B1365" s="254" t="s">
        <v>853</v>
      </c>
      <c r="C1365" s="254">
        <v>5053</v>
      </c>
      <c r="D1365" s="254" t="s">
        <v>223</v>
      </c>
      <c r="E1365" s="254" t="str">
        <f>_xlfn.XLOOKUP(C1365,Clientes!I:I,Clientes!F:F)</f>
        <v>GRUPO ADUBOS ARAGUAIA</v>
      </c>
      <c r="F1365" s="254">
        <v>8214</v>
      </c>
      <c r="G1365" s="254" t="s">
        <v>840</v>
      </c>
      <c r="H1365" s="254" t="s">
        <v>922</v>
      </c>
      <c r="I1365" s="255">
        <v>5000</v>
      </c>
      <c r="J1365" s="256">
        <v>5000</v>
      </c>
      <c r="K1365" s="258">
        <v>199178.23298821421</v>
      </c>
      <c r="L1365" s="258">
        <v>-13926.500000000002</v>
      </c>
      <c r="M1365" s="258">
        <f t="shared" si="86"/>
        <v>185251.73298821421</v>
      </c>
      <c r="N1365" s="258">
        <v>-55392.607446808506</v>
      </c>
      <c r="O1365" s="258">
        <v>-11315.712000000007</v>
      </c>
      <c r="P1365" s="258">
        <v>-5.6327909023952012</v>
      </c>
      <c r="Q1365" s="258">
        <f t="shared" si="87"/>
        <v>118537.7807505033</v>
      </c>
      <c r="R1365" s="259">
        <f t="shared" si="88"/>
        <v>0.63987407209866543</v>
      </c>
      <c r="S1365" s="255">
        <f t="shared" si="85"/>
        <v>39.835646597642842</v>
      </c>
      <c r="T1365" s="255">
        <f t="shared" si="85"/>
        <v>39.835646597642842</v>
      </c>
      <c r="U1365" s="254">
        <v>100300</v>
      </c>
      <c r="V1365" s="254" t="s">
        <v>917</v>
      </c>
      <c r="W1365" s="254" t="s">
        <v>842</v>
      </c>
      <c r="X1365" s="254" t="s">
        <v>446</v>
      </c>
      <c r="Y1365" s="254" t="s">
        <v>843</v>
      </c>
      <c r="Z1365" s="254" t="s">
        <v>1142</v>
      </c>
      <c r="AA1365" s="254" t="s">
        <v>838</v>
      </c>
    </row>
    <row r="1366" spans="1:27" ht="14.4" x14ac:dyDescent="0.3">
      <c r="A1366" s="253">
        <v>13</v>
      </c>
      <c r="B1366" s="254" t="s">
        <v>853</v>
      </c>
      <c r="C1366" s="254">
        <v>11133</v>
      </c>
      <c r="D1366" s="254" t="s">
        <v>895</v>
      </c>
      <c r="E1366" s="254" t="str">
        <f>_xlfn.XLOOKUP(C1366,Clientes!I:I,Clientes!F:F)</f>
        <v>GRUPO ADUBOS ARAGUAIA</v>
      </c>
      <c r="F1366" s="254">
        <v>8214</v>
      </c>
      <c r="G1366" s="254" t="s">
        <v>862</v>
      </c>
      <c r="H1366" s="254" t="s">
        <v>922</v>
      </c>
      <c r="I1366" s="255">
        <v>4000</v>
      </c>
      <c r="J1366" s="256">
        <v>4000</v>
      </c>
      <c r="K1366" s="258">
        <v>152174.37252680855</v>
      </c>
      <c r="L1366" s="258">
        <v>-18240</v>
      </c>
      <c r="M1366" s="258">
        <f t="shared" si="86"/>
        <v>133934.37252680855</v>
      </c>
      <c r="N1366" s="258">
        <v>-44314.085957446805</v>
      </c>
      <c r="O1366" s="258">
        <v>-9901.2479999999723</v>
      </c>
      <c r="P1366" s="258">
        <v>-4.9286920395957834</v>
      </c>
      <c r="Q1366" s="258">
        <f t="shared" si="87"/>
        <v>79714.109877322175</v>
      </c>
      <c r="R1366" s="259">
        <f t="shared" si="88"/>
        <v>0.59517290724878302</v>
      </c>
      <c r="S1366" s="255">
        <f t="shared" si="85"/>
        <v>38.043593131702139</v>
      </c>
      <c r="T1366" s="255">
        <f t="shared" si="85"/>
        <v>38.043593131702139</v>
      </c>
      <c r="U1366" s="254">
        <v>100300</v>
      </c>
      <c r="V1366" s="254" t="s">
        <v>917</v>
      </c>
      <c r="W1366" s="254" t="s">
        <v>864</v>
      </c>
      <c r="X1366" s="254" t="s">
        <v>446</v>
      </c>
      <c r="Y1366" s="254" t="s">
        <v>843</v>
      </c>
      <c r="Z1366" s="254" t="s">
        <v>1142</v>
      </c>
      <c r="AA1366" s="254" t="s">
        <v>838</v>
      </c>
    </row>
    <row r="1367" spans="1:27" ht="14.4" x14ac:dyDescent="0.3">
      <c r="A1367" s="253">
        <v>13</v>
      </c>
      <c r="B1367" s="254" t="s">
        <v>853</v>
      </c>
      <c r="C1367" s="254">
        <v>3232</v>
      </c>
      <c r="D1367" s="254" t="s">
        <v>153</v>
      </c>
      <c r="E1367" s="254" t="str">
        <f>_xlfn.XLOOKUP(C1367,Clientes!I:I,Clientes!F:F)</f>
        <v>GRUPO FERTILIZ TOCANTINS</v>
      </c>
      <c r="F1367" s="254">
        <v>8217</v>
      </c>
      <c r="G1367" s="254" t="s">
        <v>855</v>
      </c>
      <c r="H1367" s="254" t="s">
        <v>927</v>
      </c>
      <c r="I1367" s="255">
        <v>12000</v>
      </c>
      <c r="J1367" s="256">
        <v>12000</v>
      </c>
      <c r="K1367" s="258">
        <v>504578.18258889148</v>
      </c>
      <c r="L1367" s="258">
        <v>-90720</v>
      </c>
      <c r="M1367" s="258">
        <f t="shared" si="86"/>
        <v>413858.18258889148</v>
      </c>
      <c r="N1367" s="258">
        <v>-191887.12225352114</v>
      </c>
      <c r="O1367" s="258">
        <v>-1856.4839999999992</v>
      </c>
      <c r="P1367" s="258">
        <v>-0.92412975742421166</v>
      </c>
      <c r="Q1367" s="258">
        <f t="shared" si="87"/>
        <v>220113.65220561292</v>
      </c>
      <c r="R1367" s="259">
        <f t="shared" si="88"/>
        <v>0.53185767846534071</v>
      </c>
      <c r="S1367" s="255">
        <f t="shared" si="85"/>
        <v>42.048181882407626</v>
      </c>
      <c r="T1367" s="255">
        <f t="shared" si="85"/>
        <v>42.048181882407626</v>
      </c>
      <c r="U1367" s="254">
        <v>100300</v>
      </c>
      <c r="V1367" s="254" t="s">
        <v>917</v>
      </c>
      <c r="W1367" s="254" t="s">
        <v>857</v>
      </c>
      <c r="X1367" s="254" t="s">
        <v>446</v>
      </c>
      <c r="Y1367" s="254" t="s">
        <v>843</v>
      </c>
      <c r="Z1367" s="254" t="s">
        <v>1142</v>
      </c>
      <c r="AA1367" s="254" t="s">
        <v>838</v>
      </c>
    </row>
    <row r="1368" spans="1:27" ht="14.4" x14ac:dyDescent="0.3">
      <c r="A1368" s="253">
        <v>13</v>
      </c>
      <c r="B1368" s="254" t="s">
        <v>853</v>
      </c>
      <c r="C1368" s="254">
        <v>10891</v>
      </c>
      <c r="D1368" s="254" t="s">
        <v>104</v>
      </c>
      <c r="E1368" s="254" t="str">
        <f>_xlfn.XLOOKUP(C1368,Clientes!I:I,Clientes!F:F)</f>
        <v>GRUPO HINOVE</v>
      </c>
      <c r="F1368" s="254">
        <v>8214</v>
      </c>
      <c r="G1368" s="254" t="s">
        <v>924</v>
      </c>
      <c r="H1368" s="254" t="s">
        <v>922</v>
      </c>
      <c r="I1368" s="255">
        <v>4000</v>
      </c>
      <c r="J1368" s="256">
        <v>4000</v>
      </c>
      <c r="K1368" s="258">
        <v>124542.71014694068</v>
      </c>
      <c r="L1368" s="258">
        <v>-8708</v>
      </c>
      <c r="M1368" s="258">
        <f t="shared" si="86"/>
        <v>115834.71014694068</v>
      </c>
      <c r="N1368" s="258">
        <v>-44314.085957446805</v>
      </c>
      <c r="O1368" s="258">
        <v>-7691.1480000000047</v>
      </c>
      <c r="P1368" s="258">
        <v>-3.8285375664717378</v>
      </c>
      <c r="Q1368" s="258">
        <f t="shared" si="87"/>
        <v>63825.6476519274</v>
      </c>
      <c r="R1368" s="259">
        <f t="shared" si="88"/>
        <v>0.5510062361356296</v>
      </c>
      <c r="S1368" s="255">
        <f t="shared" si="85"/>
        <v>31.135677536735169</v>
      </c>
      <c r="T1368" s="255">
        <f t="shared" si="85"/>
        <v>31.135677536735169</v>
      </c>
      <c r="U1368" s="254">
        <v>100300</v>
      </c>
      <c r="V1368" s="254" t="s">
        <v>917</v>
      </c>
      <c r="W1368" s="254" t="s">
        <v>925</v>
      </c>
      <c r="X1368" s="254" t="s">
        <v>446</v>
      </c>
      <c r="Y1368" s="254" t="s">
        <v>843</v>
      </c>
      <c r="Z1368" s="254" t="s">
        <v>1142</v>
      </c>
      <c r="AA1368" s="254" t="s">
        <v>838</v>
      </c>
    </row>
    <row r="1369" spans="1:27" ht="14.4" x14ac:dyDescent="0.3">
      <c r="A1369" s="253">
        <v>13</v>
      </c>
      <c r="B1369" s="254" t="s">
        <v>853</v>
      </c>
      <c r="C1369" s="254">
        <v>7648</v>
      </c>
      <c r="D1369" s="254" t="s">
        <v>958</v>
      </c>
      <c r="E1369" s="254" t="str">
        <f>_xlfn.XLOOKUP(C1369,Clientes!I:I,Clientes!F:F)</f>
        <v>GRUPO LOUIS DREYFUS</v>
      </c>
      <c r="F1369" s="254">
        <v>8215</v>
      </c>
      <c r="G1369" s="254" t="s">
        <v>862</v>
      </c>
      <c r="H1369" s="254" t="s">
        <v>947</v>
      </c>
      <c r="I1369" s="255">
        <v>6000</v>
      </c>
      <c r="J1369" s="256">
        <v>6000</v>
      </c>
      <c r="K1369" s="258">
        <v>203032.64966076825</v>
      </c>
      <c r="L1369" s="258">
        <v>-24336</v>
      </c>
      <c r="M1369" s="258">
        <f t="shared" si="86"/>
        <v>178696.64966076825</v>
      </c>
      <c r="N1369" s="258">
        <v>-80233.947631578951</v>
      </c>
      <c r="O1369" s="258">
        <v>-9901.2479999999723</v>
      </c>
      <c r="P1369" s="258">
        <v>-4.9286920395957834</v>
      </c>
      <c r="Q1369" s="258">
        <f t="shared" si="87"/>
        <v>88556.525337149724</v>
      </c>
      <c r="R1369" s="259">
        <f t="shared" si="88"/>
        <v>0.49556903000287061</v>
      </c>
      <c r="S1369" s="255">
        <f t="shared" si="85"/>
        <v>33.838774943461374</v>
      </c>
      <c r="T1369" s="255">
        <f t="shared" si="85"/>
        <v>33.838774943461374</v>
      </c>
      <c r="U1369" s="254">
        <v>100300</v>
      </c>
      <c r="V1369" s="254" t="s">
        <v>917</v>
      </c>
      <c r="W1369" s="254" t="s">
        <v>864</v>
      </c>
      <c r="X1369" s="254" t="s">
        <v>446</v>
      </c>
      <c r="Y1369" s="254" t="s">
        <v>843</v>
      </c>
      <c r="Z1369" s="254" t="s">
        <v>1142</v>
      </c>
      <c r="AA1369" s="254" t="s">
        <v>838</v>
      </c>
    </row>
    <row r="1370" spans="1:27" ht="14.4" x14ac:dyDescent="0.3">
      <c r="A1370" s="253">
        <v>13</v>
      </c>
      <c r="B1370" s="254" t="s">
        <v>853</v>
      </c>
      <c r="C1370" s="254">
        <v>10492</v>
      </c>
      <c r="D1370" s="254" t="s">
        <v>101</v>
      </c>
      <c r="E1370" s="254" t="str">
        <f>_xlfn.XLOOKUP(C1370,Clientes!I:I,Clientes!F:F)</f>
        <v>GRUPO UNIFERTIL</v>
      </c>
      <c r="F1370" s="254">
        <v>8216</v>
      </c>
      <c r="G1370" s="254" t="s">
        <v>877</v>
      </c>
      <c r="H1370" s="254" t="s">
        <v>938</v>
      </c>
      <c r="I1370" s="255">
        <v>24000</v>
      </c>
      <c r="J1370" s="256">
        <v>24000</v>
      </c>
      <c r="K1370" s="258">
        <v>746535.43490651704</v>
      </c>
      <c r="L1370" s="258">
        <v>-89481.599999999991</v>
      </c>
      <c r="M1370" s="258">
        <f t="shared" si="86"/>
        <v>657053.83490651706</v>
      </c>
      <c r="N1370" s="258">
        <v>-228901.05</v>
      </c>
      <c r="O1370" s="258">
        <v>-25187.772999999997</v>
      </c>
      <c r="P1370" s="258">
        <v>-12.538093812037225</v>
      </c>
      <c r="Q1370" s="258">
        <f t="shared" si="87"/>
        <v>402952.47381270502</v>
      </c>
      <c r="R1370" s="259">
        <f t="shared" si="88"/>
        <v>0.61327162616748965</v>
      </c>
      <c r="S1370" s="255">
        <f t="shared" si="85"/>
        <v>31.105643121104876</v>
      </c>
      <c r="T1370" s="255">
        <f t="shared" si="85"/>
        <v>31.105643121104876</v>
      </c>
      <c r="U1370" s="254">
        <v>100300</v>
      </c>
      <c r="V1370" s="254" t="s">
        <v>917</v>
      </c>
      <c r="W1370" s="254" t="s">
        <v>878</v>
      </c>
      <c r="X1370" s="254" t="s">
        <v>446</v>
      </c>
      <c r="Y1370" s="254" t="s">
        <v>843</v>
      </c>
      <c r="Z1370" s="254" t="s">
        <v>1142</v>
      </c>
      <c r="AA1370" s="254" t="s">
        <v>838</v>
      </c>
    </row>
    <row r="1371" spans="1:27" ht="14.4" x14ac:dyDescent="0.3">
      <c r="A1371" s="253">
        <v>13</v>
      </c>
      <c r="B1371" s="254" t="s">
        <v>853</v>
      </c>
      <c r="C1371" s="254">
        <v>4254</v>
      </c>
      <c r="D1371" s="254" t="s">
        <v>1143</v>
      </c>
      <c r="E1371" s="254" t="str">
        <f>_xlfn.XLOOKUP(C1371,Clientes!I:I,Clientes!F:F)</f>
        <v>GEES FERTILIZANTES - SÃO LUIS</v>
      </c>
      <c r="F1371" s="254">
        <v>8218</v>
      </c>
      <c r="G1371" s="254" t="s">
        <v>897</v>
      </c>
      <c r="H1371" s="254" t="s">
        <v>923</v>
      </c>
      <c r="I1371" s="255">
        <v>12000</v>
      </c>
      <c r="J1371" s="256">
        <v>12000</v>
      </c>
      <c r="K1371" s="258">
        <v>300344.15630291158</v>
      </c>
      <c r="L1371" s="258">
        <v>-21000.000000000004</v>
      </c>
      <c r="M1371" s="258">
        <f t="shared" si="86"/>
        <v>279344.15630291158</v>
      </c>
      <c r="N1371" s="258">
        <v>-123530.67399999998</v>
      </c>
      <c r="O1371" s="258">
        <v>-19802.496000000036</v>
      </c>
      <c r="P1371" s="258">
        <v>-9.857384079191613</v>
      </c>
      <c r="Q1371" s="258">
        <f t="shared" si="87"/>
        <v>136001.12891883234</v>
      </c>
      <c r="R1371" s="259">
        <f t="shared" si="88"/>
        <v>0.48685868614110978</v>
      </c>
      <c r="S1371" s="255">
        <f t="shared" si="85"/>
        <v>25.0286796919093</v>
      </c>
      <c r="T1371" s="255">
        <f t="shared" si="85"/>
        <v>25.0286796919093</v>
      </c>
      <c r="U1371" s="254">
        <v>100300</v>
      </c>
      <c r="V1371" s="254" t="s">
        <v>917</v>
      </c>
      <c r="W1371" s="254" t="s">
        <v>899</v>
      </c>
      <c r="X1371" s="254" t="s">
        <v>446</v>
      </c>
      <c r="Y1371" s="254" t="s">
        <v>843</v>
      </c>
      <c r="Z1371" s="254" t="s">
        <v>1142</v>
      </c>
      <c r="AA1371" s="254" t="s">
        <v>838</v>
      </c>
    </row>
    <row r="1372" spans="1:27" ht="14.4" x14ac:dyDescent="0.3">
      <c r="A1372" s="253">
        <v>13</v>
      </c>
      <c r="B1372" s="254" t="s">
        <v>853</v>
      </c>
      <c r="C1372" s="254">
        <v>2011</v>
      </c>
      <c r="D1372" s="254" t="s">
        <v>616</v>
      </c>
      <c r="E1372" s="254" t="str">
        <f>_xlfn.XLOOKUP(C1372,Clientes!I:I,Clientes!F:F)</f>
        <v>FERTGROW S.A</v>
      </c>
      <c r="F1372" s="254">
        <v>8224</v>
      </c>
      <c r="G1372" s="254" t="s">
        <v>897</v>
      </c>
      <c r="H1372" s="254" t="s">
        <v>921</v>
      </c>
      <c r="I1372" s="255">
        <v>24000</v>
      </c>
      <c r="J1372" s="256">
        <v>24000</v>
      </c>
      <c r="K1372" s="258">
        <v>492804.69166181737</v>
      </c>
      <c r="L1372" s="258">
        <v>-34456.800000000003</v>
      </c>
      <c r="M1372" s="258">
        <f t="shared" si="86"/>
        <v>458347.89166181738</v>
      </c>
      <c r="N1372" s="258">
        <v>-160751.31</v>
      </c>
      <c r="O1372" s="258">
        <v>-28539.757999999998</v>
      </c>
      <c r="P1372" s="258">
        <v>-14.206661429608721</v>
      </c>
      <c r="Q1372" s="258">
        <f t="shared" si="87"/>
        <v>269042.61700038781</v>
      </c>
      <c r="R1372" s="259">
        <f t="shared" si="88"/>
        <v>0.58698342873342024</v>
      </c>
      <c r="S1372" s="255">
        <f t="shared" si="85"/>
        <v>20.533528819242392</v>
      </c>
      <c r="T1372" s="255">
        <f t="shared" si="85"/>
        <v>20.533528819242392</v>
      </c>
      <c r="U1372" s="254">
        <v>100300</v>
      </c>
      <c r="V1372" s="254" t="s">
        <v>917</v>
      </c>
      <c r="W1372" s="254" t="s">
        <v>899</v>
      </c>
      <c r="X1372" s="254" t="s">
        <v>446</v>
      </c>
      <c r="Y1372" s="254" t="s">
        <v>843</v>
      </c>
      <c r="Z1372" s="254" t="s">
        <v>1142</v>
      </c>
      <c r="AA1372" s="254" t="s">
        <v>838</v>
      </c>
    </row>
    <row r="1373" spans="1:27" ht="14.4" x14ac:dyDescent="0.3">
      <c r="A1373" s="253">
        <v>13</v>
      </c>
      <c r="B1373" s="254" t="s">
        <v>853</v>
      </c>
      <c r="C1373" s="254">
        <v>215</v>
      </c>
      <c r="D1373" s="254" t="s">
        <v>221</v>
      </c>
      <c r="E1373" s="254" t="str">
        <f>_xlfn.XLOOKUP(C1373,Clientes!I:I,Clientes!F:F)</f>
        <v>GRUPO UNIFERTIL</v>
      </c>
      <c r="F1373" s="254">
        <v>8216</v>
      </c>
      <c r="G1373" s="254" t="s">
        <v>877</v>
      </c>
      <c r="H1373" s="254" t="s">
        <v>938</v>
      </c>
      <c r="I1373" s="255">
        <v>24000</v>
      </c>
      <c r="J1373" s="256">
        <v>24000</v>
      </c>
      <c r="K1373" s="258">
        <v>746535.43490651704</v>
      </c>
      <c r="L1373" s="258">
        <v>-89481.599999999991</v>
      </c>
      <c r="M1373" s="258">
        <f t="shared" si="86"/>
        <v>657053.83490651706</v>
      </c>
      <c r="N1373" s="258">
        <v>-228901.05</v>
      </c>
      <c r="O1373" s="258">
        <v>-18675.345000000001</v>
      </c>
      <c r="P1373" s="258">
        <v>-9.2963052978983249</v>
      </c>
      <c r="Q1373" s="258">
        <f t="shared" si="87"/>
        <v>409468.14360121917</v>
      </c>
      <c r="R1373" s="259">
        <f t="shared" si="88"/>
        <v>0.62318811921929751</v>
      </c>
      <c r="S1373" s="255">
        <f t="shared" si="85"/>
        <v>31.105643121104876</v>
      </c>
      <c r="T1373" s="255">
        <f t="shared" si="85"/>
        <v>31.105643121104876</v>
      </c>
      <c r="U1373" s="254">
        <v>100300</v>
      </c>
      <c r="V1373" s="254" t="s">
        <v>917</v>
      </c>
      <c r="W1373" s="254" t="s">
        <v>880</v>
      </c>
      <c r="X1373" s="254" t="s">
        <v>446</v>
      </c>
      <c r="Y1373" s="254" t="s">
        <v>843</v>
      </c>
      <c r="Z1373" s="254" t="s">
        <v>1142</v>
      </c>
      <c r="AA1373" s="254" t="s">
        <v>838</v>
      </c>
    </row>
    <row r="1374" spans="1:27" ht="14.4" x14ac:dyDescent="0.3">
      <c r="A1374" s="253">
        <v>13</v>
      </c>
      <c r="B1374" s="254" t="s">
        <v>853</v>
      </c>
      <c r="C1374" s="254">
        <v>14632</v>
      </c>
      <c r="D1374" s="254" t="s">
        <v>399</v>
      </c>
      <c r="E1374" s="254" t="str">
        <f>_xlfn.XLOOKUP(C1374,Clientes!I:I,Clientes!F:F)</f>
        <v>BIGFERTIL - CANDEIAS</v>
      </c>
      <c r="F1374" s="254">
        <v>8224</v>
      </c>
      <c r="G1374" s="254" t="s">
        <v>875</v>
      </c>
      <c r="H1374" s="254" t="s">
        <v>921</v>
      </c>
      <c r="I1374" s="255">
        <v>2000</v>
      </c>
      <c r="J1374" s="256">
        <v>2000</v>
      </c>
      <c r="K1374" s="258">
        <v>48355.409164768767</v>
      </c>
      <c r="L1374" s="258">
        <v>-3381.0000000000005</v>
      </c>
      <c r="M1374" s="258">
        <f t="shared" si="86"/>
        <v>44974.409164768767</v>
      </c>
      <c r="N1374" s="258">
        <v>-13395.942500000001</v>
      </c>
      <c r="O1374" s="258">
        <v>-13083.792000000029</v>
      </c>
      <c r="P1374" s="258">
        <v>-6.5129144808944615</v>
      </c>
      <c r="Q1374" s="258">
        <f t="shared" si="87"/>
        <v>18488.161750287843</v>
      </c>
      <c r="R1374" s="259">
        <f t="shared" si="88"/>
        <v>0.41108181505074143</v>
      </c>
      <c r="S1374" s="255">
        <f t="shared" si="85"/>
        <v>24.177704582384383</v>
      </c>
      <c r="T1374" s="255">
        <f t="shared" si="85"/>
        <v>24.177704582384383</v>
      </c>
      <c r="U1374" s="254">
        <v>100300</v>
      </c>
      <c r="V1374" s="254" t="s">
        <v>917</v>
      </c>
      <c r="W1374" s="254" t="s">
        <v>876</v>
      </c>
      <c r="X1374" s="254" t="s">
        <v>446</v>
      </c>
      <c r="Y1374" s="254" t="s">
        <v>843</v>
      </c>
      <c r="Z1374" s="254" t="s">
        <v>1142</v>
      </c>
      <c r="AA1374" s="254" t="s">
        <v>838</v>
      </c>
    </row>
    <row r="1375" spans="1:27" ht="14.4" x14ac:dyDescent="0.3">
      <c r="A1375" s="253">
        <v>13</v>
      </c>
      <c r="B1375" s="254" t="s">
        <v>853</v>
      </c>
      <c r="C1375" s="254">
        <v>15749</v>
      </c>
      <c r="D1375" s="254" t="s">
        <v>468</v>
      </c>
      <c r="E1375" s="254" t="str">
        <f>_xlfn.XLOOKUP(C1375,Clientes!I:I,Clientes!F:F)</f>
        <v>FASS AGRO FERTILIZANTES - SERTAOZINHO</v>
      </c>
      <c r="F1375" s="254">
        <v>8214</v>
      </c>
      <c r="G1375" s="254" t="s">
        <v>908</v>
      </c>
      <c r="H1375" s="254" t="s">
        <v>922</v>
      </c>
      <c r="I1375" s="255">
        <v>10000</v>
      </c>
      <c r="J1375" s="256">
        <v>10000</v>
      </c>
      <c r="K1375" s="258">
        <v>340390.04380996648</v>
      </c>
      <c r="L1375" s="258">
        <v>-40800</v>
      </c>
      <c r="M1375" s="258">
        <f t="shared" si="86"/>
        <v>299590.04380996648</v>
      </c>
      <c r="N1375" s="258">
        <v>-110785.21489361701</v>
      </c>
      <c r="O1375" s="258">
        <v>-3270.947999999998</v>
      </c>
      <c r="P1375" s="258">
        <v>-1.6282286202236107</v>
      </c>
      <c r="Q1375" s="258">
        <f t="shared" si="87"/>
        <v>185532.25268772923</v>
      </c>
      <c r="R1375" s="259">
        <f t="shared" si="88"/>
        <v>0.61928711090751243</v>
      </c>
      <c r="S1375" s="255">
        <f t="shared" si="85"/>
        <v>34.039004380996644</v>
      </c>
      <c r="T1375" s="255">
        <f t="shared" si="85"/>
        <v>34.039004380996644</v>
      </c>
      <c r="U1375" s="254">
        <v>100300</v>
      </c>
      <c r="V1375" s="254" t="s">
        <v>917</v>
      </c>
      <c r="W1375" s="254" t="s">
        <v>1144</v>
      </c>
      <c r="X1375" s="254" t="s">
        <v>446</v>
      </c>
      <c r="Y1375" s="254" t="s">
        <v>843</v>
      </c>
      <c r="Z1375" s="254" t="s">
        <v>1142</v>
      </c>
      <c r="AA1375" s="254" t="s">
        <v>838</v>
      </c>
    </row>
    <row r="1376" spans="1:27" ht="14.4" x14ac:dyDescent="0.3">
      <c r="A1376" s="253">
        <v>13</v>
      </c>
      <c r="B1376" s="254" t="s">
        <v>853</v>
      </c>
      <c r="C1376" s="254">
        <v>2346</v>
      </c>
      <c r="D1376" s="254" t="s">
        <v>1068</v>
      </c>
      <c r="E1376" s="254" t="str">
        <f>_xlfn.XLOOKUP(C1376,Clientes!I:I,Clientes!F:F)</f>
        <v>TEPEYAC - MÉXICO</v>
      </c>
      <c r="F1376" s="254">
        <v>8214</v>
      </c>
      <c r="G1376" s="254" t="s">
        <v>832</v>
      </c>
      <c r="H1376" s="254" t="s">
        <v>922</v>
      </c>
      <c r="I1376" s="255">
        <v>11000</v>
      </c>
      <c r="J1376" s="256">
        <v>11000</v>
      </c>
      <c r="K1376" s="258">
        <v>525301.92937379237</v>
      </c>
      <c r="L1376" s="258">
        <v>0</v>
      </c>
      <c r="M1376" s="258">
        <f t="shared" si="86"/>
        <v>525301.92937379237</v>
      </c>
      <c r="N1376" s="258">
        <v>-121863.73638297872</v>
      </c>
      <c r="O1376" s="258">
        <v>-13252.310015999999</v>
      </c>
      <c r="P1376" s="258">
        <v>-3929.995901707146</v>
      </c>
      <c r="Q1376" s="258">
        <f t="shared" si="87"/>
        <v>386255.88707310648</v>
      </c>
      <c r="R1376" s="259">
        <f t="shared" si="88"/>
        <v>0.73530262402340418</v>
      </c>
      <c r="S1376" s="255">
        <f t="shared" si="85"/>
        <v>47.75472085216294</v>
      </c>
      <c r="T1376" s="255">
        <f t="shared" si="85"/>
        <v>47.75472085216294</v>
      </c>
      <c r="U1376" s="254">
        <v>100300</v>
      </c>
      <c r="V1376" s="254" t="s">
        <v>917</v>
      </c>
      <c r="W1376" s="254" t="s">
        <v>1069</v>
      </c>
      <c r="X1376" s="254" t="s">
        <v>446</v>
      </c>
      <c r="Y1376" s="254" t="s">
        <v>836</v>
      </c>
      <c r="Z1376" s="254" t="s">
        <v>1142</v>
      </c>
      <c r="AA1376" s="254" t="s">
        <v>838</v>
      </c>
    </row>
    <row r="1377" spans="1:27" ht="14.4" x14ac:dyDescent="0.3">
      <c r="A1377" s="253">
        <v>13</v>
      </c>
      <c r="B1377" s="254" t="s">
        <v>853</v>
      </c>
      <c r="C1377" s="254">
        <v>12287</v>
      </c>
      <c r="D1377" s="254" t="s">
        <v>347</v>
      </c>
      <c r="E1377" s="254" t="str">
        <f>_xlfn.XLOOKUP(C1377,Clientes!I:I,Clientes!F:F)</f>
        <v>GRUPO GEN FERTILIZANTES</v>
      </c>
      <c r="F1377" s="254">
        <v>8214</v>
      </c>
      <c r="G1377" s="254" t="s">
        <v>926</v>
      </c>
      <c r="H1377" s="254" t="s">
        <v>922</v>
      </c>
      <c r="I1377" s="255">
        <v>24000</v>
      </c>
      <c r="J1377" s="256">
        <v>24000</v>
      </c>
      <c r="K1377" s="258">
        <v>667965.40361767542</v>
      </c>
      <c r="L1377" s="258">
        <v>-46704.000000000007</v>
      </c>
      <c r="M1377" s="258">
        <f t="shared" si="86"/>
        <v>621261.40361767542</v>
      </c>
      <c r="N1377" s="258">
        <v>-265884.51574468083</v>
      </c>
      <c r="O1377" s="258">
        <v>-31768.437837500001</v>
      </c>
      <c r="P1377" s="258">
        <v>-15.813849595533835</v>
      </c>
      <c r="Q1377" s="258">
        <f t="shared" si="87"/>
        <v>323592.63618589903</v>
      </c>
      <c r="R1377" s="259">
        <f t="shared" si="88"/>
        <v>0.52086389771130559</v>
      </c>
      <c r="S1377" s="255">
        <f t="shared" si="85"/>
        <v>27.831891817403143</v>
      </c>
      <c r="T1377" s="255">
        <f t="shared" si="85"/>
        <v>27.831891817403143</v>
      </c>
      <c r="U1377" s="254">
        <v>100300</v>
      </c>
      <c r="V1377" s="254" t="s">
        <v>917</v>
      </c>
      <c r="W1377" s="254" t="s">
        <v>928</v>
      </c>
      <c r="X1377" s="254" t="s">
        <v>446</v>
      </c>
      <c r="Y1377" s="254" t="s">
        <v>843</v>
      </c>
      <c r="Z1377" s="254" t="s">
        <v>1142</v>
      </c>
      <c r="AA1377" s="254" t="s">
        <v>838</v>
      </c>
    </row>
    <row r="1378" spans="1:27" ht="14.4" x14ac:dyDescent="0.3">
      <c r="A1378" s="253">
        <v>13</v>
      </c>
      <c r="B1378" s="254" t="s">
        <v>853</v>
      </c>
      <c r="C1378" s="254">
        <v>97</v>
      </c>
      <c r="D1378" s="254" t="s">
        <v>300</v>
      </c>
      <c r="E1378" s="254" t="str">
        <f>_xlfn.XLOOKUP(C1378,Clientes!I:I,Clientes!F:F)</f>
        <v>FECOAGRO FEDERACAO DAS COOPERATIVAS</v>
      </c>
      <c r="F1378" s="254">
        <v>8223</v>
      </c>
      <c r="G1378" s="254" t="s">
        <v>893</v>
      </c>
      <c r="H1378" s="254" t="s">
        <v>920</v>
      </c>
      <c r="I1378" s="255">
        <v>12000</v>
      </c>
      <c r="J1378" s="256">
        <v>12000</v>
      </c>
      <c r="K1378" s="258">
        <v>456523.11758042563</v>
      </c>
      <c r="L1378" s="258">
        <v>-54720</v>
      </c>
      <c r="M1378" s="258">
        <f t="shared" si="86"/>
        <v>401803.11758042563</v>
      </c>
      <c r="N1378" s="258">
        <v>-138830.76999999999</v>
      </c>
      <c r="O1378" s="258">
        <v>-9901.2479999999723</v>
      </c>
      <c r="P1378" s="258">
        <v>-4.9286920395957834</v>
      </c>
      <c r="Q1378" s="258">
        <f t="shared" si="87"/>
        <v>253066.17088838611</v>
      </c>
      <c r="R1378" s="259">
        <f t="shared" si="88"/>
        <v>0.62982630003544449</v>
      </c>
      <c r="S1378" s="255">
        <f t="shared" si="85"/>
        <v>38.043593131702139</v>
      </c>
      <c r="T1378" s="255">
        <f t="shared" si="85"/>
        <v>38.043593131702139</v>
      </c>
      <c r="U1378" s="254">
        <v>100300</v>
      </c>
      <c r="V1378" s="254" t="s">
        <v>917</v>
      </c>
      <c r="W1378" s="254" t="s">
        <v>894</v>
      </c>
      <c r="X1378" s="254" t="s">
        <v>446</v>
      </c>
      <c r="Y1378" s="254" t="s">
        <v>843</v>
      </c>
      <c r="Z1378" s="254" t="s">
        <v>1142</v>
      </c>
      <c r="AA1378" s="254" t="s">
        <v>838</v>
      </c>
    </row>
    <row r="1379" spans="1:27" ht="14.4" x14ac:dyDescent="0.3">
      <c r="A1379" s="253">
        <v>13</v>
      </c>
      <c r="B1379" s="254" t="s">
        <v>853</v>
      </c>
      <c r="C1379" s="254">
        <v>1023</v>
      </c>
      <c r="D1379" s="254" t="s">
        <v>49</v>
      </c>
      <c r="E1379" s="254" t="str">
        <f>_xlfn.XLOOKUP(C1379,Clientes!I:I,Clientes!F:F)</f>
        <v>GRUPO ADUBOS ARAGUAIA</v>
      </c>
      <c r="F1379" s="254">
        <v>8214</v>
      </c>
      <c r="G1379" s="254" t="s">
        <v>840</v>
      </c>
      <c r="H1379" s="254" t="s">
        <v>922</v>
      </c>
      <c r="I1379" s="255">
        <v>12000</v>
      </c>
      <c r="J1379" s="256">
        <v>12000</v>
      </c>
      <c r="K1379" s="258">
        <v>464332.06564430136</v>
      </c>
      <c r="L1379" s="258">
        <v>-32466.000000000004</v>
      </c>
      <c r="M1379" s="258">
        <f t="shared" si="86"/>
        <v>431866.06564430136</v>
      </c>
      <c r="N1379" s="258">
        <v>-132942.25787234041</v>
      </c>
      <c r="O1379" s="258">
        <v>-7602.7439999999997</v>
      </c>
      <c r="P1379" s="258">
        <v>-3.7845313875467728</v>
      </c>
      <c r="Q1379" s="258">
        <f t="shared" si="87"/>
        <v>291317.27924057341</v>
      </c>
      <c r="R1379" s="259">
        <f t="shared" si="88"/>
        <v>0.67455468816693642</v>
      </c>
      <c r="S1379" s="255">
        <f t="shared" si="85"/>
        <v>38.694338803691778</v>
      </c>
      <c r="T1379" s="255">
        <f t="shared" si="85"/>
        <v>38.694338803691778</v>
      </c>
      <c r="U1379" s="254">
        <v>100300</v>
      </c>
      <c r="V1379" s="254" t="s">
        <v>917</v>
      </c>
      <c r="W1379" s="254" t="s">
        <v>861</v>
      </c>
      <c r="X1379" s="254" t="s">
        <v>446</v>
      </c>
      <c r="Y1379" s="254" t="s">
        <v>843</v>
      </c>
      <c r="Z1379" s="254" t="s">
        <v>1142</v>
      </c>
      <c r="AA1379" s="254" t="s">
        <v>838</v>
      </c>
    </row>
    <row r="1380" spans="1:27" ht="14.4" x14ac:dyDescent="0.3">
      <c r="A1380" s="253">
        <v>13</v>
      </c>
      <c r="B1380" s="254" t="s">
        <v>853</v>
      </c>
      <c r="C1380" s="254">
        <v>2645</v>
      </c>
      <c r="D1380" s="254" t="s">
        <v>342</v>
      </c>
      <c r="E1380" s="254" t="str">
        <f>_xlfn.XLOOKUP(C1380,Clientes!I:I,Clientes!F:F)</f>
        <v>ANAGRA - CHILE</v>
      </c>
      <c r="F1380" s="254">
        <v>8202</v>
      </c>
      <c r="G1380" s="254" t="s">
        <v>832</v>
      </c>
      <c r="H1380" s="254" t="s">
        <v>1027</v>
      </c>
      <c r="I1380" s="255">
        <v>1000</v>
      </c>
      <c r="J1380" s="256">
        <v>1000</v>
      </c>
      <c r="K1380" s="258">
        <v>58366.881041532492</v>
      </c>
      <c r="L1380" s="258">
        <v>0</v>
      </c>
      <c r="M1380" s="258">
        <f t="shared" si="86"/>
        <v>58366.881041532492</v>
      </c>
      <c r="N1380" s="258">
        <v>-21762.12</v>
      </c>
      <c r="O1380" s="258">
        <v>0</v>
      </c>
      <c r="P1380" s="258">
        <v>-356.67264559068224</v>
      </c>
      <c r="Q1380" s="258">
        <f t="shared" si="87"/>
        <v>36248.088395941806</v>
      </c>
      <c r="R1380" s="259">
        <f t="shared" si="88"/>
        <v>0.62103863953512484</v>
      </c>
      <c r="S1380" s="255">
        <f t="shared" si="85"/>
        <v>58.366881041532494</v>
      </c>
      <c r="T1380" s="255">
        <f t="shared" si="85"/>
        <v>58.366881041532494</v>
      </c>
      <c r="U1380" s="254">
        <v>100300</v>
      </c>
      <c r="V1380" s="254" t="s">
        <v>917</v>
      </c>
      <c r="W1380" s="254" t="s">
        <v>1033</v>
      </c>
      <c r="X1380" s="254" t="s">
        <v>446</v>
      </c>
      <c r="Y1380" s="254" t="s">
        <v>836</v>
      </c>
      <c r="Z1380" s="254" t="s">
        <v>1142</v>
      </c>
      <c r="AA1380" s="254" t="s">
        <v>838</v>
      </c>
    </row>
    <row r="1381" spans="1:27" ht="14.4" x14ac:dyDescent="0.3">
      <c r="A1381" s="253">
        <v>13</v>
      </c>
      <c r="B1381" s="254" t="s">
        <v>853</v>
      </c>
      <c r="C1381" s="254">
        <v>16951</v>
      </c>
      <c r="D1381" s="254" t="s">
        <v>637</v>
      </c>
      <c r="E1381" s="254" t="str">
        <f>_xlfn.XLOOKUP(C1381,Clientes!I:I,Clientes!F:F)</f>
        <v>3 TENTOS - SANTA BARBARA DO SUL</v>
      </c>
      <c r="F1381" s="254">
        <v>8218</v>
      </c>
      <c r="G1381" s="254" t="s">
        <v>877</v>
      </c>
      <c r="H1381" s="254" t="s">
        <v>923</v>
      </c>
      <c r="I1381" s="255">
        <v>12000</v>
      </c>
      <c r="J1381" s="256">
        <v>12000</v>
      </c>
      <c r="K1381" s="258">
        <v>348399.22131137748</v>
      </c>
      <c r="L1381" s="258">
        <v>-41760</v>
      </c>
      <c r="M1381" s="258">
        <f t="shared" si="86"/>
        <v>306639.22131137748</v>
      </c>
      <c r="N1381" s="258">
        <v>-123530.67399999998</v>
      </c>
      <c r="O1381" s="258">
        <v>0</v>
      </c>
      <c r="P1381" s="258">
        <v>0</v>
      </c>
      <c r="Q1381" s="258">
        <f t="shared" si="87"/>
        <v>183108.54731137748</v>
      </c>
      <c r="R1381" s="259">
        <f t="shared" si="88"/>
        <v>0.5971465311198384</v>
      </c>
      <c r="S1381" s="255">
        <f t="shared" si="85"/>
        <v>29.033268442614791</v>
      </c>
      <c r="T1381" s="255">
        <f t="shared" si="85"/>
        <v>29.033268442614791</v>
      </c>
      <c r="U1381" s="254">
        <v>100300</v>
      </c>
      <c r="V1381" s="254" t="s">
        <v>917</v>
      </c>
      <c r="W1381" s="254" t="s">
        <v>1117</v>
      </c>
      <c r="X1381" s="254" t="s">
        <v>446</v>
      </c>
      <c r="Y1381" s="254" t="s">
        <v>843</v>
      </c>
      <c r="Z1381" s="254" t="s">
        <v>1142</v>
      </c>
      <c r="AA1381" s="254" t="s">
        <v>838</v>
      </c>
    </row>
    <row r="1382" spans="1:27" ht="14.4" x14ac:dyDescent="0.3">
      <c r="A1382" s="253">
        <v>13</v>
      </c>
      <c r="B1382" s="254" t="s">
        <v>853</v>
      </c>
      <c r="C1382" s="254">
        <v>11637</v>
      </c>
      <c r="D1382" s="254" t="s">
        <v>625</v>
      </c>
      <c r="E1382" s="254" t="str">
        <f>_xlfn.XLOOKUP(C1382,Clientes!I:I,Clientes!F:F)</f>
        <v>AGROPECUARIA MARATA LTDA - MARUIM</v>
      </c>
      <c r="F1382" s="254">
        <v>8224</v>
      </c>
      <c r="G1382" s="254" t="s">
        <v>887</v>
      </c>
      <c r="H1382" s="254" t="s">
        <v>921</v>
      </c>
      <c r="I1382" s="255">
        <v>2000</v>
      </c>
      <c r="J1382" s="256">
        <v>2000</v>
      </c>
      <c r="K1382" s="258">
        <v>46253.000070648384</v>
      </c>
      <c r="L1382" s="258">
        <v>-3234.0000000000005</v>
      </c>
      <c r="M1382" s="258">
        <f t="shared" si="86"/>
        <v>43019.000070648384</v>
      </c>
      <c r="N1382" s="258">
        <v>-13395.942500000001</v>
      </c>
      <c r="O1382" s="258">
        <v>0</v>
      </c>
      <c r="P1382" s="258">
        <v>0</v>
      </c>
      <c r="Q1382" s="258">
        <f t="shared" si="87"/>
        <v>29623.057570648383</v>
      </c>
      <c r="R1382" s="259">
        <f t="shared" si="88"/>
        <v>0.68860404756037141</v>
      </c>
      <c r="S1382" s="255">
        <f t="shared" si="85"/>
        <v>23.126500035324192</v>
      </c>
      <c r="T1382" s="255">
        <f t="shared" si="85"/>
        <v>23.126500035324192</v>
      </c>
      <c r="U1382" s="254">
        <v>100300</v>
      </c>
      <c r="V1382" s="254" t="s">
        <v>917</v>
      </c>
      <c r="W1382" s="254" t="s">
        <v>1009</v>
      </c>
      <c r="X1382" s="254" t="s">
        <v>446</v>
      </c>
      <c r="Y1382" s="254" t="s">
        <v>843</v>
      </c>
      <c r="Z1382" s="254" t="s">
        <v>1142</v>
      </c>
      <c r="AA1382" s="254" t="s">
        <v>838</v>
      </c>
    </row>
    <row r="1383" spans="1:27" ht="14.4" x14ac:dyDescent="0.3">
      <c r="A1383" s="253">
        <v>13</v>
      </c>
      <c r="B1383" s="254" t="s">
        <v>853</v>
      </c>
      <c r="C1383" s="254">
        <v>2609</v>
      </c>
      <c r="D1383" s="254" t="s">
        <v>1145</v>
      </c>
      <c r="E1383" s="254" t="str">
        <f>_xlfn.XLOOKUP(C1383,Clientes!I:I,Clientes!F:F)</f>
        <v>GEES FERTILIZANTES - URUÇUI</v>
      </c>
      <c r="F1383" s="254">
        <v>8218</v>
      </c>
      <c r="G1383" s="254" t="s">
        <v>1146</v>
      </c>
      <c r="H1383" s="254" t="s">
        <v>923</v>
      </c>
      <c r="I1383" s="255">
        <v>12000</v>
      </c>
      <c r="J1383" s="256">
        <v>12000</v>
      </c>
      <c r="K1383" s="258">
        <v>300344.15630291158</v>
      </c>
      <c r="L1383" s="258">
        <v>-21000.000000000004</v>
      </c>
      <c r="M1383" s="258">
        <f t="shared" si="86"/>
        <v>279344.15630291158</v>
      </c>
      <c r="N1383" s="258">
        <v>-123530.67399999998</v>
      </c>
      <c r="O1383" s="258">
        <v>-12188.49139872</v>
      </c>
      <c r="P1383" s="258">
        <v>-6.0672473340283073</v>
      </c>
      <c r="Q1383" s="258">
        <f t="shared" si="87"/>
        <v>143618.92365685754</v>
      </c>
      <c r="R1383" s="259">
        <f t="shared" si="88"/>
        <v>0.51412897107867872</v>
      </c>
      <c r="S1383" s="255">
        <f t="shared" si="85"/>
        <v>25.0286796919093</v>
      </c>
      <c r="T1383" s="255">
        <f t="shared" si="85"/>
        <v>25.0286796919093</v>
      </c>
      <c r="U1383" s="254">
        <v>100300</v>
      </c>
      <c r="V1383" s="254" t="s">
        <v>917</v>
      </c>
      <c r="W1383" s="254" t="s">
        <v>1147</v>
      </c>
      <c r="X1383" s="254" t="s">
        <v>446</v>
      </c>
      <c r="Y1383" s="254" t="s">
        <v>843</v>
      </c>
      <c r="Z1383" s="254" t="s">
        <v>1142</v>
      </c>
      <c r="AA1383" s="254" t="s">
        <v>838</v>
      </c>
    </row>
    <row r="1384" spans="1:27" ht="14.4" x14ac:dyDescent="0.3">
      <c r="A1384" s="253">
        <v>13</v>
      </c>
      <c r="B1384" s="254" t="s">
        <v>853</v>
      </c>
      <c r="C1384" s="254">
        <v>16918</v>
      </c>
      <c r="D1384" s="254" t="s">
        <v>645</v>
      </c>
      <c r="E1384" s="254" t="str">
        <f>_xlfn.XLOOKUP(C1384,Clientes!I:I,Clientes!F:F)</f>
        <v>FERTZ FERTILIZANTES S/A</v>
      </c>
      <c r="F1384" s="254">
        <v>8225</v>
      </c>
      <c r="G1384" s="254" t="s">
        <v>926</v>
      </c>
      <c r="H1384" s="254" t="s">
        <v>919</v>
      </c>
      <c r="I1384" s="255">
        <v>10000</v>
      </c>
      <c r="J1384" s="256">
        <v>10000</v>
      </c>
      <c r="K1384" s="258">
        <v>250286.796919093</v>
      </c>
      <c r="L1384" s="258">
        <v>-17500</v>
      </c>
      <c r="M1384" s="258">
        <f t="shared" si="86"/>
        <v>232786.796919093</v>
      </c>
      <c r="N1384" s="258">
        <v>-62984.756756756768</v>
      </c>
      <c r="O1384" s="258">
        <v>-19714.091999999993</v>
      </c>
      <c r="P1384" s="258">
        <v>-9.8133779002666301</v>
      </c>
      <c r="Q1384" s="258">
        <f t="shared" si="87"/>
        <v>150078.13478443597</v>
      </c>
      <c r="R1384" s="259">
        <f t="shared" si="88"/>
        <v>0.64470209122984279</v>
      </c>
      <c r="S1384" s="255">
        <f t="shared" si="85"/>
        <v>25.0286796919093</v>
      </c>
      <c r="T1384" s="255">
        <f t="shared" si="85"/>
        <v>25.0286796919093</v>
      </c>
      <c r="U1384" s="254">
        <v>100300</v>
      </c>
      <c r="V1384" s="254" t="s">
        <v>917</v>
      </c>
      <c r="W1384" s="254" t="s">
        <v>928</v>
      </c>
      <c r="X1384" s="254" t="s">
        <v>446</v>
      </c>
      <c r="Y1384" s="254" t="s">
        <v>843</v>
      </c>
      <c r="Z1384" s="254" t="s">
        <v>1142</v>
      </c>
      <c r="AA1384" s="254" t="s">
        <v>838</v>
      </c>
    </row>
    <row r="1385" spans="1:27" ht="14.4" x14ac:dyDescent="0.3">
      <c r="A1385" s="253">
        <v>13</v>
      </c>
      <c r="B1385" s="254" t="s">
        <v>853</v>
      </c>
      <c r="C1385" s="254">
        <v>7102</v>
      </c>
      <c r="D1385" s="254" t="s">
        <v>906</v>
      </c>
      <c r="E1385" s="254" t="str">
        <f>_xlfn.XLOOKUP(C1385,Clientes!I:I,Clientes!F:F)</f>
        <v>GRUPO MOSAIC FERTILIZANTES DO BRASIL</v>
      </c>
      <c r="F1385" s="254">
        <v>8215</v>
      </c>
      <c r="G1385" s="254" t="s">
        <v>840</v>
      </c>
      <c r="H1385" s="254" t="s">
        <v>947</v>
      </c>
      <c r="I1385" s="255">
        <v>20000</v>
      </c>
      <c r="J1385" s="256">
        <v>20000</v>
      </c>
      <c r="K1385" s="258">
        <v>740848.91888051527</v>
      </c>
      <c r="L1385" s="258">
        <v>-51800.000000000007</v>
      </c>
      <c r="M1385" s="258">
        <f t="shared" si="86"/>
        <v>689048.91888051527</v>
      </c>
      <c r="N1385" s="258">
        <v>-267446.49210526317</v>
      </c>
      <c r="O1385" s="258">
        <v>-11071.1276</v>
      </c>
      <c r="P1385" s="258">
        <v>-5.5110404740361343</v>
      </c>
      <c r="Q1385" s="258">
        <f t="shared" si="87"/>
        <v>410525.78813477803</v>
      </c>
      <c r="R1385" s="259">
        <f t="shared" si="88"/>
        <v>0.59578612909189599</v>
      </c>
      <c r="S1385" s="255">
        <f t="shared" si="85"/>
        <v>37.042445944025765</v>
      </c>
      <c r="T1385" s="255">
        <f t="shared" si="85"/>
        <v>37.042445944025765</v>
      </c>
      <c r="U1385" s="254">
        <v>100300</v>
      </c>
      <c r="V1385" s="254" t="s">
        <v>917</v>
      </c>
      <c r="W1385" s="254" t="s">
        <v>861</v>
      </c>
      <c r="X1385" s="254" t="s">
        <v>446</v>
      </c>
      <c r="Y1385" s="254" t="s">
        <v>843</v>
      </c>
      <c r="Z1385" s="254" t="s">
        <v>1142</v>
      </c>
      <c r="AA1385" s="254" t="s">
        <v>838</v>
      </c>
    </row>
    <row r="1386" spans="1:27" ht="14.4" x14ac:dyDescent="0.3">
      <c r="A1386" s="253">
        <v>13</v>
      </c>
      <c r="B1386" s="254" t="s">
        <v>853</v>
      </c>
      <c r="C1386" s="254">
        <v>2651</v>
      </c>
      <c r="D1386" s="254" t="s">
        <v>1064</v>
      </c>
      <c r="E1386" s="254" t="str">
        <f>_xlfn.XLOOKUP(C1386,Clientes!I:I,Clientes!F:F)</f>
        <v>AGROBROKERS - COLÔMBIA</v>
      </c>
      <c r="F1386" s="254">
        <v>8201</v>
      </c>
      <c r="G1386" s="254" t="s">
        <v>832</v>
      </c>
      <c r="H1386" s="254" t="s">
        <v>916</v>
      </c>
      <c r="I1386" s="255">
        <v>3300</v>
      </c>
      <c r="J1386" s="256">
        <v>3300</v>
      </c>
      <c r="K1386" s="258">
        <v>182269.85813554795</v>
      </c>
      <c r="L1386" s="258">
        <v>0</v>
      </c>
      <c r="M1386" s="258">
        <f t="shared" si="86"/>
        <v>182269.85813554795</v>
      </c>
      <c r="N1386" s="258">
        <v>-67313.212500000009</v>
      </c>
      <c r="O1386" s="258">
        <v>0</v>
      </c>
      <c r="P1386" s="258">
        <v>-1177.0197304492513</v>
      </c>
      <c r="Q1386" s="258">
        <f t="shared" si="87"/>
        <v>113779.6259050987</v>
      </c>
      <c r="R1386" s="259">
        <f t="shared" si="88"/>
        <v>0.62423720009967099</v>
      </c>
      <c r="S1386" s="255">
        <f t="shared" si="85"/>
        <v>55.233290344105441</v>
      </c>
      <c r="T1386" s="255">
        <f t="shared" si="85"/>
        <v>55.233290344105441</v>
      </c>
      <c r="U1386" s="254">
        <v>100300</v>
      </c>
      <c r="V1386" s="254" t="s">
        <v>917</v>
      </c>
      <c r="W1386" s="254" t="s">
        <v>1065</v>
      </c>
      <c r="X1386" s="254" t="s">
        <v>446</v>
      </c>
      <c r="Y1386" s="254" t="s">
        <v>836</v>
      </c>
      <c r="Z1386" s="254" t="s">
        <v>1142</v>
      </c>
      <c r="AA1386" s="254" t="s">
        <v>838</v>
      </c>
    </row>
    <row r="1387" spans="1:27" ht="14.4" x14ac:dyDescent="0.3">
      <c r="A1387" s="253">
        <v>13</v>
      </c>
      <c r="B1387" s="254" t="s">
        <v>853</v>
      </c>
      <c r="C1387" s="254">
        <v>2607</v>
      </c>
      <c r="D1387" s="254" t="s">
        <v>641</v>
      </c>
      <c r="E1387" s="254" t="str">
        <f>_xlfn.XLOOKUP(C1387,Clientes!I:I,Clientes!F:F)</f>
        <v>GEES FERTILIZANTES - BALSAS II</v>
      </c>
      <c r="F1387" s="254">
        <v>8218</v>
      </c>
      <c r="G1387" s="254" t="s">
        <v>897</v>
      </c>
      <c r="H1387" s="254" t="s">
        <v>923</v>
      </c>
      <c r="I1387" s="255">
        <v>12000</v>
      </c>
      <c r="J1387" s="256">
        <v>12000</v>
      </c>
      <c r="K1387" s="258">
        <v>300344.15630291158</v>
      </c>
      <c r="L1387" s="258">
        <v>-21000.000000000004</v>
      </c>
      <c r="M1387" s="258">
        <f t="shared" si="86"/>
        <v>279344.15630291158</v>
      </c>
      <c r="N1387" s="258">
        <v>-123530.67399999998</v>
      </c>
      <c r="O1387" s="258">
        <v>-14498.255999999972</v>
      </c>
      <c r="P1387" s="258">
        <v>-7.2170133436938322</v>
      </c>
      <c r="Q1387" s="258">
        <f t="shared" si="87"/>
        <v>141308.00928956791</v>
      </c>
      <c r="R1387" s="259">
        <f t="shared" si="88"/>
        <v>0.50585632847940509</v>
      </c>
      <c r="S1387" s="255">
        <f t="shared" si="85"/>
        <v>25.0286796919093</v>
      </c>
      <c r="T1387" s="255">
        <f t="shared" si="85"/>
        <v>25.0286796919093</v>
      </c>
      <c r="U1387" s="254">
        <v>100300</v>
      </c>
      <c r="V1387" s="254" t="s">
        <v>917</v>
      </c>
      <c r="W1387" s="254" t="s">
        <v>1148</v>
      </c>
      <c r="X1387" s="254" t="s">
        <v>446</v>
      </c>
      <c r="Y1387" s="254" t="s">
        <v>843</v>
      </c>
      <c r="Z1387" s="254" t="s">
        <v>1142</v>
      </c>
      <c r="AA1387" s="254" t="s">
        <v>838</v>
      </c>
    </row>
    <row r="1388" spans="1:27" ht="14.4" x14ac:dyDescent="0.3">
      <c r="A1388" s="253">
        <v>13</v>
      </c>
      <c r="B1388" s="254" t="s">
        <v>853</v>
      </c>
      <c r="C1388" s="254">
        <v>139</v>
      </c>
      <c r="D1388" s="254" t="s">
        <v>32</v>
      </c>
      <c r="E1388" s="254" t="str">
        <f>_xlfn.XLOOKUP(C1388,Clientes!I:I,Clientes!F:F)</f>
        <v>COMIGO - RIO VERDE</v>
      </c>
      <c r="F1388" s="254">
        <v>8225</v>
      </c>
      <c r="G1388" s="254" t="s">
        <v>867</v>
      </c>
      <c r="H1388" s="254" t="s">
        <v>919</v>
      </c>
      <c r="I1388" s="255">
        <v>27000</v>
      </c>
      <c r="J1388" s="256">
        <v>27000</v>
      </c>
      <c r="K1388" s="258">
        <v>696798.44262275554</v>
      </c>
      <c r="L1388" s="258">
        <v>-48720.000000000044</v>
      </c>
      <c r="M1388" s="258">
        <f t="shared" si="86"/>
        <v>648078.44262275554</v>
      </c>
      <c r="N1388" s="258">
        <v>-170058.84324324326</v>
      </c>
      <c r="O1388" s="258">
        <v>-6320.8859999999995</v>
      </c>
      <c r="P1388" s="258">
        <v>-3.1464417931348172</v>
      </c>
      <c r="Q1388" s="258">
        <f t="shared" si="87"/>
        <v>471695.56693771912</v>
      </c>
      <c r="R1388" s="259">
        <f t="shared" si="88"/>
        <v>0.7278371504362654</v>
      </c>
      <c r="S1388" s="255">
        <f t="shared" si="85"/>
        <v>25.807349726768724</v>
      </c>
      <c r="T1388" s="255">
        <f t="shared" si="85"/>
        <v>25.807349726768724</v>
      </c>
      <c r="U1388" s="254">
        <v>100300</v>
      </c>
      <c r="V1388" s="254" t="s">
        <v>917</v>
      </c>
      <c r="W1388" s="254" t="s">
        <v>890</v>
      </c>
      <c r="X1388" s="254" t="s">
        <v>446</v>
      </c>
      <c r="Y1388" s="254" t="s">
        <v>843</v>
      </c>
      <c r="Z1388" s="254" t="s">
        <v>1142</v>
      </c>
      <c r="AA1388" s="254" t="s">
        <v>838</v>
      </c>
    </row>
    <row r="1389" spans="1:27" ht="14.4" x14ac:dyDescent="0.3">
      <c r="A1389" s="253">
        <v>13</v>
      </c>
      <c r="B1389" s="254" t="s">
        <v>853</v>
      </c>
      <c r="C1389" s="254">
        <v>2622</v>
      </c>
      <c r="D1389" s="254" t="s">
        <v>73</v>
      </c>
      <c r="E1389" s="254" t="str">
        <f>_xlfn.XLOOKUP(C1389,Clientes!I:I,Clientes!F:F)</f>
        <v>ADUFERTIL JUNDIAI</v>
      </c>
      <c r="F1389" s="254">
        <v>8215</v>
      </c>
      <c r="G1389" s="254" t="s">
        <v>908</v>
      </c>
      <c r="H1389" s="254" t="s">
        <v>947</v>
      </c>
      <c r="I1389" s="255">
        <v>24000</v>
      </c>
      <c r="J1389" s="256">
        <v>24000</v>
      </c>
      <c r="K1389" s="258">
        <v>832073.45062158629</v>
      </c>
      <c r="L1389" s="258">
        <v>-99734.399999999994</v>
      </c>
      <c r="M1389" s="258">
        <f t="shared" si="86"/>
        <v>732339.05062158627</v>
      </c>
      <c r="N1389" s="258">
        <v>-320935.7905263158</v>
      </c>
      <c r="O1389" s="258">
        <v>-8810.9319999999989</v>
      </c>
      <c r="P1389" s="258">
        <v>-4.3859491661879266</v>
      </c>
      <c r="Q1389" s="258">
        <f t="shared" si="87"/>
        <v>402587.94214610429</v>
      </c>
      <c r="R1389" s="259">
        <f t="shared" si="88"/>
        <v>0.54972890194016055</v>
      </c>
      <c r="S1389" s="255">
        <f t="shared" si="85"/>
        <v>34.66972710923276</v>
      </c>
      <c r="T1389" s="255">
        <f t="shared" si="85"/>
        <v>34.66972710923276</v>
      </c>
      <c r="U1389" s="254">
        <v>100300</v>
      </c>
      <c r="V1389" s="254" t="s">
        <v>917</v>
      </c>
      <c r="W1389" s="254" t="s">
        <v>948</v>
      </c>
      <c r="X1389" s="254" t="s">
        <v>446</v>
      </c>
      <c r="Y1389" s="254" t="s">
        <v>843</v>
      </c>
      <c r="Z1389" s="254" t="s">
        <v>1142</v>
      </c>
      <c r="AA1389" s="254" t="s">
        <v>838</v>
      </c>
    </row>
    <row r="1390" spans="1:27" ht="14.4" x14ac:dyDescent="0.3">
      <c r="A1390" s="253">
        <v>13</v>
      </c>
      <c r="B1390" s="254" t="s">
        <v>853</v>
      </c>
      <c r="C1390" s="254">
        <v>2003</v>
      </c>
      <c r="D1390" s="254" t="s">
        <v>316</v>
      </c>
      <c r="E1390" s="254" t="str">
        <f>_xlfn.XLOOKUP(C1390,Clientes!I:I,Clientes!F:F)</f>
        <v>GRUPO HERINGER</v>
      </c>
      <c r="F1390" s="254">
        <v>8217</v>
      </c>
      <c r="G1390" s="254" t="s">
        <v>877</v>
      </c>
      <c r="H1390" s="254" t="s">
        <v>927</v>
      </c>
      <c r="I1390" s="255">
        <v>6000</v>
      </c>
      <c r="J1390" s="256">
        <v>6000</v>
      </c>
      <c r="K1390" s="258">
        <v>221894.26267659108</v>
      </c>
      <c r="L1390" s="258">
        <v>-26596.799999999999</v>
      </c>
      <c r="M1390" s="258">
        <f t="shared" si="86"/>
        <v>195297.46267659109</v>
      </c>
      <c r="N1390" s="258">
        <v>-95943.561126760571</v>
      </c>
      <c r="O1390" s="258">
        <v>-14498.255999999972</v>
      </c>
      <c r="P1390" s="258">
        <v>-7.2170133436938322</v>
      </c>
      <c r="Q1390" s="258">
        <f t="shared" si="87"/>
        <v>84848.428536486856</v>
      </c>
      <c r="R1390" s="259">
        <f t="shared" si="88"/>
        <v>0.43445740345840667</v>
      </c>
      <c r="S1390" s="255">
        <f t="shared" si="85"/>
        <v>36.982377112765178</v>
      </c>
      <c r="T1390" s="255">
        <f t="shared" si="85"/>
        <v>36.982377112765178</v>
      </c>
      <c r="U1390" s="254">
        <v>100300</v>
      </c>
      <c r="V1390" s="254" t="s">
        <v>917</v>
      </c>
      <c r="W1390" s="254" t="s">
        <v>878</v>
      </c>
      <c r="X1390" s="254" t="s">
        <v>446</v>
      </c>
      <c r="Y1390" s="254" t="s">
        <v>843</v>
      </c>
      <c r="Z1390" s="254" t="s">
        <v>1142</v>
      </c>
      <c r="AA1390" s="254" t="s">
        <v>838</v>
      </c>
    </row>
    <row r="1391" spans="1:27" ht="14.4" x14ac:dyDescent="0.3">
      <c r="A1391" s="253">
        <v>13</v>
      </c>
      <c r="B1391" s="254" t="s">
        <v>853</v>
      </c>
      <c r="C1391" s="254">
        <v>10207</v>
      </c>
      <c r="D1391" s="254" t="s">
        <v>229</v>
      </c>
      <c r="E1391" s="254" t="str">
        <f>_xlfn.XLOOKUP(C1391,Clientes!I:I,Clientes!F:F)</f>
        <v>GRUPO JOSAPAR</v>
      </c>
      <c r="F1391" s="254">
        <v>8214</v>
      </c>
      <c r="G1391" s="254" t="s">
        <v>877</v>
      </c>
      <c r="H1391" s="254" t="s">
        <v>922</v>
      </c>
      <c r="I1391" s="255">
        <v>12000</v>
      </c>
      <c r="J1391" s="256">
        <v>12000</v>
      </c>
      <c r="K1391" s="258">
        <v>450996.78510445205</v>
      </c>
      <c r="L1391" s="258">
        <v>-54057.599999999999</v>
      </c>
      <c r="M1391" s="258">
        <f t="shared" si="86"/>
        <v>396939.18510445207</v>
      </c>
      <c r="N1391" s="258">
        <v>-132942.25787234041</v>
      </c>
      <c r="O1391" s="258">
        <v>-14498.255999999972</v>
      </c>
      <c r="P1391" s="258">
        <v>-7.2170133436938322</v>
      </c>
      <c r="Q1391" s="258">
        <f t="shared" si="87"/>
        <v>249491.45421876802</v>
      </c>
      <c r="R1391" s="259">
        <f t="shared" si="88"/>
        <v>0.62853823351583671</v>
      </c>
      <c r="S1391" s="255">
        <f t="shared" si="85"/>
        <v>37.583065425371004</v>
      </c>
      <c r="T1391" s="255">
        <f t="shared" si="85"/>
        <v>37.583065425371004</v>
      </c>
      <c r="U1391" s="254">
        <v>100300</v>
      </c>
      <c r="V1391" s="254" t="s">
        <v>917</v>
      </c>
      <c r="W1391" s="254" t="s">
        <v>878</v>
      </c>
      <c r="X1391" s="254" t="s">
        <v>446</v>
      </c>
      <c r="Y1391" s="254" t="s">
        <v>843</v>
      </c>
      <c r="Z1391" s="254" t="s">
        <v>1142</v>
      </c>
      <c r="AA1391" s="254" t="s">
        <v>838</v>
      </c>
    </row>
    <row r="1392" spans="1:27" ht="14.4" x14ac:dyDescent="0.3">
      <c r="A1392" s="253">
        <v>13</v>
      </c>
      <c r="B1392" s="254" t="s">
        <v>853</v>
      </c>
      <c r="C1392" s="254">
        <v>2975</v>
      </c>
      <c r="D1392" s="254" t="s">
        <v>420</v>
      </c>
      <c r="E1392" s="254" t="str">
        <f>_xlfn.XLOOKUP(C1392,Clientes!I:I,Clientes!F:F)</f>
        <v>COONAGRO COOPERATIVA - PARANAGUA</v>
      </c>
      <c r="F1392" s="254">
        <v>8218</v>
      </c>
      <c r="G1392" s="254" t="s">
        <v>862</v>
      </c>
      <c r="H1392" s="254" t="s">
        <v>923</v>
      </c>
      <c r="I1392" s="255">
        <v>6000</v>
      </c>
      <c r="J1392" s="256">
        <v>6000</v>
      </c>
      <c r="K1392" s="258">
        <v>180086.35611922579</v>
      </c>
      <c r="L1392" s="258">
        <v>-21585.599999999999</v>
      </c>
      <c r="M1392" s="258">
        <f t="shared" si="86"/>
        <v>158500.75611922579</v>
      </c>
      <c r="N1392" s="258">
        <v>-61765.336999999992</v>
      </c>
      <c r="O1392" s="258">
        <v>-9901.2479999999723</v>
      </c>
      <c r="P1392" s="258">
        <v>-4.9286920395957834</v>
      </c>
      <c r="Q1392" s="258">
        <f t="shared" si="87"/>
        <v>86829.242427186211</v>
      </c>
      <c r="R1392" s="259">
        <f t="shared" si="88"/>
        <v>0.54781595087074808</v>
      </c>
      <c r="S1392" s="255">
        <f t="shared" si="85"/>
        <v>30.014392686537633</v>
      </c>
      <c r="T1392" s="255">
        <f t="shared" si="85"/>
        <v>30.014392686537633</v>
      </c>
      <c r="U1392" s="254">
        <v>100300</v>
      </c>
      <c r="V1392" s="254" t="s">
        <v>917</v>
      </c>
      <c r="W1392" s="254" t="s">
        <v>864</v>
      </c>
      <c r="X1392" s="254" t="s">
        <v>446</v>
      </c>
      <c r="Y1392" s="254" t="s">
        <v>843</v>
      </c>
      <c r="Z1392" s="254" t="s">
        <v>1142</v>
      </c>
      <c r="AA1392" s="254" t="s">
        <v>838</v>
      </c>
    </row>
    <row r="1393" spans="1:27" ht="14.4" x14ac:dyDescent="0.3">
      <c r="A1393" s="253">
        <v>13</v>
      </c>
      <c r="B1393" s="254" t="s">
        <v>853</v>
      </c>
      <c r="C1393" s="254">
        <v>9294</v>
      </c>
      <c r="D1393" s="254" t="s">
        <v>1013</v>
      </c>
      <c r="E1393" s="254" t="str">
        <f>_xlfn.XLOOKUP(C1393,Clientes!I:I,Clientes!F:F)</f>
        <v>SOLINAG CÍA.LTDA - EQUADOR</v>
      </c>
      <c r="F1393" s="254">
        <v>8207</v>
      </c>
      <c r="G1393" s="254" t="s">
        <v>832</v>
      </c>
      <c r="H1393" s="254" t="s">
        <v>1021</v>
      </c>
      <c r="I1393" s="255">
        <v>1000</v>
      </c>
      <c r="J1393" s="256">
        <v>1000</v>
      </c>
      <c r="K1393" s="258">
        <v>58366.881041532492</v>
      </c>
      <c r="L1393" s="258">
        <v>0</v>
      </c>
      <c r="M1393" s="258">
        <f t="shared" si="86"/>
        <v>58366.881041532492</v>
      </c>
      <c r="N1393" s="258">
        <v>-13792.929999999998</v>
      </c>
      <c r="O1393" s="258">
        <v>-8553.5535359999994</v>
      </c>
      <c r="P1393" s="258">
        <v>-360.93047563626232</v>
      </c>
      <c r="Q1393" s="258">
        <f t="shared" si="87"/>
        <v>35659.46702989623</v>
      </c>
      <c r="R1393" s="259">
        <f t="shared" si="88"/>
        <v>0.61095378738024042</v>
      </c>
      <c r="S1393" s="255">
        <f t="shared" si="85"/>
        <v>58.366881041532494</v>
      </c>
      <c r="T1393" s="255">
        <f t="shared" si="85"/>
        <v>58.366881041532494</v>
      </c>
      <c r="U1393" s="254">
        <v>100300</v>
      </c>
      <c r="V1393" s="254" t="s">
        <v>917</v>
      </c>
      <c r="W1393" s="254" t="s">
        <v>1014</v>
      </c>
      <c r="X1393" s="254" t="s">
        <v>446</v>
      </c>
      <c r="Y1393" s="254" t="s">
        <v>836</v>
      </c>
      <c r="Z1393" s="254" t="s">
        <v>1142</v>
      </c>
      <c r="AA1393" s="254" t="s">
        <v>838</v>
      </c>
    </row>
    <row r="1394" spans="1:27" ht="14.4" x14ac:dyDescent="0.3">
      <c r="A1394" s="253">
        <v>13</v>
      </c>
      <c r="B1394" s="254" t="s">
        <v>853</v>
      </c>
      <c r="C1394" s="254">
        <v>1936</v>
      </c>
      <c r="D1394" s="254" t="s">
        <v>889</v>
      </c>
      <c r="E1394" s="254" t="str">
        <f>_xlfn.XLOOKUP(C1394,Clientes!I:I,Clientes!F:F)</f>
        <v>GRUPO AGRO INDUSTRIAL SAO LUIZ LTDA</v>
      </c>
      <c r="F1394" s="254">
        <v>8218</v>
      </c>
      <c r="G1394" s="254" t="s">
        <v>862</v>
      </c>
      <c r="H1394" s="254" t="s">
        <v>923</v>
      </c>
      <c r="I1394" s="255">
        <v>6000</v>
      </c>
      <c r="J1394" s="256">
        <v>6000</v>
      </c>
      <c r="K1394" s="258">
        <v>180086.35611922579</v>
      </c>
      <c r="L1394" s="258">
        <v>-21585.599999999999</v>
      </c>
      <c r="M1394" s="258">
        <f t="shared" si="86"/>
        <v>158500.75611922579</v>
      </c>
      <c r="N1394" s="258">
        <v>-61765.336999999992</v>
      </c>
      <c r="O1394" s="258">
        <v>0</v>
      </c>
      <c r="P1394" s="258">
        <v>0</v>
      </c>
      <c r="Q1394" s="258">
        <f t="shared" si="87"/>
        <v>96735.419119225786</v>
      </c>
      <c r="R1394" s="259">
        <f t="shared" si="88"/>
        <v>0.61031519020931657</v>
      </c>
      <c r="S1394" s="255">
        <f t="shared" si="85"/>
        <v>30.014392686537633</v>
      </c>
      <c r="T1394" s="255">
        <f t="shared" si="85"/>
        <v>30.014392686537633</v>
      </c>
      <c r="U1394" s="254">
        <v>100300</v>
      </c>
      <c r="V1394" s="254" t="s">
        <v>917</v>
      </c>
      <c r="W1394" s="254" t="s">
        <v>864</v>
      </c>
      <c r="X1394" s="254" t="s">
        <v>446</v>
      </c>
      <c r="Y1394" s="254" t="s">
        <v>843</v>
      </c>
      <c r="Z1394" s="254" t="s">
        <v>1142</v>
      </c>
      <c r="AA1394" s="254" t="s">
        <v>838</v>
      </c>
    </row>
    <row r="1395" spans="1:27" ht="14.4" x14ac:dyDescent="0.3">
      <c r="A1395" s="253">
        <v>13</v>
      </c>
      <c r="B1395" s="254" t="s">
        <v>853</v>
      </c>
      <c r="C1395" s="254">
        <v>2588</v>
      </c>
      <c r="D1395" s="254" t="s">
        <v>70</v>
      </c>
      <c r="E1395" s="254" t="str">
        <f>_xlfn.XLOOKUP(C1395,Clientes!I:I,Clientes!F:F)</f>
        <v>GRUPO FERTILIZ TOCANTINS</v>
      </c>
      <c r="F1395" s="254">
        <v>8217</v>
      </c>
      <c r="G1395" s="254" t="s">
        <v>840</v>
      </c>
      <c r="H1395" s="254" t="s">
        <v>927</v>
      </c>
      <c r="I1395" s="255">
        <v>24000</v>
      </c>
      <c r="J1395" s="256">
        <v>24000</v>
      </c>
      <c r="K1395" s="258">
        <v>887577.05070636433</v>
      </c>
      <c r="L1395" s="258">
        <v>-62059.200000000004</v>
      </c>
      <c r="M1395" s="258">
        <f t="shared" si="86"/>
        <v>825517.85070636438</v>
      </c>
      <c r="N1395" s="258">
        <v>-383774.24450704228</v>
      </c>
      <c r="O1395" s="258">
        <v>-19700.094700000001</v>
      </c>
      <c r="P1395" s="258">
        <v>-9.8064102552701815</v>
      </c>
      <c r="Q1395" s="258">
        <f t="shared" si="87"/>
        <v>422033.70508906682</v>
      </c>
      <c r="R1395" s="259">
        <f t="shared" si="88"/>
        <v>0.51123510500463265</v>
      </c>
      <c r="S1395" s="255">
        <f t="shared" si="85"/>
        <v>36.982377112765178</v>
      </c>
      <c r="T1395" s="255">
        <f t="shared" si="85"/>
        <v>36.982377112765178</v>
      </c>
      <c r="U1395" s="254">
        <v>100300</v>
      </c>
      <c r="V1395" s="254" t="s">
        <v>917</v>
      </c>
      <c r="W1395" s="254" t="s">
        <v>915</v>
      </c>
      <c r="X1395" s="254" t="s">
        <v>446</v>
      </c>
      <c r="Y1395" s="254" t="s">
        <v>843</v>
      </c>
      <c r="Z1395" s="254" t="s">
        <v>1142</v>
      </c>
      <c r="AA1395" s="254" t="s">
        <v>838</v>
      </c>
    </row>
    <row r="1396" spans="1:27" ht="14.4" x14ac:dyDescent="0.3">
      <c r="A1396" s="253">
        <v>13</v>
      </c>
      <c r="B1396" s="254" t="s">
        <v>853</v>
      </c>
      <c r="C1396" s="254">
        <v>729</v>
      </c>
      <c r="D1396" s="254" t="s">
        <v>937</v>
      </c>
      <c r="E1396" s="254" t="str">
        <f>_xlfn.XLOOKUP(C1396,Clientes!I:I,Clientes!F:F)</f>
        <v>GRUPO FERTILIZ TOCANTINS</v>
      </c>
      <c r="F1396" s="254">
        <v>8217</v>
      </c>
      <c r="G1396" s="254" t="s">
        <v>897</v>
      </c>
      <c r="H1396" s="254" t="s">
        <v>927</v>
      </c>
      <c r="I1396" s="255">
        <v>12000</v>
      </c>
      <c r="J1396" s="256">
        <v>12000</v>
      </c>
      <c r="K1396" s="258">
        <v>475504.86825876962</v>
      </c>
      <c r="L1396" s="258">
        <v>-33247.200000000004</v>
      </c>
      <c r="M1396" s="258">
        <f t="shared" si="86"/>
        <v>442257.66825876961</v>
      </c>
      <c r="N1396" s="258">
        <v>-191887.12225352114</v>
      </c>
      <c r="O1396" s="258">
        <v>-19802.496000000036</v>
      </c>
      <c r="P1396" s="258">
        <v>-9.857384079191613</v>
      </c>
      <c r="Q1396" s="258">
        <f t="shared" si="87"/>
        <v>230558.19262116923</v>
      </c>
      <c r="R1396" s="259">
        <f t="shared" si="88"/>
        <v>0.52132096098844172</v>
      </c>
      <c r="S1396" s="255">
        <f t="shared" si="85"/>
        <v>39.625405688230799</v>
      </c>
      <c r="T1396" s="255">
        <f t="shared" si="85"/>
        <v>39.625405688230799</v>
      </c>
      <c r="U1396" s="254">
        <v>100300</v>
      </c>
      <c r="V1396" s="254" t="s">
        <v>917</v>
      </c>
      <c r="W1396" s="254" t="s">
        <v>899</v>
      </c>
      <c r="X1396" s="254" t="s">
        <v>446</v>
      </c>
      <c r="Y1396" s="254" t="s">
        <v>843</v>
      </c>
      <c r="Z1396" s="254" t="s">
        <v>1142</v>
      </c>
      <c r="AA1396" s="254" t="s">
        <v>838</v>
      </c>
    </row>
    <row r="1397" spans="1:27" ht="14.4" x14ac:dyDescent="0.3">
      <c r="A1397" s="253">
        <v>13</v>
      </c>
      <c r="B1397" s="254" t="s">
        <v>853</v>
      </c>
      <c r="C1397" s="254">
        <v>13390</v>
      </c>
      <c r="D1397" s="254" t="s">
        <v>110</v>
      </c>
      <c r="E1397" s="254" t="str">
        <f>_xlfn.XLOOKUP(C1397,Clientes!I:I,Clientes!F:F)</f>
        <v>GRUPO HERINGER</v>
      </c>
      <c r="F1397" s="254">
        <v>8217</v>
      </c>
      <c r="G1397" s="254" t="s">
        <v>956</v>
      </c>
      <c r="H1397" s="254" t="s">
        <v>927</v>
      </c>
      <c r="I1397" s="255">
        <v>12000</v>
      </c>
      <c r="J1397" s="256">
        <v>12000</v>
      </c>
      <c r="K1397" s="258">
        <v>409309.01620960794</v>
      </c>
      <c r="L1397" s="258">
        <v>-28618.800000000003</v>
      </c>
      <c r="M1397" s="258">
        <f t="shared" si="86"/>
        <v>380690.21620960796</v>
      </c>
      <c r="N1397" s="258">
        <v>-191887.12225352114</v>
      </c>
      <c r="O1397" s="258">
        <v>-10254.863999999958</v>
      </c>
      <c r="P1397" s="258">
        <v>-5.1047167552956267</v>
      </c>
      <c r="Q1397" s="258">
        <f t="shared" si="87"/>
        <v>178543.12523933154</v>
      </c>
      <c r="R1397" s="259">
        <f t="shared" si="88"/>
        <v>0.46899846026257141</v>
      </c>
      <c r="S1397" s="255">
        <f t="shared" si="85"/>
        <v>34.109084684133997</v>
      </c>
      <c r="T1397" s="255">
        <f t="shared" si="85"/>
        <v>34.109084684133997</v>
      </c>
      <c r="U1397" s="254">
        <v>100300</v>
      </c>
      <c r="V1397" s="254" t="s">
        <v>917</v>
      </c>
      <c r="W1397" s="254" t="s">
        <v>957</v>
      </c>
      <c r="X1397" s="254" t="s">
        <v>446</v>
      </c>
      <c r="Y1397" s="254" t="s">
        <v>843</v>
      </c>
      <c r="Z1397" s="254" t="s">
        <v>1142</v>
      </c>
      <c r="AA1397" s="254" t="s">
        <v>838</v>
      </c>
    </row>
    <row r="1398" spans="1:27" ht="14.4" x14ac:dyDescent="0.3">
      <c r="A1398" s="253">
        <v>13</v>
      </c>
      <c r="B1398" s="254" t="s">
        <v>853</v>
      </c>
      <c r="C1398" s="254">
        <v>6124</v>
      </c>
      <c r="D1398" s="254" t="s">
        <v>891</v>
      </c>
      <c r="E1398" s="254" t="str">
        <f>_xlfn.XLOOKUP(C1398,Clientes!I:I,Clientes!F:F)</f>
        <v>GRUPO MOSAIC FERTILIZANTES DO BRASIL</v>
      </c>
      <c r="F1398" s="254">
        <v>8215</v>
      </c>
      <c r="G1398" s="254" t="s">
        <v>855</v>
      </c>
      <c r="H1398" s="254" t="s">
        <v>947</v>
      </c>
      <c r="I1398" s="255">
        <v>24000</v>
      </c>
      <c r="J1398" s="256">
        <v>24000</v>
      </c>
      <c r="K1398" s="258">
        <v>870517.50262835901</v>
      </c>
      <c r="L1398" s="258">
        <v>0</v>
      </c>
      <c r="M1398" s="258">
        <f t="shared" si="86"/>
        <v>870517.50262835901</v>
      </c>
      <c r="N1398" s="258">
        <v>-320935.7905263158</v>
      </c>
      <c r="O1398" s="258">
        <v>-4003.2278000000001</v>
      </c>
      <c r="P1398" s="258">
        <v>-1.9927464689853844</v>
      </c>
      <c r="Q1398" s="258">
        <f t="shared" si="87"/>
        <v>545576.49155557423</v>
      </c>
      <c r="R1398" s="259">
        <f t="shared" si="88"/>
        <v>0.62672661940548202</v>
      </c>
      <c r="S1398" s="255">
        <f t="shared" si="85"/>
        <v>36.271562609514959</v>
      </c>
      <c r="T1398" s="255">
        <f t="shared" si="85"/>
        <v>36.271562609514959</v>
      </c>
      <c r="U1398" s="254">
        <v>100300</v>
      </c>
      <c r="V1398" s="254" t="s">
        <v>917</v>
      </c>
      <c r="W1398" s="254" t="s">
        <v>892</v>
      </c>
      <c r="X1398" s="254" t="s">
        <v>446</v>
      </c>
      <c r="Y1398" s="254" t="s">
        <v>843</v>
      </c>
      <c r="Z1398" s="254" t="s">
        <v>1142</v>
      </c>
      <c r="AA1398" s="254" t="s">
        <v>838</v>
      </c>
    </row>
    <row r="1399" spans="1:27" ht="14.4" x14ac:dyDescent="0.3">
      <c r="A1399" s="253">
        <v>11</v>
      </c>
      <c r="B1399" s="254" t="s">
        <v>853</v>
      </c>
      <c r="C1399" s="254">
        <v>5300</v>
      </c>
      <c r="D1399" s="254" t="s">
        <v>25</v>
      </c>
      <c r="E1399" s="254" t="str">
        <f>_xlfn.XLOOKUP(C1399,Clientes!I:I,Clientes!F:F)</f>
        <v>FOSNOR - LUIS EDUARDO MAGALHAES</v>
      </c>
      <c r="F1399" s="254">
        <v>4246</v>
      </c>
      <c r="G1399" s="254" t="s">
        <v>875</v>
      </c>
      <c r="H1399" s="254" t="s">
        <v>959</v>
      </c>
      <c r="I1399" s="255">
        <v>150000</v>
      </c>
      <c r="J1399" s="256">
        <v>150000</v>
      </c>
      <c r="K1399" s="258">
        <v>877500</v>
      </c>
      <c r="L1399" s="258">
        <v>-61425.000000000007</v>
      </c>
      <c r="M1399" s="258">
        <f t="shared" si="86"/>
        <v>816075</v>
      </c>
      <c r="N1399" s="258">
        <v>-395655.75</v>
      </c>
      <c r="O1399" s="258">
        <v>-77419.165823999996</v>
      </c>
      <c r="P1399" s="258">
        <v>-38.538094016925527</v>
      </c>
      <c r="Q1399" s="258">
        <f t="shared" si="87"/>
        <v>342961.54608198308</v>
      </c>
      <c r="R1399" s="259">
        <f t="shared" si="88"/>
        <v>0.42025738575741578</v>
      </c>
      <c r="S1399" s="255">
        <f t="shared" si="85"/>
        <v>5.85</v>
      </c>
      <c r="T1399" s="255">
        <f t="shared" si="85"/>
        <v>5.85</v>
      </c>
      <c r="U1399" s="254">
        <v>100700</v>
      </c>
      <c r="V1399" s="254" t="s">
        <v>960</v>
      </c>
      <c r="W1399" s="254" t="s">
        <v>961</v>
      </c>
      <c r="X1399" s="254" t="s">
        <v>446</v>
      </c>
      <c r="Y1399" s="254" t="s">
        <v>843</v>
      </c>
      <c r="Z1399" s="254" t="s">
        <v>1142</v>
      </c>
      <c r="AA1399" s="254" t="s">
        <v>838</v>
      </c>
    </row>
    <row r="1400" spans="1:27" ht="14.4" x14ac:dyDescent="0.3">
      <c r="A1400" s="253">
        <v>11</v>
      </c>
      <c r="B1400" s="254" t="s">
        <v>853</v>
      </c>
      <c r="C1400" s="254">
        <v>12629</v>
      </c>
      <c r="D1400" s="254" t="s">
        <v>109</v>
      </c>
      <c r="E1400" s="254" t="str">
        <f>_xlfn.XLOOKUP(C1400,Clientes!I:I,Clientes!F:F)</f>
        <v>EUROCHEM SERRA DO SALITRE</v>
      </c>
      <c r="F1400" s="254">
        <v>3359</v>
      </c>
      <c r="G1400" s="254" t="s">
        <v>855</v>
      </c>
      <c r="H1400" s="254" t="s">
        <v>967</v>
      </c>
      <c r="I1400" s="255">
        <v>120000</v>
      </c>
      <c r="J1400" s="256">
        <v>120000</v>
      </c>
      <c r="K1400" s="258">
        <v>654000</v>
      </c>
      <c r="L1400" s="258">
        <v>-117720</v>
      </c>
      <c r="M1400" s="258">
        <f t="shared" si="86"/>
        <v>536280</v>
      </c>
      <c r="N1400" s="258">
        <v>-295121.07692307694</v>
      </c>
      <c r="O1400" s="258">
        <v>-16891.454361600001</v>
      </c>
      <c r="P1400" s="258">
        <v>-8.4083114218746609</v>
      </c>
      <c r="Q1400" s="258">
        <f t="shared" si="87"/>
        <v>224259.06040390121</v>
      </c>
      <c r="R1400" s="259">
        <f t="shared" si="88"/>
        <v>0.41817531961643395</v>
      </c>
      <c r="S1400" s="255">
        <f t="shared" si="85"/>
        <v>5.45</v>
      </c>
      <c r="T1400" s="255">
        <f t="shared" si="85"/>
        <v>5.45</v>
      </c>
      <c r="U1400" s="254">
        <v>100700</v>
      </c>
      <c r="V1400" s="254" t="s">
        <v>960</v>
      </c>
      <c r="W1400" s="254" t="s">
        <v>968</v>
      </c>
      <c r="X1400" s="254" t="s">
        <v>446</v>
      </c>
      <c r="Y1400" s="254" t="s">
        <v>843</v>
      </c>
      <c r="Z1400" s="254" t="s">
        <v>1142</v>
      </c>
      <c r="AA1400" s="254" t="s">
        <v>838</v>
      </c>
    </row>
    <row r="1401" spans="1:27" ht="14.4" x14ac:dyDescent="0.3">
      <c r="A1401" s="253">
        <v>11</v>
      </c>
      <c r="B1401" s="254" t="s">
        <v>853</v>
      </c>
      <c r="C1401" s="254">
        <v>6477</v>
      </c>
      <c r="D1401" s="254" t="s">
        <v>87</v>
      </c>
      <c r="E1401" s="254" t="str">
        <f>_xlfn.XLOOKUP(C1401,Clientes!I:I,Clientes!F:F)</f>
        <v>GRUPO MOSAIC FERTILIZANTES DO BRASIL</v>
      </c>
      <c r="F1401" s="254">
        <v>3362</v>
      </c>
      <c r="G1401" s="254" t="s">
        <v>862</v>
      </c>
      <c r="H1401" s="254" t="s">
        <v>1097</v>
      </c>
      <c r="I1401" s="255">
        <v>200000</v>
      </c>
      <c r="J1401" s="256">
        <v>200000</v>
      </c>
      <c r="K1401" s="258">
        <v>1226000</v>
      </c>
      <c r="L1401" s="258">
        <v>-147120</v>
      </c>
      <c r="M1401" s="258">
        <f t="shared" si="86"/>
        <v>1078880</v>
      </c>
      <c r="N1401" s="258">
        <v>-635544</v>
      </c>
      <c r="O1401" s="258">
        <v>-93664.038</v>
      </c>
      <c r="P1401" s="258">
        <v>-46.624546570997751</v>
      </c>
      <c r="Q1401" s="258">
        <f t="shared" si="87"/>
        <v>349625.33745342901</v>
      </c>
      <c r="R1401" s="259">
        <f t="shared" si="88"/>
        <v>0.32406322988045844</v>
      </c>
      <c r="S1401" s="255">
        <f t="shared" si="85"/>
        <v>6.13</v>
      </c>
      <c r="T1401" s="255">
        <f t="shared" si="85"/>
        <v>6.13</v>
      </c>
      <c r="U1401" s="254">
        <v>100700</v>
      </c>
      <c r="V1401" s="254" t="s">
        <v>960</v>
      </c>
      <c r="W1401" s="254" t="s">
        <v>864</v>
      </c>
      <c r="X1401" s="254" t="s">
        <v>446</v>
      </c>
      <c r="Y1401" s="254" t="s">
        <v>843</v>
      </c>
      <c r="Z1401" s="254" t="s">
        <v>1142</v>
      </c>
      <c r="AA1401" s="254" t="s">
        <v>838</v>
      </c>
    </row>
    <row r="1402" spans="1:27" ht="14.4" x14ac:dyDescent="0.3">
      <c r="A1402" s="253">
        <v>11</v>
      </c>
      <c r="B1402" s="254" t="s">
        <v>853</v>
      </c>
      <c r="C1402" s="254">
        <v>1787</v>
      </c>
      <c r="D1402" s="254" t="s">
        <v>57</v>
      </c>
      <c r="E1402" s="254" t="str">
        <f>_xlfn.XLOOKUP(C1402,Clientes!I:I,Clientes!F:F)</f>
        <v>GRUPO MOSAIC FERTILIZANTES P K LTDA</v>
      </c>
      <c r="F1402" s="254">
        <v>3359</v>
      </c>
      <c r="G1402" s="254" t="s">
        <v>855</v>
      </c>
      <c r="H1402" s="254" t="s">
        <v>967</v>
      </c>
      <c r="I1402" s="255">
        <v>240000</v>
      </c>
      <c r="J1402" s="256">
        <v>240000</v>
      </c>
      <c r="K1402" s="258">
        <v>931200</v>
      </c>
      <c r="L1402" s="258">
        <v>0</v>
      </c>
      <c r="M1402" s="258">
        <f t="shared" si="86"/>
        <v>931200</v>
      </c>
      <c r="N1402" s="258">
        <v>-590242.15384615387</v>
      </c>
      <c r="O1402" s="258">
        <v>-19537.284</v>
      </c>
      <c r="P1402" s="258">
        <v>-9.7253655424167071</v>
      </c>
      <c r="Q1402" s="258">
        <f t="shared" si="87"/>
        <v>321410.83678830374</v>
      </c>
      <c r="R1402" s="259">
        <f t="shared" si="88"/>
        <v>0.34515768555444992</v>
      </c>
      <c r="S1402" s="255">
        <f t="shared" si="85"/>
        <v>3.88</v>
      </c>
      <c r="T1402" s="255">
        <f t="shared" si="85"/>
        <v>3.88</v>
      </c>
      <c r="U1402" s="254">
        <v>100700</v>
      </c>
      <c r="V1402" s="254" t="s">
        <v>960</v>
      </c>
      <c r="W1402" s="254" t="s">
        <v>892</v>
      </c>
      <c r="X1402" s="254" t="s">
        <v>446</v>
      </c>
      <c r="Y1402" s="254" t="s">
        <v>843</v>
      </c>
      <c r="Z1402" s="254" t="s">
        <v>1142</v>
      </c>
      <c r="AA1402" s="254" t="s">
        <v>838</v>
      </c>
    </row>
    <row r="1403" spans="1:27" ht="14.4" x14ac:dyDescent="0.3">
      <c r="A1403" s="253">
        <v>11</v>
      </c>
      <c r="B1403" s="254" t="s">
        <v>853</v>
      </c>
      <c r="C1403" s="254">
        <v>11724</v>
      </c>
      <c r="D1403" s="254" t="s">
        <v>107</v>
      </c>
      <c r="E1403" s="254" t="str">
        <f>_xlfn.XLOOKUP(C1403,Clientes!I:I,Clientes!F:F)</f>
        <v>GRUPO HINOVE</v>
      </c>
      <c r="F1403" s="254">
        <v>14142</v>
      </c>
      <c r="G1403" s="254" t="s">
        <v>908</v>
      </c>
      <c r="H1403" s="254" t="s">
        <v>962</v>
      </c>
      <c r="I1403" s="255">
        <v>22400</v>
      </c>
      <c r="J1403" s="256">
        <v>22400</v>
      </c>
      <c r="K1403" s="258">
        <v>135520</v>
      </c>
      <c r="L1403" s="258">
        <v>-16262.4</v>
      </c>
      <c r="M1403" s="258">
        <f t="shared" si="86"/>
        <v>119257.60000000001</v>
      </c>
      <c r="N1403" s="258">
        <v>-71746.477633136092</v>
      </c>
      <c r="O1403" s="258">
        <v>-8802.3245506559997</v>
      </c>
      <c r="P1403" s="258">
        <v>-4.381664507621351</v>
      </c>
      <c r="Q1403" s="258">
        <f t="shared" si="87"/>
        <v>38704.416151700294</v>
      </c>
      <c r="R1403" s="259">
        <f t="shared" si="88"/>
        <v>0.32454465083734951</v>
      </c>
      <c r="S1403" s="255">
        <f t="shared" si="85"/>
        <v>6.05</v>
      </c>
      <c r="T1403" s="255">
        <f t="shared" si="85"/>
        <v>6.05</v>
      </c>
      <c r="U1403" s="254">
        <v>100700</v>
      </c>
      <c r="V1403" s="254" t="s">
        <v>960</v>
      </c>
      <c r="W1403" s="254" t="s">
        <v>963</v>
      </c>
      <c r="X1403" s="254" t="s">
        <v>446</v>
      </c>
      <c r="Y1403" s="254" t="s">
        <v>843</v>
      </c>
      <c r="Z1403" s="254" t="s">
        <v>1142</v>
      </c>
      <c r="AA1403" s="254" t="s">
        <v>838</v>
      </c>
    </row>
    <row r="1404" spans="1:27" ht="14.4" x14ac:dyDescent="0.3">
      <c r="A1404" s="253">
        <v>11</v>
      </c>
      <c r="B1404" s="254" t="s">
        <v>853</v>
      </c>
      <c r="C1404" s="254">
        <v>2949</v>
      </c>
      <c r="D1404" s="254" t="s">
        <v>720</v>
      </c>
      <c r="E1404" s="254" t="str">
        <f>_xlfn.XLOOKUP(C1404,Clientes!I:I,Clientes!F:F)</f>
        <v>GRUPO MOSAIC FERTILIZANTES DO BRASIL</v>
      </c>
      <c r="F1404" s="254">
        <v>3362</v>
      </c>
      <c r="G1404" s="254" t="s">
        <v>875</v>
      </c>
      <c r="H1404" s="254" t="s">
        <v>1097</v>
      </c>
      <c r="I1404" s="255">
        <v>30000</v>
      </c>
      <c r="J1404" s="256">
        <v>30000</v>
      </c>
      <c r="K1404" s="258">
        <v>160200</v>
      </c>
      <c r="L1404" s="258">
        <v>-11214.000000000002</v>
      </c>
      <c r="M1404" s="258">
        <f t="shared" si="86"/>
        <v>148986</v>
      </c>
      <c r="N1404" s="258">
        <v>-95331.6</v>
      </c>
      <c r="O1404" s="258">
        <v>-21548.474999999999</v>
      </c>
      <c r="P1404" s="258">
        <v>-10.726506112959605</v>
      </c>
      <c r="Q1404" s="258">
        <f t="shared" si="87"/>
        <v>32095.198493887037</v>
      </c>
      <c r="R1404" s="259">
        <f t="shared" si="88"/>
        <v>0.21542425794294121</v>
      </c>
      <c r="S1404" s="255">
        <f t="shared" si="85"/>
        <v>5.34</v>
      </c>
      <c r="T1404" s="255">
        <f t="shared" si="85"/>
        <v>5.34</v>
      </c>
      <c r="U1404" s="254">
        <v>100700</v>
      </c>
      <c r="V1404" s="254" t="s">
        <v>960</v>
      </c>
      <c r="W1404" s="254" t="s">
        <v>876</v>
      </c>
      <c r="X1404" s="254" t="s">
        <v>446</v>
      </c>
      <c r="Y1404" s="254" t="s">
        <v>843</v>
      </c>
      <c r="Z1404" s="254" t="s">
        <v>1142</v>
      </c>
      <c r="AA1404" s="254" t="s">
        <v>838</v>
      </c>
    </row>
    <row r="1405" spans="1:27" ht="14.4" x14ac:dyDescent="0.3">
      <c r="A1405" s="253">
        <v>11</v>
      </c>
      <c r="B1405" s="254" t="s">
        <v>853</v>
      </c>
      <c r="C1405" s="254">
        <v>2603</v>
      </c>
      <c r="D1405" s="254" t="s">
        <v>1074</v>
      </c>
      <c r="E1405" s="254" t="str">
        <f>_xlfn.XLOOKUP(C1405,Clientes!I:I,Clientes!F:F)</f>
        <v>GRUPO MOSAIC FERTILIZANTES DO BRASIL</v>
      </c>
      <c r="F1405" s="254">
        <v>3362</v>
      </c>
      <c r="G1405" s="254" t="s">
        <v>897</v>
      </c>
      <c r="H1405" s="254" t="s">
        <v>1097</v>
      </c>
      <c r="I1405" s="255">
        <v>30000</v>
      </c>
      <c r="J1405" s="256">
        <v>30000</v>
      </c>
      <c r="K1405" s="258">
        <v>193200</v>
      </c>
      <c r="L1405" s="258">
        <v>-13524.000000000002</v>
      </c>
      <c r="M1405" s="258">
        <f t="shared" si="86"/>
        <v>179676</v>
      </c>
      <c r="N1405" s="258">
        <v>-95331.6</v>
      </c>
      <c r="O1405" s="258">
        <v>0</v>
      </c>
      <c r="P1405" s="258">
        <v>0</v>
      </c>
      <c r="Q1405" s="258">
        <f t="shared" si="87"/>
        <v>84344.4</v>
      </c>
      <c r="R1405" s="259">
        <f t="shared" si="88"/>
        <v>0.46942496493688635</v>
      </c>
      <c r="S1405" s="255">
        <f t="shared" si="85"/>
        <v>6.44</v>
      </c>
      <c r="T1405" s="255">
        <f t="shared" si="85"/>
        <v>6.44</v>
      </c>
      <c r="U1405" s="254">
        <v>100700</v>
      </c>
      <c r="V1405" s="254" t="s">
        <v>960</v>
      </c>
      <c r="W1405" s="254" t="s">
        <v>899</v>
      </c>
      <c r="X1405" s="254" t="s">
        <v>446</v>
      </c>
      <c r="Y1405" s="254" t="s">
        <v>843</v>
      </c>
      <c r="Z1405" s="254" t="s">
        <v>1142</v>
      </c>
      <c r="AA1405" s="254" t="s">
        <v>838</v>
      </c>
    </row>
    <row r="1406" spans="1:27" ht="14.4" x14ac:dyDescent="0.3">
      <c r="A1406" s="253">
        <v>11</v>
      </c>
      <c r="B1406" s="254" t="s">
        <v>853</v>
      </c>
      <c r="C1406" s="254">
        <v>2225</v>
      </c>
      <c r="D1406" s="254" t="s">
        <v>617</v>
      </c>
      <c r="E1406" s="254" t="str">
        <f>_xlfn.XLOOKUP(C1406,Clientes!I:I,Clientes!F:F)</f>
        <v>ITAFOS - ARRAIAS/TO</v>
      </c>
      <c r="F1406" s="254">
        <v>3351</v>
      </c>
      <c r="G1406" s="254" t="s">
        <v>974</v>
      </c>
      <c r="H1406" s="254" t="s">
        <v>965</v>
      </c>
      <c r="I1406" s="255">
        <v>60000</v>
      </c>
      <c r="J1406" s="256">
        <v>60000</v>
      </c>
      <c r="K1406" s="258">
        <v>324000</v>
      </c>
      <c r="L1406" s="258">
        <v>-22680.000000000004</v>
      </c>
      <c r="M1406" s="258">
        <f t="shared" si="86"/>
        <v>301320</v>
      </c>
      <c r="N1406" s="258">
        <v>-190887.73714285716</v>
      </c>
      <c r="O1406" s="258">
        <v>-27549.157708799998</v>
      </c>
      <c r="P1406" s="258">
        <v>-13.713555533295576</v>
      </c>
      <c r="Q1406" s="258">
        <f t="shared" si="87"/>
        <v>82869.391592809552</v>
      </c>
      <c r="R1406" s="259">
        <f t="shared" si="88"/>
        <v>0.27502121197666785</v>
      </c>
      <c r="S1406" s="255">
        <f t="shared" si="85"/>
        <v>5.4</v>
      </c>
      <c r="T1406" s="255">
        <f t="shared" si="85"/>
        <v>5.4</v>
      </c>
      <c r="U1406" s="254">
        <v>100700</v>
      </c>
      <c r="V1406" s="254" t="s">
        <v>960</v>
      </c>
      <c r="W1406" s="254" t="s">
        <v>975</v>
      </c>
      <c r="X1406" s="254" t="s">
        <v>446</v>
      </c>
      <c r="Y1406" s="254" t="s">
        <v>843</v>
      </c>
      <c r="Z1406" s="254" t="s">
        <v>1142</v>
      </c>
      <c r="AA1406" s="254" t="s">
        <v>838</v>
      </c>
    </row>
    <row r="1407" spans="1:27" ht="14.4" x14ac:dyDescent="0.3">
      <c r="A1407" s="253">
        <v>11</v>
      </c>
      <c r="B1407" s="254" t="s">
        <v>853</v>
      </c>
      <c r="C1407" s="254">
        <v>456</v>
      </c>
      <c r="D1407" s="254" t="s">
        <v>312</v>
      </c>
      <c r="E1407" s="254" t="str">
        <f>_xlfn.XLOOKUP(C1407,Clientes!I:I,Clientes!F:F)</f>
        <v>GRUPO FERTIPAR FERTILIZANTES DO NORDESTE</v>
      </c>
      <c r="F1407" s="254">
        <v>3353</v>
      </c>
      <c r="G1407" s="254" t="s">
        <v>875</v>
      </c>
      <c r="H1407" s="254" t="s">
        <v>972</v>
      </c>
      <c r="I1407" s="255">
        <v>30000</v>
      </c>
      <c r="J1407" s="256">
        <v>30000</v>
      </c>
      <c r="K1407" s="258">
        <v>185400</v>
      </c>
      <c r="L1407" s="258">
        <v>-12978.000000000002</v>
      </c>
      <c r="M1407" s="258">
        <f t="shared" si="86"/>
        <v>172422</v>
      </c>
      <c r="N1407" s="258">
        <v>-97302.37</v>
      </c>
      <c r="O1407" s="258">
        <v>-21548.474999999999</v>
      </c>
      <c r="P1407" s="258">
        <v>-10.726506112959605</v>
      </c>
      <c r="Q1407" s="258">
        <f t="shared" si="87"/>
        <v>53560.428493887048</v>
      </c>
      <c r="R1407" s="259">
        <f t="shared" si="88"/>
        <v>0.31063569900527221</v>
      </c>
      <c r="S1407" s="255">
        <f t="shared" si="85"/>
        <v>6.18</v>
      </c>
      <c r="T1407" s="255">
        <f t="shared" si="85"/>
        <v>6.18</v>
      </c>
      <c r="U1407" s="254">
        <v>100700</v>
      </c>
      <c r="V1407" s="254" t="s">
        <v>960</v>
      </c>
      <c r="W1407" s="254" t="s">
        <v>876</v>
      </c>
      <c r="X1407" s="254" t="s">
        <v>446</v>
      </c>
      <c r="Y1407" s="254" t="s">
        <v>843</v>
      </c>
      <c r="Z1407" s="254" t="s">
        <v>1142</v>
      </c>
      <c r="AA1407" s="254" t="s">
        <v>838</v>
      </c>
    </row>
    <row r="1408" spans="1:27" ht="14.4" x14ac:dyDescent="0.3">
      <c r="A1408" s="253">
        <v>11</v>
      </c>
      <c r="B1408" s="254" t="s">
        <v>853</v>
      </c>
      <c r="C1408" s="254">
        <v>1789</v>
      </c>
      <c r="D1408" s="254" t="s">
        <v>61</v>
      </c>
      <c r="E1408" s="254" t="str">
        <f>_xlfn.XLOOKUP(C1408,Clientes!I:I,Clientes!F:F)</f>
        <v>GRUPO MOSAIC FERTILIZANTES P K LTDA</v>
      </c>
      <c r="F1408" s="254">
        <v>3359</v>
      </c>
      <c r="G1408" s="254" t="s">
        <v>855</v>
      </c>
      <c r="H1408" s="254" t="s">
        <v>967</v>
      </c>
      <c r="I1408" s="255">
        <v>240000</v>
      </c>
      <c r="J1408" s="256">
        <v>240000</v>
      </c>
      <c r="K1408" s="258">
        <v>931200</v>
      </c>
      <c r="L1408" s="258">
        <v>0</v>
      </c>
      <c r="M1408" s="258">
        <f t="shared" si="86"/>
        <v>931200</v>
      </c>
      <c r="N1408" s="258">
        <v>-590242.15384615387</v>
      </c>
      <c r="O1408" s="258">
        <v>-25337.181542399998</v>
      </c>
      <c r="P1408" s="258">
        <v>-12.61246713281199</v>
      </c>
      <c r="Q1408" s="258">
        <f t="shared" si="87"/>
        <v>315608.05214431335</v>
      </c>
      <c r="R1408" s="259">
        <f t="shared" si="88"/>
        <v>0.33892617283538806</v>
      </c>
      <c r="S1408" s="255">
        <f t="shared" si="85"/>
        <v>3.88</v>
      </c>
      <c r="T1408" s="255">
        <f t="shared" si="85"/>
        <v>3.88</v>
      </c>
      <c r="U1408" s="254">
        <v>100700</v>
      </c>
      <c r="V1408" s="254" t="s">
        <v>960</v>
      </c>
      <c r="W1408" s="254" t="s">
        <v>969</v>
      </c>
      <c r="X1408" s="254" t="s">
        <v>446</v>
      </c>
      <c r="Y1408" s="254" t="s">
        <v>843</v>
      </c>
      <c r="Z1408" s="254" t="s">
        <v>1142</v>
      </c>
      <c r="AA1408" s="254" t="s">
        <v>838</v>
      </c>
    </row>
    <row r="1409" spans="1:27" ht="14.4" x14ac:dyDescent="0.3">
      <c r="A1409" s="253">
        <v>11</v>
      </c>
      <c r="B1409" s="254" t="s">
        <v>853</v>
      </c>
      <c r="C1409" s="254">
        <v>1792</v>
      </c>
      <c r="D1409" s="254" t="s">
        <v>970</v>
      </c>
      <c r="E1409" s="254" t="str">
        <f>_xlfn.XLOOKUP(C1409,Clientes!I:I,Clientes!F:F)</f>
        <v>GRUPO MOSAIC FERTILIZANTES P K LTDA</v>
      </c>
      <c r="F1409" s="254">
        <v>3359</v>
      </c>
      <c r="G1409" s="254" t="s">
        <v>867</v>
      </c>
      <c r="H1409" s="254" t="s">
        <v>967</v>
      </c>
      <c r="I1409" s="255">
        <v>120000</v>
      </c>
      <c r="J1409" s="256">
        <v>120000</v>
      </c>
      <c r="K1409" s="258">
        <v>468000</v>
      </c>
      <c r="L1409" s="258">
        <v>-32760.000000000004</v>
      </c>
      <c r="M1409" s="258">
        <f t="shared" si="86"/>
        <v>435240</v>
      </c>
      <c r="N1409" s="258">
        <v>-295121.07692307694</v>
      </c>
      <c r="O1409" s="258">
        <v>-9768.6419999999998</v>
      </c>
      <c r="P1409" s="258">
        <v>-4.8626827712083536</v>
      </c>
      <c r="Q1409" s="258">
        <f t="shared" si="87"/>
        <v>130345.41839415186</v>
      </c>
      <c r="R1409" s="259">
        <f t="shared" si="88"/>
        <v>0.29947940996726369</v>
      </c>
      <c r="S1409" s="255">
        <f t="shared" si="85"/>
        <v>3.9</v>
      </c>
      <c r="T1409" s="255">
        <f t="shared" si="85"/>
        <v>3.9</v>
      </c>
      <c r="U1409" s="254">
        <v>100700</v>
      </c>
      <c r="V1409" s="254" t="s">
        <v>960</v>
      </c>
      <c r="W1409" s="254" t="s">
        <v>871</v>
      </c>
      <c r="X1409" s="254" t="s">
        <v>446</v>
      </c>
      <c r="Y1409" s="254" t="s">
        <v>843</v>
      </c>
      <c r="Z1409" s="254" t="s">
        <v>1142</v>
      </c>
      <c r="AA1409" s="254" t="s">
        <v>838</v>
      </c>
    </row>
    <row r="1410" spans="1:27" ht="14.4" x14ac:dyDescent="0.3">
      <c r="A1410" s="253">
        <v>11</v>
      </c>
      <c r="B1410" s="254" t="s">
        <v>853</v>
      </c>
      <c r="C1410" s="254">
        <v>12741</v>
      </c>
      <c r="D1410" s="254" t="s">
        <v>964</v>
      </c>
      <c r="E1410" s="254" t="str">
        <f>_xlfn.XLOOKUP(C1410,Clientes!I:I,Clientes!F:F)</f>
        <v>GRUPO HINOVE</v>
      </c>
      <c r="F1410" s="254">
        <v>3351</v>
      </c>
      <c r="G1410" s="254" t="s">
        <v>908</v>
      </c>
      <c r="H1410" s="254" t="s">
        <v>965</v>
      </c>
      <c r="I1410" s="255">
        <v>30000</v>
      </c>
      <c r="J1410" s="256">
        <v>30000</v>
      </c>
      <c r="K1410" s="258">
        <v>175500</v>
      </c>
      <c r="L1410" s="258">
        <v>-21060</v>
      </c>
      <c r="M1410" s="258">
        <f t="shared" si="86"/>
        <v>154440</v>
      </c>
      <c r="N1410" s="258">
        <v>-95443.868571428582</v>
      </c>
      <c r="O1410" s="258">
        <v>0</v>
      </c>
      <c r="P1410" s="258">
        <v>0</v>
      </c>
      <c r="Q1410" s="258">
        <f t="shared" si="87"/>
        <v>58996.131428571418</v>
      </c>
      <c r="R1410" s="259">
        <f t="shared" si="88"/>
        <v>0.38200033300033293</v>
      </c>
      <c r="S1410" s="255">
        <f t="shared" si="85"/>
        <v>5.85</v>
      </c>
      <c r="T1410" s="255">
        <f t="shared" si="85"/>
        <v>5.85</v>
      </c>
      <c r="U1410" s="254">
        <v>100700</v>
      </c>
      <c r="V1410" s="254" t="s">
        <v>960</v>
      </c>
      <c r="W1410" s="254" t="s">
        <v>966</v>
      </c>
      <c r="X1410" s="254" t="s">
        <v>446</v>
      </c>
      <c r="Y1410" s="254" t="s">
        <v>843</v>
      </c>
      <c r="Z1410" s="254" t="s">
        <v>1142</v>
      </c>
      <c r="AA1410" s="254" t="s">
        <v>838</v>
      </c>
    </row>
    <row r="1411" spans="1:27" ht="14.4" x14ac:dyDescent="0.3">
      <c r="A1411" s="253">
        <v>11</v>
      </c>
      <c r="B1411" s="254" t="s">
        <v>853</v>
      </c>
      <c r="C1411" s="254">
        <v>201</v>
      </c>
      <c r="D1411" s="254" t="s">
        <v>288</v>
      </c>
      <c r="E1411" s="254" t="str">
        <f>_xlfn.XLOOKUP(C1411,Clientes!I:I,Clientes!F:F)</f>
        <v>GRUPO JOSAPAR</v>
      </c>
      <c r="F1411" s="254">
        <v>14142</v>
      </c>
      <c r="G1411" s="254" t="s">
        <v>877</v>
      </c>
      <c r="H1411" s="254" t="s">
        <v>962</v>
      </c>
      <c r="I1411" s="255">
        <v>11400</v>
      </c>
      <c r="J1411" s="256">
        <v>11400</v>
      </c>
      <c r="K1411" s="258">
        <v>87666</v>
      </c>
      <c r="L1411" s="258">
        <v>-10519.92</v>
      </c>
      <c r="M1411" s="258">
        <f t="shared" si="86"/>
        <v>77146.080000000002</v>
      </c>
      <c r="N1411" s="258">
        <v>-36513.832366863906</v>
      </c>
      <c r="O1411" s="258">
        <v>-20182.774352831999</v>
      </c>
      <c r="P1411" s="258">
        <v>-10.046680912321488</v>
      </c>
      <c r="Q1411" s="258">
        <f t="shared" si="87"/>
        <v>20439.426599391776</v>
      </c>
      <c r="R1411" s="259">
        <f t="shared" si="88"/>
        <v>0.26494446120129211</v>
      </c>
      <c r="S1411" s="255">
        <f t="shared" ref="S1411:T1474" si="89">$K1411/I1411</f>
        <v>7.69</v>
      </c>
      <c r="T1411" s="255">
        <f t="shared" si="89"/>
        <v>7.69</v>
      </c>
      <c r="U1411" s="254">
        <v>100700</v>
      </c>
      <c r="V1411" s="254" t="s">
        <v>960</v>
      </c>
      <c r="W1411" s="254" t="s">
        <v>1109</v>
      </c>
      <c r="X1411" s="254" t="s">
        <v>446</v>
      </c>
      <c r="Y1411" s="254" t="s">
        <v>843</v>
      </c>
      <c r="Z1411" s="254" t="s">
        <v>1142</v>
      </c>
      <c r="AA1411" s="254" t="s">
        <v>838</v>
      </c>
    </row>
    <row r="1412" spans="1:27" ht="14.4" x14ac:dyDescent="0.3">
      <c r="A1412" s="253">
        <v>11</v>
      </c>
      <c r="B1412" s="254" t="s">
        <v>853</v>
      </c>
      <c r="C1412" s="254">
        <v>12365</v>
      </c>
      <c r="D1412" s="254" t="s">
        <v>319</v>
      </c>
      <c r="E1412" s="254" t="str">
        <f>_xlfn.XLOOKUP(C1412,Clientes!I:I,Clientes!F:F)</f>
        <v>INDORAMA - SENEGAL</v>
      </c>
      <c r="F1412" s="254">
        <v>7010</v>
      </c>
      <c r="G1412" s="254" t="s">
        <v>832</v>
      </c>
      <c r="H1412" s="254" t="s">
        <v>971</v>
      </c>
      <c r="I1412" s="255">
        <v>24300</v>
      </c>
      <c r="J1412" s="256">
        <v>24300</v>
      </c>
      <c r="K1412" s="258">
        <v>154548</v>
      </c>
      <c r="L1412" s="258">
        <v>0</v>
      </c>
      <c r="M1412" s="258">
        <f t="shared" ref="M1412:M1475" si="90">SUM(K1412:L1412)</f>
        <v>154548</v>
      </c>
      <c r="N1412" s="258">
        <v>-65828.7</v>
      </c>
      <c r="O1412" s="258">
        <v>0</v>
      </c>
      <c r="P1412" s="258">
        <v>-8667.1452878535765</v>
      </c>
      <c r="Q1412" s="258">
        <f t="shared" ref="Q1412:Q1475" si="91">SUM(M1412:P1412)</f>
        <v>80052.154712146425</v>
      </c>
      <c r="R1412" s="259">
        <f t="shared" ref="R1412:R1475" si="92">Q1412/M1412</f>
        <v>0.51797599912096193</v>
      </c>
      <c r="S1412" s="255">
        <f t="shared" si="89"/>
        <v>6.36</v>
      </c>
      <c r="T1412" s="255">
        <f t="shared" si="89"/>
        <v>6.36</v>
      </c>
      <c r="U1412" s="254">
        <v>100700</v>
      </c>
      <c r="V1412" s="254" t="s">
        <v>960</v>
      </c>
      <c r="W1412" s="254" t="s">
        <v>1149</v>
      </c>
      <c r="X1412" s="254" t="s">
        <v>446</v>
      </c>
      <c r="Y1412" s="254" t="s">
        <v>836</v>
      </c>
      <c r="Z1412" s="254" t="s">
        <v>1142</v>
      </c>
      <c r="AA1412" s="254" t="s">
        <v>838</v>
      </c>
    </row>
    <row r="1413" spans="1:27" ht="14.4" x14ac:dyDescent="0.3">
      <c r="A1413" s="253">
        <v>11</v>
      </c>
      <c r="B1413" s="254" t="s">
        <v>853</v>
      </c>
      <c r="C1413" s="254">
        <v>1788</v>
      </c>
      <c r="D1413" s="254" t="s">
        <v>59</v>
      </c>
      <c r="E1413" s="254" t="str">
        <f>_xlfn.XLOOKUP(C1413,Clientes!I:I,Clientes!F:F)</f>
        <v>GRUPO MOSAIC FERTILIZANTES P K LTDA</v>
      </c>
      <c r="F1413" s="254">
        <v>3359</v>
      </c>
      <c r="G1413" s="254" t="s">
        <v>855</v>
      </c>
      <c r="H1413" s="254" t="s">
        <v>967</v>
      </c>
      <c r="I1413" s="255">
        <v>60000</v>
      </c>
      <c r="J1413" s="256">
        <v>60000</v>
      </c>
      <c r="K1413" s="258">
        <v>232800</v>
      </c>
      <c r="L1413" s="258">
        <v>0</v>
      </c>
      <c r="M1413" s="258">
        <f t="shared" si="90"/>
        <v>232800</v>
      </c>
      <c r="N1413" s="258">
        <v>-147560.53846153847</v>
      </c>
      <c r="O1413" s="258">
        <v>-4884.3209999999999</v>
      </c>
      <c r="P1413" s="258">
        <v>-2.4313413856041768</v>
      </c>
      <c r="Q1413" s="258">
        <f t="shared" si="91"/>
        <v>80352.709197075936</v>
      </c>
      <c r="R1413" s="259">
        <f t="shared" si="92"/>
        <v>0.34515768555444992</v>
      </c>
      <c r="S1413" s="255">
        <f t="shared" si="89"/>
        <v>3.88</v>
      </c>
      <c r="T1413" s="255">
        <f t="shared" si="89"/>
        <v>3.88</v>
      </c>
      <c r="U1413" s="254">
        <v>100700</v>
      </c>
      <c r="V1413" s="254" t="s">
        <v>960</v>
      </c>
      <c r="W1413" s="254" t="s">
        <v>892</v>
      </c>
      <c r="X1413" s="254" t="s">
        <v>446</v>
      </c>
      <c r="Y1413" s="254" t="s">
        <v>843</v>
      </c>
      <c r="Z1413" s="254" t="s">
        <v>1142</v>
      </c>
      <c r="AA1413" s="254" t="s">
        <v>838</v>
      </c>
    </row>
    <row r="1414" spans="1:27" ht="14.4" x14ac:dyDescent="0.3">
      <c r="A1414" s="253">
        <v>11</v>
      </c>
      <c r="B1414" s="254" t="s">
        <v>853</v>
      </c>
      <c r="C1414" s="254">
        <v>14382</v>
      </c>
      <c r="D1414" s="254" t="s">
        <v>244</v>
      </c>
      <c r="E1414" s="254" t="str">
        <f>_xlfn.XLOOKUP(C1414,Clientes!I:I,Clientes!F:F)</f>
        <v>GECAL - PAINS-MG</v>
      </c>
      <c r="F1414" s="254">
        <v>3351</v>
      </c>
      <c r="G1414" s="254" t="s">
        <v>855</v>
      </c>
      <c r="H1414" s="254" t="s">
        <v>965</v>
      </c>
      <c r="I1414" s="255">
        <v>15000</v>
      </c>
      <c r="J1414" s="256">
        <v>15000</v>
      </c>
      <c r="K1414" s="258">
        <v>102900</v>
      </c>
      <c r="L1414" s="258">
        <v>-18522</v>
      </c>
      <c r="M1414" s="258">
        <f t="shared" si="90"/>
        <v>84378</v>
      </c>
      <c r="N1414" s="258">
        <v>-47721.934285714291</v>
      </c>
      <c r="O1414" s="258">
        <v>-6648.4965456</v>
      </c>
      <c r="P1414" s="258">
        <v>-3.3095213855444161</v>
      </c>
      <c r="Q1414" s="258">
        <f t="shared" si="91"/>
        <v>30004.259647300165</v>
      </c>
      <c r="R1414" s="259">
        <f t="shared" si="92"/>
        <v>0.35559339694351805</v>
      </c>
      <c r="S1414" s="255">
        <f t="shared" si="89"/>
        <v>6.86</v>
      </c>
      <c r="T1414" s="255">
        <f t="shared" si="89"/>
        <v>6.86</v>
      </c>
      <c r="U1414" s="254">
        <v>100700</v>
      </c>
      <c r="V1414" s="254" t="s">
        <v>960</v>
      </c>
      <c r="W1414" s="254" t="s">
        <v>1086</v>
      </c>
      <c r="X1414" s="254" t="s">
        <v>446</v>
      </c>
      <c r="Y1414" s="254" t="s">
        <v>843</v>
      </c>
      <c r="Z1414" s="254" t="s">
        <v>1142</v>
      </c>
      <c r="AA1414" s="254" t="s">
        <v>838</v>
      </c>
    </row>
    <row r="1415" spans="1:27" ht="14.4" x14ac:dyDescent="0.3">
      <c r="A1415" s="253">
        <v>11</v>
      </c>
      <c r="B1415" s="254" t="s">
        <v>853</v>
      </c>
      <c r="C1415" s="254">
        <v>2619</v>
      </c>
      <c r="D1415" s="254" t="s">
        <v>1107</v>
      </c>
      <c r="E1415" s="254" t="str">
        <f>_xlfn.XLOOKUP(C1415,Clientes!I:I,Clientes!F:F)</f>
        <v>FOSPAR - PARANAGUÁ</v>
      </c>
      <c r="F1415" s="254">
        <v>4552</v>
      </c>
      <c r="G1415" s="254" t="s">
        <v>862</v>
      </c>
      <c r="H1415" s="254" t="s">
        <v>1108</v>
      </c>
      <c r="I1415" s="255">
        <v>60000</v>
      </c>
      <c r="J1415" s="256">
        <v>60000</v>
      </c>
      <c r="K1415" s="258">
        <v>384000</v>
      </c>
      <c r="L1415" s="258">
        <v>-46080</v>
      </c>
      <c r="M1415" s="258">
        <f t="shared" si="90"/>
        <v>337920</v>
      </c>
      <c r="N1415" s="258">
        <v>-180941.22</v>
      </c>
      <c r="O1415" s="258">
        <v>-28099.2114</v>
      </c>
      <c r="P1415" s="258">
        <v>-13.987363971299324</v>
      </c>
      <c r="Q1415" s="258">
        <f t="shared" si="91"/>
        <v>128865.58123602869</v>
      </c>
      <c r="R1415" s="259">
        <f t="shared" si="92"/>
        <v>0.38134937629033111</v>
      </c>
      <c r="S1415" s="255">
        <f t="shared" si="89"/>
        <v>6.4</v>
      </c>
      <c r="T1415" s="255">
        <f t="shared" si="89"/>
        <v>6.4</v>
      </c>
      <c r="U1415" s="254">
        <v>100700</v>
      </c>
      <c r="V1415" s="254" t="s">
        <v>960</v>
      </c>
      <c r="W1415" s="254" t="s">
        <v>864</v>
      </c>
      <c r="X1415" s="254" t="s">
        <v>446</v>
      </c>
      <c r="Y1415" s="254" t="s">
        <v>843</v>
      </c>
      <c r="Z1415" s="254" t="s">
        <v>1142</v>
      </c>
      <c r="AA1415" s="254" t="s">
        <v>838</v>
      </c>
    </row>
    <row r="1416" spans="1:27" ht="14.4" x14ac:dyDescent="0.3">
      <c r="A1416" s="253">
        <v>11</v>
      </c>
      <c r="B1416" s="254" t="s">
        <v>853</v>
      </c>
      <c r="C1416" s="254">
        <v>6370</v>
      </c>
      <c r="D1416" s="254" t="s">
        <v>264</v>
      </c>
      <c r="E1416" s="254" t="str">
        <f>_xlfn.XLOOKUP(C1416,Clientes!I:I,Clientes!F:F)</f>
        <v>YTL S.A. - PARAGUAI</v>
      </c>
      <c r="F1416" s="254">
        <v>7010</v>
      </c>
      <c r="G1416" s="254" t="s">
        <v>832</v>
      </c>
      <c r="H1416" s="254" t="s">
        <v>971</v>
      </c>
      <c r="I1416" s="255">
        <v>28000</v>
      </c>
      <c r="J1416" s="256">
        <v>28000</v>
      </c>
      <c r="K1416" s="258">
        <v>189840</v>
      </c>
      <c r="L1416" s="258">
        <v>0</v>
      </c>
      <c r="M1416" s="258">
        <f t="shared" si="90"/>
        <v>189840</v>
      </c>
      <c r="N1416" s="258">
        <v>-75852.000000000015</v>
      </c>
      <c r="O1416" s="258">
        <v>-28440.27648</v>
      </c>
      <c r="P1416" s="258">
        <v>-10000.991217567271</v>
      </c>
      <c r="Q1416" s="258">
        <f t="shared" si="91"/>
        <v>75546.73230243272</v>
      </c>
      <c r="R1416" s="259">
        <f t="shared" si="92"/>
        <v>0.39794949590409145</v>
      </c>
      <c r="S1416" s="255">
        <f t="shared" si="89"/>
        <v>6.78</v>
      </c>
      <c r="T1416" s="255">
        <f t="shared" si="89"/>
        <v>6.78</v>
      </c>
      <c r="U1416" s="254">
        <v>100700</v>
      </c>
      <c r="V1416" s="254" t="s">
        <v>960</v>
      </c>
      <c r="W1416" s="254" t="s">
        <v>896</v>
      </c>
      <c r="X1416" s="254" t="s">
        <v>446</v>
      </c>
      <c r="Y1416" s="254" t="s">
        <v>836</v>
      </c>
      <c r="Z1416" s="254" t="s">
        <v>1142</v>
      </c>
      <c r="AA1416" s="254" t="s">
        <v>838</v>
      </c>
    </row>
    <row r="1417" spans="1:27" ht="14.4" x14ac:dyDescent="0.3">
      <c r="A1417" s="253">
        <v>13</v>
      </c>
      <c r="B1417" s="254" t="s">
        <v>853</v>
      </c>
      <c r="C1417" s="254">
        <v>2</v>
      </c>
      <c r="D1417" s="254" t="s">
        <v>976</v>
      </c>
      <c r="E1417" s="254" t="str">
        <f>_xlfn.XLOOKUP(C1417,Clientes!I:I,Clientes!F:F)</f>
        <v>GRUPO CARGILL</v>
      </c>
      <c r="F1417" s="254">
        <v>3700</v>
      </c>
      <c r="G1417" s="254" t="s">
        <v>855</v>
      </c>
      <c r="H1417" s="254" t="s">
        <v>977</v>
      </c>
      <c r="I1417" s="254">
        <v>84000</v>
      </c>
      <c r="J1417" s="256">
        <v>84000</v>
      </c>
      <c r="K1417" s="258">
        <v>92400</v>
      </c>
      <c r="L1417" s="258">
        <v>-23640.539999999997</v>
      </c>
      <c r="M1417" s="258">
        <f t="shared" si="90"/>
        <v>68759.460000000006</v>
      </c>
      <c r="N1417" s="258">
        <v>-15542.5</v>
      </c>
      <c r="O1417" s="258">
        <v>0</v>
      </c>
      <c r="P1417" s="258">
        <v>0</v>
      </c>
      <c r="Q1417" s="258">
        <f t="shared" si="91"/>
        <v>53216.960000000006</v>
      </c>
      <c r="R1417" s="259">
        <f t="shared" si="92"/>
        <v>0.77395837605472761</v>
      </c>
      <c r="S1417" s="255">
        <f t="shared" si="89"/>
        <v>1.1000000000000001</v>
      </c>
      <c r="T1417" s="255">
        <f t="shared" si="89"/>
        <v>1.1000000000000001</v>
      </c>
      <c r="U1417" s="254">
        <v>100900</v>
      </c>
      <c r="V1417" s="254" t="s">
        <v>978</v>
      </c>
      <c r="W1417" s="254" t="s">
        <v>865</v>
      </c>
      <c r="X1417" s="254" t="s">
        <v>157</v>
      </c>
      <c r="Y1417" s="254" t="s">
        <v>843</v>
      </c>
      <c r="Z1417" s="254" t="s">
        <v>1142</v>
      </c>
      <c r="AA1417" s="254" t="s">
        <v>838</v>
      </c>
    </row>
    <row r="1418" spans="1:27" ht="14.4" x14ac:dyDescent="0.3">
      <c r="A1418" s="253">
        <v>11</v>
      </c>
      <c r="B1418" s="254" t="s">
        <v>853</v>
      </c>
      <c r="C1418" s="254">
        <v>2622</v>
      </c>
      <c r="D1418" s="254" t="s">
        <v>73</v>
      </c>
      <c r="E1418" s="254" t="str">
        <f>_xlfn.XLOOKUP(C1418,Clientes!I:I,Clientes!F:F)</f>
        <v>ADUFERTIL JUNDIAI</v>
      </c>
      <c r="F1418" s="254">
        <v>14150</v>
      </c>
      <c r="G1418" s="254" t="s">
        <v>908</v>
      </c>
      <c r="H1418" s="254" t="s">
        <v>1045</v>
      </c>
      <c r="I1418" s="255">
        <v>12000</v>
      </c>
      <c r="J1418" s="256">
        <v>12000</v>
      </c>
      <c r="K1418" s="258">
        <v>270460.01536510215</v>
      </c>
      <c r="L1418" s="258">
        <v>-10080</v>
      </c>
      <c r="M1418" s="258">
        <f t="shared" si="90"/>
        <v>260380.01536510215</v>
      </c>
      <c r="N1418" s="258">
        <v>-162138.43200000003</v>
      </c>
      <c r="O1418" s="258">
        <v>-5481.0480000000016</v>
      </c>
      <c r="P1418" s="258">
        <v>-2.7283830933476745</v>
      </c>
      <c r="Q1418" s="258">
        <f t="shared" si="91"/>
        <v>92757.806982008784</v>
      </c>
      <c r="R1418" s="259">
        <f t="shared" si="92"/>
        <v>0.3562401164004263</v>
      </c>
      <c r="S1418" s="255">
        <f t="shared" si="89"/>
        <v>22.538334613758511</v>
      </c>
      <c r="T1418" s="255">
        <f t="shared" si="89"/>
        <v>22.538334613758511</v>
      </c>
      <c r="U1418" s="254">
        <v>101000</v>
      </c>
      <c r="V1418" s="254" t="s">
        <v>1046</v>
      </c>
      <c r="W1418" s="254" t="s">
        <v>948</v>
      </c>
      <c r="X1418" s="254" t="s">
        <v>446</v>
      </c>
      <c r="Y1418" s="254" t="s">
        <v>843</v>
      </c>
      <c r="Z1418" s="254" t="s">
        <v>1142</v>
      </c>
      <c r="AA1418" s="254" t="s">
        <v>838</v>
      </c>
    </row>
    <row r="1419" spans="1:27" ht="14.4" x14ac:dyDescent="0.3">
      <c r="A1419" s="253">
        <v>11</v>
      </c>
      <c r="B1419" s="254" t="s">
        <v>853</v>
      </c>
      <c r="C1419" s="254">
        <v>9294</v>
      </c>
      <c r="D1419" s="254" t="s">
        <v>1013</v>
      </c>
      <c r="E1419" s="254" t="str">
        <f>_xlfn.XLOOKUP(C1419,Clientes!I:I,Clientes!F:F)</f>
        <v>SOLINAG CÍA.LTDA - EQUADOR</v>
      </c>
      <c r="F1419" s="254">
        <v>14150</v>
      </c>
      <c r="G1419" s="254" t="s">
        <v>832</v>
      </c>
      <c r="H1419" s="254" t="s">
        <v>1045</v>
      </c>
      <c r="I1419" s="255">
        <v>1000</v>
      </c>
      <c r="J1419" s="256">
        <v>1000</v>
      </c>
      <c r="K1419" s="258">
        <v>31114.707561308238</v>
      </c>
      <c r="L1419" s="258">
        <v>0</v>
      </c>
      <c r="M1419" s="258">
        <f t="shared" si="90"/>
        <v>31114.707561308238</v>
      </c>
      <c r="N1419" s="258">
        <v>-13511.536</v>
      </c>
      <c r="O1419" s="258">
        <v>-8553.5535359999994</v>
      </c>
      <c r="P1419" s="258">
        <v>-360.93047563626232</v>
      </c>
      <c r="Q1419" s="258">
        <f t="shared" si="91"/>
        <v>8688.6875496719767</v>
      </c>
      <c r="R1419" s="259">
        <f t="shared" si="92"/>
        <v>0.27924696166762414</v>
      </c>
      <c r="S1419" s="255">
        <f t="shared" si="89"/>
        <v>31.114707561308236</v>
      </c>
      <c r="T1419" s="255">
        <f t="shared" si="89"/>
        <v>31.114707561308236</v>
      </c>
      <c r="U1419" s="254">
        <v>101000</v>
      </c>
      <c r="V1419" s="254" t="s">
        <v>1046</v>
      </c>
      <c r="W1419" s="254" t="s">
        <v>1014</v>
      </c>
      <c r="X1419" s="254" t="s">
        <v>446</v>
      </c>
      <c r="Y1419" s="254" t="s">
        <v>836</v>
      </c>
      <c r="Z1419" s="254" t="s">
        <v>1142</v>
      </c>
      <c r="AA1419" s="254" t="s">
        <v>838</v>
      </c>
    </row>
    <row r="1420" spans="1:27" ht="14.4" x14ac:dyDescent="0.3">
      <c r="A1420" s="253">
        <v>11</v>
      </c>
      <c r="B1420" s="254" t="s">
        <v>853</v>
      </c>
      <c r="C1420" s="254">
        <v>2651</v>
      </c>
      <c r="D1420" s="254" t="s">
        <v>1064</v>
      </c>
      <c r="E1420" s="254" t="str">
        <f>_xlfn.XLOOKUP(C1420,Clientes!I:I,Clientes!F:F)</f>
        <v>AGROBROKERS - COLÔMBIA</v>
      </c>
      <c r="F1420" s="254">
        <v>14150</v>
      </c>
      <c r="G1420" s="254" t="s">
        <v>832</v>
      </c>
      <c r="H1420" s="254" t="s">
        <v>1045</v>
      </c>
      <c r="I1420" s="255">
        <v>2000</v>
      </c>
      <c r="J1420" s="256">
        <v>2000</v>
      </c>
      <c r="K1420" s="258">
        <v>45505.970839207657</v>
      </c>
      <c r="L1420" s="258">
        <v>0</v>
      </c>
      <c r="M1420" s="258">
        <f t="shared" si="90"/>
        <v>45505.970839207657</v>
      </c>
      <c r="N1420" s="258">
        <v>-27023.072</v>
      </c>
      <c r="O1420" s="258">
        <v>0</v>
      </c>
      <c r="P1420" s="258">
        <v>-713.34529118136447</v>
      </c>
      <c r="Q1420" s="258">
        <f t="shared" si="91"/>
        <v>17769.553548026292</v>
      </c>
      <c r="R1420" s="259">
        <f t="shared" si="92"/>
        <v>0.39048839570556215</v>
      </c>
      <c r="S1420" s="255">
        <f t="shared" si="89"/>
        <v>22.752985419603828</v>
      </c>
      <c r="T1420" s="255">
        <f t="shared" si="89"/>
        <v>22.752985419603828</v>
      </c>
      <c r="U1420" s="254">
        <v>101000</v>
      </c>
      <c r="V1420" s="254" t="s">
        <v>1046</v>
      </c>
      <c r="W1420" s="254" t="s">
        <v>1065</v>
      </c>
      <c r="X1420" s="254" t="s">
        <v>446</v>
      </c>
      <c r="Y1420" s="254" t="s">
        <v>836</v>
      </c>
      <c r="Z1420" s="254" t="s">
        <v>1142</v>
      </c>
      <c r="AA1420" s="254" t="s">
        <v>838</v>
      </c>
    </row>
    <row r="1421" spans="1:27" ht="14.4" x14ac:dyDescent="0.3">
      <c r="A1421" s="253">
        <v>11</v>
      </c>
      <c r="B1421" s="254" t="s">
        <v>853</v>
      </c>
      <c r="C1421" s="254">
        <v>2651</v>
      </c>
      <c r="D1421" s="254" t="s">
        <v>1064</v>
      </c>
      <c r="E1421" s="254" t="str">
        <f>_xlfn.XLOOKUP(C1421,Clientes!I:I,Clientes!F:F)</f>
        <v>AGROBROKERS - COLÔMBIA</v>
      </c>
      <c r="F1421" s="254">
        <v>14143</v>
      </c>
      <c r="G1421" s="254" t="s">
        <v>832</v>
      </c>
      <c r="H1421" s="254" t="s">
        <v>1049</v>
      </c>
      <c r="I1421" s="255">
        <v>2000</v>
      </c>
      <c r="J1421" s="256">
        <v>2000</v>
      </c>
      <c r="K1421" s="258">
        <v>19116</v>
      </c>
      <c r="L1421" s="258">
        <v>0</v>
      </c>
      <c r="M1421" s="258">
        <f t="shared" si="90"/>
        <v>19116</v>
      </c>
      <c r="N1421" s="258">
        <v>-3186.7999999999997</v>
      </c>
      <c r="O1421" s="258">
        <v>0</v>
      </c>
      <c r="P1421" s="258">
        <v>-713.34529118136447</v>
      </c>
      <c r="Q1421" s="258">
        <f t="shared" si="91"/>
        <v>15215.854708818637</v>
      </c>
      <c r="R1421" s="259">
        <f t="shared" si="92"/>
        <v>0.79597482259984498</v>
      </c>
      <c r="S1421" s="255">
        <f t="shared" si="89"/>
        <v>9.5579999999999998</v>
      </c>
      <c r="T1421" s="255">
        <f t="shared" si="89"/>
        <v>9.5579999999999998</v>
      </c>
      <c r="U1421" s="254">
        <v>101300</v>
      </c>
      <c r="V1421" s="254" t="s">
        <v>980</v>
      </c>
      <c r="W1421" s="254" t="s">
        <v>1065</v>
      </c>
      <c r="X1421" s="254" t="s">
        <v>446</v>
      </c>
      <c r="Y1421" s="254" t="s">
        <v>836</v>
      </c>
      <c r="Z1421" s="254" t="s">
        <v>1142</v>
      </c>
      <c r="AA1421" s="254" t="s">
        <v>838</v>
      </c>
    </row>
    <row r="1422" spans="1:27" ht="14.4" x14ac:dyDescent="0.3">
      <c r="A1422" s="253">
        <v>11</v>
      </c>
      <c r="B1422" s="254" t="s">
        <v>853</v>
      </c>
      <c r="C1422" s="254">
        <v>9294</v>
      </c>
      <c r="D1422" s="254" t="s">
        <v>1013</v>
      </c>
      <c r="E1422" s="254" t="str">
        <f>_xlfn.XLOOKUP(C1422,Clientes!I:I,Clientes!F:F)</f>
        <v>SOLINAG CÍA.LTDA - EQUADOR</v>
      </c>
      <c r="F1422" s="254">
        <v>14143</v>
      </c>
      <c r="G1422" s="254" t="s">
        <v>832</v>
      </c>
      <c r="H1422" s="254" t="s">
        <v>1049</v>
      </c>
      <c r="I1422" s="255">
        <v>2000</v>
      </c>
      <c r="J1422" s="256">
        <v>2000</v>
      </c>
      <c r="K1422" s="258">
        <v>17280</v>
      </c>
      <c r="L1422" s="258">
        <v>0</v>
      </c>
      <c r="M1422" s="258">
        <f t="shared" si="90"/>
        <v>17280</v>
      </c>
      <c r="N1422" s="258">
        <v>-3186.7999999999997</v>
      </c>
      <c r="O1422" s="258">
        <v>-8553.5535359999994</v>
      </c>
      <c r="P1422" s="258">
        <v>-717.60312122694461</v>
      </c>
      <c r="Q1422" s="258">
        <f t="shared" si="91"/>
        <v>4822.0433427730568</v>
      </c>
      <c r="R1422" s="259">
        <f t="shared" si="92"/>
        <v>0.27905343418825562</v>
      </c>
      <c r="S1422" s="255">
        <f t="shared" si="89"/>
        <v>8.64</v>
      </c>
      <c r="T1422" s="255">
        <f t="shared" si="89"/>
        <v>8.64</v>
      </c>
      <c r="U1422" s="254">
        <v>101300</v>
      </c>
      <c r="V1422" s="254" t="s">
        <v>980</v>
      </c>
      <c r="W1422" s="254" t="s">
        <v>1014</v>
      </c>
      <c r="X1422" s="254" t="s">
        <v>446</v>
      </c>
      <c r="Y1422" s="254" t="s">
        <v>836</v>
      </c>
      <c r="Z1422" s="254" t="s">
        <v>1142</v>
      </c>
      <c r="AA1422" s="254" t="s">
        <v>838</v>
      </c>
    </row>
    <row r="1423" spans="1:27" ht="14.4" x14ac:dyDescent="0.3">
      <c r="A1423" s="253">
        <v>11</v>
      </c>
      <c r="B1423" s="254" t="s">
        <v>853</v>
      </c>
      <c r="C1423" s="254">
        <v>9294</v>
      </c>
      <c r="D1423" s="254" t="s">
        <v>1013</v>
      </c>
      <c r="E1423" s="254" t="str">
        <f>_xlfn.XLOOKUP(C1423,Clientes!I:I,Clientes!F:F)</f>
        <v>SOLINAG CÍA.LTDA - EQUADOR</v>
      </c>
      <c r="F1423" s="254">
        <v>4542</v>
      </c>
      <c r="G1423" s="254" t="s">
        <v>832</v>
      </c>
      <c r="H1423" s="254" t="s">
        <v>1047</v>
      </c>
      <c r="I1423" s="255">
        <v>2000</v>
      </c>
      <c r="J1423" s="256">
        <v>2000</v>
      </c>
      <c r="K1423" s="258">
        <v>17280</v>
      </c>
      <c r="L1423" s="258">
        <v>0</v>
      </c>
      <c r="M1423" s="258">
        <f t="shared" si="90"/>
        <v>17280</v>
      </c>
      <c r="N1423" s="258">
        <v>-5979.0699999999988</v>
      </c>
      <c r="O1423" s="258">
        <v>-8553.5535359999994</v>
      </c>
      <c r="P1423" s="258">
        <v>-717.60312122694461</v>
      </c>
      <c r="Q1423" s="258">
        <f t="shared" si="91"/>
        <v>2029.7733427730564</v>
      </c>
      <c r="R1423" s="259">
        <f t="shared" si="92"/>
        <v>0.1174637351141815</v>
      </c>
      <c r="S1423" s="255">
        <f t="shared" si="89"/>
        <v>8.64</v>
      </c>
      <c r="T1423" s="255">
        <f t="shared" si="89"/>
        <v>8.64</v>
      </c>
      <c r="U1423" s="254">
        <v>101300</v>
      </c>
      <c r="V1423" s="254" t="s">
        <v>980</v>
      </c>
      <c r="W1423" s="254" t="s">
        <v>1014</v>
      </c>
      <c r="X1423" s="254" t="s">
        <v>446</v>
      </c>
      <c r="Y1423" s="254" t="s">
        <v>836</v>
      </c>
      <c r="Z1423" s="254" t="s">
        <v>1142</v>
      </c>
      <c r="AA1423" s="254" t="s">
        <v>838</v>
      </c>
    </row>
    <row r="1424" spans="1:27" ht="14.4" x14ac:dyDescent="0.3">
      <c r="A1424" s="253">
        <v>11</v>
      </c>
      <c r="B1424" s="254" t="s">
        <v>853</v>
      </c>
      <c r="C1424" s="254">
        <v>15904</v>
      </c>
      <c r="D1424" s="254" t="s">
        <v>754</v>
      </c>
      <c r="E1424" s="254" t="str">
        <f>_xlfn.XLOOKUP(C1424,Clientes!I:I,Clientes!F:F)</f>
        <v>ADUFÉRTIL - CAMPEVO</v>
      </c>
      <c r="F1424" s="254">
        <v>13004</v>
      </c>
      <c r="G1424" s="254" t="s">
        <v>908</v>
      </c>
      <c r="H1424" s="254" t="s">
        <v>982</v>
      </c>
      <c r="I1424" s="255">
        <v>71</v>
      </c>
      <c r="J1424" s="256">
        <v>1632.9266143745651</v>
      </c>
      <c r="K1424" s="258">
        <v>43190.908950207246</v>
      </c>
      <c r="L1424" s="258">
        <v>-4088.3442749033075</v>
      </c>
      <c r="M1424" s="258">
        <f t="shared" si="90"/>
        <v>39102.56467530394</v>
      </c>
      <c r="N1424" s="258">
        <v>-11546.117073048526</v>
      </c>
      <c r="O1424" s="258">
        <v>-441.44326092252351</v>
      </c>
      <c r="P1424" s="258">
        <v>-10103.569603217366</v>
      </c>
      <c r="Q1424" s="258">
        <f t="shared" si="91"/>
        <v>17011.434738115528</v>
      </c>
      <c r="R1424" s="259">
        <f t="shared" si="92"/>
        <v>0.43504652135667876</v>
      </c>
      <c r="S1424" s="255">
        <f t="shared" si="89"/>
        <v>608.32266127052458</v>
      </c>
      <c r="T1424" s="255">
        <f t="shared" si="89"/>
        <v>26.45</v>
      </c>
      <c r="U1424" s="254">
        <v>101602</v>
      </c>
      <c r="V1424" s="254" t="s">
        <v>983</v>
      </c>
      <c r="W1424" s="254" t="s">
        <v>992</v>
      </c>
      <c r="X1424" s="254" t="s">
        <v>157</v>
      </c>
      <c r="Y1424" s="254" t="s">
        <v>843</v>
      </c>
      <c r="Z1424" s="254" t="s">
        <v>1142</v>
      </c>
      <c r="AA1424" s="254" t="s">
        <v>838</v>
      </c>
    </row>
    <row r="1425" spans="1:27" ht="14.4" x14ac:dyDescent="0.3">
      <c r="A1425" s="253">
        <v>11</v>
      </c>
      <c r="B1425" s="254" t="s">
        <v>853</v>
      </c>
      <c r="C1425" s="254">
        <v>15858</v>
      </c>
      <c r="D1425" s="254" t="s">
        <v>985</v>
      </c>
      <c r="E1425" s="254" t="str">
        <f>_xlfn.XLOOKUP(C1425,Clientes!I:I,Clientes!F:F)</f>
        <v>GRUPO SAGRA</v>
      </c>
      <c r="F1425" s="254">
        <v>8368</v>
      </c>
      <c r="G1425" s="254" t="s">
        <v>855</v>
      </c>
      <c r="H1425" s="254" t="s">
        <v>989</v>
      </c>
      <c r="I1425" s="255">
        <v>136</v>
      </c>
      <c r="J1425" s="256">
        <v>2236.1169332551162</v>
      </c>
      <c r="K1425" s="258">
        <v>22682.707526057155</v>
      </c>
      <c r="L1425" s="258">
        <v>-2041.3605400367705</v>
      </c>
      <c r="M1425" s="258">
        <f t="shared" si="90"/>
        <v>20641.346986020384</v>
      </c>
      <c r="N1425" s="258">
        <v>-7818.0788780550965</v>
      </c>
      <c r="O1425" s="258">
        <v>0</v>
      </c>
      <c r="P1425" s="258">
        <v>-5800.3254567355416</v>
      </c>
      <c r="Q1425" s="258">
        <f t="shared" si="91"/>
        <v>7022.942651229745</v>
      </c>
      <c r="R1425" s="259">
        <f t="shared" si="92"/>
        <v>0.34023664521439045</v>
      </c>
      <c r="S1425" s="255">
        <f t="shared" si="89"/>
        <v>166.78461416218497</v>
      </c>
      <c r="T1425" s="255">
        <f t="shared" si="89"/>
        <v>10.143793103448274</v>
      </c>
      <c r="U1425" s="254">
        <v>101602</v>
      </c>
      <c r="V1425" s="254" t="s">
        <v>983</v>
      </c>
      <c r="W1425" s="254" t="s">
        <v>987</v>
      </c>
      <c r="X1425" s="254" t="s">
        <v>157</v>
      </c>
      <c r="Y1425" s="254" t="s">
        <v>843</v>
      </c>
      <c r="Z1425" s="254" t="s">
        <v>1142</v>
      </c>
      <c r="AA1425" s="254" t="s">
        <v>838</v>
      </c>
    </row>
    <row r="1426" spans="1:27" ht="14.4" x14ac:dyDescent="0.3">
      <c r="A1426" s="253">
        <v>11</v>
      </c>
      <c r="B1426" s="254" t="s">
        <v>853</v>
      </c>
      <c r="C1426" s="254">
        <v>15906</v>
      </c>
      <c r="D1426" s="254" t="s">
        <v>993</v>
      </c>
      <c r="E1426" s="254" t="str">
        <f>_xlfn.XLOOKUP(C1426,Clientes!I:I,Clientes!F:F)</f>
        <v>ADUFÉRTIL - CAMPEVO</v>
      </c>
      <c r="F1426" s="254">
        <v>8368</v>
      </c>
      <c r="G1426" s="254" t="s">
        <v>908</v>
      </c>
      <c r="H1426" s="254" t="s">
        <v>989</v>
      </c>
      <c r="I1426" s="255">
        <v>500</v>
      </c>
      <c r="J1426" s="256">
        <v>8221.0181369673392</v>
      </c>
      <c r="K1426" s="258">
        <v>85674.348322561011</v>
      </c>
      <c r="L1426" s="258">
        <v>-7710.3773329586438</v>
      </c>
      <c r="M1426" s="258">
        <f t="shared" si="90"/>
        <v>77963.970989602371</v>
      </c>
      <c r="N1426" s="258">
        <v>-28742.937051673147</v>
      </c>
      <c r="O1426" s="258">
        <v>-2222.4593699062671</v>
      </c>
      <c r="P1426" s="258">
        <v>-21837.159026964786</v>
      </c>
      <c r="Q1426" s="258">
        <f t="shared" si="91"/>
        <v>25161.415541058173</v>
      </c>
      <c r="R1426" s="259">
        <f t="shared" si="92"/>
        <v>0.3227313234777871</v>
      </c>
      <c r="S1426" s="255">
        <f t="shared" si="89"/>
        <v>171.34869664512203</v>
      </c>
      <c r="T1426" s="255">
        <f t="shared" si="89"/>
        <v>10.421379310344827</v>
      </c>
      <c r="U1426" s="254">
        <v>101602</v>
      </c>
      <c r="V1426" s="254" t="s">
        <v>983</v>
      </c>
      <c r="W1426" s="254" t="s">
        <v>994</v>
      </c>
      <c r="X1426" s="254" t="s">
        <v>157</v>
      </c>
      <c r="Y1426" s="254" t="s">
        <v>843</v>
      </c>
      <c r="Z1426" s="254" t="s">
        <v>1142</v>
      </c>
      <c r="AA1426" s="254" t="s">
        <v>838</v>
      </c>
    </row>
    <row r="1427" spans="1:27" ht="14.4" x14ac:dyDescent="0.3">
      <c r="A1427" s="253">
        <v>11</v>
      </c>
      <c r="B1427" s="254" t="s">
        <v>853</v>
      </c>
      <c r="C1427" s="254">
        <v>14298</v>
      </c>
      <c r="D1427" s="254" t="s">
        <v>1056</v>
      </c>
      <c r="E1427" s="254" t="str">
        <f>_xlfn.XLOOKUP(C1427,Clientes!I:I,Clientes!F:F)</f>
        <v>GRUPO SAGRA</v>
      </c>
      <c r="F1427" s="254">
        <v>8416</v>
      </c>
      <c r="G1427" s="254" t="s">
        <v>855</v>
      </c>
      <c r="H1427" s="254" t="s">
        <v>1051</v>
      </c>
      <c r="I1427" s="255">
        <v>25</v>
      </c>
      <c r="J1427" s="256">
        <v>143.74353999776102</v>
      </c>
      <c r="K1427" s="258">
        <v>3802.0166329407789</v>
      </c>
      <c r="L1427" s="258">
        <v>-401.61577511680275</v>
      </c>
      <c r="M1427" s="258">
        <f t="shared" si="90"/>
        <v>3400.4008578239764</v>
      </c>
      <c r="N1427" s="258">
        <v>-1215.688774620337</v>
      </c>
      <c r="O1427" s="258">
        <v>0</v>
      </c>
      <c r="P1427" s="258">
        <v>-887.66344914034084</v>
      </c>
      <c r="Q1427" s="258">
        <f t="shared" si="91"/>
        <v>1297.0486340632986</v>
      </c>
      <c r="R1427" s="259">
        <f t="shared" si="92"/>
        <v>0.38143992084901451</v>
      </c>
      <c r="S1427" s="255">
        <f t="shared" si="89"/>
        <v>152.08066531763114</v>
      </c>
      <c r="T1427" s="255">
        <f t="shared" si="89"/>
        <v>26.45</v>
      </c>
      <c r="U1427" s="254">
        <v>101602</v>
      </c>
      <c r="V1427" s="254" t="s">
        <v>983</v>
      </c>
      <c r="W1427" s="254" t="s">
        <v>1057</v>
      </c>
      <c r="X1427" s="254" t="s">
        <v>157</v>
      </c>
      <c r="Y1427" s="254" t="s">
        <v>843</v>
      </c>
      <c r="Z1427" s="254" t="s">
        <v>1142</v>
      </c>
      <c r="AA1427" s="254" t="s">
        <v>838</v>
      </c>
    </row>
    <row r="1428" spans="1:27" ht="14.4" x14ac:dyDescent="0.3">
      <c r="A1428" s="253">
        <v>11</v>
      </c>
      <c r="B1428" s="254" t="s">
        <v>853</v>
      </c>
      <c r="C1428" s="254">
        <v>13773</v>
      </c>
      <c r="D1428" s="254" t="s">
        <v>428</v>
      </c>
      <c r="E1428" s="254" t="str">
        <f>_xlfn.XLOOKUP(C1428,Clientes!I:I,Clientes!F:F)</f>
        <v>FERTLIZE AGRO</v>
      </c>
      <c r="F1428" s="254">
        <v>8368</v>
      </c>
      <c r="G1428" s="254" t="s">
        <v>855</v>
      </c>
      <c r="H1428" s="254" t="s">
        <v>989</v>
      </c>
      <c r="I1428" s="255">
        <v>55</v>
      </c>
      <c r="J1428" s="256">
        <v>904.31199506640723</v>
      </c>
      <c r="K1428" s="258">
        <v>9173.1537789201739</v>
      </c>
      <c r="L1428" s="258">
        <v>-825.55021839722349</v>
      </c>
      <c r="M1428" s="258">
        <f t="shared" si="90"/>
        <v>8347.6035605229499</v>
      </c>
      <c r="N1428" s="258">
        <v>-3161.7230756840459</v>
      </c>
      <c r="O1428" s="258">
        <v>0</v>
      </c>
      <c r="P1428" s="258">
        <v>-2345.7198538268731</v>
      </c>
      <c r="Q1428" s="258">
        <f t="shared" si="91"/>
        <v>2840.1606310120314</v>
      </c>
      <c r="R1428" s="259">
        <f t="shared" si="92"/>
        <v>0.34023664521439068</v>
      </c>
      <c r="S1428" s="255">
        <f t="shared" si="89"/>
        <v>166.78461416218497</v>
      </c>
      <c r="T1428" s="255">
        <f t="shared" si="89"/>
        <v>10.143793103448276</v>
      </c>
      <c r="U1428" s="254">
        <v>101602</v>
      </c>
      <c r="V1428" s="254" t="s">
        <v>983</v>
      </c>
      <c r="W1428" s="254" t="s">
        <v>995</v>
      </c>
      <c r="X1428" s="254" t="s">
        <v>157</v>
      </c>
      <c r="Y1428" s="254" t="s">
        <v>843</v>
      </c>
      <c r="Z1428" s="254" t="s">
        <v>1142</v>
      </c>
      <c r="AA1428" s="254" t="s">
        <v>838</v>
      </c>
    </row>
    <row r="1429" spans="1:27" ht="14.4" x14ac:dyDescent="0.3">
      <c r="A1429" s="253">
        <v>11</v>
      </c>
      <c r="B1429" s="254" t="s">
        <v>853</v>
      </c>
      <c r="C1429" s="254">
        <v>15905</v>
      </c>
      <c r="D1429" s="254" t="s">
        <v>750</v>
      </c>
      <c r="E1429" s="254" t="str">
        <f>_xlfn.XLOOKUP(C1429,Clientes!I:I,Clientes!F:F)</f>
        <v>ADUFÉRTIL - CAMPEVO</v>
      </c>
      <c r="F1429" s="254">
        <v>13004</v>
      </c>
      <c r="G1429" s="254" t="s">
        <v>908</v>
      </c>
      <c r="H1429" s="254" t="s">
        <v>982</v>
      </c>
      <c r="I1429" s="255">
        <v>23</v>
      </c>
      <c r="J1429" s="256">
        <v>528.97622719176059</v>
      </c>
      <c r="K1429" s="258">
        <v>13991.421209222068</v>
      </c>
      <c r="L1429" s="258">
        <v>-1324.3932158137472</v>
      </c>
      <c r="M1429" s="258">
        <f t="shared" si="90"/>
        <v>12667.027993408321</v>
      </c>
      <c r="N1429" s="258">
        <v>-3740.2914461988189</v>
      </c>
      <c r="O1429" s="258">
        <v>-143.00274649602875</v>
      </c>
      <c r="P1429" s="258">
        <v>-3276.0431315161159</v>
      </c>
      <c r="Q1429" s="258">
        <f t="shared" si="91"/>
        <v>5507.6906691973572</v>
      </c>
      <c r="R1429" s="259">
        <f t="shared" si="92"/>
        <v>0.43480528124382878</v>
      </c>
      <c r="S1429" s="255">
        <f t="shared" si="89"/>
        <v>608.32266127052469</v>
      </c>
      <c r="T1429" s="255">
        <f t="shared" si="89"/>
        <v>26.45</v>
      </c>
      <c r="U1429" s="254">
        <v>101602</v>
      </c>
      <c r="V1429" s="254" t="s">
        <v>983</v>
      </c>
      <c r="W1429" s="254" t="s">
        <v>991</v>
      </c>
      <c r="X1429" s="254" t="s">
        <v>157</v>
      </c>
      <c r="Y1429" s="254" t="s">
        <v>843</v>
      </c>
      <c r="Z1429" s="254" t="s">
        <v>1142</v>
      </c>
      <c r="AA1429" s="254" t="s">
        <v>838</v>
      </c>
    </row>
    <row r="1430" spans="1:27" ht="14.4" x14ac:dyDescent="0.3">
      <c r="A1430" s="253">
        <v>11</v>
      </c>
      <c r="B1430" s="254" t="s">
        <v>853</v>
      </c>
      <c r="C1430" s="254">
        <v>15908</v>
      </c>
      <c r="D1430" s="254" t="s">
        <v>981</v>
      </c>
      <c r="E1430" s="254" t="str">
        <f>_xlfn.XLOOKUP(C1430,Clientes!I:I,Clientes!F:F)</f>
        <v>ADUFÉRTIL - CAMPEVO</v>
      </c>
      <c r="F1430" s="254">
        <v>8368</v>
      </c>
      <c r="G1430" s="254" t="s">
        <v>908</v>
      </c>
      <c r="H1430" s="254" t="s">
        <v>989</v>
      </c>
      <c r="I1430" s="255">
        <v>500</v>
      </c>
      <c r="J1430" s="256">
        <v>8221.0181369673392</v>
      </c>
      <c r="K1430" s="258">
        <v>85674.348322561011</v>
      </c>
      <c r="L1430" s="258">
        <v>-7710.3773329586438</v>
      </c>
      <c r="M1430" s="258">
        <f t="shared" si="90"/>
        <v>77963.970989602371</v>
      </c>
      <c r="N1430" s="258">
        <v>-28742.937051673147</v>
      </c>
      <c r="O1430" s="258">
        <v>-2222.4593699062671</v>
      </c>
      <c r="P1430" s="258">
        <v>-21836.586946638763</v>
      </c>
      <c r="Q1430" s="258">
        <f t="shared" si="91"/>
        <v>25161.987621384196</v>
      </c>
      <c r="R1430" s="259">
        <f t="shared" si="92"/>
        <v>0.32273866123032541</v>
      </c>
      <c r="S1430" s="255">
        <f t="shared" si="89"/>
        <v>171.34869664512203</v>
      </c>
      <c r="T1430" s="255">
        <f t="shared" si="89"/>
        <v>10.421379310344827</v>
      </c>
      <c r="U1430" s="254">
        <v>101602</v>
      </c>
      <c r="V1430" s="254" t="s">
        <v>983</v>
      </c>
      <c r="W1430" s="254" t="s">
        <v>984</v>
      </c>
      <c r="X1430" s="254" t="s">
        <v>157</v>
      </c>
      <c r="Y1430" s="254" t="s">
        <v>843</v>
      </c>
      <c r="Z1430" s="254" t="s">
        <v>1142</v>
      </c>
      <c r="AA1430" s="254" t="s">
        <v>838</v>
      </c>
    </row>
    <row r="1431" spans="1:27" ht="14.4" x14ac:dyDescent="0.3">
      <c r="A1431" s="253">
        <v>11</v>
      </c>
      <c r="B1431" s="254" t="s">
        <v>853</v>
      </c>
      <c r="C1431" s="254">
        <v>16645</v>
      </c>
      <c r="D1431" s="254" t="s">
        <v>573</v>
      </c>
      <c r="E1431" s="254" t="str">
        <f>_xlfn.XLOOKUP(C1431,Clientes!I:I,Clientes!F:F)</f>
        <v>OPCAO AGRONEGOCIOS</v>
      </c>
      <c r="F1431" s="254">
        <v>8301</v>
      </c>
      <c r="G1431" s="254" t="s">
        <v>855</v>
      </c>
      <c r="H1431" s="254" t="s">
        <v>986</v>
      </c>
      <c r="I1431" s="255">
        <v>13</v>
      </c>
      <c r="J1431" s="256">
        <v>298.98656319534291</v>
      </c>
      <c r="K1431" s="258">
        <v>7908.1945965168206</v>
      </c>
      <c r="L1431" s="258">
        <v>-780.05299172266291</v>
      </c>
      <c r="M1431" s="258">
        <f t="shared" si="90"/>
        <v>7128.1416047941575</v>
      </c>
      <c r="N1431" s="258">
        <v>-2190.6596841434825</v>
      </c>
      <c r="O1431" s="258">
        <v>-72.169170426462088</v>
      </c>
      <c r="P1431" s="258">
        <v>-1850.3111029127554</v>
      </c>
      <c r="Q1431" s="258">
        <f t="shared" si="91"/>
        <v>3015.001647311457</v>
      </c>
      <c r="R1431" s="259">
        <f t="shared" si="92"/>
        <v>0.42297162633296514</v>
      </c>
      <c r="S1431" s="255">
        <f t="shared" si="89"/>
        <v>608.32266127052469</v>
      </c>
      <c r="T1431" s="255">
        <f t="shared" si="89"/>
        <v>26.450000000000003</v>
      </c>
      <c r="U1431" s="254">
        <v>101602</v>
      </c>
      <c r="V1431" s="254" t="s">
        <v>983</v>
      </c>
      <c r="W1431" s="254" t="s">
        <v>865</v>
      </c>
      <c r="X1431" s="254" t="s">
        <v>157</v>
      </c>
      <c r="Y1431" s="254" t="s">
        <v>843</v>
      </c>
      <c r="Z1431" s="254" t="s">
        <v>1142</v>
      </c>
      <c r="AA1431" s="254" t="s">
        <v>838</v>
      </c>
    </row>
    <row r="1432" spans="1:27" ht="14.4" x14ac:dyDescent="0.3">
      <c r="A1432" s="253">
        <v>11</v>
      </c>
      <c r="B1432" s="254" t="s">
        <v>853</v>
      </c>
      <c r="C1432" s="254">
        <v>11326</v>
      </c>
      <c r="D1432" s="254" t="s">
        <v>179</v>
      </c>
      <c r="E1432" s="254" t="str">
        <f>_xlfn.XLOOKUP(C1432,Clientes!I:I,Clientes!F:F)</f>
        <v>VEGA AGRO</v>
      </c>
      <c r="F1432" s="254">
        <v>8301</v>
      </c>
      <c r="G1432" s="254" t="s">
        <v>855</v>
      </c>
      <c r="H1432" s="254" t="s">
        <v>986</v>
      </c>
      <c r="I1432" s="255">
        <v>2</v>
      </c>
      <c r="J1432" s="256">
        <v>45.997932799283525</v>
      </c>
      <c r="K1432" s="258">
        <v>1216.6453225410494</v>
      </c>
      <c r="L1432" s="258">
        <v>-118.8627243370901</v>
      </c>
      <c r="M1432" s="258">
        <f t="shared" si="90"/>
        <v>1097.7825982039592</v>
      </c>
      <c r="N1432" s="258">
        <v>-337.02456679130501</v>
      </c>
      <c r="O1432" s="258">
        <v>0</v>
      </c>
      <c r="P1432" s="258">
        <v>-284.40913572490911</v>
      </c>
      <c r="Q1432" s="258">
        <f t="shared" si="91"/>
        <v>476.34889568774508</v>
      </c>
      <c r="R1432" s="259">
        <f t="shared" si="92"/>
        <v>0.43391915345267962</v>
      </c>
      <c r="S1432" s="255">
        <f t="shared" si="89"/>
        <v>608.32266127052469</v>
      </c>
      <c r="T1432" s="255">
        <f t="shared" si="89"/>
        <v>26.450000000000003</v>
      </c>
      <c r="U1432" s="254">
        <v>101602</v>
      </c>
      <c r="V1432" s="254" t="s">
        <v>983</v>
      </c>
      <c r="W1432" s="254" t="s">
        <v>952</v>
      </c>
      <c r="X1432" s="254" t="s">
        <v>157</v>
      </c>
      <c r="Y1432" s="254" t="s">
        <v>843</v>
      </c>
      <c r="Z1432" s="254" t="s">
        <v>1142</v>
      </c>
      <c r="AA1432" s="254" t="s">
        <v>838</v>
      </c>
    </row>
    <row r="1433" spans="1:27" ht="14.4" x14ac:dyDescent="0.3">
      <c r="A1433" s="253">
        <v>11</v>
      </c>
      <c r="B1433" s="254" t="s">
        <v>853</v>
      </c>
      <c r="C1433" s="254">
        <v>14259</v>
      </c>
      <c r="D1433" s="254" t="s">
        <v>241</v>
      </c>
      <c r="E1433" s="254" t="str">
        <f>_xlfn.XLOOKUP(C1433,Clientes!I:I,Clientes!F:F)</f>
        <v>FAZENDA SANTOS REIS II</v>
      </c>
      <c r="F1433" s="254">
        <v>8368</v>
      </c>
      <c r="G1433" s="254" t="s">
        <v>855</v>
      </c>
      <c r="H1433" s="254" t="s">
        <v>989</v>
      </c>
      <c r="I1433" s="255">
        <v>200</v>
      </c>
      <c r="J1433" s="256">
        <v>3288.4072547869355</v>
      </c>
      <c r="K1433" s="258">
        <v>34269.7393290244</v>
      </c>
      <c r="L1433" s="258">
        <v>-3084.1509331834577</v>
      </c>
      <c r="M1433" s="258">
        <f t="shared" si="90"/>
        <v>31185.588395840943</v>
      </c>
      <c r="N1433" s="258">
        <v>-11497.174820669259</v>
      </c>
      <c r="O1433" s="258">
        <v>-793.7534752933982</v>
      </c>
      <c r="P1433" s="258">
        <v>-8736.0935834868651</v>
      </c>
      <c r="Q1433" s="258">
        <f t="shared" si="91"/>
        <v>10158.56651639142</v>
      </c>
      <c r="R1433" s="259">
        <f t="shared" si="92"/>
        <v>0.32574554590562782</v>
      </c>
      <c r="S1433" s="255">
        <f t="shared" si="89"/>
        <v>171.348696645122</v>
      </c>
      <c r="T1433" s="255">
        <f t="shared" si="89"/>
        <v>10.421379310344827</v>
      </c>
      <c r="U1433" s="254">
        <v>101602</v>
      </c>
      <c r="V1433" s="254" t="s">
        <v>983</v>
      </c>
      <c r="W1433" s="254" t="s">
        <v>990</v>
      </c>
      <c r="X1433" s="254" t="s">
        <v>157</v>
      </c>
      <c r="Y1433" s="254" t="s">
        <v>843</v>
      </c>
      <c r="Z1433" s="254" t="s">
        <v>1142</v>
      </c>
      <c r="AA1433" s="254" t="s">
        <v>838</v>
      </c>
    </row>
    <row r="1434" spans="1:27" ht="14.4" x14ac:dyDescent="0.3">
      <c r="A1434" s="253">
        <v>11</v>
      </c>
      <c r="B1434" s="254" t="s">
        <v>853</v>
      </c>
      <c r="C1434" s="254">
        <v>15904</v>
      </c>
      <c r="D1434" s="254" t="s">
        <v>754</v>
      </c>
      <c r="E1434" s="254" t="str">
        <f>_xlfn.XLOOKUP(C1434,Clientes!I:I,Clientes!F:F)</f>
        <v>ADUFÉRTIL - CAMPEVO</v>
      </c>
      <c r="F1434" s="254">
        <v>8368</v>
      </c>
      <c r="G1434" s="254" t="s">
        <v>908</v>
      </c>
      <c r="H1434" s="254" t="s">
        <v>989</v>
      </c>
      <c r="I1434" s="255">
        <v>500</v>
      </c>
      <c r="J1434" s="256">
        <v>8221.0181369673392</v>
      </c>
      <c r="K1434" s="258">
        <v>85674.348322561011</v>
      </c>
      <c r="L1434" s="258">
        <v>-7710.3773329586438</v>
      </c>
      <c r="M1434" s="258">
        <f t="shared" si="90"/>
        <v>77963.970989602371</v>
      </c>
      <c r="N1434" s="258">
        <v>-28742.937051673147</v>
      </c>
      <c r="O1434" s="258">
        <v>-2222.4593699062671</v>
      </c>
      <c r="P1434" s="258">
        <v>-21836.586946638763</v>
      </c>
      <c r="Q1434" s="258">
        <f t="shared" si="91"/>
        <v>25161.987621384196</v>
      </c>
      <c r="R1434" s="259">
        <f t="shared" si="92"/>
        <v>0.32273866123032541</v>
      </c>
      <c r="S1434" s="255">
        <f t="shared" si="89"/>
        <v>171.34869664512203</v>
      </c>
      <c r="T1434" s="255">
        <f t="shared" si="89"/>
        <v>10.421379310344827</v>
      </c>
      <c r="U1434" s="254">
        <v>101602</v>
      </c>
      <c r="V1434" s="254" t="s">
        <v>983</v>
      </c>
      <c r="W1434" s="254" t="s">
        <v>992</v>
      </c>
      <c r="X1434" s="254" t="s">
        <v>157</v>
      </c>
      <c r="Y1434" s="254" t="s">
        <v>843</v>
      </c>
      <c r="Z1434" s="254" t="s">
        <v>1142</v>
      </c>
      <c r="AA1434" s="254" t="s">
        <v>838</v>
      </c>
    </row>
    <row r="1435" spans="1:27" ht="14.4" x14ac:dyDescent="0.3">
      <c r="A1435" s="253">
        <v>11</v>
      </c>
      <c r="B1435" s="254" t="s">
        <v>853</v>
      </c>
      <c r="C1435" s="254">
        <v>15908</v>
      </c>
      <c r="D1435" s="254" t="s">
        <v>981</v>
      </c>
      <c r="E1435" s="254" t="str">
        <f>_xlfn.XLOOKUP(C1435,Clientes!I:I,Clientes!F:F)</f>
        <v>ADUFÉRTIL - CAMPEVO</v>
      </c>
      <c r="F1435" s="254">
        <v>13004</v>
      </c>
      <c r="G1435" s="254" t="s">
        <v>908</v>
      </c>
      <c r="H1435" s="254" t="s">
        <v>982</v>
      </c>
      <c r="I1435" s="255">
        <v>63</v>
      </c>
      <c r="J1435" s="256">
        <v>1448.9348831774312</v>
      </c>
      <c r="K1435" s="258">
        <v>38324.327660043054</v>
      </c>
      <c r="L1435" s="258">
        <v>-3627.6857650550473</v>
      </c>
      <c r="M1435" s="258">
        <f t="shared" si="90"/>
        <v>34696.64189498801</v>
      </c>
      <c r="N1435" s="258">
        <v>-10245.146135240242</v>
      </c>
      <c r="O1435" s="258">
        <v>-391.70317518477435</v>
      </c>
      <c r="P1435" s="258">
        <v>-8965.3863211177304</v>
      </c>
      <c r="Q1435" s="258">
        <f t="shared" si="91"/>
        <v>15094.406263445264</v>
      </c>
      <c r="R1435" s="259">
        <f t="shared" si="92"/>
        <v>0.43503939975314088</v>
      </c>
      <c r="S1435" s="255">
        <f t="shared" si="89"/>
        <v>608.32266127052469</v>
      </c>
      <c r="T1435" s="255">
        <f t="shared" si="89"/>
        <v>26.45</v>
      </c>
      <c r="U1435" s="254">
        <v>101602</v>
      </c>
      <c r="V1435" s="254" t="s">
        <v>983</v>
      </c>
      <c r="W1435" s="254" t="s">
        <v>984</v>
      </c>
      <c r="X1435" s="254" t="s">
        <v>157</v>
      </c>
      <c r="Y1435" s="254" t="s">
        <v>843</v>
      </c>
      <c r="Z1435" s="254" t="s">
        <v>1142</v>
      </c>
      <c r="AA1435" s="254" t="s">
        <v>838</v>
      </c>
    </row>
    <row r="1436" spans="1:27" ht="14.4" x14ac:dyDescent="0.3">
      <c r="A1436" s="253">
        <v>11</v>
      </c>
      <c r="B1436" s="254" t="s">
        <v>853</v>
      </c>
      <c r="C1436" s="254">
        <v>15917</v>
      </c>
      <c r="D1436" s="254" t="s">
        <v>571</v>
      </c>
      <c r="E1436" s="254" t="str">
        <f>_xlfn.XLOOKUP(C1436,Clientes!I:I,Clientes!F:F)</f>
        <v>MINAS FARM</v>
      </c>
      <c r="F1436" s="254">
        <v>8368</v>
      </c>
      <c r="G1436" s="254" t="s">
        <v>855</v>
      </c>
      <c r="H1436" s="254" t="s">
        <v>989</v>
      </c>
      <c r="I1436" s="255">
        <v>83</v>
      </c>
      <c r="J1436" s="256">
        <v>1364.6890107365784</v>
      </c>
      <c r="K1436" s="258">
        <v>13843.122975461352</v>
      </c>
      <c r="L1436" s="258">
        <v>-1245.8303295812643</v>
      </c>
      <c r="M1436" s="258">
        <f t="shared" si="90"/>
        <v>12597.292645880088</v>
      </c>
      <c r="N1436" s="258">
        <v>-4771.3275505777428</v>
      </c>
      <c r="O1436" s="258">
        <v>0</v>
      </c>
      <c r="P1436" s="258">
        <v>-3539.9045066841909</v>
      </c>
      <c r="Q1436" s="258">
        <f t="shared" si="91"/>
        <v>4286.0605886181547</v>
      </c>
      <c r="R1436" s="259">
        <f t="shared" si="92"/>
        <v>0.34023664521439057</v>
      </c>
      <c r="S1436" s="255">
        <f t="shared" si="89"/>
        <v>166.78461416218497</v>
      </c>
      <c r="T1436" s="255">
        <f t="shared" si="89"/>
        <v>10.143793103448274</v>
      </c>
      <c r="U1436" s="254">
        <v>101602</v>
      </c>
      <c r="V1436" s="254" t="s">
        <v>983</v>
      </c>
      <c r="W1436" s="254" t="s">
        <v>865</v>
      </c>
      <c r="X1436" s="254" t="s">
        <v>157</v>
      </c>
      <c r="Y1436" s="254" t="s">
        <v>843</v>
      </c>
      <c r="Z1436" s="254" t="s">
        <v>1142</v>
      </c>
      <c r="AA1436" s="254" t="s">
        <v>838</v>
      </c>
    </row>
    <row r="1437" spans="1:27" ht="14.4" x14ac:dyDescent="0.3">
      <c r="A1437" s="253">
        <v>11</v>
      </c>
      <c r="B1437" s="254" t="s">
        <v>853</v>
      </c>
      <c r="C1437" s="254">
        <v>15917</v>
      </c>
      <c r="D1437" s="254" t="s">
        <v>571</v>
      </c>
      <c r="E1437" s="254" t="str">
        <f>_xlfn.XLOOKUP(C1437,Clientes!I:I,Clientes!F:F)</f>
        <v>MINAS FARM</v>
      </c>
      <c r="F1437" s="254">
        <v>8301</v>
      </c>
      <c r="G1437" s="254" t="s">
        <v>855</v>
      </c>
      <c r="H1437" s="254" t="s">
        <v>986</v>
      </c>
      <c r="I1437" s="255">
        <v>17</v>
      </c>
      <c r="J1437" s="256">
        <v>390.98242879390995</v>
      </c>
      <c r="K1437" s="258">
        <v>10341.485241598917</v>
      </c>
      <c r="L1437" s="258">
        <v>-1020.0692968680974</v>
      </c>
      <c r="M1437" s="258">
        <f t="shared" si="90"/>
        <v>9321.4159447308193</v>
      </c>
      <c r="N1437" s="258">
        <v>-2864.7088177260925</v>
      </c>
      <c r="O1437" s="258">
        <v>-94.375069019219652</v>
      </c>
      <c r="P1437" s="258">
        <v>-2419.0447023625729</v>
      </c>
      <c r="Q1437" s="258">
        <f t="shared" si="91"/>
        <v>3943.2873556229342</v>
      </c>
      <c r="R1437" s="259">
        <f t="shared" si="92"/>
        <v>0.42303523187933517</v>
      </c>
      <c r="S1437" s="255">
        <f t="shared" si="89"/>
        <v>608.32266127052458</v>
      </c>
      <c r="T1437" s="255">
        <f t="shared" si="89"/>
        <v>26.45</v>
      </c>
      <c r="U1437" s="254">
        <v>101602</v>
      </c>
      <c r="V1437" s="254" t="s">
        <v>983</v>
      </c>
      <c r="W1437" s="254" t="s">
        <v>865</v>
      </c>
      <c r="X1437" s="254" t="s">
        <v>157</v>
      </c>
      <c r="Y1437" s="254" t="s">
        <v>843</v>
      </c>
      <c r="Z1437" s="254" t="s">
        <v>1142</v>
      </c>
      <c r="AA1437" s="254" t="s">
        <v>838</v>
      </c>
    </row>
    <row r="1438" spans="1:27" ht="14.4" x14ac:dyDescent="0.3">
      <c r="A1438" s="253">
        <v>11</v>
      </c>
      <c r="B1438" s="254" t="s">
        <v>853</v>
      </c>
      <c r="C1438" s="254">
        <v>16645</v>
      </c>
      <c r="D1438" s="254" t="s">
        <v>573</v>
      </c>
      <c r="E1438" s="254" t="str">
        <f>_xlfn.XLOOKUP(C1438,Clientes!I:I,Clientes!F:F)</f>
        <v>OPCAO AGRONEGOCIOS</v>
      </c>
      <c r="F1438" s="254">
        <v>8368</v>
      </c>
      <c r="G1438" s="254" t="s">
        <v>855</v>
      </c>
      <c r="H1438" s="254" t="s">
        <v>989</v>
      </c>
      <c r="I1438" s="255">
        <v>28</v>
      </c>
      <c r="J1438" s="256">
        <v>460.37701567017092</v>
      </c>
      <c r="K1438" s="258">
        <v>4797.7635060634166</v>
      </c>
      <c r="L1438" s="258">
        <v>-431.78113064568402</v>
      </c>
      <c r="M1438" s="258">
        <f t="shared" si="90"/>
        <v>4365.9823754177323</v>
      </c>
      <c r="N1438" s="258">
        <v>-1609.6044748936961</v>
      </c>
      <c r="O1438" s="258">
        <v>-111.12548654107576</v>
      </c>
      <c r="P1438" s="258">
        <v>-1224.6529671359635</v>
      </c>
      <c r="Q1438" s="258">
        <f t="shared" si="91"/>
        <v>1420.5994468469971</v>
      </c>
      <c r="R1438" s="259">
        <f t="shared" si="92"/>
        <v>0.32537910708150208</v>
      </c>
      <c r="S1438" s="255">
        <f t="shared" si="89"/>
        <v>171.34869664512203</v>
      </c>
      <c r="T1438" s="255">
        <f t="shared" si="89"/>
        <v>10.421379310344829</v>
      </c>
      <c r="U1438" s="254">
        <v>101602</v>
      </c>
      <c r="V1438" s="254" t="s">
        <v>983</v>
      </c>
      <c r="W1438" s="254" t="s">
        <v>865</v>
      </c>
      <c r="X1438" s="254" t="s">
        <v>157</v>
      </c>
      <c r="Y1438" s="254" t="s">
        <v>843</v>
      </c>
      <c r="Z1438" s="254" t="s">
        <v>1142</v>
      </c>
      <c r="AA1438" s="254" t="s">
        <v>838</v>
      </c>
    </row>
    <row r="1439" spans="1:27" ht="14.4" x14ac:dyDescent="0.3">
      <c r="A1439" s="253">
        <v>11</v>
      </c>
      <c r="B1439" s="254" t="s">
        <v>853</v>
      </c>
      <c r="C1439" s="254">
        <v>14259</v>
      </c>
      <c r="D1439" s="254" t="s">
        <v>241</v>
      </c>
      <c r="E1439" s="254" t="str">
        <f>_xlfn.XLOOKUP(C1439,Clientes!I:I,Clientes!F:F)</f>
        <v>FAZENDA SANTOS REIS II</v>
      </c>
      <c r="F1439" s="254">
        <v>8416</v>
      </c>
      <c r="G1439" s="254" t="s">
        <v>855</v>
      </c>
      <c r="H1439" s="254" t="s">
        <v>1051</v>
      </c>
      <c r="I1439" s="255">
        <v>25</v>
      </c>
      <c r="J1439" s="256">
        <v>143.74353999776102</v>
      </c>
      <c r="K1439" s="258">
        <v>3802.0166329407789</v>
      </c>
      <c r="L1439" s="258">
        <v>-401.61577511680275</v>
      </c>
      <c r="M1439" s="258">
        <f t="shared" si="90"/>
        <v>3400.4008578239764</v>
      </c>
      <c r="N1439" s="258">
        <v>-1215.688774620337</v>
      </c>
      <c r="O1439" s="258">
        <v>0</v>
      </c>
      <c r="P1439" s="258">
        <v>-887.66344914034084</v>
      </c>
      <c r="Q1439" s="258">
        <f t="shared" si="91"/>
        <v>1297.0486340632986</v>
      </c>
      <c r="R1439" s="259">
        <f t="shared" si="92"/>
        <v>0.38143992084901451</v>
      </c>
      <c r="S1439" s="255">
        <f t="shared" si="89"/>
        <v>152.08066531763114</v>
      </c>
      <c r="T1439" s="255">
        <f t="shared" si="89"/>
        <v>26.45</v>
      </c>
      <c r="U1439" s="254">
        <v>101602</v>
      </c>
      <c r="V1439" s="254" t="s">
        <v>983</v>
      </c>
      <c r="W1439" s="254" t="s">
        <v>990</v>
      </c>
      <c r="X1439" s="254" t="s">
        <v>157</v>
      </c>
      <c r="Y1439" s="254" t="s">
        <v>843</v>
      </c>
      <c r="Z1439" s="254" t="s">
        <v>1142</v>
      </c>
      <c r="AA1439" s="254" t="s">
        <v>838</v>
      </c>
    </row>
    <row r="1440" spans="1:27" ht="14.4" x14ac:dyDescent="0.3">
      <c r="A1440" s="253">
        <v>11</v>
      </c>
      <c r="B1440" s="254" t="s">
        <v>853</v>
      </c>
      <c r="C1440" s="254">
        <v>15905</v>
      </c>
      <c r="D1440" s="254" t="s">
        <v>750</v>
      </c>
      <c r="E1440" s="254" t="str">
        <f>_xlfn.XLOOKUP(C1440,Clientes!I:I,Clientes!F:F)</f>
        <v>ADUFÉRTIL - CAMPEVO</v>
      </c>
      <c r="F1440" s="254">
        <v>8368</v>
      </c>
      <c r="G1440" s="254" t="s">
        <v>908</v>
      </c>
      <c r="H1440" s="254" t="s">
        <v>989</v>
      </c>
      <c r="I1440" s="255">
        <v>170</v>
      </c>
      <c r="J1440" s="256">
        <v>2795.1461665688953</v>
      </c>
      <c r="K1440" s="258">
        <v>29129.278429670743</v>
      </c>
      <c r="L1440" s="258">
        <v>-2621.528293205939</v>
      </c>
      <c r="M1440" s="258">
        <f t="shared" si="90"/>
        <v>26507.750136464805</v>
      </c>
      <c r="N1440" s="258">
        <v>-9772.5985975688691</v>
      </c>
      <c r="O1440" s="258">
        <v>-755.63618576813087</v>
      </c>
      <c r="P1440" s="258">
        <v>-7427.4601459785881</v>
      </c>
      <c r="Q1440" s="258">
        <f t="shared" si="91"/>
        <v>8552.0552071492184</v>
      </c>
      <c r="R1440" s="259">
        <f t="shared" si="92"/>
        <v>0.32262471024973077</v>
      </c>
      <c r="S1440" s="255">
        <f t="shared" si="89"/>
        <v>171.34869664512203</v>
      </c>
      <c r="T1440" s="255">
        <f t="shared" si="89"/>
        <v>10.421379310344827</v>
      </c>
      <c r="U1440" s="254">
        <v>101602</v>
      </c>
      <c r="V1440" s="254" t="s">
        <v>983</v>
      </c>
      <c r="W1440" s="254" t="s">
        <v>991</v>
      </c>
      <c r="X1440" s="254" t="s">
        <v>157</v>
      </c>
      <c r="Y1440" s="254" t="s">
        <v>843</v>
      </c>
      <c r="Z1440" s="254" t="s">
        <v>1142</v>
      </c>
      <c r="AA1440" s="254" t="s">
        <v>838</v>
      </c>
    </row>
    <row r="1441" spans="1:27" ht="14.4" x14ac:dyDescent="0.3">
      <c r="A1441" s="253">
        <v>11</v>
      </c>
      <c r="B1441" s="254" t="s">
        <v>853</v>
      </c>
      <c r="C1441" s="254">
        <v>15906</v>
      </c>
      <c r="D1441" s="254" t="s">
        <v>993</v>
      </c>
      <c r="E1441" s="254" t="str">
        <f>_xlfn.XLOOKUP(C1441,Clientes!I:I,Clientes!F:F)</f>
        <v>ADUFÉRTIL - CAMPEVO</v>
      </c>
      <c r="F1441" s="254">
        <v>13004</v>
      </c>
      <c r="G1441" s="254" t="s">
        <v>908</v>
      </c>
      <c r="H1441" s="254" t="s">
        <v>982</v>
      </c>
      <c r="I1441" s="255">
        <v>63</v>
      </c>
      <c r="J1441" s="256">
        <v>1448.9348831774312</v>
      </c>
      <c r="K1441" s="258">
        <v>38324.327660043054</v>
      </c>
      <c r="L1441" s="258">
        <v>-3627.6857650550473</v>
      </c>
      <c r="M1441" s="258">
        <f t="shared" si="90"/>
        <v>34696.64189498801</v>
      </c>
      <c r="N1441" s="258">
        <v>-10245.146135240242</v>
      </c>
      <c r="O1441" s="258">
        <v>-391.70317518477435</v>
      </c>
      <c r="P1441" s="258">
        <v>-8965.9584014437551</v>
      </c>
      <c r="Q1441" s="258">
        <f t="shared" si="91"/>
        <v>15093.834183119239</v>
      </c>
      <c r="R1441" s="259">
        <f t="shared" si="92"/>
        <v>0.43502291169277596</v>
      </c>
      <c r="S1441" s="255">
        <f t="shared" si="89"/>
        <v>608.32266127052469</v>
      </c>
      <c r="T1441" s="255">
        <f t="shared" si="89"/>
        <v>26.45</v>
      </c>
      <c r="U1441" s="254">
        <v>101602</v>
      </c>
      <c r="V1441" s="254" t="s">
        <v>983</v>
      </c>
      <c r="W1441" s="254" t="s">
        <v>994</v>
      </c>
      <c r="X1441" s="254" t="s">
        <v>157</v>
      </c>
      <c r="Y1441" s="254" t="s">
        <v>843</v>
      </c>
      <c r="Z1441" s="254" t="s">
        <v>1142</v>
      </c>
      <c r="AA1441" s="254" t="s">
        <v>838</v>
      </c>
    </row>
    <row r="1442" spans="1:27" ht="14.4" x14ac:dyDescent="0.3">
      <c r="A1442" s="253">
        <v>11</v>
      </c>
      <c r="B1442" s="254" t="s">
        <v>853</v>
      </c>
      <c r="C1442" s="254">
        <v>2559</v>
      </c>
      <c r="D1442" s="254" t="s">
        <v>451</v>
      </c>
      <c r="E1442" s="254" t="str">
        <f>_xlfn.XLOOKUP(C1442,Clientes!I:I,Clientes!F:F)</f>
        <v>GRUPO MOSAIC FERTILIZANTES DO BRASIL</v>
      </c>
      <c r="F1442" s="254">
        <v>4676</v>
      </c>
      <c r="G1442" s="254" t="s">
        <v>877</v>
      </c>
      <c r="H1442" s="254" t="s">
        <v>999</v>
      </c>
      <c r="I1442" s="255">
        <v>30000</v>
      </c>
      <c r="J1442" s="256">
        <v>30000</v>
      </c>
      <c r="K1442" s="255">
        <v>347496.63485153631</v>
      </c>
      <c r="L1442" s="258">
        <v>-40644</v>
      </c>
      <c r="M1442" s="258">
        <f t="shared" si="90"/>
        <v>306852.63485153631</v>
      </c>
      <c r="N1442" s="258">
        <v>-171895.5</v>
      </c>
      <c r="O1442" s="258">
        <v>-24421.605</v>
      </c>
      <c r="P1442" s="258">
        <v>-12.156706928020885</v>
      </c>
      <c r="Q1442" s="258">
        <f t="shared" si="91"/>
        <v>110523.37314460828</v>
      </c>
      <c r="R1442" s="259">
        <f t="shared" si="92"/>
        <v>0.36018388174532873</v>
      </c>
      <c r="S1442" s="255">
        <f t="shared" si="89"/>
        <v>11.583221161717876</v>
      </c>
      <c r="T1442" s="255">
        <f t="shared" si="89"/>
        <v>11.583221161717876</v>
      </c>
      <c r="U1442" s="254">
        <v>101900</v>
      </c>
      <c r="V1442" s="254" t="s">
        <v>997</v>
      </c>
      <c r="W1442" s="254" t="s">
        <v>878</v>
      </c>
      <c r="X1442" s="254" t="s">
        <v>446</v>
      </c>
      <c r="Y1442" s="254" t="s">
        <v>843</v>
      </c>
      <c r="Z1442" s="254" t="s">
        <v>1142</v>
      </c>
      <c r="AA1442" s="254" t="s">
        <v>838</v>
      </c>
    </row>
    <row r="1443" spans="1:27" ht="14.4" x14ac:dyDescent="0.3">
      <c r="A1443" s="253">
        <v>11</v>
      </c>
      <c r="B1443" s="254" t="s">
        <v>853</v>
      </c>
      <c r="C1443" s="254">
        <v>2696</v>
      </c>
      <c r="D1443" s="254" t="s">
        <v>119</v>
      </c>
      <c r="E1443" s="254" t="str">
        <f>_xlfn.XLOOKUP(C1443,Clientes!I:I,Clientes!F:F)</f>
        <v>MOSAIC FERTILIZANTES PARAGUAY S.R.L.</v>
      </c>
      <c r="F1443" s="254">
        <v>4676</v>
      </c>
      <c r="G1443" s="254" t="s">
        <v>832</v>
      </c>
      <c r="H1443" s="254" t="s">
        <v>999</v>
      </c>
      <c r="I1443" s="255">
        <v>60000</v>
      </c>
      <c r="J1443" s="256">
        <v>60000</v>
      </c>
      <c r="K1443" s="255">
        <v>677141.36109245347</v>
      </c>
      <c r="L1443" s="258">
        <v>0</v>
      </c>
      <c r="M1443" s="258">
        <f t="shared" si="90"/>
        <v>677141.36109245347</v>
      </c>
      <c r="N1443" s="258">
        <v>-343791</v>
      </c>
      <c r="O1443" s="258">
        <v>-54102.400000000023</v>
      </c>
      <c r="P1443" s="258">
        <v>-21427.29009482139</v>
      </c>
      <c r="Q1443" s="258">
        <f t="shared" si="91"/>
        <v>257820.67099763206</v>
      </c>
      <c r="R1443" s="259">
        <f t="shared" si="92"/>
        <v>0.3807486675775969</v>
      </c>
      <c r="S1443" s="255">
        <f t="shared" si="89"/>
        <v>11.285689351540892</v>
      </c>
      <c r="T1443" s="255">
        <f t="shared" si="89"/>
        <v>11.285689351540892</v>
      </c>
      <c r="U1443" s="254">
        <v>101900</v>
      </c>
      <c r="V1443" s="254" t="s">
        <v>997</v>
      </c>
      <c r="W1443" s="254" t="s">
        <v>1012</v>
      </c>
      <c r="X1443" s="254" t="s">
        <v>446</v>
      </c>
      <c r="Y1443" s="254" t="s">
        <v>836</v>
      </c>
      <c r="Z1443" s="254" t="s">
        <v>1142</v>
      </c>
      <c r="AA1443" s="254" t="s">
        <v>838</v>
      </c>
    </row>
    <row r="1444" spans="1:27" ht="14.4" x14ac:dyDescent="0.3">
      <c r="A1444" s="253">
        <v>11</v>
      </c>
      <c r="B1444" s="254" t="s">
        <v>853</v>
      </c>
      <c r="C1444" s="254">
        <v>9355</v>
      </c>
      <c r="D1444" s="254" t="s">
        <v>302</v>
      </c>
      <c r="E1444" s="254" t="str">
        <f>_xlfn.XLOOKUP(C1444,Clientes!I:I,Clientes!F:F)</f>
        <v>NITROFERT SAS - COLOMBIA</v>
      </c>
      <c r="F1444" s="254">
        <v>14147</v>
      </c>
      <c r="G1444" s="254" t="s">
        <v>832</v>
      </c>
      <c r="H1444" s="254" t="s">
        <v>996</v>
      </c>
      <c r="I1444" s="255">
        <v>43200</v>
      </c>
      <c r="J1444" s="256">
        <v>43200</v>
      </c>
      <c r="K1444" s="255">
        <v>713229.30214034801</v>
      </c>
      <c r="L1444" s="258">
        <v>0</v>
      </c>
      <c r="M1444" s="258">
        <f t="shared" si="90"/>
        <v>713229.30214034801</v>
      </c>
      <c r="N1444" s="258">
        <v>-228301.88199999998</v>
      </c>
      <c r="O1444" s="258">
        <v>-49587.158016000001</v>
      </c>
      <c r="P1444" s="258">
        <v>-15432.942029484357</v>
      </c>
      <c r="Q1444" s="258">
        <f t="shared" si="91"/>
        <v>419907.32009486365</v>
      </c>
      <c r="R1444" s="259">
        <f t="shared" si="92"/>
        <v>0.58874098250696238</v>
      </c>
      <c r="S1444" s="255">
        <f t="shared" si="89"/>
        <v>16.509937549545093</v>
      </c>
      <c r="T1444" s="255">
        <f t="shared" si="89"/>
        <v>16.509937549545093</v>
      </c>
      <c r="U1444" s="254">
        <v>101900</v>
      </c>
      <c r="V1444" s="254" t="s">
        <v>997</v>
      </c>
      <c r="W1444" s="254" t="s">
        <v>998</v>
      </c>
      <c r="X1444" s="254" t="s">
        <v>446</v>
      </c>
      <c r="Y1444" s="254" t="s">
        <v>836</v>
      </c>
      <c r="Z1444" s="254" t="s">
        <v>1142</v>
      </c>
      <c r="AA1444" s="254" t="s">
        <v>838</v>
      </c>
    </row>
    <row r="1445" spans="1:27" ht="14.4" x14ac:dyDescent="0.3">
      <c r="A1445" s="253">
        <v>11</v>
      </c>
      <c r="B1445" s="254" t="s">
        <v>853</v>
      </c>
      <c r="C1445" s="254">
        <v>6477</v>
      </c>
      <c r="D1445" s="254" t="s">
        <v>87</v>
      </c>
      <c r="E1445" s="254" t="str">
        <f>_xlfn.XLOOKUP(C1445,Clientes!I:I,Clientes!F:F)</f>
        <v>GRUPO MOSAIC FERTILIZANTES DO BRASIL</v>
      </c>
      <c r="F1445" s="254">
        <v>4676</v>
      </c>
      <c r="G1445" s="254" t="s">
        <v>862</v>
      </c>
      <c r="H1445" s="254" t="s">
        <v>999</v>
      </c>
      <c r="I1445" s="255">
        <v>60000</v>
      </c>
      <c r="J1445" s="256">
        <v>60000</v>
      </c>
      <c r="K1445" s="255">
        <v>689453.02220322529</v>
      </c>
      <c r="L1445" s="258">
        <v>-80640</v>
      </c>
      <c r="M1445" s="258">
        <f t="shared" si="90"/>
        <v>608813.02220322529</v>
      </c>
      <c r="N1445" s="258">
        <v>-343791</v>
      </c>
      <c r="O1445" s="258">
        <v>-28099.2114</v>
      </c>
      <c r="P1445" s="258">
        <v>-13.987363971299324</v>
      </c>
      <c r="Q1445" s="258">
        <f t="shared" si="91"/>
        <v>236908.82343925399</v>
      </c>
      <c r="R1445" s="259">
        <f t="shared" si="92"/>
        <v>0.38913231944663046</v>
      </c>
      <c r="S1445" s="255">
        <f t="shared" si="89"/>
        <v>11.490883703387087</v>
      </c>
      <c r="T1445" s="255">
        <f t="shared" si="89"/>
        <v>11.490883703387087</v>
      </c>
      <c r="U1445" s="254">
        <v>101900</v>
      </c>
      <c r="V1445" s="254" t="s">
        <v>997</v>
      </c>
      <c r="W1445" s="254" t="s">
        <v>864</v>
      </c>
      <c r="X1445" s="254" t="s">
        <v>446</v>
      </c>
      <c r="Y1445" s="254" t="s">
        <v>843</v>
      </c>
      <c r="Z1445" s="254" t="s">
        <v>1142</v>
      </c>
      <c r="AA1445" s="254" t="s">
        <v>838</v>
      </c>
    </row>
    <row r="1446" spans="1:27" ht="14.4" x14ac:dyDescent="0.3">
      <c r="A1446" s="253">
        <v>11</v>
      </c>
      <c r="B1446" s="254" t="s">
        <v>853</v>
      </c>
      <c r="C1446" s="254">
        <v>1159</v>
      </c>
      <c r="D1446" s="254" t="s">
        <v>50</v>
      </c>
      <c r="E1446" s="254" t="str">
        <f>_xlfn.XLOOKUP(C1446,Clientes!I:I,Clientes!F:F)</f>
        <v>GRUPO YARA</v>
      </c>
      <c r="F1446" s="254">
        <v>4627</v>
      </c>
      <c r="G1446" s="254" t="s">
        <v>877</v>
      </c>
      <c r="H1446" s="254" t="s">
        <v>1000</v>
      </c>
      <c r="I1446" s="255">
        <v>210000</v>
      </c>
      <c r="J1446" s="256">
        <v>210000</v>
      </c>
      <c r="K1446" s="258">
        <v>1906820.4599747059</v>
      </c>
      <c r="L1446" s="258">
        <v>-228060</v>
      </c>
      <c r="M1446" s="258">
        <f t="shared" si="90"/>
        <v>1678760.4599747059</v>
      </c>
      <c r="N1446" s="258">
        <v>-1089499.425</v>
      </c>
      <c r="O1446" s="258">
        <v>-170951.23499999999</v>
      </c>
      <c r="P1446" s="258">
        <v>-85.096948496146183</v>
      </c>
      <c r="Q1446" s="258">
        <f t="shared" si="91"/>
        <v>418224.70302620978</v>
      </c>
      <c r="R1446" s="259">
        <f t="shared" si="92"/>
        <v>0.24912708691775551</v>
      </c>
      <c r="S1446" s="255">
        <f t="shared" si="89"/>
        <v>9.0800974284509799</v>
      </c>
      <c r="T1446" s="255">
        <f t="shared" si="89"/>
        <v>9.0800974284509799</v>
      </c>
      <c r="U1446" s="254">
        <v>102200</v>
      </c>
      <c r="V1446" s="254" t="s">
        <v>1001</v>
      </c>
      <c r="W1446" s="254" t="s">
        <v>878</v>
      </c>
      <c r="X1446" s="254" t="s">
        <v>446</v>
      </c>
      <c r="Y1446" s="254" t="s">
        <v>843</v>
      </c>
      <c r="Z1446" s="254" t="s">
        <v>1142</v>
      </c>
      <c r="AA1446" s="254" t="s">
        <v>838</v>
      </c>
    </row>
    <row r="1447" spans="1:27" ht="14.4" x14ac:dyDescent="0.3">
      <c r="A1447" s="253">
        <v>11</v>
      </c>
      <c r="B1447" s="254" t="s">
        <v>853</v>
      </c>
      <c r="C1447" s="254">
        <v>903</v>
      </c>
      <c r="D1447" s="254" t="s">
        <v>47</v>
      </c>
      <c r="E1447" s="254" t="str">
        <f>_xlfn.XLOOKUP(C1447,Clientes!I:I,Clientes!F:F)</f>
        <v>GRUPO YARA</v>
      </c>
      <c r="F1447" s="254">
        <v>4627</v>
      </c>
      <c r="G1447" s="254" t="s">
        <v>862</v>
      </c>
      <c r="H1447" s="254" t="s">
        <v>1000</v>
      </c>
      <c r="I1447" s="255">
        <v>30000</v>
      </c>
      <c r="J1447" s="256">
        <v>30000</v>
      </c>
      <c r="K1447" s="258">
        <v>257353.03761300293</v>
      </c>
      <c r="L1447" s="258">
        <v>-30780</v>
      </c>
      <c r="M1447" s="258">
        <f t="shared" si="90"/>
        <v>226573.03761300293</v>
      </c>
      <c r="N1447" s="258">
        <v>-155642.77499999999</v>
      </c>
      <c r="O1447" s="258">
        <v>-11813.963615999999</v>
      </c>
      <c r="P1447" s="258">
        <v>-5.8808130480373366</v>
      </c>
      <c r="Q1447" s="258">
        <f t="shared" si="91"/>
        <v>59110.418183954898</v>
      </c>
      <c r="R1447" s="259">
        <f t="shared" si="92"/>
        <v>0.26088902195378688</v>
      </c>
      <c r="S1447" s="255">
        <f t="shared" si="89"/>
        <v>8.578434587100098</v>
      </c>
      <c r="T1447" s="255">
        <f t="shared" si="89"/>
        <v>8.578434587100098</v>
      </c>
      <c r="U1447" s="254">
        <v>102200</v>
      </c>
      <c r="V1447" s="254" t="s">
        <v>1001</v>
      </c>
      <c r="W1447" s="254" t="s">
        <v>1002</v>
      </c>
      <c r="X1447" s="254" t="s">
        <v>446</v>
      </c>
      <c r="Y1447" s="254" t="s">
        <v>843</v>
      </c>
      <c r="Z1447" s="254" t="s">
        <v>1142</v>
      </c>
      <c r="AA1447" s="254" t="s">
        <v>838</v>
      </c>
    </row>
    <row r="1448" spans="1:27" ht="14.4" x14ac:dyDescent="0.3">
      <c r="A1448" s="253">
        <v>11</v>
      </c>
      <c r="B1448" s="254" t="s">
        <v>853</v>
      </c>
      <c r="C1448" s="254">
        <v>139</v>
      </c>
      <c r="D1448" s="254" t="s">
        <v>32</v>
      </c>
      <c r="E1448" s="254" t="str">
        <f>_xlfn.XLOOKUP(C1448,Clientes!I:I,Clientes!F:F)</f>
        <v>COMIGO - RIO VERDE</v>
      </c>
      <c r="F1448" s="254">
        <v>14190</v>
      </c>
      <c r="G1448" s="254" t="s">
        <v>867</v>
      </c>
      <c r="H1448" s="254" t="s">
        <v>1122</v>
      </c>
      <c r="I1448" s="255">
        <v>100000</v>
      </c>
      <c r="J1448" s="256">
        <v>100000</v>
      </c>
      <c r="K1448" s="258">
        <v>815410.6697750251</v>
      </c>
      <c r="L1448" s="258">
        <v>-31760</v>
      </c>
      <c r="M1448" s="258">
        <f t="shared" si="90"/>
        <v>783650.6697750251</v>
      </c>
      <c r="N1448" s="258">
        <v>-446918</v>
      </c>
      <c r="O1448" s="258">
        <v>-18962.657999999999</v>
      </c>
      <c r="P1448" s="258">
        <v>-9.4393253794044512</v>
      </c>
      <c r="Q1448" s="258">
        <f t="shared" si="91"/>
        <v>317760.57244964573</v>
      </c>
      <c r="R1448" s="259">
        <f t="shared" si="92"/>
        <v>0.40548752742197008</v>
      </c>
      <c r="S1448" s="255">
        <f t="shared" si="89"/>
        <v>8.154106697750251</v>
      </c>
      <c r="T1448" s="255">
        <f t="shared" si="89"/>
        <v>8.154106697750251</v>
      </c>
      <c r="U1448" s="254">
        <v>102300</v>
      </c>
      <c r="V1448" s="254" t="s">
        <v>1059</v>
      </c>
      <c r="W1448" s="254" t="s">
        <v>890</v>
      </c>
      <c r="X1448" s="254" t="s">
        <v>446</v>
      </c>
      <c r="Y1448" s="254" t="s">
        <v>843</v>
      </c>
      <c r="Z1448" s="254" t="s">
        <v>1142</v>
      </c>
      <c r="AA1448" s="254" t="s">
        <v>838</v>
      </c>
    </row>
    <row r="1449" spans="1:27" ht="14.4" x14ac:dyDescent="0.3">
      <c r="A1449" s="253">
        <v>11</v>
      </c>
      <c r="B1449" s="254" t="s">
        <v>853</v>
      </c>
      <c r="C1449" s="254">
        <v>97</v>
      </c>
      <c r="D1449" s="254" t="s">
        <v>300</v>
      </c>
      <c r="E1449" s="254" t="str">
        <f>_xlfn.XLOOKUP(C1449,Clientes!I:I,Clientes!F:F)</f>
        <v>FECOAGRO FEDERACAO DAS COOPERATIVAS</v>
      </c>
      <c r="F1449" s="254">
        <v>13600</v>
      </c>
      <c r="G1449" s="254" t="s">
        <v>893</v>
      </c>
      <c r="H1449" s="254" t="s">
        <v>1098</v>
      </c>
      <c r="I1449" s="255">
        <v>210000</v>
      </c>
      <c r="J1449" s="256">
        <v>210000</v>
      </c>
      <c r="K1449" s="258">
        <v>1940964.944426697</v>
      </c>
      <c r="L1449" s="258">
        <v>-75600</v>
      </c>
      <c r="M1449" s="258">
        <f t="shared" si="90"/>
        <v>1865364.944426697</v>
      </c>
      <c r="N1449" s="258">
        <v>-1208441.81</v>
      </c>
      <c r="O1449" s="258">
        <v>-117654.67349999999</v>
      </c>
      <c r="P1449" s="258">
        <v>-58.566723376759441</v>
      </c>
      <c r="Q1449" s="258">
        <f t="shared" si="91"/>
        <v>539209.89420332015</v>
      </c>
      <c r="R1449" s="259">
        <f t="shared" si="92"/>
        <v>0.2890640224661461</v>
      </c>
      <c r="S1449" s="255">
        <f t="shared" si="89"/>
        <v>9.2426902115557006</v>
      </c>
      <c r="T1449" s="255">
        <f t="shared" si="89"/>
        <v>9.2426902115557006</v>
      </c>
      <c r="U1449" s="254">
        <v>102300</v>
      </c>
      <c r="V1449" s="254" t="s">
        <v>1059</v>
      </c>
      <c r="W1449" s="254" t="s">
        <v>894</v>
      </c>
      <c r="X1449" s="254" t="s">
        <v>446</v>
      </c>
      <c r="Y1449" s="254" t="s">
        <v>843</v>
      </c>
      <c r="Z1449" s="254" t="s">
        <v>1142</v>
      </c>
      <c r="AA1449" s="254" t="s">
        <v>838</v>
      </c>
    </row>
    <row r="1450" spans="1:27" ht="14.4" x14ac:dyDescent="0.3">
      <c r="A1450" s="253">
        <v>11</v>
      </c>
      <c r="B1450" s="254" t="s">
        <v>853</v>
      </c>
      <c r="C1450" s="254">
        <v>2011</v>
      </c>
      <c r="D1450" s="254" t="s">
        <v>616</v>
      </c>
      <c r="E1450" s="254" t="str">
        <f>_xlfn.XLOOKUP(C1450,Clientes!I:I,Clientes!F:F)</f>
        <v>FERTGROW S.A</v>
      </c>
      <c r="F1450" s="254">
        <v>12813</v>
      </c>
      <c r="G1450" s="254" t="s">
        <v>897</v>
      </c>
      <c r="H1450" s="254" t="s">
        <v>1060</v>
      </c>
      <c r="I1450" s="255">
        <v>90000</v>
      </c>
      <c r="J1450" s="256">
        <v>90000</v>
      </c>
      <c r="K1450" s="258">
        <v>1011150.3091441935</v>
      </c>
      <c r="L1450" s="258">
        <v>-39384</v>
      </c>
      <c r="M1450" s="258">
        <f t="shared" si="90"/>
        <v>971766.30914419354</v>
      </c>
      <c r="N1450" s="258">
        <v>-403289.43</v>
      </c>
      <c r="O1450" s="258">
        <v>-79384.58189999999</v>
      </c>
      <c r="P1450" s="258">
        <v>-39.516448520143179</v>
      </c>
      <c r="Q1450" s="258">
        <f t="shared" si="91"/>
        <v>489052.78079567349</v>
      </c>
      <c r="R1450" s="259">
        <f t="shared" si="92"/>
        <v>0.50326171651944607</v>
      </c>
      <c r="S1450" s="255">
        <f t="shared" si="89"/>
        <v>11.235003434935484</v>
      </c>
      <c r="T1450" s="255">
        <f t="shared" si="89"/>
        <v>11.235003434935484</v>
      </c>
      <c r="U1450" s="254">
        <v>102300</v>
      </c>
      <c r="V1450" s="254" t="s">
        <v>1059</v>
      </c>
      <c r="W1450" s="254" t="s">
        <v>899</v>
      </c>
      <c r="X1450" s="254" t="s">
        <v>446</v>
      </c>
      <c r="Y1450" s="254" t="s">
        <v>843</v>
      </c>
      <c r="Z1450" s="254" t="s">
        <v>1142</v>
      </c>
      <c r="AA1450" s="254" t="s">
        <v>838</v>
      </c>
    </row>
    <row r="1451" spans="1:27" ht="14.4" x14ac:dyDescent="0.3">
      <c r="A1451" s="253">
        <v>11</v>
      </c>
      <c r="B1451" s="254" t="s">
        <v>853</v>
      </c>
      <c r="C1451" s="254">
        <v>3142</v>
      </c>
      <c r="D1451" s="254" t="s">
        <v>78</v>
      </c>
      <c r="E1451" s="254" t="str">
        <f>_xlfn.XLOOKUP(C1451,Clientes!I:I,Clientes!F:F)</f>
        <v>INTERFERTIL - SAO FRANCISCO DO SUL</v>
      </c>
      <c r="F1451" s="254">
        <v>7398</v>
      </c>
      <c r="G1451" s="254" t="s">
        <v>893</v>
      </c>
      <c r="H1451" s="254" t="s">
        <v>1004</v>
      </c>
      <c r="I1451" s="255">
        <v>15000</v>
      </c>
      <c r="J1451" s="256">
        <v>15000</v>
      </c>
      <c r="K1451" s="258">
        <v>41400</v>
      </c>
      <c r="L1451" s="258">
        <v>-4968</v>
      </c>
      <c r="M1451" s="258">
        <f t="shared" si="90"/>
        <v>36432</v>
      </c>
      <c r="N1451" s="258">
        <v>-9467.4506493506506</v>
      </c>
      <c r="O1451" s="258">
        <v>-12045.7338550185</v>
      </c>
      <c r="P1451" s="258">
        <v>-5.9961847801730936</v>
      </c>
      <c r="Q1451" s="258">
        <f t="shared" si="91"/>
        <v>14912.819310850678</v>
      </c>
      <c r="R1451" s="259">
        <f t="shared" si="92"/>
        <v>0.40933298503652499</v>
      </c>
      <c r="S1451" s="255">
        <f t="shared" si="89"/>
        <v>2.76</v>
      </c>
      <c r="T1451" s="255">
        <f t="shared" si="89"/>
        <v>2.76</v>
      </c>
      <c r="U1451" s="254">
        <v>102600</v>
      </c>
      <c r="V1451" s="254" t="s">
        <v>1005</v>
      </c>
      <c r="W1451" s="254" t="s">
        <v>894</v>
      </c>
      <c r="X1451" s="254" t="s">
        <v>446</v>
      </c>
      <c r="Y1451" s="254" t="s">
        <v>843</v>
      </c>
      <c r="Z1451" s="254" t="s">
        <v>1142</v>
      </c>
      <c r="AA1451" s="254" t="s">
        <v>838</v>
      </c>
    </row>
    <row r="1452" spans="1:27" ht="14.4" x14ac:dyDescent="0.3">
      <c r="A1452" s="253">
        <v>11</v>
      </c>
      <c r="B1452" s="254" t="s">
        <v>853</v>
      </c>
      <c r="C1452" s="254">
        <v>8855</v>
      </c>
      <c r="D1452" s="254" t="s">
        <v>1003</v>
      </c>
      <c r="E1452" s="254" t="str">
        <f>_xlfn.XLOOKUP(C1452,Clientes!I:I,Clientes!F:F)</f>
        <v>TERMAG GUARUJA</v>
      </c>
      <c r="F1452" s="254">
        <v>7398</v>
      </c>
      <c r="G1452" s="254" t="s">
        <v>908</v>
      </c>
      <c r="H1452" s="254" t="s">
        <v>1004</v>
      </c>
      <c r="I1452" s="255">
        <v>30000</v>
      </c>
      <c r="J1452" s="256">
        <v>30000</v>
      </c>
      <c r="K1452" s="258">
        <v>73800</v>
      </c>
      <c r="L1452" s="258">
        <v>-8856</v>
      </c>
      <c r="M1452" s="258">
        <f t="shared" si="90"/>
        <v>64944</v>
      </c>
      <c r="N1452" s="258">
        <v>-18934.901298701301</v>
      </c>
      <c r="O1452" s="258">
        <v>-13045.632163199998</v>
      </c>
      <c r="P1452" s="258">
        <v>-6.493919089215697</v>
      </c>
      <c r="Q1452" s="258">
        <f t="shared" si="91"/>
        <v>32956.972619009488</v>
      </c>
      <c r="R1452" s="259">
        <f t="shared" si="92"/>
        <v>0.50746755079775629</v>
      </c>
      <c r="S1452" s="255">
        <f t="shared" si="89"/>
        <v>2.46</v>
      </c>
      <c r="T1452" s="255">
        <f t="shared" si="89"/>
        <v>2.46</v>
      </c>
      <c r="U1452" s="254">
        <v>102600</v>
      </c>
      <c r="V1452" s="254" t="s">
        <v>1005</v>
      </c>
      <c r="W1452" s="254" t="s">
        <v>1006</v>
      </c>
      <c r="X1452" s="254" t="s">
        <v>446</v>
      </c>
      <c r="Y1452" s="254" t="s">
        <v>843</v>
      </c>
      <c r="Z1452" s="254" t="s">
        <v>1142</v>
      </c>
      <c r="AA1452" s="254" t="s">
        <v>838</v>
      </c>
    </row>
    <row r="1453" spans="1:27" ht="14.4" x14ac:dyDescent="0.3">
      <c r="A1453" s="253">
        <v>11</v>
      </c>
      <c r="B1453" s="254" t="s">
        <v>853</v>
      </c>
      <c r="C1453" s="254">
        <v>7648</v>
      </c>
      <c r="D1453" s="254" t="s">
        <v>958</v>
      </c>
      <c r="E1453" s="254" t="str">
        <f>_xlfn.XLOOKUP(C1453,Clientes!I:I,Clientes!F:F)</f>
        <v>GRUPO LOUIS DREYFUS</v>
      </c>
      <c r="F1453" s="254">
        <v>14154</v>
      </c>
      <c r="G1453" s="254" t="s">
        <v>862</v>
      </c>
      <c r="H1453" s="254" t="s">
        <v>1007</v>
      </c>
      <c r="I1453" s="255">
        <v>13200</v>
      </c>
      <c r="J1453" s="256">
        <v>13200</v>
      </c>
      <c r="K1453" s="258">
        <v>47916</v>
      </c>
      <c r="L1453" s="258">
        <v>-5749.92</v>
      </c>
      <c r="M1453" s="258">
        <f t="shared" si="90"/>
        <v>42166.080000000002</v>
      </c>
      <c r="N1453" s="258">
        <v>-15204.505555555557</v>
      </c>
      <c r="O1453" s="258">
        <v>-9623.6718130238405</v>
      </c>
      <c r="P1453" s="258">
        <v>-4.790518796876218</v>
      </c>
      <c r="Q1453" s="258">
        <f t="shared" si="91"/>
        <v>17333.112112623727</v>
      </c>
      <c r="R1453" s="259">
        <f t="shared" si="92"/>
        <v>0.41106766653726706</v>
      </c>
      <c r="S1453" s="255">
        <f t="shared" si="89"/>
        <v>3.63</v>
      </c>
      <c r="T1453" s="255">
        <f t="shared" si="89"/>
        <v>3.63</v>
      </c>
      <c r="U1453" s="254">
        <v>102600</v>
      </c>
      <c r="V1453" s="254" t="s">
        <v>1005</v>
      </c>
      <c r="W1453" s="254" t="s">
        <v>864</v>
      </c>
      <c r="X1453" s="254" t="s">
        <v>446</v>
      </c>
      <c r="Y1453" s="254" t="s">
        <v>843</v>
      </c>
      <c r="Z1453" s="254" t="s">
        <v>1142</v>
      </c>
      <c r="AA1453" s="254" t="s">
        <v>838</v>
      </c>
    </row>
    <row r="1454" spans="1:27" ht="14.4" x14ac:dyDescent="0.3">
      <c r="A1454" s="253">
        <v>11</v>
      </c>
      <c r="B1454" s="254" t="s">
        <v>853</v>
      </c>
      <c r="C1454" s="254">
        <v>139</v>
      </c>
      <c r="D1454" s="254" t="s">
        <v>32</v>
      </c>
      <c r="E1454" s="254" t="str">
        <f>_xlfn.XLOOKUP(C1454,Clientes!I:I,Clientes!F:F)</f>
        <v>COMIGO - RIO VERDE</v>
      </c>
      <c r="F1454" s="254">
        <v>14154</v>
      </c>
      <c r="G1454" s="254" t="s">
        <v>867</v>
      </c>
      <c r="H1454" s="254" t="s">
        <v>1007</v>
      </c>
      <c r="I1454" s="255">
        <v>30000</v>
      </c>
      <c r="J1454" s="256">
        <v>30000</v>
      </c>
      <c r="K1454" s="258">
        <v>48600</v>
      </c>
      <c r="L1454" s="258">
        <v>-3402.0000000000005</v>
      </c>
      <c r="M1454" s="258">
        <f t="shared" si="90"/>
        <v>45198</v>
      </c>
      <c r="N1454" s="258">
        <v>-34555.694444444445</v>
      </c>
      <c r="O1454" s="258">
        <v>-5688.7973999999995</v>
      </c>
      <c r="P1454" s="258">
        <v>-2.831797613821335</v>
      </c>
      <c r="Q1454" s="258">
        <f t="shared" si="91"/>
        <v>4950.6763579417338</v>
      </c>
      <c r="R1454" s="259">
        <f t="shared" si="92"/>
        <v>0.10953308460422438</v>
      </c>
      <c r="S1454" s="255">
        <f t="shared" si="89"/>
        <v>1.62</v>
      </c>
      <c r="T1454" s="255">
        <f t="shared" si="89"/>
        <v>1.62</v>
      </c>
      <c r="U1454" s="254">
        <v>102600</v>
      </c>
      <c r="V1454" s="254" t="s">
        <v>1005</v>
      </c>
      <c r="W1454" s="254" t="s">
        <v>890</v>
      </c>
      <c r="X1454" s="254" t="s">
        <v>446</v>
      </c>
      <c r="Y1454" s="254" t="s">
        <v>843</v>
      </c>
      <c r="Z1454" s="254" t="s">
        <v>1142</v>
      </c>
      <c r="AA1454" s="254" t="s">
        <v>838</v>
      </c>
    </row>
    <row r="1455" spans="1:27" ht="14.4" x14ac:dyDescent="0.3">
      <c r="A1455" s="253">
        <v>11</v>
      </c>
      <c r="B1455" s="254" t="s">
        <v>853</v>
      </c>
      <c r="C1455" s="254">
        <v>8413</v>
      </c>
      <c r="D1455" s="254" t="s">
        <v>97</v>
      </c>
      <c r="E1455" s="254" t="str">
        <f>_xlfn.XLOOKUP(C1455,Clientes!I:I,Clientes!F:F)</f>
        <v>GRUPO AMAGGI</v>
      </c>
      <c r="F1455" s="254">
        <v>7398</v>
      </c>
      <c r="G1455" s="254" t="s">
        <v>840</v>
      </c>
      <c r="H1455" s="254" t="s">
        <v>1004</v>
      </c>
      <c r="I1455" s="255">
        <v>32000</v>
      </c>
      <c r="J1455" s="256">
        <v>32000</v>
      </c>
      <c r="K1455" s="258">
        <v>66240</v>
      </c>
      <c r="L1455" s="258">
        <v>-4636.8</v>
      </c>
      <c r="M1455" s="258">
        <f t="shared" si="90"/>
        <v>61603.199999999997</v>
      </c>
      <c r="N1455" s="258">
        <v>-20197.228051948056</v>
      </c>
      <c r="O1455" s="258">
        <v>-23352.800640000001</v>
      </c>
      <c r="P1455" s="258">
        <v>-11.62467222481809</v>
      </c>
      <c r="Q1455" s="258">
        <f t="shared" si="91"/>
        <v>18041.546635827122</v>
      </c>
      <c r="R1455" s="259">
        <f t="shared" si="92"/>
        <v>0.29286703670957226</v>
      </c>
      <c r="S1455" s="255">
        <f t="shared" si="89"/>
        <v>2.0699999999999998</v>
      </c>
      <c r="T1455" s="255">
        <f t="shared" si="89"/>
        <v>2.0699999999999998</v>
      </c>
      <c r="U1455" s="254">
        <v>102600</v>
      </c>
      <c r="V1455" s="254" t="s">
        <v>1005</v>
      </c>
      <c r="W1455" s="254" t="s">
        <v>915</v>
      </c>
      <c r="X1455" s="254" t="s">
        <v>446</v>
      </c>
      <c r="Y1455" s="254" t="s">
        <v>843</v>
      </c>
      <c r="Z1455" s="254" t="s">
        <v>1142</v>
      </c>
      <c r="AA1455" s="254" t="s">
        <v>838</v>
      </c>
    </row>
    <row r="1456" spans="1:27" ht="14.4" x14ac:dyDescent="0.3">
      <c r="A1456" s="253">
        <v>11</v>
      </c>
      <c r="B1456" s="254" t="s">
        <v>854</v>
      </c>
      <c r="C1456" s="254">
        <v>6315</v>
      </c>
      <c r="D1456" s="254" t="s">
        <v>86</v>
      </c>
      <c r="E1456" s="254" t="str">
        <f>_xlfn.XLOOKUP(C1456,Clientes!I:I,Clientes!F:F)</f>
        <v>ONNO LOGISTICA  LTDA</v>
      </c>
      <c r="F1456" s="254">
        <v>13954</v>
      </c>
      <c r="G1456" s="254" t="s">
        <v>840</v>
      </c>
      <c r="H1456" s="254" t="s">
        <v>1133</v>
      </c>
      <c r="I1456" s="255">
        <v>90000</v>
      </c>
      <c r="J1456" s="256">
        <v>90000</v>
      </c>
      <c r="K1456" s="258">
        <v>135000</v>
      </c>
      <c r="L1456" s="258">
        <v>0</v>
      </c>
      <c r="M1456" s="258">
        <f t="shared" si="90"/>
        <v>135000</v>
      </c>
      <c r="N1456" s="258">
        <v>-31727.010000000002</v>
      </c>
      <c r="O1456" s="258">
        <v>-35942.856299999999</v>
      </c>
      <c r="P1456" s="258">
        <v>-26.498626589681365</v>
      </c>
      <c r="Q1456" s="258">
        <f t="shared" si="91"/>
        <v>67303.635073410303</v>
      </c>
      <c r="R1456" s="259">
        <f t="shared" si="92"/>
        <v>0.49854544498822445</v>
      </c>
      <c r="S1456" s="255">
        <f t="shared" si="89"/>
        <v>1.5</v>
      </c>
      <c r="T1456" s="255">
        <f t="shared" si="89"/>
        <v>1.5</v>
      </c>
      <c r="U1456" s="254">
        <v>100100</v>
      </c>
      <c r="V1456" s="254" t="s">
        <v>834</v>
      </c>
      <c r="W1456" s="254" t="s">
        <v>861</v>
      </c>
      <c r="X1456" s="254" t="s">
        <v>446</v>
      </c>
      <c r="Y1456" s="254" t="s">
        <v>843</v>
      </c>
      <c r="Z1456" s="254" t="s">
        <v>1150</v>
      </c>
      <c r="AA1456" s="254" t="s">
        <v>838</v>
      </c>
    </row>
    <row r="1457" spans="1:27" ht="14.4" x14ac:dyDescent="0.3">
      <c r="A1457" s="253">
        <v>11</v>
      </c>
      <c r="B1457" s="254" t="s">
        <v>854</v>
      </c>
      <c r="C1457" s="254">
        <v>16660</v>
      </c>
      <c r="D1457" s="254" t="s">
        <v>653</v>
      </c>
      <c r="E1457" s="254" t="str">
        <f>_xlfn.XLOOKUP(C1457,Clientes!I:I,Clientes!F:F)</f>
        <v>INTER - TMI - CANDEIAS</v>
      </c>
      <c r="F1457" s="254">
        <v>2</v>
      </c>
      <c r="G1457" s="254" t="s">
        <v>875</v>
      </c>
      <c r="H1457" s="254" t="s">
        <v>883</v>
      </c>
      <c r="I1457" s="255">
        <v>12000</v>
      </c>
      <c r="J1457" s="256">
        <v>12000</v>
      </c>
      <c r="K1457" s="258">
        <v>34800</v>
      </c>
      <c r="L1457" s="258">
        <v>-2436.0000000000005</v>
      </c>
      <c r="M1457" s="258">
        <f t="shared" si="90"/>
        <v>32364</v>
      </c>
      <c r="N1457" s="258">
        <v>-6434.4933333333329</v>
      </c>
      <c r="O1457" s="258">
        <v>-12649.853999764799</v>
      </c>
      <c r="P1457" s="258">
        <v>-9.3260189105715199</v>
      </c>
      <c r="Q1457" s="258">
        <f t="shared" si="91"/>
        <v>13270.326647991298</v>
      </c>
      <c r="R1457" s="259">
        <f t="shared" si="92"/>
        <v>0.41003357582472183</v>
      </c>
      <c r="S1457" s="255">
        <f t="shared" si="89"/>
        <v>2.9</v>
      </c>
      <c r="T1457" s="255">
        <f t="shared" si="89"/>
        <v>2.9</v>
      </c>
      <c r="U1457" s="254">
        <v>100100</v>
      </c>
      <c r="V1457" s="254" t="s">
        <v>834</v>
      </c>
      <c r="W1457" s="254" t="s">
        <v>876</v>
      </c>
      <c r="X1457" s="254" t="s">
        <v>446</v>
      </c>
      <c r="Y1457" s="254" t="s">
        <v>843</v>
      </c>
      <c r="Z1457" s="254" t="s">
        <v>1150</v>
      </c>
      <c r="AA1457" s="254" t="s">
        <v>838</v>
      </c>
    </row>
    <row r="1458" spans="1:27" ht="14.4" x14ac:dyDescent="0.3">
      <c r="A1458" s="253">
        <v>11</v>
      </c>
      <c r="B1458" s="254" t="s">
        <v>854</v>
      </c>
      <c r="C1458" s="254">
        <v>1292</v>
      </c>
      <c r="D1458" s="254" t="s">
        <v>1079</v>
      </c>
      <c r="E1458" s="254" t="str">
        <f>_xlfn.XLOOKUP(C1458,Clientes!I:I,Clientes!F:F)</f>
        <v>GRUPO AGRO INDUSTRIAL SAO LUIZ LTDA</v>
      </c>
      <c r="F1458" s="254">
        <v>148</v>
      </c>
      <c r="G1458" s="254" t="s">
        <v>893</v>
      </c>
      <c r="H1458" s="254" t="s">
        <v>904</v>
      </c>
      <c r="I1458" s="255">
        <v>20000</v>
      </c>
      <c r="J1458" s="256">
        <v>20000</v>
      </c>
      <c r="K1458" s="258">
        <v>47000</v>
      </c>
      <c r="L1458" s="258">
        <v>-5640</v>
      </c>
      <c r="M1458" s="258">
        <f t="shared" si="90"/>
        <v>41360</v>
      </c>
      <c r="N1458" s="258">
        <v>-13162.405714285713</v>
      </c>
      <c r="O1458" s="258">
        <v>-10207.092555894</v>
      </c>
      <c r="P1458" s="258">
        <v>-7.5251096336757044</v>
      </c>
      <c r="Q1458" s="258">
        <f t="shared" si="91"/>
        <v>17982.976620186611</v>
      </c>
      <c r="R1458" s="259">
        <f t="shared" si="92"/>
        <v>0.43479150435654285</v>
      </c>
      <c r="S1458" s="255">
        <f t="shared" si="89"/>
        <v>2.35</v>
      </c>
      <c r="T1458" s="255">
        <f t="shared" si="89"/>
        <v>2.35</v>
      </c>
      <c r="U1458" s="254">
        <v>100100</v>
      </c>
      <c r="V1458" s="254" t="s">
        <v>834</v>
      </c>
      <c r="W1458" s="254" t="s">
        <v>1080</v>
      </c>
      <c r="X1458" s="254" t="s">
        <v>446</v>
      </c>
      <c r="Y1458" s="254" t="s">
        <v>843</v>
      </c>
      <c r="Z1458" s="254" t="s">
        <v>1150</v>
      </c>
      <c r="AA1458" s="254" t="s">
        <v>838</v>
      </c>
    </row>
    <row r="1459" spans="1:27" ht="14.4" x14ac:dyDescent="0.3">
      <c r="A1459" s="253">
        <v>11</v>
      </c>
      <c r="B1459" s="254" t="s">
        <v>854</v>
      </c>
      <c r="C1459" s="254">
        <v>7102</v>
      </c>
      <c r="D1459" s="254" t="s">
        <v>906</v>
      </c>
      <c r="E1459" s="254" t="str">
        <f>_xlfn.XLOOKUP(C1459,Clientes!I:I,Clientes!F:F)</f>
        <v>GRUPO MOSAIC FERTILIZANTES DO BRASIL</v>
      </c>
      <c r="F1459" s="254">
        <v>1043</v>
      </c>
      <c r="G1459" s="254" t="s">
        <v>840</v>
      </c>
      <c r="H1459" s="254" t="s">
        <v>860</v>
      </c>
      <c r="I1459" s="255">
        <v>90000</v>
      </c>
      <c r="J1459" s="256">
        <v>90000</v>
      </c>
      <c r="K1459" s="258">
        <v>183600</v>
      </c>
      <c r="L1459" s="258">
        <v>-12852.000000000002</v>
      </c>
      <c r="M1459" s="258">
        <f t="shared" si="90"/>
        <v>170748</v>
      </c>
      <c r="N1459" s="258">
        <v>-36515.383248730963</v>
      </c>
      <c r="O1459" s="258">
        <v>-35942.856299999999</v>
      </c>
      <c r="P1459" s="258">
        <v>-26.498626589681365</v>
      </c>
      <c r="Q1459" s="258">
        <f t="shared" si="91"/>
        <v>98263.261824679343</v>
      </c>
      <c r="R1459" s="259">
        <f t="shared" si="92"/>
        <v>0.5754870442094745</v>
      </c>
      <c r="S1459" s="255">
        <f t="shared" si="89"/>
        <v>2.04</v>
      </c>
      <c r="T1459" s="255">
        <f t="shared" si="89"/>
        <v>2.04</v>
      </c>
      <c r="U1459" s="254">
        <v>100100</v>
      </c>
      <c r="V1459" s="254" t="s">
        <v>834</v>
      </c>
      <c r="W1459" s="254" t="s">
        <v>861</v>
      </c>
      <c r="X1459" s="254" t="s">
        <v>446</v>
      </c>
      <c r="Y1459" s="254" t="s">
        <v>843</v>
      </c>
      <c r="Z1459" s="254" t="s">
        <v>1150</v>
      </c>
      <c r="AA1459" s="254" t="s">
        <v>838</v>
      </c>
    </row>
    <row r="1460" spans="1:27" ht="14.4" x14ac:dyDescent="0.3">
      <c r="A1460" s="253">
        <v>11</v>
      </c>
      <c r="B1460" s="254" t="s">
        <v>854</v>
      </c>
      <c r="C1460" s="254">
        <v>214</v>
      </c>
      <c r="D1460" s="254" t="s">
        <v>149</v>
      </c>
      <c r="E1460" s="254" t="str">
        <f>_xlfn.XLOOKUP(C1460,Clientes!I:I,Clientes!F:F)</f>
        <v>GRUPO UNIFERTIL</v>
      </c>
      <c r="F1460" s="254">
        <v>3</v>
      </c>
      <c r="G1460" s="254" t="s">
        <v>877</v>
      </c>
      <c r="H1460" s="254" t="s">
        <v>879</v>
      </c>
      <c r="I1460" s="255">
        <v>32000</v>
      </c>
      <c r="J1460" s="256">
        <v>32000</v>
      </c>
      <c r="K1460" s="258">
        <v>82880</v>
      </c>
      <c r="L1460" s="258">
        <v>-9945.6</v>
      </c>
      <c r="M1460" s="258">
        <f t="shared" si="90"/>
        <v>72934.399999999994</v>
      </c>
      <c r="N1460" s="258">
        <v>-25102.34</v>
      </c>
      <c r="O1460" s="258">
        <v>-25804.538239999998</v>
      </c>
      <c r="P1460" s="258">
        <v>-19.024220485808012</v>
      </c>
      <c r="Q1460" s="258">
        <f t="shared" si="91"/>
        <v>22008.497539514192</v>
      </c>
      <c r="R1460" s="259">
        <f t="shared" si="92"/>
        <v>0.30175743599061888</v>
      </c>
      <c r="S1460" s="255">
        <f t="shared" si="89"/>
        <v>2.59</v>
      </c>
      <c r="T1460" s="255">
        <f t="shared" si="89"/>
        <v>2.59</v>
      </c>
      <c r="U1460" s="254">
        <v>100100</v>
      </c>
      <c r="V1460" s="254" t="s">
        <v>834</v>
      </c>
      <c r="W1460" s="254" t="s">
        <v>880</v>
      </c>
      <c r="X1460" s="254" t="s">
        <v>446</v>
      </c>
      <c r="Y1460" s="254" t="s">
        <v>843</v>
      </c>
      <c r="Z1460" s="254" t="s">
        <v>1150</v>
      </c>
      <c r="AA1460" s="254" t="s">
        <v>838</v>
      </c>
    </row>
    <row r="1461" spans="1:27" ht="14.4" x14ac:dyDescent="0.3">
      <c r="A1461" s="253">
        <v>11</v>
      </c>
      <c r="B1461" s="254" t="s">
        <v>854</v>
      </c>
      <c r="C1461" s="254">
        <v>2559</v>
      </c>
      <c r="D1461" s="254" t="s">
        <v>451</v>
      </c>
      <c r="E1461" s="254" t="str">
        <f>_xlfn.XLOOKUP(C1461,Clientes!I:I,Clientes!F:F)</f>
        <v>GRUPO MOSAIC FERTILIZANTES DO BRASIL</v>
      </c>
      <c r="F1461" s="254">
        <v>1043</v>
      </c>
      <c r="G1461" s="254" t="s">
        <v>877</v>
      </c>
      <c r="H1461" s="254" t="s">
        <v>860</v>
      </c>
      <c r="I1461" s="255">
        <v>30000</v>
      </c>
      <c r="J1461" s="256">
        <v>30000</v>
      </c>
      <c r="K1461" s="258">
        <v>75300</v>
      </c>
      <c r="L1461" s="258">
        <v>-9036</v>
      </c>
      <c r="M1461" s="258">
        <f t="shared" si="90"/>
        <v>66264</v>
      </c>
      <c r="N1461" s="258">
        <v>-12171.794416243654</v>
      </c>
      <c r="O1461" s="258">
        <v>-24421.605</v>
      </c>
      <c r="P1461" s="258">
        <v>-18.004662351102446</v>
      </c>
      <c r="Q1461" s="258">
        <f t="shared" si="91"/>
        <v>29652.595921405245</v>
      </c>
      <c r="R1461" s="259">
        <f t="shared" si="92"/>
        <v>0.44749178922801591</v>
      </c>
      <c r="S1461" s="255">
        <f t="shared" si="89"/>
        <v>2.5099999999999998</v>
      </c>
      <c r="T1461" s="255">
        <f t="shared" si="89"/>
        <v>2.5099999999999998</v>
      </c>
      <c r="U1461" s="254">
        <v>100100</v>
      </c>
      <c r="V1461" s="254" t="s">
        <v>834</v>
      </c>
      <c r="W1461" s="254" t="s">
        <v>878</v>
      </c>
      <c r="X1461" s="254" t="s">
        <v>446</v>
      </c>
      <c r="Y1461" s="254" t="s">
        <v>843</v>
      </c>
      <c r="Z1461" s="254" t="s">
        <v>1150</v>
      </c>
      <c r="AA1461" s="254" t="s">
        <v>838</v>
      </c>
    </row>
    <row r="1462" spans="1:27" ht="14.4" x14ac:dyDescent="0.3">
      <c r="A1462" s="253">
        <v>11</v>
      </c>
      <c r="B1462" s="254" t="s">
        <v>854</v>
      </c>
      <c r="C1462" s="254">
        <v>3297</v>
      </c>
      <c r="D1462" s="254" t="s">
        <v>550</v>
      </c>
      <c r="E1462" s="254" t="str">
        <f>_xlfn.XLOOKUP(C1462,Clientes!I:I,Clientes!F:F)</f>
        <v>MACROSOURCE PERU S.R.L.</v>
      </c>
      <c r="F1462" s="254">
        <v>14141</v>
      </c>
      <c r="G1462" s="254" t="s">
        <v>832</v>
      </c>
      <c r="H1462" s="254" t="s">
        <v>833</v>
      </c>
      <c r="I1462" s="255">
        <v>2400</v>
      </c>
      <c r="J1462" s="256">
        <v>2400</v>
      </c>
      <c r="K1462" s="258">
        <v>17044.8</v>
      </c>
      <c r="L1462" s="258">
        <v>0</v>
      </c>
      <c r="M1462" s="258">
        <f t="shared" si="90"/>
        <v>17044.8</v>
      </c>
      <c r="N1462" s="258">
        <v>-2566.64</v>
      </c>
      <c r="O1462" s="258">
        <v>-4340.362752</v>
      </c>
      <c r="P1462" s="258">
        <v>-407.07284187916139</v>
      </c>
      <c r="Q1462" s="258">
        <f t="shared" si="91"/>
        <v>9730.7244061208366</v>
      </c>
      <c r="R1462" s="259">
        <f t="shared" si="92"/>
        <v>0.57089108737684435</v>
      </c>
      <c r="S1462" s="255">
        <f t="shared" si="89"/>
        <v>7.1019999999999994</v>
      </c>
      <c r="T1462" s="255">
        <f t="shared" si="89"/>
        <v>7.1019999999999994</v>
      </c>
      <c r="U1462" s="254">
        <v>100100</v>
      </c>
      <c r="V1462" s="254" t="s">
        <v>834</v>
      </c>
      <c r="W1462" s="254" t="s">
        <v>872</v>
      </c>
      <c r="X1462" s="254" t="s">
        <v>446</v>
      </c>
      <c r="Y1462" s="254" t="s">
        <v>836</v>
      </c>
      <c r="Z1462" s="254" t="s">
        <v>1150</v>
      </c>
      <c r="AA1462" s="254" t="s">
        <v>838</v>
      </c>
    </row>
    <row r="1463" spans="1:27" ht="14.4" x14ac:dyDescent="0.3">
      <c r="A1463" s="253">
        <v>11</v>
      </c>
      <c r="B1463" s="254" t="s">
        <v>854</v>
      </c>
      <c r="C1463" s="254">
        <v>452</v>
      </c>
      <c r="D1463" s="254" t="s">
        <v>900</v>
      </c>
      <c r="E1463" s="254" t="str">
        <f>_xlfn.XLOOKUP(C1463,Clientes!I:I,Clientes!F:F)</f>
        <v>GRUPO FERTIPAR FERTILIZANTES MARANHAO</v>
      </c>
      <c r="F1463" s="254">
        <v>2</v>
      </c>
      <c r="G1463" s="254" t="s">
        <v>897</v>
      </c>
      <c r="H1463" s="254" t="s">
        <v>883</v>
      </c>
      <c r="I1463" s="255">
        <v>30000</v>
      </c>
      <c r="J1463" s="256">
        <v>30000</v>
      </c>
      <c r="K1463" s="258">
        <v>71100</v>
      </c>
      <c r="L1463" s="258">
        <v>-4977.0000000000009</v>
      </c>
      <c r="M1463" s="258">
        <f t="shared" si="90"/>
        <v>66123</v>
      </c>
      <c r="N1463" s="258">
        <v>-16086.233333333334</v>
      </c>
      <c r="O1463" s="258">
        <v>-26461.527299999998</v>
      </c>
      <c r="P1463" s="258">
        <v>-19.508581206312179</v>
      </c>
      <c r="Q1463" s="258">
        <f t="shared" si="91"/>
        <v>23555.730785460353</v>
      </c>
      <c r="R1463" s="259">
        <f t="shared" si="92"/>
        <v>0.35624110801779035</v>
      </c>
      <c r="S1463" s="255">
        <f t="shared" si="89"/>
        <v>2.37</v>
      </c>
      <c r="T1463" s="255">
        <f t="shared" si="89"/>
        <v>2.37</v>
      </c>
      <c r="U1463" s="254">
        <v>100100</v>
      </c>
      <c r="V1463" s="254" t="s">
        <v>834</v>
      </c>
      <c r="W1463" s="254" t="s">
        <v>899</v>
      </c>
      <c r="X1463" s="254" t="s">
        <v>446</v>
      </c>
      <c r="Y1463" s="254" t="s">
        <v>843</v>
      </c>
      <c r="Z1463" s="254" t="s">
        <v>1150</v>
      </c>
      <c r="AA1463" s="254" t="s">
        <v>838</v>
      </c>
    </row>
    <row r="1464" spans="1:27" ht="14.4" x14ac:dyDescent="0.3">
      <c r="A1464" s="253">
        <v>11</v>
      </c>
      <c r="B1464" s="254" t="s">
        <v>854</v>
      </c>
      <c r="C1464" s="254">
        <v>6124</v>
      </c>
      <c r="D1464" s="254" t="s">
        <v>891</v>
      </c>
      <c r="E1464" s="254" t="str">
        <f>_xlfn.XLOOKUP(C1464,Clientes!I:I,Clientes!F:F)</f>
        <v>GRUPO MOSAIC FERTILIZANTES DO BRASIL</v>
      </c>
      <c r="F1464" s="254">
        <v>1043</v>
      </c>
      <c r="G1464" s="254" t="s">
        <v>855</v>
      </c>
      <c r="H1464" s="254" t="s">
        <v>860</v>
      </c>
      <c r="I1464" s="255">
        <v>30000</v>
      </c>
      <c r="J1464" s="256">
        <v>30000</v>
      </c>
      <c r="K1464" s="258">
        <v>50700</v>
      </c>
      <c r="L1464" s="258">
        <v>0</v>
      </c>
      <c r="M1464" s="258">
        <f t="shared" si="90"/>
        <v>50700</v>
      </c>
      <c r="N1464" s="258">
        <v>-12171.794416243654</v>
      </c>
      <c r="O1464" s="258">
        <v>-2442.1605</v>
      </c>
      <c r="P1464" s="258">
        <v>-1.800466235110245</v>
      </c>
      <c r="Q1464" s="258">
        <f t="shared" si="91"/>
        <v>36084.244617521239</v>
      </c>
      <c r="R1464" s="259">
        <f t="shared" si="92"/>
        <v>0.71172080113454117</v>
      </c>
      <c r="S1464" s="255">
        <f t="shared" si="89"/>
        <v>1.69</v>
      </c>
      <c r="T1464" s="255">
        <f t="shared" si="89"/>
        <v>1.69</v>
      </c>
      <c r="U1464" s="254">
        <v>100100</v>
      </c>
      <c r="V1464" s="254" t="s">
        <v>834</v>
      </c>
      <c r="W1464" s="254" t="s">
        <v>892</v>
      </c>
      <c r="X1464" s="254" t="s">
        <v>446</v>
      </c>
      <c r="Y1464" s="254" t="s">
        <v>843</v>
      </c>
      <c r="Z1464" s="254" t="s">
        <v>1150</v>
      </c>
      <c r="AA1464" s="254" t="s">
        <v>838</v>
      </c>
    </row>
    <row r="1465" spans="1:27" ht="14.4" x14ac:dyDescent="0.3">
      <c r="A1465" s="253">
        <v>11</v>
      </c>
      <c r="B1465" s="254" t="s">
        <v>854</v>
      </c>
      <c r="C1465" s="254">
        <v>139</v>
      </c>
      <c r="D1465" s="254" t="s">
        <v>32</v>
      </c>
      <c r="E1465" s="254" t="str">
        <f>_xlfn.XLOOKUP(C1465,Clientes!I:I,Clientes!F:F)</f>
        <v>COMIGO - RIO VERDE</v>
      </c>
      <c r="F1465" s="254">
        <v>1043</v>
      </c>
      <c r="G1465" s="254" t="s">
        <v>867</v>
      </c>
      <c r="H1465" s="254" t="s">
        <v>860</v>
      </c>
      <c r="I1465" s="255">
        <v>90000</v>
      </c>
      <c r="J1465" s="256">
        <v>90000</v>
      </c>
      <c r="K1465" s="258">
        <v>61250.000000000036</v>
      </c>
      <c r="L1465" s="258">
        <v>-4287.5000000000027</v>
      </c>
      <c r="M1465" s="258">
        <f t="shared" si="90"/>
        <v>56962.500000000036</v>
      </c>
      <c r="N1465" s="258">
        <v>-36515.383248730963</v>
      </c>
      <c r="O1465" s="258">
        <v>-17066.392199999998</v>
      </c>
      <c r="P1465" s="258">
        <v>-12.582081690064532</v>
      </c>
      <c r="Q1465" s="258">
        <f t="shared" si="91"/>
        <v>3368.1424695790106</v>
      </c>
      <c r="R1465" s="259">
        <f t="shared" si="92"/>
        <v>5.9129119501057863E-2</v>
      </c>
      <c r="S1465" s="255">
        <f t="shared" si="89"/>
        <v>0.68055555555555591</v>
      </c>
      <c r="T1465" s="255">
        <f t="shared" si="89"/>
        <v>0.68055555555555591</v>
      </c>
      <c r="U1465" s="254">
        <v>100100</v>
      </c>
      <c r="V1465" s="254" t="s">
        <v>834</v>
      </c>
      <c r="W1465" s="254" t="s">
        <v>890</v>
      </c>
      <c r="X1465" s="254" t="s">
        <v>446</v>
      </c>
      <c r="Y1465" s="254" t="s">
        <v>843</v>
      </c>
      <c r="Z1465" s="254" t="s">
        <v>1150</v>
      </c>
      <c r="AA1465" s="254" t="s">
        <v>838</v>
      </c>
    </row>
    <row r="1466" spans="1:27" ht="14.4" x14ac:dyDescent="0.3">
      <c r="A1466" s="253">
        <v>11</v>
      </c>
      <c r="B1466" s="254" t="s">
        <v>854</v>
      </c>
      <c r="C1466" s="254">
        <v>1936</v>
      </c>
      <c r="D1466" s="254" t="s">
        <v>889</v>
      </c>
      <c r="E1466" s="254" t="str">
        <f>_xlfn.XLOOKUP(C1466,Clientes!I:I,Clientes!F:F)</f>
        <v>GRUPO AGRO INDUSTRIAL SAO LUIZ LTDA</v>
      </c>
      <c r="F1466" s="254">
        <v>4</v>
      </c>
      <c r="G1466" s="254" t="s">
        <v>862</v>
      </c>
      <c r="H1466" s="254" t="s">
        <v>863</v>
      </c>
      <c r="I1466" s="255">
        <v>40000</v>
      </c>
      <c r="J1466" s="256">
        <v>40000</v>
      </c>
      <c r="K1466" s="258">
        <v>159600</v>
      </c>
      <c r="L1466" s="258">
        <v>-19152</v>
      </c>
      <c r="M1466" s="258">
        <f t="shared" si="90"/>
        <v>140448</v>
      </c>
      <c r="N1466" s="258">
        <v>-39150.013333333329</v>
      </c>
      <c r="O1466" s="258">
        <v>0</v>
      </c>
      <c r="P1466" s="258">
        <v>0</v>
      </c>
      <c r="Q1466" s="258">
        <f t="shared" si="91"/>
        <v>101297.98666666666</v>
      </c>
      <c r="R1466" s="259">
        <f t="shared" si="92"/>
        <v>0.72124905065694533</v>
      </c>
      <c r="S1466" s="255">
        <f t="shared" si="89"/>
        <v>3.99</v>
      </c>
      <c r="T1466" s="255">
        <f t="shared" si="89"/>
        <v>3.99</v>
      </c>
      <c r="U1466" s="254">
        <v>100100</v>
      </c>
      <c r="V1466" s="254" t="s">
        <v>834</v>
      </c>
      <c r="W1466" s="254" t="s">
        <v>864</v>
      </c>
      <c r="X1466" s="254" t="s">
        <v>446</v>
      </c>
      <c r="Y1466" s="254" t="s">
        <v>843</v>
      </c>
      <c r="Z1466" s="254" t="s">
        <v>1150</v>
      </c>
      <c r="AA1466" s="254" t="s">
        <v>838</v>
      </c>
    </row>
    <row r="1467" spans="1:27" ht="14.4" x14ac:dyDescent="0.3">
      <c r="A1467" s="253">
        <v>11</v>
      </c>
      <c r="B1467" s="254" t="s">
        <v>854</v>
      </c>
      <c r="C1467" s="254">
        <v>1462</v>
      </c>
      <c r="D1467" s="254" t="s">
        <v>907</v>
      </c>
      <c r="E1467" s="254" t="str">
        <f>_xlfn.XLOOKUP(C1467,Clientes!I:I,Clientes!F:F)</f>
        <v>AURORA MINERAÇÃO LTDA</v>
      </c>
      <c r="F1467" s="254">
        <v>1042</v>
      </c>
      <c r="G1467" s="254" t="s">
        <v>908</v>
      </c>
      <c r="H1467" s="254" t="s">
        <v>909</v>
      </c>
      <c r="I1467" s="255">
        <v>45000</v>
      </c>
      <c r="J1467" s="256">
        <v>45000</v>
      </c>
      <c r="K1467" s="258">
        <v>75150</v>
      </c>
      <c r="L1467" s="258">
        <v>-9018</v>
      </c>
      <c r="M1467" s="258">
        <f t="shared" si="90"/>
        <v>66132</v>
      </c>
      <c r="N1467" s="258">
        <v>-23252.559999999998</v>
      </c>
      <c r="O1467" s="258">
        <v>0</v>
      </c>
      <c r="P1467" s="258">
        <v>0</v>
      </c>
      <c r="Q1467" s="258">
        <f t="shared" si="91"/>
        <v>42879.44</v>
      </c>
      <c r="R1467" s="259">
        <f t="shared" si="92"/>
        <v>0.64839170144559366</v>
      </c>
      <c r="S1467" s="255">
        <f t="shared" si="89"/>
        <v>1.67</v>
      </c>
      <c r="T1467" s="255">
        <f t="shared" si="89"/>
        <v>1.67</v>
      </c>
      <c r="U1467" s="254">
        <v>100100</v>
      </c>
      <c r="V1467" s="254" t="s">
        <v>834</v>
      </c>
      <c r="W1467" s="254" t="s">
        <v>910</v>
      </c>
      <c r="X1467" s="254" t="s">
        <v>446</v>
      </c>
      <c r="Y1467" s="254" t="s">
        <v>843</v>
      </c>
      <c r="Z1467" s="254" t="s">
        <v>1150</v>
      </c>
      <c r="AA1467" s="254" t="s">
        <v>838</v>
      </c>
    </row>
    <row r="1468" spans="1:27" ht="14.4" x14ac:dyDescent="0.3">
      <c r="A1468" s="253">
        <v>11</v>
      </c>
      <c r="B1468" s="254" t="s">
        <v>854</v>
      </c>
      <c r="C1468" s="254">
        <v>2287</v>
      </c>
      <c r="D1468" s="254" t="s">
        <v>114</v>
      </c>
      <c r="E1468" s="254" t="str">
        <f>_xlfn.XLOOKUP(C1468,Clientes!I:I,Clientes!F:F)</f>
        <v>BUNGE PARAGUAY S.A</v>
      </c>
      <c r="F1468" s="254">
        <v>4067</v>
      </c>
      <c r="G1468" s="254" t="s">
        <v>832</v>
      </c>
      <c r="H1468" s="254" t="s">
        <v>881</v>
      </c>
      <c r="I1468" s="255">
        <v>30000</v>
      </c>
      <c r="J1468" s="256">
        <v>30000</v>
      </c>
      <c r="K1468" s="258">
        <v>159000</v>
      </c>
      <c r="L1468" s="258">
        <v>0</v>
      </c>
      <c r="M1468" s="258">
        <f t="shared" si="90"/>
        <v>159000</v>
      </c>
      <c r="N1468" s="258">
        <v>-46215.959999999992</v>
      </c>
      <c r="O1468" s="258">
        <v>-35721.999999999898</v>
      </c>
      <c r="P1468" s="258">
        <v>-5074.7475384243589</v>
      </c>
      <c r="Q1468" s="258">
        <f t="shared" si="91"/>
        <v>71987.292461575751</v>
      </c>
      <c r="R1468" s="259">
        <f t="shared" si="92"/>
        <v>0.45275026705393556</v>
      </c>
      <c r="S1468" s="255">
        <f t="shared" si="89"/>
        <v>5.3</v>
      </c>
      <c r="T1468" s="255">
        <f t="shared" si="89"/>
        <v>5.3</v>
      </c>
      <c r="U1468" s="254">
        <v>100100</v>
      </c>
      <c r="V1468" s="254" t="s">
        <v>834</v>
      </c>
      <c r="W1468" s="254" t="s">
        <v>882</v>
      </c>
      <c r="X1468" s="254" t="s">
        <v>446</v>
      </c>
      <c r="Y1468" s="254" t="s">
        <v>836</v>
      </c>
      <c r="Z1468" s="254" t="s">
        <v>1150</v>
      </c>
      <c r="AA1468" s="254" t="s">
        <v>838</v>
      </c>
    </row>
    <row r="1469" spans="1:27" ht="14.4" x14ac:dyDescent="0.3">
      <c r="A1469" s="253">
        <v>11</v>
      </c>
      <c r="B1469" s="254" t="s">
        <v>854</v>
      </c>
      <c r="C1469" s="254">
        <v>3273</v>
      </c>
      <c r="D1469" s="254" t="s">
        <v>79</v>
      </c>
      <c r="E1469" s="254" t="str">
        <f>_xlfn.XLOOKUP(C1469,Clientes!I:I,Clientes!F:F)</f>
        <v>FERTIMAXI - CONCEICAO DO JACUIPE</v>
      </c>
      <c r="F1469" s="254">
        <v>2</v>
      </c>
      <c r="G1469" s="254" t="s">
        <v>875</v>
      </c>
      <c r="H1469" s="254" t="s">
        <v>883</v>
      </c>
      <c r="I1469" s="255">
        <v>30000</v>
      </c>
      <c r="J1469" s="256">
        <v>30000</v>
      </c>
      <c r="K1469" s="258">
        <v>78900</v>
      </c>
      <c r="L1469" s="258">
        <v>-5523.0000000000009</v>
      </c>
      <c r="M1469" s="258">
        <f t="shared" si="90"/>
        <v>73377</v>
      </c>
      <c r="N1469" s="258">
        <v>-16086.233333333334</v>
      </c>
      <c r="O1469" s="258">
        <v>-18675.345000000001</v>
      </c>
      <c r="P1469" s="258">
        <v>-13.768271209666578</v>
      </c>
      <c r="Q1469" s="258">
        <f t="shared" si="91"/>
        <v>38601.653395456997</v>
      </c>
      <c r="R1469" s="259">
        <f t="shared" si="92"/>
        <v>0.52607293014782552</v>
      </c>
      <c r="S1469" s="255">
        <f t="shared" si="89"/>
        <v>2.63</v>
      </c>
      <c r="T1469" s="255">
        <f t="shared" si="89"/>
        <v>2.63</v>
      </c>
      <c r="U1469" s="254">
        <v>100100</v>
      </c>
      <c r="V1469" s="254" t="s">
        <v>834</v>
      </c>
      <c r="W1469" s="254" t="s">
        <v>884</v>
      </c>
      <c r="X1469" s="254" t="s">
        <v>446</v>
      </c>
      <c r="Y1469" s="254" t="s">
        <v>843</v>
      </c>
      <c r="Z1469" s="254" t="s">
        <v>1150</v>
      </c>
      <c r="AA1469" s="254" t="s">
        <v>838</v>
      </c>
    </row>
    <row r="1470" spans="1:27" ht="14.4" x14ac:dyDescent="0.3">
      <c r="A1470" s="253">
        <v>11</v>
      </c>
      <c r="B1470" s="254" t="s">
        <v>854</v>
      </c>
      <c r="C1470" s="254">
        <v>2680</v>
      </c>
      <c r="D1470" s="254" t="s">
        <v>313</v>
      </c>
      <c r="E1470" s="254" t="str">
        <f>_xlfn.XLOOKUP(C1470,Clientes!I:I,Clientes!F:F)</f>
        <v>FERMAGRI S.A - EQUADOR</v>
      </c>
      <c r="F1470" s="254">
        <v>14141</v>
      </c>
      <c r="G1470" s="254" t="s">
        <v>832</v>
      </c>
      <c r="H1470" s="254" t="s">
        <v>833</v>
      </c>
      <c r="I1470" s="255">
        <v>12000</v>
      </c>
      <c r="J1470" s="256">
        <v>12000</v>
      </c>
      <c r="K1470" s="258">
        <v>69960</v>
      </c>
      <c r="L1470" s="258">
        <v>0</v>
      </c>
      <c r="M1470" s="258">
        <f t="shared" si="90"/>
        <v>69960</v>
      </c>
      <c r="N1470" s="258">
        <v>-12833.2</v>
      </c>
      <c r="O1470" s="258">
        <v>0</v>
      </c>
      <c r="P1470" s="258">
        <v>-2019.3646946564884</v>
      </c>
      <c r="Q1470" s="258">
        <f t="shared" si="91"/>
        <v>55107.435305343512</v>
      </c>
      <c r="R1470" s="259">
        <f t="shared" si="92"/>
        <v>0.78769918961325769</v>
      </c>
      <c r="S1470" s="255">
        <f t="shared" si="89"/>
        <v>5.83</v>
      </c>
      <c r="T1470" s="255">
        <f t="shared" si="89"/>
        <v>5.83</v>
      </c>
      <c r="U1470" s="254">
        <v>100100</v>
      </c>
      <c r="V1470" s="254" t="s">
        <v>834</v>
      </c>
      <c r="W1470" s="254" t="s">
        <v>946</v>
      </c>
      <c r="X1470" s="254" t="s">
        <v>446</v>
      </c>
      <c r="Y1470" s="254" t="s">
        <v>836</v>
      </c>
      <c r="Z1470" s="254" t="s">
        <v>1150</v>
      </c>
      <c r="AA1470" s="254" t="s">
        <v>838</v>
      </c>
    </row>
    <row r="1471" spans="1:27" ht="14.4" x14ac:dyDescent="0.3">
      <c r="A1471" s="253">
        <v>11</v>
      </c>
      <c r="B1471" s="254" t="s">
        <v>854</v>
      </c>
      <c r="C1471" s="254">
        <v>86</v>
      </c>
      <c r="D1471" s="254" t="s">
        <v>31</v>
      </c>
      <c r="E1471" s="254" t="str">
        <f>_xlfn.XLOOKUP(C1471,Clientes!I:I,Clientes!F:F)</f>
        <v>GRUPO ADUBOS ARAGUAIA</v>
      </c>
      <c r="F1471" s="254">
        <v>14133</v>
      </c>
      <c r="G1471" s="254" t="s">
        <v>867</v>
      </c>
      <c r="H1471" s="254" t="s">
        <v>841</v>
      </c>
      <c r="I1471" s="255">
        <v>6000</v>
      </c>
      <c r="J1471" s="256">
        <v>6000</v>
      </c>
      <c r="K1471" s="258">
        <v>16500</v>
      </c>
      <c r="L1471" s="258">
        <v>-1155</v>
      </c>
      <c r="M1471" s="258">
        <f t="shared" si="90"/>
        <v>15345</v>
      </c>
      <c r="N1471" s="258">
        <v>-7711.8600000000006</v>
      </c>
      <c r="O1471" s="258">
        <v>-2325.3747759372</v>
      </c>
      <c r="P1471" s="258">
        <v>-1.7143667535577531</v>
      </c>
      <c r="Q1471" s="258">
        <f t="shared" si="91"/>
        <v>5306.050857309242</v>
      </c>
      <c r="R1471" s="259">
        <f t="shared" si="92"/>
        <v>0.34578369874938036</v>
      </c>
      <c r="S1471" s="255">
        <f t="shared" si="89"/>
        <v>2.75</v>
      </c>
      <c r="T1471" s="255">
        <f t="shared" si="89"/>
        <v>2.75</v>
      </c>
      <c r="U1471" s="254">
        <v>100100</v>
      </c>
      <c r="V1471" s="254" t="s">
        <v>834</v>
      </c>
      <c r="W1471" s="254" t="s">
        <v>955</v>
      </c>
      <c r="X1471" s="254" t="s">
        <v>446</v>
      </c>
      <c r="Y1471" s="254" t="s">
        <v>843</v>
      </c>
      <c r="Z1471" s="254" t="s">
        <v>1150</v>
      </c>
      <c r="AA1471" s="254" t="s">
        <v>838</v>
      </c>
    </row>
    <row r="1472" spans="1:27" ht="14.4" x14ac:dyDescent="0.3">
      <c r="A1472" s="253">
        <v>11</v>
      </c>
      <c r="B1472" s="254" t="s">
        <v>854</v>
      </c>
      <c r="C1472" s="254">
        <v>466</v>
      </c>
      <c r="D1472" s="254" t="s">
        <v>40</v>
      </c>
      <c r="E1472" s="254" t="str">
        <f>_xlfn.XLOOKUP(C1472,Clientes!I:I,Clientes!F:F)</f>
        <v>GRUPO ADUBOS ARAGUAIA</v>
      </c>
      <c r="F1472" s="254">
        <v>1</v>
      </c>
      <c r="G1472" s="254" t="s">
        <v>840</v>
      </c>
      <c r="H1472" s="254" t="s">
        <v>873</v>
      </c>
      <c r="I1472" s="255">
        <v>30000</v>
      </c>
      <c r="J1472" s="256">
        <v>30000</v>
      </c>
      <c r="K1472" s="258">
        <v>72900</v>
      </c>
      <c r="L1472" s="258">
        <v>-5103.0000000000009</v>
      </c>
      <c r="M1472" s="258">
        <f t="shared" si="90"/>
        <v>67797</v>
      </c>
      <c r="N1472" s="258">
        <v>-18834.93</v>
      </c>
      <c r="O1472" s="258">
        <v>-21002.580299999998</v>
      </c>
      <c r="P1472" s="258">
        <v>-15.484009621948102</v>
      </c>
      <c r="Q1472" s="258">
        <f t="shared" si="91"/>
        <v>27944.005690378053</v>
      </c>
      <c r="R1472" s="259">
        <f t="shared" si="92"/>
        <v>0.41217171394572111</v>
      </c>
      <c r="S1472" s="255">
        <f t="shared" si="89"/>
        <v>2.4300000000000002</v>
      </c>
      <c r="T1472" s="255">
        <f t="shared" si="89"/>
        <v>2.4300000000000002</v>
      </c>
      <c r="U1472" s="254">
        <v>100100</v>
      </c>
      <c r="V1472" s="254" t="s">
        <v>834</v>
      </c>
      <c r="W1472" s="254" t="s">
        <v>874</v>
      </c>
      <c r="X1472" s="254" t="s">
        <v>446</v>
      </c>
      <c r="Y1472" s="254" t="s">
        <v>843</v>
      </c>
      <c r="Z1472" s="254" t="s">
        <v>1150</v>
      </c>
      <c r="AA1472" s="254" t="s">
        <v>838</v>
      </c>
    </row>
    <row r="1473" spans="1:27" ht="14.4" x14ac:dyDescent="0.3">
      <c r="A1473" s="253">
        <v>11</v>
      </c>
      <c r="B1473" s="254" t="s">
        <v>854</v>
      </c>
      <c r="C1473" s="254">
        <v>43</v>
      </c>
      <c r="D1473" s="254" t="s">
        <v>674</v>
      </c>
      <c r="E1473" s="254" t="str">
        <f>_xlfn.XLOOKUP(C1473,Clientes!I:I,Clientes!F:F)</f>
        <v>GRUPO CIBRA</v>
      </c>
      <c r="F1473" s="254">
        <v>148</v>
      </c>
      <c r="G1473" s="254" t="s">
        <v>875</v>
      </c>
      <c r="H1473" s="254" t="s">
        <v>904</v>
      </c>
      <c r="I1473" s="255">
        <v>90000</v>
      </c>
      <c r="J1473" s="256">
        <v>90000</v>
      </c>
      <c r="K1473" s="258">
        <v>213300</v>
      </c>
      <c r="L1473" s="258">
        <v>-14931.000000000002</v>
      </c>
      <c r="M1473" s="258">
        <f t="shared" si="90"/>
        <v>198369</v>
      </c>
      <c r="N1473" s="258">
        <v>-59230.825714285718</v>
      </c>
      <c r="O1473" s="258">
        <v>-62287.237958400001</v>
      </c>
      <c r="P1473" s="258">
        <v>-45.920842967682255</v>
      </c>
      <c r="Q1473" s="258">
        <f t="shared" si="91"/>
        <v>76805.015484346601</v>
      </c>
      <c r="R1473" s="259">
        <f t="shared" si="92"/>
        <v>0.3871825511261669</v>
      </c>
      <c r="S1473" s="255">
        <f t="shared" si="89"/>
        <v>2.37</v>
      </c>
      <c r="T1473" s="255">
        <f t="shared" si="89"/>
        <v>2.37</v>
      </c>
      <c r="U1473" s="254">
        <v>100100</v>
      </c>
      <c r="V1473" s="254" t="s">
        <v>834</v>
      </c>
      <c r="W1473" s="254" t="s">
        <v>905</v>
      </c>
      <c r="X1473" s="254" t="s">
        <v>446</v>
      </c>
      <c r="Y1473" s="254" t="s">
        <v>843</v>
      </c>
      <c r="Z1473" s="254" t="s">
        <v>1150</v>
      </c>
      <c r="AA1473" s="254" t="s">
        <v>838</v>
      </c>
    </row>
    <row r="1474" spans="1:27" ht="14.4" x14ac:dyDescent="0.3">
      <c r="A1474" s="253">
        <v>11</v>
      </c>
      <c r="B1474" s="254" t="s">
        <v>854</v>
      </c>
      <c r="C1474" s="254">
        <v>3232</v>
      </c>
      <c r="D1474" s="254" t="s">
        <v>153</v>
      </c>
      <c r="E1474" s="254" t="str">
        <f>_xlfn.XLOOKUP(C1474,Clientes!I:I,Clientes!F:F)</f>
        <v>GRUPO FERTILIZ TOCANTINS</v>
      </c>
      <c r="F1474" s="254">
        <v>7384</v>
      </c>
      <c r="G1474" s="254" t="s">
        <v>855</v>
      </c>
      <c r="H1474" s="254" t="s">
        <v>856</v>
      </c>
      <c r="I1474" s="255">
        <v>30000</v>
      </c>
      <c r="J1474" s="256">
        <v>30000</v>
      </c>
      <c r="K1474" s="258">
        <v>56100</v>
      </c>
      <c r="L1474" s="258">
        <v>-10098</v>
      </c>
      <c r="M1474" s="258">
        <f t="shared" si="90"/>
        <v>46002</v>
      </c>
      <c r="N1474" s="258">
        <v>-20750.16</v>
      </c>
      <c r="O1474" s="258">
        <v>-1723.8779999999999</v>
      </c>
      <c r="P1474" s="258">
        <v>-1.2709173424307609</v>
      </c>
      <c r="Q1474" s="258">
        <f t="shared" si="91"/>
        <v>23526.691082657569</v>
      </c>
      <c r="R1474" s="259">
        <f t="shared" si="92"/>
        <v>0.51142757016341833</v>
      </c>
      <c r="S1474" s="255">
        <f t="shared" si="89"/>
        <v>1.87</v>
      </c>
      <c r="T1474" s="255">
        <f t="shared" si="89"/>
        <v>1.87</v>
      </c>
      <c r="U1474" s="254">
        <v>100100</v>
      </c>
      <c r="V1474" s="254" t="s">
        <v>834</v>
      </c>
      <c r="W1474" s="254" t="s">
        <v>857</v>
      </c>
      <c r="X1474" s="254" t="s">
        <v>446</v>
      </c>
      <c r="Y1474" s="254" t="s">
        <v>843</v>
      </c>
      <c r="Z1474" s="254" t="s">
        <v>1150</v>
      </c>
      <c r="AA1474" s="254" t="s">
        <v>838</v>
      </c>
    </row>
    <row r="1475" spans="1:27" ht="14.4" x14ac:dyDescent="0.3">
      <c r="A1475" s="253">
        <v>11</v>
      </c>
      <c r="B1475" s="254" t="s">
        <v>854</v>
      </c>
      <c r="C1475" s="254">
        <v>2696</v>
      </c>
      <c r="D1475" s="254" t="s">
        <v>119</v>
      </c>
      <c r="E1475" s="254" t="str">
        <f>_xlfn.XLOOKUP(C1475,Clientes!I:I,Clientes!F:F)</f>
        <v>MOSAIC FERTILIZANTES PARAGUAY S.R.L.</v>
      </c>
      <c r="F1475" s="254">
        <v>3245</v>
      </c>
      <c r="G1475" s="254" t="s">
        <v>832</v>
      </c>
      <c r="H1475" s="254" t="s">
        <v>1093</v>
      </c>
      <c r="I1475" s="255">
        <v>30000</v>
      </c>
      <c r="J1475" s="256">
        <v>30000</v>
      </c>
      <c r="K1475" s="258">
        <v>93810</v>
      </c>
      <c r="L1475" s="258">
        <v>0</v>
      </c>
      <c r="M1475" s="258">
        <f t="shared" si="90"/>
        <v>93810</v>
      </c>
      <c r="N1475" s="258">
        <v>-14358.470000000001</v>
      </c>
      <c r="O1475" s="258">
        <v>-27051.200000000012</v>
      </c>
      <c r="P1475" s="258">
        <v>-5068.3550500390156</v>
      </c>
      <c r="Q1475" s="258">
        <f t="shared" si="91"/>
        <v>47331.974949960975</v>
      </c>
      <c r="R1475" s="259">
        <f t="shared" si="92"/>
        <v>0.50455148651488091</v>
      </c>
      <c r="S1475" s="255">
        <f t="shared" ref="S1475:T1538" si="93">$K1475/I1475</f>
        <v>3.1269999999999998</v>
      </c>
      <c r="T1475" s="255">
        <f t="shared" si="93"/>
        <v>3.1269999999999998</v>
      </c>
      <c r="U1475" s="254">
        <v>100100</v>
      </c>
      <c r="V1475" s="254" t="s">
        <v>834</v>
      </c>
      <c r="W1475" s="254" t="s">
        <v>1012</v>
      </c>
      <c r="X1475" s="254" t="s">
        <v>446</v>
      </c>
      <c r="Y1475" s="254" t="s">
        <v>836</v>
      </c>
      <c r="Z1475" s="254" t="s">
        <v>1150</v>
      </c>
      <c r="AA1475" s="254" t="s">
        <v>838</v>
      </c>
    </row>
    <row r="1476" spans="1:27" ht="14.4" x14ac:dyDescent="0.3">
      <c r="A1476" s="253">
        <v>11</v>
      </c>
      <c r="B1476" s="254" t="s">
        <v>854</v>
      </c>
      <c r="C1476" s="254">
        <v>10492</v>
      </c>
      <c r="D1476" s="254" t="s">
        <v>101</v>
      </c>
      <c r="E1476" s="254" t="str">
        <f>_xlfn.XLOOKUP(C1476,Clientes!I:I,Clientes!F:F)</f>
        <v>GRUPO UNIFERTIL</v>
      </c>
      <c r="F1476" s="254">
        <v>3</v>
      </c>
      <c r="G1476" s="254" t="s">
        <v>877</v>
      </c>
      <c r="H1476" s="254" t="s">
        <v>879</v>
      </c>
      <c r="I1476" s="255">
        <v>32000</v>
      </c>
      <c r="J1476" s="256">
        <v>32000</v>
      </c>
      <c r="K1476" s="258">
        <v>82880</v>
      </c>
      <c r="L1476" s="258">
        <v>-9945.6</v>
      </c>
      <c r="M1476" s="258">
        <f t="shared" ref="M1476:M1539" si="94">SUM(K1476:L1476)</f>
        <v>72934.399999999994</v>
      </c>
      <c r="N1476" s="258">
        <v>-25102.34</v>
      </c>
      <c r="O1476" s="258">
        <v>-26049.712</v>
      </c>
      <c r="P1476" s="258">
        <v>-19.204973174509277</v>
      </c>
      <c r="Q1476" s="258">
        <f t="shared" ref="Q1476:Q1539" si="95">SUM(M1476:P1476)</f>
        <v>21763.143026825488</v>
      </c>
      <c r="R1476" s="259">
        <f t="shared" ref="R1476:R1539" si="96">Q1476/M1476</f>
        <v>0.29839339223775735</v>
      </c>
      <c r="S1476" s="255">
        <f t="shared" si="93"/>
        <v>2.59</v>
      </c>
      <c r="T1476" s="255">
        <f t="shared" si="93"/>
        <v>2.59</v>
      </c>
      <c r="U1476" s="254">
        <v>100100</v>
      </c>
      <c r="V1476" s="254" t="s">
        <v>834</v>
      </c>
      <c r="W1476" s="254" t="s">
        <v>878</v>
      </c>
      <c r="X1476" s="254" t="s">
        <v>446</v>
      </c>
      <c r="Y1476" s="254" t="s">
        <v>843</v>
      </c>
      <c r="Z1476" s="254" t="s">
        <v>1150</v>
      </c>
      <c r="AA1476" s="254" t="s">
        <v>838</v>
      </c>
    </row>
    <row r="1477" spans="1:27" ht="14.4" x14ac:dyDescent="0.3">
      <c r="A1477" s="253">
        <v>11</v>
      </c>
      <c r="B1477" s="254" t="s">
        <v>854</v>
      </c>
      <c r="C1477" s="254">
        <v>9295</v>
      </c>
      <c r="D1477" s="254" t="s">
        <v>333</v>
      </c>
      <c r="E1477" s="254" t="str">
        <f>_xlfn.XLOOKUP(C1477,Clientes!I:I,Clientes!F:F)</f>
        <v>TECNOMYL S.A. - PARAGUAY</v>
      </c>
      <c r="F1477" s="254">
        <v>14146</v>
      </c>
      <c r="G1477" s="254" t="s">
        <v>832</v>
      </c>
      <c r="H1477" s="254" t="s">
        <v>1011</v>
      </c>
      <c r="I1477" s="255">
        <v>26400</v>
      </c>
      <c r="J1477" s="256">
        <v>26400</v>
      </c>
      <c r="K1477" s="258">
        <v>135722.4</v>
      </c>
      <c r="L1477" s="258">
        <v>0</v>
      </c>
      <c r="M1477" s="258">
        <f t="shared" si="94"/>
        <v>135722.4</v>
      </c>
      <c r="N1477" s="258">
        <v>-52936.790000000008</v>
      </c>
      <c r="O1477" s="258">
        <v>-23805.056000000008</v>
      </c>
      <c r="P1477" s="258">
        <v>-4460.1524440343337</v>
      </c>
      <c r="Q1477" s="258">
        <f t="shared" si="95"/>
        <v>54520.40155596564</v>
      </c>
      <c r="R1477" s="259">
        <f t="shared" si="96"/>
        <v>0.40170525687701986</v>
      </c>
      <c r="S1477" s="255">
        <f t="shared" si="93"/>
        <v>5.141</v>
      </c>
      <c r="T1477" s="255">
        <f t="shared" si="93"/>
        <v>5.141</v>
      </c>
      <c r="U1477" s="254">
        <v>100100</v>
      </c>
      <c r="V1477" s="254" t="s">
        <v>834</v>
      </c>
      <c r="W1477" s="254" t="s">
        <v>1012</v>
      </c>
      <c r="X1477" s="254" t="s">
        <v>446</v>
      </c>
      <c r="Y1477" s="254" t="s">
        <v>836</v>
      </c>
      <c r="Z1477" s="254" t="s">
        <v>1150</v>
      </c>
      <c r="AA1477" s="254" t="s">
        <v>838</v>
      </c>
    </row>
    <row r="1478" spans="1:27" ht="14.4" x14ac:dyDescent="0.3">
      <c r="A1478" s="253">
        <v>11</v>
      </c>
      <c r="B1478" s="254" t="s">
        <v>854</v>
      </c>
      <c r="C1478" s="254">
        <v>14632</v>
      </c>
      <c r="D1478" s="254" t="s">
        <v>399</v>
      </c>
      <c r="E1478" s="254" t="str">
        <f>_xlfn.XLOOKUP(C1478,Clientes!I:I,Clientes!F:F)</f>
        <v>BIGFERTIL - CANDEIAS</v>
      </c>
      <c r="F1478" s="254">
        <v>1043</v>
      </c>
      <c r="G1478" s="254" t="s">
        <v>875</v>
      </c>
      <c r="H1478" s="254" t="s">
        <v>860</v>
      </c>
      <c r="I1478" s="255">
        <v>30000</v>
      </c>
      <c r="J1478" s="256">
        <v>30000</v>
      </c>
      <c r="K1478" s="258">
        <v>96900</v>
      </c>
      <c r="L1478" s="258">
        <v>-6783.0000000000009</v>
      </c>
      <c r="M1478" s="258">
        <f t="shared" si="94"/>
        <v>90117</v>
      </c>
      <c r="N1478" s="258">
        <v>-12171.794416243654</v>
      </c>
      <c r="O1478" s="258">
        <v>-21548.474999999999</v>
      </c>
      <c r="P1478" s="258">
        <v>-15.886466780384511</v>
      </c>
      <c r="Q1478" s="258">
        <f t="shared" si="95"/>
        <v>56380.844116975968</v>
      </c>
      <c r="R1478" s="259">
        <f t="shared" si="96"/>
        <v>0.62564049088380624</v>
      </c>
      <c r="S1478" s="255">
        <f t="shared" si="93"/>
        <v>3.23</v>
      </c>
      <c r="T1478" s="255">
        <f t="shared" si="93"/>
        <v>3.23</v>
      </c>
      <c r="U1478" s="254">
        <v>100100</v>
      </c>
      <c r="V1478" s="254" t="s">
        <v>834</v>
      </c>
      <c r="W1478" s="254" t="s">
        <v>876</v>
      </c>
      <c r="X1478" s="254" t="s">
        <v>446</v>
      </c>
      <c r="Y1478" s="254" t="s">
        <v>843</v>
      </c>
      <c r="Z1478" s="254" t="s">
        <v>1150</v>
      </c>
      <c r="AA1478" s="254" t="s">
        <v>838</v>
      </c>
    </row>
    <row r="1479" spans="1:27" ht="14.4" x14ac:dyDescent="0.3">
      <c r="A1479" s="253">
        <v>11</v>
      </c>
      <c r="B1479" s="254" t="s">
        <v>854</v>
      </c>
      <c r="C1479" s="254">
        <v>820</v>
      </c>
      <c r="D1479" s="254" t="s">
        <v>1131</v>
      </c>
      <c r="E1479" s="254" t="e">
        <f>_xlfn.XLOOKUP(C1479,Clientes!I:I,Clientes!F:F)</f>
        <v>#N/A</v>
      </c>
      <c r="F1479" s="254">
        <v>1043</v>
      </c>
      <c r="G1479" s="254" t="s">
        <v>855</v>
      </c>
      <c r="H1479" s="254" t="s">
        <v>860</v>
      </c>
      <c r="I1479" s="255">
        <v>90000</v>
      </c>
      <c r="J1479" s="256">
        <v>90000</v>
      </c>
      <c r="K1479" s="258">
        <v>212400</v>
      </c>
      <c r="L1479" s="258">
        <v>-54342.539999999994</v>
      </c>
      <c r="M1479" s="258">
        <f t="shared" si="94"/>
        <v>158057.46000000002</v>
      </c>
      <c r="N1479" s="258">
        <v>-36515.383248730963</v>
      </c>
      <c r="O1479" s="258">
        <v>0</v>
      </c>
      <c r="P1479" s="258">
        <v>0</v>
      </c>
      <c r="Q1479" s="258">
        <f t="shared" si="95"/>
        <v>121542.07675126905</v>
      </c>
      <c r="R1479" s="259">
        <f t="shared" si="96"/>
        <v>0.7689739968696766</v>
      </c>
      <c r="S1479" s="255">
        <f t="shared" si="93"/>
        <v>2.36</v>
      </c>
      <c r="T1479" s="255">
        <f t="shared" si="93"/>
        <v>2.36</v>
      </c>
      <c r="U1479" s="254">
        <v>100100</v>
      </c>
      <c r="V1479" s="254" t="s">
        <v>834</v>
      </c>
      <c r="W1479" s="254" t="s">
        <v>1132</v>
      </c>
      <c r="X1479" s="254" t="s">
        <v>446</v>
      </c>
      <c r="Y1479" s="254" t="s">
        <v>843</v>
      </c>
      <c r="Z1479" s="254" t="s">
        <v>1150</v>
      </c>
      <c r="AA1479" s="254" t="s">
        <v>838</v>
      </c>
    </row>
    <row r="1480" spans="1:27" ht="14.4" x14ac:dyDescent="0.3">
      <c r="A1480" s="253">
        <v>11</v>
      </c>
      <c r="B1480" s="254" t="s">
        <v>854</v>
      </c>
      <c r="C1480" s="254">
        <v>2975</v>
      </c>
      <c r="D1480" s="254" t="s">
        <v>420</v>
      </c>
      <c r="E1480" s="254" t="str">
        <f>_xlfn.XLOOKUP(C1480,Clientes!I:I,Clientes!F:F)</f>
        <v>COONAGRO COOPERATIVA - PARANAGUA</v>
      </c>
      <c r="F1480" s="254">
        <v>4</v>
      </c>
      <c r="G1480" s="254" t="s">
        <v>862</v>
      </c>
      <c r="H1480" s="254" t="s">
        <v>863</v>
      </c>
      <c r="I1480" s="255">
        <v>20000</v>
      </c>
      <c r="J1480" s="256">
        <v>20000</v>
      </c>
      <c r="K1480" s="258">
        <v>79800</v>
      </c>
      <c r="L1480" s="258">
        <v>-9576</v>
      </c>
      <c r="M1480" s="258">
        <f t="shared" si="94"/>
        <v>70224</v>
      </c>
      <c r="N1480" s="258">
        <v>-19575.006666666664</v>
      </c>
      <c r="O1480" s="258">
        <v>-9366.4037999999982</v>
      </c>
      <c r="P1480" s="258">
        <v>-6.9053175605404666</v>
      </c>
      <c r="Q1480" s="258">
        <f t="shared" si="95"/>
        <v>41275.684215772788</v>
      </c>
      <c r="R1480" s="259">
        <f t="shared" si="96"/>
        <v>0.58777176201544756</v>
      </c>
      <c r="S1480" s="255">
        <f t="shared" si="93"/>
        <v>3.99</v>
      </c>
      <c r="T1480" s="255">
        <f t="shared" si="93"/>
        <v>3.99</v>
      </c>
      <c r="U1480" s="254">
        <v>100100</v>
      </c>
      <c r="V1480" s="254" t="s">
        <v>834</v>
      </c>
      <c r="W1480" s="254" t="s">
        <v>864</v>
      </c>
      <c r="X1480" s="254" t="s">
        <v>446</v>
      </c>
      <c r="Y1480" s="254" t="s">
        <v>843</v>
      </c>
      <c r="Z1480" s="254" t="s">
        <v>1150</v>
      </c>
      <c r="AA1480" s="254" t="s">
        <v>838</v>
      </c>
    </row>
    <row r="1481" spans="1:27" ht="14.4" x14ac:dyDescent="0.3">
      <c r="A1481" s="253">
        <v>11</v>
      </c>
      <c r="B1481" s="254" t="s">
        <v>854</v>
      </c>
      <c r="C1481" s="254">
        <v>341</v>
      </c>
      <c r="D1481" s="254" t="s">
        <v>422</v>
      </c>
      <c r="E1481" s="254" t="str">
        <f>_xlfn.XLOOKUP(C1481,Clientes!I:I,Clientes!F:F)</f>
        <v>ADUBOS PARANAIBA - UBERLANDIA</v>
      </c>
      <c r="F1481" s="254">
        <v>1043</v>
      </c>
      <c r="G1481" s="254" t="s">
        <v>855</v>
      </c>
      <c r="H1481" s="254" t="s">
        <v>860</v>
      </c>
      <c r="I1481" s="255">
        <v>6000</v>
      </c>
      <c r="J1481" s="256">
        <v>6000</v>
      </c>
      <c r="K1481" s="258">
        <v>12000</v>
      </c>
      <c r="L1481" s="258">
        <v>-2160</v>
      </c>
      <c r="M1481" s="258">
        <f t="shared" si="94"/>
        <v>9840</v>
      </c>
      <c r="N1481" s="258">
        <v>-2434.3588832487308</v>
      </c>
      <c r="O1481" s="258">
        <v>0</v>
      </c>
      <c r="P1481" s="258">
        <v>0</v>
      </c>
      <c r="Q1481" s="258">
        <f t="shared" si="95"/>
        <v>7405.6411167512688</v>
      </c>
      <c r="R1481" s="259">
        <f t="shared" si="96"/>
        <v>0.75260580454789316</v>
      </c>
      <c r="S1481" s="255">
        <f t="shared" si="93"/>
        <v>2</v>
      </c>
      <c r="T1481" s="255">
        <f t="shared" si="93"/>
        <v>2</v>
      </c>
      <c r="U1481" s="254">
        <v>100100</v>
      </c>
      <c r="V1481" s="254" t="s">
        <v>834</v>
      </c>
      <c r="W1481" s="254" t="s">
        <v>865</v>
      </c>
      <c r="X1481" s="254" t="s">
        <v>446</v>
      </c>
      <c r="Y1481" s="254" t="s">
        <v>843</v>
      </c>
      <c r="Z1481" s="254" t="s">
        <v>1150</v>
      </c>
      <c r="AA1481" s="254" t="s">
        <v>838</v>
      </c>
    </row>
    <row r="1482" spans="1:27" ht="14.4" x14ac:dyDescent="0.3">
      <c r="A1482" s="253">
        <v>11</v>
      </c>
      <c r="B1482" s="254" t="s">
        <v>854</v>
      </c>
      <c r="C1482" s="254">
        <v>87</v>
      </c>
      <c r="D1482" s="254" t="s">
        <v>218</v>
      </c>
      <c r="E1482" s="254" t="str">
        <f>_xlfn.XLOOKUP(C1482,Clientes!I:I,Clientes!F:F)</f>
        <v>GRUPO ADUBOS ARAGUAIA</v>
      </c>
      <c r="F1482" s="254">
        <v>14133</v>
      </c>
      <c r="G1482" s="254" t="s">
        <v>867</v>
      </c>
      <c r="H1482" s="254" t="s">
        <v>841</v>
      </c>
      <c r="I1482" s="255">
        <v>12000</v>
      </c>
      <c r="J1482" s="256">
        <v>12000</v>
      </c>
      <c r="K1482" s="258">
        <v>33000</v>
      </c>
      <c r="L1482" s="258">
        <v>-2310</v>
      </c>
      <c r="M1482" s="258">
        <f t="shared" si="94"/>
        <v>30690</v>
      </c>
      <c r="N1482" s="258">
        <v>-15423.720000000001</v>
      </c>
      <c r="O1482" s="258">
        <v>-2091.6386400000001</v>
      </c>
      <c r="P1482" s="258">
        <v>-1.5420463754826568</v>
      </c>
      <c r="Q1482" s="258">
        <f t="shared" si="95"/>
        <v>13173.099313624514</v>
      </c>
      <c r="R1482" s="259">
        <f t="shared" si="96"/>
        <v>0.42923099751138855</v>
      </c>
      <c r="S1482" s="255">
        <f t="shared" si="93"/>
        <v>2.75</v>
      </c>
      <c r="T1482" s="255">
        <f t="shared" si="93"/>
        <v>2.75</v>
      </c>
      <c r="U1482" s="254">
        <v>100100</v>
      </c>
      <c r="V1482" s="254" t="s">
        <v>834</v>
      </c>
      <c r="W1482" s="254" t="s">
        <v>871</v>
      </c>
      <c r="X1482" s="254" t="s">
        <v>446</v>
      </c>
      <c r="Y1482" s="254" t="s">
        <v>843</v>
      </c>
      <c r="Z1482" s="254" t="s">
        <v>1150</v>
      </c>
      <c r="AA1482" s="254" t="s">
        <v>838</v>
      </c>
    </row>
    <row r="1483" spans="1:27" ht="14.4" x14ac:dyDescent="0.3">
      <c r="A1483" s="253">
        <v>11</v>
      </c>
      <c r="B1483" s="254" t="s">
        <v>854</v>
      </c>
      <c r="C1483" s="254">
        <v>7022</v>
      </c>
      <c r="D1483" s="254" t="s">
        <v>89</v>
      </c>
      <c r="E1483" s="254" t="str">
        <f>_xlfn.XLOOKUP(C1483,Clientes!I:I,Clientes!F:F)</f>
        <v>STRATOS - ROSARIO DO CATETE</v>
      </c>
      <c r="F1483" s="254">
        <v>1043</v>
      </c>
      <c r="G1483" s="254" t="s">
        <v>887</v>
      </c>
      <c r="H1483" s="254" t="s">
        <v>860</v>
      </c>
      <c r="I1483" s="255">
        <v>120000</v>
      </c>
      <c r="J1483" s="256">
        <v>120000</v>
      </c>
      <c r="K1483" s="258">
        <v>289200</v>
      </c>
      <c r="L1483" s="258">
        <v>-20244.000000000004</v>
      </c>
      <c r="M1483" s="258">
        <f t="shared" si="94"/>
        <v>268956</v>
      </c>
      <c r="N1483" s="258">
        <v>-48687.177664974617</v>
      </c>
      <c r="O1483" s="258">
        <v>-100846.0043136</v>
      </c>
      <c r="P1483" s="258">
        <v>-74.348031471485555</v>
      </c>
      <c r="Q1483" s="258">
        <f t="shared" si="95"/>
        <v>119348.4699899539</v>
      </c>
      <c r="R1483" s="259">
        <f t="shared" si="96"/>
        <v>0.44374719281203578</v>
      </c>
      <c r="S1483" s="255">
        <f t="shared" si="93"/>
        <v>2.41</v>
      </c>
      <c r="T1483" s="255">
        <f t="shared" si="93"/>
        <v>2.41</v>
      </c>
      <c r="U1483" s="254">
        <v>100100</v>
      </c>
      <c r="V1483" s="254" t="s">
        <v>834</v>
      </c>
      <c r="W1483" s="254" t="s">
        <v>888</v>
      </c>
      <c r="X1483" s="254" t="s">
        <v>446</v>
      </c>
      <c r="Y1483" s="254" t="s">
        <v>843</v>
      </c>
      <c r="Z1483" s="254" t="s">
        <v>1150</v>
      </c>
      <c r="AA1483" s="254" t="s">
        <v>838</v>
      </c>
    </row>
    <row r="1484" spans="1:27" ht="14.4" x14ac:dyDescent="0.3">
      <c r="A1484" s="253">
        <v>11</v>
      </c>
      <c r="B1484" s="254" t="s">
        <v>854</v>
      </c>
      <c r="C1484" s="254">
        <v>1874</v>
      </c>
      <c r="D1484" s="254" t="s">
        <v>210</v>
      </c>
      <c r="E1484" s="254" t="str">
        <f>_xlfn.XLOOKUP(C1484,Clientes!I:I,Clientes!F:F)</f>
        <v>GRUPO FERTILIZ TOCANTINS</v>
      </c>
      <c r="F1484" s="254">
        <v>148</v>
      </c>
      <c r="G1484" s="254" t="s">
        <v>926</v>
      </c>
      <c r="H1484" s="254" t="s">
        <v>904</v>
      </c>
      <c r="I1484" s="255">
        <v>30000</v>
      </c>
      <c r="J1484" s="256">
        <v>30000</v>
      </c>
      <c r="K1484" s="258">
        <v>84300</v>
      </c>
      <c r="L1484" s="258">
        <v>-5901.0000000000009</v>
      </c>
      <c r="M1484" s="258">
        <f t="shared" si="94"/>
        <v>78399</v>
      </c>
      <c r="N1484" s="258">
        <v>-19743.608571428569</v>
      </c>
      <c r="O1484" s="258">
        <v>-26978.690699999999</v>
      </c>
      <c r="P1484" s="258">
        <v>-19.889856409041411</v>
      </c>
      <c r="Q1484" s="258">
        <f t="shared" si="95"/>
        <v>31656.810872162387</v>
      </c>
      <c r="R1484" s="259">
        <f t="shared" si="96"/>
        <v>0.40379100335670592</v>
      </c>
      <c r="S1484" s="255">
        <f t="shared" si="93"/>
        <v>2.81</v>
      </c>
      <c r="T1484" s="255">
        <f t="shared" si="93"/>
        <v>2.81</v>
      </c>
      <c r="U1484" s="254">
        <v>100100</v>
      </c>
      <c r="V1484" s="254" t="s">
        <v>834</v>
      </c>
      <c r="W1484" s="254" t="s">
        <v>928</v>
      </c>
      <c r="X1484" s="254" t="s">
        <v>446</v>
      </c>
      <c r="Y1484" s="254" t="s">
        <v>843</v>
      </c>
      <c r="Z1484" s="254" t="s">
        <v>1150</v>
      </c>
      <c r="AA1484" s="254" t="s">
        <v>838</v>
      </c>
    </row>
    <row r="1485" spans="1:27" ht="14.4" x14ac:dyDescent="0.3">
      <c r="A1485" s="253">
        <v>11</v>
      </c>
      <c r="B1485" s="254" t="s">
        <v>854</v>
      </c>
      <c r="C1485" s="254">
        <v>205</v>
      </c>
      <c r="D1485" s="254" t="s">
        <v>859</v>
      </c>
      <c r="E1485" s="254" t="str">
        <f>_xlfn.XLOOKUP(C1485,Clientes!I:I,Clientes!F:F)</f>
        <v>GRUPO FERTIPAR FERTILIZANTES MATO GROSSO</v>
      </c>
      <c r="F1485" s="254">
        <v>231</v>
      </c>
      <c r="G1485" s="254" t="s">
        <v>840</v>
      </c>
      <c r="H1485" s="254" t="s">
        <v>1088</v>
      </c>
      <c r="I1485" s="255">
        <v>30000</v>
      </c>
      <c r="J1485" s="256">
        <v>30000</v>
      </c>
      <c r="K1485" s="258">
        <v>73800</v>
      </c>
      <c r="L1485" s="258">
        <v>-5166.0000000000009</v>
      </c>
      <c r="M1485" s="258">
        <f t="shared" si="94"/>
        <v>68634</v>
      </c>
      <c r="N1485" s="258">
        <v>-33184.97</v>
      </c>
      <c r="O1485" s="258">
        <v>-11980.9521</v>
      </c>
      <c r="P1485" s="258">
        <v>-8.8328755298937907</v>
      </c>
      <c r="Q1485" s="258">
        <f t="shared" si="95"/>
        <v>23459.245024470103</v>
      </c>
      <c r="R1485" s="259">
        <f t="shared" si="96"/>
        <v>0.34180209552801971</v>
      </c>
      <c r="S1485" s="255">
        <f t="shared" si="93"/>
        <v>2.46</v>
      </c>
      <c r="T1485" s="255">
        <f t="shared" si="93"/>
        <v>2.46</v>
      </c>
      <c r="U1485" s="254">
        <v>100100</v>
      </c>
      <c r="V1485" s="254" t="s">
        <v>834</v>
      </c>
      <c r="W1485" s="254" t="s">
        <v>861</v>
      </c>
      <c r="X1485" s="254" t="s">
        <v>446</v>
      </c>
      <c r="Y1485" s="254" t="s">
        <v>843</v>
      </c>
      <c r="Z1485" s="254" t="s">
        <v>1150</v>
      </c>
      <c r="AA1485" s="254" t="s">
        <v>838</v>
      </c>
    </row>
    <row r="1486" spans="1:27" ht="14.4" x14ac:dyDescent="0.3">
      <c r="A1486" s="253">
        <v>11</v>
      </c>
      <c r="B1486" s="254" t="s">
        <v>854</v>
      </c>
      <c r="C1486" s="254">
        <v>205</v>
      </c>
      <c r="D1486" s="254" t="s">
        <v>859</v>
      </c>
      <c r="E1486" s="254" t="str">
        <f>_xlfn.XLOOKUP(C1486,Clientes!I:I,Clientes!F:F)</f>
        <v>GRUPO FERTIPAR FERTILIZANTES MATO GROSSO</v>
      </c>
      <c r="F1486" s="254">
        <v>1043</v>
      </c>
      <c r="G1486" s="254" t="s">
        <v>840</v>
      </c>
      <c r="H1486" s="254" t="s">
        <v>860</v>
      </c>
      <c r="I1486" s="255">
        <v>30000</v>
      </c>
      <c r="J1486" s="256">
        <v>30000</v>
      </c>
      <c r="K1486" s="258">
        <v>54300</v>
      </c>
      <c r="L1486" s="258">
        <v>-3801.0000000000005</v>
      </c>
      <c r="M1486" s="258">
        <f t="shared" si="94"/>
        <v>50499</v>
      </c>
      <c r="N1486" s="258">
        <v>-12171.794416243654</v>
      </c>
      <c r="O1486" s="258">
        <v>-11980.9521</v>
      </c>
      <c r="P1486" s="258">
        <v>-8.8328755298937907</v>
      </c>
      <c r="Q1486" s="258">
        <f t="shared" si="95"/>
        <v>26337.42060822645</v>
      </c>
      <c r="R1486" s="259">
        <f t="shared" si="96"/>
        <v>0.52154340894327511</v>
      </c>
      <c r="S1486" s="255">
        <f t="shared" si="93"/>
        <v>1.81</v>
      </c>
      <c r="T1486" s="255">
        <f t="shared" si="93"/>
        <v>1.81</v>
      </c>
      <c r="U1486" s="254">
        <v>100100</v>
      </c>
      <c r="V1486" s="254" t="s">
        <v>834</v>
      </c>
      <c r="W1486" s="254" t="s">
        <v>861</v>
      </c>
      <c r="X1486" s="254" t="s">
        <v>446</v>
      </c>
      <c r="Y1486" s="254" t="s">
        <v>843</v>
      </c>
      <c r="Z1486" s="254" t="s">
        <v>1150</v>
      </c>
      <c r="AA1486" s="254" t="s">
        <v>838</v>
      </c>
    </row>
    <row r="1487" spans="1:27" ht="14.4" x14ac:dyDescent="0.3">
      <c r="A1487" s="253">
        <v>11</v>
      </c>
      <c r="B1487" s="254" t="s">
        <v>854</v>
      </c>
      <c r="C1487" s="254">
        <v>6477</v>
      </c>
      <c r="D1487" s="254" t="s">
        <v>87</v>
      </c>
      <c r="E1487" s="254" t="str">
        <f>_xlfn.XLOOKUP(C1487,Clientes!I:I,Clientes!F:F)</f>
        <v>GRUPO MOSAIC FERTILIZANTES DO BRASIL</v>
      </c>
      <c r="F1487" s="254">
        <v>1043</v>
      </c>
      <c r="G1487" s="254" t="s">
        <v>862</v>
      </c>
      <c r="H1487" s="254" t="s">
        <v>860</v>
      </c>
      <c r="I1487" s="255">
        <v>15000</v>
      </c>
      <c r="J1487" s="256">
        <v>15000</v>
      </c>
      <c r="K1487" s="258">
        <v>32850</v>
      </c>
      <c r="L1487" s="258">
        <v>-3942</v>
      </c>
      <c r="M1487" s="258">
        <f t="shared" si="94"/>
        <v>28908</v>
      </c>
      <c r="N1487" s="258">
        <v>-6085.8972081218271</v>
      </c>
      <c r="O1487" s="258">
        <v>-10935.990696618001</v>
      </c>
      <c r="P1487" s="258">
        <v>-8.0624848353498777</v>
      </c>
      <c r="Q1487" s="258">
        <f t="shared" si="95"/>
        <v>11878.049610424823</v>
      </c>
      <c r="R1487" s="259">
        <f t="shared" si="96"/>
        <v>0.41089143525753508</v>
      </c>
      <c r="S1487" s="255">
        <f t="shared" si="93"/>
        <v>2.19</v>
      </c>
      <c r="T1487" s="255">
        <f t="shared" si="93"/>
        <v>2.19</v>
      </c>
      <c r="U1487" s="254">
        <v>100100</v>
      </c>
      <c r="V1487" s="254" t="s">
        <v>834</v>
      </c>
      <c r="W1487" s="254" t="s">
        <v>864</v>
      </c>
      <c r="X1487" s="254" t="s">
        <v>446</v>
      </c>
      <c r="Y1487" s="254" t="s">
        <v>843</v>
      </c>
      <c r="Z1487" s="254" t="s">
        <v>1150</v>
      </c>
      <c r="AA1487" s="254" t="s">
        <v>838</v>
      </c>
    </row>
    <row r="1488" spans="1:27" ht="14.4" x14ac:dyDescent="0.3">
      <c r="A1488" s="253">
        <v>11</v>
      </c>
      <c r="B1488" s="254" t="s">
        <v>854</v>
      </c>
      <c r="C1488" s="254">
        <v>2603</v>
      </c>
      <c r="D1488" s="254" t="s">
        <v>1074</v>
      </c>
      <c r="E1488" s="254" t="str">
        <f>_xlfn.XLOOKUP(C1488,Clientes!I:I,Clientes!F:F)</f>
        <v>GRUPO MOSAIC FERTILIZANTES DO BRASIL</v>
      </c>
      <c r="F1488" s="254">
        <v>1043</v>
      </c>
      <c r="G1488" s="254" t="s">
        <v>897</v>
      </c>
      <c r="H1488" s="254" t="s">
        <v>860</v>
      </c>
      <c r="I1488" s="255">
        <v>60000</v>
      </c>
      <c r="J1488" s="256">
        <v>60000</v>
      </c>
      <c r="K1488" s="258">
        <v>147600</v>
      </c>
      <c r="L1488" s="258">
        <v>-10332.000000000002</v>
      </c>
      <c r="M1488" s="258">
        <f t="shared" si="94"/>
        <v>137268</v>
      </c>
      <c r="N1488" s="258">
        <v>-24343.588832487309</v>
      </c>
      <c r="O1488" s="258">
        <v>0</v>
      </c>
      <c r="P1488" s="258">
        <v>0</v>
      </c>
      <c r="Q1488" s="258">
        <f t="shared" si="95"/>
        <v>112924.41116751269</v>
      </c>
      <c r="R1488" s="259">
        <f t="shared" si="96"/>
        <v>0.82265649071533564</v>
      </c>
      <c r="S1488" s="255">
        <f t="shared" si="93"/>
        <v>2.46</v>
      </c>
      <c r="T1488" s="255">
        <f t="shared" si="93"/>
        <v>2.46</v>
      </c>
      <c r="U1488" s="254">
        <v>100100</v>
      </c>
      <c r="V1488" s="254" t="s">
        <v>834</v>
      </c>
      <c r="W1488" s="254" t="s">
        <v>899</v>
      </c>
      <c r="X1488" s="254" t="s">
        <v>446</v>
      </c>
      <c r="Y1488" s="254" t="s">
        <v>843</v>
      </c>
      <c r="Z1488" s="254" t="s">
        <v>1150</v>
      </c>
      <c r="AA1488" s="254" t="s">
        <v>838</v>
      </c>
    </row>
    <row r="1489" spans="1:27" ht="14.4" x14ac:dyDescent="0.3">
      <c r="A1489" s="253">
        <v>11</v>
      </c>
      <c r="B1489" s="254" t="s">
        <v>854</v>
      </c>
      <c r="C1489" s="254">
        <v>456</v>
      </c>
      <c r="D1489" s="254" t="s">
        <v>312</v>
      </c>
      <c r="E1489" s="254" t="str">
        <f>_xlfn.XLOOKUP(C1489,Clientes!I:I,Clientes!F:F)</f>
        <v>GRUPO FERTIPAR FERTILIZANTES DO NORDESTE</v>
      </c>
      <c r="F1489" s="254">
        <v>113</v>
      </c>
      <c r="G1489" s="254" t="s">
        <v>875</v>
      </c>
      <c r="H1489" s="254" t="s">
        <v>913</v>
      </c>
      <c r="I1489" s="255">
        <v>30000</v>
      </c>
      <c r="J1489" s="256">
        <v>30000</v>
      </c>
      <c r="K1489" s="258">
        <v>100200</v>
      </c>
      <c r="L1489" s="258">
        <v>-7014.0000000000009</v>
      </c>
      <c r="M1489" s="258">
        <f t="shared" si="94"/>
        <v>93186</v>
      </c>
      <c r="N1489" s="258">
        <v>-27279.93934426229</v>
      </c>
      <c r="O1489" s="258">
        <v>-21548.474999999999</v>
      </c>
      <c r="P1489" s="258">
        <v>-15.886466780384511</v>
      </c>
      <c r="Q1489" s="258">
        <f t="shared" si="95"/>
        <v>44341.699188957318</v>
      </c>
      <c r="R1489" s="259">
        <f t="shared" si="96"/>
        <v>0.47584078283172704</v>
      </c>
      <c r="S1489" s="255">
        <f t="shared" si="93"/>
        <v>3.34</v>
      </c>
      <c r="T1489" s="255">
        <f t="shared" si="93"/>
        <v>3.34</v>
      </c>
      <c r="U1489" s="254">
        <v>100200</v>
      </c>
      <c r="V1489" s="254" t="s">
        <v>912</v>
      </c>
      <c r="W1489" s="254" t="s">
        <v>876</v>
      </c>
      <c r="X1489" s="254" t="s">
        <v>446</v>
      </c>
      <c r="Y1489" s="254" t="s">
        <v>843</v>
      </c>
      <c r="Z1489" s="254" t="s">
        <v>1150</v>
      </c>
      <c r="AA1489" s="254" t="s">
        <v>838</v>
      </c>
    </row>
    <row r="1490" spans="1:27" ht="14.4" x14ac:dyDescent="0.3">
      <c r="A1490" s="253">
        <v>11</v>
      </c>
      <c r="B1490" s="254" t="s">
        <v>854</v>
      </c>
      <c r="C1490" s="254">
        <v>252</v>
      </c>
      <c r="D1490" s="254" t="s">
        <v>37</v>
      </c>
      <c r="E1490" s="254" t="str">
        <f>_xlfn.XLOOKUP(C1490,Clientes!I:I,Clientes!F:F)</f>
        <v>GRUPO FERTIPAR FERTILIZANTES PARANA</v>
      </c>
      <c r="F1490" s="254">
        <v>10343</v>
      </c>
      <c r="G1490" s="254" t="s">
        <v>862</v>
      </c>
      <c r="H1490" s="254" t="s">
        <v>911</v>
      </c>
      <c r="I1490" s="255">
        <v>30000</v>
      </c>
      <c r="J1490" s="256">
        <v>30000</v>
      </c>
      <c r="K1490" s="258">
        <v>112800</v>
      </c>
      <c r="L1490" s="258">
        <v>-13536</v>
      </c>
      <c r="M1490" s="258">
        <f t="shared" si="94"/>
        <v>99264</v>
      </c>
      <c r="N1490" s="258">
        <v>-52126.349999999991</v>
      </c>
      <c r="O1490" s="258">
        <v>-14049.6057</v>
      </c>
      <c r="P1490" s="258">
        <v>-10.357976340810701</v>
      </c>
      <c r="Q1490" s="258">
        <f t="shared" si="95"/>
        <v>33077.686323659196</v>
      </c>
      <c r="R1490" s="259">
        <f t="shared" si="96"/>
        <v>0.33322943185504511</v>
      </c>
      <c r="S1490" s="255">
        <f t="shared" si="93"/>
        <v>3.76</v>
      </c>
      <c r="T1490" s="255">
        <f t="shared" si="93"/>
        <v>3.76</v>
      </c>
      <c r="U1490" s="254">
        <v>100200</v>
      </c>
      <c r="V1490" s="254" t="s">
        <v>912</v>
      </c>
      <c r="W1490" s="254" t="s">
        <v>864</v>
      </c>
      <c r="X1490" s="254" t="s">
        <v>446</v>
      </c>
      <c r="Y1490" s="254" t="s">
        <v>843</v>
      </c>
      <c r="Z1490" s="254" t="s">
        <v>1150</v>
      </c>
      <c r="AA1490" s="254" t="s">
        <v>838</v>
      </c>
    </row>
    <row r="1491" spans="1:27" ht="14.4" x14ac:dyDescent="0.3">
      <c r="A1491" s="253">
        <v>11</v>
      </c>
      <c r="B1491" s="254" t="s">
        <v>854</v>
      </c>
      <c r="C1491" s="254">
        <v>214</v>
      </c>
      <c r="D1491" s="254" t="s">
        <v>149</v>
      </c>
      <c r="E1491" s="254" t="str">
        <f>_xlfn.XLOOKUP(C1491,Clientes!I:I,Clientes!F:F)</f>
        <v>GRUPO UNIFERTIL</v>
      </c>
      <c r="F1491" s="254">
        <v>113</v>
      </c>
      <c r="G1491" s="254" t="s">
        <v>877</v>
      </c>
      <c r="H1491" s="254" t="s">
        <v>913</v>
      </c>
      <c r="I1491" s="255">
        <v>30000</v>
      </c>
      <c r="J1491" s="256">
        <v>30000</v>
      </c>
      <c r="K1491" s="258">
        <v>92700</v>
      </c>
      <c r="L1491" s="258">
        <v>-11124</v>
      </c>
      <c r="M1491" s="258">
        <f t="shared" si="94"/>
        <v>81576</v>
      </c>
      <c r="N1491" s="258">
        <v>-27279.93934426229</v>
      </c>
      <c r="O1491" s="258">
        <v>-24191.754599999997</v>
      </c>
      <c r="P1491" s="258">
        <v>-17.83520670544501</v>
      </c>
      <c r="Q1491" s="258">
        <f t="shared" si="95"/>
        <v>30086.47084903227</v>
      </c>
      <c r="R1491" s="259">
        <f t="shared" si="96"/>
        <v>0.36881522566725838</v>
      </c>
      <c r="S1491" s="255">
        <f t="shared" si="93"/>
        <v>3.09</v>
      </c>
      <c r="T1491" s="255">
        <f t="shared" si="93"/>
        <v>3.09</v>
      </c>
      <c r="U1491" s="254">
        <v>100200</v>
      </c>
      <c r="V1491" s="254" t="s">
        <v>912</v>
      </c>
      <c r="W1491" s="254" t="s">
        <v>880</v>
      </c>
      <c r="X1491" s="254" t="s">
        <v>446</v>
      </c>
      <c r="Y1491" s="254" t="s">
        <v>843</v>
      </c>
      <c r="Z1491" s="254" t="s">
        <v>1150</v>
      </c>
      <c r="AA1491" s="254" t="s">
        <v>838</v>
      </c>
    </row>
    <row r="1492" spans="1:27" ht="14.4" x14ac:dyDescent="0.3">
      <c r="A1492" s="253">
        <v>11</v>
      </c>
      <c r="B1492" s="254" t="s">
        <v>854</v>
      </c>
      <c r="C1492" s="254">
        <v>14632</v>
      </c>
      <c r="D1492" s="254" t="s">
        <v>399</v>
      </c>
      <c r="E1492" s="254" t="str">
        <f>_xlfn.XLOOKUP(C1492,Clientes!I:I,Clientes!F:F)</f>
        <v>BIGFERTIL - CANDEIAS</v>
      </c>
      <c r="F1492" s="254">
        <v>113</v>
      </c>
      <c r="G1492" s="254" t="s">
        <v>875</v>
      </c>
      <c r="H1492" s="254" t="s">
        <v>913</v>
      </c>
      <c r="I1492" s="255">
        <v>30000</v>
      </c>
      <c r="J1492" s="256">
        <v>30000</v>
      </c>
      <c r="K1492" s="258">
        <v>109500</v>
      </c>
      <c r="L1492" s="258">
        <v>-7665.0000000000009</v>
      </c>
      <c r="M1492" s="258">
        <f t="shared" si="94"/>
        <v>101835</v>
      </c>
      <c r="N1492" s="258">
        <v>-27279.93934426229</v>
      </c>
      <c r="O1492" s="258">
        <v>-21548.474999999999</v>
      </c>
      <c r="P1492" s="258">
        <v>-15.886466780384511</v>
      </c>
      <c r="Q1492" s="258">
        <f t="shared" si="95"/>
        <v>52990.699188957318</v>
      </c>
      <c r="R1492" s="259">
        <f t="shared" si="96"/>
        <v>0.52035841497478585</v>
      </c>
      <c r="S1492" s="255">
        <f t="shared" si="93"/>
        <v>3.65</v>
      </c>
      <c r="T1492" s="255">
        <f t="shared" si="93"/>
        <v>3.65</v>
      </c>
      <c r="U1492" s="254">
        <v>100200</v>
      </c>
      <c r="V1492" s="254" t="s">
        <v>912</v>
      </c>
      <c r="W1492" s="254" t="s">
        <v>876</v>
      </c>
      <c r="X1492" s="254" t="s">
        <v>446</v>
      </c>
      <c r="Y1492" s="254" t="s">
        <v>843</v>
      </c>
      <c r="Z1492" s="254" t="s">
        <v>1150</v>
      </c>
      <c r="AA1492" s="254" t="s">
        <v>838</v>
      </c>
    </row>
    <row r="1493" spans="1:27" ht="14.4" x14ac:dyDescent="0.3">
      <c r="A1493" s="253">
        <v>11</v>
      </c>
      <c r="B1493" s="254" t="s">
        <v>854</v>
      </c>
      <c r="C1493" s="254">
        <v>10492</v>
      </c>
      <c r="D1493" s="254" t="s">
        <v>101</v>
      </c>
      <c r="E1493" s="254" t="str">
        <f>_xlfn.XLOOKUP(C1493,Clientes!I:I,Clientes!F:F)</f>
        <v>GRUPO UNIFERTIL</v>
      </c>
      <c r="F1493" s="254">
        <v>113</v>
      </c>
      <c r="G1493" s="254" t="s">
        <v>877</v>
      </c>
      <c r="H1493" s="254" t="s">
        <v>913</v>
      </c>
      <c r="I1493" s="255">
        <v>32000</v>
      </c>
      <c r="J1493" s="256">
        <v>32000</v>
      </c>
      <c r="K1493" s="258">
        <v>98880</v>
      </c>
      <c r="L1493" s="258">
        <v>-11865.6</v>
      </c>
      <c r="M1493" s="258">
        <f t="shared" si="94"/>
        <v>87014.399999999994</v>
      </c>
      <c r="N1493" s="258">
        <v>-29098.601967213111</v>
      </c>
      <c r="O1493" s="258">
        <v>-26049.712</v>
      </c>
      <c r="P1493" s="258">
        <v>-19.204973174509277</v>
      </c>
      <c r="Q1493" s="258">
        <f t="shared" si="95"/>
        <v>31846.881059612377</v>
      </c>
      <c r="R1493" s="259">
        <f t="shared" si="96"/>
        <v>0.36599552556372716</v>
      </c>
      <c r="S1493" s="255">
        <f t="shared" si="93"/>
        <v>3.09</v>
      </c>
      <c r="T1493" s="255">
        <f t="shared" si="93"/>
        <v>3.09</v>
      </c>
      <c r="U1493" s="254">
        <v>100200</v>
      </c>
      <c r="V1493" s="254" t="s">
        <v>912</v>
      </c>
      <c r="W1493" s="254" t="s">
        <v>878</v>
      </c>
      <c r="X1493" s="254" t="s">
        <v>446</v>
      </c>
      <c r="Y1493" s="254" t="s">
        <v>843</v>
      </c>
      <c r="Z1493" s="254" t="s">
        <v>1150</v>
      </c>
      <c r="AA1493" s="254" t="s">
        <v>838</v>
      </c>
    </row>
    <row r="1494" spans="1:27" ht="14.4" x14ac:dyDescent="0.3">
      <c r="A1494" s="253">
        <v>13</v>
      </c>
      <c r="B1494" s="254" t="s">
        <v>854</v>
      </c>
      <c r="C1494" s="254">
        <v>10676</v>
      </c>
      <c r="D1494" s="254" t="s">
        <v>120</v>
      </c>
      <c r="E1494" s="254" t="str">
        <f>_xlfn.XLOOKUP(C1494,Clientes!I:I,Clientes!F:F)</f>
        <v>LYCSA ARGENTINA</v>
      </c>
      <c r="F1494" s="254">
        <v>8208</v>
      </c>
      <c r="G1494" s="254" t="s">
        <v>832</v>
      </c>
      <c r="H1494" s="254" t="s">
        <v>933</v>
      </c>
      <c r="I1494" s="255">
        <v>5000</v>
      </c>
      <c r="J1494" s="256">
        <v>5000</v>
      </c>
      <c r="K1494" s="258">
        <v>234263.43618033268</v>
      </c>
      <c r="L1494" s="258">
        <v>0</v>
      </c>
      <c r="M1494" s="258">
        <f t="shared" si="94"/>
        <v>234263.43618033268</v>
      </c>
      <c r="N1494" s="258">
        <v>-65364.939999999995</v>
      </c>
      <c r="O1494" s="258">
        <v>-20322.741119999999</v>
      </c>
      <c r="P1494" s="258">
        <v>-856.3847589126018</v>
      </c>
      <c r="Q1494" s="258">
        <f t="shared" si="95"/>
        <v>147719.37030142007</v>
      </c>
      <c r="R1494" s="259">
        <f t="shared" si="96"/>
        <v>0.63056946790325308</v>
      </c>
      <c r="S1494" s="255">
        <f t="shared" si="93"/>
        <v>46.852687236066537</v>
      </c>
      <c r="T1494" s="255">
        <f t="shared" si="93"/>
        <v>46.852687236066537</v>
      </c>
      <c r="U1494" s="254">
        <v>100300</v>
      </c>
      <c r="V1494" s="254" t="s">
        <v>917</v>
      </c>
      <c r="W1494" s="254" t="s">
        <v>1082</v>
      </c>
      <c r="X1494" s="254" t="s">
        <v>446</v>
      </c>
      <c r="Y1494" s="254" t="s">
        <v>836</v>
      </c>
      <c r="Z1494" s="254" t="s">
        <v>1150</v>
      </c>
      <c r="AA1494" s="254" t="s">
        <v>838</v>
      </c>
    </row>
    <row r="1495" spans="1:27" ht="14.4" x14ac:dyDescent="0.3">
      <c r="A1495" s="253">
        <v>13</v>
      </c>
      <c r="B1495" s="254" t="s">
        <v>854</v>
      </c>
      <c r="C1495" s="254">
        <v>12323</v>
      </c>
      <c r="D1495" s="254" t="s">
        <v>235</v>
      </c>
      <c r="E1495" s="254" t="str">
        <f>_xlfn.XLOOKUP(C1495,Clientes!I:I,Clientes!F:F)</f>
        <v>TERA FERTILIZANTES - PATOS DE MINAS</v>
      </c>
      <c r="F1495" s="254">
        <v>8225</v>
      </c>
      <c r="G1495" s="254" t="s">
        <v>855</v>
      </c>
      <c r="H1495" s="254" t="s">
        <v>919</v>
      </c>
      <c r="I1495" s="255">
        <v>3000</v>
      </c>
      <c r="J1495" s="256">
        <v>3000</v>
      </c>
      <c r="K1495" s="258">
        <v>69079.155949669672</v>
      </c>
      <c r="L1495" s="258">
        <v>-12420</v>
      </c>
      <c r="M1495" s="258">
        <f t="shared" si="94"/>
        <v>56659.155949669672</v>
      </c>
      <c r="N1495" s="258">
        <v>-18895.426363636372</v>
      </c>
      <c r="O1495" s="258">
        <v>-3639.2979999999998</v>
      </c>
      <c r="P1495" s="258">
        <v>-2.6830477229093841</v>
      </c>
      <c r="Q1495" s="258">
        <f t="shared" si="95"/>
        <v>34121.748538310385</v>
      </c>
      <c r="R1495" s="259">
        <f t="shared" si="96"/>
        <v>0.60222832420272432</v>
      </c>
      <c r="S1495" s="255">
        <f t="shared" si="93"/>
        <v>23.026385316556556</v>
      </c>
      <c r="T1495" s="255">
        <f t="shared" si="93"/>
        <v>23.026385316556556</v>
      </c>
      <c r="U1495" s="254">
        <v>100300</v>
      </c>
      <c r="V1495" s="254" t="s">
        <v>917</v>
      </c>
      <c r="W1495" s="254" t="s">
        <v>952</v>
      </c>
      <c r="X1495" s="254" t="s">
        <v>446</v>
      </c>
      <c r="Y1495" s="254" t="s">
        <v>843</v>
      </c>
      <c r="Z1495" s="254" t="s">
        <v>1150</v>
      </c>
      <c r="AA1495" s="254" t="s">
        <v>838</v>
      </c>
    </row>
    <row r="1496" spans="1:27" ht="14.4" x14ac:dyDescent="0.3">
      <c r="A1496" s="253">
        <v>13</v>
      </c>
      <c r="B1496" s="254" t="s">
        <v>854</v>
      </c>
      <c r="C1496" s="254">
        <v>2352</v>
      </c>
      <c r="D1496" s="254" t="s">
        <v>68</v>
      </c>
      <c r="E1496" s="254" t="str">
        <f>_xlfn.XLOOKUP(C1496,Clientes!I:I,Clientes!F:F)</f>
        <v>BR FERTIL - PARANAGUA</v>
      </c>
      <c r="F1496" s="254">
        <v>8225</v>
      </c>
      <c r="G1496" s="254" t="s">
        <v>862</v>
      </c>
      <c r="H1496" s="254" t="s">
        <v>919</v>
      </c>
      <c r="I1496" s="255">
        <v>12000</v>
      </c>
      <c r="J1496" s="256">
        <v>12000</v>
      </c>
      <c r="K1496" s="258">
        <v>288330.39005079516</v>
      </c>
      <c r="L1496" s="258">
        <v>-34560</v>
      </c>
      <c r="M1496" s="258">
        <f t="shared" si="94"/>
        <v>253770.39005079516</v>
      </c>
      <c r="N1496" s="258">
        <v>-75581.705454545488</v>
      </c>
      <c r="O1496" s="258">
        <v>-9901.2479999999723</v>
      </c>
      <c r="P1496" s="258">
        <v>-7.2996278129356327</v>
      </c>
      <c r="Q1496" s="258">
        <f t="shared" si="95"/>
        <v>168280.13696843677</v>
      </c>
      <c r="R1496" s="259">
        <f t="shared" si="96"/>
        <v>0.66311966866880523</v>
      </c>
      <c r="S1496" s="255">
        <f t="shared" si="93"/>
        <v>24.02753250423293</v>
      </c>
      <c r="T1496" s="255">
        <f t="shared" si="93"/>
        <v>24.02753250423293</v>
      </c>
      <c r="U1496" s="254">
        <v>100300</v>
      </c>
      <c r="V1496" s="254" t="s">
        <v>917</v>
      </c>
      <c r="W1496" s="254" t="s">
        <v>864</v>
      </c>
      <c r="X1496" s="254" t="s">
        <v>446</v>
      </c>
      <c r="Y1496" s="254" t="s">
        <v>843</v>
      </c>
      <c r="Z1496" s="254" t="s">
        <v>1150</v>
      </c>
      <c r="AA1496" s="254" t="s">
        <v>838</v>
      </c>
    </row>
    <row r="1497" spans="1:27" ht="14.4" x14ac:dyDescent="0.3">
      <c r="A1497" s="253">
        <v>13</v>
      </c>
      <c r="B1497" s="254" t="s">
        <v>854</v>
      </c>
      <c r="C1497" s="254">
        <v>7102</v>
      </c>
      <c r="D1497" s="254" t="s">
        <v>906</v>
      </c>
      <c r="E1497" s="254" t="str">
        <f>_xlfn.XLOOKUP(C1497,Clientes!I:I,Clientes!F:F)</f>
        <v>GRUPO MOSAIC FERTILIZANTES DO BRASIL</v>
      </c>
      <c r="F1497" s="254">
        <v>8215</v>
      </c>
      <c r="G1497" s="254" t="s">
        <v>840</v>
      </c>
      <c r="H1497" s="254" t="s">
        <v>947</v>
      </c>
      <c r="I1497" s="255">
        <v>20000</v>
      </c>
      <c r="J1497" s="256">
        <v>20000</v>
      </c>
      <c r="K1497" s="258">
        <v>740848.91888051527</v>
      </c>
      <c r="L1497" s="258">
        <v>-51800.000000000007</v>
      </c>
      <c r="M1497" s="258">
        <f t="shared" si="94"/>
        <v>689048.91888051527</v>
      </c>
      <c r="N1497" s="258">
        <v>-278624.18275862065</v>
      </c>
      <c r="O1497" s="258">
        <v>-11071.1276</v>
      </c>
      <c r="P1497" s="258">
        <v>-8.1621135991664424</v>
      </c>
      <c r="Q1497" s="258">
        <f t="shared" si="95"/>
        <v>399345.44640829542</v>
      </c>
      <c r="R1497" s="259">
        <f t="shared" si="96"/>
        <v>0.57956037004905891</v>
      </c>
      <c r="S1497" s="255">
        <f t="shared" si="93"/>
        <v>37.042445944025765</v>
      </c>
      <c r="T1497" s="255">
        <f t="shared" si="93"/>
        <v>37.042445944025765</v>
      </c>
      <c r="U1497" s="254">
        <v>100300</v>
      </c>
      <c r="V1497" s="254" t="s">
        <v>917</v>
      </c>
      <c r="W1497" s="254" t="s">
        <v>861</v>
      </c>
      <c r="X1497" s="254" t="s">
        <v>446</v>
      </c>
      <c r="Y1497" s="254" t="s">
        <v>843</v>
      </c>
      <c r="Z1497" s="254" t="s">
        <v>1150</v>
      </c>
      <c r="AA1497" s="254" t="s">
        <v>838</v>
      </c>
    </row>
    <row r="1498" spans="1:27" ht="14.4" x14ac:dyDescent="0.3">
      <c r="A1498" s="253">
        <v>13</v>
      </c>
      <c r="B1498" s="254" t="s">
        <v>854</v>
      </c>
      <c r="C1498" s="254">
        <v>7662</v>
      </c>
      <c r="D1498" s="254" t="s">
        <v>95</v>
      </c>
      <c r="E1498" s="254" t="str">
        <f>_xlfn.XLOOKUP(C1498,Clientes!I:I,Clientes!F:F)</f>
        <v>BENTONIT UNIAO - CAMPINA GRANDE</v>
      </c>
      <c r="F1498" s="254">
        <v>7</v>
      </c>
      <c r="G1498" s="254" t="s">
        <v>1022</v>
      </c>
      <c r="H1498" s="254" t="s">
        <v>1023</v>
      </c>
      <c r="I1498" s="255">
        <v>2000</v>
      </c>
      <c r="J1498" s="256">
        <v>2000</v>
      </c>
      <c r="K1498" s="258">
        <v>78109.503582510544</v>
      </c>
      <c r="L1498" s="258">
        <v>-12173.070500000002</v>
      </c>
      <c r="M1498" s="258">
        <f t="shared" si="94"/>
        <v>65936.433082510543</v>
      </c>
      <c r="N1498" s="258">
        <v>-17539.219999999998</v>
      </c>
      <c r="O1498" s="258">
        <v>0</v>
      </c>
      <c r="P1498" s="258">
        <v>0</v>
      </c>
      <c r="Q1498" s="258">
        <f t="shared" si="95"/>
        <v>48397.213082510541</v>
      </c>
      <c r="R1498" s="259">
        <f t="shared" si="96"/>
        <v>0.73399804660267209</v>
      </c>
      <c r="S1498" s="255">
        <f t="shared" si="93"/>
        <v>39.054751791255271</v>
      </c>
      <c r="T1498" s="255">
        <f t="shared" si="93"/>
        <v>39.054751791255271</v>
      </c>
      <c r="U1498" s="254">
        <v>100300</v>
      </c>
      <c r="V1498" s="254" t="s">
        <v>917</v>
      </c>
      <c r="W1498" s="254" t="s">
        <v>1024</v>
      </c>
      <c r="X1498" s="254" t="s">
        <v>446</v>
      </c>
      <c r="Y1498" s="254" t="s">
        <v>843</v>
      </c>
      <c r="Z1498" s="254" t="s">
        <v>1150</v>
      </c>
      <c r="AA1498" s="254" t="s">
        <v>838</v>
      </c>
    </row>
    <row r="1499" spans="1:27" ht="14.4" x14ac:dyDescent="0.3">
      <c r="A1499" s="253">
        <v>13</v>
      </c>
      <c r="B1499" s="254" t="s">
        <v>854</v>
      </c>
      <c r="C1499" s="254">
        <v>9355</v>
      </c>
      <c r="D1499" s="254" t="s">
        <v>302</v>
      </c>
      <c r="E1499" s="254" t="str">
        <f>_xlfn.XLOOKUP(C1499,Clientes!I:I,Clientes!F:F)</f>
        <v>NITROFERT SAS - COLOMBIA</v>
      </c>
      <c r="F1499" s="254">
        <v>8206</v>
      </c>
      <c r="G1499" s="254" t="s">
        <v>832</v>
      </c>
      <c r="H1499" s="254" t="s">
        <v>1025</v>
      </c>
      <c r="I1499" s="255">
        <v>24000</v>
      </c>
      <c r="J1499" s="256">
        <v>24000</v>
      </c>
      <c r="K1499" s="258">
        <v>1260724.6304971017</v>
      </c>
      <c r="L1499" s="258">
        <v>0</v>
      </c>
      <c r="M1499" s="258">
        <f t="shared" si="94"/>
        <v>1260724.6304971017</v>
      </c>
      <c r="N1499" s="258">
        <v>-335009.89</v>
      </c>
      <c r="O1499" s="258">
        <v>0</v>
      </c>
      <c r="P1499" s="258">
        <v>-4038.7293893129768</v>
      </c>
      <c r="Q1499" s="258">
        <f t="shared" si="95"/>
        <v>921676.01110778865</v>
      </c>
      <c r="R1499" s="259">
        <f t="shared" si="96"/>
        <v>0.73106845762533668</v>
      </c>
      <c r="S1499" s="255">
        <f t="shared" si="93"/>
        <v>52.53019293737924</v>
      </c>
      <c r="T1499" s="255">
        <f t="shared" si="93"/>
        <v>52.53019293737924</v>
      </c>
      <c r="U1499" s="254">
        <v>100300</v>
      </c>
      <c r="V1499" s="254" t="s">
        <v>917</v>
      </c>
      <c r="W1499" s="254" t="s">
        <v>998</v>
      </c>
      <c r="X1499" s="254" t="s">
        <v>446</v>
      </c>
      <c r="Y1499" s="254" t="s">
        <v>836</v>
      </c>
      <c r="Z1499" s="254" t="s">
        <v>1150</v>
      </c>
      <c r="AA1499" s="254" t="s">
        <v>838</v>
      </c>
    </row>
    <row r="1500" spans="1:27" ht="14.4" x14ac:dyDescent="0.3">
      <c r="A1500" s="253">
        <v>13</v>
      </c>
      <c r="B1500" s="254" t="s">
        <v>854</v>
      </c>
      <c r="C1500" s="254">
        <v>2975</v>
      </c>
      <c r="D1500" s="254" t="s">
        <v>420</v>
      </c>
      <c r="E1500" s="254" t="str">
        <f>_xlfn.XLOOKUP(C1500,Clientes!I:I,Clientes!F:F)</f>
        <v>COONAGRO COOPERATIVA - PARANAGUA</v>
      </c>
      <c r="F1500" s="254">
        <v>8218</v>
      </c>
      <c r="G1500" s="254" t="s">
        <v>862</v>
      </c>
      <c r="H1500" s="254" t="s">
        <v>923</v>
      </c>
      <c r="I1500" s="255">
        <v>6000</v>
      </c>
      <c r="J1500" s="256">
        <v>6000</v>
      </c>
      <c r="K1500" s="258">
        <v>180086.35611922579</v>
      </c>
      <c r="L1500" s="258">
        <v>-21585.599999999999</v>
      </c>
      <c r="M1500" s="258">
        <f t="shared" si="94"/>
        <v>158500.75611922579</v>
      </c>
      <c r="N1500" s="258">
        <v>-69358.465000000011</v>
      </c>
      <c r="O1500" s="258">
        <v>-9901.2479999999723</v>
      </c>
      <c r="P1500" s="258">
        <v>-7.2996278129356327</v>
      </c>
      <c r="Q1500" s="258">
        <f t="shared" si="95"/>
        <v>79233.743491412868</v>
      </c>
      <c r="R1500" s="259">
        <f t="shared" si="96"/>
        <v>0.49989505054356009</v>
      </c>
      <c r="S1500" s="255">
        <f t="shared" si="93"/>
        <v>30.014392686537633</v>
      </c>
      <c r="T1500" s="255">
        <f t="shared" si="93"/>
        <v>30.014392686537633</v>
      </c>
      <c r="U1500" s="254">
        <v>100300</v>
      </c>
      <c r="V1500" s="254" t="s">
        <v>917</v>
      </c>
      <c r="W1500" s="254" t="s">
        <v>864</v>
      </c>
      <c r="X1500" s="254" t="s">
        <v>446</v>
      </c>
      <c r="Y1500" s="254" t="s">
        <v>843</v>
      </c>
      <c r="Z1500" s="254" t="s">
        <v>1150</v>
      </c>
      <c r="AA1500" s="254" t="s">
        <v>838</v>
      </c>
    </row>
    <row r="1501" spans="1:27" ht="14.4" x14ac:dyDescent="0.3">
      <c r="A1501" s="253">
        <v>13</v>
      </c>
      <c r="B1501" s="254" t="s">
        <v>854</v>
      </c>
      <c r="C1501" s="254">
        <v>1936</v>
      </c>
      <c r="D1501" s="254" t="s">
        <v>889</v>
      </c>
      <c r="E1501" s="254" t="str">
        <f>_xlfn.XLOOKUP(C1501,Clientes!I:I,Clientes!F:F)</f>
        <v>GRUPO AGRO INDUSTRIAL SAO LUIZ LTDA</v>
      </c>
      <c r="F1501" s="254">
        <v>8218</v>
      </c>
      <c r="G1501" s="254" t="s">
        <v>862</v>
      </c>
      <c r="H1501" s="254" t="s">
        <v>923</v>
      </c>
      <c r="I1501" s="255">
        <v>6000</v>
      </c>
      <c r="J1501" s="256">
        <v>6000</v>
      </c>
      <c r="K1501" s="258">
        <v>180086.35611922579</v>
      </c>
      <c r="L1501" s="258">
        <v>-21585.599999999999</v>
      </c>
      <c r="M1501" s="258">
        <f t="shared" si="94"/>
        <v>158500.75611922579</v>
      </c>
      <c r="N1501" s="258">
        <v>-69358.465000000011</v>
      </c>
      <c r="O1501" s="258">
        <v>0</v>
      </c>
      <c r="P1501" s="258">
        <v>0</v>
      </c>
      <c r="Q1501" s="258">
        <f t="shared" si="95"/>
        <v>89142.291119225774</v>
      </c>
      <c r="R1501" s="259">
        <f t="shared" si="96"/>
        <v>0.56240924839609019</v>
      </c>
      <c r="S1501" s="255">
        <f t="shared" si="93"/>
        <v>30.014392686537633</v>
      </c>
      <c r="T1501" s="255">
        <f t="shared" si="93"/>
        <v>30.014392686537633</v>
      </c>
      <c r="U1501" s="254">
        <v>100300</v>
      </c>
      <c r="V1501" s="254" t="s">
        <v>917</v>
      </c>
      <c r="W1501" s="254" t="s">
        <v>864</v>
      </c>
      <c r="X1501" s="254" t="s">
        <v>446</v>
      </c>
      <c r="Y1501" s="254" t="s">
        <v>843</v>
      </c>
      <c r="Z1501" s="254" t="s">
        <v>1150</v>
      </c>
      <c r="AA1501" s="254" t="s">
        <v>838</v>
      </c>
    </row>
    <row r="1502" spans="1:27" ht="14.4" x14ac:dyDescent="0.3">
      <c r="A1502" s="253">
        <v>13</v>
      </c>
      <c r="B1502" s="254" t="s">
        <v>854</v>
      </c>
      <c r="C1502" s="254">
        <v>7103</v>
      </c>
      <c r="D1502" s="254" t="s">
        <v>482</v>
      </c>
      <c r="E1502" s="254" t="str">
        <f>_xlfn.XLOOKUP(C1502,Clientes!I:I,Clientes!F:F)</f>
        <v>GRUPO MOSAIC FERTILIZANTES DO BRASIL</v>
      </c>
      <c r="F1502" s="254">
        <v>8215</v>
      </c>
      <c r="G1502" s="254" t="s">
        <v>867</v>
      </c>
      <c r="H1502" s="254" t="s">
        <v>947</v>
      </c>
      <c r="I1502" s="255">
        <v>12000</v>
      </c>
      <c r="J1502" s="256">
        <v>12000</v>
      </c>
      <c r="K1502" s="258">
        <v>480550.65008465858</v>
      </c>
      <c r="L1502" s="258">
        <v>-33600</v>
      </c>
      <c r="M1502" s="258">
        <f t="shared" si="94"/>
        <v>446950.65008465858</v>
      </c>
      <c r="N1502" s="258">
        <v>-167174.50965517238</v>
      </c>
      <c r="O1502" s="258">
        <v>-3801.3720000000039</v>
      </c>
      <c r="P1502" s="258">
        <v>-2.8025356781806554</v>
      </c>
      <c r="Q1502" s="258">
        <f t="shared" si="95"/>
        <v>275971.96589380794</v>
      </c>
      <c r="R1502" s="259">
        <f t="shared" si="96"/>
        <v>0.61745511689385635</v>
      </c>
      <c r="S1502" s="255">
        <f t="shared" si="93"/>
        <v>40.045887507054879</v>
      </c>
      <c r="T1502" s="255">
        <f t="shared" si="93"/>
        <v>40.045887507054879</v>
      </c>
      <c r="U1502" s="254">
        <v>100300</v>
      </c>
      <c r="V1502" s="254" t="s">
        <v>917</v>
      </c>
      <c r="W1502" s="254" t="s">
        <v>890</v>
      </c>
      <c r="X1502" s="254" t="s">
        <v>446</v>
      </c>
      <c r="Y1502" s="254" t="s">
        <v>843</v>
      </c>
      <c r="Z1502" s="254" t="s">
        <v>1150</v>
      </c>
      <c r="AA1502" s="254" t="s">
        <v>838</v>
      </c>
    </row>
    <row r="1503" spans="1:27" ht="14.4" x14ac:dyDescent="0.3">
      <c r="A1503" s="253">
        <v>13</v>
      </c>
      <c r="B1503" s="254" t="s">
        <v>854</v>
      </c>
      <c r="C1503" s="254">
        <v>1152</v>
      </c>
      <c r="D1503" s="254" t="s">
        <v>317</v>
      </c>
      <c r="E1503" s="254" t="str">
        <f>_xlfn.XLOOKUP(C1503,Clientes!I:I,Clientes!F:F)</f>
        <v>ADUBOS BOA SAFRA - ITUMBIARA</v>
      </c>
      <c r="F1503" s="254">
        <v>8225</v>
      </c>
      <c r="G1503" s="254" t="s">
        <v>867</v>
      </c>
      <c r="H1503" s="254" t="s">
        <v>919</v>
      </c>
      <c r="I1503" s="255">
        <v>3000</v>
      </c>
      <c r="J1503" s="256">
        <v>3000</v>
      </c>
      <c r="K1503" s="258">
        <v>75086.039075727895</v>
      </c>
      <c r="L1503" s="258">
        <v>-5250.0000000000009</v>
      </c>
      <c r="M1503" s="258">
        <f t="shared" si="94"/>
        <v>69836.039075727895</v>
      </c>
      <c r="N1503" s="258">
        <v>-18895.426363636372</v>
      </c>
      <c r="O1503" s="258">
        <v>-2565.0327775799997</v>
      </c>
      <c r="P1503" s="258">
        <v>-1.8910529868875678</v>
      </c>
      <c r="Q1503" s="258">
        <f t="shared" si="95"/>
        <v>48373.688881524635</v>
      </c>
      <c r="R1503" s="259">
        <f t="shared" si="96"/>
        <v>0.69267515056330453</v>
      </c>
      <c r="S1503" s="255">
        <f t="shared" si="93"/>
        <v>25.0286796919093</v>
      </c>
      <c r="T1503" s="255">
        <f t="shared" si="93"/>
        <v>25.0286796919093</v>
      </c>
      <c r="U1503" s="254">
        <v>100300</v>
      </c>
      <c r="V1503" s="254" t="s">
        <v>917</v>
      </c>
      <c r="W1503" s="254" t="s">
        <v>1015</v>
      </c>
      <c r="X1503" s="254" t="s">
        <v>446</v>
      </c>
      <c r="Y1503" s="254" t="s">
        <v>843</v>
      </c>
      <c r="Z1503" s="254" t="s">
        <v>1150</v>
      </c>
      <c r="AA1503" s="254" t="s">
        <v>838</v>
      </c>
    </row>
    <row r="1504" spans="1:27" ht="14.4" x14ac:dyDescent="0.3">
      <c r="A1504" s="253">
        <v>13</v>
      </c>
      <c r="B1504" s="254" t="s">
        <v>854</v>
      </c>
      <c r="C1504" s="254">
        <v>8413</v>
      </c>
      <c r="D1504" s="254" t="s">
        <v>97</v>
      </c>
      <c r="E1504" s="254" t="str">
        <f>_xlfn.XLOOKUP(C1504,Clientes!I:I,Clientes!F:F)</f>
        <v>GRUPO AMAGGI</v>
      </c>
      <c r="F1504" s="254">
        <v>8214</v>
      </c>
      <c r="G1504" s="254" t="s">
        <v>840</v>
      </c>
      <c r="H1504" s="254" t="s">
        <v>922</v>
      </c>
      <c r="I1504" s="255">
        <v>12000</v>
      </c>
      <c r="J1504" s="256">
        <v>12000</v>
      </c>
      <c r="K1504" s="258">
        <v>373748.2681033432</v>
      </c>
      <c r="L1504" s="258">
        <v>-26132.400000000001</v>
      </c>
      <c r="M1504" s="258">
        <f t="shared" si="94"/>
        <v>347615.86810334318</v>
      </c>
      <c r="N1504" s="258">
        <v>-109177.2676056338</v>
      </c>
      <c r="O1504" s="258">
        <v>-12906.984000000033</v>
      </c>
      <c r="P1504" s="258">
        <v>-9.5155862561482856</v>
      </c>
      <c r="Q1504" s="258">
        <f t="shared" si="95"/>
        <v>225522.10091145322</v>
      </c>
      <c r="R1504" s="259">
        <f t="shared" si="96"/>
        <v>0.6487681420930056</v>
      </c>
      <c r="S1504" s="255">
        <f t="shared" si="93"/>
        <v>31.145689008611935</v>
      </c>
      <c r="T1504" s="255">
        <f t="shared" si="93"/>
        <v>31.145689008611935</v>
      </c>
      <c r="U1504" s="254">
        <v>100300</v>
      </c>
      <c r="V1504" s="254" t="s">
        <v>917</v>
      </c>
      <c r="W1504" s="254" t="s">
        <v>915</v>
      </c>
      <c r="X1504" s="254" t="s">
        <v>446</v>
      </c>
      <c r="Y1504" s="254" t="s">
        <v>843</v>
      </c>
      <c r="Z1504" s="254" t="s">
        <v>1150</v>
      </c>
      <c r="AA1504" s="254" t="s">
        <v>838</v>
      </c>
    </row>
    <row r="1505" spans="1:27" ht="14.4" x14ac:dyDescent="0.3">
      <c r="A1505" s="253">
        <v>13</v>
      </c>
      <c r="B1505" s="254" t="s">
        <v>854</v>
      </c>
      <c r="C1505" s="254">
        <v>12287</v>
      </c>
      <c r="D1505" s="254" t="s">
        <v>347</v>
      </c>
      <c r="E1505" s="254" t="str">
        <f>_xlfn.XLOOKUP(C1505,Clientes!I:I,Clientes!F:F)</f>
        <v>GRUPO GEN FERTILIZANTES</v>
      </c>
      <c r="F1505" s="254">
        <v>8214</v>
      </c>
      <c r="G1505" s="254" t="s">
        <v>926</v>
      </c>
      <c r="H1505" s="254" t="s">
        <v>922</v>
      </c>
      <c r="I1505" s="255">
        <v>24000</v>
      </c>
      <c r="J1505" s="256">
        <v>24000</v>
      </c>
      <c r="K1505" s="258">
        <v>667965.40361767542</v>
      </c>
      <c r="L1505" s="258">
        <v>-46704.000000000007</v>
      </c>
      <c r="M1505" s="258">
        <f t="shared" si="94"/>
        <v>621261.40361767542</v>
      </c>
      <c r="N1505" s="258">
        <v>-218354.53521126759</v>
      </c>
      <c r="O1505" s="258">
        <v>-31768.437837500001</v>
      </c>
      <c r="P1505" s="258">
        <v>-23.421064941725771</v>
      </c>
      <c r="Q1505" s="258">
        <f t="shared" si="95"/>
        <v>371115.00950396608</v>
      </c>
      <c r="R1505" s="259">
        <f t="shared" si="96"/>
        <v>0.59735725950931673</v>
      </c>
      <c r="S1505" s="255">
        <f t="shared" si="93"/>
        <v>27.831891817403143</v>
      </c>
      <c r="T1505" s="255">
        <f t="shared" si="93"/>
        <v>27.831891817403143</v>
      </c>
      <c r="U1505" s="254">
        <v>100300</v>
      </c>
      <c r="V1505" s="254" t="s">
        <v>917</v>
      </c>
      <c r="W1505" s="254" t="s">
        <v>928</v>
      </c>
      <c r="X1505" s="254" t="s">
        <v>446</v>
      </c>
      <c r="Y1505" s="254" t="s">
        <v>843</v>
      </c>
      <c r="Z1505" s="254" t="s">
        <v>1150</v>
      </c>
      <c r="AA1505" s="254" t="s">
        <v>838</v>
      </c>
    </row>
    <row r="1506" spans="1:27" ht="14.4" x14ac:dyDescent="0.3">
      <c r="A1506" s="253">
        <v>13</v>
      </c>
      <c r="B1506" s="254" t="s">
        <v>854</v>
      </c>
      <c r="C1506" s="254">
        <v>10891</v>
      </c>
      <c r="D1506" s="254" t="s">
        <v>104</v>
      </c>
      <c r="E1506" s="254" t="str">
        <f>_xlfn.XLOOKUP(C1506,Clientes!I:I,Clientes!F:F)</f>
        <v>GRUPO HINOVE</v>
      </c>
      <c r="F1506" s="254">
        <v>8214</v>
      </c>
      <c r="G1506" s="254" t="s">
        <v>924</v>
      </c>
      <c r="H1506" s="254" t="s">
        <v>922</v>
      </c>
      <c r="I1506" s="255">
        <v>4000</v>
      </c>
      <c r="J1506" s="256">
        <v>4000</v>
      </c>
      <c r="K1506" s="258">
        <v>124542.71014694068</v>
      </c>
      <c r="L1506" s="258">
        <v>-8708</v>
      </c>
      <c r="M1506" s="258">
        <f t="shared" si="94"/>
        <v>115834.71014694068</v>
      </c>
      <c r="N1506" s="258">
        <v>-36392.42253521127</v>
      </c>
      <c r="O1506" s="258">
        <v>-7691.1480000000047</v>
      </c>
      <c r="P1506" s="258">
        <v>-5.6702466046910907</v>
      </c>
      <c r="Q1506" s="258">
        <f t="shared" si="95"/>
        <v>71745.469365124722</v>
      </c>
      <c r="R1506" s="259">
        <f t="shared" si="96"/>
        <v>0.61937798501082186</v>
      </c>
      <c r="S1506" s="255">
        <f t="shared" si="93"/>
        <v>31.135677536735169</v>
      </c>
      <c r="T1506" s="255">
        <f t="shared" si="93"/>
        <v>31.135677536735169</v>
      </c>
      <c r="U1506" s="254">
        <v>100300</v>
      </c>
      <c r="V1506" s="254" t="s">
        <v>917</v>
      </c>
      <c r="W1506" s="254" t="s">
        <v>925</v>
      </c>
      <c r="X1506" s="254" t="s">
        <v>446</v>
      </c>
      <c r="Y1506" s="254" t="s">
        <v>843</v>
      </c>
      <c r="Z1506" s="254" t="s">
        <v>1150</v>
      </c>
      <c r="AA1506" s="254" t="s">
        <v>838</v>
      </c>
    </row>
    <row r="1507" spans="1:27" ht="14.4" x14ac:dyDescent="0.3">
      <c r="A1507" s="253">
        <v>13</v>
      </c>
      <c r="B1507" s="254" t="s">
        <v>854</v>
      </c>
      <c r="C1507" s="254">
        <v>2622</v>
      </c>
      <c r="D1507" s="254" t="s">
        <v>73</v>
      </c>
      <c r="E1507" s="254" t="str">
        <f>_xlfn.XLOOKUP(C1507,Clientes!I:I,Clientes!F:F)</f>
        <v>ADUFERTIL JUNDIAI</v>
      </c>
      <c r="F1507" s="254">
        <v>8215</v>
      </c>
      <c r="G1507" s="254" t="s">
        <v>908</v>
      </c>
      <c r="H1507" s="254" t="s">
        <v>947</v>
      </c>
      <c r="I1507" s="255">
        <v>24000</v>
      </c>
      <c r="J1507" s="256">
        <v>24000</v>
      </c>
      <c r="K1507" s="258">
        <v>832073.45062158629</v>
      </c>
      <c r="L1507" s="258">
        <v>-99734.399999999994</v>
      </c>
      <c r="M1507" s="258">
        <f t="shared" si="94"/>
        <v>732339.05062158627</v>
      </c>
      <c r="N1507" s="258">
        <v>-334349.01931034477</v>
      </c>
      <c r="O1507" s="258">
        <v>-8810.9319999999989</v>
      </c>
      <c r="P1507" s="258">
        <v>-6.495799750201666</v>
      </c>
      <c r="Q1507" s="258">
        <f t="shared" si="95"/>
        <v>389172.60351149132</v>
      </c>
      <c r="R1507" s="259">
        <f t="shared" si="96"/>
        <v>0.53141042141774897</v>
      </c>
      <c r="S1507" s="255">
        <f t="shared" si="93"/>
        <v>34.66972710923276</v>
      </c>
      <c r="T1507" s="255">
        <f t="shared" si="93"/>
        <v>34.66972710923276</v>
      </c>
      <c r="U1507" s="254">
        <v>100300</v>
      </c>
      <c r="V1507" s="254" t="s">
        <v>917</v>
      </c>
      <c r="W1507" s="254" t="s">
        <v>948</v>
      </c>
      <c r="X1507" s="254" t="s">
        <v>446</v>
      </c>
      <c r="Y1507" s="254" t="s">
        <v>843</v>
      </c>
      <c r="Z1507" s="254" t="s">
        <v>1150</v>
      </c>
      <c r="AA1507" s="254" t="s">
        <v>838</v>
      </c>
    </row>
    <row r="1508" spans="1:27" ht="14.4" x14ac:dyDescent="0.3">
      <c r="A1508" s="253">
        <v>13</v>
      </c>
      <c r="B1508" s="254" t="s">
        <v>854</v>
      </c>
      <c r="C1508" s="254">
        <v>10598</v>
      </c>
      <c r="D1508" s="254" t="s">
        <v>292</v>
      </c>
      <c r="E1508" s="254" t="str">
        <f>_xlfn.XLOOKUP(C1508,Clientes!I:I,Clientes!F:F)</f>
        <v>GRUPO GEN FERTILIZANTES</v>
      </c>
      <c r="F1508" s="254">
        <v>8214</v>
      </c>
      <c r="G1508" s="254" t="s">
        <v>867</v>
      </c>
      <c r="H1508" s="254" t="s">
        <v>922</v>
      </c>
      <c r="I1508" s="255">
        <v>12000</v>
      </c>
      <c r="J1508" s="256">
        <v>12000</v>
      </c>
      <c r="K1508" s="258">
        <v>312357.92255502805</v>
      </c>
      <c r="L1508" s="258">
        <v>-21840.000000000004</v>
      </c>
      <c r="M1508" s="258">
        <f t="shared" si="94"/>
        <v>290517.92255502805</v>
      </c>
      <c r="N1508" s="258">
        <v>-109177.2676056338</v>
      </c>
      <c r="O1508" s="258">
        <v>0</v>
      </c>
      <c r="P1508" s="258">
        <v>0</v>
      </c>
      <c r="Q1508" s="258">
        <f t="shared" si="95"/>
        <v>181340.65494939426</v>
      </c>
      <c r="R1508" s="259">
        <f t="shared" si="96"/>
        <v>0.62419782350965236</v>
      </c>
      <c r="S1508" s="255">
        <f t="shared" si="93"/>
        <v>26.02982687958567</v>
      </c>
      <c r="T1508" s="255">
        <f t="shared" si="93"/>
        <v>26.02982687958567</v>
      </c>
      <c r="U1508" s="254">
        <v>100300</v>
      </c>
      <c r="V1508" s="254" t="s">
        <v>917</v>
      </c>
      <c r="W1508" s="254" t="s">
        <v>1034</v>
      </c>
      <c r="X1508" s="254" t="s">
        <v>446</v>
      </c>
      <c r="Y1508" s="254" t="s">
        <v>843</v>
      </c>
      <c r="Z1508" s="254" t="s">
        <v>1150</v>
      </c>
      <c r="AA1508" s="254" t="s">
        <v>838</v>
      </c>
    </row>
    <row r="1509" spans="1:27" ht="14.4" x14ac:dyDescent="0.3">
      <c r="A1509" s="253">
        <v>13</v>
      </c>
      <c r="B1509" s="254" t="s">
        <v>854</v>
      </c>
      <c r="C1509" s="254">
        <v>7648</v>
      </c>
      <c r="D1509" s="254" t="s">
        <v>958</v>
      </c>
      <c r="E1509" s="254" t="str">
        <f>_xlfn.XLOOKUP(C1509,Clientes!I:I,Clientes!F:F)</f>
        <v>GRUPO LOUIS DREYFUS</v>
      </c>
      <c r="F1509" s="254">
        <v>8215</v>
      </c>
      <c r="G1509" s="254" t="s">
        <v>862</v>
      </c>
      <c r="H1509" s="254" t="s">
        <v>947</v>
      </c>
      <c r="I1509" s="255">
        <v>6000</v>
      </c>
      <c r="J1509" s="256">
        <v>6000</v>
      </c>
      <c r="K1509" s="258">
        <v>203032.64966076825</v>
      </c>
      <c r="L1509" s="258">
        <v>-24336</v>
      </c>
      <c r="M1509" s="258">
        <f t="shared" si="94"/>
        <v>178696.64966076825</v>
      </c>
      <c r="N1509" s="258">
        <v>-83587.254827586192</v>
      </c>
      <c r="O1509" s="258">
        <v>-9901.2479999999723</v>
      </c>
      <c r="P1509" s="258">
        <v>-7.2996278129356327</v>
      </c>
      <c r="Q1509" s="258">
        <f t="shared" si="95"/>
        <v>85200.847205369151</v>
      </c>
      <c r="R1509" s="259">
        <f t="shared" si="96"/>
        <v>0.47679040075519935</v>
      </c>
      <c r="S1509" s="255">
        <f t="shared" si="93"/>
        <v>33.838774943461374</v>
      </c>
      <c r="T1509" s="255">
        <f t="shared" si="93"/>
        <v>33.838774943461374</v>
      </c>
      <c r="U1509" s="254">
        <v>100300</v>
      </c>
      <c r="V1509" s="254" t="s">
        <v>917</v>
      </c>
      <c r="W1509" s="254" t="s">
        <v>864</v>
      </c>
      <c r="X1509" s="254" t="s">
        <v>446</v>
      </c>
      <c r="Y1509" s="254" t="s">
        <v>843</v>
      </c>
      <c r="Z1509" s="254" t="s">
        <v>1150</v>
      </c>
      <c r="AA1509" s="254" t="s">
        <v>838</v>
      </c>
    </row>
    <row r="1510" spans="1:27" ht="14.4" x14ac:dyDescent="0.3">
      <c r="A1510" s="253">
        <v>13</v>
      </c>
      <c r="B1510" s="254" t="s">
        <v>854</v>
      </c>
      <c r="C1510" s="254">
        <v>2809</v>
      </c>
      <c r="D1510" s="254" t="s">
        <v>159</v>
      </c>
      <c r="E1510" s="254" t="str">
        <f>_xlfn.XLOOKUP(C1510,Clientes!I:I,Clientes!F:F)</f>
        <v>CISBRA QUIMICA - FORMOSA</v>
      </c>
      <c r="F1510" s="254">
        <v>8214</v>
      </c>
      <c r="G1510" s="254" t="s">
        <v>867</v>
      </c>
      <c r="H1510" s="254" t="s">
        <v>922</v>
      </c>
      <c r="I1510" s="255">
        <v>3000</v>
      </c>
      <c r="J1510" s="256">
        <v>3000</v>
      </c>
      <c r="K1510" s="258">
        <v>87099.805327844369</v>
      </c>
      <c r="L1510" s="258">
        <v>-6090.0000000000009</v>
      </c>
      <c r="M1510" s="258">
        <f t="shared" si="94"/>
        <v>81009.805327844369</v>
      </c>
      <c r="N1510" s="258">
        <v>-27294.316901408449</v>
      </c>
      <c r="O1510" s="258">
        <v>-4597.0079999999998</v>
      </c>
      <c r="P1510" s="258">
        <v>-3.3891129131486961</v>
      </c>
      <c r="Q1510" s="258">
        <f t="shared" si="95"/>
        <v>49115.091313522767</v>
      </c>
      <c r="R1510" s="259">
        <f t="shared" si="96"/>
        <v>0.60628575904799908</v>
      </c>
      <c r="S1510" s="255">
        <f t="shared" si="93"/>
        <v>29.033268442614791</v>
      </c>
      <c r="T1510" s="255">
        <f t="shared" si="93"/>
        <v>29.033268442614791</v>
      </c>
      <c r="U1510" s="254">
        <v>100300</v>
      </c>
      <c r="V1510" s="254" t="s">
        <v>917</v>
      </c>
      <c r="W1510" s="254" t="s">
        <v>886</v>
      </c>
      <c r="X1510" s="254" t="s">
        <v>446</v>
      </c>
      <c r="Y1510" s="254" t="s">
        <v>843</v>
      </c>
      <c r="Z1510" s="254" t="s">
        <v>1150</v>
      </c>
      <c r="AA1510" s="254" t="s">
        <v>838</v>
      </c>
    </row>
    <row r="1511" spans="1:27" ht="14.4" x14ac:dyDescent="0.3">
      <c r="A1511" s="253">
        <v>13</v>
      </c>
      <c r="B1511" s="254" t="s">
        <v>854</v>
      </c>
      <c r="C1511" s="254">
        <v>2011</v>
      </c>
      <c r="D1511" s="254" t="s">
        <v>616</v>
      </c>
      <c r="E1511" s="254" t="str">
        <f>_xlfn.XLOOKUP(C1511,Clientes!I:I,Clientes!F:F)</f>
        <v>FERTGROW S.A</v>
      </c>
      <c r="F1511" s="254">
        <v>8224</v>
      </c>
      <c r="G1511" s="254" t="s">
        <v>897</v>
      </c>
      <c r="H1511" s="254" t="s">
        <v>921</v>
      </c>
      <c r="I1511" s="255">
        <v>44000</v>
      </c>
      <c r="J1511" s="256">
        <v>44000</v>
      </c>
      <c r="K1511" s="258">
        <v>903475.26804666512</v>
      </c>
      <c r="L1511" s="258">
        <v>-63170.8</v>
      </c>
      <c r="M1511" s="258">
        <f t="shared" si="94"/>
        <v>840304.46804666508</v>
      </c>
      <c r="N1511" s="258">
        <v>-294864.14999999997</v>
      </c>
      <c r="O1511" s="258">
        <v>-28539.757999999998</v>
      </c>
      <c r="P1511" s="258">
        <v>-21.040742669131486</v>
      </c>
      <c r="Q1511" s="258">
        <f t="shared" si="95"/>
        <v>516879.51930399594</v>
      </c>
      <c r="R1511" s="259">
        <f t="shared" si="96"/>
        <v>0.61510980716966956</v>
      </c>
      <c r="S1511" s="255">
        <f t="shared" si="93"/>
        <v>20.533528819242388</v>
      </c>
      <c r="T1511" s="255">
        <f t="shared" si="93"/>
        <v>20.533528819242388</v>
      </c>
      <c r="U1511" s="254">
        <v>100300</v>
      </c>
      <c r="V1511" s="254" t="s">
        <v>917</v>
      </c>
      <c r="W1511" s="254" t="s">
        <v>899</v>
      </c>
      <c r="X1511" s="254" t="s">
        <v>446</v>
      </c>
      <c r="Y1511" s="254" t="s">
        <v>843</v>
      </c>
      <c r="Z1511" s="254" t="s">
        <v>1150</v>
      </c>
      <c r="AA1511" s="254" t="s">
        <v>838</v>
      </c>
    </row>
    <row r="1512" spans="1:27" ht="14.4" x14ac:dyDescent="0.3">
      <c r="A1512" s="253">
        <v>13</v>
      </c>
      <c r="B1512" s="254" t="s">
        <v>854</v>
      </c>
      <c r="C1512" s="254">
        <v>16918</v>
      </c>
      <c r="D1512" s="254" t="s">
        <v>645</v>
      </c>
      <c r="E1512" s="254" t="str">
        <f>_xlfn.XLOOKUP(C1512,Clientes!I:I,Clientes!F:F)</f>
        <v>FERTZ FERTILIZANTES S/A</v>
      </c>
      <c r="F1512" s="254">
        <v>8225</v>
      </c>
      <c r="G1512" s="254" t="s">
        <v>926</v>
      </c>
      <c r="H1512" s="254" t="s">
        <v>919</v>
      </c>
      <c r="I1512" s="255">
        <v>10000</v>
      </c>
      <c r="J1512" s="256">
        <v>10000</v>
      </c>
      <c r="K1512" s="258">
        <v>250286.796919093</v>
      </c>
      <c r="L1512" s="258">
        <v>-17500</v>
      </c>
      <c r="M1512" s="258">
        <f t="shared" si="94"/>
        <v>232786.796919093</v>
      </c>
      <c r="N1512" s="258">
        <v>-62984.754545454576</v>
      </c>
      <c r="O1512" s="258">
        <v>-19714.091999999993</v>
      </c>
      <c r="P1512" s="258">
        <v>-14.534080377541517</v>
      </c>
      <c r="Q1512" s="258">
        <f t="shared" si="95"/>
        <v>150073.41629326087</v>
      </c>
      <c r="R1512" s="259">
        <f t="shared" si="96"/>
        <v>0.64468182164738552</v>
      </c>
      <c r="S1512" s="255">
        <f t="shared" si="93"/>
        <v>25.0286796919093</v>
      </c>
      <c r="T1512" s="255">
        <f t="shared" si="93"/>
        <v>25.0286796919093</v>
      </c>
      <c r="U1512" s="254">
        <v>100300</v>
      </c>
      <c r="V1512" s="254" t="s">
        <v>917</v>
      </c>
      <c r="W1512" s="254" t="s">
        <v>928</v>
      </c>
      <c r="X1512" s="254" t="s">
        <v>446</v>
      </c>
      <c r="Y1512" s="254" t="s">
        <v>843</v>
      </c>
      <c r="Z1512" s="254" t="s">
        <v>1150</v>
      </c>
      <c r="AA1512" s="254" t="s">
        <v>838</v>
      </c>
    </row>
    <row r="1513" spans="1:27" ht="14.4" x14ac:dyDescent="0.3">
      <c r="A1513" s="253">
        <v>13</v>
      </c>
      <c r="B1513" s="254" t="s">
        <v>854</v>
      </c>
      <c r="C1513" s="254">
        <v>97</v>
      </c>
      <c r="D1513" s="254" t="s">
        <v>300</v>
      </c>
      <c r="E1513" s="254" t="str">
        <f>_xlfn.XLOOKUP(C1513,Clientes!I:I,Clientes!F:F)</f>
        <v>FECOAGRO FEDERACAO DAS COOPERATIVAS</v>
      </c>
      <c r="F1513" s="254">
        <v>8223</v>
      </c>
      <c r="G1513" s="254" t="s">
        <v>893</v>
      </c>
      <c r="H1513" s="254" t="s">
        <v>920</v>
      </c>
      <c r="I1513" s="255">
        <v>12000</v>
      </c>
      <c r="J1513" s="256">
        <v>12000</v>
      </c>
      <c r="K1513" s="258">
        <v>456523.11758042563</v>
      </c>
      <c r="L1513" s="258">
        <v>-54720</v>
      </c>
      <c r="M1513" s="258">
        <f t="shared" si="94"/>
        <v>401803.11758042563</v>
      </c>
      <c r="N1513" s="258">
        <v>-138830.76999999996</v>
      </c>
      <c r="O1513" s="258">
        <v>-9901.2479999999723</v>
      </c>
      <c r="P1513" s="258">
        <v>-7.2996278129356327</v>
      </c>
      <c r="Q1513" s="258">
        <f t="shared" si="95"/>
        <v>253063.79995261278</v>
      </c>
      <c r="R1513" s="259">
        <f t="shared" si="96"/>
        <v>0.62982039929533173</v>
      </c>
      <c r="S1513" s="255">
        <f t="shared" si="93"/>
        <v>38.043593131702139</v>
      </c>
      <c r="T1513" s="255">
        <f t="shared" si="93"/>
        <v>38.043593131702139</v>
      </c>
      <c r="U1513" s="254">
        <v>100300</v>
      </c>
      <c r="V1513" s="254" t="s">
        <v>917</v>
      </c>
      <c r="W1513" s="254" t="s">
        <v>894</v>
      </c>
      <c r="X1513" s="254" t="s">
        <v>446</v>
      </c>
      <c r="Y1513" s="254" t="s">
        <v>843</v>
      </c>
      <c r="Z1513" s="254" t="s">
        <v>1150</v>
      </c>
      <c r="AA1513" s="254" t="s">
        <v>838</v>
      </c>
    </row>
    <row r="1514" spans="1:27" ht="14.4" x14ac:dyDescent="0.3">
      <c r="A1514" s="253">
        <v>13</v>
      </c>
      <c r="B1514" s="254" t="s">
        <v>854</v>
      </c>
      <c r="C1514" s="254">
        <v>13861</v>
      </c>
      <c r="D1514" s="254" t="s">
        <v>1090</v>
      </c>
      <c r="E1514" s="254" t="str">
        <f>_xlfn.XLOOKUP(C1514,Clientes!I:I,Clientes!F:F)</f>
        <v>GRUPO ADUBOS ARAGUAIA</v>
      </c>
      <c r="F1514" s="254">
        <v>8214</v>
      </c>
      <c r="G1514" s="254" t="s">
        <v>840</v>
      </c>
      <c r="H1514" s="254" t="s">
        <v>922</v>
      </c>
      <c r="I1514" s="255">
        <v>10000</v>
      </c>
      <c r="J1514" s="256">
        <v>10000</v>
      </c>
      <c r="K1514" s="258">
        <v>392649.92700667313</v>
      </c>
      <c r="L1514" s="258">
        <v>-27454.000000000004</v>
      </c>
      <c r="M1514" s="258">
        <f t="shared" si="94"/>
        <v>365195.92700667313</v>
      </c>
      <c r="N1514" s="258">
        <v>-90981.056338028167</v>
      </c>
      <c r="O1514" s="258">
        <v>-14435.831371883998</v>
      </c>
      <c r="P1514" s="258">
        <v>-10.642718593156486</v>
      </c>
      <c r="Q1514" s="258">
        <f t="shared" si="95"/>
        <v>259768.3965781678</v>
      </c>
      <c r="R1514" s="259">
        <f t="shared" si="96"/>
        <v>0.71131241442739612</v>
      </c>
      <c r="S1514" s="255">
        <f t="shared" si="93"/>
        <v>39.264992700667314</v>
      </c>
      <c r="T1514" s="255">
        <f t="shared" si="93"/>
        <v>39.264992700667314</v>
      </c>
      <c r="U1514" s="254">
        <v>100300</v>
      </c>
      <c r="V1514" s="254" t="s">
        <v>917</v>
      </c>
      <c r="W1514" s="254" t="s">
        <v>1091</v>
      </c>
      <c r="X1514" s="254" t="s">
        <v>446</v>
      </c>
      <c r="Y1514" s="254" t="s">
        <v>843</v>
      </c>
      <c r="Z1514" s="254" t="s">
        <v>1150</v>
      </c>
      <c r="AA1514" s="254" t="s">
        <v>838</v>
      </c>
    </row>
    <row r="1515" spans="1:27" ht="14.4" x14ac:dyDescent="0.3">
      <c r="A1515" s="253">
        <v>13</v>
      </c>
      <c r="B1515" s="254" t="s">
        <v>854</v>
      </c>
      <c r="C1515" s="254">
        <v>6124</v>
      </c>
      <c r="D1515" s="254" t="s">
        <v>891</v>
      </c>
      <c r="E1515" s="254" t="str">
        <f>_xlfn.XLOOKUP(C1515,Clientes!I:I,Clientes!F:F)</f>
        <v>GRUPO MOSAIC FERTILIZANTES DO BRASIL</v>
      </c>
      <c r="F1515" s="254">
        <v>8215</v>
      </c>
      <c r="G1515" s="254" t="s">
        <v>855</v>
      </c>
      <c r="H1515" s="254" t="s">
        <v>947</v>
      </c>
      <c r="I1515" s="255">
        <v>24000</v>
      </c>
      <c r="J1515" s="256">
        <v>24000</v>
      </c>
      <c r="K1515" s="258">
        <v>870517.50262835901</v>
      </c>
      <c r="L1515" s="258">
        <v>0</v>
      </c>
      <c r="M1515" s="258">
        <f t="shared" si="94"/>
        <v>870517.50262835901</v>
      </c>
      <c r="N1515" s="258">
        <v>-334349.01931034477</v>
      </c>
      <c r="O1515" s="258">
        <v>-4003.2278000000001</v>
      </c>
      <c r="P1515" s="258">
        <v>-2.9513524952003229</v>
      </c>
      <c r="Q1515" s="258">
        <f t="shared" si="95"/>
        <v>532162.30416551908</v>
      </c>
      <c r="R1515" s="259">
        <f t="shared" si="96"/>
        <v>0.61131717921668205</v>
      </c>
      <c r="S1515" s="255">
        <f t="shared" si="93"/>
        <v>36.271562609514959</v>
      </c>
      <c r="T1515" s="255">
        <f t="shared" si="93"/>
        <v>36.271562609514959</v>
      </c>
      <c r="U1515" s="254">
        <v>100300</v>
      </c>
      <c r="V1515" s="254" t="s">
        <v>917</v>
      </c>
      <c r="W1515" s="254" t="s">
        <v>892</v>
      </c>
      <c r="X1515" s="254" t="s">
        <v>446</v>
      </c>
      <c r="Y1515" s="254" t="s">
        <v>843</v>
      </c>
      <c r="Z1515" s="254" t="s">
        <v>1150</v>
      </c>
      <c r="AA1515" s="254" t="s">
        <v>838</v>
      </c>
    </row>
    <row r="1516" spans="1:27" ht="14.4" x14ac:dyDescent="0.3">
      <c r="A1516" s="253">
        <v>13</v>
      </c>
      <c r="B1516" s="254" t="s">
        <v>854</v>
      </c>
      <c r="C1516" s="254">
        <v>215</v>
      </c>
      <c r="D1516" s="254" t="s">
        <v>221</v>
      </c>
      <c r="E1516" s="254" t="str">
        <f>_xlfn.XLOOKUP(C1516,Clientes!I:I,Clientes!F:F)</f>
        <v>GRUPO UNIFERTIL</v>
      </c>
      <c r="F1516" s="254">
        <v>8216</v>
      </c>
      <c r="G1516" s="254" t="s">
        <v>877</v>
      </c>
      <c r="H1516" s="254" t="s">
        <v>938</v>
      </c>
      <c r="I1516" s="255">
        <v>12000</v>
      </c>
      <c r="J1516" s="256">
        <v>12000</v>
      </c>
      <c r="K1516" s="258">
        <v>373267.71745325852</v>
      </c>
      <c r="L1516" s="258">
        <v>-44740.799999999996</v>
      </c>
      <c r="M1516" s="258">
        <f t="shared" si="94"/>
        <v>328526.91745325853</v>
      </c>
      <c r="N1516" s="258">
        <v>-114450.51999999999</v>
      </c>
      <c r="O1516" s="258">
        <v>-14321.447999999978</v>
      </c>
      <c r="P1516" s="258">
        <v>-10.558390229424768</v>
      </c>
      <c r="Q1516" s="258">
        <f t="shared" si="95"/>
        <v>199744.39106302915</v>
      </c>
      <c r="R1516" s="259">
        <f t="shared" si="96"/>
        <v>0.60800007686264546</v>
      </c>
      <c r="S1516" s="255">
        <f t="shared" si="93"/>
        <v>31.105643121104876</v>
      </c>
      <c r="T1516" s="255">
        <f t="shared" si="93"/>
        <v>31.105643121104876</v>
      </c>
      <c r="U1516" s="254">
        <v>100300</v>
      </c>
      <c r="V1516" s="254" t="s">
        <v>917</v>
      </c>
      <c r="W1516" s="254" t="s">
        <v>880</v>
      </c>
      <c r="X1516" s="254" t="s">
        <v>446</v>
      </c>
      <c r="Y1516" s="254" t="s">
        <v>843</v>
      </c>
      <c r="Z1516" s="254" t="s">
        <v>1150</v>
      </c>
      <c r="AA1516" s="254" t="s">
        <v>838</v>
      </c>
    </row>
    <row r="1517" spans="1:27" ht="14.4" x14ac:dyDescent="0.3">
      <c r="A1517" s="253">
        <v>13</v>
      </c>
      <c r="B1517" s="254" t="s">
        <v>854</v>
      </c>
      <c r="C1517" s="254">
        <v>833</v>
      </c>
      <c r="D1517" s="254" t="s">
        <v>213</v>
      </c>
      <c r="E1517" s="254" t="str">
        <f>_xlfn.XLOOKUP(C1517,Clientes!I:I,Clientes!F:F)</f>
        <v>TERRENA - PATOS DE MINAS</v>
      </c>
      <c r="F1517" s="254">
        <v>8215</v>
      </c>
      <c r="G1517" s="254" t="s">
        <v>855</v>
      </c>
      <c r="H1517" s="254" t="s">
        <v>947</v>
      </c>
      <c r="I1517" s="255">
        <v>6000</v>
      </c>
      <c r="J1517" s="256">
        <v>6000</v>
      </c>
      <c r="K1517" s="258">
        <v>162185.84440357226</v>
      </c>
      <c r="L1517" s="258">
        <v>0</v>
      </c>
      <c r="M1517" s="258">
        <f t="shared" si="94"/>
        <v>162185.84440357226</v>
      </c>
      <c r="N1517" s="258">
        <v>-83587.254827586192</v>
      </c>
      <c r="O1517" s="258">
        <v>-3639.2979999999998</v>
      </c>
      <c r="P1517" s="258">
        <v>-2.6830477229093841</v>
      </c>
      <c r="Q1517" s="258">
        <f t="shared" si="95"/>
        <v>74956.608528263168</v>
      </c>
      <c r="R1517" s="259">
        <f t="shared" si="96"/>
        <v>0.46216492446619584</v>
      </c>
      <c r="S1517" s="255">
        <f t="shared" si="93"/>
        <v>27.030974067262044</v>
      </c>
      <c r="T1517" s="255">
        <f t="shared" si="93"/>
        <v>27.030974067262044</v>
      </c>
      <c r="U1517" s="254">
        <v>100300</v>
      </c>
      <c r="V1517" s="254" t="s">
        <v>917</v>
      </c>
      <c r="W1517" s="254" t="s">
        <v>952</v>
      </c>
      <c r="X1517" s="254" t="s">
        <v>446</v>
      </c>
      <c r="Y1517" s="254" t="s">
        <v>843</v>
      </c>
      <c r="Z1517" s="254" t="s">
        <v>1150</v>
      </c>
      <c r="AA1517" s="254" t="s">
        <v>838</v>
      </c>
    </row>
    <row r="1518" spans="1:27" ht="14.4" x14ac:dyDescent="0.3">
      <c r="A1518" s="253">
        <v>13</v>
      </c>
      <c r="B1518" s="254" t="s">
        <v>854</v>
      </c>
      <c r="C1518" s="254">
        <v>12972</v>
      </c>
      <c r="D1518" s="254" t="s">
        <v>654</v>
      </c>
      <c r="E1518" s="254" t="str">
        <f>_xlfn.XLOOKUP(C1518,Clientes!I:I,Clientes!F:F)</f>
        <v>INVICTA FERTILIZER - RIO GRANDE</v>
      </c>
      <c r="F1518" s="254">
        <v>8217</v>
      </c>
      <c r="G1518" s="254" t="s">
        <v>877</v>
      </c>
      <c r="H1518" s="254" t="s">
        <v>927</v>
      </c>
      <c r="I1518" s="255">
        <v>5000</v>
      </c>
      <c r="J1518" s="256">
        <v>5000</v>
      </c>
      <c r="K1518" s="258">
        <v>126094.48828783905</v>
      </c>
      <c r="L1518" s="258">
        <v>-15114</v>
      </c>
      <c r="M1518" s="258">
        <f t="shared" si="94"/>
        <v>110980.48828783905</v>
      </c>
      <c r="N1518" s="258">
        <v>-80711.780851063842</v>
      </c>
      <c r="O1518" s="258">
        <v>-14498.255999999972</v>
      </c>
      <c r="P1518" s="258">
        <v>-10.688740726084328</v>
      </c>
      <c r="Q1518" s="258">
        <f t="shared" si="95"/>
        <v>15759.762696049151</v>
      </c>
      <c r="R1518" s="259">
        <f t="shared" si="96"/>
        <v>0.14200480588240541</v>
      </c>
      <c r="S1518" s="255">
        <f t="shared" si="93"/>
        <v>25.218897657567808</v>
      </c>
      <c r="T1518" s="255">
        <f t="shared" si="93"/>
        <v>25.218897657567808</v>
      </c>
      <c r="U1518" s="254">
        <v>100300</v>
      </c>
      <c r="V1518" s="254" t="s">
        <v>917</v>
      </c>
      <c r="W1518" s="254" t="s">
        <v>878</v>
      </c>
      <c r="X1518" s="254" t="s">
        <v>446</v>
      </c>
      <c r="Y1518" s="254" t="s">
        <v>843</v>
      </c>
      <c r="Z1518" s="254" t="s">
        <v>1150</v>
      </c>
      <c r="AA1518" s="254" t="s">
        <v>838</v>
      </c>
    </row>
    <row r="1519" spans="1:27" ht="14.4" x14ac:dyDescent="0.3">
      <c r="A1519" s="253">
        <v>13</v>
      </c>
      <c r="B1519" s="254" t="s">
        <v>854</v>
      </c>
      <c r="C1519" s="254">
        <v>86</v>
      </c>
      <c r="D1519" s="254" t="s">
        <v>31</v>
      </c>
      <c r="E1519" s="254" t="str">
        <f>_xlfn.XLOOKUP(C1519,Clientes!I:I,Clientes!F:F)</f>
        <v>GRUPO ADUBOS ARAGUAIA</v>
      </c>
      <c r="F1519" s="254">
        <v>8214</v>
      </c>
      <c r="G1519" s="254" t="s">
        <v>867</v>
      </c>
      <c r="H1519" s="254" t="s">
        <v>922</v>
      </c>
      <c r="I1519" s="255">
        <v>6000</v>
      </c>
      <c r="J1519" s="256">
        <v>6000</v>
      </c>
      <c r="K1519" s="258">
        <v>192220.26003386342</v>
      </c>
      <c r="L1519" s="258">
        <v>-13440.000000000002</v>
      </c>
      <c r="M1519" s="258">
        <f t="shared" si="94"/>
        <v>178780.26003386342</v>
      </c>
      <c r="N1519" s="258">
        <v>-54588.633802816898</v>
      </c>
      <c r="O1519" s="258">
        <v>-4066.5840000000026</v>
      </c>
      <c r="P1519" s="258">
        <v>-2.9980614231700025</v>
      </c>
      <c r="Q1519" s="258">
        <f t="shared" si="95"/>
        <v>120122.04416962335</v>
      </c>
      <c r="R1519" s="259">
        <f t="shared" si="96"/>
        <v>0.67189769243467146</v>
      </c>
      <c r="S1519" s="255">
        <f t="shared" si="93"/>
        <v>32.036710005643904</v>
      </c>
      <c r="T1519" s="255">
        <f t="shared" si="93"/>
        <v>32.036710005643904</v>
      </c>
      <c r="U1519" s="254">
        <v>100300</v>
      </c>
      <c r="V1519" s="254" t="s">
        <v>917</v>
      </c>
      <c r="W1519" s="254" t="s">
        <v>955</v>
      </c>
      <c r="X1519" s="254" t="s">
        <v>446</v>
      </c>
      <c r="Y1519" s="254" t="s">
        <v>843</v>
      </c>
      <c r="Z1519" s="254" t="s">
        <v>1150</v>
      </c>
      <c r="AA1519" s="254" t="s">
        <v>838</v>
      </c>
    </row>
    <row r="1520" spans="1:27" ht="14.4" x14ac:dyDescent="0.3">
      <c r="A1520" s="253">
        <v>13</v>
      </c>
      <c r="B1520" s="254" t="s">
        <v>854</v>
      </c>
      <c r="C1520" s="254">
        <v>12031</v>
      </c>
      <c r="D1520" s="254" t="s">
        <v>296</v>
      </c>
      <c r="E1520" s="254" t="str">
        <f>_xlfn.XLOOKUP(C1520,Clientes!I:I,Clientes!F:F)</f>
        <v>EVOAGRO NUTRICION S.A.S - COLOMBIA</v>
      </c>
      <c r="F1520" s="254">
        <v>8203</v>
      </c>
      <c r="G1520" s="254" t="s">
        <v>832</v>
      </c>
      <c r="H1520" s="254" t="s">
        <v>1103</v>
      </c>
      <c r="I1520" s="255">
        <v>8800</v>
      </c>
      <c r="J1520" s="256">
        <v>8800</v>
      </c>
      <c r="K1520" s="258">
        <v>447323.77630230499</v>
      </c>
      <c r="L1520" s="258">
        <v>0</v>
      </c>
      <c r="M1520" s="258">
        <f t="shared" si="94"/>
        <v>447323.77630230499</v>
      </c>
      <c r="N1520" s="258">
        <v>-181767.42</v>
      </c>
      <c r="O1520" s="258">
        <v>-9290.16</v>
      </c>
      <c r="P1520" s="258">
        <v>-1487.7165500851286</v>
      </c>
      <c r="Q1520" s="258">
        <f t="shared" si="95"/>
        <v>254778.47975221986</v>
      </c>
      <c r="R1520" s="259">
        <f t="shared" si="96"/>
        <v>0.56956167601526853</v>
      </c>
      <c r="S1520" s="255">
        <f t="shared" si="93"/>
        <v>50.83224730708011</v>
      </c>
      <c r="T1520" s="255">
        <f t="shared" si="93"/>
        <v>50.83224730708011</v>
      </c>
      <c r="U1520" s="254">
        <v>100300</v>
      </c>
      <c r="V1520" s="254" t="s">
        <v>917</v>
      </c>
      <c r="W1520" s="254" t="s">
        <v>998</v>
      </c>
      <c r="X1520" s="254" t="s">
        <v>446</v>
      </c>
      <c r="Y1520" s="254" t="s">
        <v>836</v>
      </c>
      <c r="Z1520" s="254" t="s">
        <v>1150</v>
      </c>
      <c r="AA1520" s="254" t="s">
        <v>838</v>
      </c>
    </row>
    <row r="1521" spans="1:27" ht="14.4" x14ac:dyDescent="0.3">
      <c r="A1521" s="253">
        <v>13</v>
      </c>
      <c r="B1521" s="254" t="s">
        <v>854</v>
      </c>
      <c r="C1521" s="254">
        <v>139</v>
      </c>
      <c r="D1521" s="254" t="s">
        <v>32</v>
      </c>
      <c r="E1521" s="254" t="str">
        <f>_xlfn.XLOOKUP(C1521,Clientes!I:I,Clientes!F:F)</f>
        <v>COMIGO - RIO VERDE</v>
      </c>
      <c r="F1521" s="254">
        <v>8225</v>
      </c>
      <c r="G1521" s="254" t="s">
        <v>867</v>
      </c>
      <c r="H1521" s="254" t="s">
        <v>919</v>
      </c>
      <c r="I1521" s="255">
        <v>27000</v>
      </c>
      <c r="J1521" s="256">
        <v>27000</v>
      </c>
      <c r="K1521" s="258">
        <v>696798.44262275554</v>
      </c>
      <c r="L1521" s="258">
        <v>-48720.000000000044</v>
      </c>
      <c r="M1521" s="258">
        <f t="shared" si="94"/>
        <v>648078.44262275554</v>
      </c>
      <c r="N1521" s="258">
        <v>-170058.83727272734</v>
      </c>
      <c r="O1521" s="258">
        <v>-6320.8859999999995</v>
      </c>
      <c r="P1521" s="258">
        <v>-4.660030255579457</v>
      </c>
      <c r="Q1521" s="258">
        <f t="shared" si="95"/>
        <v>471694.05931977264</v>
      </c>
      <c r="R1521" s="259">
        <f t="shared" si="96"/>
        <v>0.72783482414696565</v>
      </c>
      <c r="S1521" s="255">
        <f t="shared" si="93"/>
        <v>25.807349726768724</v>
      </c>
      <c r="T1521" s="255">
        <f t="shared" si="93"/>
        <v>25.807349726768724</v>
      </c>
      <c r="U1521" s="254">
        <v>100300</v>
      </c>
      <c r="V1521" s="254" t="s">
        <v>917</v>
      </c>
      <c r="W1521" s="254" t="s">
        <v>890</v>
      </c>
      <c r="X1521" s="254" t="s">
        <v>446</v>
      </c>
      <c r="Y1521" s="254" t="s">
        <v>843</v>
      </c>
      <c r="Z1521" s="254" t="s">
        <v>1150</v>
      </c>
      <c r="AA1521" s="254" t="s">
        <v>838</v>
      </c>
    </row>
    <row r="1522" spans="1:27" ht="14.4" x14ac:dyDescent="0.3">
      <c r="A1522" s="253">
        <v>13</v>
      </c>
      <c r="B1522" s="254" t="s">
        <v>854</v>
      </c>
      <c r="C1522" s="254">
        <v>5695</v>
      </c>
      <c r="D1522" s="254" t="s">
        <v>1123</v>
      </c>
      <c r="E1522" s="254" t="str">
        <f>_xlfn.XLOOKUP(C1522,Clientes!I:I,Clientes!F:F)</f>
        <v>GRUPO CAMPO RICO</v>
      </c>
      <c r="F1522" s="254">
        <v>8215</v>
      </c>
      <c r="G1522" s="254" t="s">
        <v>926</v>
      </c>
      <c r="H1522" s="254" t="s">
        <v>947</v>
      </c>
      <c r="I1522" s="255">
        <v>12000</v>
      </c>
      <c r="J1522" s="256">
        <v>12000</v>
      </c>
      <c r="K1522" s="258">
        <v>360412.98756349389</v>
      </c>
      <c r="L1522" s="258">
        <v>-25200.000000000004</v>
      </c>
      <c r="M1522" s="258">
        <f t="shared" si="94"/>
        <v>335212.98756349389</v>
      </c>
      <c r="N1522" s="258">
        <v>-167174.50965517238</v>
      </c>
      <c r="O1522" s="258">
        <v>-19714.091999999993</v>
      </c>
      <c r="P1522" s="258">
        <v>-14.534080377541517</v>
      </c>
      <c r="Q1522" s="258">
        <f t="shared" si="95"/>
        <v>148309.85182794396</v>
      </c>
      <c r="R1522" s="259">
        <f t="shared" si="96"/>
        <v>0.44243468281446602</v>
      </c>
      <c r="S1522" s="255">
        <f t="shared" si="93"/>
        <v>30.034415630291157</v>
      </c>
      <c r="T1522" s="255">
        <f t="shared" si="93"/>
        <v>30.034415630291157</v>
      </c>
      <c r="U1522" s="254">
        <v>100300</v>
      </c>
      <c r="V1522" s="254" t="s">
        <v>917</v>
      </c>
      <c r="W1522" s="254" t="s">
        <v>1124</v>
      </c>
      <c r="X1522" s="254" t="s">
        <v>446</v>
      </c>
      <c r="Y1522" s="254" t="s">
        <v>843</v>
      </c>
      <c r="Z1522" s="254" t="s">
        <v>1150</v>
      </c>
      <c r="AA1522" s="254" t="s">
        <v>838</v>
      </c>
    </row>
    <row r="1523" spans="1:27" ht="14.4" x14ac:dyDescent="0.3">
      <c r="A1523" s="253">
        <v>13</v>
      </c>
      <c r="B1523" s="254" t="s">
        <v>854</v>
      </c>
      <c r="C1523" s="254">
        <v>2588</v>
      </c>
      <c r="D1523" s="254" t="s">
        <v>70</v>
      </c>
      <c r="E1523" s="254" t="str">
        <f>_xlfn.XLOOKUP(C1523,Clientes!I:I,Clientes!F:F)</f>
        <v>GRUPO FERTILIZ TOCANTINS</v>
      </c>
      <c r="F1523" s="254">
        <v>8217</v>
      </c>
      <c r="G1523" s="254" t="s">
        <v>840</v>
      </c>
      <c r="H1523" s="254" t="s">
        <v>927</v>
      </c>
      <c r="I1523" s="255">
        <v>24000</v>
      </c>
      <c r="J1523" s="256">
        <v>24000</v>
      </c>
      <c r="K1523" s="258">
        <v>887577.05070636433</v>
      </c>
      <c r="L1523" s="258">
        <v>-62059.200000000004</v>
      </c>
      <c r="M1523" s="258">
        <f t="shared" si="94"/>
        <v>825517.85070636438</v>
      </c>
      <c r="N1523" s="258">
        <v>-387416.54808510642</v>
      </c>
      <c r="O1523" s="258">
        <v>-19700.094700000001</v>
      </c>
      <c r="P1523" s="258">
        <v>-14.523760963222641</v>
      </c>
      <c r="Q1523" s="258">
        <f t="shared" si="95"/>
        <v>418386.68416029471</v>
      </c>
      <c r="R1523" s="259">
        <f t="shared" si="96"/>
        <v>0.50681724665589856</v>
      </c>
      <c r="S1523" s="255">
        <f t="shared" si="93"/>
        <v>36.982377112765178</v>
      </c>
      <c r="T1523" s="255">
        <f t="shared" si="93"/>
        <v>36.982377112765178</v>
      </c>
      <c r="U1523" s="254">
        <v>100300</v>
      </c>
      <c r="V1523" s="254" t="s">
        <v>917</v>
      </c>
      <c r="W1523" s="254" t="s">
        <v>915</v>
      </c>
      <c r="X1523" s="254" t="s">
        <v>446</v>
      </c>
      <c r="Y1523" s="254" t="s">
        <v>843</v>
      </c>
      <c r="Z1523" s="254" t="s">
        <v>1150</v>
      </c>
      <c r="AA1523" s="254" t="s">
        <v>838</v>
      </c>
    </row>
    <row r="1524" spans="1:27" ht="14.4" x14ac:dyDescent="0.3">
      <c r="A1524" s="253">
        <v>13</v>
      </c>
      <c r="B1524" s="254" t="s">
        <v>854</v>
      </c>
      <c r="C1524" s="254">
        <v>729</v>
      </c>
      <c r="D1524" s="254" t="s">
        <v>937</v>
      </c>
      <c r="E1524" s="254" t="str">
        <f>_xlfn.XLOOKUP(C1524,Clientes!I:I,Clientes!F:F)</f>
        <v>GRUPO FERTILIZ TOCANTINS</v>
      </c>
      <c r="F1524" s="254">
        <v>8217</v>
      </c>
      <c r="G1524" s="254" t="s">
        <v>897</v>
      </c>
      <c r="H1524" s="254" t="s">
        <v>927</v>
      </c>
      <c r="I1524" s="255">
        <v>12000</v>
      </c>
      <c r="J1524" s="256">
        <v>12000</v>
      </c>
      <c r="K1524" s="258">
        <v>454120.36433000234</v>
      </c>
      <c r="L1524" s="258">
        <v>-31752.000000000004</v>
      </c>
      <c r="M1524" s="258">
        <f t="shared" si="94"/>
        <v>422368.36433000234</v>
      </c>
      <c r="N1524" s="258">
        <v>-193708.27404255321</v>
      </c>
      <c r="O1524" s="258">
        <v>-19802.496000000036</v>
      </c>
      <c r="P1524" s="258">
        <v>-14.599255625871331</v>
      </c>
      <c r="Q1524" s="258">
        <f t="shared" si="95"/>
        <v>208842.99503182323</v>
      </c>
      <c r="R1524" s="259">
        <f t="shared" si="96"/>
        <v>0.49445700168171514</v>
      </c>
      <c r="S1524" s="255">
        <f t="shared" si="93"/>
        <v>37.843363694166861</v>
      </c>
      <c r="T1524" s="255">
        <f t="shared" si="93"/>
        <v>37.843363694166861</v>
      </c>
      <c r="U1524" s="254">
        <v>100300</v>
      </c>
      <c r="V1524" s="254" t="s">
        <v>917</v>
      </c>
      <c r="W1524" s="254" t="s">
        <v>899</v>
      </c>
      <c r="X1524" s="254" t="s">
        <v>446</v>
      </c>
      <c r="Y1524" s="254" t="s">
        <v>843</v>
      </c>
      <c r="Z1524" s="254" t="s">
        <v>1150</v>
      </c>
      <c r="AA1524" s="254" t="s">
        <v>838</v>
      </c>
    </row>
    <row r="1525" spans="1:27" ht="14.4" x14ac:dyDescent="0.3">
      <c r="A1525" s="253">
        <v>13</v>
      </c>
      <c r="B1525" s="254" t="s">
        <v>854</v>
      </c>
      <c r="C1525" s="254">
        <v>7443</v>
      </c>
      <c r="D1525" s="254" t="s">
        <v>1016</v>
      </c>
      <c r="E1525" s="254" t="str">
        <f>_xlfn.XLOOKUP(C1525,Clientes!I:I,Clientes!F:F)</f>
        <v>GRUPO MOSAIC FERTILIZANTES DO BRASIL</v>
      </c>
      <c r="F1525" s="254">
        <v>8215</v>
      </c>
      <c r="G1525" s="254" t="s">
        <v>867</v>
      </c>
      <c r="H1525" s="254" t="s">
        <v>947</v>
      </c>
      <c r="I1525" s="255">
        <v>12000</v>
      </c>
      <c r="J1525" s="256">
        <v>12000</v>
      </c>
      <c r="K1525" s="258">
        <v>444509.35132830916</v>
      </c>
      <c r="L1525" s="258">
        <v>-31080.000000000004</v>
      </c>
      <c r="M1525" s="258">
        <f t="shared" si="94"/>
        <v>413429.35132830916</v>
      </c>
      <c r="N1525" s="258">
        <v>-167174.50965517238</v>
      </c>
      <c r="O1525" s="258">
        <v>-2121.6959999999981</v>
      </c>
      <c r="P1525" s="258">
        <v>-1.5642059599147815</v>
      </c>
      <c r="Q1525" s="258">
        <f t="shared" si="95"/>
        <v>244131.58146717687</v>
      </c>
      <c r="R1525" s="259">
        <f t="shared" si="96"/>
        <v>0.59050374793856641</v>
      </c>
      <c r="S1525" s="255">
        <f t="shared" si="93"/>
        <v>37.042445944025765</v>
      </c>
      <c r="T1525" s="255">
        <f t="shared" si="93"/>
        <v>37.042445944025765</v>
      </c>
      <c r="U1525" s="254">
        <v>100300</v>
      </c>
      <c r="V1525" s="254" t="s">
        <v>917</v>
      </c>
      <c r="W1525" s="254" t="s">
        <v>871</v>
      </c>
      <c r="X1525" s="254" t="s">
        <v>446</v>
      </c>
      <c r="Y1525" s="254" t="s">
        <v>843</v>
      </c>
      <c r="Z1525" s="254" t="s">
        <v>1150</v>
      </c>
      <c r="AA1525" s="254" t="s">
        <v>838</v>
      </c>
    </row>
    <row r="1526" spans="1:27" ht="14.4" x14ac:dyDescent="0.3">
      <c r="A1526" s="253">
        <v>13</v>
      </c>
      <c r="B1526" s="254" t="s">
        <v>854</v>
      </c>
      <c r="C1526" s="254">
        <v>11580</v>
      </c>
      <c r="D1526" s="254" t="s">
        <v>424</v>
      </c>
      <c r="E1526" s="254" t="str">
        <f>_xlfn.XLOOKUP(C1526,Clientes!I:I,Clientes!F:F)</f>
        <v>AGRO MIL AGROS SAS - COLOMBIA</v>
      </c>
      <c r="F1526" s="254">
        <v>9680</v>
      </c>
      <c r="G1526" s="254" t="s">
        <v>832</v>
      </c>
      <c r="H1526" s="254" t="s">
        <v>1031</v>
      </c>
      <c r="I1526" s="255">
        <v>2200</v>
      </c>
      <c r="J1526" s="256">
        <v>2200</v>
      </c>
      <c r="K1526" s="258">
        <v>91580.940139883809</v>
      </c>
      <c r="L1526" s="258">
        <v>0</v>
      </c>
      <c r="M1526" s="258">
        <f t="shared" si="94"/>
        <v>91580.940139883809</v>
      </c>
      <c r="N1526" s="258">
        <v>-37826.949999999997</v>
      </c>
      <c r="O1526" s="258">
        <v>0</v>
      </c>
      <c r="P1526" s="258">
        <v>-370.21686068702292</v>
      </c>
      <c r="Q1526" s="258">
        <f t="shared" si="95"/>
        <v>53383.773279196786</v>
      </c>
      <c r="R1526" s="259">
        <f t="shared" si="96"/>
        <v>0.58291357565948343</v>
      </c>
      <c r="S1526" s="255">
        <f t="shared" si="93"/>
        <v>41.627700063583546</v>
      </c>
      <c r="T1526" s="255">
        <f t="shared" si="93"/>
        <v>41.627700063583546</v>
      </c>
      <c r="U1526" s="254">
        <v>100300</v>
      </c>
      <c r="V1526" s="254" t="s">
        <v>917</v>
      </c>
      <c r="W1526" s="254" t="s">
        <v>1032</v>
      </c>
      <c r="X1526" s="254" t="s">
        <v>446</v>
      </c>
      <c r="Y1526" s="254" t="s">
        <v>836</v>
      </c>
      <c r="Z1526" s="254" t="s">
        <v>1150</v>
      </c>
      <c r="AA1526" s="254" t="s">
        <v>838</v>
      </c>
    </row>
    <row r="1527" spans="1:27" ht="14.4" x14ac:dyDescent="0.3">
      <c r="A1527" s="253">
        <v>13</v>
      </c>
      <c r="B1527" s="254" t="s">
        <v>854</v>
      </c>
      <c r="C1527" s="254">
        <v>2680</v>
      </c>
      <c r="D1527" s="254" t="s">
        <v>313</v>
      </c>
      <c r="E1527" s="254" t="str">
        <f>_xlfn.XLOOKUP(C1527,Clientes!I:I,Clientes!F:F)</f>
        <v>FERMAGRI S.A - EQUADOR</v>
      </c>
      <c r="F1527" s="254">
        <v>8202</v>
      </c>
      <c r="G1527" s="254" t="s">
        <v>832</v>
      </c>
      <c r="H1527" s="254" t="s">
        <v>1027</v>
      </c>
      <c r="I1527" s="255">
        <v>8800</v>
      </c>
      <c r="J1527" s="256">
        <v>8800</v>
      </c>
      <c r="K1527" s="258">
        <v>420241.5434990339</v>
      </c>
      <c r="L1527" s="258">
        <v>0</v>
      </c>
      <c r="M1527" s="258">
        <f t="shared" si="94"/>
        <v>420241.5434990339</v>
      </c>
      <c r="N1527" s="258">
        <v>-190120.63999999998</v>
      </c>
      <c r="O1527" s="258">
        <v>0</v>
      </c>
      <c r="P1527" s="258">
        <v>-1480.8674427480917</v>
      </c>
      <c r="Q1527" s="258">
        <f t="shared" si="95"/>
        <v>228640.03605628581</v>
      </c>
      <c r="R1527" s="259">
        <f t="shared" si="96"/>
        <v>0.54406814269853698</v>
      </c>
      <c r="S1527" s="255">
        <f t="shared" si="93"/>
        <v>47.75472085216294</v>
      </c>
      <c r="T1527" s="255">
        <f t="shared" si="93"/>
        <v>47.75472085216294</v>
      </c>
      <c r="U1527" s="254">
        <v>100300</v>
      </c>
      <c r="V1527" s="254" t="s">
        <v>917</v>
      </c>
      <c r="W1527" s="254" t="s">
        <v>946</v>
      </c>
      <c r="X1527" s="254" t="s">
        <v>446</v>
      </c>
      <c r="Y1527" s="254" t="s">
        <v>836</v>
      </c>
      <c r="Z1527" s="254" t="s">
        <v>1150</v>
      </c>
      <c r="AA1527" s="254" t="s">
        <v>838</v>
      </c>
    </row>
    <row r="1528" spans="1:27" ht="14.4" x14ac:dyDescent="0.3">
      <c r="A1528" s="253">
        <v>13</v>
      </c>
      <c r="B1528" s="254" t="s">
        <v>854</v>
      </c>
      <c r="C1528" s="254">
        <v>2003</v>
      </c>
      <c r="D1528" s="254" t="s">
        <v>316</v>
      </c>
      <c r="E1528" s="254" t="str">
        <f>_xlfn.XLOOKUP(C1528,Clientes!I:I,Clientes!F:F)</f>
        <v>GRUPO HERINGER</v>
      </c>
      <c r="F1528" s="254">
        <v>8217</v>
      </c>
      <c r="G1528" s="254" t="s">
        <v>877</v>
      </c>
      <c r="H1528" s="254" t="s">
        <v>927</v>
      </c>
      <c r="I1528" s="255">
        <v>6000</v>
      </c>
      <c r="J1528" s="256">
        <v>6000</v>
      </c>
      <c r="K1528" s="258">
        <v>221894.26267659108</v>
      </c>
      <c r="L1528" s="258">
        <v>-26596.799999999999</v>
      </c>
      <c r="M1528" s="258">
        <f t="shared" si="94"/>
        <v>195297.46267659109</v>
      </c>
      <c r="N1528" s="258">
        <v>-96854.137021276605</v>
      </c>
      <c r="O1528" s="258">
        <v>-14498.255999999972</v>
      </c>
      <c r="P1528" s="258">
        <v>-10.688740726084328</v>
      </c>
      <c r="Q1528" s="258">
        <f t="shared" si="95"/>
        <v>83934.380914588444</v>
      </c>
      <c r="R1528" s="259">
        <f t="shared" si="96"/>
        <v>0.42977711929408008</v>
      </c>
      <c r="S1528" s="255">
        <f t="shared" si="93"/>
        <v>36.982377112765178</v>
      </c>
      <c r="T1528" s="255">
        <f t="shared" si="93"/>
        <v>36.982377112765178</v>
      </c>
      <c r="U1528" s="254">
        <v>100300</v>
      </c>
      <c r="V1528" s="254" t="s">
        <v>917</v>
      </c>
      <c r="W1528" s="254" t="s">
        <v>878</v>
      </c>
      <c r="X1528" s="254" t="s">
        <v>446</v>
      </c>
      <c r="Y1528" s="254" t="s">
        <v>843</v>
      </c>
      <c r="Z1528" s="254" t="s">
        <v>1150</v>
      </c>
      <c r="AA1528" s="254" t="s">
        <v>838</v>
      </c>
    </row>
    <row r="1529" spans="1:27" ht="14.4" x14ac:dyDescent="0.3">
      <c r="A1529" s="253">
        <v>13</v>
      </c>
      <c r="B1529" s="254" t="s">
        <v>854</v>
      </c>
      <c r="C1529" s="254">
        <v>10492</v>
      </c>
      <c r="D1529" s="254" t="s">
        <v>101</v>
      </c>
      <c r="E1529" s="254" t="str">
        <f>_xlfn.XLOOKUP(C1529,Clientes!I:I,Clientes!F:F)</f>
        <v>GRUPO UNIFERTIL</v>
      </c>
      <c r="F1529" s="254">
        <v>8216</v>
      </c>
      <c r="G1529" s="254" t="s">
        <v>877</v>
      </c>
      <c r="H1529" s="254" t="s">
        <v>938</v>
      </c>
      <c r="I1529" s="255">
        <v>12000</v>
      </c>
      <c r="J1529" s="256">
        <v>12000</v>
      </c>
      <c r="K1529" s="258">
        <v>373267.71745325852</v>
      </c>
      <c r="L1529" s="258">
        <v>-44740.799999999996</v>
      </c>
      <c r="M1529" s="258">
        <f t="shared" si="94"/>
        <v>328526.91745325853</v>
      </c>
      <c r="N1529" s="258">
        <v>-114450.51999999999</v>
      </c>
      <c r="O1529" s="258">
        <v>-14498.255999999972</v>
      </c>
      <c r="P1529" s="258">
        <v>-10.688740726084328</v>
      </c>
      <c r="Q1529" s="258">
        <f t="shared" si="95"/>
        <v>199567.45271253248</v>
      </c>
      <c r="R1529" s="259">
        <f t="shared" si="96"/>
        <v>0.60746149587857168</v>
      </c>
      <c r="S1529" s="255">
        <f t="shared" si="93"/>
        <v>31.105643121104876</v>
      </c>
      <c r="T1529" s="255">
        <f t="shared" si="93"/>
        <v>31.105643121104876</v>
      </c>
      <c r="U1529" s="254">
        <v>100300</v>
      </c>
      <c r="V1529" s="254" t="s">
        <v>917</v>
      </c>
      <c r="W1529" s="254" t="s">
        <v>878</v>
      </c>
      <c r="X1529" s="254" t="s">
        <v>446</v>
      </c>
      <c r="Y1529" s="254" t="s">
        <v>843</v>
      </c>
      <c r="Z1529" s="254" t="s">
        <v>1150</v>
      </c>
      <c r="AA1529" s="254" t="s">
        <v>838</v>
      </c>
    </row>
    <row r="1530" spans="1:27" ht="14.4" x14ac:dyDescent="0.3">
      <c r="A1530" s="253">
        <v>11</v>
      </c>
      <c r="B1530" s="254" t="s">
        <v>854</v>
      </c>
      <c r="C1530" s="254">
        <v>456</v>
      </c>
      <c r="D1530" s="254" t="s">
        <v>312</v>
      </c>
      <c r="E1530" s="254" t="str">
        <f>_xlfn.XLOOKUP(C1530,Clientes!I:I,Clientes!F:F)</f>
        <v>GRUPO FERTIPAR FERTILIZANTES DO NORDESTE</v>
      </c>
      <c r="F1530" s="254">
        <v>3353</v>
      </c>
      <c r="G1530" s="254" t="s">
        <v>875</v>
      </c>
      <c r="H1530" s="254" t="s">
        <v>972</v>
      </c>
      <c r="I1530" s="255">
        <v>30000</v>
      </c>
      <c r="J1530" s="256">
        <v>30000</v>
      </c>
      <c r="K1530" s="258">
        <v>185400</v>
      </c>
      <c r="L1530" s="258">
        <v>-12978.000000000002</v>
      </c>
      <c r="M1530" s="258">
        <f t="shared" si="94"/>
        <v>172422</v>
      </c>
      <c r="N1530" s="258">
        <v>-97302.37</v>
      </c>
      <c r="O1530" s="258">
        <v>-21548.474999999999</v>
      </c>
      <c r="P1530" s="258">
        <v>-15.886466780384511</v>
      </c>
      <c r="Q1530" s="258">
        <f t="shared" si="95"/>
        <v>53555.26853321962</v>
      </c>
      <c r="R1530" s="259">
        <f t="shared" si="96"/>
        <v>0.3106057726578953</v>
      </c>
      <c r="S1530" s="255">
        <f t="shared" si="93"/>
        <v>6.18</v>
      </c>
      <c r="T1530" s="255">
        <f t="shared" si="93"/>
        <v>6.18</v>
      </c>
      <c r="U1530" s="254">
        <v>100700</v>
      </c>
      <c r="V1530" s="254" t="s">
        <v>960</v>
      </c>
      <c r="W1530" s="254" t="s">
        <v>876</v>
      </c>
      <c r="X1530" s="254" t="s">
        <v>446</v>
      </c>
      <c r="Y1530" s="254" t="s">
        <v>843</v>
      </c>
      <c r="Z1530" s="254" t="s">
        <v>1150</v>
      </c>
      <c r="AA1530" s="254" t="s">
        <v>838</v>
      </c>
    </row>
    <row r="1531" spans="1:27" ht="14.4" x14ac:dyDescent="0.3">
      <c r="A1531" s="253">
        <v>11</v>
      </c>
      <c r="B1531" s="254" t="s">
        <v>854</v>
      </c>
      <c r="C1531" s="254">
        <v>6477</v>
      </c>
      <c r="D1531" s="254" t="s">
        <v>87</v>
      </c>
      <c r="E1531" s="254" t="str">
        <f>_xlfn.XLOOKUP(C1531,Clientes!I:I,Clientes!F:F)</f>
        <v>GRUPO MOSAIC FERTILIZANTES DO BRASIL</v>
      </c>
      <c r="F1531" s="254">
        <v>3362</v>
      </c>
      <c r="G1531" s="254" t="s">
        <v>862</v>
      </c>
      <c r="H1531" s="254" t="s">
        <v>1097</v>
      </c>
      <c r="I1531" s="255">
        <v>200000</v>
      </c>
      <c r="J1531" s="256">
        <v>200000</v>
      </c>
      <c r="K1531" s="258">
        <v>1226000</v>
      </c>
      <c r="L1531" s="258">
        <v>-147120</v>
      </c>
      <c r="M1531" s="258">
        <f t="shared" si="94"/>
        <v>1078880</v>
      </c>
      <c r="N1531" s="258">
        <v>-635544</v>
      </c>
      <c r="O1531" s="258">
        <v>-93664.038</v>
      </c>
      <c r="P1531" s="258">
        <v>-69.053175605404689</v>
      </c>
      <c r="Q1531" s="258">
        <f t="shared" si="95"/>
        <v>349602.90882439457</v>
      </c>
      <c r="R1531" s="259">
        <f t="shared" si="96"/>
        <v>0.32404244107258878</v>
      </c>
      <c r="S1531" s="255">
        <f t="shared" si="93"/>
        <v>6.13</v>
      </c>
      <c r="T1531" s="255">
        <f t="shared" si="93"/>
        <v>6.13</v>
      </c>
      <c r="U1531" s="254">
        <v>100700</v>
      </c>
      <c r="V1531" s="254" t="s">
        <v>960</v>
      </c>
      <c r="W1531" s="254" t="s">
        <v>864</v>
      </c>
      <c r="X1531" s="254" t="s">
        <v>446</v>
      </c>
      <c r="Y1531" s="254" t="s">
        <v>843</v>
      </c>
      <c r="Z1531" s="254" t="s">
        <v>1150</v>
      </c>
      <c r="AA1531" s="254" t="s">
        <v>838</v>
      </c>
    </row>
    <row r="1532" spans="1:27" ht="14.4" x14ac:dyDescent="0.3">
      <c r="A1532" s="253">
        <v>11</v>
      </c>
      <c r="B1532" s="254" t="s">
        <v>854</v>
      </c>
      <c r="C1532" s="254">
        <v>6370</v>
      </c>
      <c r="D1532" s="254" t="s">
        <v>264</v>
      </c>
      <c r="E1532" s="254" t="str">
        <f>_xlfn.XLOOKUP(C1532,Clientes!I:I,Clientes!F:F)</f>
        <v>YTL S.A. - PARAGUAI</v>
      </c>
      <c r="F1532" s="254">
        <v>7010</v>
      </c>
      <c r="G1532" s="254" t="s">
        <v>832</v>
      </c>
      <c r="H1532" s="254" t="s">
        <v>971</v>
      </c>
      <c r="I1532" s="255">
        <v>28000</v>
      </c>
      <c r="J1532" s="256">
        <v>28000</v>
      </c>
      <c r="K1532" s="258">
        <v>189840</v>
      </c>
      <c r="L1532" s="258">
        <v>0</v>
      </c>
      <c r="M1532" s="258">
        <f t="shared" si="94"/>
        <v>189840</v>
      </c>
      <c r="N1532" s="258">
        <v>-75852</v>
      </c>
      <c r="O1532" s="258">
        <v>-28440.27648</v>
      </c>
      <c r="P1532" s="258">
        <v>-4732.818354792922</v>
      </c>
      <c r="Q1532" s="258">
        <f t="shared" si="95"/>
        <v>80814.905165207078</v>
      </c>
      <c r="R1532" s="259">
        <f t="shared" si="96"/>
        <v>0.42570009041933776</v>
      </c>
      <c r="S1532" s="255">
        <f t="shared" si="93"/>
        <v>6.78</v>
      </c>
      <c r="T1532" s="255">
        <f t="shared" si="93"/>
        <v>6.78</v>
      </c>
      <c r="U1532" s="254">
        <v>100700</v>
      </c>
      <c r="V1532" s="254" t="s">
        <v>960</v>
      </c>
      <c r="W1532" s="254" t="s">
        <v>896</v>
      </c>
      <c r="X1532" s="254" t="s">
        <v>446</v>
      </c>
      <c r="Y1532" s="254" t="s">
        <v>836</v>
      </c>
      <c r="Z1532" s="254" t="s">
        <v>1150</v>
      </c>
      <c r="AA1532" s="254" t="s">
        <v>838</v>
      </c>
    </row>
    <row r="1533" spans="1:27" ht="14.4" x14ac:dyDescent="0.3">
      <c r="A1533" s="253">
        <v>11</v>
      </c>
      <c r="B1533" s="254" t="s">
        <v>854</v>
      </c>
      <c r="C1533" s="254">
        <v>12629</v>
      </c>
      <c r="D1533" s="254" t="s">
        <v>109</v>
      </c>
      <c r="E1533" s="254" t="str">
        <f>_xlfn.XLOOKUP(C1533,Clientes!I:I,Clientes!F:F)</f>
        <v>EUROCHEM SERRA DO SALITRE</v>
      </c>
      <c r="F1533" s="254">
        <v>3359</v>
      </c>
      <c r="G1533" s="254" t="s">
        <v>855</v>
      </c>
      <c r="H1533" s="254" t="s">
        <v>967</v>
      </c>
      <c r="I1533" s="255">
        <v>90000</v>
      </c>
      <c r="J1533" s="256">
        <v>90000</v>
      </c>
      <c r="K1533" s="258">
        <v>490500</v>
      </c>
      <c r="L1533" s="258">
        <v>-88290</v>
      </c>
      <c r="M1533" s="258">
        <f t="shared" si="94"/>
        <v>402210</v>
      </c>
      <c r="N1533" s="258">
        <v>-222308.05743243246</v>
      </c>
      <c r="O1533" s="258">
        <v>-12668.590771199999</v>
      </c>
      <c r="P1533" s="258">
        <v>-9.3398324680031699</v>
      </c>
      <c r="Q1533" s="258">
        <f t="shared" si="95"/>
        <v>167224.01196389954</v>
      </c>
      <c r="R1533" s="259">
        <f t="shared" si="96"/>
        <v>0.4157629396680827</v>
      </c>
      <c r="S1533" s="255">
        <f t="shared" si="93"/>
        <v>5.45</v>
      </c>
      <c r="T1533" s="255">
        <f t="shared" si="93"/>
        <v>5.45</v>
      </c>
      <c r="U1533" s="254">
        <v>100700</v>
      </c>
      <c r="V1533" s="254" t="s">
        <v>960</v>
      </c>
      <c r="W1533" s="254" t="s">
        <v>968</v>
      </c>
      <c r="X1533" s="254" t="s">
        <v>446</v>
      </c>
      <c r="Y1533" s="254" t="s">
        <v>843</v>
      </c>
      <c r="Z1533" s="254" t="s">
        <v>1150</v>
      </c>
      <c r="AA1533" s="254" t="s">
        <v>838</v>
      </c>
    </row>
    <row r="1534" spans="1:27" ht="14.4" x14ac:dyDescent="0.3">
      <c r="A1534" s="253">
        <v>11</v>
      </c>
      <c r="B1534" s="254" t="s">
        <v>854</v>
      </c>
      <c r="C1534" s="254">
        <v>2949</v>
      </c>
      <c r="D1534" s="254" t="s">
        <v>720</v>
      </c>
      <c r="E1534" s="254" t="str">
        <f>_xlfn.XLOOKUP(C1534,Clientes!I:I,Clientes!F:F)</f>
        <v>GRUPO MOSAIC FERTILIZANTES DO BRASIL</v>
      </c>
      <c r="F1534" s="254">
        <v>3362</v>
      </c>
      <c r="G1534" s="254" t="s">
        <v>875</v>
      </c>
      <c r="H1534" s="254" t="s">
        <v>1097</v>
      </c>
      <c r="I1534" s="255">
        <v>30000</v>
      </c>
      <c r="J1534" s="256">
        <v>30000</v>
      </c>
      <c r="K1534" s="258">
        <v>160200</v>
      </c>
      <c r="L1534" s="258">
        <v>-11214.000000000002</v>
      </c>
      <c r="M1534" s="258">
        <f t="shared" si="94"/>
        <v>148986</v>
      </c>
      <c r="N1534" s="258">
        <v>-95331.599999999991</v>
      </c>
      <c r="O1534" s="258">
        <v>-21548.474999999999</v>
      </c>
      <c r="P1534" s="258">
        <v>-15.886466780384511</v>
      </c>
      <c r="Q1534" s="258">
        <f t="shared" si="95"/>
        <v>32090.038533219627</v>
      </c>
      <c r="R1534" s="259">
        <f t="shared" si="96"/>
        <v>0.21538962408024664</v>
      </c>
      <c r="S1534" s="255">
        <f t="shared" si="93"/>
        <v>5.34</v>
      </c>
      <c r="T1534" s="255">
        <f t="shared" si="93"/>
        <v>5.34</v>
      </c>
      <c r="U1534" s="254">
        <v>100700</v>
      </c>
      <c r="V1534" s="254" t="s">
        <v>960</v>
      </c>
      <c r="W1534" s="254" t="s">
        <v>876</v>
      </c>
      <c r="X1534" s="254" t="s">
        <v>446</v>
      </c>
      <c r="Y1534" s="254" t="s">
        <v>843</v>
      </c>
      <c r="Z1534" s="254" t="s">
        <v>1150</v>
      </c>
      <c r="AA1534" s="254" t="s">
        <v>838</v>
      </c>
    </row>
    <row r="1535" spans="1:27" ht="14.4" x14ac:dyDescent="0.3">
      <c r="A1535" s="253">
        <v>11</v>
      </c>
      <c r="B1535" s="254" t="s">
        <v>854</v>
      </c>
      <c r="C1535" s="254">
        <v>1788</v>
      </c>
      <c r="D1535" s="254" t="s">
        <v>59</v>
      </c>
      <c r="E1535" s="254" t="str">
        <f>_xlfn.XLOOKUP(C1535,Clientes!I:I,Clientes!F:F)</f>
        <v>GRUPO MOSAIC FERTILIZANTES P K LTDA</v>
      </c>
      <c r="F1535" s="254">
        <v>3359</v>
      </c>
      <c r="G1535" s="254" t="s">
        <v>855</v>
      </c>
      <c r="H1535" s="254" t="s">
        <v>967</v>
      </c>
      <c r="I1535" s="255">
        <v>30000</v>
      </c>
      <c r="J1535" s="256">
        <v>30000</v>
      </c>
      <c r="K1535" s="258">
        <v>116400</v>
      </c>
      <c r="L1535" s="258">
        <v>0</v>
      </c>
      <c r="M1535" s="258">
        <f t="shared" si="94"/>
        <v>116400</v>
      </c>
      <c r="N1535" s="258">
        <v>-74102.685810810814</v>
      </c>
      <c r="O1535" s="258">
        <v>-2442.1605</v>
      </c>
      <c r="P1535" s="258">
        <v>-1.800466235110245</v>
      </c>
      <c r="Q1535" s="258">
        <f t="shared" si="95"/>
        <v>39853.35322295408</v>
      </c>
      <c r="R1535" s="259">
        <f t="shared" si="96"/>
        <v>0.3423827596473718</v>
      </c>
      <c r="S1535" s="255">
        <f t="shared" si="93"/>
        <v>3.88</v>
      </c>
      <c r="T1535" s="255">
        <f t="shared" si="93"/>
        <v>3.88</v>
      </c>
      <c r="U1535" s="254">
        <v>100700</v>
      </c>
      <c r="V1535" s="254" t="s">
        <v>960</v>
      </c>
      <c r="W1535" s="254" t="s">
        <v>892</v>
      </c>
      <c r="X1535" s="254" t="s">
        <v>446</v>
      </c>
      <c r="Y1535" s="254" t="s">
        <v>843</v>
      </c>
      <c r="Z1535" s="254" t="s">
        <v>1150</v>
      </c>
      <c r="AA1535" s="254" t="s">
        <v>838</v>
      </c>
    </row>
    <row r="1536" spans="1:27" ht="14.4" x14ac:dyDescent="0.3">
      <c r="A1536" s="253">
        <v>11</v>
      </c>
      <c r="B1536" s="254" t="s">
        <v>854</v>
      </c>
      <c r="C1536" s="254">
        <v>2619</v>
      </c>
      <c r="D1536" s="254" t="s">
        <v>1107</v>
      </c>
      <c r="E1536" s="254" t="str">
        <f>_xlfn.XLOOKUP(C1536,Clientes!I:I,Clientes!F:F)</f>
        <v>FOSPAR - PARANAGUÁ</v>
      </c>
      <c r="F1536" s="254">
        <v>4552</v>
      </c>
      <c r="G1536" s="254" t="s">
        <v>862</v>
      </c>
      <c r="H1536" s="254" t="s">
        <v>1108</v>
      </c>
      <c r="I1536" s="255">
        <v>60000</v>
      </c>
      <c r="J1536" s="256">
        <v>60000</v>
      </c>
      <c r="K1536" s="258">
        <v>384000</v>
      </c>
      <c r="L1536" s="258">
        <v>-46080</v>
      </c>
      <c r="M1536" s="258">
        <f t="shared" si="94"/>
        <v>337920</v>
      </c>
      <c r="N1536" s="258">
        <v>-180941.22</v>
      </c>
      <c r="O1536" s="258">
        <v>-28099.2114</v>
      </c>
      <c r="P1536" s="258">
        <v>-20.715952681621403</v>
      </c>
      <c r="Q1536" s="258">
        <f t="shared" si="95"/>
        <v>128858.85264731837</v>
      </c>
      <c r="R1536" s="259">
        <f t="shared" si="96"/>
        <v>0.38132946451029348</v>
      </c>
      <c r="S1536" s="255">
        <f t="shared" si="93"/>
        <v>6.4</v>
      </c>
      <c r="T1536" s="255">
        <f t="shared" si="93"/>
        <v>6.4</v>
      </c>
      <c r="U1536" s="254">
        <v>100700</v>
      </c>
      <c r="V1536" s="254" t="s">
        <v>960</v>
      </c>
      <c r="W1536" s="254" t="s">
        <v>864</v>
      </c>
      <c r="X1536" s="254" t="s">
        <v>446</v>
      </c>
      <c r="Y1536" s="254" t="s">
        <v>843</v>
      </c>
      <c r="Z1536" s="254" t="s">
        <v>1150</v>
      </c>
      <c r="AA1536" s="254" t="s">
        <v>838</v>
      </c>
    </row>
    <row r="1537" spans="1:27" ht="14.4" x14ac:dyDescent="0.3">
      <c r="A1537" s="253">
        <v>11</v>
      </c>
      <c r="B1537" s="254" t="s">
        <v>854</v>
      </c>
      <c r="C1537" s="254">
        <v>2225</v>
      </c>
      <c r="D1537" s="254" t="s">
        <v>617</v>
      </c>
      <c r="E1537" s="254" t="str">
        <f>_xlfn.XLOOKUP(C1537,Clientes!I:I,Clientes!F:F)</f>
        <v>ITAFOS - ARRAIAS/TO</v>
      </c>
      <c r="F1537" s="254">
        <v>3351</v>
      </c>
      <c r="G1537" s="254" t="s">
        <v>974</v>
      </c>
      <c r="H1537" s="254" t="s">
        <v>965</v>
      </c>
      <c r="I1537" s="255">
        <v>30000</v>
      </c>
      <c r="J1537" s="256">
        <v>30000</v>
      </c>
      <c r="K1537" s="258">
        <v>162000</v>
      </c>
      <c r="L1537" s="258">
        <v>-11340.000000000002</v>
      </c>
      <c r="M1537" s="258">
        <f t="shared" si="94"/>
        <v>150660</v>
      </c>
      <c r="N1537" s="258">
        <v>-95443.87</v>
      </c>
      <c r="O1537" s="258">
        <v>-13774.578854399999</v>
      </c>
      <c r="P1537" s="258">
        <v>-10.155214667590748</v>
      </c>
      <c r="Q1537" s="258">
        <f t="shared" si="95"/>
        <v>41431.39593093242</v>
      </c>
      <c r="R1537" s="259">
        <f t="shared" si="96"/>
        <v>0.27499930924553578</v>
      </c>
      <c r="S1537" s="255">
        <f t="shared" si="93"/>
        <v>5.4</v>
      </c>
      <c r="T1537" s="255">
        <f t="shared" si="93"/>
        <v>5.4</v>
      </c>
      <c r="U1537" s="254">
        <v>100700</v>
      </c>
      <c r="V1537" s="254" t="s">
        <v>960</v>
      </c>
      <c r="W1537" s="254" t="s">
        <v>975</v>
      </c>
      <c r="X1537" s="254" t="s">
        <v>446</v>
      </c>
      <c r="Y1537" s="254" t="s">
        <v>843</v>
      </c>
      <c r="Z1537" s="254" t="s">
        <v>1150</v>
      </c>
      <c r="AA1537" s="254" t="s">
        <v>838</v>
      </c>
    </row>
    <row r="1538" spans="1:27" ht="14.4" x14ac:dyDescent="0.3">
      <c r="A1538" s="253">
        <v>11</v>
      </c>
      <c r="B1538" s="254" t="s">
        <v>854</v>
      </c>
      <c r="C1538" s="254">
        <v>5300</v>
      </c>
      <c r="D1538" s="254" t="s">
        <v>25</v>
      </c>
      <c r="E1538" s="254" t="str">
        <f>_xlfn.XLOOKUP(C1538,Clientes!I:I,Clientes!F:F)</f>
        <v>FOSNOR - LUIS EDUARDO MAGALHAES</v>
      </c>
      <c r="F1538" s="254">
        <v>4246</v>
      </c>
      <c r="G1538" s="254" t="s">
        <v>875</v>
      </c>
      <c r="H1538" s="254" t="s">
        <v>959</v>
      </c>
      <c r="I1538" s="255">
        <v>150000</v>
      </c>
      <c r="J1538" s="256">
        <v>150000</v>
      </c>
      <c r="K1538" s="258">
        <v>877500</v>
      </c>
      <c r="L1538" s="258">
        <v>-61425.000000000007</v>
      </c>
      <c r="M1538" s="258">
        <f t="shared" si="94"/>
        <v>816075</v>
      </c>
      <c r="N1538" s="258">
        <v>-395655.75</v>
      </c>
      <c r="O1538" s="258">
        <v>-77419.165823999996</v>
      </c>
      <c r="P1538" s="258">
        <v>-57.076753971130479</v>
      </c>
      <c r="Q1538" s="258">
        <f t="shared" si="95"/>
        <v>342943.00742202887</v>
      </c>
      <c r="R1538" s="259">
        <f t="shared" si="96"/>
        <v>0.42023466889933997</v>
      </c>
      <c r="S1538" s="255">
        <f t="shared" si="93"/>
        <v>5.85</v>
      </c>
      <c r="T1538" s="255">
        <f t="shared" si="93"/>
        <v>5.85</v>
      </c>
      <c r="U1538" s="254">
        <v>100700</v>
      </c>
      <c r="V1538" s="254" t="s">
        <v>960</v>
      </c>
      <c r="W1538" s="254" t="s">
        <v>961</v>
      </c>
      <c r="X1538" s="254" t="s">
        <v>446</v>
      </c>
      <c r="Y1538" s="254" t="s">
        <v>843</v>
      </c>
      <c r="Z1538" s="254" t="s">
        <v>1150</v>
      </c>
      <c r="AA1538" s="254" t="s">
        <v>838</v>
      </c>
    </row>
    <row r="1539" spans="1:27" ht="14.4" x14ac:dyDescent="0.3">
      <c r="A1539" s="253">
        <v>11</v>
      </c>
      <c r="B1539" s="254" t="s">
        <v>854</v>
      </c>
      <c r="C1539" s="254">
        <v>11724</v>
      </c>
      <c r="D1539" s="254" t="s">
        <v>107</v>
      </c>
      <c r="E1539" s="254" t="str">
        <f>_xlfn.XLOOKUP(C1539,Clientes!I:I,Clientes!F:F)</f>
        <v>GRUPO HINOVE</v>
      </c>
      <c r="F1539" s="254">
        <v>14142</v>
      </c>
      <c r="G1539" s="254" t="s">
        <v>908</v>
      </c>
      <c r="H1539" s="254" t="s">
        <v>962</v>
      </c>
      <c r="I1539" s="255">
        <v>22400</v>
      </c>
      <c r="J1539" s="256">
        <v>22400</v>
      </c>
      <c r="K1539" s="258">
        <v>135520</v>
      </c>
      <c r="L1539" s="258">
        <v>-16262.4</v>
      </c>
      <c r="M1539" s="258">
        <f t="shared" si="94"/>
        <v>119257.60000000001</v>
      </c>
      <c r="N1539" s="258">
        <v>-69148.800000000003</v>
      </c>
      <c r="O1539" s="258">
        <v>-8802.3245506559997</v>
      </c>
      <c r="P1539" s="258">
        <v>-6.4894539666570168</v>
      </c>
      <c r="Q1539" s="258">
        <f t="shared" si="95"/>
        <v>41299.985995377348</v>
      </c>
      <c r="R1539" s="259">
        <f t="shared" si="96"/>
        <v>0.34630904860887146</v>
      </c>
      <c r="S1539" s="255">
        <f t="shared" ref="S1539:T1571" si="97">$K1539/I1539</f>
        <v>6.05</v>
      </c>
      <c r="T1539" s="255">
        <f t="shared" si="97"/>
        <v>6.05</v>
      </c>
      <c r="U1539" s="254">
        <v>100700</v>
      </c>
      <c r="V1539" s="254" t="s">
        <v>960</v>
      </c>
      <c r="W1539" s="254" t="s">
        <v>963</v>
      </c>
      <c r="X1539" s="254" t="s">
        <v>446</v>
      </c>
      <c r="Y1539" s="254" t="s">
        <v>843</v>
      </c>
      <c r="Z1539" s="254" t="s">
        <v>1150</v>
      </c>
      <c r="AA1539" s="254" t="s">
        <v>838</v>
      </c>
    </row>
    <row r="1540" spans="1:27" ht="14.4" x14ac:dyDescent="0.3">
      <c r="A1540" s="253">
        <v>11</v>
      </c>
      <c r="B1540" s="254" t="s">
        <v>854</v>
      </c>
      <c r="C1540" s="254">
        <v>1789</v>
      </c>
      <c r="D1540" s="254" t="s">
        <v>61</v>
      </c>
      <c r="E1540" s="254" t="str">
        <f>_xlfn.XLOOKUP(C1540,Clientes!I:I,Clientes!F:F)</f>
        <v>GRUPO MOSAIC FERTILIZANTES P K LTDA</v>
      </c>
      <c r="F1540" s="254">
        <v>3359</v>
      </c>
      <c r="G1540" s="254" t="s">
        <v>855</v>
      </c>
      <c r="H1540" s="254" t="s">
        <v>967</v>
      </c>
      <c r="I1540" s="255">
        <v>230000</v>
      </c>
      <c r="J1540" s="256">
        <v>230000</v>
      </c>
      <c r="K1540" s="258">
        <v>892400</v>
      </c>
      <c r="L1540" s="258">
        <v>0</v>
      </c>
      <c r="M1540" s="258">
        <f t="shared" ref="M1540:M1571" si="98">SUM(K1540:L1540)</f>
        <v>892400</v>
      </c>
      <c r="N1540" s="258">
        <v>-568120.59121621621</v>
      </c>
      <c r="O1540" s="258">
        <v>-24281.465644799999</v>
      </c>
      <c r="P1540" s="258">
        <v>-17.901345563672741</v>
      </c>
      <c r="Q1540" s="258">
        <f t="shared" ref="Q1540:Q1571" si="99">SUM(M1540:P1540)</f>
        <v>299980.04179342015</v>
      </c>
      <c r="R1540" s="259">
        <f t="shared" ref="R1540:R1571" si="100">Q1540/M1540</f>
        <v>0.33614975548343812</v>
      </c>
      <c r="S1540" s="255">
        <f t="shared" si="97"/>
        <v>3.88</v>
      </c>
      <c r="T1540" s="255">
        <f t="shared" si="97"/>
        <v>3.88</v>
      </c>
      <c r="U1540" s="254">
        <v>100700</v>
      </c>
      <c r="V1540" s="254" t="s">
        <v>960</v>
      </c>
      <c r="W1540" s="254" t="s">
        <v>969</v>
      </c>
      <c r="X1540" s="254" t="s">
        <v>446</v>
      </c>
      <c r="Y1540" s="254" t="s">
        <v>843</v>
      </c>
      <c r="Z1540" s="254" t="s">
        <v>1150</v>
      </c>
      <c r="AA1540" s="254" t="s">
        <v>838</v>
      </c>
    </row>
    <row r="1541" spans="1:27" ht="14.4" x14ac:dyDescent="0.3">
      <c r="A1541" s="253">
        <v>11</v>
      </c>
      <c r="B1541" s="254" t="s">
        <v>854</v>
      </c>
      <c r="C1541" s="254">
        <v>1792</v>
      </c>
      <c r="D1541" s="254" t="s">
        <v>970</v>
      </c>
      <c r="E1541" s="254" t="str">
        <f>_xlfn.XLOOKUP(C1541,Clientes!I:I,Clientes!F:F)</f>
        <v>GRUPO MOSAIC FERTILIZANTES P K LTDA</v>
      </c>
      <c r="F1541" s="254">
        <v>3359</v>
      </c>
      <c r="G1541" s="254" t="s">
        <v>867</v>
      </c>
      <c r="H1541" s="254" t="s">
        <v>967</v>
      </c>
      <c r="I1541" s="255">
        <v>150000</v>
      </c>
      <c r="J1541" s="256">
        <v>150000</v>
      </c>
      <c r="K1541" s="258">
        <v>585000</v>
      </c>
      <c r="L1541" s="258">
        <v>-40950.000000000007</v>
      </c>
      <c r="M1541" s="258">
        <f t="shared" si="98"/>
        <v>544050</v>
      </c>
      <c r="N1541" s="258">
        <v>-370513.42905405408</v>
      </c>
      <c r="O1541" s="258">
        <v>-12210.8025</v>
      </c>
      <c r="P1541" s="258">
        <v>-9.0023311755512232</v>
      </c>
      <c r="Q1541" s="258">
        <f t="shared" si="99"/>
        <v>161316.76611477038</v>
      </c>
      <c r="R1541" s="259">
        <f t="shared" si="100"/>
        <v>0.29651092016316583</v>
      </c>
      <c r="S1541" s="255">
        <f t="shared" si="97"/>
        <v>3.9</v>
      </c>
      <c r="T1541" s="255">
        <f t="shared" si="97"/>
        <v>3.9</v>
      </c>
      <c r="U1541" s="254">
        <v>100700</v>
      </c>
      <c r="V1541" s="254" t="s">
        <v>960</v>
      </c>
      <c r="W1541" s="254" t="s">
        <v>871</v>
      </c>
      <c r="X1541" s="254" t="s">
        <v>446</v>
      </c>
      <c r="Y1541" s="254" t="s">
        <v>843</v>
      </c>
      <c r="Z1541" s="254" t="s">
        <v>1150</v>
      </c>
      <c r="AA1541" s="254" t="s">
        <v>838</v>
      </c>
    </row>
    <row r="1542" spans="1:27" ht="14.4" x14ac:dyDescent="0.3">
      <c r="A1542" s="253">
        <v>11</v>
      </c>
      <c r="B1542" s="254" t="s">
        <v>854</v>
      </c>
      <c r="C1542" s="254">
        <v>12741</v>
      </c>
      <c r="D1542" s="254" t="s">
        <v>964</v>
      </c>
      <c r="E1542" s="254" t="str">
        <f>_xlfn.XLOOKUP(C1542,Clientes!I:I,Clientes!F:F)</f>
        <v>GRUPO HINOVE</v>
      </c>
      <c r="F1542" s="254">
        <v>3351</v>
      </c>
      <c r="G1542" s="254" t="s">
        <v>908</v>
      </c>
      <c r="H1542" s="254" t="s">
        <v>965</v>
      </c>
      <c r="I1542" s="255">
        <v>30000</v>
      </c>
      <c r="J1542" s="256">
        <v>30000</v>
      </c>
      <c r="K1542" s="258">
        <v>175500</v>
      </c>
      <c r="L1542" s="258">
        <v>-21060</v>
      </c>
      <c r="M1542" s="258">
        <f t="shared" si="98"/>
        <v>154440</v>
      </c>
      <c r="N1542" s="258">
        <v>-95443.87</v>
      </c>
      <c r="O1542" s="258">
        <v>0</v>
      </c>
      <c r="P1542" s="258">
        <v>0</v>
      </c>
      <c r="Q1542" s="258">
        <f t="shared" si="99"/>
        <v>58996.130000000005</v>
      </c>
      <c r="R1542" s="259">
        <f t="shared" si="100"/>
        <v>0.38200032375032378</v>
      </c>
      <c r="S1542" s="255">
        <f t="shared" si="97"/>
        <v>5.85</v>
      </c>
      <c r="T1542" s="255">
        <f t="shared" si="97"/>
        <v>5.85</v>
      </c>
      <c r="U1542" s="254">
        <v>100700</v>
      </c>
      <c r="V1542" s="254" t="s">
        <v>960</v>
      </c>
      <c r="W1542" s="254" t="s">
        <v>966</v>
      </c>
      <c r="X1542" s="254" t="s">
        <v>446</v>
      </c>
      <c r="Y1542" s="254" t="s">
        <v>843</v>
      </c>
      <c r="Z1542" s="254" t="s">
        <v>1150</v>
      </c>
      <c r="AA1542" s="254" t="s">
        <v>838</v>
      </c>
    </row>
    <row r="1543" spans="1:27" ht="14.4" x14ac:dyDescent="0.3">
      <c r="A1543" s="253">
        <v>11</v>
      </c>
      <c r="B1543" s="254" t="s">
        <v>854</v>
      </c>
      <c r="C1543" s="254">
        <v>1787</v>
      </c>
      <c r="D1543" s="254" t="s">
        <v>57</v>
      </c>
      <c r="E1543" s="254" t="str">
        <f>_xlfn.XLOOKUP(C1543,Clientes!I:I,Clientes!F:F)</f>
        <v>GRUPO MOSAIC FERTILIZANTES P K LTDA</v>
      </c>
      <c r="F1543" s="254">
        <v>3359</v>
      </c>
      <c r="G1543" s="254" t="s">
        <v>855</v>
      </c>
      <c r="H1543" s="254" t="s">
        <v>967</v>
      </c>
      <c r="I1543" s="255">
        <v>240000</v>
      </c>
      <c r="J1543" s="256">
        <v>240000</v>
      </c>
      <c r="K1543" s="258">
        <v>931200</v>
      </c>
      <c r="L1543" s="258">
        <v>0</v>
      </c>
      <c r="M1543" s="258">
        <f t="shared" si="98"/>
        <v>931200</v>
      </c>
      <c r="N1543" s="258">
        <v>-592821.48648648651</v>
      </c>
      <c r="O1543" s="258">
        <v>-19537.284</v>
      </c>
      <c r="P1543" s="258">
        <v>-14.40372988088196</v>
      </c>
      <c r="Q1543" s="258">
        <f t="shared" si="99"/>
        <v>318826.82578363264</v>
      </c>
      <c r="R1543" s="259">
        <f t="shared" si="100"/>
        <v>0.3423827596473718</v>
      </c>
      <c r="S1543" s="255">
        <f t="shared" si="97"/>
        <v>3.88</v>
      </c>
      <c r="T1543" s="255">
        <f t="shared" si="97"/>
        <v>3.88</v>
      </c>
      <c r="U1543" s="254">
        <v>100700</v>
      </c>
      <c r="V1543" s="254" t="s">
        <v>960</v>
      </c>
      <c r="W1543" s="254" t="s">
        <v>892</v>
      </c>
      <c r="X1543" s="254" t="s">
        <v>446</v>
      </c>
      <c r="Y1543" s="254" t="s">
        <v>843</v>
      </c>
      <c r="Z1543" s="254" t="s">
        <v>1150</v>
      </c>
      <c r="AA1543" s="254" t="s">
        <v>838</v>
      </c>
    </row>
    <row r="1544" spans="1:27" ht="14.4" x14ac:dyDescent="0.3">
      <c r="A1544" s="253">
        <v>13</v>
      </c>
      <c r="B1544" s="254" t="s">
        <v>854</v>
      </c>
      <c r="C1544" s="254">
        <v>2</v>
      </c>
      <c r="D1544" s="254" t="s">
        <v>976</v>
      </c>
      <c r="E1544" s="254" t="str">
        <f>_xlfn.XLOOKUP(C1544,Clientes!I:I,Clientes!F:F)</f>
        <v>GRUPO CARGILL</v>
      </c>
      <c r="F1544" s="254">
        <v>3700</v>
      </c>
      <c r="G1544" s="254" t="s">
        <v>855</v>
      </c>
      <c r="H1544" s="254" t="s">
        <v>977</v>
      </c>
      <c r="I1544" s="254">
        <v>72000</v>
      </c>
      <c r="J1544" s="256">
        <v>72000</v>
      </c>
      <c r="K1544" s="258">
        <v>79200</v>
      </c>
      <c r="L1544" s="258">
        <v>-20263.32</v>
      </c>
      <c r="M1544" s="258">
        <f t="shared" si="98"/>
        <v>58936.68</v>
      </c>
      <c r="N1544" s="258">
        <v>-13322.13</v>
      </c>
      <c r="O1544" s="258">
        <v>0</v>
      </c>
      <c r="P1544" s="258">
        <v>0</v>
      </c>
      <c r="Q1544" s="258">
        <f t="shared" si="99"/>
        <v>45614.55</v>
      </c>
      <c r="R1544" s="259">
        <f t="shared" si="100"/>
        <v>0.77395859420652813</v>
      </c>
      <c r="S1544" s="255">
        <f t="shared" si="97"/>
        <v>1.1000000000000001</v>
      </c>
      <c r="T1544" s="255">
        <f t="shared" si="97"/>
        <v>1.1000000000000001</v>
      </c>
      <c r="U1544" s="254">
        <v>100900</v>
      </c>
      <c r="V1544" s="254" t="s">
        <v>978</v>
      </c>
      <c r="W1544" s="254" t="s">
        <v>865</v>
      </c>
      <c r="X1544" s="254" t="s">
        <v>157</v>
      </c>
      <c r="Y1544" s="254" t="s">
        <v>843</v>
      </c>
      <c r="Z1544" s="254" t="s">
        <v>1150</v>
      </c>
      <c r="AA1544" s="254" t="s">
        <v>838</v>
      </c>
    </row>
    <row r="1545" spans="1:27" ht="14.4" x14ac:dyDescent="0.3">
      <c r="A1545" s="253">
        <v>11</v>
      </c>
      <c r="B1545" s="254" t="s">
        <v>854</v>
      </c>
      <c r="C1545" s="254">
        <v>3297</v>
      </c>
      <c r="D1545" s="254" t="s">
        <v>550</v>
      </c>
      <c r="E1545" s="254" t="str">
        <f>_xlfn.XLOOKUP(C1545,Clientes!I:I,Clientes!F:F)</f>
        <v>MACROSOURCE PERU S.R.L.</v>
      </c>
      <c r="F1545" s="254">
        <v>14144</v>
      </c>
      <c r="G1545" s="254" t="s">
        <v>832</v>
      </c>
      <c r="H1545" s="254" t="s">
        <v>979</v>
      </c>
      <c r="I1545" s="255">
        <v>2000</v>
      </c>
      <c r="J1545" s="256">
        <v>2000</v>
      </c>
      <c r="K1545" s="258">
        <v>12402</v>
      </c>
      <c r="L1545" s="258">
        <v>0</v>
      </c>
      <c r="M1545" s="258">
        <f t="shared" si="98"/>
        <v>12402</v>
      </c>
      <c r="N1545" s="258">
        <v>-3027.6099999999997</v>
      </c>
      <c r="O1545" s="258">
        <v>-9057.2866560000002</v>
      </c>
      <c r="P1545" s="258">
        <v>-343.23820548920332</v>
      </c>
      <c r="Q1545" s="258">
        <f t="shared" si="99"/>
        <v>-26.134861489204127</v>
      </c>
      <c r="R1545" s="259">
        <f t="shared" si="100"/>
        <v>-2.1073102313501151E-3</v>
      </c>
      <c r="S1545" s="255">
        <f t="shared" si="97"/>
        <v>6.2009999999999996</v>
      </c>
      <c r="T1545" s="255">
        <f t="shared" si="97"/>
        <v>6.2009999999999996</v>
      </c>
      <c r="U1545" s="254">
        <v>101300</v>
      </c>
      <c r="V1545" s="254" t="s">
        <v>980</v>
      </c>
      <c r="W1545" s="254" t="s">
        <v>872</v>
      </c>
      <c r="X1545" s="254" t="s">
        <v>446</v>
      </c>
      <c r="Y1545" s="254" t="s">
        <v>836</v>
      </c>
      <c r="Z1545" s="254" t="s">
        <v>1150</v>
      </c>
      <c r="AA1545" s="254" t="s">
        <v>838</v>
      </c>
    </row>
    <row r="1546" spans="1:27" ht="14.4" x14ac:dyDescent="0.3">
      <c r="A1546" s="253">
        <v>11</v>
      </c>
      <c r="B1546" s="254" t="s">
        <v>854</v>
      </c>
      <c r="C1546" s="254">
        <v>16645</v>
      </c>
      <c r="D1546" s="254" t="s">
        <v>573</v>
      </c>
      <c r="E1546" s="254" t="str">
        <f>_xlfn.XLOOKUP(C1546,Clientes!I:I,Clientes!F:F)</f>
        <v>OPCAO AGRONEGOCIOS</v>
      </c>
      <c r="F1546" s="254">
        <v>8301</v>
      </c>
      <c r="G1546" s="254" t="s">
        <v>855</v>
      </c>
      <c r="H1546" s="254" t="s">
        <v>986</v>
      </c>
      <c r="I1546" s="255">
        <v>4</v>
      </c>
      <c r="J1546" s="256">
        <v>91.99586559856705</v>
      </c>
      <c r="K1546" s="258">
        <v>2433.2906450820988</v>
      </c>
      <c r="L1546" s="258">
        <v>-240.01630514543467</v>
      </c>
      <c r="M1546" s="258">
        <f t="shared" si="98"/>
        <v>2193.2743399366641</v>
      </c>
      <c r="N1546" s="258">
        <v>-674.04731180619387</v>
      </c>
      <c r="O1546" s="258">
        <v>-22.205898592757567</v>
      </c>
      <c r="P1546" s="258">
        <v>-672.09813132135525</v>
      </c>
      <c r="Q1546" s="258">
        <f t="shared" si="99"/>
        <v>824.92299821635731</v>
      </c>
      <c r="R1546" s="259">
        <f t="shared" si="100"/>
        <v>0.37611482667516133</v>
      </c>
      <c r="S1546" s="255">
        <f t="shared" si="97"/>
        <v>608.32266127052469</v>
      </c>
      <c r="T1546" s="255">
        <f t="shared" si="97"/>
        <v>26.450000000000003</v>
      </c>
      <c r="U1546" s="254">
        <v>101602</v>
      </c>
      <c r="V1546" s="254" t="s">
        <v>983</v>
      </c>
      <c r="W1546" s="254" t="s">
        <v>865</v>
      </c>
      <c r="X1546" s="254" t="s">
        <v>157</v>
      </c>
      <c r="Y1546" s="254" t="s">
        <v>843</v>
      </c>
      <c r="Z1546" s="254" t="s">
        <v>1150</v>
      </c>
      <c r="AA1546" s="254" t="s">
        <v>838</v>
      </c>
    </row>
    <row r="1547" spans="1:27" ht="14.4" x14ac:dyDescent="0.3">
      <c r="A1547" s="253">
        <v>11</v>
      </c>
      <c r="B1547" s="254" t="s">
        <v>854</v>
      </c>
      <c r="C1547" s="254">
        <v>14259</v>
      </c>
      <c r="D1547" s="254" t="s">
        <v>241</v>
      </c>
      <c r="E1547" s="254" t="str">
        <f>_xlfn.XLOOKUP(C1547,Clientes!I:I,Clientes!F:F)</f>
        <v>FAZENDA SANTOS REIS II</v>
      </c>
      <c r="F1547" s="254">
        <v>8416</v>
      </c>
      <c r="G1547" s="254" t="s">
        <v>855</v>
      </c>
      <c r="H1547" s="254" t="s">
        <v>1051</v>
      </c>
      <c r="I1547" s="255">
        <v>25</v>
      </c>
      <c r="J1547" s="256">
        <v>143.74353999776102</v>
      </c>
      <c r="K1547" s="258">
        <v>3802.0166329407789</v>
      </c>
      <c r="L1547" s="258">
        <v>-401.61577511680275</v>
      </c>
      <c r="M1547" s="258">
        <f t="shared" si="98"/>
        <v>3400.4008578239764</v>
      </c>
      <c r="N1547" s="258">
        <v>-1215.694001658155</v>
      </c>
      <c r="O1547" s="258">
        <v>0</v>
      </c>
      <c r="P1547" s="258">
        <v>-1044.7114087856228</v>
      </c>
      <c r="Q1547" s="258">
        <f t="shared" si="99"/>
        <v>1139.9954473801988</v>
      </c>
      <c r="R1547" s="259">
        <f t="shared" si="100"/>
        <v>0.3352532524973299</v>
      </c>
      <c r="S1547" s="255">
        <f t="shared" si="97"/>
        <v>152.08066531763114</v>
      </c>
      <c r="T1547" s="255">
        <f t="shared" si="97"/>
        <v>26.45</v>
      </c>
      <c r="U1547" s="254">
        <v>101602</v>
      </c>
      <c r="V1547" s="254" t="s">
        <v>983</v>
      </c>
      <c r="W1547" s="254" t="s">
        <v>990</v>
      </c>
      <c r="X1547" s="254" t="s">
        <v>157</v>
      </c>
      <c r="Y1547" s="254" t="s">
        <v>843</v>
      </c>
      <c r="Z1547" s="254" t="s">
        <v>1150</v>
      </c>
      <c r="AA1547" s="254" t="s">
        <v>838</v>
      </c>
    </row>
    <row r="1548" spans="1:27" ht="14.4" x14ac:dyDescent="0.3">
      <c r="A1548" s="253">
        <v>11</v>
      </c>
      <c r="B1548" s="254" t="s">
        <v>854</v>
      </c>
      <c r="C1548" s="254">
        <v>15908</v>
      </c>
      <c r="D1548" s="254" t="s">
        <v>981</v>
      </c>
      <c r="E1548" s="254" t="str">
        <f>_xlfn.XLOOKUP(C1548,Clientes!I:I,Clientes!F:F)</f>
        <v>ADUFÉRTIL - CAMPEVO</v>
      </c>
      <c r="F1548" s="254">
        <v>13004</v>
      </c>
      <c r="G1548" s="254" t="s">
        <v>908</v>
      </c>
      <c r="H1548" s="254" t="s">
        <v>982</v>
      </c>
      <c r="I1548" s="255">
        <v>22</v>
      </c>
      <c r="J1548" s="256">
        <v>505.97726079211878</v>
      </c>
      <c r="K1548" s="258">
        <v>13383.098547951542</v>
      </c>
      <c r="L1548" s="258">
        <v>-1266.8109020827151</v>
      </c>
      <c r="M1548" s="258">
        <f t="shared" si="98"/>
        <v>12116.287645868826</v>
      </c>
      <c r="N1548" s="258">
        <v>-3577.6717152628817</v>
      </c>
      <c r="O1548" s="258">
        <v>-136.78523577881009</v>
      </c>
      <c r="P1548" s="258">
        <v>-3686.0607436004934</v>
      </c>
      <c r="Q1548" s="258">
        <f t="shared" si="99"/>
        <v>4715.7699512266408</v>
      </c>
      <c r="R1548" s="259">
        <f t="shared" si="100"/>
        <v>0.38920914467019374</v>
      </c>
      <c r="S1548" s="255">
        <f t="shared" si="97"/>
        <v>608.32266127052469</v>
      </c>
      <c r="T1548" s="255">
        <f t="shared" si="97"/>
        <v>26.45</v>
      </c>
      <c r="U1548" s="254">
        <v>101602</v>
      </c>
      <c r="V1548" s="254" t="s">
        <v>983</v>
      </c>
      <c r="W1548" s="254" t="s">
        <v>984</v>
      </c>
      <c r="X1548" s="254" t="s">
        <v>157</v>
      </c>
      <c r="Y1548" s="254" t="s">
        <v>843</v>
      </c>
      <c r="Z1548" s="254" t="s">
        <v>1150</v>
      </c>
      <c r="AA1548" s="254" t="s">
        <v>838</v>
      </c>
    </row>
    <row r="1549" spans="1:27" ht="14.4" x14ac:dyDescent="0.3">
      <c r="A1549" s="253">
        <v>11</v>
      </c>
      <c r="B1549" s="254" t="s">
        <v>854</v>
      </c>
      <c r="C1549" s="254">
        <v>14259</v>
      </c>
      <c r="D1549" s="254" t="s">
        <v>241</v>
      </c>
      <c r="E1549" s="254" t="str">
        <f>_xlfn.XLOOKUP(C1549,Clientes!I:I,Clientes!F:F)</f>
        <v>FAZENDA SANTOS REIS II</v>
      </c>
      <c r="F1549" s="254">
        <v>8368</v>
      </c>
      <c r="G1549" s="254" t="s">
        <v>855</v>
      </c>
      <c r="H1549" s="254" t="s">
        <v>989</v>
      </c>
      <c r="I1549" s="255">
        <v>100</v>
      </c>
      <c r="J1549" s="256">
        <v>1644.2036273934677</v>
      </c>
      <c r="K1549" s="258">
        <v>456.40824829370405</v>
      </c>
      <c r="L1549" s="258">
        <v>-41.075069505867965</v>
      </c>
      <c r="M1549" s="258">
        <f t="shared" si="98"/>
        <v>415.33317878783606</v>
      </c>
      <c r="N1549" s="258">
        <v>-5748.5880548640716</v>
      </c>
      <c r="O1549" s="258">
        <v>-396.8767376466991</v>
      </c>
      <c r="P1549" s="258">
        <v>-664.2459475251552</v>
      </c>
      <c r="Q1549" s="258">
        <f t="shared" si="99"/>
        <v>-6394.3775612480904</v>
      </c>
      <c r="R1549" s="259">
        <f t="shared" si="100"/>
        <v>-15.39577834814521</v>
      </c>
      <c r="S1549" s="255">
        <f t="shared" si="97"/>
        <v>4.5640824829370406</v>
      </c>
      <c r="T1549" s="255">
        <f t="shared" si="97"/>
        <v>0.27758620689655178</v>
      </c>
      <c r="U1549" s="254">
        <v>101602</v>
      </c>
      <c r="V1549" s="254" t="s">
        <v>983</v>
      </c>
      <c r="W1549" s="254" t="s">
        <v>990</v>
      </c>
      <c r="X1549" s="254" t="s">
        <v>157</v>
      </c>
      <c r="Y1549" s="254" t="s">
        <v>843</v>
      </c>
      <c r="Z1549" s="254" t="s">
        <v>1150</v>
      </c>
      <c r="AA1549" s="254" t="s">
        <v>838</v>
      </c>
    </row>
    <row r="1550" spans="1:27" ht="14.4" x14ac:dyDescent="0.3">
      <c r="A1550" s="253">
        <v>11</v>
      </c>
      <c r="B1550" s="254" t="s">
        <v>854</v>
      </c>
      <c r="C1550" s="254">
        <v>15904</v>
      </c>
      <c r="D1550" s="254" t="s">
        <v>754</v>
      </c>
      <c r="E1550" s="254" t="str">
        <f>_xlfn.XLOOKUP(C1550,Clientes!I:I,Clientes!F:F)</f>
        <v>ADUFÉRTIL - CAMPEVO</v>
      </c>
      <c r="F1550" s="254">
        <v>8368</v>
      </c>
      <c r="G1550" s="254" t="s">
        <v>908</v>
      </c>
      <c r="H1550" s="254" t="s">
        <v>989</v>
      </c>
      <c r="I1550" s="255">
        <v>170</v>
      </c>
      <c r="J1550" s="256">
        <v>2795.1461665688953</v>
      </c>
      <c r="K1550" s="258">
        <v>775.89402209929676</v>
      </c>
      <c r="L1550" s="258">
        <v>-69.827618159975543</v>
      </c>
      <c r="M1550" s="258">
        <f t="shared" si="98"/>
        <v>706.06640393932116</v>
      </c>
      <c r="N1550" s="258">
        <v>-9772.5996932689213</v>
      </c>
      <c r="O1550" s="258">
        <v>-755.63618576813087</v>
      </c>
      <c r="P1550" s="258">
        <v>-1126.5844876331712</v>
      </c>
      <c r="Q1550" s="258">
        <f t="shared" si="99"/>
        <v>-10948.753962730902</v>
      </c>
      <c r="R1550" s="259">
        <f t="shared" si="100"/>
        <v>-15.506691582611866</v>
      </c>
      <c r="S1550" s="255">
        <f t="shared" si="97"/>
        <v>4.5640824829370397</v>
      </c>
      <c r="T1550" s="255">
        <f t="shared" si="97"/>
        <v>0.27758620689655172</v>
      </c>
      <c r="U1550" s="254">
        <v>101602</v>
      </c>
      <c r="V1550" s="254" t="s">
        <v>983</v>
      </c>
      <c r="W1550" s="254" t="s">
        <v>992</v>
      </c>
      <c r="X1550" s="254" t="s">
        <v>157</v>
      </c>
      <c r="Y1550" s="254" t="s">
        <v>843</v>
      </c>
      <c r="Z1550" s="254" t="s">
        <v>1150</v>
      </c>
      <c r="AA1550" s="254" t="s">
        <v>838</v>
      </c>
    </row>
    <row r="1551" spans="1:27" ht="14.4" x14ac:dyDescent="0.3">
      <c r="A1551" s="253">
        <v>11</v>
      </c>
      <c r="B1551" s="254" t="s">
        <v>854</v>
      </c>
      <c r="C1551" s="254">
        <v>15917</v>
      </c>
      <c r="D1551" s="254" t="s">
        <v>571</v>
      </c>
      <c r="E1551" s="254" t="str">
        <f>_xlfn.XLOOKUP(C1551,Clientes!I:I,Clientes!F:F)</f>
        <v>MINAS FARM</v>
      </c>
      <c r="F1551" s="254">
        <v>8301</v>
      </c>
      <c r="G1551" s="254" t="s">
        <v>855</v>
      </c>
      <c r="H1551" s="254" t="s">
        <v>986</v>
      </c>
      <c r="I1551" s="255">
        <v>13</v>
      </c>
      <c r="J1551" s="256">
        <v>298.98656319534291</v>
      </c>
      <c r="K1551" s="258">
        <v>7908.1945965168206</v>
      </c>
      <c r="L1551" s="258">
        <v>-780.05299172266291</v>
      </c>
      <c r="M1551" s="258">
        <f t="shared" si="98"/>
        <v>7128.1416047941575</v>
      </c>
      <c r="N1551" s="258">
        <v>-2190.65376337013</v>
      </c>
      <c r="O1551" s="258">
        <v>-72.169170426462088</v>
      </c>
      <c r="P1551" s="258">
        <v>-2177.8977919726522</v>
      </c>
      <c r="Q1551" s="258">
        <f t="shared" si="99"/>
        <v>2687.4208790249131</v>
      </c>
      <c r="R1551" s="259">
        <f t="shared" si="100"/>
        <v>0.37701564138645066</v>
      </c>
      <c r="S1551" s="255">
        <f t="shared" si="97"/>
        <v>608.32266127052469</v>
      </c>
      <c r="T1551" s="255">
        <f t="shared" si="97"/>
        <v>26.450000000000003</v>
      </c>
      <c r="U1551" s="254">
        <v>101602</v>
      </c>
      <c r="V1551" s="254" t="s">
        <v>983</v>
      </c>
      <c r="W1551" s="254" t="s">
        <v>865</v>
      </c>
      <c r="X1551" s="254" t="s">
        <v>157</v>
      </c>
      <c r="Y1551" s="254" t="s">
        <v>843</v>
      </c>
      <c r="Z1551" s="254" t="s">
        <v>1150</v>
      </c>
      <c r="AA1551" s="254" t="s">
        <v>838</v>
      </c>
    </row>
    <row r="1552" spans="1:27" ht="14.4" x14ac:dyDescent="0.3">
      <c r="A1552" s="253">
        <v>11</v>
      </c>
      <c r="B1552" s="254" t="s">
        <v>854</v>
      </c>
      <c r="C1552" s="254">
        <v>15905</v>
      </c>
      <c r="D1552" s="254" t="s">
        <v>750</v>
      </c>
      <c r="E1552" s="254" t="str">
        <f>_xlfn.XLOOKUP(C1552,Clientes!I:I,Clientes!F:F)</f>
        <v>ADUFÉRTIL - CAMPEVO</v>
      </c>
      <c r="F1552" s="254">
        <v>8368</v>
      </c>
      <c r="G1552" s="254" t="s">
        <v>908</v>
      </c>
      <c r="H1552" s="254" t="s">
        <v>989</v>
      </c>
      <c r="I1552" s="255">
        <v>170</v>
      </c>
      <c r="J1552" s="256">
        <v>2795.1461665688953</v>
      </c>
      <c r="K1552" s="258">
        <v>775.89402209929676</v>
      </c>
      <c r="L1552" s="258">
        <v>-69.827618159975543</v>
      </c>
      <c r="M1552" s="258">
        <f t="shared" si="98"/>
        <v>706.06640393932116</v>
      </c>
      <c r="N1552" s="258">
        <v>-9772.5996932689213</v>
      </c>
      <c r="O1552" s="258">
        <v>-755.63618576813087</v>
      </c>
      <c r="P1552" s="258">
        <v>-1128.9145027609609</v>
      </c>
      <c r="Q1552" s="258">
        <f t="shared" si="99"/>
        <v>-10951.083977858692</v>
      </c>
      <c r="R1552" s="259">
        <f t="shared" si="100"/>
        <v>-15.509991576939299</v>
      </c>
      <c r="S1552" s="255">
        <f t="shared" si="97"/>
        <v>4.5640824829370397</v>
      </c>
      <c r="T1552" s="255">
        <f t="shared" si="97"/>
        <v>0.27758620689655172</v>
      </c>
      <c r="U1552" s="254">
        <v>101602</v>
      </c>
      <c r="V1552" s="254" t="s">
        <v>983</v>
      </c>
      <c r="W1552" s="254" t="s">
        <v>991</v>
      </c>
      <c r="X1552" s="254" t="s">
        <v>157</v>
      </c>
      <c r="Y1552" s="254" t="s">
        <v>843</v>
      </c>
      <c r="Z1552" s="254" t="s">
        <v>1150</v>
      </c>
      <c r="AA1552" s="254" t="s">
        <v>838</v>
      </c>
    </row>
    <row r="1553" spans="1:27" ht="14.4" x14ac:dyDescent="0.3">
      <c r="A1553" s="253">
        <v>11</v>
      </c>
      <c r="B1553" s="254" t="s">
        <v>854</v>
      </c>
      <c r="C1553" s="254">
        <v>15905</v>
      </c>
      <c r="D1553" s="254" t="s">
        <v>750</v>
      </c>
      <c r="E1553" s="254" t="str">
        <f>_xlfn.XLOOKUP(C1553,Clientes!I:I,Clientes!F:F)</f>
        <v>ADUFÉRTIL - CAMPEVO</v>
      </c>
      <c r="F1553" s="254">
        <v>13004</v>
      </c>
      <c r="G1553" s="254" t="s">
        <v>908</v>
      </c>
      <c r="H1553" s="254" t="s">
        <v>982</v>
      </c>
      <c r="I1553" s="255">
        <v>23</v>
      </c>
      <c r="J1553" s="256">
        <v>528.97622719176059</v>
      </c>
      <c r="K1553" s="258">
        <v>13991.421209222068</v>
      </c>
      <c r="L1553" s="258">
        <v>-1324.3932158137472</v>
      </c>
      <c r="M1553" s="258">
        <f t="shared" si="98"/>
        <v>12667.027993408321</v>
      </c>
      <c r="N1553" s="258">
        <v>-3740.2931568657405</v>
      </c>
      <c r="O1553" s="258">
        <v>-143.00274649602875</v>
      </c>
      <c r="P1553" s="258">
        <v>-3855.7913425339834</v>
      </c>
      <c r="Q1553" s="258">
        <f t="shared" si="99"/>
        <v>4927.9407475125681</v>
      </c>
      <c r="R1553" s="259">
        <f t="shared" si="100"/>
        <v>0.38903685616523259</v>
      </c>
      <c r="S1553" s="255">
        <f t="shared" si="97"/>
        <v>608.32266127052469</v>
      </c>
      <c r="T1553" s="255">
        <f t="shared" si="97"/>
        <v>26.45</v>
      </c>
      <c r="U1553" s="254">
        <v>101602</v>
      </c>
      <c r="V1553" s="254" t="s">
        <v>983</v>
      </c>
      <c r="W1553" s="254" t="s">
        <v>991</v>
      </c>
      <c r="X1553" s="254" t="s">
        <v>157</v>
      </c>
      <c r="Y1553" s="254" t="s">
        <v>843</v>
      </c>
      <c r="Z1553" s="254" t="s">
        <v>1150</v>
      </c>
      <c r="AA1553" s="254" t="s">
        <v>838</v>
      </c>
    </row>
    <row r="1554" spans="1:27" ht="14.4" x14ac:dyDescent="0.3">
      <c r="A1554" s="253">
        <v>11</v>
      </c>
      <c r="B1554" s="254" t="s">
        <v>854</v>
      </c>
      <c r="C1554" s="254">
        <v>15906</v>
      </c>
      <c r="D1554" s="254" t="s">
        <v>993</v>
      </c>
      <c r="E1554" s="254" t="str">
        <f>_xlfn.XLOOKUP(C1554,Clientes!I:I,Clientes!F:F)</f>
        <v>ADUFÉRTIL - CAMPEVO</v>
      </c>
      <c r="F1554" s="254">
        <v>8368</v>
      </c>
      <c r="G1554" s="254" t="s">
        <v>908</v>
      </c>
      <c r="H1554" s="254" t="s">
        <v>989</v>
      </c>
      <c r="I1554" s="255">
        <v>170</v>
      </c>
      <c r="J1554" s="256">
        <v>2795.1461665688953</v>
      </c>
      <c r="K1554" s="258">
        <v>775.89402209929676</v>
      </c>
      <c r="L1554" s="258">
        <v>-69.827618159975543</v>
      </c>
      <c r="M1554" s="258">
        <f t="shared" si="98"/>
        <v>706.06640393932116</v>
      </c>
      <c r="N1554" s="258">
        <v>-9772.5996932689213</v>
      </c>
      <c r="O1554" s="258">
        <v>-755.63618576813087</v>
      </c>
      <c r="P1554" s="258">
        <v>-1127.4317658614584</v>
      </c>
      <c r="Q1554" s="258">
        <f t="shared" si="99"/>
        <v>-10949.601240959189</v>
      </c>
      <c r="R1554" s="259">
        <f t="shared" si="100"/>
        <v>-15.507891580549115</v>
      </c>
      <c r="S1554" s="255">
        <f t="shared" si="97"/>
        <v>4.5640824829370397</v>
      </c>
      <c r="T1554" s="255">
        <f t="shared" si="97"/>
        <v>0.27758620689655172</v>
      </c>
      <c r="U1554" s="254">
        <v>101602</v>
      </c>
      <c r="V1554" s="254" t="s">
        <v>983</v>
      </c>
      <c r="W1554" s="254" t="s">
        <v>994</v>
      </c>
      <c r="X1554" s="254" t="s">
        <v>157</v>
      </c>
      <c r="Y1554" s="254" t="s">
        <v>843</v>
      </c>
      <c r="Z1554" s="254" t="s">
        <v>1150</v>
      </c>
      <c r="AA1554" s="254" t="s">
        <v>838</v>
      </c>
    </row>
    <row r="1555" spans="1:27" ht="14.4" x14ac:dyDescent="0.3">
      <c r="A1555" s="253">
        <v>11</v>
      </c>
      <c r="B1555" s="254" t="s">
        <v>854</v>
      </c>
      <c r="C1555" s="254">
        <v>15917</v>
      </c>
      <c r="D1555" s="254" t="s">
        <v>571</v>
      </c>
      <c r="E1555" s="254" t="str">
        <f>_xlfn.XLOOKUP(C1555,Clientes!I:I,Clientes!F:F)</f>
        <v>MINAS FARM</v>
      </c>
      <c r="F1555" s="254">
        <v>8368</v>
      </c>
      <c r="G1555" s="254" t="s">
        <v>855</v>
      </c>
      <c r="H1555" s="254" t="s">
        <v>989</v>
      </c>
      <c r="I1555" s="255">
        <v>56</v>
      </c>
      <c r="J1555" s="256">
        <v>920.75403134034184</v>
      </c>
      <c r="K1555" s="258">
        <v>9339.9383930823569</v>
      </c>
      <c r="L1555" s="258">
        <v>-840.56022236808212</v>
      </c>
      <c r="M1555" s="258">
        <f t="shared" si="98"/>
        <v>8499.3781707142753</v>
      </c>
      <c r="N1555" s="258">
        <v>-3219.2093107238798</v>
      </c>
      <c r="O1555" s="258">
        <v>0</v>
      </c>
      <c r="P1555" s="258">
        <v>-2774.1693716947948</v>
      </c>
      <c r="Q1555" s="258">
        <f t="shared" si="99"/>
        <v>2505.9994882956007</v>
      </c>
      <c r="R1555" s="259">
        <f t="shared" si="100"/>
        <v>0.29484503900889497</v>
      </c>
      <c r="S1555" s="255">
        <f t="shared" si="97"/>
        <v>166.78461416218494</v>
      </c>
      <c r="T1555" s="255">
        <f t="shared" si="97"/>
        <v>10.143793103448276</v>
      </c>
      <c r="U1555" s="254">
        <v>101602</v>
      </c>
      <c r="V1555" s="254" t="s">
        <v>983</v>
      </c>
      <c r="W1555" s="254" t="s">
        <v>865</v>
      </c>
      <c r="X1555" s="254" t="s">
        <v>157</v>
      </c>
      <c r="Y1555" s="254" t="s">
        <v>843</v>
      </c>
      <c r="Z1555" s="254" t="s">
        <v>1150</v>
      </c>
      <c r="AA1555" s="254" t="s">
        <v>838</v>
      </c>
    </row>
    <row r="1556" spans="1:27" ht="14.4" x14ac:dyDescent="0.3">
      <c r="A1556" s="253">
        <v>11</v>
      </c>
      <c r="B1556" s="254" t="s">
        <v>854</v>
      </c>
      <c r="C1556" s="254">
        <v>8187</v>
      </c>
      <c r="D1556" s="254" t="s">
        <v>466</v>
      </c>
      <c r="E1556" s="254" t="str">
        <f>_xlfn.XLOOKUP(C1556,Clientes!I:I,Clientes!F:F)</f>
        <v>AGROREP. REPRESENTACOES AGRICOLAS</v>
      </c>
      <c r="F1556" s="254">
        <v>8369</v>
      </c>
      <c r="G1556" s="254" t="s">
        <v>840</v>
      </c>
      <c r="H1556" s="254" t="s">
        <v>988</v>
      </c>
      <c r="I1556" s="255">
        <v>16800</v>
      </c>
      <c r="J1556" s="256">
        <v>15345.900522339032</v>
      </c>
      <c r="K1556" s="258">
        <v>146415.76605262022</v>
      </c>
      <c r="L1556" s="258">
        <v>-13176.882297482443</v>
      </c>
      <c r="M1556" s="258">
        <f t="shared" si="98"/>
        <v>133238.88375513779</v>
      </c>
      <c r="N1556" s="258">
        <v>-55837.343828725156</v>
      </c>
      <c r="O1556" s="258">
        <v>-13820.159809918538</v>
      </c>
      <c r="P1556" s="258">
        <v>-43805.308749832599</v>
      </c>
      <c r="Q1556" s="258">
        <f t="shared" si="99"/>
        <v>19776.071366661497</v>
      </c>
      <c r="R1556" s="259">
        <f t="shared" si="100"/>
        <v>0.14842567581851959</v>
      </c>
      <c r="S1556" s="255">
        <f t="shared" si="97"/>
        <v>8.7152241697988231</v>
      </c>
      <c r="T1556" s="255">
        <f t="shared" si="97"/>
        <v>9.5410344827586204</v>
      </c>
      <c r="U1556" s="254">
        <v>101602</v>
      </c>
      <c r="V1556" s="254" t="s">
        <v>983</v>
      </c>
      <c r="W1556" s="254" t="s">
        <v>874</v>
      </c>
      <c r="X1556" s="254" t="s">
        <v>157</v>
      </c>
      <c r="Y1556" s="254" t="s">
        <v>843</v>
      </c>
      <c r="Z1556" s="254" t="s">
        <v>1150</v>
      </c>
      <c r="AA1556" s="254" t="s">
        <v>838</v>
      </c>
    </row>
    <row r="1557" spans="1:27" ht="14.4" x14ac:dyDescent="0.3">
      <c r="A1557" s="253">
        <v>11</v>
      </c>
      <c r="B1557" s="254" t="s">
        <v>854</v>
      </c>
      <c r="C1557" s="254">
        <v>15904</v>
      </c>
      <c r="D1557" s="254" t="s">
        <v>754</v>
      </c>
      <c r="E1557" s="254" t="str">
        <f>_xlfn.XLOOKUP(C1557,Clientes!I:I,Clientes!F:F)</f>
        <v>ADUFÉRTIL - CAMPEVO</v>
      </c>
      <c r="F1557" s="254">
        <v>13004</v>
      </c>
      <c r="G1557" s="254" t="s">
        <v>908</v>
      </c>
      <c r="H1557" s="254" t="s">
        <v>982</v>
      </c>
      <c r="I1557" s="255">
        <v>25</v>
      </c>
      <c r="J1557" s="256">
        <v>574.97415999104408</v>
      </c>
      <c r="K1557" s="258">
        <v>15208.066531763116</v>
      </c>
      <c r="L1557" s="258">
        <v>-1439.5578432758125</v>
      </c>
      <c r="M1557" s="258">
        <f t="shared" si="98"/>
        <v>13768.508688487304</v>
      </c>
      <c r="N1557" s="258">
        <v>-4065.5360400714567</v>
      </c>
      <c r="O1557" s="258">
        <v>-155.43776793046604</v>
      </c>
      <c r="P1557" s="258">
        <v>-4188.2624950175923</v>
      </c>
      <c r="Q1557" s="258">
        <f t="shared" si="99"/>
        <v>5359.2723854677897</v>
      </c>
      <c r="R1557" s="259">
        <f t="shared" si="100"/>
        <v>0.38924131194753187</v>
      </c>
      <c r="S1557" s="255">
        <f t="shared" si="97"/>
        <v>608.32266127052458</v>
      </c>
      <c r="T1557" s="255">
        <f t="shared" si="97"/>
        <v>26.45</v>
      </c>
      <c r="U1557" s="254">
        <v>101602</v>
      </c>
      <c r="V1557" s="254" t="s">
        <v>983</v>
      </c>
      <c r="W1557" s="254" t="s">
        <v>992</v>
      </c>
      <c r="X1557" s="254" t="s">
        <v>157</v>
      </c>
      <c r="Y1557" s="254" t="s">
        <v>843</v>
      </c>
      <c r="Z1557" s="254" t="s">
        <v>1150</v>
      </c>
      <c r="AA1557" s="254" t="s">
        <v>838</v>
      </c>
    </row>
    <row r="1558" spans="1:27" ht="14.4" x14ac:dyDescent="0.3">
      <c r="A1558" s="253">
        <v>11</v>
      </c>
      <c r="B1558" s="254" t="s">
        <v>854</v>
      </c>
      <c r="C1558" s="254">
        <v>15906</v>
      </c>
      <c r="D1558" s="254" t="s">
        <v>993</v>
      </c>
      <c r="E1558" s="254" t="str">
        <f>_xlfn.XLOOKUP(C1558,Clientes!I:I,Clientes!F:F)</f>
        <v>ADUFÉRTIL - CAMPEVO</v>
      </c>
      <c r="F1558" s="254">
        <v>13004</v>
      </c>
      <c r="G1558" s="254" t="s">
        <v>908</v>
      </c>
      <c r="H1558" s="254" t="s">
        <v>982</v>
      </c>
      <c r="I1558" s="255">
        <v>22</v>
      </c>
      <c r="J1558" s="256">
        <v>505.97726079211878</v>
      </c>
      <c r="K1558" s="258">
        <v>13383.098547951542</v>
      </c>
      <c r="L1558" s="258">
        <v>-1266.8109020827151</v>
      </c>
      <c r="M1558" s="258">
        <f t="shared" si="98"/>
        <v>12116.287645868826</v>
      </c>
      <c r="N1558" s="258">
        <v>-3577.6717152628817</v>
      </c>
      <c r="O1558" s="258">
        <v>-136.78523577881009</v>
      </c>
      <c r="P1558" s="258">
        <v>-3686.9080218287809</v>
      </c>
      <c r="Q1558" s="258">
        <f t="shared" si="99"/>
        <v>4714.9226729983538</v>
      </c>
      <c r="R1558" s="259">
        <f t="shared" si="100"/>
        <v>0.38913921580641542</v>
      </c>
      <c r="S1558" s="255">
        <f t="shared" si="97"/>
        <v>608.32266127052469</v>
      </c>
      <c r="T1558" s="255">
        <f t="shared" si="97"/>
        <v>26.45</v>
      </c>
      <c r="U1558" s="254">
        <v>101602</v>
      </c>
      <c r="V1558" s="254" t="s">
        <v>983</v>
      </c>
      <c r="W1558" s="254" t="s">
        <v>994</v>
      </c>
      <c r="X1558" s="254" t="s">
        <v>157</v>
      </c>
      <c r="Y1558" s="254" t="s">
        <v>843</v>
      </c>
      <c r="Z1558" s="254" t="s">
        <v>1150</v>
      </c>
      <c r="AA1558" s="254" t="s">
        <v>838</v>
      </c>
    </row>
    <row r="1559" spans="1:27" ht="14.4" x14ac:dyDescent="0.3">
      <c r="A1559" s="253">
        <v>11</v>
      </c>
      <c r="B1559" s="254" t="s">
        <v>854</v>
      </c>
      <c r="C1559" s="254">
        <v>15908</v>
      </c>
      <c r="D1559" s="254" t="s">
        <v>981</v>
      </c>
      <c r="E1559" s="254" t="str">
        <f>_xlfn.XLOOKUP(C1559,Clientes!I:I,Clientes!F:F)</f>
        <v>ADUFÉRTIL - CAMPEVO</v>
      </c>
      <c r="F1559" s="254">
        <v>8368</v>
      </c>
      <c r="G1559" s="254" t="s">
        <v>908</v>
      </c>
      <c r="H1559" s="254" t="s">
        <v>989</v>
      </c>
      <c r="I1559" s="255">
        <v>170</v>
      </c>
      <c r="J1559" s="256">
        <v>2795.1461665688953</v>
      </c>
      <c r="K1559" s="258">
        <v>775.89402209929676</v>
      </c>
      <c r="L1559" s="258">
        <v>-69.827618159975543</v>
      </c>
      <c r="M1559" s="258">
        <f t="shared" si="98"/>
        <v>706.06640393932116</v>
      </c>
      <c r="N1559" s="258">
        <v>-9772.5996932689213</v>
      </c>
      <c r="O1559" s="258">
        <v>-755.63618576813087</v>
      </c>
      <c r="P1559" s="258">
        <v>-1126.5844876331712</v>
      </c>
      <c r="Q1559" s="258">
        <f t="shared" si="99"/>
        <v>-10948.753962730902</v>
      </c>
      <c r="R1559" s="259">
        <f t="shared" si="100"/>
        <v>-15.506691582611866</v>
      </c>
      <c r="S1559" s="255">
        <f t="shared" si="97"/>
        <v>4.5640824829370397</v>
      </c>
      <c r="T1559" s="255">
        <f t="shared" si="97"/>
        <v>0.27758620689655172</v>
      </c>
      <c r="U1559" s="254">
        <v>101602</v>
      </c>
      <c r="V1559" s="254" t="s">
        <v>983</v>
      </c>
      <c r="W1559" s="254" t="s">
        <v>984</v>
      </c>
      <c r="X1559" s="254" t="s">
        <v>157</v>
      </c>
      <c r="Y1559" s="254" t="s">
        <v>843</v>
      </c>
      <c r="Z1559" s="254" t="s">
        <v>1150</v>
      </c>
      <c r="AA1559" s="254" t="s">
        <v>838</v>
      </c>
    </row>
    <row r="1560" spans="1:27" ht="14.4" x14ac:dyDescent="0.3">
      <c r="A1560" s="253">
        <v>11</v>
      </c>
      <c r="B1560" s="254" t="s">
        <v>854</v>
      </c>
      <c r="C1560" s="254">
        <v>2696</v>
      </c>
      <c r="D1560" s="254" t="s">
        <v>119</v>
      </c>
      <c r="E1560" s="254" t="str">
        <f>_xlfn.XLOOKUP(C1560,Clientes!I:I,Clientes!F:F)</f>
        <v>MOSAIC FERTILIZANTES PARAGUAY S.R.L.</v>
      </c>
      <c r="F1560" s="254">
        <v>4676</v>
      </c>
      <c r="G1560" s="254" t="s">
        <v>832</v>
      </c>
      <c r="H1560" s="254" t="s">
        <v>999</v>
      </c>
      <c r="I1560" s="255">
        <v>30000</v>
      </c>
      <c r="J1560" s="256">
        <v>30000</v>
      </c>
      <c r="K1560" s="255">
        <v>338570.68054622674</v>
      </c>
      <c r="L1560" s="258">
        <v>0</v>
      </c>
      <c r="M1560" s="258">
        <f t="shared" si="98"/>
        <v>338570.68054622674</v>
      </c>
      <c r="N1560" s="258">
        <v>-171895.5</v>
      </c>
      <c r="O1560" s="258">
        <v>-27051.200000000012</v>
      </c>
      <c r="P1560" s="258">
        <v>-5068.3550500390156</v>
      </c>
      <c r="Q1560" s="258">
        <f t="shared" si="99"/>
        <v>134555.62549618771</v>
      </c>
      <c r="R1560" s="259">
        <f t="shared" si="100"/>
        <v>0.397422556729085</v>
      </c>
      <c r="S1560" s="255">
        <f t="shared" si="97"/>
        <v>11.285689351540892</v>
      </c>
      <c r="T1560" s="255">
        <f t="shared" si="97"/>
        <v>11.285689351540892</v>
      </c>
      <c r="U1560" s="254">
        <v>101900</v>
      </c>
      <c r="V1560" s="254" t="s">
        <v>997</v>
      </c>
      <c r="W1560" s="254" t="s">
        <v>1012</v>
      </c>
      <c r="X1560" s="254" t="s">
        <v>446</v>
      </c>
      <c r="Y1560" s="254" t="s">
        <v>836</v>
      </c>
      <c r="Z1560" s="254" t="s">
        <v>1150</v>
      </c>
      <c r="AA1560" s="254" t="s">
        <v>838</v>
      </c>
    </row>
    <row r="1561" spans="1:27" ht="14.4" x14ac:dyDescent="0.3">
      <c r="A1561" s="253">
        <v>11</v>
      </c>
      <c r="B1561" s="254" t="s">
        <v>854</v>
      </c>
      <c r="C1561" s="254">
        <v>6477</v>
      </c>
      <c r="D1561" s="254" t="s">
        <v>87</v>
      </c>
      <c r="E1561" s="254" t="str">
        <f>_xlfn.XLOOKUP(C1561,Clientes!I:I,Clientes!F:F)</f>
        <v>GRUPO MOSAIC FERTILIZANTES DO BRASIL</v>
      </c>
      <c r="F1561" s="254">
        <v>4676</v>
      </c>
      <c r="G1561" s="254" t="s">
        <v>862</v>
      </c>
      <c r="H1561" s="254" t="s">
        <v>999</v>
      </c>
      <c r="I1561" s="255">
        <v>30000</v>
      </c>
      <c r="J1561" s="256">
        <v>30000</v>
      </c>
      <c r="K1561" s="255">
        <v>344726.51110161265</v>
      </c>
      <c r="L1561" s="258">
        <v>-40320</v>
      </c>
      <c r="M1561" s="258">
        <f t="shared" si="98"/>
        <v>304406.51110161265</v>
      </c>
      <c r="N1561" s="258">
        <v>-171895.5</v>
      </c>
      <c r="O1561" s="258">
        <v>-14049.6057</v>
      </c>
      <c r="P1561" s="258">
        <v>-10.357976340810701</v>
      </c>
      <c r="Q1561" s="258">
        <f t="shared" si="99"/>
        <v>118451.04742527184</v>
      </c>
      <c r="R1561" s="259">
        <f t="shared" si="100"/>
        <v>0.38912126746767317</v>
      </c>
      <c r="S1561" s="255">
        <f t="shared" si="97"/>
        <v>11.490883703387087</v>
      </c>
      <c r="T1561" s="255">
        <f t="shared" si="97"/>
        <v>11.490883703387087</v>
      </c>
      <c r="U1561" s="254">
        <v>101900</v>
      </c>
      <c r="V1561" s="254" t="s">
        <v>997</v>
      </c>
      <c r="W1561" s="254" t="s">
        <v>864</v>
      </c>
      <c r="X1561" s="254" t="s">
        <v>446</v>
      </c>
      <c r="Y1561" s="254" t="s">
        <v>843</v>
      </c>
      <c r="Z1561" s="254" t="s">
        <v>1150</v>
      </c>
      <c r="AA1561" s="254" t="s">
        <v>838</v>
      </c>
    </row>
    <row r="1562" spans="1:27" ht="14.4" x14ac:dyDescent="0.3">
      <c r="A1562" s="253">
        <v>11</v>
      </c>
      <c r="B1562" s="254" t="s">
        <v>854</v>
      </c>
      <c r="C1562" s="254">
        <v>2559</v>
      </c>
      <c r="D1562" s="254" t="s">
        <v>451</v>
      </c>
      <c r="E1562" s="254" t="str">
        <f>_xlfn.XLOOKUP(C1562,Clientes!I:I,Clientes!F:F)</f>
        <v>GRUPO MOSAIC FERTILIZANTES DO BRASIL</v>
      </c>
      <c r="F1562" s="254">
        <v>4676</v>
      </c>
      <c r="G1562" s="254" t="s">
        <v>877</v>
      </c>
      <c r="H1562" s="254" t="s">
        <v>999</v>
      </c>
      <c r="I1562" s="255">
        <v>30000</v>
      </c>
      <c r="J1562" s="256">
        <v>30000</v>
      </c>
      <c r="K1562" s="255">
        <v>347496.63485153631</v>
      </c>
      <c r="L1562" s="258">
        <v>-40644</v>
      </c>
      <c r="M1562" s="258">
        <f t="shared" si="98"/>
        <v>306852.63485153631</v>
      </c>
      <c r="N1562" s="258">
        <v>-171895.5</v>
      </c>
      <c r="O1562" s="258">
        <v>-24421.605</v>
      </c>
      <c r="P1562" s="258">
        <v>-18.004662351102446</v>
      </c>
      <c r="Q1562" s="258">
        <f t="shared" si="99"/>
        <v>110517.52518918521</v>
      </c>
      <c r="R1562" s="259">
        <f t="shared" si="100"/>
        <v>0.36016482388250182</v>
      </c>
      <c r="S1562" s="255">
        <f t="shared" si="97"/>
        <v>11.583221161717876</v>
      </c>
      <c r="T1562" s="255">
        <f t="shared" si="97"/>
        <v>11.583221161717876</v>
      </c>
      <c r="U1562" s="254">
        <v>101900</v>
      </c>
      <c r="V1562" s="254" t="s">
        <v>997</v>
      </c>
      <c r="W1562" s="254" t="s">
        <v>878</v>
      </c>
      <c r="X1562" s="254" t="s">
        <v>446</v>
      </c>
      <c r="Y1562" s="254" t="s">
        <v>843</v>
      </c>
      <c r="Z1562" s="254" t="s">
        <v>1150</v>
      </c>
      <c r="AA1562" s="254" t="s">
        <v>838</v>
      </c>
    </row>
    <row r="1563" spans="1:27" ht="14.4" x14ac:dyDescent="0.3">
      <c r="A1563" s="253">
        <v>11</v>
      </c>
      <c r="B1563" s="254" t="s">
        <v>854</v>
      </c>
      <c r="C1563" s="254">
        <v>903</v>
      </c>
      <c r="D1563" s="254" t="s">
        <v>47</v>
      </c>
      <c r="E1563" s="254" t="str">
        <f>_xlfn.XLOOKUP(C1563,Clientes!I:I,Clientes!F:F)</f>
        <v>GRUPO YARA</v>
      </c>
      <c r="F1563" s="254">
        <v>4627</v>
      </c>
      <c r="G1563" s="254" t="s">
        <v>862</v>
      </c>
      <c r="H1563" s="254" t="s">
        <v>1000</v>
      </c>
      <c r="I1563" s="255">
        <v>30000</v>
      </c>
      <c r="J1563" s="256">
        <v>30000</v>
      </c>
      <c r="K1563" s="258">
        <v>257353.03761300293</v>
      </c>
      <c r="L1563" s="258">
        <v>-30780</v>
      </c>
      <c r="M1563" s="258">
        <f t="shared" si="98"/>
        <v>226573.03761300293</v>
      </c>
      <c r="N1563" s="258">
        <v>-157435.9142857143</v>
      </c>
      <c r="O1563" s="258">
        <v>-11813.963615999999</v>
      </c>
      <c r="P1563" s="258">
        <v>-8.7097644046854956</v>
      </c>
      <c r="Q1563" s="258">
        <f t="shared" si="99"/>
        <v>57314.449946883942</v>
      </c>
      <c r="R1563" s="259">
        <f t="shared" si="100"/>
        <v>0.25296235841079923</v>
      </c>
      <c r="S1563" s="255">
        <f t="shared" si="97"/>
        <v>8.578434587100098</v>
      </c>
      <c r="T1563" s="255">
        <f t="shared" si="97"/>
        <v>8.578434587100098</v>
      </c>
      <c r="U1563" s="254">
        <v>102200</v>
      </c>
      <c r="V1563" s="254" t="s">
        <v>1001</v>
      </c>
      <c r="W1563" s="254" t="s">
        <v>1002</v>
      </c>
      <c r="X1563" s="254" t="s">
        <v>446</v>
      </c>
      <c r="Y1563" s="254" t="s">
        <v>843</v>
      </c>
      <c r="Z1563" s="254" t="s">
        <v>1150</v>
      </c>
      <c r="AA1563" s="254" t="s">
        <v>838</v>
      </c>
    </row>
    <row r="1564" spans="1:27" ht="14.4" x14ac:dyDescent="0.3">
      <c r="A1564" s="253">
        <v>11</v>
      </c>
      <c r="B1564" s="254" t="s">
        <v>854</v>
      </c>
      <c r="C1564" s="254">
        <v>1159</v>
      </c>
      <c r="D1564" s="254" t="s">
        <v>50</v>
      </c>
      <c r="E1564" s="254" t="str">
        <f>_xlfn.XLOOKUP(C1564,Clientes!I:I,Clientes!F:F)</f>
        <v>GRUPO YARA</v>
      </c>
      <c r="F1564" s="254">
        <v>4627</v>
      </c>
      <c r="G1564" s="254" t="s">
        <v>877</v>
      </c>
      <c r="H1564" s="254" t="s">
        <v>1000</v>
      </c>
      <c r="I1564" s="255">
        <v>180000</v>
      </c>
      <c r="J1564" s="256">
        <v>180000</v>
      </c>
      <c r="K1564" s="258">
        <v>1634417.5371211765</v>
      </c>
      <c r="L1564" s="258">
        <v>-195480</v>
      </c>
      <c r="M1564" s="258">
        <f t="shared" si="98"/>
        <v>1438937.5371211765</v>
      </c>
      <c r="N1564" s="258">
        <v>-944615.48571428575</v>
      </c>
      <c r="O1564" s="258">
        <v>-146529.63</v>
      </c>
      <c r="P1564" s="258">
        <v>-108.02797410661468</v>
      </c>
      <c r="Q1564" s="258">
        <f t="shared" si="99"/>
        <v>347684.39343278413</v>
      </c>
      <c r="R1564" s="259">
        <f t="shared" si="100"/>
        <v>0.24162577211543323</v>
      </c>
      <c r="S1564" s="255">
        <f t="shared" si="97"/>
        <v>9.0800974284509799</v>
      </c>
      <c r="T1564" s="255">
        <f t="shared" si="97"/>
        <v>9.0800974284509799</v>
      </c>
      <c r="U1564" s="254">
        <v>102200</v>
      </c>
      <c r="V1564" s="254" t="s">
        <v>1001</v>
      </c>
      <c r="W1564" s="254" t="s">
        <v>878</v>
      </c>
      <c r="X1564" s="254" t="s">
        <v>446</v>
      </c>
      <c r="Y1564" s="254" t="s">
        <v>843</v>
      </c>
      <c r="Z1564" s="254" t="s">
        <v>1150</v>
      </c>
      <c r="AA1564" s="254" t="s">
        <v>838</v>
      </c>
    </row>
    <row r="1565" spans="1:27" ht="14.4" x14ac:dyDescent="0.3">
      <c r="A1565" s="253">
        <v>11</v>
      </c>
      <c r="B1565" s="254" t="s">
        <v>854</v>
      </c>
      <c r="C1565" s="254">
        <v>2011</v>
      </c>
      <c r="D1565" s="254" t="s">
        <v>616</v>
      </c>
      <c r="E1565" s="254" t="str">
        <f>_xlfn.XLOOKUP(C1565,Clientes!I:I,Clientes!F:F)</f>
        <v>FERTGROW S.A</v>
      </c>
      <c r="F1565" s="254">
        <v>12813</v>
      </c>
      <c r="G1565" s="254" t="s">
        <v>897</v>
      </c>
      <c r="H1565" s="254" t="s">
        <v>1060</v>
      </c>
      <c r="I1565" s="255">
        <v>90000</v>
      </c>
      <c r="J1565" s="256">
        <v>90000</v>
      </c>
      <c r="K1565" s="258">
        <v>1011150.3091441935</v>
      </c>
      <c r="L1565" s="258">
        <v>-39384</v>
      </c>
      <c r="M1565" s="258">
        <f t="shared" si="98"/>
        <v>971766.30914419354</v>
      </c>
      <c r="N1565" s="258">
        <v>-403289.43000000005</v>
      </c>
      <c r="O1565" s="258">
        <v>-79384.58189999999</v>
      </c>
      <c r="P1565" s="258">
        <v>-58.525743618936538</v>
      </c>
      <c r="Q1565" s="258">
        <f t="shared" si="99"/>
        <v>489033.77150057454</v>
      </c>
      <c r="R1565" s="259">
        <f t="shared" si="100"/>
        <v>0.50324215492843383</v>
      </c>
      <c r="S1565" s="255">
        <f t="shared" si="97"/>
        <v>11.235003434935484</v>
      </c>
      <c r="T1565" s="255">
        <f t="shared" si="97"/>
        <v>11.235003434935484</v>
      </c>
      <c r="U1565" s="254">
        <v>102300</v>
      </c>
      <c r="V1565" s="254" t="s">
        <v>1059</v>
      </c>
      <c r="W1565" s="254" t="s">
        <v>899</v>
      </c>
      <c r="X1565" s="254" t="s">
        <v>446</v>
      </c>
      <c r="Y1565" s="254" t="s">
        <v>843</v>
      </c>
      <c r="Z1565" s="254" t="s">
        <v>1150</v>
      </c>
      <c r="AA1565" s="254" t="s">
        <v>838</v>
      </c>
    </row>
    <row r="1566" spans="1:27" ht="14.4" x14ac:dyDescent="0.3">
      <c r="A1566" s="253">
        <v>11</v>
      </c>
      <c r="B1566" s="254" t="s">
        <v>854</v>
      </c>
      <c r="C1566" s="254">
        <v>139</v>
      </c>
      <c r="D1566" s="254" t="s">
        <v>32</v>
      </c>
      <c r="E1566" s="254" t="str">
        <f>_xlfn.XLOOKUP(C1566,Clientes!I:I,Clientes!F:F)</f>
        <v>COMIGO - RIO VERDE</v>
      </c>
      <c r="F1566" s="254">
        <v>14190</v>
      </c>
      <c r="G1566" s="254" t="s">
        <v>867</v>
      </c>
      <c r="H1566" s="254" t="s">
        <v>1122</v>
      </c>
      <c r="I1566" s="255">
        <v>100000</v>
      </c>
      <c r="J1566" s="256">
        <v>100000</v>
      </c>
      <c r="K1566" s="258">
        <v>815410.6697750251</v>
      </c>
      <c r="L1566" s="258">
        <v>-31760</v>
      </c>
      <c r="M1566" s="258">
        <f t="shared" si="98"/>
        <v>783650.6697750251</v>
      </c>
      <c r="N1566" s="258">
        <v>-446917.99999999994</v>
      </c>
      <c r="O1566" s="258">
        <v>-18962.657999999999</v>
      </c>
      <c r="P1566" s="258">
        <v>-13.980090766738369</v>
      </c>
      <c r="Q1566" s="258">
        <f t="shared" si="99"/>
        <v>317756.03168425843</v>
      </c>
      <c r="R1566" s="259">
        <f t="shared" si="100"/>
        <v>0.40548173304756013</v>
      </c>
      <c r="S1566" s="255">
        <f t="shared" si="97"/>
        <v>8.154106697750251</v>
      </c>
      <c r="T1566" s="255">
        <f t="shared" si="97"/>
        <v>8.154106697750251</v>
      </c>
      <c r="U1566" s="254">
        <v>102300</v>
      </c>
      <c r="V1566" s="254" t="s">
        <v>1059</v>
      </c>
      <c r="W1566" s="254" t="s">
        <v>890</v>
      </c>
      <c r="X1566" s="254" t="s">
        <v>446</v>
      </c>
      <c r="Y1566" s="254" t="s">
        <v>843</v>
      </c>
      <c r="Z1566" s="254" t="s">
        <v>1150</v>
      </c>
      <c r="AA1566" s="254" t="s">
        <v>838</v>
      </c>
    </row>
    <row r="1567" spans="1:27" ht="14.4" x14ac:dyDescent="0.3">
      <c r="A1567" s="253">
        <v>11</v>
      </c>
      <c r="B1567" s="254" t="s">
        <v>854</v>
      </c>
      <c r="C1567" s="254">
        <v>97</v>
      </c>
      <c r="D1567" s="254" t="s">
        <v>300</v>
      </c>
      <c r="E1567" s="254" t="str">
        <f>_xlfn.XLOOKUP(C1567,Clientes!I:I,Clientes!F:F)</f>
        <v>FECOAGRO FEDERACAO DAS COOPERATIVAS</v>
      </c>
      <c r="F1567" s="254">
        <v>13600</v>
      </c>
      <c r="G1567" s="254" t="s">
        <v>893</v>
      </c>
      <c r="H1567" s="254" t="s">
        <v>1098</v>
      </c>
      <c r="I1567" s="255">
        <v>210000</v>
      </c>
      <c r="J1567" s="256">
        <v>210000</v>
      </c>
      <c r="K1567" s="258">
        <v>1940964.944426697</v>
      </c>
      <c r="L1567" s="258">
        <v>-75600</v>
      </c>
      <c r="M1567" s="258">
        <f t="shared" si="98"/>
        <v>1865364.944426697</v>
      </c>
      <c r="N1567" s="258">
        <v>-1208441.81</v>
      </c>
      <c r="O1567" s="258">
        <v>-117654.67349999999</v>
      </c>
      <c r="P1567" s="258">
        <v>-86.740108620899434</v>
      </c>
      <c r="Q1567" s="258">
        <f t="shared" si="99"/>
        <v>539181.72081807593</v>
      </c>
      <c r="R1567" s="259">
        <f t="shared" si="100"/>
        <v>0.28904891904880764</v>
      </c>
      <c r="S1567" s="255">
        <f t="shared" si="97"/>
        <v>9.2426902115557006</v>
      </c>
      <c r="T1567" s="255">
        <f t="shared" si="97"/>
        <v>9.2426902115557006</v>
      </c>
      <c r="U1567" s="254">
        <v>102300</v>
      </c>
      <c r="V1567" s="254" t="s">
        <v>1059</v>
      </c>
      <c r="W1567" s="254" t="s">
        <v>894</v>
      </c>
      <c r="X1567" s="254" t="s">
        <v>446</v>
      </c>
      <c r="Y1567" s="254" t="s">
        <v>843</v>
      </c>
      <c r="Z1567" s="254" t="s">
        <v>1150</v>
      </c>
      <c r="AA1567" s="254" t="s">
        <v>838</v>
      </c>
    </row>
    <row r="1568" spans="1:27" ht="14.4" x14ac:dyDescent="0.3">
      <c r="A1568" s="253">
        <v>11</v>
      </c>
      <c r="B1568" s="254" t="s">
        <v>854</v>
      </c>
      <c r="C1568" s="254">
        <v>8855</v>
      </c>
      <c r="D1568" s="254" t="s">
        <v>1003</v>
      </c>
      <c r="E1568" s="254" t="str">
        <f>_xlfn.XLOOKUP(C1568,Clientes!I:I,Clientes!F:F)</f>
        <v>TERMAG GUARUJA</v>
      </c>
      <c r="F1568" s="254">
        <v>7398</v>
      </c>
      <c r="G1568" s="254" t="s">
        <v>908</v>
      </c>
      <c r="H1568" s="254" t="s">
        <v>1004</v>
      </c>
      <c r="I1568" s="255">
        <v>30000</v>
      </c>
      <c r="J1568" s="256">
        <v>30000</v>
      </c>
      <c r="K1568" s="258">
        <v>73800</v>
      </c>
      <c r="L1568" s="258">
        <v>-8856</v>
      </c>
      <c r="M1568" s="258">
        <f t="shared" si="98"/>
        <v>64944</v>
      </c>
      <c r="N1568" s="258">
        <v>-18589.698387096778</v>
      </c>
      <c r="O1568" s="258">
        <v>-13045.632163199998</v>
      </c>
      <c r="P1568" s="258">
        <v>-9.6178036724080247</v>
      </c>
      <c r="Q1568" s="258">
        <f t="shared" si="99"/>
        <v>33299.051646030814</v>
      </c>
      <c r="R1568" s="259">
        <f t="shared" si="100"/>
        <v>0.51273484303447303</v>
      </c>
      <c r="S1568" s="255">
        <f t="shared" si="97"/>
        <v>2.46</v>
      </c>
      <c r="T1568" s="255">
        <f t="shared" si="97"/>
        <v>2.46</v>
      </c>
      <c r="U1568" s="254">
        <v>102600</v>
      </c>
      <c r="V1568" s="254" t="s">
        <v>1005</v>
      </c>
      <c r="W1568" s="254" t="s">
        <v>1006</v>
      </c>
      <c r="X1568" s="254" t="s">
        <v>446</v>
      </c>
      <c r="Y1568" s="254" t="s">
        <v>843</v>
      </c>
      <c r="Z1568" s="254" t="s">
        <v>1150</v>
      </c>
      <c r="AA1568" s="254" t="s">
        <v>838</v>
      </c>
    </row>
    <row r="1569" spans="1:27" ht="14.4" x14ac:dyDescent="0.3">
      <c r="A1569" s="253">
        <v>11</v>
      </c>
      <c r="B1569" s="254" t="s">
        <v>854</v>
      </c>
      <c r="C1569" s="254">
        <v>7648</v>
      </c>
      <c r="D1569" s="254" t="s">
        <v>958</v>
      </c>
      <c r="E1569" s="254" t="str">
        <f>_xlfn.XLOOKUP(C1569,Clientes!I:I,Clientes!F:F)</f>
        <v>GRUPO LOUIS DREYFUS</v>
      </c>
      <c r="F1569" s="254">
        <v>14154</v>
      </c>
      <c r="G1569" s="254" t="s">
        <v>862</v>
      </c>
      <c r="H1569" s="254" t="s">
        <v>1007</v>
      </c>
      <c r="I1569" s="255">
        <v>13200</v>
      </c>
      <c r="J1569" s="256">
        <v>13200</v>
      </c>
      <c r="K1569" s="258">
        <v>47916</v>
      </c>
      <c r="L1569" s="258">
        <v>-5749.92</v>
      </c>
      <c r="M1569" s="258">
        <f t="shared" si="98"/>
        <v>42166.080000000002</v>
      </c>
      <c r="N1569" s="258">
        <v>-15204.505555555557</v>
      </c>
      <c r="O1569" s="258">
        <v>-9623.6718130238405</v>
      </c>
      <c r="P1569" s="258">
        <v>-7.0949866551078919</v>
      </c>
      <c r="Q1569" s="258">
        <f t="shared" si="99"/>
        <v>17330.807644765493</v>
      </c>
      <c r="R1569" s="259">
        <f t="shared" si="100"/>
        <v>0.4110130143652313</v>
      </c>
      <c r="S1569" s="255">
        <f t="shared" si="97"/>
        <v>3.63</v>
      </c>
      <c r="T1569" s="255">
        <f t="shared" si="97"/>
        <v>3.63</v>
      </c>
      <c r="U1569" s="254">
        <v>102600</v>
      </c>
      <c r="V1569" s="254" t="s">
        <v>1005</v>
      </c>
      <c r="W1569" s="254" t="s">
        <v>864</v>
      </c>
      <c r="X1569" s="254" t="s">
        <v>446</v>
      </c>
      <c r="Y1569" s="254" t="s">
        <v>843</v>
      </c>
      <c r="Z1569" s="254" t="s">
        <v>1150</v>
      </c>
      <c r="AA1569" s="254" t="s">
        <v>838</v>
      </c>
    </row>
    <row r="1570" spans="1:27" ht="14.4" x14ac:dyDescent="0.3">
      <c r="A1570" s="253">
        <v>11</v>
      </c>
      <c r="B1570" s="254" t="s">
        <v>854</v>
      </c>
      <c r="C1570" s="254">
        <v>139</v>
      </c>
      <c r="D1570" s="254" t="s">
        <v>32</v>
      </c>
      <c r="E1570" s="254" t="str">
        <f>_xlfn.XLOOKUP(C1570,Clientes!I:I,Clientes!F:F)</f>
        <v>COMIGO - RIO VERDE</v>
      </c>
      <c r="F1570" s="254">
        <v>14154</v>
      </c>
      <c r="G1570" s="254" t="s">
        <v>867</v>
      </c>
      <c r="H1570" s="254" t="s">
        <v>1007</v>
      </c>
      <c r="I1570" s="255">
        <v>30000</v>
      </c>
      <c r="J1570" s="256">
        <v>30000</v>
      </c>
      <c r="K1570" s="258">
        <v>48600</v>
      </c>
      <c r="L1570" s="258">
        <v>-3402.0000000000005</v>
      </c>
      <c r="M1570" s="258">
        <f t="shared" si="98"/>
        <v>45198</v>
      </c>
      <c r="N1570" s="258">
        <v>-34555.694444444445</v>
      </c>
      <c r="O1570" s="258">
        <v>-5688.7973999999995</v>
      </c>
      <c r="P1570" s="258">
        <v>-4.1940272300215113</v>
      </c>
      <c r="Q1570" s="258">
        <f t="shared" si="99"/>
        <v>4949.3141283255336</v>
      </c>
      <c r="R1570" s="259">
        <f t="shared" si="100"/>
        <v>0.1095029454472661</v>
      </c>
      <c r="S1570" s="255">
        <f t="shared" si="97"/>
        <v>1.62</v>
      </c>
      <c r="T1570" s="255">
        <f t="shared" si="97"/>
        <v>1.62</v>
      </c>
      <c r="U1570" s="254">
        <v>102600</v>
      </c>
      <c r="V1570" s="254" t="s">
        <v>1005</v>
      </c>
      <c r="W1570" s="254" t="s">
        <v>890</v>
      </c>
      <c r="X1570" s="254" t="s">
        <v>446</v>
      </c>
      <c r="Y1570" s="254" t="s">
        <v>843</v>
      </c>
      <c r="Z1570" s="254" t="s">
        <v>1150</v>
      </c>
      <c r="AA1570" s="254" t="s">
        <v>838</v>
      </c>
    </row>
    <row r="1571" spans="1:27" ht="14.4" x14ac:dyDescent="0.3">
      <c r="A1571" s="253">
        <v>11</v>
      </c>
      <c r="B1571" s="254" t="s">
        <v>854</v>
      </c>
      <c r="C1571" s="254">
        <v>8413</v>
      </c>
      <c r="D1571" s="254" t="s">
        <v>97</v>
      </c>
      <c r="E1571" s="254" t="str">
        <f>_xlfn.XLOOKUP(C1571,Clientes!I:I,Clientes!F:F)</f>
        <v>GRUPO AMAGGI</v>
      </c>
      <c r="F1571" s="254">
        <v>7398</v>
      </c>
      <c r="G1571" s="254" t="s">
        <v>840</v>
      </c>
      <c r="H1571" s="254" t="s">
        <v>1004</v>
      </c>
      <c r="I1571" s="255">
        <v>32000</v>
      </c>
      <c r="J1571" s="256">
        <v>32000</v>
      </c>
      <c r="K1571" s="258">
        <v>66240</v>
      </c>
      <c r="L1571" s="258">
        <v>-4636.8</v>
      </c>
      <c r="M1571" s="258">
        <f t="shared" si="98"/>
        <v>61603.199999999997</v>
      </c>
      <c r="N1571" s="258">
        <v>-19829.011612903229</v>
      </c>
      <c r="O1571" s="258">
        <v>-23352.800640000001</v>
      </c>
      <c r="P1571" s="258">
        <v>-17.216693598795377</v>
      </c>
      <c r="Q1571" s="258">
        <f t="shared" si="99"/>
        <v>18404.171053497976</v>
      </c>
      <c r="R1571" s="259">
        <f t="shared" si="100"/>
        <v>0.29875349094686604</v>
      </c>
      <c r="S1571" s="255">
        <f t="shared" si="97"/>
        <v>2.0699999999999998</v>
      </c>
      <c r="T1571" s="255">
        <f t="shared" si="97"/>
        <v>2.0699999999999998</v>
      </c>
      <c r="U1571" s="254">
        <v>102600</v>
      </c>
      <c r="V1571" s="254" t="s">
        <v>1005</v>
      </c>
      <c r="W1571" s="254" t="s">
        <v>915</v>
      </c>
      <c r="X1571" s="254" t="s">
        <v>446</v>
      </c>
      <c r="Y1571" s="254" t="s">
        <v>843</v>
      </c>
      <c r="Z1571" s="254" t="s">
        <v>1150</v>
      </c>
      <c r="AA1571" s="254" t="s">
        <v>838</v>
      </c>
    </row>
  </sheetData>
  <autoFilter ref="A2:AA1571" xr:uid="{B8885028-6240-43FD-8969-874BF339C18B}"/>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8DC-A1DC-4B5B-9B55-17EF44EEC25D}">
  <dimension ref="A1:AH3345"/>
  <sheetViews>
    <sheetView workbookViewId="0">
      <selection activeCell="A2" sqref="A2:AH3345"/>
    </sheetView>
  </sheetViews>
  <sheetFormatPr defaultColWidth="18.6640625" defaultRowHeight="13.2" x14ac:dyDescent="0.25"/>
  <cols>
    <col min="1" max="1" width="13.21875" bestFit="1" customWidth="1"/>
    <col min="2" max="2" width="28.44140625" bestFit="1" customWidth="1"/>
    <col min="3" max="3" width="27.88671875" bestFit="1" customWidth="1"/>
    <col min="4" max="4" width="14.88671875" bestFit="1" customWidth="1"/>
    <col min="5" max="5" width="8" bestFit="1" customWidth="1"/>
    <col min="6" max="6" width="48.5546875" bestFit="1" customWidth="1"/>
    <col min="7" max="7" width="29.88671875" bestFit="1" customWidth="1"/>
    <col min="8" max="8" width="9" bestFit="1" customWidth="1"/>
    <col min="9" max="9" width="14.5546875" bestFit="1" customWidth="1"/>
    <col min="10" max="11" width="49.44140625" bestFit="1" customWidth="1"/>
    <col min="12" max="12" width="6.109375" bestFit="1" customWidth="1"/>
    <col min="13" max="13" width="16.21875" bestFit="1" customWidth="1"/>
    <col min="14" max="14" width="7.109375" bestFit="1" customWidth="1"/>
    <col min="15" max="15" width="19.44140625" bestFit="1" customWidth="1"/>
    <col min="16" max="16" width="12.33203125" bestFit="1" customWidth="1"/>
    <col min="17" max="17" width="27.21875" bestFit="1" customWidth="1"/>
    <col min="18" max="18" width="8.88671875" bestFit="1" customWidth="1"/>
    <col min="19" max="19" width="31.6640625" bestFit="1" customWidth="1"/>
    <col min="20" max="20" width="23.88671875" bestFit="1" customWidth="1"/>
    <col min="21" max="21" width="27.21875" bestFit="1" customWidth="1"/>
    <col min="22" max="23" width="18.21875" bestFit="1" customWidth="1"/>
    <col min="24" max="24" width="20" bestFit="1" customWidth="1"/>
    <col min="25" max="25" width="32.109375" bestFit="1" customWidth="1"/>
    <col min="26" max="26" width="36.5546875" bestFit="1" customWidth="1"/>
    <col min="27" max="27" width="8.5546875" bestFit="1" customWidth="1"/>
    <col min="28" max="28" width="7.88671875" bestFit="1" customWidth="1"/>
    <col min="29" max="29" width="10.5546875" bestFit="1" customWidth="1"/>
    <col min="30" max="30" width="69.33203125" bestFit="1" customWidth="1"/>
    <col min="31" max="31" width="7.109375" bestFit="1" customWidth="1"/>
    <col min="32" max="32" width="55.109375" bestFit="1" customWidth="1"/>
    <col min="33" max="33" width="8.77734375" bestFit="1" customWidth="1"/>
    <col min="34" max="34" width="17.77734375" bestFit="1" customWidth="1"/>
  </cols>
  <sheetData>
    <row r="1" spans="1:34" ht="13.8" x14ac:dyDescent="0.25">
      <c r="A1" s="134" t="s">
        <v>1153</v>
      </c>
      <c r="B1" s="134" t="s">
        <v>1154</v>
      </c>
      <c r="C1" s="134" t="s">
        <v>1155</v>
      </c>
      <c r="D1" s="134" t="s">
        <v>1156</v>
      </c>
      <c r="E1" s="134" t="s">
        <v>1157</v>
      </c>
      <c r="F1" s="134" t="s">
        <v>1158</v>
      </c>
      <c r="G1" s="134" t="s">
        <v>1159</v>
      </c>
      <c r="H1" s="134" t="s">
        <v>1160</v>
      </c>
      <c r="I1" s="134" t="s">
        <v>377</v>
      </c>
      <c r="J1" s="134" t="s">
        <v>378</v>
      </c>
      <c r="K1" s="134" t="s">
        <v>1161</v>
      </c>
      <c r="L1" s="134" t="s">
        <v>500</v>
      </c>
      <c r="M1" s="134" t="s">
        <v>1162</v>
      </c>
      <c r="N1" s="134" t="s">
        <v>1163</v>
      </c>
      <c r="O1" s="134" t="s">
        <v>1164</v>
      </c>
      <c r="P1" s="134" t="s">
        <v>1165</v>
      </c>
      <c r="Q1" s="134" t="s">
        <v>1166</v>
      </c>
      <c r="R1" s="134" t="s">
        <v>1167</v>
      </c>
      <c r="S1" s="134" t="s">
        <v>1168</v>
      </c>
      <c r="T1" s="134" t="s">
        <v>1169</v>
      </c>
      <c r="U1" s="134" t="s">
        <v>1170</v>
      </c>
      <c r="V1" s="134" t="s">
        <v>1171</v>
      </c>
      <c r="W1" s="134" t="s">
        <v>1171</v>
      </c>
      <c r="X1" s="134" t="s">
        <v>1172</v>
      </c>
      <c r="Y1" s="134" t="s">
        <v>1173</v>
      </c>
      <c r="Z1" s="134" t="s">
        <v>1174</v>
      </c>
      <c r="AA1" s="134" t="s">
        <v>1175</v>
      </c>
      <c r="AB1" s="134" t="s">
        <v>1176</v>
      </c>
      <c r="AC1" s="134" t="s">
        <v>1177</v>
      </c>
      <c r="AD1" s="134" t="s">
        <v>1178</v>
      </c>
      <c r="AE1" s="134" t="s">
        <v>1179</v>
      </c>
      <c r="AF1" s="134" t="s">
        <v>1180</v>
      </c>
      <c r="AG1" s="134" t="s">
        <v>1181</v>
      </c>
      <c r="AH1" s="134" t="s">
        <v>1182</v>
      </c>
    </row>
    <row r="2" spans="1:34" x14ac:dyDescent="0.25">
      <c r="A2">
        <v>1</v>
      </c>
      <c r="C2" s="185"/>
      <c r="E2" t="s">
        <v>386</v>
      </c>
      <c r="I2">
        <v>3490</v>
      </c>
      <c r="J2" t="s">
        <v>1183</v>
      </c>
      <c r="K2" t="s">
        <v>1183</v>
      </c>
      <c r="L2" t="s">
        <v>387</v>
      </c>
      <c r="M2" t="s">
        <v>1184</v>
      </c>
      <c r="O2">
        <v>0</v>
      </c>
      <c r="R2" t="s">
        <v>1185</v>
      </c>
      <c r="T2">
        <v>0</v>
      </c>
      <c r="V2" t="s">
        <v>1186</v>
      </c>
      <c r="Z2" t="s">
        <v>865</v>
      </c>
      <c r="AA2" t="s">
        <v>387</v>
      </c>
      <c r="AB2">
        <v>0</v>
      </c>
      <c r="AC2">
        <v>0</v>
      </c>
      <c r="AD2" t="s">
        <v>1187</v>
      </c>
      <c r="AE2">
        <v>0</v>
      </c>
      <c r="AF2" t="s">
        <v>1188</v>
      </c>
    </row>
    <row r="3" spans="1:34" x14ac:dyDescent="0.25">
      <c r="A3">
        <v>1</v>
      </c>
      <c r="C3" s="185"/>
      <c r="E3" t="s">
        <v>386</v>
      </c>
      <c r="I3">
        <v>3480</v>
      </c>
      <c r="J3" t="s">
        <v>1189</v>
      </c>
      <c r="K3" t="s">
        <v>1189</v>
      </c>
      <c r="L3" t="s">
        <v>387</v>
      </c>
      <c r="M3" t="s">
        <v>1184</v>
      </c>
      <c r="O3">
        <v>0</v>
      </c>
      <c r="R3" t="s">
        <v>1185</v>
      </c>
      <c r="T3">
        <v>0</v>
      </c>
      <c r="V3" t="s">
        <v>1186</v>
      </c>
      <c r="Z3" t="s">
        <v>865</v>
      </c>
      <c r="AA3" t="s">
        <v>387</v>
      </c>
      <c r="AB3">
        <v>0</v>
      </c>
      <c r="AC3">
        <v>0</v>
      </c>
      <c r="AD3" t="s">
        <v>1187</v>
      </c>
      <c r="AE3">
        <v>0</v>
      </c>
      <c r="AF3" t="s">
        <v>1188</v>
      </c>
    </row>
    <row r="4" spans="1:34" x14ac:dyDescent="0.25">
      <c r="A4">
        <v>1</v>
      </c>
      <c r="C4" s="185"/>
      <c r="E4" t="s">
        <v>386</v>
      </c>
      <c r="I4">
        <v>4146</v>
      </c>
      <c r="J4" t="s">
        <v>1190</v>
      </c>
      <c r="K4" t="s">
        <v>1190</v>
      </c>
      <c r="L4" t="s">
        <v>387</v>
      </c>
      <c r="M4" t="s">
        <v>1184</v>
      </c>
      <c r="O4">
        <v>0</v>
      </c>
      <c r="R4" t="s">
        <v>1185</v>
      </c>
      <c r="T4">
        <v>0</v>
      </c>
      <c r="V4" t="s">
        <v>1186</v>
      </c>
      <c r="Z4" t="s">
        <v>865</v>
      </c>
      <c r="AA4" t="s">
        <v>387</v>
      </c>
      <c r="AB4">
        <v>0</v>
      </c>
      <c r="AC4">
        <v>0</v>
      </c>
      <c r="AD4" t="s">
        <v>1187</v>
      </c>
      <c r="AE4">
        <v>0</v>
      </c>
      <c r="AF4" t="s">
        <v>1188</v>
      </c>
    </row>
    <row r="5" spans="1:34" x14ac:dyDescent="0.25">
      <c r="A5">
        <v>1453</v>
      </c>
      <c r="C5" s="185"/>
      <c r="E5" t="s">
        <v>386</v>
      </c>
      <c r="F5" t="s">
        <v>1191</v>
      </c>
      <c r="G5" t="s">
        <v>1192</v>
      </c>
      <c r="I5">
        <v>2576</v>
      </c>
      <c r="J5" t="s">
        <v>1191</v>
      </c>
      <c r="K5" t="s">
        <v>1191</v>
      </c>
      <c r="L5" t="s">
        <v>387</v>
      </c>
      <c r="M5" t="s">
        <v>1193</v>
      </c>
      <c r="N5">
        <v>2576</v>
      </c>
      <c r="O5">
        <v>13</v>
      </c>
      <c r="R5" t="s">
        <v>398</v>
      </c>
      <c r="T5">
        <v>220</v>
      </c>
      <c r="V5" t="s">
        <v>1194</v>
      </c>
      <c r="W5" t="s">
        <v>1186</v>
      </c>
      <c r="X5">
        <v>0</v>
      </c>
      <c r="Z5" t="s">
        <v>1195</v>
      </c>
      <c r="AA5" t="s">
        <v>387</v>
      </c>
      <c r="AB5">
        <v>8000</v>
      </c>
      <c r="AC5">
        <v>0</v>
      </c>
      <c r="AD5" t="s">
        <v>1187</v>
      </c>
      <c r="AE5">
        <v>0</v>
      </c>
      <c r="AF5" t="s">
        <v>1188</v>
      </c>
    </row>
    <row r="6" spans="1:34" x14ac:dyDescent="0.25">
      <c r="A6">
        <v>26</v>
      </c>
      <c r="C6" s="185"/>
      <c r="E6" t="s">
        <v>386</v>
      </c>
      <c r="F6" t="s">
        <v>1196</v>
      </c>
      <c r="G6" t="s">
        <v>1192</v>
      </c>
      <c r="I6">
        <v>2598</v>
      </c>
      <c r="J6" t="s">
        <v>1196</v>
      </c>
      <c r="K6" t="s">
        <v>1196</v>
      </c>
      <c r="L6" t="s">
        <v>387</v>
      </c>
      <c r="M6" t="s">
        <v>1193</v>
      </c>
      <c r="N6">
        <v>2598</v>
      </c>
      <c r="O6">
        <v>13</v>
      </c>
      <c r="R6" t="s">
        <v>398</v>
      </c>
      <c r="T6">
        <v>220</v>
      </c>
      <c r="V6" t="s">
        <v>1194</v>
      </c>
      <c r="W6" t="s">
        <v>1186</v>
      </c>
      <c r="X6">
        <v>0</v>
      </c>
      <c r="Z6" t="s">
        <v>888</v>
      </c>
      <c r="AA6" t="s">
        <v>387</v>
      </c>
      <c r="AB6">
        <v>8000</v>
      </c>
      <c r="AC6">
        <v>0</v>
      </c>
      <c r="AD6" t="s">
        <v>1187</v>
      </c>
      <c r="AE6">
        <v>0</v>
      </c>
      <c r="AF6" t="s">
        <v>1188</v>
      </c>
    </row>
    <row r="7" spans="1:34" x14ac:dyDescent="0.25">
      <c r="A7">
        <v>1458</v>
      </c>
      <c r="C7" s="185"/>
      <c r="E7" t="s">
        <v>386</v>
      </c>
      <c r="F7" t="s">
        <v>1204</v>
      </c>
      <c r="G7" t="s">
        <v>1192</v>
      </c>
      <c r="I7">
        <v>2670</v>
      </c>
      <c r="J7" t="s">
        <v>1204</v>
      </c>
      <c r="K7" t="s">
        <v>1204</v>
      </c>
      <c r="L7" t="s">
        <v>387</v>
      </c>
      <c r="M7" t="s">
        <v>1193</v>
      </c>
      <c r="N7">
        <v>2670</v>
      </c>
      <c r="O7">
        <v>13</v>
      </c>
      <c r="R7" t="s">
        <v>398</v>
      </c>
      <c r="T7">
        <v>220</v>
      </c>
      <c r="V7" t="s">
        <v>1194</v>
      </c>
      <c r="W7" t="s">
        <v>1205</v>
      </c>
      <c r="X7">
        <v>2</v>
      </c>
      <c r="Z7" t="s">
        <v>1030</v>
      </c>
      <c r="AA7" t="s">
        <v>387</v>
      </c>
      <c r="AB7">
        <v>8000</v>
      </c>
      <c r="AC7">
        <v>0</v>
      </c>
      <c r="AD7" t="s">
        <v>1187</v>
      </c>
      <c r="AE7">
        <v>0</v>
      </c>
      <c r="AF7" t="s">
        <v>1188</v>
      </c>
    </row>
    <row r="8" spans="1:34" x14ac:dyDescent="0.25">
      <c r="A8">
        <v>1</v>
      </c>
      <c r="C8" s="185"/>
      <c r="E8" t="s">
        <v>386</v>
      </c>
      <c r="F8" t="s">
        <v>1206</v>
      </c>
      <c r="G8" t="s">
        <v>1192</v>
      </c>
      <c r="H8" t="s">
        <v>1207</v>
      </c>
      <c r="I8">
        <v>4304</v>
      </c>
      <c r="J8" t="s">
        <v>1206</v>
      </c>
      <c r="K8" t="s">
        <v>1206</v>
      </c>
      <c r="L8" t="s">
        <v>387</v>
      </c>
      <c r="M8" t="s">
        <v>1184</v>
      </c>
      <c r="N8">
        <v>4304</v>
      </c>
      <c r="O8">
        <v>0</v>
      </c>
      <c r="R8" t="s">
        <v>1208</v>
      </c>
      <c r="T8">
        <v>74</v>
      </c>
      <c r="V8" t="s">
        <v>1209</v>
      </c>
      <c r="Z8" t="s">
        <v>865</v>
      </c>
      <c r="AA8" t="s">
        <v>386</v>
      </c>
      <c r="AB8">
        <v>0</v>
      </c>
      <c r="AC8">
        <v>611</v>
      </c>
      <c r="AD8" t="s">
        <v>1210</v>
      </c>
      <c r="AE8">
        <v>279</v>
      </c>
      <c r="AF8" t="s">
        <v>1211</v>
      </c>
      <c r="AG8" t="s">
        <v>1212</v>
      </c>
    </row>
    <row r="9" spans="1:34" x14ac:dyDescent="0.25">
      <c r="A9">
        <v>1</v>
      </c>
      <c r="C9" s="185"/>
      <c r="E9" t="s">
        <v>386</v>
      </c>
      <c r="F9" t="s">
        <v>1213</v>
      </c>
      <c r="G9" t="s">
        <v>1192</v>
      </c>
      <c r="H9" t="s">
        <v>1214</v>
      </c>
      <c r="I9">
        <v>5725</v>
      </c>
      <c r="J9" t="s">
        <v>1213</v>
      </c>
      <c r="K9" t="s">
        <v>1213</v>
      </c>
      <c r="L9" t="s">
        <v>387</v>
      </c>
      <c r="M9" t="s">
        <v>1193</v>
      </c>
      <c r="N9">
        <v>5725</v>
      </c>
      <c r="O9">
        <v>0</v>
      </c>
      <c r="T9">
        <v>259</v>
      </c>
      <c r="V9" t="s">
        <v>1215</v>
      </c>
      <c r="W9" t="s">
        <v>1216</v>
      </c>
      <c r="X9">
        <v>260</v>
      </c>
      <c r="Z9" t="s">
        <v>865</v>
      </c>
      <c r="AA9" t="s">
        <v>387</v>
      </c>
      <c r="AB9">
        <v>0</v>
      </c>
      <c r="AC9">
        <v>2694</v>
      </c>
      <c r="AD9" t="s">
        <v>1217</v>
      </c>
      <c r="AE9">
        <v>114</v>
      </c>
      <c r="AF9" t="s">
        <v>1218</v>
      </c>
      <c r="AG9" t="s">
        <v>1219</v>
      </c>
    </row>
    <row r="10" spans="1:34" x14ac:dyDescent="0.25">
      <c r="A10">
        <v>1</v>
      </c>
      <c r="C10" s="185"/>
      <c r="E10" t="s">
        <v>386</v>
      </c>
      <c r="F10" t="s">
        <v>1220</v>
      </c>
      <c r="G10" t="s">
        <v>1197</v>
      </c>
      <c r="H10" t="s">
        <v>1221</v>
      </c>
      <c r="I10">
        <v>1860</v>
      </c>
      <c r="J10" t="s">
        <v>1220</v>
      </c>
      <c r="K10" t="s">
        <v>1220</v>
      </c>
      <c r="L10" t="s">
        <v>387</v>
      </c>
      <c r="M10" t="s">
        <v>1193</v>
      </c>
      <c r="N10">
        <v>1860</v>
      </c>
      <c r="O10">
        <v>0</v>
      </c>
      <c r="Q10" t="s">
        <v>1222</v>
      </c>
      <c r="R10" t="s">
        <v>1223</v>
      </c>
      <c r="T10">
        <v>259</v>
      </c>
      <c r="V10" t="s">
        <v>1215</v>
      </c>
      <c r="W10" t="s">
        <v>1216</v>
      </c>
      <c r="X10">
        <v>260</v>
      </c>
      <c r="Z10" t="s">
        <v>865</v>
      </c>
      <c r="AA10" t="s">
        <v>387</v>
      </c>
      <c r="AB10">
        <v>0</v>
      </c>
      <c r="AC10">
        <v>21</v>
      </c>
      <c r="AD10" t="s">
        <v>1224</v>
      </c>
      <c r="AE10">
        <v>10</v>
      </c>
      <c r="AF10" t="s">
        <v>1225</v>
      </c>
      <c r="AG10" t="s">
        <v>1226</v>
      </c>
      <c r="AH10" t="s">
        <v>1227</v>
      </c>
    </row>
    <row r="11" spans="1:34" x14ac:dyDescent="0.25">
      <c r="A11">
        <v>1</v>
      </c>
      <c r="C11" s="185">
        <v>40864</v>
      </c>
      <c r="E11" t="s">
        <v>386</v>
      </c>
      <c r="F11" t="s">
        <v>1228</v>
      </c>
      <c r="G11" t="s">
        <v>1197</v>
      </c>
      <c r="H11" t="s">
        <v>1229</v>
      </c>
      <c r="I11">
        <v>3084</v>
      </c>
      <c r="J11" t="s">
        <v>1230</v>
      </c>
      <c r="K11" t="s">
        <v>1231</v>
      </c>
      <c r="L11" t="s">
        <v>387</v>
      </c>
      <c r="M11" t="s">
        <v>1193</v>
      </c>
      <c r="N11">
        <v>1</v>
      </c>
      <c r="O11">
        <v>0</v>
      </c>
      <c r="Q11" t="s">
        <v>1232</v>
      </c>
      <c r="T11">
        <v>259</v>
      </c>
      <c r="V11" t="s">
        <v>1215</v>
      </c>
      <c r="W11" t="s">
        <v>1233</v>
      </c>
      <c r="X11">
        <v>287</v>
      </c>
      <c r="Z11" t="s">
        <v>865</v>
      </c>
      <c r="AA11" t="s">
        <v>386</v>
      </c>
      <c r="AB11">
        <v>0</v>
      </c>
      <c r="AC11">
        <v>8</v>
      </c>
      <c r="AD11" t="s">
        <v>1234</v>
      </c>
      <c r="AE11">
        <v>3</v>
      </c>
      <c r="AF11" t="s">
        <v>1235</v>
      </c>
      <c r="AG11" t="s">
        <v>1236</v>
      </c>
      <c r="AH11" t="s">
        <v>1237</v>
      </c>
    </row>
    <row r="12" spans="1:34" x14ac:dyDescent="0.25">
      <c r="A12">
        <v>1553</v>
      </c>
      <c r="C12" s="185"/>
      <c r="D12" t="s">
        <v>157</v>
      </c>
      <c r="E12" t="s">
        <v>386</v>
      </c>
      <c r="F12" t="s">
        <v>329</v>
      </c>
      <c r="G12" t="s">
        <v>1238</v>
      </c>
      <c r="H12" t="s">
        <v>1239</v>
      </c>
      <c r="I12">
        <v>14976</v>
      </c>
      <c r="J12" t="s">
        <v>329</v>
      </c>
      <c r="K12" t="s">
        <v>1240</v>
      </c>
      <c r="L12" t="s">
        <v>387</v>
      </c>
      <c r="M12" t="s">
        <v>1184</v>
      </c>
      <c r="N12">
        <v>14976</v>
      </c>
      <c r="O12">
        <v>59</v>
      </c>
      <c r="Q12" t="s">
        <v>1241</v>
      </c>
      <c r="R12" t="s">
        <v>398</v>
      </c>
      <c r="T12">
        <v>200</v>
      </c>
      <c r="V12" t="s">
        <v>1199</v>
      </c>
      <c r="W12" t="s">
        <v>1215</v>
      </c>
      <c r="X12">
        <v>259</v>
      </c>
      <c r="Z12" t="s">
        <v>968</v>
      </c>
      <c r="AA12" t="s">
        <v>387</v>
      </c>
      <c r="AB12">
        <v>51000</v>
      </c>
      <c r="AC12">
        <v>5697</v>
      </c>
      <c r="AD12" t="s">
        <v>1242</v>
      </c>
      <c r="AE12">
        <v>1974</v>
      </c>
      <c r="AF12" t="s">
        <v>1243</v>
      </c>
      <c r="AG12" t="s">
        <v>1244</v>
      </c>
      <c r="AH12" t="s">
        <v>1245</v>
      </c>
    </row>
    <row r="13" spans="1:34" x14ac:dyDescent="0.25">
      <c r="A13">
        <v>1</v>
      </c>
      <c r="C13" s="185">
        <v>40864</v>
      </c>
      <c r="D13" t="s">
        <v>24</v>
      </c>
      <c r="E13" t="s">
        <v>386</v>
      </c>
      <c r="F13" t="s">
        <v>1246</v>
      </c>
      <c r="G13" t="s">
        <v>1197</v>
      </c>
      <c r="H13" t="s">
        <v>1247</v>
      </c>
      <c r="I13">
        <v>5091</v>
      </c>
      <c r="J13" t="s">
        <v>1246</v>
      </c>
      <c r="K13" t="s">
        <v>1248</v>
      </c>
      <c r="L13" t="s">
        <v>387</v>
      </c>
      <c r="M13" t="s">
        <v>1193</v>
      </c>
      <c r="N13">
        <v>5091</v>
      </c>
      <c r="O13">
        <v>0</v>
      </c>
      <c r="Q13" t="s">
        <v>1249</v>
      </c>
      <c r="R13" t="s">
        <v>398</v>
      </c>
      <c r="T13">
        <v>340</v>
      </c>
      <c r="V13" t="s">
        <v>1200</v>
      </c>
      <c r="W13" t="s">
        <v>1215</v>
      </c>
      <c r="X13">
        <v>259</v>
      </c>
      <c r="Z13" t="s">
        <v>865</v>
      </c>
      <c r="AA13" t="s">
        <v>386</v>
      </c>
      <c r="AB13">
        <v>0</v>
      </c>
      <c r="AC13">
        <v>1706</v>
      </c>
      <c r="AD13" t="s">
        <v>1250</v>
      </c>
      <c r="AE13">
        <v>3</v>
      </c>
      <c r="AF13" t="s">
        <v>1235</v>
      </c>
      <c r="AG13" t="s">
        <v>1251</v>
      </c>
      <c r="AH13" t="s">
        <v>1252</v>
      </c>
    </row>
    <row r="14" spans="1:34" x14ac:dyDescent="0.25">
      <c r="A14">
        <v>543</v>
      </c>
      <c r="C14" s="185"/>
      <c r="E14" t="s">
        <v>386</v>
      </c>
      <c r="F14" t="s">
        <v>1253</v>
      </c>
      <c r="G14" t="s">
        <v>1238</v>
      </c>
      <c r="H14" t="s">
        <v>1254</v>
      </c>
      <c r="I14">
        <v>15362</v>
      </c>
      <c r="J14" t="s">
        <v>1253</v>
      </c>
      <c r="K14" t="s">
        <v>1255</v>
      </c>
      <c r="L14" t="s">
        <v>387</v>
      </c>
      <c r="M14" t="s">
        <v>1184</v>
      </c>
      <c r="N14">
        <v>15362</v>
      </c>
      <c r="O14">
        <v>0</v>
      </c>
      <c r="Q14" t="s">
        <v>1256</v>
      </c>
      <c r="T14">
        <v>426</v>
      </c>
      <c r="V14" t="s">
        <v>1257</v>
      </c>
      <c r="W14" t="s">
        <v>1257</v>
      </c>
      <c r="X14">
        <v>426</v>
      </c>
      <c r="Z14" t="s">
        <v>1258</v>
      </c>
      <c r="AA14" t="s">
        <v>387</v>
      </c>
      <c r="AB14">
        <v>0</v>
      </c>
      <c r="AC14">
        <v>5812</v>
      </c>
      <c r="AD14" t="s">
        <v>1253</v>
      </c>
      <c r="AE14">
        <v>18</v>
      </c>
      <c r="AF14" t="s">
        <v>1259</v>
      </c>
      <c r="AG14" t="s">
        <v>1244</v>
      </c>
      <c r="AH14" t="s">
        <v>1260</v>
      </c>
    </row>
    <row r="15" spans="1:34" x14ac:dyDescent="0.25">
      <c r="A15">
        <v>1736</v>
      </c>
      <c r="C15" s="185"/>
      <c r="E15" t="s">
        <v>386</v>
      </c>
      <c r="F15" t="s">
        <v>1220</v>
      </c>
      <c r="H15" t="s">
        <v>1261</v>
      </c>
      <c r="I15">
        <v>17538</v>
      </c>
      <c r="J15" t="s">
        <v>1262</v>
      </c>
      <c r="K15" t="s">
        <v>1263</v>
      </c>
      <c r="L15" t="s">
        <v>387</v>
      </c>
      <c r="M15" t="s">
        <v>1193</v>
      </c>
      <c r="N15">
        <v>1860</v>
      </c>
      <c r="O15">
        <v>0</v>
      </c>
      <c r="Q15" t="s">
        <v>1264</v>
      </c>
      <c r="R15" t="s">
        <v>1223</v>
      </c>
      <c r="T15">
        <v>152</v>
      </c>
      <c r="V15" t="s">
        <v>1265</v>
      </c>
      <c r="W15" t="s">
        <v>1265</v>
      </c>
      <c r="X15">
        <v>152</v>
      </c>
      <c r="Z15" t="s">
        <v>1266</v>
      </c>
      <c r="AA15" t="s">
        <v>387</v>
      </c>
      <c r="AB15">
        <v>0</v>
      </c>
      <c r="AC15">
        <v>1568</v>
      </c>
      <c r="AD15" t="s">
        <v>1267</v>
      </c>
      <c r="AE15">
        <v>0</v>
      </c>
      <c r="AF15" t="s">
        <v>1188</v>
      </c>
      <c r="AG15" t="s">
        <v>1268</v>
      </c>
    </row>
    <row r="16" spans="1:34" x14ac:dyDescent="0.25">
      <c r="A16">
        <v>63</v>
      </c>
      <c r="C16" s="185"/>
      <c r="E16" t="s">
        <v>386</v>
      </c>
      <c r="F16" t="s">
        <v>15478</v>
      </c>
      <c r="H16" t="s">
        <v>15479</v>
      </c>
      <c r="I16">
        <v>17745</v>
      </c>
      <c r="J16" t="s">
        <v>15478</v>
      </c>
      <c r="K16" t="s">
        <v>15478</v>
      </c>
      <c r="L16" t="s">
        <v>387</v>
      </c>
      <c r="M16" t="s">
        <v>1193</v>
      </c>
      <c r="N16">
        <v>17745</v>
      </c>
      <c r="O16">
        <v>0</v>
      </c>
      <c r="Q16" t="s">
        <v>15480</v>
      </c>
      <c r="R16" t="s">
        <v>398</v>
      </c>
      <c r="T16">
        <v>152</v>
      </c>
      <c r="V16" t="s">
        <v>1265</v>
      </c>
      <c r="W16" t="s">
        <v>1194</v>
      </c>
      <c r="X16">
        <v>220</v>
      </c>
      <c r="Z16" t="s">
        <v>3649</v>
      </c>
      <c r="AA16" t="s">
        <v>387</v>
      </c>
      <c r="AB16">
        <v>0</v>
      </c>
      <c r="AC16">
        <v>117</v>
      </c>
      <c r="AD16" t="s">
        <v>8560</v>
      </c>
      <c r="AE16">
        <v>1</v>
      </c>
      <c r="AF16" t="s">
        <v>1922</v>
      </c>
      <c r="AG16" t="s">
        <v>3651</v>
      </c>
    </row>
    <row r="17" spans="1:32" x14ac:dyDescent="0.25">
      <c r="A17">
        <v>1</v>
      </c>
      <c r="C17" s="185"/>
      <c r="E17" t="s">
        <v>386</v>
      </c>
      <c r="I17">
        <v>4124</v>
      </c>
      <c r="J17" t="s">
        <v>1269</v>
      </c>
      <c r="K17" t="s">
        <v>1269</v>
      </c>
      <c r="L17" t="s">
        <v>386</v>
      </c>
      <c r="M17" t="s">
        <v>1184</v>
      </c>
      <c r="O17">
        <v>0</v>
      </c>
      <c r="R17" t="s">
        <v>1185</v>
      </c>
      <c r="T17">
        <v>0</v>
      </c>
      <c r="V17" t="s">
        <v>1186</v>
      </c>
      <c r="Z17" t="s">
        <v>865</v>
      </c>
      <c r="AA17" t="s">
        <v>387</v>
      </c>
      <c r="AB17">
        <v>0</v>
      </c>
      <c r="AC17">
        <v>0</v>
      </c>
      <c r="AD17" t="s">
        <v>1187</v>
      </c>
      <c r="AE17">
        <v>0</v>
      </c>
      <c r="AF17" t="s">
        <v>1188</v>
      </c>
    </row>
    <row r="18" spans="1:32" x14ac:dyDescent="0.25">
      <c r="A18">
        <v>1</v>
      </c>
      <c r="C18" s="185"/>
      <c r="E18" t="s">
        <v>386</v>
      </c>
      <c r="I18">
        <v>3984</v>
      </c>
      <c r="J18" t="s">
        <v>1270</v>
      </c>
      <c r="K18" t="s">
        <v>1270</v>
      </c>
      <c r="L18" t="s">
        <v>386</v>
      </c>
      <c r="M18" t="s">
        <v>1184</v>
      </c>
      <c r="O18">
        <v>0</v>
      </c>
      <c r="R18" t="s">
        <v>1185</v>
      </c>
      <c r="T18">
        <v>0</v>
      </c>
      <c r="V18" t="s">
        <v>1186</v>
      </c>
      <c r="Z18" t="s">
        <v>865</v>
      </c>
      <c r="AA18" t="s">
        <v>387</v>
      </c>
      <c r="AB18">
        <v>0</v>
      </c>
      <c r="AC18">
        <v>0</v>
      </c>
      <c r="AD18" t="s">
        <v>1187</v>
      </c>
      <c r="AE18">
        <v>0</v>
      </c>
      <c r="AF18" t="s">
        <v>1188</v>
      </c>
    </row>
    <row r="19" spans="1:32" x14ac:dyDescent="0.25">
      <c r="A19">
        <v>1</v>
      </c>
      <c r="C19" s="185"/>
      <c r="E19" t="s">
        <v>386</v>
      </c>
      <c r="I19">
        <v>3601</v>
      </c>
      <c r="J19" t="s">
        <v>1271</v>
      </c>
      <c r="K19" t="s">
        <v>1271</v>
      </c>
      <c r="L19" t="s">
        <v>386</v>
      </c>
      <c r="M19" t="s">
        <v>1184</v>
      </c>
      <c r="O19">
        <v>0</v>
      </c>
      <c r="R19" t="s">
        <v>1185</v>
      </c>
      <c r="T19">
        <v>0</v>
      </c>
      <c r="V19" t="s">
        <v>1186</v>
      </c>
      <c r="Z19" t="s">
        <v>865</v>
      </c>
      <c r="AA19" t="s">
        <v>387</v>
      </c>
      <c r="AB19">
        <v>0</v>
      </c>
      <c r="AC19">
        <v>0</v>
      </c>
      <c r="AD19" t="s">
        <v>1187</v>
      </c>
      <c r="AE19">
        <v>0</v>
      </c>
      <c r="AF19" t="s">
        <v>1188</v>
      </c>
    </row>
    <row r="20" spans="1:32" x14ac:dyDescent="0.25">
      <c r="A20">
        <v>1</v>
      </c>
      <c r="C20" s="185"/>
      <c r="E20" t="s">
        <v>386</v>
      </c>
      <c r="I20">
        <v>3697</v>
      </c>
      <c r="J20" t="s">
        <v>1272</v>
      </c>
      <c r="K20" t="s">
        <v>1272</v>
      </c>
      <c r="L20" t="s">
        <v>386</v>
      </c>
      <c r="M20" t="s">
        <v>1184</v>
      </c>
      <c r="O20">
        <v>0</v>
      </c>
      <c r="R20" t="s">
        <v>1185</v>
      </c>
      <c r="T20">
        <v>0</v>
      </c>
      <c r="V20" t="s">
        <v>1186</v>
      </c>
      <c r="Z20" t="s">
        <v>865</v>
      </c>
      <c r="AA20" t="s">
        <v>387</v>
      </c>
      <c r="AB20">
        <v>0</v>
      </c>
      <c r="AC20">
        <v>0</v>
      </c>
      <c r="AD20" t="s">
        <v>1187</v>
      </c>
      <c r="AE20">
        <v>0</v>
      </c>
      <c r="AF20" t="s">
        <v>1188</v>
      </c>
    </row>
    <row r="21" spans="1:32" x14ac:dyDescent="0.25">
      <c r="A21">
        <v>1</v>
      </c>
      <c r="C21" s="185"/>
      <c r="E21" t="s">
        <v>386</v>
      </c>
      <c r="I21">
        <v>4024</v>
      </c>
      <c r="J21" t="s">
        <v>1273</v>
      </c>
      <c r="K21" t="s">
        <v>1273</v>
      </c>
      <c r="L21" t="s">
        <v>386</v>
      </c>
      <c r="M21" t="s">
        <v>1184</v>
      </c>
      <c r="O21">
        <v>0</v>
      </c>
      <c r="R21" t="s">
        <v>1185</v>
      </c>
      <c r="T21">
        <v>0</v>
      </c>
      <c r="V21" t="s">
        <v>1186</v>
      </c>
      <c r="Z21" t="s">
        <v>865</v>
      </c>
      <c r="AA21" t="s">
        <v>387</v>
      </c>
      <c r="AB21">
        <v>0</v>
      </c>
      <c r="AC21">
        <v>0</v>
      </c>
      <c r="AD21" t="s">
        <v>1187</v>
      </c>
      <c r="AE21">
        <v>0</v>
      </c>
      <c r="AF21" t="s">
        <v>1188</v>
      </c>
    </row>
    <row r="22" spans="1:32" x14ac:dyDescent="0.25">
      <c r="A22">
        <v>1</v>
      </c>
      <c r="C22" s="185"/>
      <c r="E22" t="s">
        <v>386</v>
      </c>
      <c r="I22">
        <v>3830</v>
      </c>
      <c r="J22" t="s">
        <v>1274</v>
      </c>
      <c r="K22" t="s">
        <v>1274</v>
      </c>
      <c r="L22" t="s">
        <v>386</v>
      </c>
      <c r="M22" t="s">
        <v>1184</v>
      </c>
      <c r="O22">
        <v>0</v>
      </c>
      <c r="R22" t="s">
        <v>1185</v>
      </c>
      <c r="T22">
        <v>0</v>
      </c>
      <c r="V22" t="s">
        <v>1186</v>
      </c>
      <c r="Z22" t="s">
        <v>865</v>
      </c>
      <c r="AA22" t="s">
        <v>387</v>
      </c>
      <c r="AB22">
        <v>0</v>
      </c>
      <c r="AC22">
        <v>0</v>
      </c>
      <c r="AD22" t="s">
        <v>1187</v>
      </c>
      <c r="AE22">
        <v>0</v>
      </c>
      <c r="AF22" t="s">
        <v>1188</v>
      </c>
    </row>
    <row r="23" spans="1:32" x14ac:dyDescent="0.25">
      <c r="A23">
        <v>1</v>
      </c>
      <c r="C23" s="185"/>
      <c r="E23" t="s">
        <v>386</v>
      </c>
      <c r="I23">
        <v>3536</v>
      </c>
      <c r="J23" t="s">
        <v>1275</v>
      </c>
      <c r="K23" t="s">
        <v>1275</v>
      </c>
      <c r="L23" t="s">
        <v>386</v>
      </c>
      <c r="M23" t="s">
        <v>1184</v>
      </c>
      <c r="O23">
        <v>0</v>
      </c>
      <c r="R23" t="s">
        <v>1185</v>
      </c>
      <c r="T23">
        <v>0</v>
      </c>
      <c r="V23" t="s">
        <v>1186</v>
      </c>
      <c r="Z23" t="s">
        <v>865</v>
      </c>
      <c r="AA23" t="s">
        <v>387</v>
      </c>
      <c r="AB23">
        <v>0</v>
      </c>
      <c r="AC23">
        <v>0</v>
      </c>
      <c r="AD23" t="s">
        <v>1187</v>
      </c>
      <c r="AE23">
        <v>0</v>
      </c>
      <c r="AF23" t="s">
        <v>1188</v>
      </c>
    </row>
    <row r="24" spans="1:32" x14ac:dyDescent="0.25">
      <c r="A24">
        <v>1</v>
      </c>
      <c r="C24" s="185"/>
      <c r="E24" t="s">
        <v>386</v>
      </c>
      <c r="I24">
        <v>4060</v>
      </c>
      <c r="J24" t="s">
        <v>1276</v>
      </c>
      <c r="K24" t="s">
        <v>1276</v>
      </c>
      <c r="L24" t="s">
        <v>386</v>
      </c>
      <c r="M24" t="s">
        <v>1184</v>
      </c>
      <c r="O24">
        <v>0</v>
      </c>
      <c r="R24" t="s">
        <v>1185</v>
      </c>
      <c r="T24">
        <v>0</v>
      </c>
      <c r="V24" t="s">
        <v>1186</v>
      </c>
      <c r="Z24" t="s">
        <v>865</v>
      </c>
      <c r="AA24" t="s">
        <v>387</v>
      </c>
      <c r="AB24">
        <v>0</v>
      </c>
      <c r="AC24">
        <v>0</v>
      </c>
      <c r="AD24" t="s">
        <v>1187</v>
      </c>
      <c r="AE24">
        <v>0</v>
      </c>
      <c r="AF24" t="s">
        <v>1188</v>
      </c>
    </row>
    <row r="25" spans="1:32" x14ac:dyDescent="0.25">
      <c r="A25">
        <v>1</v>
      </c>
      <c r="C25" s="185"/>
      <c r="E25" t="s">
        <v>386</v>
      </c>
      <c r="I25">
        <v>4013</v>
      </c>
      <c r="J25" t="s">
        <v>1277</v>
      </c>
      <c r="K25" t="s">
        <v>1277</v>
      </c>
      <c r="L25" t="s">
        <v>386</v>
      </c>
      <c r="M25" t="s">
        <v>1184</v>
      </c>
      <c r="O25">
        <v>0</v>
      </c>
      <c r="R25" t="s">
        <v>1185</v>
      </c>
      <c r="T25">
        <v>0</v>
      </c>
      <c r="V25" t="s">
        <v>1186</v>
      </c>
      <c r="Z25" t="s">
        <v>865</v>
      </c>
      <c r="AA25" t="s">
        <v>387</v>
      </c>
      <c r="AB25">
        <v>0</v>
      </c>
      <c r="AC25">
        <v>0</v>
      </c>
      <c r="AD25" t="s">
        <v>1187</v>
      </c>
      <c r="AE25">
        <v>0</v>
      </c>
      <c r="AF25" t="s">
        <v>1188</v>
      </c>
    </row>
    <row r="26" spans="1:32" x14ac:dyDescent="0.25">
      <c r="A26">
        <v>1</v>
      </c>
      <c r="C26" s="185"/>
      <c r="E26" t="s">
        <v>386</v>
      </c>
      <c r="I26">
        <v>3588</v>
      </c>
      <c r="J26" t="s">
        <v>1278</v>
      </c>
      <c r="K26" t="s">
        <v>1278</v>
      </c>
      <c r="L26" t="s">
        <v>386</v>
      </c>
      <c r="M26" t="s">
        <v>1184</v>
      </c>
      <c r="O26">
        <v>0</v>
      </c>
      <c r="R26" t="s">
        <v>1185</v>
      </c>
      <c r="T26">
        <v>0</v>
      </c>
      <c r="V26" t="s">
        <v>1186</v>
      </c>
      <c r="Z26" t="s">
        <v>865</v>
      </c>
      <c r="AA26" t="s">
        <v>387</v>
      </c>
      <c r="AB26">
        <v>0</v>
      </c>
      <c r="AC26">
        <v>0</v>
      </c>
      <c r="AD26" t="s">
        <v>1187</v>
      </c>
      <c r="AE26">
        <v>0</v>
      </c>
      <c r="AF26" t="s">
        <v>1188</v>
      </c>
    </row>
    <row r="27" spans="1:32" x14ac:dyDescent="0.25">
      <c r="A27">
        <v>1</v>
      </c>
      <c r="C27" s="185"/>
      <c r="E27" t="s">
        <v>386</v>
      </c>
      <c r="I27">
        <v>3978</v>
      </c>
      <c r="J27" t="s">
        <v>1279</v>
      </c>
      <c r="K27" t="s">
        <v>1279</v>
      </c>
      <c r="L27" t="s">
        <v>386</v>
      </c>
      <c r="M27" t="s">
        <v>1184</v>
      </c>
      <c r="O27">
        <v>0</v>
      </c>
      <c r="R27" t="s">
        <v>1185</v>
      </c>
      <c r="T27">
        <v>0</v>
      </c>
      <c r="V27" t="s">
        <v>1186</v>
      </c>
      <c r="Z27" t="s">
        <v>865</v>
      </c>
      <c r="AA27" t="s">
        <v>387</v>
      </c>
      <c r="AB27">
        <v>0</v>
      </c>
      <c r="AC27">
        <v>0</v>
      </c>
      <c r="AD27" t="s">
        <v>1187</v>
      </c>
      <c r="AE27">
        <v>0</v>
      </c>
      <c r="AF27" t="s">
        <v>1188</v>
      </c>
    </row>
    <row r="28" spans="1:32" x14ac:dyDescent="0.25">
      <c r="A28">
        <v>1</v>
      </c>
      <c r="C28" s="185"/>
      <c r="E28" t="s">
        <v>386</v>
      </c>
      <c r="I28">
        <v>3637</v>
      </c>
      <c r="J28" t="s">
        <v>1280</v>
      </c>
      <c r="K28" t="s">
        <v>1280</v>
      </c>
      <c r="L28" t="s">
        <v>386</v>
      </c>
      <c r="M28" t="s">
        <v>1184</v>
      </c>
      <c r="O28">
        <v>0</v>
      </c>
      <c r="R28" t="s">
        <v>1185</v>
      </c>
      <c r="T28">
        <v>0</v>
      </c>
      <c r="V28" t="s">
        <v>1186</v>
      </c>
      <c r="Z28" t="s">
        <v>865</v>
      </c>
      <c r="AA28" t="s">
        <v>387</v>
      </c>
      <c r="AB28">
        <v>0</v>
      </c>
      <c r="AC28">
        <v>0</v>
      </c>
      <c r="AD28" t="s">
        <v>1187</v>
      </c>
      <c r="AE28">
        <v>0</v>
      </c>
      <c r="AF28" t="s">
        <v>1188</v>
      </c>
    </row>
    <row r="29" spans="1:32" x14ac:dyDescent="0.25">
      <c r="A29">
        <v>1</v>
      </c>
      <c r="C29" s="185"/>
      <c r="E29" t="s">
        <v>386</v>
      </c>
      <c r="I29">
        <v>4010</v>
      </c>
      <c r="J29" t="s">
        <v>1281</v>
      </c>
      <c r="K29" t="s">
        <v>1281</v>
      </c>
      <c r="L29" t="s">
        <v>386</v>
      </c>
      <c r="M29" t="s">
        <v>1184</v>
      </c>
      <c r="O29">
        <v>0</v>
      </c>
      <c r="R29" t="s">
        <v>1185</v>
      </c>
      <c r="T29">
        <v>0</v>
      </c>
      <c r="V29" t="s">
        <v>1186</v>
      </c>
      <c r="Z29" t="s">
        <v>865</v>
      </c>
      <c r="AA29" t="s">
        <v>387</v>
      </c>
      <c r="AB29">
        <v>0</v>
      </c>
      <c r="AC29">
        <v>0</v>
      </c>
      <c r="AD29" t="s">
        <v>1187</v>
      </c>
      <c r="AE29">
        <v>0</v>
      </c>
      <c r="AF29" t="s">
        <v>1188</v>
      </c>
    </row>
    <row r="30" spans="1:32" x14ac:dyDescent="0.25">
      <c r="A30">
        <v>1</v>
      </c>
      <c r="C30" s="185"/>
      <c r="E30" t="s">
        <v>386</v>
      </c>
      <c r="I30">
        <v>3668</v>
      </c>
      <c r="J30" t="s">
        <v>1282</v>
      </c>
      <c r="K30" t="s">
        <v>1282</v>
      </c>
      <c r="L30" t="s">
        <v>386</v>
      </c>
      <c r="M30" t="s">
        <v>1184</v>
      </c>
      <c r="O30">
        <v>0</v>
      </c>
      <c r="R30" t="s">
        <v>1185</v>
      </c>
      <c r="T30">
        <v>0</v>
      </c>
      <c r="V30" t="s">
        <v>1186</v>
      </c>
      <c r="Z30" t="s">
        <v>865</v>
      </c>
      <c r="AA30" t="s">
        <v>387</v>
      </c>
      <c r="AB30">
        <v>0</v>
      </c>
      <c r="AC30">
        <v>0</v>
      </c>
      <c r="AD30" t="s">
        <v>1187</v>
      </c>
      <c r="AE30">
        <v>0</v>
      </c>
      <c r="AF30" t="s">
        <v>1188</v>
      </c>
    </row>
    <row r="31" spans="1:32" x14ac:dyDescent="0.25">
      <c r="A31">
        <v>1</v>
      </c>
      <c r="C31" s="185"/>
      <c r="E31" t="s">
        <v>386</v>
      </c>
      <c r="I31">
        <v>4195</v>
      </c>
      <c r="J31" t="s">
        <v>1283</v>
      </c>
      <c r="K31" t="s">
        <v>1283</v>
      </c>
      <c r="L31" t="s">
        <v>386</v>
      </c>
      <c r="M31" t="s">
        <v>1184</v>
      </c>
      <c r="O31">
        <v>0</v>
      </c>
      <c r="R31" t="s">
        <v>1185</v>
      </c>
      <c r="T31">
        <v>0</v>
      </c>
      <c r="V31" t="s">
        <v>1186</v>
      </c>
      <c r="Z31" t="s">
        <v>865</v>
      </c>
      <c r="AA31" t="s">
        <v>387</v>
      </c>
      <c r="AB31">
        <v>0</v>
      </c>
      <c r="AC31">
        <v>0</v>
      </c>
      <c r="AD31" t="s">
        <v>1187</v>
      </c>
      <c r="AE31">
        <v>0</v>
      </c>
      <c r="AF31" t="s">
        <v>1188</v>
      </c>
    </row>
    <row r="32" spans="1:32" x14ac:dyDescent="0.25">
      <c r="A32">
        <v>1</v>
      </c>
      <c r="C32" s="185"/>
      <c r="E32" t="s">
        <v>386</v>
      </c>
      <c r="I32">
        <v>4104</v>
      </c>
      <c r="J32" t="s">
        <v>1284</v>
      </c>
      <c r="K32" t="s">
        <v>1284</v>
      </c>
      <c r="L32" t="s">
        <v>386</v>
      </c>
      <c r="M32" t="s">
        <v>1184</v>
      </c>
      <c r="O32">
        <v>0</v>
      </c>
      <c r="R32" t="s">
        <v>1185</v>
      </c>
      <c r="T32">
        <v>0</v>
      </c>
      <c r="V32" t="s">
        <v>1186</v>
      </c>
      <c r="Z32" t="s">
        <v>865</v>
      </c>
      <c r="AA32" t="s">
        <v>387</v>
      </c>
      <c r="AB32">
        <v>0</v>
      </c>
      <c r="AC32">
        <v>0</v>
      </c>
      <c r="AD32" t="s">
        <v>1187</v>
      </c>
      <c r="AE32">
        <v>0</v>
      </c>
      <c r="AF32" t="s">
        <v>1188</v>
      </c>
    </row>
    <row r="33" spans="1:32" x14ac:dyDescent="0.25">
      <c r="A33">
        <v>1</v>
      </c>
      <c r="C33" s="185"/>
      <c r="E33" t="s">
        <v>386</v>
      </c>
      <c r="I33">
        <v>3729</v>
      </c>
      <c r="J33" t="s">
        <v>1285</v>
      </c>
      <c r="K33" t="s">
        <v>1285</v>
      </c>
      <c r="L33" t="s">
        <v>386</v>
      </c>
      <c r="M33" t="s">
        <v>1184</v>
      </c>
      <c r="O33">
        <v>0</v>
      </c>
      <c r="R33" t="s">
        <v>1185</v>
      </c>
      <c r="T33">
        <v>0</v>
      </c>
      <c r="V33" t="s">
        <v>1186</v>
      </c>
      <c r="Z33" t="s">
        <v>865</v>
      </c>
      <c r="AA33" t="s">
        <v>387</v>
      </c>
      <c r="AB33">
        <v>0</v>
      </c>
      <c r="AC33">
        <v>0</v>
      </c>
      <c r="AD33" t="s">
        <v>1187</v>
      </c>
      <c r="AE33">
        <v>0</v>
      </c>
      <c r="AF33" t="s">
        <v>1188</v>
      </c>
    </row>
    <row r="34" spans="1:32" x14ac:dyDescent="0.25">
      <c r="A34">
        <v>1</v>
      </c>
      <c r="C34" s="185"/>
      <c r="E34" t="s">
        <v>386</v>
      </c>
      <c r="I34">
        <v>4179</v>
      </c>
      <c r="J34" t="s">
        <v>1286</v>
      </c>
      <c r="K34" t="s">
        <v>1286</v>
      </c>
      <c r="L34" t="s">
        <v>386</v>
      </c>
      <c r="M34" t="s">
        <v>1184</v>
      </c>
      <c r="O34">
        <v>0</v>
      </c>
      <c r="R34" t="s">
        <v>1185</v>
      </c>
      <c r="T34">
        <v>0</v>
      </c>
      <c r="V34" t="s">
        <v>1186</v>
      </c>
      <c r="Z34" t="s">
        <v>865</v>
      </c>
      <c r="AA34" t="s">
        <v>387</v>
      </c>
      <c r="AB34">
        <v>0</v>
      </c>
      <c r="AC34">
        <v>0</v>
      </c>
      <c r="AD34" t="s">
        <v>1187</v>
      </c>
      <c r="AE34">
        <v>0</v>
      </c>
      <c r="AF34" t="s">
        <v>1188</v>
      </c>
    </row>
    <row r="35" spans="1:32" x14ac:dyDescent="0.25">
      <c r="A35">
        <v>1</v>
      </c>
      <c r="C35" s="185"/>
      <c r="E35" t="s">
        <v>386</v>
      </c>
      <c r="I35">
        <v>4141</v>
      </c>
      <c r="J35" t="s">
        <v>1287</v>
      </c>
      <c r="K35" t="s">
        <v>1287</v>
      </c>
      <c r="L35" t="s">
        <v>386</v>
      </c>
      <c r="M35" t="s">
        <v>1184</v>
      </c>
      <c r="O35">
        <v>0</v>
      </c>
      <c r="R35" t="s">
        <v>1185</v>
      </c>
      <c r="T35">
        <v>0</v>
      </c>
      <c r="V35" t="s">
        <v>1186</v>
      </c>
      <c r="Z35" t="s">
        <v>865</v>
      </c>
      <c r="AA35" t="s">
        <v>387</v>
      </c>
      <c r="AB35">
        <v>0</v>
      </c>
      <c r="AC35">
        <v>0</v>
      </c>
      <c r="AD35" t="s">
        <v>1187</v>
      </c>
      <c r="AE35">
        <v>0</v>
      </c>
      <c r="AF35" t="s">
        <v>1188</v>
      </c>
    </row>
    <row r="36" spans="1:32" x14ac:dyDescent="0.25">
      <c r="A36">
        <v>1</v>
      </c>
      <c r="C36" s="185"/>
      <c r="E36" t="s">
        <v>386</v>
      </c>
      <c r="I36">
        <v>4098</v>
      </c>
      <c r="J36" t="s">
        <v>1288</v>
      </c>
      <c r="K36" t="s">
        <v>1288</v>
      </c>
      <c r="L36" t="s">
        <v>386</v>
      </c>
      <c r="M36" t="s">
        <v>1184</v>
      </c>
      <c r="O36">
        <v>0</v>
      </c>
      <c r="R36" t="s">
        <v>1185</v>
      </c>
      <c r="T36">
        <v>0</v>
      </c>
      <c r="V36" t="s">
        <v>1186</v>
      </c>
      <c r="Z36" t="s">
        <v>865</v>
      </c>
      <c r="AA36" t="s">
        <v>387</v>
      </c>
      <c r="AB36">
        <v>0</v>
      </c>
      <c r="AC36">
        <v>0</v>
      </c>
      <c r="AD36" t="s">
        <v>1187</v>
      </c>
      <c r="AE36">
        <v>0</v>
      </c>
      <c r="AF36" t="s">
        <v>1188</v>
      </c>
    </row>
    <row r="37" spans="1:32" x14ac:dyDescent="0.25">
      <c r="A37">
        <v>1</v>
      </c>
      <c r="C37" s="185"/>
      <c r="E37" t="s">
        <v>386</v>
      </c>
      <c r="I37">
        <v>4142</v>
      </c>
      <c r="J37" t="s">
        <v>1289</v>
      </c>
      <c r="K37" t="s">
        <v>1289</v>
      </c>
      <c r="L37" t="s">
        <v>386</v>
      </c>
      <c r="M37" t="s">
        <v>1184</v>
      </c>
      <c r="O37">
        <v>0</v>
      </c>
      <c r="R37" t="s">
        <v>1185</v>
      </c>
      <c r="T37">
        <v>0</v>
      </c>
      <c r="V37" t="s">
        <v>1186</v>
      </c>
      <c r="Z37" t="s">
        <v>865</v>
      </c>
      <c r="AA37" t="s">
        <v>387</v>
      </c>
      <c r="AB37">
        <v>0</v>
      </c>
      <c r="AC37">
        <v>0</v>
      </c>
      <c r="AD37" t="s">
        <v>1187</v>
      </c>
      <c r="AE37">
        <v>0</v>
      </c>
      <c r="AF37" t="s">
        <v>1188</v>
      </c>
    </row>
    <row r="38" spans="1:32" x14ac:dyDescent="0.25">
      <c r="A38">
        <v>1</v>
      </c>
      <c r="C38" s="185"/>
      <c r="E38" t="s">
        <v>386</v>
      </c>
      <c r="I38">
        <v>3990</v>
      </c>
      <c r="J38" t="s">
        <v>1290</v>
      </c>
      <c r="K38" t="s">
        <v>1290</v>
      </c>
      <c r="L38" t="s">
        <v>386</v>
      </c>
      <c r="M38" t="s">
        <v>1184</v>
      </c>
      <c r="O38">
        <v>0</v>
      </c>
      <c r="R38" t="s">
        <v>1185</v>
      </c>
      <c r="T38">
        <v>0</v>
      </c>
      <c r="V38" t="s">
        <v>1186</v>
      </c>
      <c r="Z38" t="s">
        <v>865</v>
      </c>
      <c r="AA38" t="s">
        <v>387</v>
      </c>
      <c r="AB38">
        <v>0</v>
      </c>
      <c r="AC38">
        <v>0</v>
      </c>
      <c r="AD38" t="s">
        <v>1187</v>
      </c>
      <c r="AE38">
        <v>0</v>
      </c>
      <c r="AF38" t="s">
        <v>1188</v>
      </c>
    </row>
    <row r="39" spans="1:32" x14ac:dyDescent="0.25">
      <c r="A39">
        <v>1</v>
      </c>
      <c r="C39" s="185"/>
      <c r="E39" t="s">
        <v>386</v>
      </c>
      <c r="I39">
        <v>3507</v>
      </c>
      <c r="J39" t="s">
        <v>1291</v>
      </c>
      <c r="K39" t="s">
        <v>1291</v>
      </c>
      <c r="L39" t="s">
        <v>386</v>
      </c>
      <c r="M39" t="s">
        <v>1184</v>
      </c>
      <c r="O39">
        <v>0</v>
      </c>
      <c r="R39" t="s">
        <v>1185</v>
      </c>
      <c r="T39">
        <v>0</v>
      </c>
      <c r="V39" t="s">
        <v>1186</v>
      </c>
      <c r="Z39" t="s">
        <v>865</v>
      </c>
      <c r="AA39" t="s">
        <v>387</v>
      </c>
      <c r="AB39">
        <v>0</v>
      </c>
      <c r="AC39">
        <v>0</v>
      </c>
      <c r="AD39" t="s">
        <v>1187</v>
      </c>
      <c r="AE39">
        <v>0</v>
      </c>
      <c r="AF39" t="s">
        <v>1188</v>
      </c>
    </row>
    <row r="40" spans="1:32" x14ac:dyDescent="0.25">
      <c r="A40">
        <v>1</v>
      </c>
      <c r="C40" s="185"/>
      <c r="E40" t="s">
        <v>386</v>
      </c>
      <c r="I40">
        <v>3922</v>
      </c>
      <c r="J40" t="s">
        <v>1292</v>
      </c>
      <c r="K40" t="s">
        <v>1292</v>
      </c>
      <c r="L40" t="s">
        <v>386</v>
      </c>
      <c r="M40" t="s">
        <v>1184</v>
      </c>
      <c r="O40">
        <v>0</v>
      </c>
      <c r="R40" t="s">
        <v>1185</v>
      </c>
      <c r="T40">
        <v>0</v>
      </c>
      <c r="V40" t="s">
        <v>1186</v>
      </c>
      <c r="Z40" t="s">
        <v>865</v>
      </c>
      <c r="AA40" t="s">
        <v>387</v>
      </c>
      <c r="AB40">
        <v>0</v>
      </c>
      <c r="AC40">
        <v>0</v>
      </c>
      <c r="AD40" t="s">
        <v>1187</v>
      </c>
      <c r="AE40">
        <v>0</v>
      </c>
      <c r="AF40" t="s">
        <v>1188</v>
      </c>
    </row>
    <row r="41" spans="1:32" x14ac:dyDescent="0.25">
      <c r="A41">
        <v>1</v>
      </c>
      <c r="C41" s="185"/>
      <c r="E41" t="s">
        <v>386</v>
      </c>
      <c r="I41">
        <v>3868</v>
      </c>
      <c r="J41" t="s">
        <v>1293</v>
      </c>
      <c r="K41" t="s">
        <v>1293</v>
      </c>
      <c r="L41" t="s">
        <v>386</v>
      </c>
      <c r="M41" t="s">
        <v>1184</v>
      </c>
      <c r="O41">
        <v>0</v>
      </c>
      <c r="R41" t="s">
        <v>1185</v>
      </c>
      <c r="T41">
        <v>0</v>
      </c>
      <c r="V41" t="s">
        <v>1186</v>
      </c>
      <c r="Z41" t="s">
        <v>865</v>
      </c>
      <c r="AA41" t="s">
        <v>387</v>
      </c>
      <c r="AB41">
        <v>0</v>
      </c>
      <c r="AC41">
        <v>0</v>
      </c>
      <c r="AD41" t="s">
        <v>1187</v>
      </c>
      <c r="AE41">
        <v>0</v>
      </c>
      <c r="AF41" t="s">
        <v>1188</v>
      </c>
    </row>
    <row r="42" spans="1:32" x14ac:dyDescent="0.25">
      <c r="A42">
        <v>1</v>
      </c>
      <c r="C42" s="185"/>
      <c r="E42" t="s">
        <v>386</v>
      </c>
      <c r="I42">
        <v>3630</v>
      </c>
      <c r="J42" t="s">
        <v>1294</v>
      </c>
      <c r="K42" t="s">
        <v>1294</v>
      </c>
      <c r="L42" t="s">
        <v>386</v>
      </c>
      <c r="M42" t="s">
        <v>1184</v>
      </c>
      <c r="O42">
        <v>0</v>
      </c>
      <c r="R42" t="s">
        <v>1185</v>
      </c>
      <c r="T42">
        <v>0</v>
      </c>
      <c r="V42" t="s">
        <v>1186</v>
      </c>
      <c r="Z42" t="s">
        <v>865</v>
      </c>
      <c r="AA42" t="s">
        <v>387</v>
      </c>
      <c r="AB42">
        <v>0</v>
      </c>
      <c r="AC42">
        <v>0</v>
      </c>
      <c r="AD42" t="s">
        <v>1187</v>
      </c>
      <c r="AE42">
        <v>0</v>
      </c>
      <c r="AF42" t="s">
        <v>1188</v>
      </c>
    </row>
    <row r="43" spans="1:32" x14ac:dyDescent="0.25">
      <c r="A43">
        <v>1</v>
      </c>
      <c r="C43" s="185"/>
      <c r="E43" t="s">
        <v>386</v>
      </c>
      <c r="I43">
        <v>3845</v>
      </c>
      <c r="J43" t="s">
        <v>1295</v>
      </c>
      <c r="K43" t="s">
        <v>1295</v>
      </c>
      <c r="L43" t="s">
        <v>386</v>
      </c>
      <c r="M43" t="s">
        <v>1184</v>
      </c>
      <c r="O43">
        <v>0</v>
      </c>
      <c r="R43" t="s">
        <v>1185</v>
      </c>
      <c r="T43">
        <v>0</v>
      </c>
      <c r="V43" t="s">
        <v>1186</v>
      </c>
      <c r="Z43" t="s">
        <v>865</v>
      </c>
      <c r="AA43" t="s">
        <v>387</v>
      </c>
      <c r="AB43">
        <v>0</v>
      </c>
      <c r="AC43">
        <v>0</v>
      </c>
      <c r="AD43" t="s">
        <v>1187</v>
      </c>
      <c r="AE43">
        <v>0</v>
      </c>
      <c r="AF43" t="s">
        <v>1188</v>
      </c>
    </row>
    <row r="44" spans="1:32" x14ac:dyDescent="0.25">
      <c r="A44">
        <v>1</v>
      </c>
      <c r="C44" s="185"/>
      <c r="E44" t="s">
        <v>386</v>
      </c>
      <c r="I44">
        <v>3930</v>
      </c>
      <c r="J44" t="s">
        <v>1296</v>
      </c>
      <c r="K44" t="s">
        <v>1296</v>
      </c>
      <c r="L44" t="s">
        <v>386</v>
      </c>
      <c r="M44" t="s">
        <v>1184</v>
      </c>
      <c r="O44">
        <v>0</v>
      </c>
      <c r="R44" t="s">
        <v>1185</v>
      </c>
      <c r="T44">
        <v>0</v>
      </c>
      <c r="V44" t="s">
        <v>1186</v>
      </c>
      <c r="Z44" t="s">
        <v>865</v>
      </c>
      <c r="AA44" t="s">
        <v>387</v>
      </c>
      <c r="AB44">
        <v>0</v>
      </c>
      <c r="AC44">
        <v>0</v>
      </c>
      <c r="AD44" t="s">
        <v>1187</v>
      </c>
      <c r="AE44">
        <v>0</v>
      </c>
      <c r="AF44" t="s">
        <v>1188</v>
      </c>
    </row>
    <row r="45" spans="1:32" x14ac:dyDescent="0.25">
      <c r="A45">
        <v>1</v>
      </c>
      <c r="C45" s="185"/>
      <c r="E45" t="s">
        <v>386</v>
      </c>
      <c r="I45">
        <v>3497</v>
      </c>
      <c r="J45" t="s">
        <v>1297</v>
      </c>
      <c r="K45" t="s">
        <v>1297</v>
      </c>
      <c r="L45" t="s">
        <v>386</v>
      </c>
      <c r="M45" t="s">
        <v>1184</v>
      </c>
      <c r="O45">
        <v>0</v>
      </c>
      <c r="R45" t="s">
        <v>1185</v>
      </c>
      <c r="T45">
        <v>0</v>
      </c>
      <c r="V45" t="s">
        <v>1186</v>
      </c>
      <c r="Z45" t="s">
        <v>865</v>
      </c>
      <c r="AA45" t="s">
        <v>387</v>
      </c>
      <c r="AB45">
        <v>0</v>
      </c>
      <c r="AC45">
        <v>0</v>
      </c>
      <c r="AD45" t="s">
        <v>1187</v>
      </c>
      <c r="AE45">
        <v>0</v>
      </c>
      <c r="AF45" t="s">
        <v>1188</v>
      </c>
    </row>
    <row r="46" spans="1:32" x14ac:dyDescent="0.25">
      <c r="A46">
        <v>1</v>
      </c>
      <c r="C46" s="185"/>
      <c r="E46" t="s">
        <v>386</v>
      </c>
      <c r="I46">
        <v>3920</v>
      </c>
      <c r="J46" t="s">
        <v>1298</v>
      </c>
      <c r="K46" t="s">
        <v>1298</v>
      </c>
      <c r="L46" t="s">
        <v>386</v>
      </c>
      <c r="M46" t="s">
        <v>1184</v>
      </c>
      <c r="O46">
        <v>0</v>
      </c>
      <c r="R46" t="s">
        <v>1185</v>
      </c>
      <c r="T46">
        <v>0</v>
      </c>
      <c r="V46" t="s">
        <v>1186</v>
      </c>
      <c r="Z46" t="s">
        <v>865</v>
      </c>
      <c r="AA46" t="s">
        <v>387</v>
      </c>
      <c r="AB46">
        <v>0</v>
      </c>
      <c r="AC46">
        <v>0</v>
      </c>
      <c r="AD46" t="s">
        <v>1187</v>
      </c>
      <c r="AE46">
        <v>0</v>
      </c>
      <c r="AF46" t="s">
        <v>1188</v>
      </c>
    </row>
    <row r="47" spans="1:32" x14ac:dyDescent="0.25">
      <c r="A47">
        <v>1</v>
      </c>
      <c r="C47" s="185"/>
      <c r="E47" t="s">
        <v>386</v>
      </c>
      <c r="I47">
        <v>3617</v>
      </c>
      <c r="J47" t="s">
        <v>1299</v>
      </c>
      <c r="K47" t="s">
        <v>1299</v>
      </c>
      <c r="L47" t="s">
        <v>386</v>
      </c>
      <c r="M47" t="s">
        <v>1184</v>
      </c>
      <c r="O47">
        <v>0</v>
      </c>
      <c r="R47" t="s">
        <v>1185</v>
      </c>
      <c r="T47">
        <v>0</v>
      </c>
      <c r="V47" t="s">
        <v>1186</v>
      </c>
      <c r="Z47" t="s">
        <v>865</v>
      </c>
      <c r="AA47" t="s">
        <v>387</v>
      </c>
      <c r="AB47">
        <v>0</v>
      </c>
      <c r="AC47">
        <v>0</v>
      </c>
      <c r="AD47" t="s">
        <v>1187</v>
      </c>
      <c r="AE47">
        <v>0</v>
      </c>
      <c r="AF47" t="s">
        <v>1188</v>
      </c>
    </row>
    <row r="48" spans="1:32" x14ac:dyDescent="0.25">
      <c r="A48">
        <v>1</v>
      </c>
      <c r="C48" s="185"/>
      <c r="E48" t="s">
        <v>386</v>
      </c>
      <c r="I48">
        <v>4122</v>
      </c>
      <c r="J48" t="s">
        <v>1300</v>
      </c>
      <c r="K48" t="s">
        <v>1300</v>
      </c>
      <c r="L48" t="s">
        <v>386</v>
      </c>
      <c r="M48" t="s">
        <v>1184</v>
      </c>
      <c r="O48">
        <v>0</v>
      </c>
      <c r="R48" t="s">
        <v>1185</v>
      </c>
      <c r="T48">
        <v>0</v>
      </c>
      <c r="V48" t="s">
        <v>1186</v>
      </c>
      <c r="Z48" t="s">
        <v>865</v>
      </c>
      <c r="AA48" t="s">
        <v>387</v>
      </c>
      <c r="AB48">
        <v>0</v>
      </c>
      <c r="AC48">
        <v>0</v>
      </c>
      <c r="AD48" t="s">
        <v>1187</v>
      </c>
      <c r="AE48">
        <v>0</v>
      </c>
      <c r="AF48" t="s">
        <v>1188</v>
      </c>
    </row>
    <row r="49" spans="1:34" x14ac:dyDescent="0.25">
      <c r="A49">
        <v>1</v>
      </c>
      <c r="C49" s="185"/>
      <c r="E49" t="s">
        <v>386</v>
      </c>
      <c r="I49">
        <v>3575</v>
      </c>
      <c r="J49" t="s">
        <v>1301</v>
      </c>
      <c r="K49" t="s">
        <v>1301</v>
      </c>
      <c r="L49" t="s">
        <v>386</v>
      </c>
      <c r="M49" t="s">
        <v>1184</v>
      </c>
      <c r="O49">
        <v>0</v>
      </c>
      <c r="R49" t="s">
        <v>1185</v>
      </c>
      <c r="T49">
        <v>0</v>
      </c>
      <c r="V49" t="s">
        <v>1186</v>
      </c>
      <c r="Z49" t="s">
        <v>865</v>
      </c>
      <c r="AA49" t="s">
        <v>387</v>
      </c>
      <c r="AB49">
        <v>0</v>
      </c>
      <c r="AC49">
        <v>0</v>
      </c>
      <c r="AD49" t="s">
        <v>1187</v>
      </c>
      <c r="AE49">
        <v>0</v>
      </c>
      <c r="AF49" t="s">
        <v>1188</v>
      </c>
    </row>
    <row r="50" spans="1:34" x14ac:dyDescent="0.25">
      <c r="A50">
        <v>1</v>
      </c>
      <c r="C50" s="185"/>
      <c r="E50" t="s">
        <v>386</v>
      </c>
      <c r="I50">
        <v>4015</v>
      </c>
      <c r="J50" t="s">
        <v>1302</v>
      </c>
      <c r="K50" t="s">
        <v>1302</v>
      </c>
      <c r="L50" t="s">
        <v>386</v>
      </c>
      <c r="M50" t="s">
        <v>1184</v>
      </c>
      <c r="O50">
        <v>0</v>
      </c>
      <c r="R50" t="s">
        <v>1185</v>
      </c>
      <c r="T50">
        <v>0</v>
      </c>
      <c r="V50" t="s">
        <v>1186</v>
      </c>
      <c r="Z50" t="s">
        <v>865</v>
      </c>
      <c r="AA50" t="s">
        <v>387</v>
      </c>
      <c r="AB50">
        <v>0</v>
      </c>
      <c r="AC50">
        <v>0</v>
      </c>
      <c r="AD50" t="s">
        <v>1187</v>
      </c>
      <c r="AE50">
        <v>0</v>
      </c>
      <c r="AF50" t="s">
        <v>1188</v>
      </c>
    </row>
    <row r="51" spans="1:34" x14ac:dyDescent="0.25">
      <c r="A51">
        <v>1</v>
      </c>
      <c r="C51" s="185"/>
      <c r="E51" t="s">
        <v>386</v>
      </c>
      <c r="I51">
        <v>3556</v>
      </c>
      <c r="J51" t="s">
        <v>1303</v>
      </c>
      <c r="K51" t="s">
        <v>1303</v>
      </c>
      <c r="L51" t="s">
        <v>386</v>
      </c>
      <c r="M51" t="s">
        <v>1184</v>
      </c>
      <c r="O51">
        <v>0</v>
      </c>
      <c r="R51" t="s">
        <v>1185</v>
      </c>
      <c r="T51">
        <v>0</v>
      </c>
      <c r="V51" t="s">
        <v>1186</v>
      </c>
      <c r="Z51" t="s">
        <v>865</v>
      </c>
      <c r="AA51" t="s">
        <v>387</v>
      </c>
      <c r="AB51">
        <v>0</v>
      </c>
      <c r="AC51">
        <v>0</v>
      </c>
      <c r="AD51" t="s">
        <v>1187</v>
      </c>
      <c r="AE51">
        <v>0</v>
      </c>
      <c r="AF51" t="s">
        <v>1188</v>
      </c>
    </row>
    <row r="52" spans="1:34" x14ac:dyDescent="0.25">
      <c r="A52">
        <v>1</v>
      </c>
      <c r="C52" s="185"/>
      <c r="E52" t="s">
        <v>386</v>
      </c>
      <c r="I52">
        <v>4038</v>
      </c>
      <c r="J52" t="s">
        <v>1304</v>
      </c>
      <c r="K52" t="s">
        <v>1304</v>
      </c>
      <c r="L52" t="s">
        <v>386</v>
      </c>
      <c r="M52" t="s">
        <v>1184</v>
      </c>
      <c r="O52">
        <v>0</v>
      </c>
      <c r="R52" t="s">
        <v>1185</v>
      </c>
      <c r="T52">
        <v>0</v>
      </c>
      <c r="V52" t="s">
        <v>1186</v>
      </c>
      <c r="Z52" t="s">
        <v>865</v>
      </c>
      <c r="AA52" t="s">
        <v>387</v>
      </c>
      <c r="AB52">
        <v>0</v>
      </c>
      <c r="AC52">
        <v>0</v>
      </c>
      <c r="AD52" t="s">
        <v>1187</v>
      </c>
      <c r="AE52">
        <v>0</v>
      </c>
      <c r="AF52" t="s">
        <v>1188</v>
      </c>
    </row>
    <row r="53" spans="1:34" x14ac:dyDescent="0.25">
      <c r="A53">
        <v>1</v>
      </c>
      <c r="C53" s="185"/>
      <c r="E53" t="s">
        <v>386</v>
      </c>
      <c r="I53">
        <v>3644</v>
      </c>
      <c r="J53" t="s">
        <v>1305</v>
      </c>
      <c r="K53" t="s">
        <v>1305</v>
      </c>
      <c r="L53" t="s">
        <v>386</v>
      </c>
      <c r="M53" t="s">
        <v>1184</v>
      </c>
      <c r="O53">
        <v>0</v>
      </c>
      <c r="R53" t="s">
        <v>1185</v>
      </c>
      <c r="T53">
        <v>0</v>
      </c>
      <c r="V53" t="s">
        <v>1186</v>
      </c>
      <c r="Z53" t="s">
        <v>865</v>
      </c>
      <c r="AA53" t="s">
        <v>387</v>
      </c>
      <c r="AB53">
        <v>0</v>
      </c>
      <c r="AC53">
        <v>0</v>
      </c>
      <c r="AD53" t="s">
        <v>1187</v>
      </c>
      <c r="AE53">
        <v>0</v>
      </c>
      <c r="AF53" t="s">
        <v>1188</v>
      </c>
    </row>
    <row r="54" spans="1:34" x14ac:dyDescent="0.25">
      <c r="A54">
        <v>1</v>
      </c>
      <c r="C54" s="185"/>
      <c r="E54" t="s">
        <v>386</v>
      </c>
      <c r="I54">
        <v>3863</v>
      </c>
      <c r="J54" t="s">
        <v>1306</v>
      </c>
      <c r="K54" t="s">
        <v>1306</v>
      </c>
      <c r="L54" t="s">
        <v>386</v>
      </c>
      <c r="M54" t="s">
        <v>1184</v>
      </c>
      <c r="O54">
        <v>0</v>
      </c>
      <c r="R54" t="s">
        <v>1185</v>
      </c>
      <c r="T54">
        <v>0</v>
      </c>
      <c r="V54" t="s">
        <v>1186</v>
      </c>
      <c r="Z54" t="s">
        <v>865</v>
      </c>
      <c r="AA54" t="s">
        <v>387</v>
      </c>
      <c r="AB54">
        <v>0</v>
      </c>
      <c r="AC54">
        <v>0</v>
      </c>
      <c r="AD54" t="s">
        <v>1187</v>
      </c>
      <c r="AE54">
        <v>0</v>
      </c>
      <c r="AF54" t="s">
        <v>1188</v>
      </c>
    </row>
    <row r="55" spans="1:34" x14ac:dyDescent="0.25">
      <c r="A55">
        <v>1</v>
      </c>
      <c r="C55" s="185"/>
      <c r="E55" t="s">
        <v>386</v>
      </c>
      <c r="I55">
        <v>4035</v>
      </c>
      <c r="J55" t="s">
        <v>1307</v>
      </c>
      <c r="K55" t="s">
        <v>1307</v>
      </c>
      <c r="L55" t="s">
        <v>386</v>
      </c>
      <c r="M55" t="s">
        <v>1184</v>
      </c>
      <c r="O55">
        <v>0</v>
      </c>
      <c r="R55" t="s">
        <v>1185</v>
      </c>
      <c r="T55">
        <v>0</v>
      </c>
      <c r="V55" t="s">
        <v>1186</v>
      </c>
      <c r="Z55" t="s">
        <v>865</v>
      </c>
      <c r="AA55" t="s">
        <v>387</v>
      </c>
      <c r="AB55">
        <v>0</v>
      </c>
      <c r="AC55">
        <v>0</v>
      </c>
      <c r="AD55" t="s">
        <v>1187</v>
      </c>
      <c r="AE55">
        <v>0</v>
      </c>
      <c r="AF55" t="s">
        <v>1188</v>
      </c>
    </row>
    <row r="56" spans="1:34" x14ac:dyDescent="0.25">
      <c r="A56">
        <v>1</v>
      </c>
      <c r="C56" s="185"/>
      <c r="E56" t="s">
        <v>386</v>
      </c>
      <c r="I56">
        <v>3834</v>
      </c>
      <c r="J56" t="s">
        <v>1308</v>
      </c>
      <c r="K56" t="s">
        <v>1308</v>
      </c>
      <c r="L56" t="s">
        <v>386</v>
      </c>
      <c r="M56" t="s">
        <v>1184</v>
      </c>
      <c r="O56">
        <v>0</v>
      </c>
      <c r="R56" t="s">
        <v>1185</v>
      </c>
      <c r="T56">
        <v>0</v>
      </c>
      <c r="V56" t="s">
        <v>1186</v>
      </c>
      <c r="Z56" t="s">
        <v>865</v>
      </c>
      <c r="AA56" t="s">
        <v>387</v>
      </c>
      <c r="AB56">
        <v>0</v>
      </c>
      <c r="AC56">
        <v>0</v>
      </c>
      <c r="AD56" t="s">
        <v>1187</v>
      </c>
      <c r="AE56">
        <v>0</v>
      </c>
      <c r="AF56" t="s">
        <v>1188</v>
      </c>
    </row>
    <row r="57" spans="1:34" x14ac:dyDescent="0.25">
      <c r="A57">
        <v>1</v>
      </c>
      <c r="C57" s="185"/>
      <c r="E57" t="s">
        <v>386</v>
      </c>
      <c r="I57">
        <v>3580</v>
      </c>
      <c r="J57" t="s">
        <v>1309</v>
      </c>
      <c r="K57" t="s">
        <v>1309</v>
      </c>
      <c r="L57" t="s">
        <v>386</v>
      </c>
      <c r="M57" t="s">
        <v>1184</v>
      </c>
      <c r="O57">
        <v>0</v>
      </c>
      <c r="R57" t="s">
        <v>1185</v>
      </c>
      <c r="T57">
        <v>0</v>
      </c>
      <c r="V57" t="s">
        <v>1186</v>
      </c>
      <c r="Z57" t="s">
        <v>865</v>
      </c>
      <c r="AA57" t="s">
        <v>387</v>
      </c>
      <c r="AB57">
        <v>0</v>
      </c>
      <c r="AC57">
        <v>0</v>
      </c>
      <c r="AD57" t="s">
        <v>1187</v>
      </c>
      <c r="AE57">
        <v>0</v>
      </c>
      <c r="AF57" t="s">
        <v>1188</v>
      </c>
    </row>
    <row r="58" spans="1:34" x14ac:dyDescent="0.25">
      <c r="A58">
        <v>1</v>
      </c>
      <c r="C58" s="185"/>
      <c r="E58" t="s">
        <v>386</v>
      </c>
      <c r="I58">
        <v>3540</v>
      </c>
      <c r="J58" t="s">
        <v>1310</v>
      </c>
      <c r="K58" t="s">
        <v>1310</v>
      </c>
      <c r="L58" t="s">
        <v>386</v>
      </c>
      <c r="M58" t="s">
        <v>1184</v>
      </c>
      <c r="O58">
        <v>0</v>
      </c>
      <c r="R58" t="s">
        <v>1185</v>
      </c>
      <c r="T58">
        <v>0</v>
      </c>
      <c r="V58" t="s">
        <v>1186</v>
      </c>
      <c r="Z58" t="s">
        <v>865</v>
      </c>
      <c r="AA58" t="s">
        <v>387</v>
      </c>
      <c r="AB58">
        <v>0</v>
      </c>
      <c r="AC58">
        <v>0</v>
      </c>
      <c r="AD58" t="s">
        <v>1187</v>
      </c>
      <c r="AE58">
        <v>0</v>
      </c>
      <c r="AF58" t="s">
        <v>1188</v>
      </c>
    </row>
    <row r="59" spans="1:34" x14ac:dyDescent="0.25">
      <c r="A59">
        <v>1</v>
      </c>
      <c r="C59" s="185"/>
      <c r="E59" t="s">
        <v>386</v>
      </c>
      <c r="I59">
        <v>3778</v>
      </c>
      <c r="J59" t="s">
        <v>1311</v>
      </c>
      <c r="K59" t="s">
        <v>1311</v>
      </c>
      <c r="L59" t="s">
        <v>386</v>
      </c>
      <c r="M59" t="s">
        <v>1184</v>
      </c>
      <c r="O59">
        <v>0</v>
      </c>
      <c r="R59" t="s">
        <v>1185</v>
      </c>
      <c r="T59">
        <v>0</v>
      </c>
      <c r="V59" t="s">
        <v>1186</v>
      </c>
      <c r="Z59" t="s">
        <v>865</v>
      </c>
      <c r="AA59" t="s">
        <v>387</v>
      </c>
      <c r="AB59">
        <v>0</v>
      </c>
      <c r="AC59">
        <v>0</v>
      </c>
      <c r="AD59" t="s">
        <v>1187</v>
      </c>
      <c r="AE59">
        <v>0</v>
      </c>
      <c r="AF59" t="s">
        <v>1188</v>
      </c>
    </row>
    <row r="60" spans="1:34" x14ac:dyDescent="0.25">
      <c r="A60">
        <v>1</v>
      </c>
      <c r="C60" s="185"/>
      <c r="E60" t="s">
        <v>386</v>
      </c>
      <c r="I60">
        <v>3495</v>
      </c>
      <c r="J60" t="s">
        <v>1312</v>
      </c>
      <c r="K60" t="s">
        <v>1312</v>
      </c>
      <c r="L60" t="s">
        <v>386</v>
      </c>
      <c r="M60" t="s">
        <v>1184</v>
      </c>
      <c r="O60">
        <v>0</v>
      </c>
      <c r="R60" t="s">
        <v>1185</v>
      </c>
      <c r="T60">
        <v>0</v>
      </c>
      <c r="V60" t="s">
        <v>1186</v>
      </c>
      <c r="Z60" t="s">
        <v>865</v>
      </c>
      <c r="AA60" t="s">
        <v>387</v>
      </c>
      <c r="AB60">
        <v>0</v>
      </c>
      <c r="AC60">
        <v>0</v>
      </c>
      <c r="AD60" t="s">
        <v>1187</v>
      </c>
      <c r="AE60">
        <v>0</v>
      </c>
      <c r="AF60" t="s">
        <v>1188</v>
      </c>
    </row>
    <row r="61" spans="1:34" x14ac:dyDescent="0.25">
      <c r="A61">
        <v>1</v>
      </c>
      <c r="B61" t="s">
        <v>1313</v>
      </c>
      <c r="C61" s="185"/>
      <c r="E61" t="s">
        <v>386</v>
      </c>
      <c r="I61">
        <v>3811</v>
      </c>
      <c r="J61" t="s">
        <v>1314</v>
      </c>
      <c r="K61" t="s">
        <v>1314</v>
      </c>
      <c r="L61" t="s">
        <v>386</v>
      </c>
      <c r="M61" t="s">
        <v>1184</v>
      </c>
      <c r="O61">
        <v>0</v>
      </c>
      <c r="R61" t="s">
        <v>1185</v>
      </c>
      <c r="S61" t="s">
        <v>1315</v>
      </c>
      <c r="T61">
        <v>483</v>
      </c>
      <c r="U61">
        <v>0</v>
      </c>
      <c r="V61" t="s">
        <v>1316</v>
      </c>
      <c r="W61" t="s">
        <v>1186</v>
      </c>
      <c r="X61">
        <v>0</v>
      </c>
      <c r="Y61" t="s">
        <v>1317</v>
      </c>
      <c r="Z61" t="s">
        <v>865</v>
      </c>
      <c r="AA61" t="s">
        <v>387</v>
      </c>
      <c r="AB61">
        <v>0</v>
      </c>
      <c r="AC61">
        <v>0</v>
      </c>
      <c r="AD61" t="s">
        <v>1187</v>
      </c>
      <c r="AE61">
        <v>0</v>
      </c>
      <c r="AF61" t="s">
        <v>1188</v>
      </c>
      <c r="AH61" t="s">
        <v>1318</v>
      </c>
    </row>
    <row r="62" spans="1:34" x14ac:dyDescent="0.25">
      <c r="A62">
        <v>1</v>
      </c>
      <c r="C62" s="185"/>
      <c r="E62" t="s">
        <v>386</v>
      </c>
      <c r="I62">
        <v>3508</v>
      </c>
      <c r="J62" t="s">
        <v>1319</v>
      </c>
      <c r="K62" t="s">
        <v>1319</v>
      </c>
      <c r="L62" t="s">
        <v>386</v>
      </c>
      <c r="M62" t="s">
        <v>1184</v>
      </c>
      <c r="O62">
        <v>0</v>
      </c>
      <c r="R62" t="s">
        <v>1185</v>
      </c>
      <c r="T62">
        <v>0</v>
      </c>
      <c r="V62" t="s">
        <v>1186</v>
      </c>
      <c r="Z62" t="s">
        <v>865</v>
      </c>
      <c r="AA62" t="s">
        <v>387</v>
      </c>
      <c r="AB62">
        <v>0</v>
      </c>
      <c r="AC62">
        <v>0</v>
      </c>
      <c r="AD62" t="s">
        <v>1187</v>
      </c>
      <c r="AE62">
        <v>0</v>
      </c>
      <c r="AF62" t="s">
        <v>1188</v>
      </c>
    </row>
    <row r="63" spans="1:34" x14ac:dyDescent="0.25">
      <c r="A63">
        <v>1</v>
      </c>
      <c r="C63" s="185"/>
      <c r="E63" t="s">
        <v>386</v>
      </c>
      <c r="I63">
        <v>3520</v>
      </c>
      <c r="J63" t="s">
        <v>1320</v>
      </c>
      <c r="K63" t="s">
        <v>1320</v>
      </c>
      <c r="L63" t="s">
        <v>386</v>
      </c>
      <c r="M63" t="s">
        <v>1184</v>
      </c>
      <c r="O63">
        <v>0</v>
      </c>
      <c r="R63" t="s">
        <v>1185</v>
      </c>
      <c r="T63">
        <v>0</v>
      </c>
      <c r="V63" t="s">
        <v>1186</v>
      </c>
      <c r="Z63" t="s">
        <v>865</v>
      </c>
      <c r="AA63" t="s">
        <v>387</v>
      </c>
      <c r="AB63">
        <v>0</v>
      </c>
      <c r="AC63">
        <v>0</v>
      </c>
      <c r="AD63" t="s">
        <v>1187</v>
      </c>
      <c r="AE63">
        <v>0</v>
      </c>
      <c r="AF63" t="s">
        <v>1188</v>
      </c>
    </row>
    <row r="64" spans="1:34" x14ac:dyDescent="0.25">
      <c r="A64">
        <v>1</v>
      </c>
      <c r="C64" s="185"/>
      <c r="E64" t="s">
        <v>386</v>
      </c>
      <c r="I64">
        <v>3943</v>
      </c>
      <c r="J64" t="s">
        <v>1321</v>
      </c>
      <c r="K64" t="s">
        <v>1321</v>
      </c>
      <c r="L64" t="s">
        <v>386</v>
      </c>
      <c r="M64" t="s">
        <v>1184</v>
      </c>
      <c r="O64">
        <v>0</v>
      </c>
      <c r="R64" t="s">
        <v>1185</v>
      </c>
      <c r="T64">
        <v>0</v>
      </c>
      <c r="V64" t="s">
        <v>1186</v>
      </c>
      <c r="Z64" t="s">
        <v>865</v>
      </c>
      <c r="AA64" t="s">
        <v>387</v>
      </c>
      <c r="AB64">
        <v>0</v>
      </c>
      <c r="AC64">
        <v>0</v>
      </c>
      <c r="AD64" t="s">
        <v>1187</v>
      </c>
      <c r="AE64">
        <v>0</v>
      </c>
      <c r="AF64" t="s">
        <v>1188</v>
      </c>
    </row>
    <row r="65" spans="1:34" x14ac:dyDescent="0.25">
      <c r="A65">
        <v>1</v>
      </c>
      <c r="C65" s="185"/>
      <c r="E65" t="s">
        <v>386</v>
      </c>
      <c r="I65">
        <v>3528</v>
      </c>
      <c r="J65" t="s">
        <v>1322</v>
      </c>
      <c r="K65" t="s">
        <v>1322</v>
      </c>
      <c r="L65" t="s">
        <v>386</v>
      </c>
      <c r="M65" t="s">
        <v>1184</v>
      </c>
      <c r="O65">
        <v>0</v>
      </c>
      <c r="R65" t="s">
        <v>1185</v>
      </c>
      <c r="T65">
        <v>0</v>
      </c>
      <c r="V65" t="s">
        <v>1186</v>
      </c>
      <c r="Z65" t="s">
        <v>865</v>
      </c>
      <c r="AA65" t="s">
        <v>387</v>
      </c>
      <c r="AB65">
        <v>0</v>
      </c>
      <c r="AC65">
        <v>0</v>
      </c>
      <c r="AD65" t="s">
        <v>1187</v>
      </c>
      <c r="AE65">
        <v>0</v>
      </c>
      <c r="AF65" t="s">
        <v>1188</v>
      </c>
    </row>
    <row r="66" spans="1:34" x14ac:dyDescent="0.25">
      <c r="A66">
        <v>1</v>
      </c>
      <c r="C66" s="185"/>
      <c r="E66" t="s">
        <v>386</v>
      </c>
      <c r="I66">
        <v>4089</v>
      </c>
      <c r="J66" t="s">
        <v>1323</v>
      </c>
      <c r="K66" t="s">
        <v>1323</v>
      </c>
      <c r="L66" t="s">
        <v>386</v>
      </c>
      <c r="M66" t="s">
        <v>1184</v>
      </c>
      <c r="O66">
        <v>0</v>
      </c>
      <c r="R66" t="s">
        <v>1185</v>
      </c>
      <c r="T66">
        <v>0</v>
      </c>
      <c r="V66" t="s">
        <v>1186</v>
      </c>
      <c r="Z66" t="s">
        <v>865</v>
      </c>
      <c r="AA66" t="s">
        <v>387</v>
      </c>
      <c r="AB66">
        <v>0</v>
      </c>
      <c r="AC66">
        <v>0</v>
      </c>
      <c r="AD66" t="s">
        <v>1187</v>
      </c>
      <c r="AE66">
        <v>0</v>
      </c>
      <c r="AF66" t="s">
        <v>1188</v>
      </c>
    </row>
    <row r="67" spans="1:34" x14ac:dyDescent="0.25">
      <c r="A67">
        <v>1</v>
      </c>
      <c r="C67" s="185"/>
      <c r="E67" t="s">
        <v>386</v>
      </c>
      <c r="I67">
        <v>4019</v>
      </c>
      <c r="J67" t="s">
        <v>1324</v>
      </c>
      <c r="K67" t="s">
        <v>1324</v>
      </c>
      <c r="L67" t="s">
        <v>386</v>
      </c>
      <c r="M67" t="s">
        <v>1184</v>
      </c>
      <c r="O67">
        <v>0</v>
      </c>
      <c r="R67" t="s">
        <v>1185</v>
      </c>
      <c r="T67">
        <v>0</v>
      </c>
      <c r="V67" t="s">
        <v>1186</v>
      </c>
      <c r="Z67" t="s">
        <v>865</v>
      </c>
      <c r="AA67" t="s">
        <v>387</v>
      </c>
      <c r="AB67">
        <v>0</v>
      </c>
      <c r="AC67">
        <v>0</v>
      </c>
      <c r="AD67" t="s">
        <v>1187</v>
      </c>
      <c r="AE67">
        <v>0</v>
      </c>
      <c r="AF67" t="s">
        <v>1188</v>
      </c>
    </row>
    <row r="68" spans="1:34" x14ac:dyDescent="0.25">
      <c r="A68">
        <v>1</v>
      </c>
      <c r="C68" s="185"/>
      <c r="E68" t="s">
        <v>386</v>
      </c>
      <c r="I68">
        <v>3734</v>
      </c>
      <c r="J68" t="s">
        <v>1325</v>
      </c>
      <c r="K68" t="s">
        <v>1325</v>
      </c>
      <c r="L68" t="s">
        <v>386</v>
      </c>
      <c r="M68" t="s">
        <v>1184</v>
      </c>
      <c r="O68">
        <v>0</v>
      </c>
      <c r="R68" t="s">
        <v>1185</v>
      </c>
      <c r="T68">
        <v>0</v>
      </c>
      <c r="V68" t="s">
        <v>1186</v>
      </c>
      <c r="Z68" t="s">
        <v>865</v>
      </c>
      <c r="AA68" t="s">
        <v>387</v>
      </c>
      <c r="AB68">
        <v>0</v>
      </c>
      <c r="AC68">
        <v>0</v>
      </c>
      <c r="AD68" t="s">
        <v>1187</v>
      </c>
      <c r="AE68">
        <v>0</v>
      </c>
      <c r="AF68" t="s">
        <v>1188</v>
      </c>
    </row>
    <row r="69" spans="1:34" x14ac:dyDescent="0.25">
      <c r="A69">
        <v>1</v>
      </c>
      <c r="C69" s="185"/>
      <c r="E69" t="s">
        <v>386</v>
      </c>
      <c r="I69">
        <v>3835</v>
      </c>
      <c r="J69" t="s">
        <v>1326</v>
      </c>
      <c r="K69" t="s">
        <v>1326</v>
      </c>
      <c r="L69" t="s">
        <v>386</v>
      </c>
      <c r="M69" t="s">
        <v>1184</v>
      </c>
      <c r="O69">
        <v>0</v>
      </c>
      <c r="R69" t="s">
        <v>1185</v>
      </c>
      <c r="T69">
        <v>0</v>
      </c>
      <c r="V69" t="s">
        <v>1186</v>
      </c>
      <c r="Z69" t="s">
        <v>865</v>
      </c>
      <c r="AA69" t="s">
        <v>387</v>
      </c>
      <c r="AB69">
        <v>0</v>
      </c>
      <c r="AC69">
        <v>0</v>
      </c>
      <c r="AD69" t="s">
        <v>1187</v>
      </c>
      <c r="AE69">
        <v>0</v>
      </c>
      <c r="AF69" t="s">
        <v>1188</v>
      </c>
    </row>
    <row r="70" spans="1:34" x14ac:dyDescent="0.25">
      <c r="A70">
        <v>1</v>
      </c>
      <c r="C70" s="185"/>
      <c r="E70" t="s">
        <v>386</v>
      </c>
      <c r="I70">
        <v>3941</v>
      </c>
      <c r="J70" t="s">
        <v>1327</v>
      </c>
      <c r="K70" t="s">
        <v>1327</v>
      </c>
      <c r="L70" t="s">
        <v>386</v>
      </c>
      <c r="M70" t="s">
        <v>1184</v>
      </c>
      <c r="O70">
        <v>0</v>
      </c>
      <c r="R70" t="s">
        <v>1185</v>
      </c>
      <c r="T70">
        <v>0</v>
      </c>
      <c r="V70" t="s">
        <v>1186</v>
      </c>
      <c r="Z70" t="s">
        <v>865</v>
      </c>
      <c r="AA70" t="s">
        <v>387</v>
      </c>
      <c r="AB70">
        <v>0</v>
      </c>
      <c r="AC70">
        <v>0</v>
      </c>
      <c r="AD70" t="s">
        <v>1187</v>
      </c>
      <c r="AE70">
        <v>0</v>
      </c>
      <c r="AF70" t="s">
        <v>1188</v>
      </c>
    </row>
    <row r="71" spans="1:34" x14ac:dyDescent="0.25">
      <c r="A71">
        <v>1</v>
      </c>
      <c r="C71" s="185"/>
      <c r="E71" t="s">
        <v>386</v>
      </c>
      <c r="I71">
        <v>3815</v>
      </c>
      <c r="J71" t="s">
        <v>1328</v>
      </c>
      <c r="K71" t="s">
        <v>1328</v>
      </c>
      <c r="L71" t="s">
        <v>386</v>
      </c>
      <c r="M71" t="s">
        <v>1184</v>
      </c>
      <c r="O71">
        <v>0</v>
      </c>
      <c r="R71" t="s">
        <v>1185</v>
      </c>
      <c r="T71">
        <v>0</v>
      </c>
      <c r="V71" t="s">
        <v>1186</v>
      </c>
      <c r="Z71" t="s">
        <v>865</v>
      </c>
      <c r="AA71" t="s">
        <v>387</v>
      </c>
      <c r="AB71">
        <v>0</v>
      </c>
      <c r="AC71">
        <v>0</v>
      </c>
      <c r="AD71" t="s">
        <v>1187</v>
      </c>
      <c r="AE71">
        <v>0</v>
      </c>
      <c r="AF71" t="s">
        <v>1188</v>
      </c>
    </row>
    <row r="72" spans="1:34" x14ac:dyDescent="0.25">
      <c r="A72">
        <v>1</v>
      </c>
      <c r="C72" s="185"/>
      <c r="E72" t="s">
        <v>386</v>
      </c>
      <c r="I72">
        <v>3975</v>
      </c>
      <c r="J72" t="s">
        <v>1329</v>
      </c>
      <c r="K72" t="s">
        <v>1329</v>
      </c>
      <c r="L72" t="s">
        <v>386</v>
      </c>
      <c r="M72" t="s">
        <v>1184</v>
      </c>
      <c r="O72">
        <v>0</v>
      </c>
      <c r="R72" t="s">
        <v>1185</v>
      </c>
      <c r="T72">
        <v>0</v>
      </c>
      <c r="V72" t="s">
        <v>1186</v>
      </c>
      <c r="Z72" t="s">
        <v>865</v>
      </c>
      <c r="AA72" t="s">
        <v>387</v>
      </c>
      <c r="AB72">
        <v>0</v>
      </c>
      <c r="AC72">
        <v>0</v>
      </c>
      <c r="AD72" t="s">
        <v>1187</v>
      </c>
      <c r="AE72">
        <v>0</v>
      </c>
      <c r="AF72" t="s">
        <v>1188</v>
      </c>
    </row>
    <row r="73" spans="1:34" x14ac:dyDescent="0.25">
      <c r="A73">
        <v>1</v>
      </c>
      <c r="C73" s="185"/>
      <c r="E73" t="s">
        <v>386</v>
      </c>
      <c r="I73">
        <v>4198</v>
      </c>
      <c r="J73" t="s">
        <v>1330</v>
      </c>
      <c r="K73" t="s">
        <v>1330</v>
      </c>
      <c r="L73" t="s">
        <v>386</v>
      </c>
      <c r="M73" t="s">
        <v>1184</v>
      </c>
      <c r="O73">
        <v>0</v>
      </c>
      <c r="R73" t="s">
        <v>1185</v>
      </c>
      <c r="T73">
        <v>0</v>
      </c>
      <c r="V73" t="s">
        <v>1186</v>
      </c>
      <c r="Z73" t="s">
        <v>865</v>
      </c>
      <c r="AA73" t="s">
        <v>387</v>
      </c>
      <c r="AB73">
        <v>0</v>
      </c>
      <c r="AC73">
        <v>0</v>
      </c>
      <c r="AD73" t="s">
        <v>1187</v>
      </c>
      <c r="AE73">
        <v>0</v>
      </c>
      <c r="AF73" t="s">
        <v>1188</v>
      </c>
    </row>
    <row r="74" spans="1:34" x14ac:dyDescent="0.25">
      <c r="A74">
        <v>1</v>
      </c>
      <c r="C74" s="185"/>
      <c r="E74" t="s">
        <v>386</v>
      </c>
      <c r="I74">
        <v>4063</v>
      </c>
      <c r="J74" t="s">
        <v>1331</v>
      </c>
      <c r="K74" t="s">
        <v>1331</v>
      </c>
      <c r="L74" t="s">
        <v>386</v>
      </c>
      <c r="M74" t="s">
        <v>1184</v>
      </c>
      <c r="O74">
        <v>0</v>
      </c>
      <c r="R74" t="s">
        <v>1185</v>
      </c>
      <c r="T74">
        <v>0</v>
      </c>
      <c r="V74" t="s">
        <v>1186</v>
      </c>
      <c r="Z74" t="s">
        <v>865</v>
      </c>
      <c r="AA74" t="s">
        <v>387</v>
      </c>
      <c r="AB74">
        <v>0</v>
      </c>
      <c r="AC74">
        <v>0</v>
      </c>
      <c r="AD74" t="s">
        <v>1187</v>
      </c>
      <c r="AE74">
        <v>0</v>
      </c>
      <c r="AF74" t="s">
        <v>1188</v>
      </c>
    </row>
    <row r="75" spans="1:34" x14ac:dyDescent="0.25">
      <c r="A75">
        <v>1</v>
      </c>
      <c r="C75" s="185"/>
      <c r="E75" t="s">
        <v>386</v>
      </c>
      <c r="I75">
        <v>3857</v>
      </c>
      <c r="J75" t="s">
        <v>1332</v>
      </c>
      <c r="K75" t="s">
        <v>1332</v>
      </c>
      <c r="L75" t="s">
        <v>386</v>
      </c>
      <c r="M75" t="s">
        <v>1184</v>
      </c>
      <c r="O75">
        <v>0</v>
      </c>
      <c r="R75" t="s">
        <v>1185</v>
      </c>
      <c r="T75">
        <v>0</v>
      </c>
      <c r="V75" t="s">
        <v>1186</v>
      </c>
      <c r="Z75" t="s">
        <v>865</v>
      </c>
      <c r="AA75" t="s">
        <v>387</v>
      </c>
      <c r="AB75">
        <v>0</v>
      </c>
      <c r="AC75">
        <v>0</v>
      </c>
      <c r="AD75" t="s">
        <v>1187</v>
      </c>
      <c r="AE75">
        <v>0</v>
      </c>
      <c r="AF75" t="s">
        <v>1188</v>
      </c>
    </row>
    <row r="76" spans="1:34" x14ac:dyDescent="0.25">
      <c r="A76">
        <v>1</v>
      </c>
      <c r="C76" s="185"/>
      <c r="E76" t="s">
        <v>386</v>
      </c>
      <c r="I76">
        <v>4057</v>
      </c>
      <c r="J76" t="s">
        <v>1333</v>
      </c>
      <c r="K76" t="s">
        <v>1333</v>
      </c>
      <c r="L76" t="s">
        <v>386</v>
      </c>
      <c r="M76" t="s">
        <v>1184</v>
      </c>
      <c r="O76">
        <v>0</v>
      </c>
      <c r="R76" t="s">
        <v>1185</v>
      </c>
      <c r="T76">
        <v>0</v>
      </c>
      <c r="V76" t="s">
        <v>1186</v>
      </c>
      <c r="Z76" t="s">
        <v>865</v>
      </c>
      <c r="AA76" t="s">
        <v>387</v>
      </c>
      <c r="AB76">
        <v>0</v>
      </c>
      <c r="AC76">
        <v>0</v>
      </c>
      <c r="AD76" t="s">
        <v>1187</v>
      </c>
      <c r="AE76">
        <v>0</v>
      </c>
      <c r="AF76" t="s">
        <v>1188</v>
      </c>
    </row>
    <row r="77" spans="1:34" x14ac:dyDescent="0.25">
      <c r="A77">
        <v>1</v>
      </c>
      <c r="C77" s="185"/>
      <c r="E77" t="s">
        <v>386</v>
      </c>
      <c r="I77">
        <v>3992</v>
      </c>
      <c r="J77" t="s">
        <v>1334</v>
      </c>
      <c r="K77" t="s">
        <v>1334</v>
      </c>
      <c r="L77" t="s">
        <v>386</v>
      </c>
      <c r="M77" t="s">
        <v>1184</v>
      </c>
      <c r="O77">
        <v>0</v>
      </c>
      <c r="R77" t="s">
        <v>1185</v>
      </c>
      <c r="T77">
        <v>0</v>
      </c>
      <c r="V77" t="s">
        <v>1186</v>
      </c>
      <c r="Z77" t="s">
        <v>865</v>
      </c>
      <c r="AA77" t="s">
        <v>387</v>
      </c>
      <c r="AB77">
        <v>0</v>
      </c>
      <c r="AC77">
        <v>0</v>
      </c>
      <c r="AD77" t="s">
        <v>1187</v>
      </c>
      <c r="AE77">
        <v>0</v>
      </c>
      <c r="AF77" t="s">
        <v>1188</v>
      </c>
    </row>
    <row r="78" spans="1:34" x14ac:dyDescent="0.25">
      <c r="A78">
        <v>1</v>
      </c>
      <c r="C78" s="185"/>
      <c r="E78" t="s">
        <v>386</v>
      </c>
      <c r="I78">
        <v>4108</v>
      </c>
      <c r="J78" t="s">
        <v>1335</v>
      </c>
      <c r="K78" t="s">
        <v>1335</v>
      </c>
      <c r="L78" t="s">
        <v>386</v>
      </c>
      <c r="M78" t="s">
        <v>1184</v>
      </c>
      <c r="O78">
        <v>0</v>
      </c>
      <c r="R78" t="s">
        <v>1185</v>
      </c>
      <c r="T78">
        <v>0</v>
      </c>
      <c r="V78" t="s">
        <v>1186</v>
      </c>
      <c r="Z78" t="s">
        <v>865</v>
      </c>
      <c r="AA78" t="s">
        <v>387</v>
      </c>
      <c r="AB78">
        <v>0</v>
      </c>
      <c r="AC78">
        <v>0</v>
      </c>
      <c r="AD78" t="s">
        <v>1187</v>
      </c>
      <c r="AE78">
        <v>0</v>
      </c>
      <c r="AF78" t="s">
        <v>1188</v>
      </c>
    </row>
    <row r="79" spans="1:34" x14ac:dyDescent="0.25">
      <c r="A79">
        <v>1</v>
      </c>
      <c r="B79" t="s">
        <v>1313</v>
      </c>
      <c r="C79" s="185"/>
      <c r="E79" t="s">
        <v>386</v>
      </c>
      <c r="I79">
        <v>4096</v>
      </c>
      <c r="J79" t="s">
        <v>1336</v>
      </c>
      <c r="K79" t="s">
        <v>1336</v>
      </c>
      <c r="L79" t="s">
        <v>386</v>
      </c>
      <c r="M79" t="s">
        <v>1184</v>
      </c>
      <c r="O79">
        <v>0</v>
      </c>
      <c r="R79" t="s">
        <v>1185</v>
      </c>
      <c r="S79" t="s">
        <v>1315</v>
      </c>
      <c r="T79">
        <v>474</v>
      </c>
      <c r="U79">
        <v>0</v>
      </c>
      <c r="V79" t="s">
        <v>1337</v>
      </c>
      <c r="W79" t="s">
        <v>1186</v>
      </c>
      <c r="X79">
        <v>0</v>
      </c>
      <c r="Y79" t="s">
        <v>1317</v>
      </c>
      <c r="Z79" t="s">
        <v>865</v>
      </c>
      <c r="AA79" t="s">
        <v>387</v>
      </c>
      <c r="AB79">
        <v>0</v>
      </c>
      <c r="AC79">
        <v>0</v>
      </c>
      <c r="AD79" t="s">
        <v>1187</v>
      </c>
      <c r="AE79">
        <v>0</v>
      </c>
      <c r="AF79" t="s">
        <v>1188</v>
      </c>
      <c r="AH79" t="s">
        <v>1338</v>
      </c>
    </row>
    <row r="80" spans="1:34" x14ac:dyDescent="0.25">
      <c r="A80">
        <v>1</v>
      </c>
      <c r="C80" s="185"/>
      <c r="E80" t="s">
        <v>386</v>
      </c>
      <c r="I80">
        <v>3791</v>
      </c>
      <c r="J80" t="s">
        <v>1339</v>
      </c>
      <c r="K80" t="s">
        <v>1339</v>
      </c>
      <c r="L80" t="s">
        <v>386</v>
      </c>
      <c r="M80" t="s">
        <v>1184</v>
      </c>
      <c r="O80">
        <v>0</v>
      </c>
      <c r="R80" t="s">
        <v>1185</v>
      </c>
      <c r="T80">
        <v>0</v>
      </c>
      <c r="V80" t="s">
        <v>1186</v>
      </c>
      <c r="Z80" t="s">
        <v>865</v>
      </c>
      <c r="AA80" t="s">
        <v>387</v>
      </c>
      <c r="AB80">
        <v>0</v>
      </c>
      <c r="AC80">
        <v>0</v>
      </c>
      <c r="AD80" t="s">
        <v>1187</v>
      </c>
      <c r="AE80">
        <v>0</v>
      </c>
      <c r="AF80" t="s">
        <v>1188</v>
      </c>
    </row>
    <row r="81" spans="1:32" x14ac:dyDescent="0.25">
      <c r="A81">
        <v>1</v>
      </c>
      <c r="C81" s="185"/>
      <c r="E81" t="s">
        <v>386</v>
      </c>
      <c r="I81">
        <v>4157</v>
      </c>
      <c r="J81" t="s">
        <v>1340</v>
      </c>
      <c r="K81" t="s">
        <v>1340</v>
      </c>
      <c r="L81" t="s">
        <v>386</v>
      </c>
      <c r="M81" t="s">
        <v>1184</v>
      </c>
      <c r="O81">
        <v>0</v>
      </c>
      <c r="R81" t="s">
        <v>1185</v>
      </c>
      <c r="T81">
        <v>0</v>
      </c>
      <c r="V81" t="s">
        <v>1186</v>
      </c>
      <c r="Z81" t="s">
        <v>865</v>
      </c>
      <c r="AA81" t="s">
        <v>387</v>
      </c>
      <c r="AB81">
        <v>0</v>
      </c>
      <c r="AC81">
        <v>0</v>
      </c>
      <c r="AD81" t="s">
        <v>1187</v>
      </c>
      <c r="AE81">
        <v>0</v>
      </c>
      <c r="AF81" t="s">
        <v>1188</v>
      </c>
    </row>
    <row r="82" spans="1:32" x14ac:dyDescent="0.25">
      <c r="A82">
        <v>1</v>
      </c>
      <c r="C82" s="185"/>
      <c r="E82" t="s">
        <v>386</v>
      </c>
      <c r="I82">
        <v>3838</v>
      </c>
      <c r="J82" t="s">
        <v>1341</v>
      </c>
      <c r="K82" t="s">
        <v>1341</v>
      </c>
      <c r="L82" t="s">
        <v>386</v>
      </c>
      <c r="M82" t="s">
        <v>1184</v>
      </c>
      <c r="O82">
        <v>0</v>
      </c>
      <c r="R82" t="s">
        <v>1185</v>
      </c>
      <c r="T82">
        <v>0</v>
      </c>
      <c r="V82" t="s">
        <v>1186</v>
      </c>
      <c r="Z82" t="s">
        <v>865</v>
      </c>
      <c r="AA82" t="s">
        <v>387</v>
      </c>
      <c r="AB82">
        <v>0</v>
      </c>
      <c r="AC82">
        <v>0</v>
      </c>
      <c r="AD82" t="s">
        <v>1187</v>
      </c>
      <c r="AE82">
        <v>0</v>
      </c>
      <c r="AF82" t="s">
        <v>1188</v>
      </c>
    </row>
    <row r="83" spans="1:32" x14ac:dyDescent="0.25">
      <c r="A83">
        <v>1</v>
      </c>
      <c r="C83" s="185"/>
      <c r="E83" t="s">
        <v>386</v>
      </c>
      <c r="I83">
        <v>3561</v>
      </c>
      <c r="J83" t="s">
        <v>1342</v>
      </c>
      <c r="K83" t="s">
        <v>1342</v>
      </c>
      <c r="L83" t="s">
        <v>386</v>
      </c>
      <c r="M83" t="s">
        <v>1184</v>
      </c>
      <c r="O83">
        <v>0</v>
      </c>
      <c r="R83" t="s">
        <v>1185</v>
      </c>
      <c r="T83">
        <v>0</v>
      </c>
      <c r="V83" t="s">
        <v>1186</v>
      </c>
      <c r="Z83" t="s">
        <v>865</v>
      </c>
      <c r="AA83" t="s">
        <v>387</v>
      </c>
      <c r="AB83">
        <v>0</v>
      </c>
      <c r="AC83">
        <v>0</v>
      </c>
      <c r="AD83" t="s">
        <v>1187</v>
      </c>
      <c r="AE83">
        <v>0</v>
      </c>
      <c r="AF83" t="s">
        <v>1188</v>
      </c>
    </row>
    <row r="84" spans="1:32" x14ac:dyDescent="0.25">
      <c r="A84">
        <v>1</v>
      </c>
      <c r="C84" s="185"/>
      <c r="E84" t="s">
        <v>386</v>
      </c>
      <c r="I84">
        <v>4037</v>
      </c>
      <c r="J84" t="s">
        <v>1343</v>
      </c>
      <c r="K84" t="s">
        <v>1343</v>
      </c>
      <c r="L84" t="s">
        <v>386</v>
      </c>
      <c r="M84" t="s">
        <v>1184</v>
      </c>
      <c r="O84">
        <v>0</v>
      </c>
      <c r="R84" t="s">
        <v>1185</v>
      </c>
      <c r="T84">
        <v>0</v>
      </c>
      <c r="V84" t="s">
        <v>1186</v>
      </c>
      <c r="Z84" t="s">
        <v>865</v>
      </c>
      <c r="AA84" t="s">
        <v>387</v>
      </c>
      <c r="AB84">
        <v>0</v>
      </c>
      <c r="AC84">
        <v>0</v>
      </c>
      <c r="AD84" t="s">
        <v>1187</v>
      </c>
      <c r="AE84">
        <v>0</v>
      </c>
      <c r="AF84" t="s">
        <v>1188</v>
      </c>
    </row>
    <row r="85" spans="1:32" x14ac:dyDescent="0.25">
      <c r="A85">
        <v>1</v>
      </c>
      <c r="C85" s="185"/>
      <c r="E85" t="s">
        <v>386</v>
      </c>
      <c r="I85">
        <v>3534</v>
      </c>
      <c r="J85" t="s">
        <v>1344</v>
      </c>
      <c r="K85" t="s">
        <v>1344</v>
      </c>
      <c r="L85" t="s">
        <v>386</v>
      </c>
      <c r="M85" t="s">
        <v>1184</v>
      </c>
      <c r="O85">
        <v>0</v>
      </c>
      <c r="R85" t="s">
        <v>1185</v>
      </c>
      <c r="T85">
        <v>0</v>
      </c>
      <c r="V85" t="s">
        <v>1186</v>
      </c>
      <c r="Z85" t="s">
        <v>865</v>
      </c>
      <c r="AA85" t="s">
        <v>387</v>
      </c>
      <c r="AB85">
        <v>0</v>
      </c>
      <c r="AC85">
        <v>0</v>
      </c>
      <c r="AD85" t="s">
        <v>1187</v>
      </c>
      <c r="AE85">
        <v>0</v>
      </c>
      <c r="AF85" t="s">
        <v>1188</v>
      </c>
    </row>
    <row r="86" spans="1:32" x14ac:dyDescent="0.25">
      <c r="A86">
        <v>1</v>
      </c>
      <c r="C86" s="185"/>
      <c r="E86" t="s">
        <v>386</v>
      </c>
      <c r="I86">
        <v>3564</v>
      </c>
      <c r="J86" t="s">
        <v>1345</v>
      </c>
      <c r="K86" t="s">
        <v>1345</v>
      </c>
      <c r="L86" t="s">
        <v>386</v>
      </c>
      <c r="M86" t="s">
        <v>1184</v>
      </c>
      <c r="O86">
        <v>0</v>
      </c>
      <c r="R86" t="s">
        <v>1185</v>
      </c>
      <c r="T86">
        <v>0</v>
      </c>
      <c r="V86" t="s">
        <v>1186</v>
      </c>
      <c r="Z86" t="s">
        <v>865</v>
      </c>
      <c r="AA86" t="s">
        <v>387</v>
      </c>
      <c r="AB86">
        <v>0</v>
      </c>
      <c r="AC86">
        <v>0</v>
      </c>
      <c r="AD86" t="s">
        <v>1187</v>
      </c>
      <c r="AE86">
        <v>0</v>
      </c>
      <c r="AF86" t="s">
        <v>1188</v>
      </c>
    </row>
    <row r="87" spans="1:32" x14ac:dyDescent="0.25">
      <c r="A87">
        <v>1</v>
      </c>
      <c r="C87" s="185"/>
      <c r="E87" t="s">
        <v>386</v>
      </c>
      <c r="I87">
        <v>3625</v>
      </c>
      <c r="J87" t="s">
        <v>1346</v>
      </c>
      <c r="K87" t="s">
        <v>1346</v>
      </c>
      <c r="L87" t="s">
        <v>386</v>
      </c>
      <c r="M87" t="s">
        <v>1184</v>
      </c>
      <c r="O87">
        <v>0</v>
      </c>
      <c r="R87" t="s">
        <v>1185</v>
      </c>
      <c r="T87">
        <v>0</v>
      </c>
      <c r="V87" t="s">
        <v>1186</v>
      </c>
      <c r="Z87" t="s">
        <v>865</v>
      </c>
      <c r="AA87" t="s">
        <v>387</v>
      </c>
      <c r="AB87">
        <v>0</v>
      </c>
      <c r="AC87">
        <v>0</v>
      </c>
      <c r="AD87" t="s">
        <v>1187</v>
      </c>
      <c r="AE87">
        <v>0</v>
      </c>
      <c r="AF87" t="s">
        <v>1188</v>
      </c>
    </row>
    <row r="88" spans="1:32" x14ac:dyDescent="0.25">
      <c r="A88">
        <v>1</v>
      </c>
      <c r="C88" s="185"/>
      <c r="E88" t="s">
        <v>386</v>
      </c>
      <c r="I88">
        <v>3842</v>
      </c>
      <c r="J88" t="s">
        <v>1347</v>
      </c>
      <c r="K88" t="s">
        <v>1347</v>
      </c>
      <c r="L88" t="s">
        <v>386</v>
      </c>
      <c r="M88" t="s">
        <v>1184</v>
      </c>
      <c r="O88">
        <v>0</v>
      </c>
      <c r="R88" t="s">
        <v>1185</v>
      </c>
      <c r="T88">
        <v>0</v>
      </c>
      <c r="V88" t="s">
        <v>1186</v>
      </c>
      <c r="Z88" t="s">
        <v>865</v>
      </c>
      <c r="AA88" t="s">
        <v>387</v>
      </c>
      <c r="AB88">
        <v>0</v>
      </c>
      <c r="AC88">
        <v>0</v>
      </c>
      <c r="AD88" t="s">
        <v>1187</v>
      </c>
      <c r="AE88">
        <v>0</v>
      </c>
      <c r="AF88" t="s">
        <v>1188</v>
      </c>
    </row>
    <row r="89" spans="1:32" x14ac:dyDescent="0.25">
      <c r="A89">
        <v>1</v>
      </c>
      <c r="C89" s="185"/>
      <c r="E89" t="s">
        <v>386</v>
      </c>
      <c r="I89">
        <v>3674</v>
      </c>
      <c r="J89" t="s">
        <v>1348</v>
      </c>
      <c r="K89" t="s">
        <v>1348</v>
      </c>
      <c r="L89" t="s">
        <v>386</v>
      </c>
      <c r="M89" t="s">
        <v>1184</v>
      </c>
      <c r="O89">
        <v>0</v>
      </c>
      <c r="R89" t="s">
        <v>1185</v>
      </c>
      <c r="T89">
        <v>0</v>
      </c>
      <c r="V89" t="s">
        <v>1186</v>
      </c>
      <c r="Z89" t="s">
        <v>865</v>
      </c>
      <c r="AA89" t="s">
        <v>387</v>
      </c>
      <c r="AB89">
        <v>0</v>
      </c>
      <c r="AC89">
        <v>0</v>
      </c>
      <c r="AD89" t="s">
        <v>1187</v>
      </c>
      <c r="AE89">
        <v>0</v>
      </c>
      <c r="AF89" t="s">
        <v>1188</v>
      </c>
    </row>
    <row r="90" spans="1:32" x14ac:dyDescent="0.25">
      <c r="A90">
        <v>1</v>
      </c>
      <c r="C90" s="185"/>
      <c r="E90" t="s">
        <v>386</v>
      </c>
      <c r="I90">
        <v>3687</v>
      </c>
      <c r="J90" t="s">
        <v>1349</v>
      </c>
      <c r="K90" t="s">
        <v>1349</v>
      </c>
      <c r="L90" t="s">
        <v>386</v>
      </c>
      <c r="M90" t="s">
        <v>1184</v>
      </c>
      <c r="O90">
        <v>0</v>
      </c>
      <c r="R90" t="s">
        <v>1185</v>
      </c>
      <c r="T90">
        <v>0</v>
      </c>
      <c r="V90" t="s">
        <v>1186</v>
      </c>
      <c r="Z90" t="s">
        <v>865</v>
      </c>
      <c r="AA90" t="s">
        <v>387</v>
      </c>
      <c r="AB90">
        <v>0</v>
      </c>
      <c r="AC90">
        <v>0</v>
      </c>
      <c r="AD90" t="s">
        <v>1187</v>
      </c>
      <c r="AE90">
        <v>0</v>
      </c>
      <c r="AF90" t="s">
        <v>1188</v>
      </c>
    </row>
    <row r="91" spans="1:32" x14ac:dyDescent="0.25">
      <c r="A91">
        <v>1</v>
      </c>
      <c r="C91" s="185"/>
      <c r="E91" t="s">
        <v>386</v>
      </c>
      <c r="I91">
        <v>4166</v>
      </c>
      <c r="J91" t="s">
        <v>1350</v>
      </c>
      <c r="K91" t="s">
        <v>1350</v>
      </c>
      <c r="L91" t="s">
        <v>386</v>
      </c>
      <c r="M91" t="s">
        <v>1184</v>
      </c>
      <c r="O91">
        <v>0</v>
      </c>
      <c r="R91" t="s">
        <v>1185</v>
      </c>
      <c r="T91">
        <v>0</v>
      </c>
      <c r="V91" t="s">
        <v>1186</v>
      </c>
      <c r="Z91" t="s">
        <v>865</v>
      </c>
      <c r="AA91" t="s">
        <v>387</v>
      </c>
      <c r="AB91">
        <v>0</v>
      </c>
      <c r="AC91">
        <v>0</v>
      </c>
      <c r="AD91" t="s">
        <v>1187</v>
      </c>
      <c r="AE91">
        <v>0</v>
      </c>
      <c r="AF91" t="s">
        <v>1188</v>
      </c>
    </row>
    <row r="92" spans="1:32" x14ac:dyDescent="0.25">
      <c r="A92">
        <v>1</v>
      </c>
      <c r="C92" s="185"/>
      <c r="E92" t="s">
        <v>386</v>
      </c>
      <c r="I92">
        <v>3712</v>
      </c>
      <c r="J92" t="s">
        <v>1351</v>
      </c>
      <c r="K92" t="s">
        <v>1351</v>
      </c>
      <c r="L92" t="s">
        <v>386</v>
      </c>
      <c r="M92" t="s">
        <v>1184</v>
      </c>
      <c r="O92">
        <v>0</v>
      </c>
      <c r="R92" t="s">
        <v>1185</v>
      </c>
      <c r="T92">
        <v>0</v>
      </c>
      <c r="V92" t="s">
        <v>1186</v>
      </c>
      <c r="Z92" t="s">
        <v>865</v>
      </c>
      <c r="AA92" t="s">
        <v>387</v>
      </c>
      <c r="AB92">
        <v>0</v>
      </c>
      <c r="AC92">
        <v>0</v>
      </c>
      <c r="AD92" t="s">
        <v>1187</v>
      </c>
      <c r="AE92">
        <v>0</v>
      </c>
      <c r="AF92" t="s">
        <v>1188</v>
      </c>
    </row>
    <row r="93" spans="1:32" x14ac:dyDescent="0.25">
      <c r="A93">
        <v>1</v>
      </c>
      <c r="C93" s="185"/>
      <c r="E93" t="s">
        <v>386</v>
      </c>
      <c r="I93">
        <v>3570</v>
      </c>
      <c r="J93" t="s">
        <v>1352</v>
      </c>
      <c r="K93" t="s">
        <v>1352</v>
      </c>
      <c r="L93" t="s">
        <v>386</v>
      </c>
      <c r="M93" t="s">
        <v>1184</v>
      </c>
      <c r="O93">
        <v>0</v>
      </c>
      <c r="R93" t="s">
        <v>1185</v>
      </c>
      <c r="T93">
        <v>0</v>
      </c>
      <c r="V93" t="s">
        <v>1186</v>
      </c>
      <c r="Z93" t="s">
        <v>865</v>
      </c>
      <c r="AA93" t="s">
        <v>387</v>
      </c>
      <c r="AB93">
        <v>0</v>
      </c>
      <c r="AC93">
        <v>0</v>
      </c>
      <c r="AD93" t="s">
        <v>1187</v>
      </c>
      <c r="AE93">
        <v>0</v>
      </c>
      <c r="AF93" t="s">
        <v>1188</v>
      </c>
    </row>
    <row r="94" spans="1:32" x14ac:dyDescent="0.25">
      <c r="A94">
        <v>1</v>
      </c>
      <c r="C94" s="185"/>
      <c r="E94" t="s">
        <v>386</v>
      </c>
      <c r="I94">
        <v>3828</v>
      </c>
      <c r="J94" t="s">
        <v>1353</v>
      </c>
      <c r="K94" t="s">
        <v>1353</v>
      </c>
      <c r="L94" t="s">
        <v>386</v>
      </c>
      <c r="M94" t="s">
        <v>1184</v>
      </c>
      <c r="O94">
        <v>0</v>
      </c>
      <c r="R94" t="s">
        <v>1185</v>
      </c>
      <c r="T94">
        <v>0</v>
      </c>
      <c r="V94" t="s">
        <v>1186</v>
      </c>
      <c r="Z94" t="s">
        <v>865</v>
      </c>
      <c r="AA94" t="s">
        <v>387</v>
      </c>
      <c r="AB94">
        <v>0</v>
      </c>
      <c r="AC94">
        <v>0</v>
      </c>
      <c r="AD94" t="s">
        <v>1187</v>
      </c>
      <c r="AE94">
        <v>0</v>
      </c>
      <c r="AF94" t="s">
        <v>1188</v>
      </c>
    </row>
    <row r="95" spans="1:32" x14ac:dyDescent="0.25">
      <c r="A95">
        <v>1</v>
      </c>
      <c r="C95" s="185"/>
      <c r="E95" t="s">
        <v>386</v>
      </c>
      <c r="I95">
        <v>3657</v>
      </c>
      <c r="J95" t="s">
        <v>1354</v>
      </c>
      <c r="K95" t="s">
        <v>1354</v>
      </c>
      <c r="L95" t="s">
        <v>386</v>
      </c>
      <c r="M95" t="s">
        <v>1184</v>
      </c>
      <c r="O95">
        <v>0</v>
      </c>
      <c r="R95" t="s">
        <v>1185</v>
      </c>
      <c r="T95">
        <v>0</v>
      </c>
      <c r="V95" t="s">
        <v>1186</v>
      </c>
      <c r="Z95" t="s">
        <v>865</v>
      </c>
      <c r="AA95" t="s">
        <v>387</v>
      </c>
      <c r="AB95">
        <v>0</v>
      </c>
      <c r="AC95">
        <v>0</v>
      </c>
      <c r="AD95" t="s">
        <v>1187</v>
      </c>
      <c r="AE95">
        <v>0</v>
      </c>
      <c r="AF95" t="s">
        <v>1188</v>
      </c>
    </row>
    <row r="96" spans="1:32" x14ac:dyDescent="0.25">
      <c r="A96">
        <v>1</v>
      </c>
      <c r="C96" s="185"/>
      <c r="E96" t="s">
        <v>386</v>
      </c>
      <c r="I96">
        <v>3798</v>
      </c>
      <c r="J96" t="s">
        <v>1355</v>
      </c>
      <c r="K96" t="s">
        <v>1355</v>
      </c>
      <c r="L96" t="s">
        <v>386</v>
      </c>
      <c r="M96" t="s">
        <v>1184</v>
      </c>
      <c r="O96">
        <v>0</v>
      </c>
      <c r="R96" t="s">
        <v>1185</v>
      </c>
      <c r="T96">
        <v>0</v>
      </c>
      <c r="V96" t="s">
        <v>1186</v>
      </c>
      <c r="Z96" t="s">
        <v>865</v>
      </c>
      <c r="AA96" t="s">
        <v>387</v>
      </c>
      <c r="AB96">
        <v>0</v>
      </c>
      <c r="AC96">
        <v>0</v>
      </c>
      <c r="AD96" t="s">
        <v>1187</v>
      </c>
      <c r="AE96">
        <v>0</v>
      </c>
      <c r="AF96" t="s">
        <v>1188</v>
      </c>
    </row>
    <row r="97" spans="1:32" x14ac:dyDescent="0.25">
      <c r="A97">
        <v>1</v>
      </c>
      <c r="C97" s="185"/>
      <c r="E97" t="s">
        <v>386</v>
      </c>
      <c r="I97">
        <v>3649</v>
      </c>
      <c r="J97" t="s">
        <v>1356</v>
      </c>
      <c r="K97" t="s">
        <v>1356</v>
      </c>
      <c r="L97" t="s">
        <v>386</v>
      </c>
      <c r="M97" t="s">
        <v>1184</v>
      </c>
      <c r="O97">
        <v>0</v>
      </c>
      <c r="R97" t="s">
        <v>1185</v>
      </c>
      <c r="T97">
        <v>0</v>
      </c>
      <c r="V97" t="s">
        <v>1186</v>
      </c>
      <c r="Z97" t="s">
        <v>865</v>
      </c>
      <c r="AA97" t="s">
        <v>387</v>
      </c>
      <c r="AB97">
        <v>0</v>
      </c>
      <c r="AC97">
        <v>0</v>
      </c>
      <c r="AD97" t="s">
        <v>1187</v>
      </c>
      <c r="AE97">
        <v>0</v>
      </c>
      <c r="AF97" t="s">
        <v>1188</v>
      </c>
    </row>
    <row r="98" spans="1:32" x14ac:dyDescent="0.25">
      <c r="A98">
        <v>1</v>
      </c>
      <c r="C98" s="185"/>
      <c r="E98" t="s">
        <v>386</v>
      </c>
      <c r="I98">
        <v>3733</v>
      </c>
      <c r="J98" t="s">
        <v>1357</v>
      </c>
      <c r="K98" t="s">
        <v>1357</v>
      </c>
      <c r="L98" t="s">
        <v>386</v>
      </c>
      <c r="M98" t="s">
        <v>1184</v>
      </c>
      <c r="O98">
        <v>0</v>
      </c>
      <c r="R98" t="s">
        <v>1185</v>
      </c>
      <c r="T98">
        <v>0</v>
      </c>
      <c r="V98" t="s">
        <v>1186</v>
      </c>
      <c r="Z98" t="s">
        <v>865</v>
      </c>
      <c r="AA98" t="s">
        <v>387</v>
      </c>
      <c r="AB98">
        <v>0</v>
      </c>
      <c r="AC98">
        <v>0</v>
      </c>
      <c r="AD98" t="s">
        <v>1187</v>
      </c>
      <c r="AE98">
        <v>0</v>
      </c>
      <c r="AF98" t="s">
        <v>1188</v>
      </c>
    </row>
    <row r="99" spans="1:32" x14ac:dyDescent="0.25">
      <c r="A99">
        <v>1</v>
      </c>
      <c r="C99" s="185"/>
      <c r="E99" t="s">
        <v>386</v>
      </c>
      <c r="I99">
        <v>3823</v>
      </c>
      <c r="J99" t="s">
        <v>1358</v>
      </c>
      <c r="K99" t="s">
        <v>1358</v>
      </c>
      <c r="L99" t="s">
        <v>386</v>
      </c>
      <c r="M99" t="s">
        <v>1184</v>
      </c>
      <c r="O99">
        <v>0</v>
      </c>
      <c r="R99" t="s">
        <v>1185</v>
      </c>
      <c r="T99">
        <v>0</v>
      </c>
      <c r="V99" t="s">
        <v>1186</v>
      </c>
      <c r="Z99" t="s">
        <v>865</v>
      </c>
      <c r="AA99" t="s">
        <v>387</v>
      </c>
      <c r="AB99">
        <v>0</v>
      </c>
      <c r="AC99">
        <v>0</v>
      </c>
      <c r="AD99" t="s">
        <v>1187</v>
      </c>
      <c r="AE99">
        <v>0</v>
      </c>
      <c r="AF99" t="s">
        <v>1188</v>
      </c>
    </row>
    <row r="100" spans="1:32" x14ac:dyDescent="0.25">
      <c r="A100">
        <v>1</v>
      </c>
      <c r="C100" s="185"/>
      <c r="E100" t="s">
        <v>386</v>
      </c>
      <c r="I100">
        <v>3917</v>
      </c>
      <c r="J100" t="s">
        <v>1359</v>
      </c>
      <c r="K100" t="s">
        <v>1359</v>
      </c>
      <c r="L100" t="s">
        <v>386</v>
      </c>
      <c r="M100" t="s">
        <v>1184</v>
      </c>
      <c r="O100">
        <v>0</v>
      </c>
      <c r="R100" t="s">
        <v>1185</v>
      </c>
      <c r="T100">
        <v>0</v>
      </c>
      <c r="V100" t="s">
        <v>1186</v>
      </c>
      <c r="Z100" t="s">
        <v>865</v>
      </c>
      <c r="AA100" t="s">
        <v>387</v>
      </c>
      <c r="AB100">
        <v>0</v>
      </c>
      <c r="AC100">
        <v>0</v>
      </c>
      <c r="AD100" t="s">
        <v>1187</v>
      </c>
      <c r="AE100">
        <v>0</v>
      </c>
      <c r="AF100" t="s">
        <v>1188</v>
      </c>
    </row>
    <row r="101" spans="1:32" x14ac:dyDescent="0.25">
      <c r="A101">
        <v>1</v>
      </c>
      <c r="C101" s="185"/>
      <c r="E101" t="s">
        <v>386</v>
      </c>
      <c r="I101">
        <v>3527</v>
      </c>
      <c r="J101" t="s">
        <v>1360</v>
      </c>
      <c r="K101" t="s">
        <v>1360</v>
      </c>
      <c r="L101" t="s">
        <v>386</v>
      </c>
      <c r="M101" t="s">
        <v>1184</v>
      </c>
      <c r="O101">
        <v>0</v>
      </c>
      <c r="R101" t="s">
        <v>1185</v>
      </c>
      <c r="T101">
        <v>0</v>
      </c>
      <c r="V101" t="s">
        <v>1186</v>
      </c>
      <c r="Z101" t="s">
        <v>865</v>
      </c>
      <c r="AA101" t="s">
        <v>387</v>
      </c>
      <c r="AB101">
        <v>0</v>
      </c>
      <c r="AC101">
        <v>0</v>
      </c>
      <c r="AD101" t="s">
        <v>1187</v>
      </c>
      <c r="AE101">
        <v>0</v>
      </c>
      <c r="AF101" t="s">
        <v>1188</v>
      </c>
    </row>
    <row r="102" spans="1:32" x14ac:dyDescent="0.25">
      <c r="A102">
        <v>1</v>
      </c>
      <c r="C102" s="185"/>
      <c r="E102" t="s">
        <v>386</v>
      </c>
      <c r="I102">
        <v>3867</v>
      </c>
      <c r="J102" t="s">
        <v>1361</v>
      </c>
      <c r="K102" t="s">
        <v>1361</v>
      </c>
      <c r="L102" t="s">
        <v>386</v>
      </c>
      <c r="M102" t="s">
        <v>1184</v>
      </c>
      <c r="O102">
        <v>0</v>
      </c>
      <c r="R102" t="s">
        <v>1185</v>
      </c>
      <c r="T102">
        <v>0</v>
      </c>
      <c r="V102" t="s">
        <v>1186</v>
      </c>
      <c r="Z102" t="s">
        <v>865</v>
      </c>
      <c r="AA102" t="s">
        <v>387</v>
      </c>
      <c r="AB102">
        <v>0</v>
      </c>
      <c r="AC102">
        <v>0</v>
      </c>
      <c r="AD102" t="s">
        <v>1187</v>
      </c>
      <c r="AE102">
        <v>0</v>
      </c>
      <c r="AF102" t="s">
        <v>1188</v>
      </c>
    </row>
    <row r="103" spans="1:32" x14ac:dyDescent="0.25">
      <c r="A103">
        <v>1</v>
      </c>
      <c r="C103" s="185"/>
      <c r="E103" t="s">
        <v>386</v>
      </c>
      <c r="I103">
        <v>3747</v>
      </c>
      <c r="J103" t="s">
        <v>1362</v>
      </c>
      <c r="K103" t="s">
        <v>1362</v>
      </c>
      <c r="L103" t="s">
        <v>386</v>
      </c>
      <c r="M103" t="s">
        <v>1184</v>
      </c>
      <c r="O103">
        <v>0</v>
      </c>
      <c r="R103" t="s">
        <v>1185</v>
      </c>
      <c r="T103">
        <v>0</v>
      </c>
      <c r="V103" t="s">
        <v>1186</v>
      </c>
      <c r="Z103" t="s">
        <v>865</v>
      </c>
      <c r="AA103" t="s">
        <v>387</v>
      </c>
      <c r="AB103">
        <v>0</v>
      </c>
      <c r="AC103">
        <v>0</v>
      </c>
      <c r="AD103" t="s">
        <v>1187</v>
      </c>
      <c r="AE103">
        <v>0</v>
      </c>
      <c r="AF103" t="s">
        <v>1188</v>
      </c>
    </row>
    <row r="104" spans="1:32" x14ac:dyDescent="0.25">
      <c r="A104">
        <v>1</v>
      </c>
      <c r="C104" s="185"/>
      <c r="E104" t="s">
        <v>386</v>
      </c>
      <c r="I104">
        <v>3584</v>
      </c>
      <c r="J104" t="s">
        <v>1363</v>
      </c>
      <c r="K104" t="s">
        <v>1363</v>
      </c>
      <c r="L104" t="s">
        <v>386</v>
      </c>
      <c r="M104" t="s">
        <v>1184</v>
      </c>
      <c r="O104">
        <v>0</v>
      </c>
      <c r="R104" t="s">
        <v>1185</v>
      </c>
      <c r="T104">
        <v>0</v>
      </c>
      <c r="V104" t="s">
        <v>1186</v>
      </c>
      <c r="Z104" t="s">
        <v>865</v>
      </c>
      <c r="AA104" t="s">
        <v>387</v>
      </c>
      <c r="AB104">
        <v>0</v>
      </c>
      <c r="AC104">
        <v>0</v>
      </c>
      <c r="AD104" t="s">
        <v>1187</v>
      </c>
      <c r="AE104">
        <v>0</v>
      </c>
      <c r="AF104" t="s">
        <v>1188</v>
      </c>
    </row>
    <row r="105" spans="1:32" x14ac:dyDescent="0.25">
      <c r="A105">
        <v>1</v>
      </c>
      <c r="C105" s="185"/>
      <c r="E105" t="s">
        <v>386</v>
      </c>
      <c r="I105">
        <v>3546</v>
      </c>
      <c r="J105" t="s">
        <v>1364</v>
      </c>
      <c r="K105" t="s">
        <v>1364</v>
      </c>
      <c r="L105" t="s">
        <v>386</v>
      </c>
      <c r="M105" t="s">
        <v>1184</v>
      </c>
      <c r="O105">
        <v>0</v>
      </c>
      <c r="R105" t="s">
        <v>1185</v>
      </c>
      <c r="T105">
        <v>0</v>
      </c>
      <c r="V105" t="s">
        <v>1186</v>
      </c>
      <c r="Z105" t="s">
        <v>865</v>
      </c>
      <c r="AA105" t="s">
        <v>387</v>
      </c>
      <c r="AB105">
        <v>0</v>
      </c>
      <c r="AC105">
        <v>0</v>
      </c>
      <c r="AD105" t="s">
        <v>1187</v>
      </c>
      <c r="AE105">
        <v>0</v>
      </c>
      <c r="AF105" t="s">
        <v>1188</v>
      </c>
    </row>
    <row r="106" spans="1:32" x14ac:dyDescent="0.25">
      <c r="A106">
        <v>1</v>
      </c>
      <c r="C106" s="185"/>
      <c r="E106" t="s">
        <v>386</v>
      </c>
      <c r="I106">
        <v>3934</v>
      </c>
      <c r="J106" t="s">
        <v>1365</v>
      </c>
      <c r="K106" t="s">
        <v>1365</v>
      </c>
      <c r="L106" t="s">
        <v>386</v>
      </c>
      <c r="M106" t="s">
        <v>1184</v>
      </c>
      <c r="O106">
        <v>0</v>
      </c>
      <c r="R106" t="s">
        <v>1185</v>
      </c>
      <c r="T106">
        <v>0</v>
      </c>
      <c r="V106" t="s">
        <v>1186</v>
      </c>
      <c r="Z106" t="s">
        <v>865</v>
      </c>
      <c r="AA106" t="s">
        <v>387</v>
      </c>
      <c r="AB106">
        <v>0</v>
      </c>
      <c r="AC106">
        <v>0</v>
      </c>
      <c r="AD106" t="s">
        <v>1187</v>
      </c>
      <c r="AE106">
        <v>0</v>
      </c>
      <c r="AF106" t="s">
        <v>1188</v>
      </c>
    </row>
    <row r="107" spans="1:32" x14ac:dyDescent="0.25">
      <c r="A107">
        <v>1</v>
      </c>
      <c r="C107" s="185"/>
      <c r="E107" t="s">
        <v>386</v>
      </c>
      <c r="I107">
        <v>4193</v>
      </c>
      <c r="J107" t="s">
        <v>1366</v>
      </c>
      <c r="K107" t="s">
        <v>1366</v>
      </c>
      <c r="L107" t="s">
        <v>386</v>
      </c>
      <c r="M107" t="s">
        <v>1184</v>
      </c>
      <c r="O107">
        <v>0</v>
      </c>
      <c r="R107" t="s">
        <v>1185</v>
      </c>
      <c r="T107">
        <v>0</v>
      </c>
      <c r="V107" t="s">
        <v>1186</v>
      </c>
      <c r="Z107" t="s">
        <v>865</v>
      </c>
      <c r="AA107" t="s">
        <v>387</v>
      </c>
      <c r="AB107">
        <v>0</v>
      </c>
      <c r="AC107">
        <v>0</v>
      </c>
      <c r="AD107" t="s">
        <v>1187</v>
      </c>
      <c r="AE107">
        <v>0</v>
      </c>
      <c r="AF107" t="s">
        <v>1188</v>
      </c>
    </row>
    <row r="108" spans="1:32" x14ac:dyDescent="0.25">
      <c r="A108">
        <v>1</v>
      </c>
      <c r="C108" s="185"/>
      <c r="E108" t="s">
        <v>386</v>
      </c>
      <c r="I108">
        <v>4131</v>
      </c>
      <c r="J108" t="s">
        <v>1367</v>
      </c>
      <c r="K108" t="s">
        <v>1367</v>
      </c>
      <c r="L108" t="s">
        <v>386</v>
      </c>
      <c r="M108" t="s">
        <v>1184</v>
      </c>
      <c r="O108">
        <v>0</v>
      </c>
      <c r="R108" t="s">
        <v>1185</v>
      </c>
      <c r="T108">
        <v>0</v>
      </c>
      <c r="V108" t="s">
        <v>1186</v>
      </c>
      <c r="Z108" t="s">
        <v>865</v>
      </c>
      <c r="AA108" t="s">
        <v>387</v>
      </c>
      <c r="AB108">
        <v>0</v>
      </c>
      <c r="AC108">
        <v>0</v>
      </c>
      <c r="AD108" t="s">
        <v>1187</v>
      </c>
      <c r="AE108">
        <v>0</v>
      </c>
      <c r="AF108" t="s">
        <v>1188</v>
      </c>
    </row>
    <row r="109" spans="1:32" x14ac:dyDescent="0.25">
      <c r="A109">
        <v>1</v>
      </c>
      <c r="C109" s="185"/>
      <c r="E109" t="s">
        <v>386</v>
      </c>
      <c r="I109">
        <v>4021</v>
      </c>
      <c r="J109" t="s">
        <v>1368</v>
      </c>
      <c r="K109" t="s">
        <v>1368</v>
      </c>
      <c r="L109" t="s">
        <v>386</v>
      </c>
      <c r="M109" t="s">
        <v>1184</v>
      </c>
      <c r="O109">
        <v>0</v>
      </c>
      <c r="R109" t="s">
        <v>1185</v>
      </c>
      <c r="T109">
        <v>0</v>
      </c>
      <c r="V109" t="s">
        <v>1186</v>
      </c>
      <c r="Z109" t="s">
        <v>865</v>
      </c>
      <c r="AA109" t="s">
        <v>387</v>
      </c>
      <c r="AB109">
        <v>0</v>
      </c>
      <c r="AC109">
        <v>0</v>
      </c>
      <c r="AD109" t="s">
        <v>1187</v>
      </c>
      <c r="AE109">
        <v>0</v>
      </c>
      <c r="AF109" t="s">
        <v>1188</v>
      </c>
    </row>
    <row r="110" spans="1:32" x14ac:dyDescent="0.25">
      <c r="A110">
        <v>1</v>
      </c>
      <c r="C110" s="185"/>
      <c r="E110" t="s">
        <v>386</v>
      </c>
      <c r="I110">
        <v>3932</v>
      </c>
      <c r="J110" t="s">
        <v>1369</v>
      </c>
      <c r="K110" t="s">
        <v>1369</v>
      </c>
      <c r="L110" t="s">
        <v>386</v>
      </c>
      <c r="M110" t="s">
        <v>1184</v>
      </c>
      <c r="O110">
        <v>0</v>
      </c>
      <c r="R110" t="s">
        <v>1185</v>
      </c>
      <c r="T110">
        <v>0</v>
      </c>
      <c r="V110" t="s">
        <v>1186</v>
      </c>
      <c r="Z110" t="s">
        <v>865</v>
      </c>
      <c r="AA110" t="s">
        <v>387</v>
      </c>
      <c r="AB110">
        <v>0</v>
      </c>
      <c r="AC110">
        <v>0</v>
      </c>
      <c r="AD110" t="s">
        <v>1187</v>
      </c>
      <c r="AE110">
        <v>0</v>
      </c>
      <c r="AF110" t="s">
        <v>1188</v>
      </c>
    </row>
    <row r="111" spans="1:32" x14ac:dyDescent="0.25">
      <c r="A111">
        <v>1</v>
      </c>
      <c r="C111" s="185"/>
      <c r="E111" t="s">
        <v>386</v>
      </c>
      <c r="I111">
        <v>3578</v>
      </c>
      <c r="J111" t="s">
        <v>1370</v>
      </c>
      <c r="K111" t="s">
        <v>1370</v>
      </c>
      <c r="L111" t="s">
        <v>386</v>
      </c>
      <c r="M111" t="s">
        <v>1184</v>
      </c>
      <c r="O111">
        <v>0</v>
      </c>
      <c r="R111" t="s">
        <v>1185</v>
      </c>
      <c r="T111">
        <v>0</v>
      </c>
      <c r="V111" t="s">
        <v>1186</v>
      </c>
      <c r="Z111" t="s">
        <v>865</v>
      </c>
      <c r="AA111" t="s">
        <v>387</v>
      </c>
      <c r="AB111">
        <v>0</v>
      </c>
      <c r="AC111">
        <v>0</v>
      </c>
      <c r="AD111" t="s">
        <v>1187</v>
      </c>
      <c r="AE111">
        <v>0</v>
      </c>
      <c r="AF111" t="s">
        <v>1188</v>
      </c>
    </row>
    <row r="112" spans="1:32" x14ac:dyDescent="0.25">
      <c r="A112">
        <v>1</v>
      </c>
      <c r="C112" s="185"/>
      <c r="E112" t="s">
        <v>386</v>
      </c>
      <c r="I112">
        <v>3897</v>
      </c>
      <c r="J112" t="s">
        <v>1371</v>
      </c>
      <c r="K112" t="s">
        <v>1371</v>
      </c>
      <c r="L112" t="s">
        <v>386</v>
      </c>
      <c r="M112" t="s">
        <v>1184</v>
      </c>
      <c r="O112">
        <v>0</v>
      </c>
      <c r="R112" t="s">
        <v>1185</v>
      </c>
      <c r="T112">
        <v>0</v>
      </c>
      <c r="V112" t="s">
        <v>1186</v>
      </c>
      <c r="Z112" t="s">
        <v>865</v>
      </c>
      <c r="AA112" t="s">
        <v>387</v>
      </c>
      <c r="AB112">
        <v>0</v>
      </c>
      <c r="AC112">
        <v>0</v>
      </c>
      <c r="AD112" t="s">
        <v>1187</v>
      </c>
      <c r="AE112">
        <v>0</v>
      </c>
      <c r="AF112" t="s">
        <v>1188</v>
      </c>
    </row>
    <row r="113" spans="1:32" x14ac:dyDescent="0.25">
      <c r="A113">
        <v>1</v>
      </c>
      <c r="C113" s="185"/>
      <c r="E113" t="s">
        <v>386</v>
      </c>
      <c r="I113">
        <v>3602</v>
      </c>
      <c r="J113" t="s">
        <v>1372</v>
      </c>
      <c r="K113" t="s">
        <v>1372</v>
      </c>
      <c r="L113" t="s">
        <v>386</v>
      </c>
      <c r="M113" t="s">
        <v>1184</v>
      </c>
      <c r="O113">
        <v>0</v>
      </c>
      <c r="R113" t="s">
        <v>1185</v>
      </c>
      <c r="T113">
        <v>0</v>
      </c>
      <c r="V113" t="s">
        <v>1186</v>
      </c>
      <c r="Z113" t="s">
        <v>865</v>
      </c>
      <c r="AA113" t="s">
        <v>387</v>
      </c>
      <c r="AB113">
        <v>0</v>
      </c>
      <c r="AC113">
        <v>0</v>
      </c>
      <c r="AD113" t="s">
        <v>1187</v>
      </c>
      <c r="AE113">
        <v>0</v>
      </c>
      <c r="AF113" t="s">
        <v>1188</v>
      </c>
    </row>
    <row r="114" spans="1:32" x14ac:dyDescent="0.25">
      <c r="A114">
        <v>1</v>
      </c>
      <c r="C114" s="185"/>
      <c r="E114" t="s">
        <v>386</v>
      </c>
      <c r="I114">
        <v>4076</v>
      </c>
      <c r="J114" t="s">
        <v>1373</v>
      </c>
      <c r="K114" t="s">
        <v>1373</v>
      </c>
      <c r="L114" t="s">
        <v>386</v>
      </c>
      <c r="M114" t="s">
        <v>1184</v>
      </c>
      <c r="O114">
        <v>0</v>
      </c>
      <c r="R114" t="s">
        <v>1185</v>
      </c>
      <c r="T114">
        <v>0</v>
      </c>
      <c r="V114" t="s">
        <v>1186</v>
      </c>
      <c r="Z114" t="s">
        <v>865</v>
      </c>
      <c r="AA114" t="s">
        <v>387</v>
      </c>
      <c r="AB114">
        <v>0</v>
      </c>
      <c r="AC114">
        <v>0</v>
      </c>
      <c r="AD114" t="s">
        <v>1187</v>
      </c>
      <c r="AE114">
        <v>0</v>
      </c>
      <c r="AF114" t="s">
        <v>1188</v>
      </c>
    </row>
    <row r="115" spans="1:32" x14ac:dyDescent="0.25">
      <c r="A115">
        <v>1</v>
      </c>
      <c r="C115" s="185"/>
      <c r="E115" t="s">
        <v>386</v>
      </c>
      <c r="I115">
        <v>3805</v>
      </c>
      <c r="J115" t="s">
        <v>1374</v>
      </c>
      <c r="K115" t="s">
        <v>1374</v>
      </c>
      <c r="L115" t="s">
        <v>386</v>
      </c>
      <c r="M115" t="s">
        <v>1184</v>
      </c>
      <c r="O115">
        <v>0</v>
      </c>
      <c r="R115" t="s">
        <v>1185</v>
      </c>
      <c r="T115">
        <v>0</v>
      </c>
      <c r="V115" t="s">
        <v>1186</v>
      </c>
      <c r="Z115" t="s">
        <v>865</v>
      </c>
      <c r="AA115" t="s">
        <v>387</v>
      </c>
      <c r="AB115">
        <v>0</v>
      </c>
      <c r="AC115">
        <v>0</v>
      </c>
      <c r="AD115" t="s">
        <v>1187</v>
      </c>
      <c r="AE115">
        <v>0</v>
      </c>
      <c r="AF115" t="s">
        <v>1188</v>
      </c>
    </row>
    <row r="116" spans="1:32" x14ac:dyDescent="0.25">
      <c r="A116">
        <v>1</v>
      </c>
      <c r="C116" s="185"/>
      <c r="E116" t="s">
        <v>386</v>
      </c>
      <c r="I116">
        <v>3566</v>
      </c>
      <c r="J116" t="s">
        <v>1375</v>
      </c>
      <c r="K116" t="s">
        <v>1375</v>
      </c>
      <c r="L116" t="s">
        <v>386</v>
      </c>
      <c r="M116" t="s">
        <v>1184</v>
      </c>
      <c r="O116">
        <v>0</v>
      </c>
      <c r="R116" t="s">
        <v>1185</v>
      </c>
      <c r="T116">
        <v>0</v>
      </c>
      <c r="V116" t="s">
        <v>1186</v>
      </c>
      <c r="Z116" t="s">
        <v>865</v>
      </c>
      <c r="AA116" t="s">
        <v>387</v>
      </c>
      <c r="AB116">
        <v>0</v>
      </c>
      <c r="AC116">
        <v>0</v>
      </c>
      <c r="AD116" t="s">
        <v>1187</v>
      </c>
      <c r="AE116">
        <v>0</v>
      </c>
      <c r="AF116" t="s">
        <v>1188</v>
      </c>
    </row>
    <row r="117" spans="1:32" x14ac:dyDescent="0.25">
      <c r="A117">
        <v>1</v>
      </c>
      <c r="C117" s="185"/>
      <c r="E117" t="s">
        <v>386</v>
      </c>
      <c r="I117">
        <v>3663</v>
      </c>
      <c r="J117" t="s">
        <v>1376</v>
      </c>
      <c r="K117" t="s">
        <v>1376</v>
      </c>
      <c r="L117" t="s">
        <v>386</v>
      </c>
      <c r="M117" t="s">
        <v>1184</v>
      </c>
      <c r="O117">
        <v>0</v>
      </c>
      <c r="R117" t="s">
        <v>1185</v>
      </c>
      <c r="T117">
        <v>0</v>
      </c>
      <c r="V117" t="s">
        <v>1186</v>
      </c>
      <c r="Z117" t="s">
        <v>865</v>
      </c>
      <c r="AA117" t="s">
        <v>387</v>
      </c>
      <c r="AB117">
        <v>0</v>
      </c>
      <c r="AC117">
        <v>0</v>
      </c>
      <c r="AD117" t="s">
        <v>1187</v>
      </c>
      <c r="AE117">
        <v>0</v>
      </c>
      <c r="AF117" t="s">
        <v>1188</v>
      </c>
    </row>
    <row r="118" spans="1:32" x14ac:dyDescent="0.25">
      <c r="A118">
        <v>1</v>
      </c>
      <c r="C118" s="185"/>
      <c r="E118" t="s">
        <v>386</v>
      </c>
      <c r="I118">
        <v>3700</v>
      </c>
      <c r="J118" t="s">
        <v>1377</v>
      </c>
      <c r="K118" t="s">
        <v>1377</v>
      </c>
      <c r="L118" t="s">
        <v>386</v>
      </c>
      <c r="M118" t="s">
        <v>1184</v>
      </c>
      <c r="O118">
        <v>0</v>
      </c>
      <c r="R118" t="s">
        <v>1185</v>
      </c>
      <c r="T118">
        <v>0</v>
      </c>
      <c r="V118" t="s">
        <v>1186</v>
      </c>
      <c r="Z118" t="s">
        <v>865</v>
      </c>
      <c r="AA118" t="s">
        <v>387</v>
      </c>
      <c r="AB118">
        <v>0</v>
      </c>
      <c r="AC118">
        <v>0</v>
      </c>
      <c r="AD118" t="s">
        <v>1187</v>
      </c>
      <c r="AE118">
        <v>0</v>
      </c>
      <c r="AF118" t="s">
        <v>1188</v>
      </c>
    </row>
    <row r="119" spans="1:32" x14ac:dyDescent="0.25">
      <c r="A119">
        <v>1</v>
      </c>
      <c r="C119" s="185"/>
      <c r="E119" t="s">
        <v>386</v>
      </c>
      <c r="I119">
        <v>3783</v>
      </c>
      <c r="J119" t="s">
        <v>1378</v>
      </c>
      <c r="K119" t="s">
        <v>1378</v>
      </c>
      <c r="L119" t="s">
        <v>386</v>
      </c>
      <c r="M119" t="s">
        <v>1184</v>
      </c>
      <c r="O119">
        <v>0</v>
      </c>
      <c r="R119" t="s">
        <v>1185</v>
      </c>
      <c r="T119">
        <v>0</v>
      </c>
      <c r="V119" t="s">
        <v>1186</v>
      </c>
      <c r="Z119" t="s">
        <v>865</v>
      </c>
      <c r="AA119" t="s">
        <v>387</v>
      </c>
      <c r="AB119">
        <v>0</v>
      </c>
      <c r="AC119">
        <v>0</v>
      </c>
      <c r="AD119" t="s">
        <v>1187</v>
      </c>
      <c r="AE119">
        <v>0</v>
      </c>
      <c r="AF119" t="s">
        <v>1188</v>
      </c>
    </row>
    <row r="120" spans="1:32" x14ac:dyDescent="0.25">
      <c r="A120">
        <v>1</v>
      </c>
      <c r="C120" s="185"/>
      <c r="E120" t="s">
        <v>386</v>
      </c>
      <c r="I120">
        <v>3502</v>
      </c>
      <c r="J120" t="s">
        <v>1379</v>
      </c>
      <c r="K120" t="s">
        <v>1379</v>
      </c>
      <c r="L120" t="s">
        <v>386</v>
      </c>
      <c r="M120" t="s">
        <v>1184</v>
      </c>
      <c r="O120">
        <v>0</v>
      </c>
      <c r="R120" t="s">
        <v>1185</v>
      </c>
      <c r="T120">
        <v>0</v>
      </c>
      <c r="V120" t="s">
        <v>1186</v>
      </c>
      <c r="Z120" t="s">
        <v>865</v>
      </c>
      <c r="AA120" t="s">
        <v>387</v>
      </c>
      <c r="AB120">
        <v>0</v>
      </c>
      <c r="AC120">
        <v>0</v>
      </c>
      <c r="AD120" t="s">
        <v>1187</v>
      </c>
      <c r="AE120">
        <v>0</v>
      </c>
      <c r="AF120" t="s">
        <v>1188</v>
      </c>
    </row>
    <row r="121" spans="1:32" x14ac:dyDescent="0.25">
      <c r="A121">
        <v>1</v>
      </c>
      <c r="C121" s="185"/>
      <c r="E121" t="s">
        <v>386</v>
      </c>
      <c r="I121">
        <v>3573</v>
      </c>
      <c r="J121" t="s">
        <v>1380</v>
      </c>
      <c r="K121" t="s">
        <v>1380</v>
      </c>
      <c r="L121" t="s">
        <v>386</v>
      </c>
      <c r="M121" t="s">
        <v>1184</v>
      </c>
      <c r="O121">
        <v>0</v>
      </c>
      <c r="R121" t="s">
        <v>1185</v>
      </c>
      <c r="T121">
        <v>0</v>
      </c>
      <c r="V121" t="s">
        <v>1186</v>
      </c>
      <c r="Z121" t="s">
        <v>865</v>
      </c>
      <c r="AA121" t="s">
        <v>387</v>
      </c>
      <c r="AB121">
        <v>0</v>
      </c>
      <c r="AC121">
        <v>0</v>
      </c>
      <c r="AD121" t="s">
        <v>1187</v>
      </c>
      <c r="AE121">
        <v>0</v>
      </c>
      <c r="AF121" t="s">
        <v>1188</v>
      </c>
    </row>
    <row r="122" spans="1:32" x14ac:dyDescent="0.25">
      <c r="A122">
        <v>1</v>
      </c>
      <c r="C122" s="185"/>
      <c r="E122" t="s">
        <v>386</v>
      </c>
      <c r="I122">
        <v>3524</v>
      </c>
      <c r="J122" t="s">
        <v>1381</v>
      </c>
      <c r="K122" t="s">
        <v>1381</v>
      </c>
      <c r="L122" t="s">
        <v>386</v>
      </c>
      <c r="M122" t="s">
        <v>1184</v>
      </c>
      <c r="O122">
        <v>0</v>
      </c>
      <c r="R122" t="s">
        <v>1185</v>
      </c>
      <c r="T122">
        <v>0</v>
      </c>
      <c r="V122" t="s">
        <v>1186</v>
      </c>
      <c r="Z122" t="s">
        <v>865</v>
      </c>
      <c r="AA122" t="s">
        <v>387</v>
      </c>
      <c r="AB122">
        <v>0</v>
      </c>
      <c r="AC122">
        <v>0</v>
      </c>
      <c r="AD122" t="s">
        <v>1187</v>
      </c>
      <c r="AE122">
        <v>0</v>
      </c>
      <c r="AF122" t="s">
        <v>1188</v>
      </c>
    </row>
    <row r="123" spans="1:32" x14ac:dyDescent="0.25">
      <c r="A123">
        <v>1</v>
      </c>
      <c r="C123" s="185"/>
      <c r="E123" t="s">
        <v>386</v>
      </c>
      <c r="I123">
        <v>3641</v>
      </c>
      <c r="J123" t="s">
        <v>1382</v>
      </c>
      <c r="K123" t="s">
        <v>1382</v>
      </c>
      <c r="L123" t="s">
        <v>386</v>
      </c>
      <c r="M123" t="s">
        <v>1184</v>
      </c>
      <c r="O123">
        <v>0</v>
      </c>
      <c r="R123" t="s">
        <v>1185</v>
      </c>
      <c r="T123">
        <v>0</v>
      </c>
      <c r="V123" t="s">
        <v>1186</v>
      </c>
      <c r="Z123" t="s">
        <v>865</v>
      </c>
      <c r="AA123" t="s">
        <v>387</v>
      </c>
      <c r="AB123">
        <v>0</v>
      </c>
      <c r="AC123">
        <v>0</v>
      </c>
      <c r="AD123" t="s">
        <v>1187</v>
      </c>
      <c r="AE123">
        <v>0</v>
      </c>
      <c r="AF123" t="s">
        <v>1188</v>
      </c>
    </row>
    <row r="124" spans="1:32" x14ac:dyDescent="0.25">
      <c r="A124">
        <v>1</v>
      </c>
      <c r="C124" s="185"/>
      <c r="E124" t="s">
        <v>386</v>
      </c>
      <c r="I124">
        <v>3706</v>
      </c>
      <c r="J124" t="s">
        <v>1383</v>
      </c>
      <c r="K124" t="s">
        <v>1383</v>
      </c>
      <c r="L124" t="s">
        <v>386</v>
      </c>
      <c r="M124" t="s">
        <v>1184</v>
      </c>
      <c r="O124">
        <v>0</v>
      </c>
      <c r="R124" t="s">
        <v>1185</v>
      </c>
      <c r="T124">
        <v>0</v>
      </c>
      <c r="V124" t="s">
        <v>1186</v>
      </c>
      <c r="Z124" t="s">
        <v>865</v>
      </c>
      <c r="AA124" t="s">
        <v>387</v>
      </c>
      <c r="AB124">
        <v>0</v>
      </c>
      <c r="AC124">
        <v>0</v>
      </c>
      <c r="AD124" t="s">
        <v>1187</v>
      </c>
      <c r="AE124">
        <v>0</v>
      </c>
      <c r="AF124" t="s">
        <v>1188</v>
      </c>
    </row>
    <row r="125" spans="1:32" x14ac:dyDescent="0.25">
      <c r="A125">
        <v>1</v>
      </c>
      <c r="C125" s="185"/>
      <c r="E125" t="s">
        <v>386</v>
      </c>
      <c r="I125">
        <v>4173</v>
      </c>
      <c r="J125" t="s">
        <v>1384</v>
      </c>
      <c r="K125" t="s">
        <v>1384</v>
      </c>
      <c r="L125" t="s">
        <v>386</v>
      </c>
      <c r="M125" t="s">
        <v>1184</v>
      </c>
      <c r="O125">
        <v>0</v>
      </c>
      <c r="R125" t="s">
        <v>1185</v>
      </c>
      <c r="T125">
        <v>0</v>
      </c>
      <c r="V125" t="s">
        <v>1186</v>
      </c>
      <c r="Z125" t="s">
        <v>865</v>
      </c>
      <c r="AA125" t="s">
        <v>387</v>
      </c>
      <c r="AB125">
        <v>0</v>
      </c>
      <c r="AC125">
        <v>0</v>
      </c>
      <c r="AD125" t="s">
        <v>1187</v>
      </c>
      <c r="AE125">
        <v>0</v>
      </c>
      <c r="AF125" t="s">
        <v>1188</v>
      </c>
    </row>
    <row r="126" spans="1:32" x14ac:dyDescent="0.25">
      <c r="A126">
        <v>1</v>
      </c>
      <c r="C126" s="185"/>
      <c r="E126" t="s">
        <v>386</v>
      </c>
      <c r="I126">
        <v>3608</v>
      </c>
      <c r="J126" t="s">
        <v>1385</v>
      </c>
      <c r="K126" t="s">
        <v>1385</v>
      </c>
      <c r="L126" t="s">
        <v>386</v>
      </c>
      <c r="M126" t="s">
        <v>1184</v>
      </c>
      <c r="O126">
        <v>0</v>
      </c>
      <c r="R126" t="s">
        <v>1185</v>
      </c>
      <c r="T126">
        <v>0</v>
      </c>
      <c r="V126" t="s">
        <v>1186</v>
      </c>
      <c r="Z126" t="s">
        <v>865</v>
      </c>
      <c r="AA126" t="s">
        <v>387</v>
      </c>
      <c r="AB126">
        <v>0</v>
      </c>
      <c r="AC126">
        <v>0</v>
      </c>
      <c r="AD126" t="s">
        <v>1187</v>
      </c>
      <c r="AE126">
        <v>0</v>
      </c>
      <c r="AF126" t="s">
        <v>1188</v>
      </c>
    </row>
    <row r="127" spans="1:32" x14ac:dyDescent="0.25">
      <c r="A127">
        <v>1</v>
      </c>
      <c r="C127" s="185"/>
      <c r="E127" t="s">
        <v>386</v>
      </c>
      <c r="I127">
        <v>3819</v>
      </c>
      <c r="J127" t="s">
        <v>1386</v>
      </c>
      <c r="K127" t="s">
        <v>1386</v>
      </c>
      <c r="L127" t="s">
        <v>386</v>
      </c>
      <c r="M127" t="s">
        <v>1184</v>
      </c>
      <c r="O127">
        <v>0</v>
      </c>
      <c r="R127" t="s">
        <v>1185</v>
      </c>
      <c r="T127">
        <v>0</v>
      </c>
      <c r="V127" t="s">
        <v>1186</v>
      </c>
      <c r="Z127" t="s">
        <v>865</v>
      </c>
      <c r="AA127" t="s">
        <v>387</v>
      </c>
      <c r="AB127">
        <v>0</v>
      </c>
      <c r="AC127">
        <v>0</v>
      </c>
      <c r="AD127" t="s">
        <v>1187</v>
      </c>
      <c r="AE127">
        <v>0</v>
      </c>
      <c r="AF127" t="s">
        <v>1188</v>
      </c>
    </row>
    <row r="128" spans="1:32" x14ac:dyDescent="0.25">
      <c r="A128">
        <v>1</v>
      </c>
      <c r="C128" s="185"/>
      <c r="E128" t="s">
        <v>386</v>
      </c>
      <c r="I128">
        <v>3913</v>
      </c>
      <c r="J128" t="s">
        <v>1387</v>
      </c>
      <c r="K128" t="s">
        <v>1387</v>
      </c>
      <c r="L128" t="s">
        <v>386</v>
      </c>
      <c r="M128" t="s">
        <v>1184</v>
      </c>
      <c r="O128">
        <v>0</v>
      </c>
      <c r="R128" t="s">
        <v>1185</v>
      </c>
      <c r="T128">
        <v>0</v>
      </c>
      <c r="V128" t="s">
        <v>1186</v>
      </c>
      <c r="Z128" t="s">
        <v>865</v>
      </c>
      <c r="AA128" t="s">
        <v>387</v>
      </c>
      <c r="AB128">
        <v>0</v>
      </c>
      <c r="AC128">
        <v>0</v>
      </c>
      <c r="AD128" t="s">
        <v>1187</v>
      </c>
      <c r="AE128">
        <v>0</v>
      </c>
      <c r="AF128" t="s">
        <v>1188</v>
      </c>
    </row>
    <row r="129" spans="1:32" x14ac:dyDescent="0.25">
      <c r="A129">
        <v>1</v>
      </c>
      <c r="C129" s="185"/>
      <c r="E129" t="s">
        <v>386</v>
      </c>
      <c r="I129">
        <v>3590</v>
      </c>
      <c r="J129" t="s">
        <v>1388</v>
      </c>
      <c r="K129" t="s">
        <v>1388</v>
      </c>
      <c r="L129" t="s">
        <v>386</v>
      </c>
      <c r="M129" t="s">
        <v>1184</v>
      </c>
      <c r="O129">
        <v>0</v>
      </c>
      <c r="R129" t="s">
        <v>1185</v>
      </c>
      <c r="T129">
        <v>0</v>
      </c>
      <c r="V129" t="s">
        <v>1186</v>
      </c>
      <c r="Z129" t="s">
        <v>865</v>
      </c>
      <c r="AA129" t="s">
        <v>387</v>
      </c>
      <c r="AB129">
        <v>0</v>
      </c>
      <c r="AC129">
        <v>0</v>
      </c>
      <c r="AD129" t="s">
        <v>1187</v>
      </c>
      <c r="AE129">
        <v>0</v>
      </c>
      <c r="AF129" t="s">
        <v>1188</v>
      </c>
    </row>
    <row r="130" spans="1:32" x14ac:dyDescent="0.25">
      <c r="A130">
        <v>1</v>
      </c>
      <c r="C130" s="185"/>
      <c r="E130" t="s">
        <v>386</v>
      </c>
      <c r="I130">
        <v>4160</v>
      </c>
      <c r="J130" t="s">
        <v>1389</v>
      </c>
      <c r="K130" t="s">
        <v>1389</v>
      </c>
      <c r="L130" t="s">
        <v>386</v>
      </c>
      <c r="M130" t="s">
        <v>1184</v>
      </c>
      <c r="O130">
        <v>0</v>
      </c>
      <c r="R130" t="s">
        <v>1185</v>
      </c>
      <c r="T130">
        <v>0</v>
      </c>
      <c r="V130" t="s">
        <v>1186</v>
      </c>
      <c r="Z130" t="s">
        <v>865</v>
      </c>
      <c r="AA130" t="s">
        <v>387</v>
      </c>
      <c r="AB130">
        <v>0</v>
      </c>
      <c r="AC130">
        <v>0</v>
      </c>
      <c r="AD130" t="s">
        <v>1187</v>
      </c>
      <c r="AE130">
        <v>0</v>
      </c>
      <c r="AF130" t="s">
        <v>1188</v>
      </c>
    </row>
    <row r="131" spans="1:32" x14ac:dyDescent="0.25">
      <c r="A131">
        <v>1</v>
      </c>
      <c r="C131" s="185"/>
      <c r="E131" t="s">
        <v>386</v>
      </c>
      <c r="I131">
        <v>3762</v>
      </c>
      <c r="J131" t="s">
        <v>1390</v>
      </c>
      <c r="K131" t="s">
        <v>1390</v>
      </c>
      <c r="L131" t="s">
        <v>386</v>
      </c>
      <c r="M131" t="s">
        <v>1184</v>
      </c>
      <c r="O131">
        <v>0</v>
      </c>
      <c r="R131" t="s">
        <v>1185</v>
      </c>
      <c r="T131">
        <v>0</v>
      </c>
      <c r="V131" t="s">
        <v>1186</v>
      </c>
      <c r="Z131" t="s">
        <v>865</v>
      </c>
      <c r="AA131" t="s">
        <v>387</v>
      </c>
      <c r="AB131">
        <v>0</v>
      </c>
      <c r="AC131">
        <v>0</v>
      </c>
      <c r="AD131" t="s">
        <v>1187</v>
      </c>
      <c r="AE131">
        <v>0</v>
      </c>
      <c r="AF131" t="s">
        <v>1188</v>
      </c>
    </row>
    <row r="132" spans="1:32" x14ac:dyDescent="0.25">
      <c r="A132">
        <v>1</v>
      </c>
      <c r="C132" s="185"/>
      <c r="E132" t="s">
        <v>386</v>
      </c>
      <c r="I132">
        <v>3821</v>
      </c>
      <c r="J132" t="s">
        <v>1391</v>
      </c>
      <c r="K132" t="s">
        <v>1391</v>
      </c>
      <c r="L132" t="s">
        <v>386</v>
      </c>
      <c r="M132" t="s">
        <v>1184</v>
      </c>
      <c r="O132">
        <v>0</v>
      </c>
      <c r="R132" t="s">
        <v>1185</v>
      </c>
      <c r="T132">
        <v>0</v>
      </c>
      <c r="V132" t="s">
        <v>1186</v>
      </c>
      <c r="Z132" t="s">
        <v>865</v>
      </c>
      <c r="AA132" t="s">
        <v>387</v>
      </c>
      <c r="AB132">
        <v>0</v>
      </c>
      <c r="AC132">
        <v>0</v>
      </c>
      <c r="AD132" t="s">
        <v>1187</v>
      </c>
      <c r="AE132">
        <v>0</v>
      </c>
      <c r="AF132" t="s">
        <v>1188</v>
      </c>
    </row>
    <row r="133" spans="1:32" x14ac:dyDescent="0.25">
      <c r="A133">
        <v>1</v>
      </c>
      <c r="C133" s="185"/>
      <c r="E133" t="s">
        <v>386</v>
      </c>
      <c r="I133">
        <v>3767</v>
      </c>
      <c r="J133" t="s">
        <v>1392</v>
      </c>
      <c r="K133" t="s">
        <v>1392</v>
      </c>
      <c r="L133" t="s">
        <v>386</v>
      </c>
      <c r="M133" t="s">
        <v>1184</v>
      </c>
      <c r="O133">
        <v>0</v>
      </c>
      <c r="R133" t="s">
        <v>1185</v>
      </c>
      <c r="T133">
        <v>0</v>
      </c>
      <c r="V133" t="s">
        <v>1186</v>
      </c>
      <c r="Z133" t="s">
        <v>865</v>
      </c>
      <c r="AA133" t="s">
        <v>387</v>
      </c>
      <c r="AB133">
        <v>0</v>
      </c>
      <c r="AC133">
        <v>0</v>
      </c>
      <c r="AD133" t="s">
        <v>1187</v>
      </c>
      <c r="AE133">
        <v>0</v>
      </c>
      <c r="AF133" t="s">
        <v>1188</v>
      </c>
    </row>
    <row r="134" spans="1:32" x14ac:dyDescent="0.25">
      <c r="A134">
        <v>1</v>
      </c>
      <c r="C134" s="185"/>
      <c r="E134" t="s">
        <v>386</v>
      </c>
      <c r="I134">
        <v>3518</v>
      </c>
      <c r="J134" t="s">
        <v>1393</v>
      </c>
      <c r="K134" t="s">
        <v>1393</v>
      </c>
      <c r="L134" t="s">
        <v>386</v>
      </c>
      <c r="M134" t="s">
        <v>1184</v>
      </c>
      <c r="O134">
        <v>0</v>
      </c>
      <c r="R134" t="s">
        <v>1185</v>
      </c>
      <c r="T134">
        <v>0</v>
      </c>
      <c r="V134" t="s">
        <v>1186</v>
      </c>
      <c r="Z134" t="s">
        <v>865</v>
      </c>
      <c r="AA134" t="s">
        <v>387</v>
      </c>
      <c r="AB134">
        <v>0</v>
      </c>
      <c r="AC134">
        <v>0</v>
      </c>
      <c r="AD134" t="s">
        <v>1187</v>
      </c>
      <c r="AE134">
        <v>0</v>
      </c>
      <c r="AF134" t="s">
        <v>1188</v>
      </c>
    </row>
    <row r="135" spans="1:32" x14ac:dyDescent="0.25">
      <c r="A135">
        <v>1</v>
      </c>
      <c r="C135" s="185"/>
      <c r="E135" t="s">
        <v>386</v>
      </c>
      <c r="I135">
        <v>4088</v>
      </c>
      <c r="J135" t="s">
        <v>1394</v>
      </c>
      <c r="K135" t="s">
        <v>1394</v>
      </c>
      <c r="L135" t="s">
        <v>386</v>
      </c>
      <c r="M135" t="s">
        <v>1184</v>
      </c>
      <c r="O135">
        <v>0</v>
      </c>
      <c r="R135" t="s">
        <v>1185</v>
      </c>
      <c r="T135">
        <v>0</v>
      </c>
      <c r="V135" t="s">
        <v>1186</v>
      </c>
      <c r="Z135" t="s">
        <v>865</v>
      </c>
      <c r="AA135" t="s">
        <v>387</v>
      </c>
      <c r="AB135">
        <v>0</v>
      </c>
      <c r="AC135">
        <v>0</v>
      </c>
      <c r="AD135" t="s">
        <v>1187</v>
      </c>
      <c r="AE135">
        <v>0</v>
      </c>
      <c r="AF135" t="s">
        <v>1188</v>
      </c>
    </row>
    <row r="136" spans="1:32" x14ac:dyDescent="0.25">
      <c r="A136">
        <v>1</v>
      </c>
      <c r="C136" s="185"/>
      <c r="E136" t="s">
        <v>386</v>
      </c>
      <c r="I136">
        <v>3619</v>
      </c>
      <c r="J136" t="s">
        <v>1395</v>
      </c>
      <c r="K136" t="s">
        <v>1395</v>
      </c>
      <c r="L136" t="s">
        <v>386</v>
      </c>
      <c r="M136" t="s">
        <v>1184</v>
      </c>
      <c r="O136">
        <v>0</v>
      </c>
      <c r="R136" t="s">
        <v>1185</v>
      </c>
      <c r="T136">
        <v>0</v>
      </c>
      <c r="V136" t="s">
        <v>1186</v>
      </c>
      <c r="Z136" t="s">
        <v>865</v>
      </c>
      <c r="AA136" t="s">
        <v>387</v>
      </c>
      <c r="AB136">
        <v>0</v>
      </c>
      <c r="AC136">
        <v>0</v>
      </c>
      <c r="AD136" t="s">
        <v>1187</v>
      </c>
      <c r="AE136">
        <v>0</v>
      </c>
      <c r="AF136" t="s">
        <v>1188</v>
      </c>
    </row>
    <row r="137" spans="1:32" x14ac:dyDescent="0.25">
      <c r="A137">
        <v>1</v>
      </c>
      <c r="C137" s="185"/>
      <c r="E137" t="s">
        <v>386</v>
      </c>
      <c r="I137">
        <v>3510</v>
      </c>
      <c r="J137" t="s">
        <v>1396</v>
      </c>
      <c r="K137" t="s">
        <v>1396</v>
      </c>
      <c r="L137" t="s">
        <v>386</v>
      </c>
      <c r="M137" t="s">
        <v>1184</v>
      </c>
      <c r="O137">
        <v>0</v>
      </c>
      <c r="R137" t="s">
        <v>1185</v>
      </c>
      <c r="T137">
        <v>0</v>
      </c>
      <c r="V137" t="s">
        <v>1186</v>
      </c>
      <c r="Z137" t="s">
        <v>865</v>
      </c>
      <c r="AA137" t="s">
        <v>387</v>
      </c>
      <c r="AB137">
        <v>0</v>
      </c>
      <c r="AC137">
        <v>0</v>
      </c>
      <c r="AD137" t="s">
        <v>1187</v>
      </c>
      <c r="AE137">
        <v>0</v>
      </c>
      <c r="AF137" t="s">
        <v>1188</v>
      </c>
    </row>
    <row r="138" spans="1:32" x14ac:dyDescent="0.25">
      <c r="A138">
        <v>1</v>
      </c>
      <c r="C138" s="185"/>
      <c r="E138" t="s">
        <v>386</v>
      </c>
      <c r="I138">
        <v>4176</v>
      </c>
      <c r="J138" t="s">
        <v>1397</v>
      </c>
      <c r="K138" t="s">
        <v>1397</v>
      </c>
      <c r="L138" t="s">
        <v>386</v>
      </c>
      <c r="M138" t="s">
        <v>1184</v>
      </c>
      <c r="O138">
        <v>0</v>
      </c>
      <c r="R138" t="s">
        <v>1185</v>
      </c>
      <c r="T138">
        <v>0</v>
      </c>
      <c r="V138" t="s">
        <v>1186</v>
      </c>
      <c r="Z138" t="s">
        <v>865</v>
      </c>
      <c r="AA138" t="s">
        <v>387</v>
      </c>
      <c r="AB138">
        <v>0</v>
      </c>
      <c r="AC138">
        <v>0</v>
      </c>
      <c r="AD138" t="s">
        <v>1187</v>
      </c>
      <c r="AE138">
        <v>0</v>
      </c>
      <c r="AF138" t="s">
        <v>1188</v>
      </c>
    </row>
    <row r="139" spans="1:32" x14ac:dyDescent="0.25">
      <c r="A139">
        <v>1</v>
      </c>
      <c r="C139" s="185"/>
      <c r="E139" t="s">
        <v>386</v>
      </c>
      <c r="I139">
        <v>3779</v>
      </c>
      <c r="J139" t="s">
        <v>1398</v>
      </c>
      <c r="K139" t="s">
        <v>1398</v>
      </c>
      <c r="L139" t="s">
        <v>386</v>
      </c>
      <c r="M139" t="s">
        <v>1184</v>
      </c>
      <c r="O139">
        <v>0</v>
      </c>
      <c r="R139" t="s">
        <v>1185</v>
      </c>
      <c r="T139">
        <v>0</v>
      </c>
      <c r="V139" t="s">
        <v>1186</v>
      </c>
      <c r="Z139" t="s">
        <v>865</v>
      </c>
      <c r="AA139" t="s">
        <v>387</v>
      </c>
      <c r="AB139">
        <v>0</v>
      </c>
      <c r="AC139">
        <v>0</v>
      </c>
      <c r="AD139" t="s">
        <v>1187</v>
      </c>
      <c r="AE139">
        <v>0</v>
      </c>
      <c r="AF139" t="s">
        <v>1188</v>
      </c>
    </row>
    <row r="140" spans="1:32" x14ac:dyDescent="0.25">
      <c r="A140">
        <v>1</v>
      </c>
      <c r="C140" s="185"/>
      <c r="E140" t="s">
        <v>386</v>
      </c>
      <c r="I140">
        <v>4133</v>
      </c>
      <c r="J140" t="s">
        <v>1399</v>
      </c>
      <c r="K140" t="s">
        <v>1399</v>
      </c>
      <c r="L140" t="s">
        <v>386</v>
      </c>
      <c r="M140" t="s">
        <v>1184</v>
      </c>
      <c r="O140">
        <v>0</v>
      </c>
      <c r="R140" t="s">
        <v>1185</v>
      </c>
      <c r="T140">
        <v>0</v>
      </c>
      <c r="V140" t="s">
        <v>1186</v>
      </c>
      <c r="Z140" t="s">
        <v>865</v>
      </c>
      <c r="AA140" t="s">
        <v>387</v>
      </c>
      <c r="AB140">
        <v>0</v>
      </c>
      <c r="AC140">
        <v>0</v>
      </c>
      <c r="AD140" t="s">
        <v>1187</v>
      </c>
      <c r="AE140">
        <v>0</v>
      </c>
      <c r="AF140" t="s">
        <v>1188</v>
      </c>
    </row>
    <row r="141" spans="1:32" x14ac:dyDescent="0.25">
      <c r="A141">
        <v>1</v>
      </c>
      <c r="C141" s="185"/>
      <c r="E141" t="s">
        <v>386</v>
      </c>
      <c r="I141">
        <v>3624</v>
      </c>
      <c r="J141" t="s">
        <v>1400</v>
      </c>
      <c r="K141" t="s">
        <v>1400</v>
      </c>
      <c r="L141" t="s">
        <v>386</v>
      </c>
      <c r="M141" t="s">
        <v>1184</v>
      </c>
      <c r="O141">
        <v>0</v>
      </c>
      <c r="R141" t="s">
        <v>1185</v>
      </c>
      <c r="T141">
        <v>0</v>
      </c>
      <c r="V141" t="s">
        <v>1186</v>
      </c>
      <c r="Z141" t="s">
        <v>865</v>
      </c>
      <c r="AA141" t="s">
        <v>387</v>
      </c>
      <c r="AB141">
        <v>0</v>
      </c>
      <c r="AC141">
        <v>0</v>
      </c>
      <c r="AD141" t="s">
        <v>1187</v>
      </c>
      <c r="AE141">
        <v>0</v>
      </c>
      <c r="AF141" t="s">
        <v>1188</v>
      </c>
    </row>
    <row r="142" spans="1:32" x14ac:dyDescent="0.25">
      <c r="A142">
        <v>1</v>
      </c>
      <c r="C142" s="185"/>
      <c r="E142" t="s">
        <v>386</v>
      </c>
      <c r="I142">
        <v>3542</v>
      </c>
      <c r="J142" t="s">
        <v>1401</v>
      </c>
      <c r="K142" t="s">
        <v>1401</v>
      </c>
      <c r="L142" t="s">
        <v>386</v>
      </c>
      <c r="M142" t="s">
        <v>1184</v>
      </c>
      <c r="O142">
        <v>0</v>
      </c>
      <c r="R142" t="s">
        <v>1185</v>
      </c>
      <c r="T142">
        <v>0</v>
      </c>
      <c r="V142" t="s">
        <v>1186</v>
      </c>
      <c r="Z142" t="s">
        <v>865</v>
      </c>
      <c r="AA142" t="s">
        <v>387</v>
      </c>
      <c r="AB142">
        <v>0</v>
      </c>
      <c r="AC142">
        <v>0</v>
      </c>
      <c r="AD142" t="s">
        <v>1187</v>
      </c>
      <c r="AE142">
        <v>0</v>
      </c>
      <c r="AF142" t="s">
        <v>1188</v>
      </c>
    </row>
    <row r="143" spans="1:32" x14ac:dyDescent="0.25">
      <c r="A143">
        <v>1</v>
      </c>
      <c r="C143" s="185"/>
      <c r="E143" t="s">
        <v>386</v>
      </c>
      <c r="I143">
        <v>3572</v>
      </c>
      <c r="J143" t="s">
        <v>1402</v>
      </c>
      <c r="K143" t="s">
        <v>1402</v>
      </c>
      <c r="L143" t="s">
        <v>386</v>
      </c>
      <c r="M143" t="s">
        <v>1184</v>
      </c>
      <c r="O143">
        <v>0</v>
      </c>
      <c r="R143" t="s">
        <v>1185</v>
      </c>
      <c r="T143">
        <v>0</v>
      </c>
      <c r="V143" t="s">
        <v>1186</v>
      </c>
      <c r="Z143" t="s">
        <v>865</v>
      </c>
      <c r="AA143" t="s">
        <v>387</v>
      </c>
      <c r="AB143">
        <v>0</v>
      </c>
      <c r="AC143">
        <v>0</v>
      </c>
      <c r="AD143" t="s">
        <v>1187</v>
      </c>
      <c r="AE143">
        <v>0</v>
      </c>
      <c r="AF143" t="s">
        <v>1188</v>
      </c>
    </row>
    <row r="144" spans="1:32" x14ac:dyDescent="0.25">
      <c r="A144">
        <v>1</v>
      </c>
      <c r="C144" s="185"/>
      <c r="E144" t="s">
        <v>386</v>
      </c>
      <c r="I144">
        <v>4137</v>
      </c>
      <c r="J144" t="s">
        <v>1403</v>
      </c>
      <c r="K144" t="s">
        <v>1403</v>
      </c>
      <c r="L144" t="s">
        <v>386</v>
      </c>
      <c r="M144" t="s">
        <v>1184</v>
      </c>
      <c r="O144">
        <v>0</v>
      </c>
      <c r="R144" t="s">
        <v>1185</v>
      </c>
      <c r="T144">
        <v>0</v>
      </c>
      <c r="V144" t="s">
        <v>1186</v>
      </c>
      <c r="Z144" t="s">
        <v>865</v>
      </c>
      <c r="AA144" t="s">
        <v>387</v>
      </c>
      <c r="AB144">
        <v>0</v>
      </c>
      <c r="AC144">
        <v>0</v>
      </c>
      <c r="AD144" t="s">
        <v>1187</v>
      </c>
      <c r="AE144">
        <v>0</v>
      </c>
      <c r="AF144" t="s">
        <v>1188</v>
      </c>
    </row>
    <row r="145" spans="1:32" x14ac:dyDescent="0.25">
      <c r="A145">
        <v>1</v>
      </c>
      <c r="C145" s="185"/>
      <c r="E145" t="s">
        <v>386</v>
      </c>
      <c r="I145">
        <v>4138</v>
      </c>
      <c r="J145" t="s">
        <v>1404</v>
      </c>
      <c r="K145" t="s">
        <v>1404</v>
      </c>
      <c r="L145" t="s">
        <v>386</v>
      </c>
      <c r="M145" t="s">
        <v>1184</v>
      </c>
      <c r="O145">
        <v>0</v>
      </c>
      <c r="R145" t="s">
        <v>1185</v>
      </c>
      <c r="T145">
        <v>0</v>
      </c>
      <c r="V145" t="s">
        <v>1186</v>
      </c>
      <c r="Z145" t="s">
        <v>865</v>
      </c>
      <c r="AA145" t="s">
        <v>387</v>
      </c>
      <c r="AB145">
        <v>0</v>
      </c>
      <c r="AC145">
        <v>0</v>
      </c>
      <c r="AD145" t="s">
        <v>1187</v>
      </c>
      <c r="AE145">
        <v>0</v>
      </c>
      <c r="AF145" t="s">
        <v>1188</v>
      </c>
    </row>
    <row r="146" spans="1:32" x14ac:dyDescent="0.25">
      <c r="A146">
        <v>1</v>
      </c>
      <c r="C146" s="185"/>
      <c r="E146" t="s">
        <v>386</v>
      </c>
      <c r="I146">
        <v>3885</v>
      </c>
      <c r="J146" t="s">
        <v>1405</v>
      </c>
      <c r="K146" t="s">
        <v>1405</v>
      </c>
      <c r="L146" t="s">
        <v>386</v>
      </c>
      <c r="M146" t="s">
        <v>1184</v>
      </c>
      <c r="O146">
        <v>0</v>
      </c>
      <c r="R146" t="s">
        <v>1185</v>
      </c>
      <c r="T146">
        <v>0</v>
      </c>
      <c r="V146" t="s">
        <v>1186</v>
      </c>
      <c r="Z146" t="s">
        <v>865</v>
      </c>
      <c r="AA146" t="s">
        <v>387</v>
      </c>
      <c r="AB146">
        <v>0</v>
      </c>
      <c r="AC146">
        <v>0</v>
      </c>
      <c r="AD146" t="s">
        <v>1187</v>
      </c>
      <c r="AE146">
        <v>0</v>
      </c>
      <c r="AF146" t="s">
        <v>1188</v>
      </c>
    </row>
    <row r="147" spans="1:32" x14ac:dyDescent="0.25">
      <c r="A147">
        <v>1</v>
      </c>
      <c r="C147" s="185"/>
      <c r="E147" t="s">
        <v>386</v>
      </c>
      <c r="I147">
        <v>3667</v>
      </c>
      <c r="J147" t="s">
        <v>1406</v>
      </c>
      <c r="K147" t="s">
        <v>1406</v>
      </c>
      <c r="L147" t="s">
        <v>386</v>
      </c>
      <c r="M147" t="s">
        <v>1184</v>
      </c>
      <c r="O147">
        <v>0</v>
      </c>
      <c r="R147" t="s">
        <v>1185</v>
      </c>
      <c r="T147">
        <v>0</v>
      </c>
      <c r="V147" t="s">
        <v>1186</v>
      </c>
      <c r="Z147" t="s">
        <v>865</v>
      </c>
      <c r="AA147" t="s">
        <v>387</v>
      </c>
      <c r="AB147">
        <v>0</v>
      </c>
      <c r="AC147">
        <v>0</v>
      </c>
      <c r="AD147" t="s">
        <v>1187</v>
      </c>
      <c r="AE147">
        <v>0</v>
      </c>
      <c r="AF147" t="s">
        <v>1188</v>
      </c>
    </row>
    <row r="148" spans="1:32" x14ac:dyDescent="0.25">
      <c r="A148">
        <v>1</v>
      </c>
      <c r="C148" s="185"/>
      <c r="E148" t="s">
        <v>386</v>
      </c>
      <c r="I148">
        <v>4067</v>
      </c>
      <c r="J148" t="s">
        <v>1407</v>
      </c>
      <c r="K148" t="s">
        <v>1407</v>
      </c>
      <c r="L148" t="s">
        <v>386</v>
      </c>
      <c r="M148" t="s">
        <v>1184</v>
      </c>
      <c r="O148">
        <v>0</v>
      </c>
      <c r="R148" t="s">
        <v>1185</v>
      </c>
      <c r="T148">
        <v>0</v>
      </c>
      <c r="V148" t="s">
        <v>1186</v>
      </c>
      <c r="Z148" t="s">
        <v>865</v>
      </c>
      <c r="AA148" t="s">
        <v>387</v>
      </c>
      <c r="AB148">
        <v>0</v>
      </c>
      <c r="AC148">
        <v>0</v>
      </c>
      <c r="AD148" t="s">
        <v>1187</v>
      </c>
      <c r="AE148">
        <v>0</v>
      </c>
      <c r="AF148" t="s">
        <v>1188</v>
      </c>
    </row>
    <row r="149" spans="1:32" x14ac:dyDescent="0.25">
      <c r="A149">
        <v>1</v>
      </c>
      <c r="C149" s="185"/>
      <c r="E149" t="s">
        <v>386</v>
      </c>
      <c r="I149">
        <v>3777</v>
      </c>
      <c r="J149" t="s">
        <v>1408</v>
      </c>
      <c r="K149" t="s">
        <v>1408</v>
      </c>
      <c r="L149" t="s">
        <v>386</v>
      </c>
      <c r="M149" t="s">
        <v>1184</v>
      </c>
      <c r="O149">
        <v>0</v>
      </c>
      <c r="R149" t="s">
        <v>1185</v>
      </c>
      <c r="T149">
        <v>0</v>
      </c>
      <c r="V149" t="s">
        <v>1186</v>
      </c>
      <c r="Z149" t="s">
        <v>865</v>
      </c>
      <c r="AA149" t="s">
        <v>387</v>
      </c>
      <c r="AB149">
        <v>0</v>
      </c>
      <c r="AC149">
        <v>0</v>
      </c>
      <c r="AD149" t="s">
        <v>1187</v>
      </c>
      <c r="AE149">
        <v>0</v>
      </c>
      <c r="AF149" t="s">
        <v>1188</v>
      </c>
    </row>
    <row r="150" spans="1:32" x14ac:dyDescent="0.25">
      <c r="A150">
        <v>1</v>
      </c>
      <c r="C150" s="185"/>
      <c r="E150" t="s">
        <v>386</v>
      </c>
      <c r="I150">
        <v>3841</v>
      </c>
      <c r="J150" t="s">
        <v>1409</v>
      </c>
      <c r="K150" t="s">
        <v>1409</v>
      </c>
      <c r="L150" t="s">
        <v>386</v>
      </c>
      <c r="M150" t="s">
        <v>1184</v>
      </c>
      <c r="O150">
        <v>0</v>
      </c>
      <c r="R150" t="s">
        <v>1185</v>
      </c>
      <c r="T150">
        <v>0</v>
      </c>
      <c r="V150" t="s">
        <v>1186</v>
      </c>
      <c r="Z150" t="s">
        <v>865</v>
      </c>
      <c r="AA150" t="s">
        <v>387</v>
      </c>
      <c r="AB150">
        <v>0</v>
      </c>
      <c r="AC150">
        <v>0</v>
      </c>
      <c r="AD150" t="s">
        <v>1187</v>
      </c>
      <c r="AE150">
        <v>0</v>
      </c>
      <c r="AF150" t="s">
        <v>1188</v>
      </c>
    </row>
    <row r="151" spans="1:32" x14ac:dyDescent="0.25">
      <c r="A151">
        <v>1</v>
      </c>
      <c r="C151" s="185"/>
      <c r="E151" t="s">
        <v>386</v>
      </c>
      <c r="I151">
        <v>3595</v>
      </c>
      <c r="J151" t="s">
        <v>1410</v>
      </c>
      <c r="K151" t="s">
        <v>1410</v>
      </c>
      <c r="L151" t="s">
        <v>386</v>
      </c>
      <c r="M151" t="s">
        <v>1184</v>
      </c>
      <c r="O151">
        <v>0</v>
      </c>
      <c r="R151" t="s">
        <v>1185</v>
      </c>
      <c r="T151">
        <v>0</v>
      </c>
      <c r="V151" t="s">
        <v>1186</v>
      </c>
      <c r="Z151" t="s">
        <v>865</v>
      </c>
      <c r="AA151" t="s">
        <v>387</v>
      </c>
      <c r="AB151">
        <v>0</v>
      </c>
      <c r="AC151">
        <v>0</v>
      </c>
      <c r="AD151" t="s">
        <v>1187</v>
      </c>
      <c r="AE151">
        <v>0</v>
      </c>
      <c r="AF151" t="s">
        <v>1188</v>
      </c>
    </row>
    <row r="152" spans="1:32" x14ac:dyDescent="0.25">
      <c r="A152">
        <v>1</v>
      </c>
      <c r="C152" s="185"/>
      <c r="E152" t="s">
        <v>386</v>
      </c>
      <c r="I152">
        <v>4125</v>
      </c>
      <c r="J152" t="s">
        <v>1411</v>
      </c>
      <c r="K152" t="s">
        <v>1411</v>
      </c>
      <c r="L152" t="s">
        <v>386</v>
      </c>
      <c r="M152" t="s">
        <v>1184</v>
      </c>
      <c r="O152">
        <v>0</v>
      </c>
      <c r="R152" t="s">
        <v>1185</v>
      </c>
      <c r="T152">
        <v>0</v>
      </c>
      <c r="V152" t="s">
        <v>1186</v>
      </c>
      <c r="Z152" t="s">
        <v>865</v>
      </c>
      <c r="AA152" t="s">
        <v>387</v>
      </c>
      <c r="AB152">
        <v>0</v>
      </c>
      <c r="AC152">
        <v>0</v>
      </c>
      <c r="AD152" t="s">
        <v>1187</v>
      </c>
      <c r="AE152">
        <v>0</v>
      </c>
      <c r="AF152" t="s">
        <v>1188</v>
      </c>
    </row>
    <row r="153" spans="1:32" x14ac:dyDescent="0.25">
      <c r="A153">
        <v>1</v>
      </c>
      <c r="C153" s="185"/>
      <c r="E153" t="s">
        <v>386</v>
      </c>
      <c r="I153">
        <v>3963</v>
      </c>
      <c r="J153" t="s">
        <v>1412</v>
      </c>
      <c r="K153" t="s">
        <v>1412</v>
      </c>
      <c r="L153" t="s">
        <v>386</v>
      </c>
      <c r="M153" t="s">
        <v>1184</v>
      </c>
      <c r="O153">
        <v>0</v>
      </c>
      <c r="R153" t="s">
        <v>1185</v>
      </c>
      <c r="T153">
        <v>0</v>
      </c>
      <c r="V153" t="s">
        <v>1186</v>
      </c>
      <c r="Z153" t="s">
        <v>865</v>
      </c>
      <c r="AA153" t="s">
        <v>387</v>
      </c>
      <c r="AB153">
        <v>0</v>
      </c>
      <c r="AC153">
        <v>0</v>
      </c>
      <c r="AD153" t="s">
        <v>1187</v>
      </c>
      <c r="AE153">
        <v>0</v>
      </c>
      <c r="AF153" t="s">
        <v>1188</v>
      </c>
    </row>
    <row r="154" spans="1:32" x14ac:dyDescent="0.25">
      <c r="A154">
        <v>1</v>
      </c>
      <c r="C154" s="185"/>
      <c r="E154" t="s">
        <v>386</v>
      </c>
      <c r="I154">
        <v>3904</v>
      </c>
      <c r="J154" t="s">
        <v>1413</v>
      </c>
      <c r="K154" t="s">
        <v>1413</v>
      </c>
      <c r="L154" t="s">
        <v>386</v>
      </c>
      <c r="M154" t="s">
        <v>1184</v>
      </c>
      <c r="O154">
        <v>0</v>
      </c>
      <c r="R154" t="s">
        <v>1185</v>
      </c>
      <c r="T154">
        <v>0</v>
      </c>
      <c r="V154" t="s">
        <v>1186</v>
      </c>
      <c r="Z154" t="s">
        <v>865</v>
      </c>
      <c r="AA154" t="s">
        <v>387</v>
      </c>
      <c r="AB154">
        <v>0</v>
      </c>
      <c r="AC154">
        <v>0</v>
      </c>
      <c r="AD154" t="s">
        <v>1187</v>
      </c>
      <c r="AE154">
        <v>0</v>
      </c>
      <c r="AF154" t="s">
        <v>1188</v>
      </c>
    </row>
    <row r="155" spans="1:32" x14ac:dyDescent="0.25">
      <c r="A155">
        <v>1</v>
      </c>
      <c r="C155" s="185"/>
      <c r="E155" t="s">
        <v>386</v>
      </c>
      <c r="I155">
        <v>4132</v>
      </c>
      <c r="J155" t="s">
        <v>1414</v>
      </c>
      <c r="K155" t="s">
        <v>1414</v>
      </c>
      <c r="L155" t="s">
        <v>386</v>
      </c>
      <c r="M155" t="s">
        <v>1184</v>
      </c>
      <c r="O155">
        <v>0</v>
      </c>
      <c r="R155" t="s">
        <v>1185</v>
      </c>
      <c r="T155">
        <v>0</v>
      </c>
      <c r="V155" t="s">
        <v>1186</v>
      </c>
      <c r="Z155" t="s">
        <v>865</v>
      </c>
      <c r="AA155" t="s">
        <v>387</v>
      </c>
      <c r="AB155">
        <v>0</v>
      </c>
      <c r="AC155">
        <v>0</v>
      </c>
      <c r="AD155" t="s">
        <v>1187</v>
      </c>
      <c r="AE155">
        <v>0</v>
      </c>
      <c r="AF155" t="s">
        <v>1188</v>
      </c>
    </row>
    <row r="156" spans="1:32" x14ac:dyDescent="0.25">
      <c r="A156">
        <v>1</v>
      </c>
      <c r="C156" s="185"/>
      <c r="E156" t="s">
        <v>386</v>
      </c>
      <c r="I156">
        <v>3684</v>
      </c>
      <c r="J156" t="s">
        <v>1415</v>
      </c>
      <c r="K156" t="s">
        <v>1415</v>
      </c>
      <c r="L156" t="s">
        <v>386</v>
      </c>
      <c r="M156" t="s">
        <v>1184</v>
      </c>
      <c r="O156">
        <v>0</v>
      </c>
      <c r="R156" t="s">
        <v>1185</v>
      </c>
      <c r="T156">
        <v>0</v>
      </c>
      <c r="V156" t="s">
        <v>1186</v>
      </c>
      <c r="Z156" t="s">
        <v>865</v>
      </c>
      <c r="AA156" t="s">
        <v>387</v>
      </c>
      <c r="AB156">
        <v>0</v>
      </c>
      <c r="AC156">
        <v>0</v>
      </c>
      <c r="AD156" t="s">
        <v>1187</v>
      </c>
      <c r="AE156">
        <v>0</v>
      </c>
      <c r="AF156" t="s">
        <v>1188</v>
      </c>
    </row>
    <row r="157" spans="1:32" x14ac:dyDescent="0.25">
      <c r="A157">
        <v>1</v>
      </c>
      <c r="C157" s="185"/>
      <c r="E157" t="s">
        <v>386</v>
      </c>
      <c r="I157">
        <v>3737</v>
      </c>
      <c r="J157" t="s">
        <v>1416</v>
      </c>
      <c r="K157" t="s">
        <v>1416</v>
      </c>
      <c r="L157" t="s">
        <v>386</v>
      </c>
      <c r="M157" t="s">
        <v>1184</v>
      </c>
      <c r="O157">
        <v>0</v>
      </c>
      <c r="R157" t="s">
        <v>1185</v>
      </c>
      <c r="T157">
        <v>0</v>
      </c>
      <c r="V157" t="s">
        <v>1186</v>
      </c>
      <c r="Z157" t="s">
        <v>865</v>
      </c>
      <c r="AA157" t="s">
        <v>387</v>
      </c>
      <c r="AB157">
        <v>0</v>
      </c>
      <c r="AC157">
        <v>0</v>
      </c>
      <c r="AD157" t="s">
        <v>1187</v>
      </c>
      <c r="AE157">
        <v>0</v>
      </c>
      <c r="AF157" t="s">
        <v>1188</v>
      </c>
    </row>
    <row r="158" spans="1:32" x14ac:dyDescent="0.25">
      <c r="A158">
        <v>1</v>
      </c>
      <c r="C158" s="185"/>
      <c r="E158" t="s">
        <v>386</v>
      </c>
      <c r="I158">
        <v>4189</v>
      </c>
      <c r="J158" t="s">
        <v>1417</v>
      </c>
      <c r="K158" t="s">
        <v>1417</v>
      </c>
      <c r="L158" t="s">
        <v>386</v>
      </c>
      <c r="M158" t="s">
        <v>1184</v>
      </c>
      <c r="O158">
        <v>0</v>
      </c>
      <c r="R158" t="s">
        <v>1185</v>
      </c>
      <c r="T158">
        <v>0</v>
      </c>
      <c r="V158" t="s">
        <v>1186</v>
      </c>
      <c r="Z158" t="s">
        <v>865</v>
      </c>
      <c r="AA158" t="s">
        <v>387</v>
      </c>
      <c r="AB158">
        <v>0</v>
      </c>
      <c r="AC158">
        <v>0</v>
      </c>
      <c r="AD158" t="s">
        <v>1187</v>
      </c>
      <c r="AE158">
        <v>0</v>
      </c>
      <c r="AF158" t="s">
        <v>1188</v>
      </c>
    </row>
    <row r="159" spans="1:32" x14ac:dyDescent="0.25">
      <c r="A159">
        <v>1</v>
      </c>
      <c r="C159" s="185"/>
      <c r="E159" t="s">
        <v>386</v>
      </c>
      <c r="I159">
        <v>3586</v>
      </c>
      <c r="J159" t="s">
        <v>1418</v>
      </c>
      <c r="K159" t="s">
        <v>1418</v>
      </c>
      <c r="L159" t="s">
        <v>386</v>
      </c>
      <c r="M159" t="s">
        <v>1184</v>
      </c>
      <c r="O159">
        <v>0</v>
      </c>
      <c r="R159" t="s">
        <v>1185</v>
      </c>
      <c r="T159">
        <v>0</v>
      </c>
      <c r="V159" t="s">
        <v>1186</v>
      </c>
      <c r="Z159" t="s">
        <v>865</v>
      </c>
      <c r="AA159" t="s">
        <v>387</v>
      </c>
      <c r="AB159">
        <v>0</v>
      </c>
      <c r="AC159">
        <v>0</v>
      </c>
      <c r="AD159" t="s">
        <v>1187</v>
      </c>
      <c r="AE159">
        <v>0</v>
      </c>
      <c r="AF159" t="s">
        <v>1188</v>
      </c>
    </row>
    <row r="160" spans="1:32" x14ac:dyDescent="0.25">
      <c r="A160">
        <v>1</v>
      </c>
      <c r="C160" s="185"/>
      <c r="E160" t="s">
        <v>386</v>
      </c>
      <c r="I160">
        <v>4177</v>
      </c>
      <c r="J160" t="s">
        <v>1419</v>
      </c>
      <c r="K160" t="s">
        <v>1419</v>
      </c>
      <c r="L160" t="s">
        <v>386</v>
      </c>
      <c r="M160" t="s">
        <v>1184</v>
      </c>
      <c r="O160">
        <v>0</v>
      </c>
      <c r="R160" t="s">
        <v>1185</v>
      </c>
      <c r="T160">
        <v>0</v>
      </c>
      <c r="V160" t="s">
        <v>1186</v>
      </c>
      <c r="Z160" t="s">
        <v>865</v>
      </c>
      <c r="AA160" t="s">
        <v>387</v>
      </c>
      <c r="AB160">
        <v>0</v>
      </c>
      <c r="AC160">
        <v>0</v>
      </c>
      <c r="AD160" t="s">
        <v>1187</v>
      </c>
      <c r="AE160">
        <v>0</v>
      </c>
      <c r="AF160" t="s">
        <v>1188</v>
      </c>
    </row>
    <row r="161" spans="1:32" x14ac:dyDescent="0.25">
      <c r="A161">
        <v>1</v>
      </c>
      <c r="C161" s="185"/>
      <c r="E161" t="s">
        <v>386</v>
      </c>
      <c r="I161">
        <v>3881</v>
      </c>
      <c r="J161" t="s">
        <v>1420</v>
      </c>
      <c r="K161" t="s">
        <v>1420</v>
      </c>
      <c r="L161" t="s">
        <v>386</v>
      </c>
      <c r="M161" t="s">
        <v>1184</v>
      </c>
      <c r="O161">
        <v>0</v>
      </c>
      <c r="R161" t="s">
        <v>1185</v>
      </c>
      <c r="T161">
        <v>0</v>
      </c>
      <c r="V161" t="s">
        <v>1186</v>
      </c>
      <c r="Z161" t="s">
        <v>865</v>
      </c>
      <c r="AA161" t="s">
        <v>387</v>
      </c>
      <c r="AB161">
        <v>0</v>
      </c>
      <c r="AC161">
        <v>0</v>
      </c>
      <c r="AD161" t="s">
        <v>1187</v>
      </c>
      <c r="AE161">
        <v>0</v>
      </c>
      <c r="AF161" t="s">
        <v>1188</v>
      </c>
    </row>
    <row r="162" spans="1:32" x14ac:dyDescent="0.25">
      <c r="A162">
        <v>1</v>
      </c>
      <c r="C162" s="185"/>
      <c r="E162" t="s">
        <v>386</v>
      </c>
      <c r="I162">
        <v>3541</v>
      </c>
      <c r="J162" t="s">
        <v>1421</v>
      </c>
      <c r="K162" t="s">
        <v>1421</v>
      </c>
      <c r="L162" t="s">
        <v>386</v>
      </c>
      <c r="M162" t="s">
        <v>1184</v>
      </c>
      <c r="O162">
        <v>0</v>
      </c>
      <c r="R162" t="s">
        <v>1185</v>
      </c>
      <c r="T162">
        <v>0</v>
      </c>
      <c r="V162" t="s">
        <v>1186</v>
      </c>
      <c r="Z162" t="s">
        <v>865</v>
      </c>
      <c r="AA162" t="s">
        <v>387</v>
      </c>
      <c r="AB162">
        <v>0</v>
      </c>
      <c r="AC162">
        <v>0</v>
      </c>
      <c r="AD162" t="s">
        <v>1187</v>
      </c>
      <c r="AE162">
        <v>0</v>
      </c>
      <c r="AF162" t="s">
        <v>1188</v>
      </c>
    </row>
    <row r="163" spans="1:32" x14ac:dyDescent="0.25">
      <c r="A163">
        <v>1</v>
      </c>
      <c r="C163" s="185"/>
      <c r="E163" t="s">
        <v>386</v>
      </c>
      <c r="I163">
        <v>3652</v>
      </c>
      <c r="J163" t="s">
        <v>1422</v>
      </c>
      <c r="K163" t="s">
        <v>1422</v>
      </c>
      <c r="L163" t="s">
        <v>386</v>
      </c>
      <c r="M163" t="s">
        <v>1184</v>
      </c>
      <c r="O163">
        <v>0</v>
      </c>
      <c r="R163" t="s">
        <v>1185</v>
      </c>
      <c r="T163">
        <v>0</v>
      </c>
      <c r="V163" t="s">
        <v>1186</v>
      </c>
      <c r="Z163" t="s">
        <v>865</v>
      </c>
      <c r="AA163" t="s">
        <v>387</v>
      </c>
      <c r="AB163">
        <v>0</v>
      </c>
      <c r="AC163">
        <v>0</v>
      </c>
      <c r="AD163" t="s">
        <v>1187</v>
      </c>
      <c r="AE163">
        <v>0</v>
      </c>
      <c r="AF163" t="s">
        <v>1188</v>
      </c>
    </row>
    <row r="164" spans="1:32" x14ac:dyDescent="0.25">
      <c r="A164">
        <v>1</v>
      </c>
      <c r="C164" s="185"/>
      <c r="E164" t="s">
        <v>386</v>
      </c>
      <c r="I164">
        <v>3772</v>
      </c>
      <c r="J164" t="s">
        <v>1423</v>
      </c>
      <c r="K164" t="s">
        <v>1423</v>
      </c>
      <c r="L164" t="s">
        <v>386</v>
      </c>
      <c r="M164" t="s">
        <v>1184</v>
      </c>
      <c r="O164">
        <v>0</v>
      </c>
      <c r="R164" t="s">
        <v>1185</v>
      </c>
      <c r="T164">
        <v>0</v>
      </c>
      <c r="V164" t="s">
        <v>1186</v>
      </c>
      <c r="Z164" t="s">
        <v>865</v>
      </c>
      <c r="AA164" t="s">
        <v>387</v>
      </c>
      <c r="AB164">
        <v>0</v>
      </c>
      <c r="AC164">
        <v>0</v>
      </c>
      <c r="AD164" t="s">
        <v>1187</v>
      </c>
      <c r="AE164">
        <v>0</v>
      </c>
      <c r="AF164" t="s">
        <v>1188</v>
      </c>
    </row>
    <row r="165" spans="1:32" x14ac:dyDescent="0.25">
      <c r="A165">
        <v>1</v>
      </c>
      <c r="C165" s="185"/>
      <c r="E165" t="s">
        <v>386</v>
      </c>
      <c r="I165">
        <v>3693</v>
      </c>
      <c r="J165" t="s">
        <v>1424</v>
      </c>
      <c r="K165" t="s">
        <v>1424</v>
      </c>
      <c r="L165" t="s">
        <v>386</v>
      </c>
      <c r="M165" t="s">
        <v>1184</v>
      </c>
      <c r="O165">
        <v>0</v>
      </c>
      <c r="R165" t="s">
        <v>1185</v>
      </c>
      <c r="T165">
        <v>0</v>
      </c>
      <c r="V165" t="s">
        <v>1186</v>
      </c>
      <c r="Z165" t="s">
        <v>865</v>
      </c>
      <c r="AA165" t="s">
        <v>387</v>
      </c>
      <c r="AB165">
        <v>0</v>
      </c>
      <c r="AC165">
        <v>0</v>
      </c>
      <c r="AD165" t="s">
        <v>1187</v>
      </c>
      <c r="AE165">
        <v>0</v>
      </c>
      <c r="AF165" t="s">
        <v>1188</v>
      </c>
    </row>
    <row r="166" spans="1:32" x14ac:dyDescent="0.25">
      <c r="A166">
        <v>1</v>
      </c>
      <c r="C166" s="185"/>
      <c r="E166" t="s">
        <v>386</v>
      </c>
      <c r="I166">
        <v>3874</v>
      </c>
      <c r="J166" t="s">
        <v>1425</v>
      </c>
      <c r="K166" t="s">
        <v>1425</v>
      </c>
      <c r="L166" t="s">
        <v>386</v>
      </c>
      <c r="M166" t="s">
        <v>1184</v>
      </c>
      <c r="O166">
        <v>0</v>
      </c>
      <c r="R166" t="s">
        <v>1185</v>
      </c>
      <c r="T166">
        <v>0</v>
      </c>
      <c r="V166" t="s">
        <v>1186</v>
      </c>
      <c r="Z166" t="s">
        <v>865</v>
      </c>
      <c r="AA166" t="s">
        <v>387</v>
      </c>
      <c r="AB166">
        <v>0</v>
      </c>
      <c r="AC166">
        <v>0</v>
      </c>
      <c r="AD166" t="s">
        <v>1187</v>
      </c>
      <c r="AE166">
        <v>0</v>
      </c>
      <c r="AF166" t="s">
        <v>1188</v>
      </c>
    </row>
    <row r="167" spans="1:32" x14ac:dyDescent="0.25">
      <c r="A167">
        <v>1</v>
      </c>
      <c r="C167" s="185"/>
      <c r="E167" t="s">
        <v>386</v>
      </c>
      <c r="I167">
        <v>3676</v>
      </c>
      <c r="J167" t="s">
        <v>1426</v>
      </c>
      <c r="K167" t="s">
        <v>1426</v>
      </c>
      <c r="L167" t="s">
        <v>386</v>
      </c>
      <c r="M167" t="s">
        <v>1184</v>
      </c>
      <c r="O167">
        <v>0</v>
      </c>
      <c r="R167" t="s">
        <v>1185</v>
      </c>
      <c r="T167">
        <v>0</v>
      </c>
      <c r="V167" t="s">
        <v>1186</v>
      </c>
      <c r="Z167" t="s">
        <v>865</v>
      </c>
      <c r="AA167" t="s">
        <v>387</v>
      </c>
      <c r="AB167">
        <v>0</v>
      </c>
      <c r="AC167">
        <v>0</v>
      </c>
      <c r="AD167" t="s">
        <v>1187</v>
      </c>
      <c r="AE167">
        <v>0</v>
      </c>
      <c r="AF167" t="s">
        <v>1188</v>
      </c>
    </row>
    <row r="168" spans="1:32" x14ac:dyDescent="0.25">
      <c r="A168">
        <v>1</v>
      </c>
      <c r="C168" s="185"/>
      <c r="E168" t="s">
        <v>386</v>
      </c>
      <c r="I168">
        <v>3773</v>
      </c>
      <c r="J168" t="s">
        <v>1427</v>
      </c>
      <c r="K168" t="s">
        <v>1427</v>
      </c>
      <c r="L168" t="s">
        <v>386</v>
      </c>
      <c r="M168" t="s">
        <v>1184</v>
      </c>
      <c r="O168">
        <v>0</v>
      </c>
      <c r="R168" t="s">
        <v>1185</v>
      </c>
      <c r="T168">
        <v>0</v>
      </c>
      <c r="V168" t="s">
        <v>1186</v>
      </c>
      <c r="Z168" t="s">
        <v>865</v>
      </c>
      <c r="AA168" t="s">
        <v>387</v>
      </c>
      <c r="AB168">
        <v>0</v>
      </c>
      <c r="AC168">
        <v>0</v>
      </c>
      <c r="AD168" t="s">
        <v>1187</v>
      </c>
      <c r="AE168">
        <v>0</v>
      </c>
      <c r="AF168" t="s">
        <v>1188</v>
      </c>
    </row>
    <row r="169" spans="1:32" x14ac:dyDescent="0.25">
      <c r="A169">
        <v>1</v>
      </c>
      <c r="C169" s="185"/>
      <c r="E169" t="s">
        <v>386</v>
      </c>
      <c r="I169">
        <v>3973</v>
      </c>
      <c r="J169" t="s">
        <v>1428</v>
      </c>
      <c r="K169" t="s">
        <v>1428</v>
      </c>
      <c r="L169" t="s">
        <v>386</v>
      </c>
      <c r="M169" t="s">
        <v>1184</v>
      </c>
      <c r="O169">
        <v>0</v>
      </c>
      <c r="R169" t="s">
        <v>1185</v>
      </c>
      <c r="T169">
        <v>0</v>
      </c>
      <c r="V169" t="s">
        <v>1186</v>
      </c>
      <c r="Z169" t="s">
        <v>865</v>
      </c>
      <c r="AA169" t="s">
        <v>387</v>
      </c>
      <c r="AB169">
        <v>0</v>
      </c>
      <c r="AC169">
        <v>0</v>
      </c>
      <c r="AD169" t="s">
        <v>1187</v>
      </c>
      <c r="AE169">
        <v>0</v>
      </c>
      <c r="AF169" t="s">
        <v>1188</v>
      </c>
    </row>
    <row r="170" spans="1:32" x14ac:dyDescent="0.25">
      <c r="A170">
        <v>1</v>
      </c>
      <c r="C170" s="185"/>
      <c r="E170" t="s">
        <v>386</v>
      </c>
      <c r="I170">
        <v>3620</v>
      </c>
      <c r="J170" t="s">
        <v>1429</v>
      </c>
      <c r="K170" t="s">
        <v>1429</v>
      </c>
      <c r="L170" t="s">
        <v>386</v>
      </c>
      <c r="M170" t="s">
        <v>1184</v>
      </c>
      <c r="O170">
        <v>0</v>
      </c>
      <c r="R170" t="s">
        <v>1185</v>
      </c>
      <c r="T170">
        <v>0</v>
      </c>
      <c r="V170" t="s">
        <v>1186</v>
      </c>
      <c r="Z170" t="s">
        <v>865</v>
      </c>
      <c r="AA170" t="s">
        <v>387</v>
      </c>
      <c r="AB170">
        <v>0</v>
      </c>
      <c r="AC170">
        <v>0</v>
      </c>
      <c r="AD170" t="s">
        <v>1187</v>
      </c>
      <c r="AE170">
        <v>0</v>
      </c>
      <c r="AF170" t="s">
        <v>1188</v>
      </c>
    </row>
    <row r="171" spans="1:32" x14ac:dyDescent="0.25">
      <c r="A171">
        <v>1</v>
      </c>
      <c r="C171" s="185"/>
      <c r="E171" t="s">
        <v>386</v>
      </c>
      <c r="I171">
        <v>4049</v>
      </c>
      <c r="J171" t="s">
        <v>1430</v>
      </c>
      <c r="K171" t="s">
        <v>1430</v>
      </c>
      <c r="L171" t="s">
        <v>386</v>
      </c>
      <c r="M171" t="s">
        <v>1184</v>
      </c>
      <c r="O171">
        <v>0</v>
      </c>
      <c r="R171" t="s">
        <v>1185</v>
      </c>
      <c r="T171">
        <v>0</v>
      </c>
      <c r="V171" t="s">
        <v>1186</v>
      </c>
      <c r="Z171" t="s">
        <v>865</v>
      </c>
      <c r="AA171" t="s">
        <v>387</v>
      </c>
      <c r="AB171">
        <v>0</v>
      </c>
      <c r="AC171">
        <v>0</v>
      </c>
      <c r="AD171" t="s">
        <v>1187</v>
      </c>
      <c r="AE171">
        <v>0</v>
      </c>
      <c r="AF171" t="s">
        <v>1188</v>
      </c>
    </row>
    <row r="172" spans="1:32" x14ac:dyDescent="0.25">
      <c r="A172">
        <v>1</v>
      </c>
      <c r="C172" s="185"/>
      <c r="E172" t="s">
        <v>386</v>
      </c>
      <c r="I172">
        <v>3755</v>
      </c>
      <c r="J172" t="s">
        <v>1431</v>
      </c>
      <c r="K172" t="s">
        <v>1431</v>
      </c>
      <c r="L172" t="s">
        <v>386</v>
      </c>
      <c r="M172" t="s">
        <v>1184</v>
      </c>
      <c r="O172">
        <v>0</v>
      </c>
      <c r="R172" t="s">
        <v>1185</v>
      </c>
      <c r="T172">
        <v>0</v>
      </c>
      <c r="V172" t="s">
        <v>1186</v>
      </c>
      <c r="Z172" t="s">
        <v>865</v>
      </c>
      <c r="AA172" t="s">
        <v>387</v>
      </c>
      <c r="AB172">
        <v>0</v>
      </c>
      <c r="AC172">
        <v>0</v>
      </c>
      <c r="AD172" t="s">
        <v>1187</v>
      </c>
      <c r="AE172">
        <v>0</v>
      </c>
      <c r="AF172" t="s">
        <v>1188</v>
      </c>
    </row>
    <row r="173" spans="1:32" x14ac:dyDescent="0.25">
      <c r="A173">
        <v>1</v>
      </c>
      <c r="C173" s="185"/>
      <c r="E173" t="s">
        <v>386</v>
      </c>
      <c r="I173">
        <v>3711</v>
      </c>
      <c r="J173" t="s">
        <v>1432</v>
      </c>
      <c r="K173" t="s">
        <v>1432</v>
      </c>
      <c r="L173" t="s">
        <v>386</v>
      </c>
      <c r="M173" t="s">
        <v>1184</v>
      </c>
      <c r="O173">
        <v>0</v>
      </c>
      <c r="R173" t="s">
        <v>1185</v>
      </c>
      <c r="T173">
        <v>0</v>
      </c>
      <c r="V173" t="s">
        <v>1186</v>
      </c>
      <c r="Z173" t="s">
        <v>865</v>
      </c>
      <c r="AA173" t="s">
        <v>387</v>
      </c>
      <c r="AB173">
        <v>0</v>
      </c>
      <c r="AC173">
        <v>0</v>
      </c>
      <c r="AD173" t="s">
        <v>1187</v>
      </c>
      <c r="AE173">
        <v>0</v>
      </c>
      <c r="AF173" t="s">
        <v>1188</v>
      </c>
    </row>
    <row r="174" spans="1:32" x14ac:dyDescent="0.25">
      <c r="A174">
        <v>1</v>
      </c>
      <c r="C174" s="185"/>
      <c r="E174" t="s">
        <v>386</v>
      </c>
      <c r="I174">
        <v>4045</v>
      </c>
      <c r="J174" t="s">
        <v>1433</v>
      </c>
      <c r="K174" t="s">
        <v>1433</v>
      </c>
      <c r="L174" t="s">
        <v>386</v>
      </c>
      <c r="M174" t="s">
        <v>1184</v>
      </c>
      <c r="O174">
        <v>0</v>
      </c>
      <c r="R174" t="s">
        <v>1185</v>
      </c>
      <c r="T174">
        <v>0</v>
      </c>
      <c r="V174" t="s">
        <v>1186</v>
      </c>
      <c r="Z174" t="s">
        <v>865</v>
      </c>
      <c r="AA174" t="s">
        <v>387</v>
      </c>
      <c r="AB174">
        <v>0</v>
      </c>
      <c r="AC174">
        <v>0</v>
      </c>
      <c r="AD174" t="s">
        <v>1187</v>
      </c>
      <c r="AE174">
        <v>0</v>
      </c>
      <c r="AF174" t="s">
        <v>1188</v>
      </c>
    </row>
    <row r="175" spans="1:32" x14ac:dyDescent="0.25">
      <c r="A175">
        <v>1</v>
      </c>
      <c r="C175" s="185"/>
      <c r="E175" t="s">
        <v>386</v>
      </c>
      <c r="I175">
        <v>3645</v>
      </c>
      <c r="J175" t="s">
        <v>1434</v>
      </c>
      <c r="K175" t="s">
        <v>1434</v>
      </c>
      <c r="L175" t="s">
        <v>386</v>
      </c>
      <c r="M175" t="s">
        <v>1184</v>
      </c>
      <c r="O175">
        <v>0</v>
      </c>
      <c r="R175" t="s">
        <v>1185</v>
      </c>
      <c r="T175">
        <v>0</v>
      </c>
      <c r="V175" t="s">
        <v>1186</v>
      </c>
      <c r="Z175" t="s">
        <v>865</v>
      </c>
      <c r="AA175" t="s">
        <v>387</v>
      </c>
      <c r="AB175">
        <v>0</v>
      </c>
      <c r="AC175">
        <v>0</v>
      </c>
      <c r="AD175" t="s">
        <v>1187</v>
      </c>
      <c r="AE175">
        <v>0</v>
      </c>
      <c r="AF175" t="s">
        <v>1188</v>
      </c>
    </row>
    <row r="176" spans="1:32" x14ac:dyDescent="0.25">
      <c r="A176">
        <v>1</v>
      </c>
      <c r="C176" s="185"/>
      <c r="E176" t="s">
        <v>386</v>
      </c>
      <c r="I176">
        <v>3768</v>
      </c>
      <c r="J176" t="s">
        <v>1435</v>
      </c>
      <c r="K176" t="s">
        <v>1435</v>
      </c>
      <c r="L176" t="s">
        <v>386</v>
      </c>
      <c r="M176" t="s">
        <v>1184</v>
      </c>
      <c r="O176">
        <v>0</v>
      </c>
      <c r="R176" t="s">
        <v>1185</v>
      </c>
      <c r="T176">
        <v>0</v>
      </c>
      <c r="V176" t="s">
        <v>1186</v>
      </c>
      <c r="Z176" t="s">
        <v>865</v>
      </c>
      <c r="AA176" t="s">
        <v>387</v>
      </c>
      <c r="AB176">
        <v>0</v>
      </c>
      <c r="AC176">
        <v>0</v>
      </c>
      <c r="AD176" t="s">
        <v>1187</v>
      </c>
      <c r="AE176">
        <v>0</v>
      </c>
      <c r="AF176" t="s">
        <v>1188</v>
      </c>
    </row>
    <row r="177" spans="1:32" x14ac:dyDescent="0.25">
      <c r="A177">
        <v>1</v>
      </c>
      <c r="C177" s="185"/>
      <c r="E177" t="s">
        <v>386</v>
      </c>
      <c r="I177">
        <v>3530</v>
      </c>
      <c r="J177" t="s">
        <v>1436</v>
      </c>
      <c r="K177" t="s">
        <v>1436</v>
      </c>
      <c r="L177" t="s">
        <v>386</v>
      </c>
      <c r="M177" t="s">
        <v>1184</v>
      </c>
      <c r="O177">
        <v>0</v>
      </c>
      <c r="R177" t="s">
        <v>1185</v>
      </c>
      <c r="T177">
        <v>0</v>
      </c>
      <c r="V177" t="s">
        <v>1186</v>
      </c>
      <c r="Z177" t="s">
        <v>865</v>
      </c>
      <c r="AA177" t="s">
        <v>387</v>
      </c>
      <c r="AB177">
        <v>0</v>
      </c>
      <c r="AC177">
        <v>0</v>
      </c>
      <c r="AD177" t="s">
        <v>1187</v>
      </c>
      <c r="AE177">
        <v>0</v>
      </c>
      <c r="AF177" t="s">
        <v>1188</v>
      </c>
    </row>
    <row r="178" spans="1:32" x14ac:dyDescent="0.25">
      <c r="A178">
        <v>1</v>
      </c>
      <c r="C178" s="185"/>
      <c r="E178" t="s">
        <v>386</v>
      </c>
      <c r="I178">
        <v>4178</v>
      </c>
      <c r="J178" t="s">
        <v>1437</v>
      </c>
      <c r="K178" t="s">
        <v>1437</v>
      </c>
      <c r="L178" t="s">
        <v>386</v>
      </c>
      <c r="M178" t="s">
        <v>1184</v>
      </c>
      <c r="O178">
        <v>0</v>
      </c>
      <c r="R178" t="s">
        <v>1185</v>
      </c>
      <c r="T178">
        <v>0</v>
      </c>
      <c r="V178" t="s">
        <v>1186</v>
      </c>
      <c r="Z178" t="s">
        <v>865</v>
      </c>
      <c r="AA178" t="s">
        <v>387</v>
      </c>
      <c r="AB178">
        <v>0</v>
      </c>
      <c r="AC178">
        <v>0</v>
      </c>
      <c r="AD178" t="s">
        <v>1187</v>
      </c>
      <c r="AE178">
        <v>0</v>
      </c>
      <c r="AF178" t="s">
        <v>1188</v>
      </c>
    </row>
    <row r="179" spans="1:32" x14ac:dyDescent="0.25">
      <c r="A179">
        <v>1</v>
      </c>
      <c r="C179" s="185"/>
      <c r="E179" t="s">
        <v>386</v>
      </c>
      <c r="I179">
        <v>3727</v>
      </c>
      <c r="J179" t="s">
        <v>1438</v>
      </c>
      <c r="K179" t="s">
        <v>1438</v>
      </c>
      <c r="L179" t="s">
        <v>386</v>
      </c>
      <c r="M179" t="s">
        <v>1184</v>
      </c>
      <c r="O179">
        <v>0</v>
      </c>
      <c r="R179" t="s">
        <v>1185</v>
      </c>
      <c r="T179">
        <v>0</v>
      </c>
      <c r="V179" t="s">
        <v>1186</v>
      </c>
      <c r="Z179" t="s">
        <v>865</v>
      </c>
      <c r="AA179" t="s">
        <v>387</v>
      </c>
      <c r="AB179">
        <v>0</v>
      </c>
      <c r="AC179">
        <v>0</v>
      </c>
      <c r="AD179" t="s">
        <v>1187</v>
      </c>
      <c r="AE179">
        <v>0</v>
      </c>
      <c r="AF179" t="s">
        <v>1188</v>
      </c>
    </row>
    <row r="180" spans="1:32" x14ac:dyDescent="0.25">
      <c r="A180">
        <v>1</v>
      </c>
      <c r="C180" s="185"/>
      <c r="E180" t="s">
        <v>386</v>
      </c>
      <c r="I180">
        <v>4047</v>
      </c>
      <c r="J180" t="s">
        <v>1439</v>
      </c>
      <c r="K180" t="s">
        <v>1439</v>
      </c>
      <c r="L180" t="s">
        <v>386</v>
      </c>
      <c r="M180" t="s">
        <v>1184</v>
      </c>
      <c r="O180">
        <v>0</v>
      </c>
      <c r="R180" t="s">
        <v>1185</v>
      </c>
      <c r="T180">
        <v>0</v>
      </c>
      <c r="V180" t="s">
        <v>1186</v>
      </c>
      <c r="Z180" t="s">
        <v>865</v>
      </c>
      <c r="AA180" t="s">
        <v>387</v>
      </c>
      <c r="AB180">
        <v>0</v>
      </c>
      <c r="AC180">
        <v>0</v>
      </c>
      <c r="AD180" t="s">
        <v>1187</v>
      </c>
      <c r="AE180">
        <v>0</v>
      </c>
      <c r="AF180" t="s">
        <v>1188</v>
      </c>
    </row>
    <row r="181" spans="1:32" x14ac:dyDescent="0.25">
      <c r="A181">
        <v>1</v>
      </c>
      <c r="C181" s="185"/>
      <c r="E181" t="s">
        <v>386</v>
      </c>
      <c r="I181">
        <v>4110</v>
      </c>
      <c r="J181" t="s">
        <v>1440</v>
      </c>
      <c r="K181" t="s">
        <v>1440</v>
      </c>
      <c r="L181" t="s">
        <v>386</v>
      </c>
      <c r="M181" t="s">
        <v>1184</v>
      </c>
      <c r="O181">
        <v>0</v>
      </c>
      <c r="R181" t="s">
        <v>1185</v>
      </c>
      <c r="T181">
        <v>0</v>
      </c>
      <c r="V181" t="s">
        <v>1186</v>
      </c>
      <c r="Z181" t="s">
        <v>865</v>
      </c>
      <c r="AA181" t="s">
        <v>387</v>
      </c>
      <c r="AB181">
        <v>0</v>
      </c>
      <c r="AC181">
        <v>0</v>
      </c>
      <c r="AD181" t="s">
        <v>1187</v>
      </c>
      <c r="AE181">
        <v>0</v>
      </c>
      <c r="AF181" t="s">
        <v>1188</v>
      </c>
    </row>
    <row r="182" spans="1:32" x14ac:dyDescent="0.25">
      <c r="A182">
        <v>1</v>
      </c>
      <c r="C182" s="185"/>
      <c r="E182" t="s">
        <v>386</v>
      </c>
      <c r="I182">
        <v>4156</v>
      </c>
      <c r="J182" t="s">
        <v>1441</v>
      </c>
      <c r="K182" t="s">
        <v>1441</v>
      </c>
      <c r="L182" t="s">
        <v>386</v>
      </c>
      <c r="M182" t="s">
        <v>1184</v>
      </c>
      <c r="O182">
        <v>0</v>
      </c>
      <c r="R182" t="s">
        <v>1185</v>
      </c>
      <c r="T182">
        <v>0</v>
      </c>
      <c r="V182" t="s">
        <v>1186</v>
      </c>
      <c r="Z182" t="s">
        <v>865</v>
      </c>
      <c r="AA182" t="s">
        <v>387</v>
      </c>
      <c r="AB182">
        <v>0</v>
      </c>
      <c r="AC182">
        <v>0</v>
      </c>
      <c r="AD182" t="s">
        <v>1187</v>
      </c>
      <c r="AE182">
        <v>0</v>
      </c>
      <c r="AF182" t="s">
        <v>1188</v>
      </c>
    </row>
    <row r="183" spans="1:32" x14ac:dyDescent="0.25">
      <c r="A183">
        <v>1</v>
      </c>
      <c r="C183" s="185"/>
      <c r="E183" t="s">
        <v>386</v>
      </c>
      <c r="I183">
        <v>3517</v>
      </c>
      <c r="J183" t="s">
        <v>1442</v>
      </c>
      <c r="K183" t="s">
        <v>1442</v>
      </c>
      <c r="L183" t="s">
        <v>386</v>
      </c>
      <c r="M183" t="s">
        <v>1184</v>
      </c>
      <c r="O183">
        <v>0</v>
      </c>
      <c r="R183" t="s">
        <v>1185</v>
      </c>
      <c r="T183">
        <v>0</v>
      </c>
      <c r="V183" t="s">
        <v>1186</v>
      </c>
      <c r="Z183" t="s">
        <v>865</v>
      </c>
      <c r="AA183" t="s">
        <v>387</v>
      </c>
      <c r="AB183">
        <v>0</v>
      </c>
      <c r="AC183">
        <v>0</v>
      </c>
      <c r="AD183" t="s">
        <v>1187</v>
      </c>
      <c r="AE183">
        <v>0</v>
      </c>
      <c r="AF183" t="s">
        <v>1188</v>
      </c>
    </row>
    <row r="184" spans="1:32" x14ac:dyDescent="0.25">
      <c r="A184">
        <v>1</v>
      </c>
      <c r="C184" s="185"/>
      <c r="E184" t="s">
        <v>386</v>
      </c>
      <c r="I184">
        <v>3665</v>
      </c>
      <c r="J184" t="s">
        <v>1443</v>
      </c>
      <c r="K184" t="s">
        <v>1443</v>
      </c>
      <c r="L184" t="s">
        <v>386</v>
      </c>
      <c r="M184" t="s">
        <v>1184</v>
      </c>
      <c r="O184">
        <v>0</v>
      </c>
      <c r="R184" t="s">
        <v>1185</v>
      </c>
      <c r="T184">
        <v>0</v>
      </c>
      <c r="V184" t="s">
        <v>1186</v>
      </c>
      <c r="Z184" t="s">
        <v>865</v>
      </c>
      <c r="AA184" t="s">
        <v>387</v>
      </c>
      <c r="AB184">
        <v>0</v>
      </c>
      <c r="AC184">
        <v>0</v>
      </c>
      <c r="AD184" t="s">
        <v>1187</v>
      </c>
      <c r="AE184">
        <v>0</v>
      </c>
      <c r="AF184" t="s">
        <v>1188</v>
      </c>
    </row>
    <row r="185" spans="1:32" x14ac:dyDescent="0.25">
      <c r="A185">
        <v>1</v>
      </c>
      <c r="C185" s="185"/>
      <c r="E185" t="s">
        <v>386</v>
      </c>
      <c r="I185">
        <v>3704</v>
      </c>
      <c r="J185" t="s">
        <v>1444</v>
      </c>
      <c r="K185" t="s">
        <v>1444</v>
      </c>
      <c r="L185" t="s">
        <v>386</v>
      </c>
      <c r="M185" t="s">
        <v>1184</v>
      </c>
      <c r="O185">
        <v>0</v>
      </c>
      <c r="R185" t="s">
        <v>1185</v>
      </c>
      <c r="T185">
        <v>0</v>
      </c>
      <c r="V185" t="s">
        <v>1186</v>
      </c>
      <c r="Z185" t="s">
        <v>865</v>
      </c>
      <c r="AA185" t="s">
        <v>387</v>
      </c>
      <c r="AB185">
        <v>0</v>
      </c>
      <c r="AC185">
        <v>0</v>
      </c>
      <c r="AD185" t="s">
        <v>1187</v>
      </c>
      <c r="AE185">
        <v>0</v>
      </c>
      <c r="AF185" t="s">
        <v>1188</v>
      </c>
    </row>
    <row r="186" spans="1:32" x14ac:dyDescent="0.25">
      <c r="A186">
        <v>1</v>
      </c>
      <c r="C186" s="185"/>
      <c r="E186" t="s">
        <v>386</v>
      </c>
      <c r="I186">
        <v>3514</v>
      </c>
      <c r="J186" t="s">
        <v>1445</v>
      </c>
      <c r="K186" t="s">
        <v>1445</v>
      </c>
      <c r="L186" t="s">
        <v>386</v>
      </c>
      <c r="M186" t="s">
        <v>1184</v>
      </c>
      <c r="O186">
        <v>0</v>
      </c>
      <c r="R186" t="s">
        <v>1185</v>
      </c>
      <c r="T186">
        <v>0</v>
      </c>
      <c r="V186" t="s">
        <v>1186</v>
      </c>
      <c r="Z186" t="s">
        <v>865</v>
      </c>
      <c r="AA186" t="s">
        <v>387</v>
      </c>
      <c r="AB186">
        <v>0</v>
      </c>
      <c r="AC186">
        <v>0</v>
      </c>
      <c r="AD186" t="s">
        <v>1187</v>
      </c>
      <c r="AE186">
        <v>0</v>
      </c>
      <c r="AF186" t="s">
        <v>1188</v>
      </c>
    </row>
    <row r="187" spans="1:32" x14ac:dyDescent="0.25">
      <c r="A187">
        <v>1</v>
      </c>
      <c r="C187" s="185"/>
      <c r="E187" t="s">
        <v>386</v>
      </c>
      <c r="I187">
        <v>3844</v>
      </c>
      <c r="J187" t="s">
        <v>1446</v>
      </c>
      <c r="K187" t="s">
        <v>1446</v>
      </c>
      <c r="L187" t="s">
        <v>386</v>
      </c>
      <c r="M187" t="s">
        <v>1184</v>
      </c>
      <c r="O187">
        <v>0</v>
      </c>
      <c r="R187" t="s">
        <v>1185</v>
      </c>
      <c r="T187">
        <v>0</v>
      </c>
      <c r="V187" t="s">
        <v>1186</v>
      </c>
      <c r="Z187" t="s">
        <v>865</v>
      </c>
      <c r="AA187" t="s">
        <v>387</v>
      </c>
      <c r="AB187">
        <v>0</v>
      </c>
      <c r="AC187">
        <v>0</v>
      </c>
      <c r="AD187" t="s">
        <v>1187</v>
      </c>
      <c r="AE187">
        <v>0</v>
      </c>
      <c r="AF187" t="s">
        <v>1188</v>
      </c>
    </row>
    <row r="188" spans="1:32" x14ac:dyDescent="0.25">
      <c r="A188">
        <v>1</v>
      </c>
      <c r="C188" s="185"/>
      <c r="E188" t="s">
        <v>386</v>
      </c>
      <c r="I188">
        <v>3843</v>
      </c>
      <c r="J188" t="s">
        <v>1447</v>
      </c>
      <c r="K188" t="s">
        <v>1447</v>
      </c>
      <c r="L188" t="s">
        <v>386</v>
      </c>
      <c r="M188" t="s">
        <v>1184</v>
      </c>
      <c r="O188">
        <v>0</v>
      </c>
      <c r="R188" t="s">
        <v>1185</v>
      </c>
      <c r="T188">
        <v>0</v>
      </c>
      <c r="V188" t="s">
        <v>1186</v>
      </c>
      <c r="Z188" t="s">
        <v>865</v>
      </c>
      <c r="AA188" t="s">
        <v>387</v>
      </c>
      <c r="AB188">
        <v>0</v>
      </c>
      <c r="AC188">
        <v>0</v>
      </c>
      <c r="AD188" t="s">
        <v>1187</v>
      </c>
      <c r="AE188">
        <v>0</v>
      </c>
      <c r="AF188" t="s">
        <v>1188</v>
      </c>
    </row>
    <row r="189" spans="1:32" x14ac:dyDescent="0.25">
      <c r="A189">
        <v>1</v>
      </c>
      <c r="C189" s="185"/>
      <c r="E189" t="s">
        <v>386</v>
      </c>
      <c r="I189">
        <v>4145</v>
      </c>
      <c r="J189" t="s">
        <v>1448</v>
      </c>
      <c r="K189" t="s">
        <v>1448</v>
      </c>
      <c r="L189" t="s">
        <v>386</v>
      </c>
      <c r="M189" t="s">
        <v>1184</v>
      </c>
      <c r="O189">
        <v>0</v>
      </c>
      <c r="R189" t="s">
        <v>1185</v>
      </c>
      <c r="T189">
        <v>0</v>
      </c>
      <c r="V189" t="s">
        <v>1186</v>
      </c>
      <c r="Z189" t="s">
        <v>865</v>
      </c>
      <c r="AA189" t="s">
        <v>387</v>
      </c>
      <c r="AB189">
        <v>0</v>
      </c>
      <c r="AC189">
        <v>0</v>
      </c>
      <c r="AD189" t="s">
        <v>1187</v>
      </c>
      <c r="AE189">
        <v>0</v>
      </c>
      <c r="AF189" t="s">
        <v>1188</v>
      </c>
    </row>
    <row r="190" spans="1:32" x14ac:dyDescent="0.25">
      <c r="A190">
        <v>1</v>
      </c>
      <c r="C190" s="185"/>
      <c r="E190" t="s">
        <v>386</v>
      </c>
      <c r="I190">
        <v>3989</v>
      </c>
      <c r="J190" t="s">
        <v>1449</v>
      </c>
      <c r="K190" t="s">
        <v>1449</v>
      </c>
      <c r="L190" t="s">
        <v>386</v>
      </c>
      <c r="M190" t="s">
        <v>1184</v>
      </c>
      <c r="O190">
        <v>0</v>
      </c>
      <c r="R190" t="s">
        <v>1185</v>
      </c>
      <c r="T190">
        <v>0</v>
      </c>
      <c r="V190" t="s">
        <v>1186</v>
      </c>
      <c r="Z190" t="s">
        <v>865</v>
      </c>
      <c r="AA190" t="s">
        <v>387</v>
      </c>
      <c r="AB190">
        <v>0</v>
      </c>
      <c r="AC190">
        <v>0</v>
      </c>
      <c r="AD190" t="s">
        <v>1187</v>
      </c>
      <c r="AE190">
        <v>0</v>
      </c>
      <c r="AF190" t="s">
        <v>1188</v>
      </c>
    </row>
    <row r="191" spans="1:32" x14ac:dyDescent="0.25">
      <c r="A191">
        <v>1</v>
      </c>
      <c r="C191" s="185"/>
      <c r="E191" t="s">
        <v>386</v>
      </c>
      <c r="I191">
        <v>3496</v>
      </c>
      <c r="J191" t="s">
        <v>1450</v>
      </c>
      <c r="K191" t="s">
        <v>1450</v>
      </c>
      <c r="L191" t="s">
        <v>386</v>
      </c>
      <c r="M191" t="s">
        <v>1184</v>
      </c>
      <c r="O191">
        <v>0</v>
      </c>
      <c r="R191" t="s">
        <v>1185</v>
      </c>
      <c r="T191">
        <v>0</v>
      </c>
      <c r="V191" t="s">
        <v>1186</v>
      </c>
      <c r="Z191" t="s">
        <v>865</v>
      </c>
      <c r="AA191" t="s">
        <v>387</v>
      </c>
      <c r="AB191">
        <v>0</v>
      </c>
      <c r="AC191">
        <v>0</v>
      </c>
      <c r="AD191" t="s">
        <v>1187</v>
      </c>
      <c r="AE191">
        <v>0</v>
      </c>
      <c r="AF191" t="s">
        <v>1188</v>
      </c>
    </row>
    <row r="192" spans="1:32" x14ac:dyDescent="0.25">
      <c r="A192">
        <v>1</v>
      </c>
      <c r="C192" s="185"/>
      <c r="E192" t="s">
        <v>386</v>
      </c>
      <c r="I192">
        <v>3968</v>
      </c>
      <c r="J192" t="s">
        <v>1451</v>
      </c>
      <c r="K192" t="s">
        <v>1451</v>
      </c>
      <c r="L192" t="s">
        <v>386</v>
      </c>
      <c r="M192" t="s">
        <v>1184</v>
      </c>
      <c r="O192">
        <v>0</v>
      </c>
      <c r="R192" t="s">
        <v>1185</v>
      </c>
      <c r="T192">
        <v>0</v>
      </c>
      <c r="V192" t="s">
        <v>1186</v>
      </c>
      <c r="Z192" t="s">
        <v>865</v>
      </c>
      <c r="AA192" t="s">
        <v>387</v>
      </c>
      <c r="AB192">
        <v>0</v>
      </c>
      <c r="AC192">
        <v>0</v>
      </c>
      <c r="AD192" t="s">
        <v>1187</v>
      </c>
      <c r="AE192">
        <v>0</v>
      </c>
      <c r="AF192" t="s">
        <v>1188</v>
      </c>
    </row>
    <row r="193" spans="1:32" x14ac:dyDescent="0.25">
      <c r="A193">
        <v>1</v>
      </c>
      <c r="C193" s="185"/>
      <c r="E193" t="s">
        <v>386</v>
      </c>
      <c r="I193">
        <v>4059</v>
      </c>
      <c r="J193" t="s">
        <v>1452</v>
      </c>
      <c r="K193" t="s">
        <v>1452</v>
      </c>
      <c r="L193" t="s">
        <v>386</v>
      </c>
      <c r="M193" t="s">
        <v>1184</v>
      </c>
      <c r="O193">
        <v>0</v>
      </c>
      <c r="R193" t="s">
        <v>1185</v>
      </c>
      <c r="T193">
        <v>0</v>
      </c>
      <c r="V193" t="s">
        <v>1186</v>
      </c>
      <c r="Z193" t="s">
        <v>865</v>
      </c>
      <c r="AA193" t="s">
        <v>387</v>
      </c>
      <c r="AB193">
        <v>0</v>
      </c>
      <c r="AC193">
        <v>0</v>
      </c>
      <c r="AD193" t="s">
        <v>1187</v>
      </c>
      <c r="AE193">
        <v>0</v>
      </c>
      <c r="AF193" t="s">
        <v>1188</v>
      </c>
    </row>
    <row r="194" spans="1:32" x14ac:dyDescent="0.25">
      <c r="A194">
        <v>1</v>
      </c>
      <c r="C194" s="185"/>
      <c r="E194" t="s">
        <v>386</v>
      </c>
      <c r="I194">
        <v>4046</v>
      </c>
      <c r="J194" t="s">
        <v>1453</v>
      </c>
      <c r="K194" t="s">
        <v>1453</v>
      </c>
      <c r="L194" t="s">
        <v>386</v>
      </c>
      <c r="M194" t="s">
        <v>1184</v>
      </c>
      <c r="O194">
        <v>0</v>
      </c>
      <c r="R194" t="s">
        <v>1185</v>
      </c>
      <c r="T194">
        <v>0</v>
      </c>
      <c r="V194" t="s">
        <v>1186</v>
      </c>
      <c r="Z194" t="s">
        <v>865</v>
      </c>
      <c r="AA194" t="s">
        <v>387</v>
      </c>
      <c r="AB194">
        <v>0</v>
      </c>
      <c r="AC194">
        <v>0</v>
      </c>
      <c r="AD194" t="s">
        <v>1187</v>
      </c>
      <c r="AE194">
        <v>0</v>
      </c>
      <c r="AF194" t="s">
        <v>1188</v>
      </c>
    </row>
    <row r="195" spans="1:32" x14ac:dyDescent="0.25">
      <c r="A195">
        <v>1</v>
      </c>
      <c r="C195" s="185"/>
      <c r="E195" t="s">
        <v>386</v>
      </c>
      <c r="I195">
        <v>3504</v>
      </c>
      <c r="J195" t="s">
        <v>1454</v>
      </c>
      <c r="K195" t="s">
        <v>1454</v>
      </c>
      <c r="L195" t="s">
        <v>386</v>
      </c>
      <c r="M195" t="s">
        <v>1184</v>
      </c>
      <c r="O195">
        <v>0</v>
      </c>
      <c r="R195" t="s">
        <v>1185</v>
      </c>
      <c r="T195">
        <v>0</v>
      </c>
      <c r="V195" t="s">
        <v>1186</v>
      </c>
      <c r="Z195" t="s">
        <v>865</v>
      </c>
      <c r="AA195" t="s">
        <v>387</v>
      </c>
      <c r="AB195">
        <v>0</v>
      </c>
      <c r="AC195">
        <v>0</v>
      </c>
      <c r="AD195" t="s">
        <v>1187</v>
      </c>
      <c r="AE195">
        <v>0</v>
      </c>
      <c r="AF195" t="s">
        <v>1188</v>
      </c>
    </row>
    <row r="196" spans="1:32" x14ac:dyDescent="0.25">
      <c r="A196">
        <v>1</v>
      </c>
      <c r="C196" s="185"/>
      <c r="E196" t="s">
        <v>386</v>
      </c>
      <c r="I196">
        <v>3654</v>
      </c>
      <c r="J196" t="s">
        <v>1455</v>
      </c>
      <c r="K196" t="s">
        <v>1455</v>
      </c>
      <c r="L196" t="s">
        <v>386</v>
      </c>
      <c r="M196" t="s">
        <v>1184</v>
      </c>
      <c r="O196">
        <v>0</v>
      </c>
      <c r="R196" t="s">
        <v>1185</v>
      </c>
      <c r="T196">
        <v>0</v>
      </c>
      <c r="V196" t="s">
        <v>1186</v>
      </c>
      <c r="Z196" t="s">
        <v>865</v>
      </c>
      <c r="AA196" t="s">
        <v>387</v>
      </c>
      <c r="AB196">
        <v>0</v>
      </c>
      <c r="AC196">
        <v>0</v>
      </c>
      <c r="AD196" t="s">
        <v>1187</v>
      </c>
      <c r="AE196">
        <v>0</v>
      </c>
      <c r="AF196" t="s">
        <v>1188</v>
      </c>
    </row>
    <row r="197" spans="1:32" x14ac:dyDescent="0.25">
      <c r="A197">
        <v>1</v>
      </c>
      <c r="C197" s="185"/>
      <c r="E197" t="s">
        <v>386</v>
      </c>
      <c r="I197">
        <v>4120</v>
      </c>
      <c r="J197" t="s">
        <v>1456</v>
      </c>
      <c r="K197" t="s">
        <v>1456</v>
      </c>
      <c r="L197" t="s">
        <v>386</v>
      </c>
      <c r="M197" t="s">
        <v>1184</v>
      </c>
      <c r="O197">
        <v>0</v>
      </c>
      <c r="R197" t="s">
        <v>1185</v>
      </c>
      <c r="T197">
        <v>0</v>
      </c>
      <c r="V197" t="s">
        <v>1186</v>
      </c>
      <c r="Z197" t="s">
        <v>865</v>
      </c>
      <c r="AA197" t="s">
        <v>387</v>
      </c>
      <c r="AB197">
        <v>0</v>
      </c>
      <c r="AC197">
        <v>0</v>
      </c>
      <c r="AD197" t="s">
        <v>1187</v>
      </c>
      <c r="AE197">
        <v>0</v>
      </c>
      <c r="AF197" t="s">
        <v>1188</v>
      </c>
    </row>
    <row r="198" spans="1:32" x14ac:dyDescent="0.25">
      <c r="A198">
        <v>1</v>
      </c>
      <c r="C198" s="185"/>
      <c r="E198" t="s">
        <v>386</v>
      </c>
      <c r="I198">
        <v>4114</v>
      </c>
      <c r="J198" t="s">
        <v>1457</v>
      </c>
      <c r="K198" t="s">
        <v>1457</v>
      </c>
      <c r="L198" t="s">
        <v>386</v>
      </c>
      <c r="M198" t="s">
        <v>1184</v>
      </c>
      <c r="O198">
        <v>0</v>
      </c>
      <c r="R198" t="s">
        <v>1185</v>
      </c>
      <c r="T198">
        <v>0</v>
      </c>
      <c r="V198" t="s">
        <v>1186</v>
      </c>
      <c r="Z198" t="s">
        <v>865</v>
      </c>
      <c r="AA198" t="s">
        <v>387</v>
      </c>
      <c r="AB198">
        <v>0</v>
      </c>
      <c r="AC198">
        <v>0</v>
      </c>
      <c r="AD198" t="s">
        <v>1187</v>
      </c>
      <c r="AE198">
        <v>0</v>
      </c>
      <c r="AF198" t="s">
        <v>1188</v>
      </c>
    </row>
    <row r="199" spans="1:32" x14ac:dyDescent="0.25">
      <c r="A199">
        <v>1</v>
      </c>
      <c r="C199" s="185"/>
      <c r="E199" t="s">
        <v>386</v>
      </c>
      <c r="I199">
        <v>3571</v>
      </c>
      <c r="J199" t="s">
        <v>1458</v>
      </c>
      <c r="K199" t="s">
        <v>1458</v>
      </c>
      <c r="L199" t="s">
        <v>386</v>
      </c>
      <c r="M199" t="s">
        <v>1184</v>
      </c>
      <c r="O199">
        <v>0</v>
      </c>
      <c r="R199" t="s">
        <v>1185</v>
      </c>
      <c r="T199">
        <v>0</v>
      </c>
      <c r="V199" t="s">
        <v>1186</v>
      </c>
      <c r="Z199" t="s">
        <v>865</v>
      </c>
      <c r="AA199" t="s">
        <v>387</v>
      </c>
      <c r="AB199">
        <v>0</v>
      </c>
      <c r="AC199">
        <v>0</v>
      </c>
      <c r="AD199" t="s">
        <v>1187</v>
      </c>
      <c r="AE199">
        <v>0</v>
      </c>
      <c r="AF199" t="s">
        <v>1188</v>
      </c>
    </row>
    <row r="200" spans="1:32" x14ac:dyDescent="0.25">
      <c r="A200">
        <v>1</v>
      </c>
      <c r="C200" s="185"/>
      <c r="E200" t="s">
        <v>386</v>
      </c>
      <c r="I200">
        <v>3986</v>
      </c>
      <c r="J200" t="s">
        <v>1459</v>
      </c>
      <c r="K200" t="s">
        <v>1459</v>
      </c>
      <c r="L200" t="s">
        <v>386</v>
      </c>
      <c r="M200" t="s">
        <v>1184</v>
      </c>
      <c r="O200">
        <v>0</v>
      </c>
      <c r="R200" t="s">
        <v>1185</v>
      </c>
      <c r="T200">
        <v>0</v>
      </c>
      <c r="V200" t="s">
        <v>1186</v>
      </c>
      <c r="Z200" t="s">
        <v>865</v>
      </c>
      <c r="AA200" t="s">
        <v>387</v>
      </c>
      <c r="AB200">
        <v>0</v>
      </c>
      <c r="AC200">
        <v>0</v>
      </c>
      <c r="AD200" t="s">
        <v>1187</v>
      </c>
      <c r="AE200">
        <v>0</v>
      </c>
      <c r="AF200" t="s">
        <v>1188</v>
      </c>
    </row>
    <row r="201" spans="1:32" x14ac:dyDescent="0.25">
      <c r="A201">
        <v>1</v>
      </c>
      <c r="C201" s="185"/>
      <c r="E201" t="s">
        <v>386</v>
      </c>
      <c r="I201">
        <v>4130</v>
      </c>
      <c r="J201" t="s">
        <v>1460</v>
      </c>
      <c r="K201" t="s">
        <v>1460</v>
      </c>
      <c r="L201" t="s">
        <v>386</v>
      </c>
      <c r="M201" t="s">
        <v>1184</v>
      </c>
      <c r="O201">
        <v>0</v>
      </c>
      <c r="R201" t="s">
        <v>1185</v>
      </c>
      <c r="T201">
        <v>0</v>
      </c>
      <c r="V201" t="s">
        <v>1186</v>
      </c>
      <c r="Z201" t="s">
        <v>865</v>
      </c>
      <c r="AA201" t="s">
        <v>387</v>
      </c>
      <c r="AB201">
        <v>0</v>
      </c>
      <c r="AC201">
        <v>0</v>
      </c>
      <c r="AD201" t="s">
        <v>1187</v>
      </c>
      <c r="AE201">
        <v>0</v>
      </c>
      <c r="AF201" t="s">
        <v>1188</v>
      </c>
    </row>
    <row r="202" spans="1:32" x14ac:dyDescent="0.25">
      <c r="A202">
        <v>1</v>
      </c>
      <c r="C202" s="185"/>
      <c r="E202" t="s">
        <v>386</v>
      </c>
      <c r="I202">
        <v>3983</v>
      </c>
      <c r="J202" t="s">
        <v>1461</v>
      </c>
      <c r="K202" t="s">
        <v>1461</v>
      </c>
      <c r="L202" t="s">
        <v>386</v>
      </c>
      <c r="M202" t="s">
        <v>1184</v>
      </c>
      <c r="O202">
        <v>0</v>
      </c>
      <c r="R202" t="s">
        <v>1185</v>
      </c>
      <c r="T202">
        <v>0</v>
      </c>
      <c r="V202" t="s">
        <v>1186</v>
      </c>
      <c r="Z202" t="s">
        <v>865</v>
      </c>
      <c r="AA202" t="s">
        <v>387</v>
      </c>
      <c r="AB202">
        <v>0</v>
      </c>
      <c r="AC202">
        <v>0</v>
      </c>
      <c r="AD202" t="s">
        <v>1187</v>
      </c>
      <c r="AE202">
        <v>0</v>
      </c>
      <c r="AF202" t="s">
        <v>1188</v>
      </c>
    </row>
    <row r="203" spans="1:32" x14ac:dyDescent="0.25">
      <c r="A203">
        <v>1</v>
      </c>
      <c r="C203" s="185"/>
      <c r="E203" t="s">
        <v>386</v>
      </c>
      <c r="I203">
        <v>4150</v>
      </c>
      <c r="J203" t="s">
        <v>1462</v>
      </c>
      <c r="K203" t="s">
        <v>1462</v>
      </c>
      <c r="L203" t="s">
        <v>386</v>
      </c>
      <c r="M203" t="s">
        <v>1184</v>
      </c>
      <c r="O203">
        <v>0</v>
      </c>
      <c r="R203" t="s">
        <v>1185</v>
      </c>
      <c r="T203">
        <v>0</v>
      </c>
      <c r="V203" t="s">
        <v>1186</v>
      </c>
      <c r="Z203" t="s">
        <v>865</v>
      </c>
      <c r="AA203" t="s">
        <v>387</v>
      </c>
      <c r="AB203">
        <v>0</v>
      </c>
      <c r="AC203">
        <v>0</v>
      </c>
      <c r="AD203" t="s">
        <v>1187</v>
      </c>
      <c r="AE203">
        <v>0</v>
      </c>
      <c r="AF203" t="s">
        <v>1188</v>
      </c>
    </row>
    <row r="204" spans="1:32" x14ac:dyDescent="0.25">
      <c r="A204">
        <v>1</v>
      </c>
      <c r="C204" s="185"/>
      <c r="E204" t="s">
        <v>386</v>
      </c>
      <c r="I204">
        <v>3790</v>
      </c>
      <c r="J204" t="s">
        <v>1463</v>
      </c>
      <c r="K204" t="s">
        <v>1463</v>
      </c>
      <c r="L204" t="s">
        <v>386</v>
      </c>
      <c r="M204" t="s">
        <v>1184</v>
      </c>
      <c r="O204">
        <v>0</v>
      </c>
      <c r="R204" t="s">
        <v>1185</v>
      </c>
      <c r="T204">
        <v>0</v>
      </c>
      <c r="V204" t="s">
        <v>1186</v>
      </c>
      <c r="Z204" t="s">
        <v>865</v>
      </c>
      <c r="AA204" t="s">
        <v>387</v>
      </c>
      <c r="AB204">
        <v>0</v>
      </c>
      <c r="AC204">
        <v>0</v>
      </c>
      <c r="AD204" t="s">
        <v>1187</v>
      </c>
      <c r="AE204">
        <v>0</v>
      </c>
      <c r="AF204" t="s">
        <v>1188</v>
      </c>
    </row>
    <row r="205" spans="1:32" x14ac:dyDescent="0.25">
      <c r="A205">
        <v>1</v>
      </c>
      <c r="C205" s="185"/>
      <c r="E205" t="s">
        <v>386</v>
      </c>
      <c r="I205">
        <v>3553</v>
      </c>
      <c r="J205" t="s">
        <v>1464</v>
      </c>
      <c r="K205" t="s">
        <v>1464</v>
      </c>
      <c r="L205" t="s">
        <v>386</v>
      </c>
      <c r="M205" t="s">
        <v>1184</v>
      </c>
      <c r="O205">
        <v>0</v>
      </c>
      <c r="R205" t="s">
        <v>1185</v>
      </c>
      <c r="T205">
        <v>0</v>
      </c>
      <c r="V205" t="s">
        <v>1186</v>
      </c>
      <c r="Z205" t="s">
        <v>865</v>
      </c>
      <c r="AA205" t="s">
        <v>387</v>
      </c>
      <c r="AB205">
        <v>0</v>
      </c>
      <c r="AC205">
        <v>0</v>
      </c>
      <c r="AD205" t="s">
        <v>1187</v>
      </c>
      <c r="AE205">
        <v>0</v>
      </c>
      <c r="AF205" t="s">
        <v>1188</v>
      </c>
    </row>
    <row r="206" spans="1:32" x14ac:dyDescent="0.25">
      <c r="A206">
        <v>1</v>
      </c>
      <c r="C206" s="185"/>
      <c r="E206" t="s">
        <v>386</v>
      </c>
      <c r="I206">
        <v>3545</v>
      </c>
      <c r="J206" t="s">
        <v>1465</v>
      </c>
      <c r="K206" t="s">
        <v>1465</v>
      </c>
      <c r="L206" t="s">
        <v>386</v>
      </c>
      <c r="M206" t="s">
        <v>1184</v>
      </c>
      <c r="O206">
        <v>0</v>
      </c>
      <c r="R206" t="s">
        <v>1185</v>
      </c>
      <c r="T206">
        <v>0</v>
      </c>
      <c r="V206" t="s">
        <v>1186</v>
      </c>
      <c r="Z206" t="s">
        <v>865</v>
      </c>
      <c r="AA206" t="s">
        <v>387</v>
      </c>
      <c r="AB206">
        <v>0</v>
      </c>
      <c r="AC206">
        <v>0</v>
      </c>
      <c r="AD206" t="s">
        <v>1187</v>
      </c>
      <c r="AE206">
        <v>0</v>
      </c>
      <c r="AF206" t="s">
        <v>1188</v>
      </c>
    </row>
    <row r="207" spans="1:32" x14ac:dyDescent="0.25">
      <c r="A207">
        <v>1</v>
      </c>
      <c r="C207" s="185"/>
      <c r="E207" t="s">
        <v>386</v>
      </c>
      <c r="I207">
        <v>4106</v>
      </c>
      <c r="J207" t="s">
        <v>1466</v>
      </c>
      <c r="K207" t="s">
        <v>1466</v>
      </c>
      <c r="L207" t="s">
        <v>386</v>
      </c>
      <c r="M207" t="s">
        <v>1184</v>
      </c>
      <c r="O207">
        <v>0</v>
      </c>
      <c r="R207" t="s">
        <v>1185</v>
      </c>
      <c r="T207">
        <v>0</v>
      </c>
      <c r="V207" t="s">
        <v>1186</v>
      </c>
      <c r="Z207" t="s">
        <v>865</v>
      </c>
      <c r="AA207" t="s">
        <v>387</v>
      </c>
      <c r="AB207">
        <v>0</v>
      </c>
      <c r="AC207">
        <v>0</v>
      </c>
      <c r="AD207" t="s">
        <v>1187</v>
      </c>
      <c r="AE207">
        <v>0</v>
      </c>
      <c r="AF207" t="s">
        <v>1188</v>
      </c>
    </row>
    <row r="208" spans="1:32" x14ac:dyDescent="0.25">
      <c r="A208">
        <v>1</v>
      </c>
      <c r="C208" s="185"/>
      <c r="E208" t="s">
        <v>386</v>
      </c>
      <c r="I208">
        <v>4109</v>
      </c>
      <c r="J208" t="s">
        <v>1467</v>
      </c>
      <c r="K208" t="s">
        <v>1467</v>
      </c>
      <c r="L208" t="s">
        <v>386</v>
      </c>
      <c r="M208" t="s">
        <v>1184</v>
      </c>
      <c r="O208">
        <v>0</v>
      </c>
      <c r="R208" t="s">
        <v>1185</v>
      </c>
      <c r="T208">
        <v>0</v>
      </c>
      <c r="V208" t="s">
        <v>1186</v>
      </c>
      <c r="Z208" t="s">
        <v>865</v>
      </c>
      <c r="AA208" t="s">
        <v>387</v>
      </c>
      <c r="AB208">
        <v>0</v>
      </c>
      <c r="AC208">
        <v>0</v>
      </c>
      <c r="AD208" t="s">
        <v>1187</v>
      </c>
      <c r="AE208">
        <v>0</v>
      </c>
      <c r="AF208" t="s">
        <v>1188</v>
      </c>
    </row>
    <row r="209" spans="1:32" x14ac:dyDescent="0.25">
      <c r="A209">
        <v>1</v>
      </c>
      <c r="C209" s="185"/>
      <c r="E209" t="s">
        <v>386</v>
      </c>
      <c r="I209">
        <v>3865</v>
      </c>
      <c r="J209" t="s">
        <v>1468</v>
      </c>
      <c r="K209" t="s">
        <v>1468</v>
      </c>
      <c r="L209" t="s">
        <v>386</v>
      </c>
      <c r="M209" t="s">
        <v>1184</v>
      </c>
      <c r="O209">
        <v>0</v>
      </c>
      <c r="R209" t="s">
        <v>1185</v>
      </c>
      <c r="T209">
        <v>0</v>
      </c>
      <c r="V209" t="s">
        <v>1186</v>
      </c>
      <c r="Z209" t="s">
        <v>865</v>
      </c>
      <c r="AA209" t="s">
        <v>387</v>
      </c>
      <c r="AB209">
        <v>0</v>
      </c>
      <c r="AC209">
        <v>0</v>
      </c>
      <c r="AD209" t="s">
        <v>1187</v>
      </c>
      <c r="AE209">
        <v>0</v>
      </c>
      <c r="AF209" t="s">
        <v>1188</v>
      </c>
    </row>
    <row r="210" spans="1:32" x14ac:dyDescent="0.25">
      <c r="A210">
        <v>1</v>
      </c>
      <c r="C210" s="185"/>
      <c r="E210" t="s">
        <v>386</v>
      </c>
      <c r="I210">
        <v>4153</v>
      </c>
      <c r="J210" t="s">
        <v>1469</v>
      </c>
      <c r="K210" t="s">
        <v>1469</v>
      </c>
      <c r="L210" t="s">
        <v>386</v>
      </c>
      <c r="M210" t="s">
        <v>1184</v>
      </c>
      <c r="O210">
        <v>0</v>
      </c>
      <c r="R210" t="s">
        <v>1185</v>
      </c>
      <c r="T210">
        <v>0</v>
      </c>
      <c r="V210" t="s">
        <v>1186</v>
      </c>
      <c r="Z210" t="s">
        <v>865</v>
      </c>
      <c r="AA210" t="s">
        <v>387</v>
      </c>
      <c r="AB210">
        <v>0</v>
      </c>
      <c r="AC210">
        <v>0</v>
      </c>
      <c r="AD210" t="s">
        <v>1187</v>
      </c>
      <c r="AE210">
        <v>0</v>
      </c>
      <c r="AF210" t="s">
        <v>1188</v>
      </c>
    </row>
    <row r="211" spans="1:32" x14ac:dyDescent="0.25">
      <c r="A211">
        <v>1</v>
      </c>
      <c r="C211" s="185"/>
      <c r="E211" t="s">
        <v>386</v>
      </c>
      <c r="I211">
        <v>3872</v>
      </c>
      <c r="J211" t="s">
        <v>1470</v>
      </c>
      <c r="K211" t="s">
        <v>1470</v>
      </c>
      <c r="L211" t="s">
        <v>386</v>
      </c>
      <c r="M211" t="s">
        <v>1184</v>
      </c>
      <c r="O211">
        <v>0</v>
      </c>
      <c r="R211" t="s">
        <v>1185</v>
      </c>
      <c r="T211">
        <v>0</v>
      </c>
      <c r="V211" t="s">
        <v>1186</v>
      </c>
      <c r="Z211" t="s">
        <v>865</v>
      </c>
      <c r="AA211" t="s">
        <v>387</v>
      </c>
      <c r="AB211">
        <v>0</v>
      </c>
      <c r="AC211">
        <v>0</v>
      </c>
      <c r="AD211" t="s">
        <v>1187</v>
      </c>
      <c r="AE211">
        <v>0</v>
      </c>
      <c r="AF211" t="s">
        <v>1188</v>
      </c>
    </row>
    <row r="212" spans="1:32" x14ac:dyDescent="0.25">
      <c r="A212">
        <v>1</v>
      </c>
      <c r="C212" s="185"/>
      <c r="E212" t="s">
        <v>386</v>
      </c>
      <c r="I212">
        <v>3926</v>
      </c>
      <c r="J212" t="s">
        <v>1471</v>
      </c>
      <c r="K212" t="s">
        <v>1471</v>
      </c>
      <c r="L212" t="s">
        <v>386</v>
      </c>
      <c r="M212" t="s">
        <v>1184</v>
      </c>
      <c r="O212">
        <v>0</v>
      </c>
      <c r="R212" t="s">
        <v>1185</v>
      </c>
      <c r="T212">
        <v>0</v>
      </c>
      <c r="V212" t="s">
        <v>1186</v>
      </c>
      <c r="Z212" t="s">
        <v>865</v>
      </c>
      <c r="AA212" t="s">
        <v>387</v>
      </c>
      <c r="AB212">
        <v>0</v>
      </c>
      <c r="AC212">
        <v>0</v>
      </c>
      <c r="AD212" t="s">
        <v>1187</v>
      </c>
      <c r="AE212">
        <v>0</v>
      </c>
      <c r="AF212" t="s">
        <v>1188</v>
      </c>
    </row>
    <row r="213" spans="1:32" x14ac:dyDescent="0.25">
      <c r="A213">
        <v>1</v>
      </c>
      <c r="C213" s="185"/>
      <c r="E213" t="s">
        <v>386</v>
      </c>
      <c r="I213">
        <v>3831</v>
      </c>
      <c r="J213" t="s">
        <v>1472</v>
      </c>
      <c r="K213" t="s">
        <v>1472</v>
      </c>
      <c r="L213" t="s">
        <v>386</v>
      </c>
      <c r="M213" t="s">
        <v>1184</v>
      </c>
      <c r="O213">
        <v>0</v>
      </c>
      <c r="R213" t="s">
        <v>1185</v>
      </c>
      <c r="T213">
        <v>0</v>
      </c>
      <c r="V213" t="s">
        <v>1186</v>
      </c>
      <c r="Z213" t="s">
        <v>865</v>
      </c>
      <c r="AA213" t="s">
        <v>387</v>
      </c>
      <c r="AB213">
        <v>0</v>
      </c>
      <c r="AC213">
        <v>0</v>
      </c>
      <c r="AD213" t="s">
        <v>1187</v>
      </c>
      <c r="AE213">
        <v>0</v>
      </c>
      <c r="AF213" t="s">
        <v>1188</v>
      </c>
    </row>
    <row r="214" spans="1:32" x14ac:dyDescent="0.25">
      <c r="A214">
        <v>1</v>
      </c>
      <c r="C214" s="185"/>
      <c r="E214" t="s">
        <v>386</v>
      </c>
      <c r="I214">
        <v>3646</v>
      </c>
      <c r="J214" t="s">
        <v>1473</v>
      </c>
      <c r="K214" t="s">
        <v>1473</v>
      </c>
      <c r="L214" t="s">
        <v>386</v>
      </c>
      <c r="M214" t="s">
        <v>1184</v>
      </c>
      <c r="O214">
        <v>0</v>
      </c>
      <c r="R214" t="s">
        <v>1185</v>
      </c>
      <c r="T214">
        <v>0</v>
      </c>
      <c r="V214" t="s">
        <v>1186</v>
      </c>
      <c r="Z214" t="s">
        <v>865</v>
      </c>
      <c r="AA214" t="s">
        <v>387</v>
      </c>
      <c r="AB214">
        <v>0</v>
      </c>
      <c r="AC214">
        <v>0</v>
      </c>
      <c r="AD214" t="s">
        <v>1187</v>
      </c>
      <c r="AE214">
        <v>0</v>
      </c>
      <c r="AF214" t="s">
        <v>1188</v>
      </c>
    </row>
    <row r="215" spans="1:32" x14ac:dyDescent="0.25">
      <c r="A215">
        <v>1</v>
      </c>
      <c r="C215" s="185"/>
      <c r="E215" t="s">
        <v>386</v>
      </c>
      <c r="I215">
        <v>3481</v>
      </c>
      <c r="J215" t="s">
        <v>1474</v>
      </c>
      <c r="K215" t="s">
        <v>1474</v>
      </c>
      <c r="L215" t="s">
        <v>386</v>
      </c>
      <c r="M215" t="s">
        <v>1184</v>
      </c>
      <c r="O215">
        <v>0</v>
      </c>
      <c r="R215" t="s">
        <v>1185</v>
      </c>
      <c r="T215">
        <v>0</v>
      </c>
      <c r="V215" t="s">
        <v>1186</v>
      </c>
      <c r="Z215" t="s">
        <v>865</v>
      </c>
      <c r="AA215" t="s">
        <v>387</v>
      </c>
      <c r="AB215">
        <v>0</v>
      </c>
      <c r="AC215">
        <v>0</v>
      </c>
      <c r="AD215" t="s">
        <v>1187</v>
      </c>
      <c r="AE215">
        <v>0</v>
      </c>
      <c r="AF215" t="s">
        <v>1188</v>
      </c>
    </row>
    <row r="216" spans="1:32" x14ac:dyDescent="0.25">
      <c r="A216">
        <v>1</v>
      </c>
      <c r="C216" s="185"/>
      <c r="E216" t="s">
        <v>386</v>
      </c>
      <c r="I216">
        <v>3614</v>
      </c>
      <c r="J216" t="s">
        <v>1475</v>
      </c>
      <c r="K216" t="s">
        <v>1475</v>
      </c>
      <c r="L216" t="s">
        <v>386</v>
      </c>
      <c r="M216" t="s">
        <v>1184</v>
      </c>
      <c r="O216">
        <v>0</v>
      </c>
      <c r="R216" t="s">
        <v>1185</v>
      </c>
      <c r="T216">
        <v>0</v>
      </c>
      <c r="V216" t="s">
        <v>1186</v>
      </c>
      <c r="Z216" t="s">
        <v>865</v>
      </c>
      <c r="AA216" t="s">
        <v>387</v>
      </c>
      <c r="AB216">
        <v>0</v>
      </c>
      <c r="AC216">
        <v>0</v>
      </c>
      <c r="AD216" t="s">
        <v>1187</v>
      </c>
      <c r="AE216">
        <v>0</v>
      </c>
      <c r="AF216" t="s">
        <v>1188</v>
      </c>
    </row>
    <row r="217" spans="1:32" x14ac:dyDescent="0.25">
      <c r="A217">
        <v>1</v>
      </c>
      <c r="C217" s="185"/>
      <c r="E217" t="s">
        <v>386</v>
      </c>
      <c r="I217">
        <v>3909</v>
      </c>
      <c r="J217" t="s">
        <v>1476</v>
      </c>
      <c r="K217" t="s">
        <v>1476</v>
      </c>
      <c r="L217" t="s">
        <v>386</v>
      </c>
      <c r="M217" t="s">
        <v>1184</v>
      </c>
      <c r="O217">
        <v>0</v>
      </c>
      <c r="R217" t="s">
        <v>1185</v>
      </c>
      <c r="T217">
        <v>0</v>
      </c>
      <c r="V217" t="s">
        <v>1186</v>
      </c>
      <c r="Z217" t="s">
        <v>865</v>
      </c>
      <c r="AA217" t="s">
        <v>387</v>
      </c>
      <c r="AB217">
        <v>0</v>
      </c>
      <c r="AC217">
        <v>0</v>
      </c>
      <c r="AD217" t="s">
        <v>1187</v>
      </c>
      <c r="AE217">
        <v>0</v>
      </c>
      <c r="AF217" t="s">
        <v>1188</v>
      </c>
    </row>
    <row r="218" spans="1:32" x14ac:dyDescent="0.25">
      <c r="A218">
        <v>1</v>
      </c>
      <c r="C218" s="185"/>
      <c r="E218" t="s">
        <v>386</v>
      </c>
      <c r="I218">
        <v>3896</v>
      </c>
      <c r="J218" t="s">
        <v>1477</v>
      </c>
      <c r="K218" t="s">
        <v>1477</v>
      </c>
      <c r="L218" t="s">
        <v>386</v>
      </c>
      <c r="M218" t="s">
        <v>1184</v>
      </c>
      <c r="O218">
        <v>0</v>
      </c>
      <c r="R218" t="s">
        <v>1185</v>
      </c>
      <c r="T218">
        <v>0</v>
      </c>
      <c r="V218" t="s">
        <v>1186</v>
      </c>
      <c r="Z218" t="s">
        <v>865</v>
      </c>
      <c r="AA218" t="s">
        <v>387</v>
      </c>
      <c r="AB218">
        <v>0</v>
      </c>
      <c r="AC218">
        <v>0</v>
      </c>
      <c r="AD218" t="s">
        <v>1187</v>
      </c>
      <c r="AE218">
        <v>0</v>
      </c>
      <c r="AF218" t="s">
        <v>1188</v>
      </c>
    </row>
    <row r="219" spans="1:32" x14ac:dyDescent="0.25">
      <c r="A219">
        <v>1</v>
      </c>
      <c r="C219" s="185"/>
      <c r="E219" t="s">
        <v>386</v>
      </c>
      <c r="I219">
        <v>3750</v>
      </c>
      <c r="J219" t="s">
        <v>1478</v>
      </c>
      <c r="K219" t="s">
        <v>1478</v>
      </c>
      <c r="L219" t="s">
        <v>386</v>
      </c>
      <c r="M219" t="s">
        <v>1184</v>
      </c>
      <c r="O219">
        <v>0</v>
      </c>
      <c r="R219" t="s">
        <v>1185</v>
      </c>
      <c r="T219">
        <v>0</v>
      </c>
      <c r="V219" t="s">
        <v>1186</v>
      </c>
      <c r="Z219" t="s">
        <v>865</v>
      </c>
      <c r="AA219" t="s">
        <v>387</v>
      </c>
      <c r="AB219">
        <v>0</v>
      </c>
      <c r="AC219">
        <v>0</v>
      </c>
      <c r="AD219" t="s">
        <v>1187</v>
      </c>
      <c r="AE219">
        <v>0</v>
      </c>
      <c r="AF219" t="s">
        <v>1188</v>
      </c>
    </row>
    <row r="220" spans="1:32" x14ac:dyDescent="0.25">
      <c r="A220">
        <v>1</v>
      </c>
      <c r="C220" s="185"/>
      <c r="E220" t="s">
        <v>386</v>
      </c>
      <c r="I220">
        <v>3882</v>
      </c>
      <c r="J220" t="s">
        <v>1479</v>
      </c>
      <c r="K220" t="s">
        <v>1479</v>
      </c>
      <c r="L220" t="s">
        <v>386</v>
      </c>
      <c r="M220" t="s">
        <v>1184</v>
      </c>
      <c r="O220">
        <v>0</v>
      </c>
      <c r="R220" t="s">
        <v>1185</v>
      </c>
      <c r="T220">
        <v>0</v>
      </c>
      <c r="V220" t="s">
        <v>1186</v>
      </c>
      <c r="Z220" t="s">
        <v>865</v>
      </c>
      <c r="AA220" t="s">
        <v>387</v>
      </c>
      <c r="AB220">
        <v>0</v>
      </c>
      <c r="AC220">
        <v>0</v>
      </c>
      <c r="AD220" t="s">
        <v>1187</v>
      </c>
      <c r="AE220">
        <v>0</v>
      </c>
      <c r="AF220" t="s">
        <v>1188</v>
      </c>
    </row>
    <row r="221" spans="1:32" x14ac:dyDescent="0.25">
      <c r="A221">
        <v>1</v>
      </c>
      <c r="C221" s="185"/>
      <c r="E221" t="s">
        <v>386</v>
      </c>
      <c r="I221">
        <v>4051</v>
      </c>
      <c r="J221" t="s">
        <v>1480</v>
      </c>
      <c r="K221" t="s">
        <v>1480</v>
      </c>
      <c r="L221" t="s">
        <v>386</v>
      </c>
      <c r="M221" t="s">
        <v>1184</v>
      </c>
      <c r="O221">
        <v>0</v>
      </c>
      <c r="R221" t="s">
        <v>1185</v>
      </c>
      <c r="T221">
        <v>0</v>
      </c>
      <c r="V221" t="s">
        <v>1186</v>
      </c>
      <c r="Z221" t="s">
        <v>865</v>
      </c>
      <c r="AA221" t="s">
        <v>387</v>
      </c>
      <c r="AB221">
        <v>0</v>
      </c>
      <c r="AC221">
        <v>0</v>
      </c>
      <c r="AD221" t="s">
        <v>1187</v>
      </c>
      <c r="AE221">
        <v>0</v>
      </c>
      <c r="AF221" t="s">
        <v>1188</v>
      </c>
    </row>
    <row r="222" spans="1:32" x14ac:dyDescent="0.25">
      <c r="A222">
        <v>1</v>
      </c>
      <c r="C222" s="185"/>
      <c r="E222" t="s">
        <v>386</v>
      </c>
      <c r="I222">
        <v>4007</v>
      </c>
      <c r="J222" t="s">
        <v>1481</v>
      </c>
      <c r="K222" t="s">
        <v>1481</v>
      </c>
      <c r="L222" t="s">
        <v>386</v>
      </c>
      <c r="M222" t="s">
        <v>1184</v>
      </c>
      <c r="O222">
        <v>0</v>
      </c>
      <c r="R222" t="s">
        <v>1185</v>
      </c>
      <c r="T222">
        <v>0</v>
      </c>
      <c r="V222" t="s">
        <v>1186</v>
      </c>
      <c r="Z222" t="s">
        <v>865</v>
      </c>
      <c r="AA222" t="s">
        <v>387</v>
      </c>
      <c r="AB222">
        <v>0</v>
      </c>
      <c r="AC222">
        <v>0</v>
      </c>
      <c r="AD222" t="s">
        <v>1187</v>
      </c>
      <c r="AE222">
        <v>0</v>
      </c>
      <c r="AF222" t="s">
        <v>1188</v>
      </c>
    </row>
    <row r="223" spans="1:32" x14ac:dyDescent="0.25">
      <c r="A223">
        <v>1</v>
      </c>
      <c r="C223" s="185"/>
      <c r="E223" t="s">
        <v>386</v>
      </c>
      <c r="I223">
        <v>3763</v>
      </c>
      <c r="J223" t="s">
        <v>1482</v>
      </c>
      <c r="K223" t="s">
        <v>1482</v>
      </c>
      <c r="L223" t="s">
        <v>386</v>
      </c>
      <c r="M223" t="s">
        <v>1184</v>
      </c>
      <c r="O223">
        <v>0</v>
      </c>
      <c r="R223" t="s">
        <v>1185</v>
      </c>
      <c r="T223">
        <v>0</v>
      </c>
      <c r="V223" t="s">
        <v>1186</v>
      </c>
      <c r="Z223" t="s">
        <v>865</v>
      </c>
      <c r="AA223" t="s">
        <v>387</v>
      </c>
      <c r="AB223">
        <v>0</v>
      </c>
      <c r="AC223">
        <v>0</v>
      </c>
      <c r="AD223" t="s">
        <v>1187</v>
      </c>
      <c r="AE223">
        <v>0</v>
      </c>
      <c r="AF223" t="s">
        <v>1188</v>
      </c>
    </row>
    <row r="224" spans="1:32" x14ac:dyDescent="0.25">
      <c r="A224">
        <v>1</v>
      </c>
      <c r="C224" s="185"/>
      <c r="E224" t="s">
        <v>386</v>
      </c>
      <c r="I224">
        <v>3525</v>
      </c>
      <c r="J224" t="s">
        <v>1483</v>
      </c>
      <c r="K224" t="s">
        <v>1483</v>
      </c>
      <c r="L224" t="s">
        <v>386</v>
      </c>
      <c r="M224" t="s">
        <v>1184</v>
      </c>
      <c r="O224">
        <v>0</v>
      </c>
      <c r="R224" t="s">
        <v>1185</v>
      </c>
      <c r="T224">
        <v>0</v>
      </c>
      <c r="V224" t="s">
        <v>1186</v>
      </c>
      <c r="Z224" t="s">
        <v>865</v>
      </c>
      <c r="AA224" t="s">
        <v>387</v>
      </c>
      <c r="AB224">
        <v>0</v>
      </c>
      <c r="AC224">
        <v>0</v>
      </c>
      <c r="AD224" t="s">
        <v>1187</v>
      </c>
      <c r="AE224">
        <v>0</v>
      </c>
      <c r="AF224" t="s">
        <v>1188</v>
      </c>
    </row>
    <row r="225" spans="1:32" x14ac:dyDescent="0.25">
      <c r="A225">
        <v>1</v>
      </c>
      <c r="C225" s="185"/>
      <c r="E225" t="s">
        <v>386</v>
      </c>
      <c r="I225">
        <v>3781</v>
      </c>
      <c r="J225" t="s">
        <v>1484</v>
      </c>
      <c r="K225" t="s">
        <v>1484</v>
      </c>
      <c r="L225" t="s">
        <v>386</v>
      </c>
      <c r="M225" t="s">
        <v>1184</v>
      </c>
      <c r="O225">
        <v>0</v>
      </c>
      <c r="R225" t="s">
        <v>1185</v>
      </c>
      <c r="T225">
        <v>0</v>
      </c>
      <c r="V225" t="s">
        <v>1186</v>
      </c>
      <c r="Z225" t="s">
        <v>865</v>
      </c>
      <c r="AA225" t="s">
        <v>387</v>
      </c>
      <c r="AB225">
        <v>0</v>
      </c>
      <c r="AC225">
        <v>0</v>
      </c>
      <c r="AD225" t="s">
        <v>1187</v>
      </c>
      <c r="AE225">
        <v>0</v>
      </c>
      <c r="AF225" t="s">
        <v>1188</v>
      </c>
    </row>
    <row r="226" spans="1:32" x14ac:dyDescent="0.25">
      <c r="A226">
        <v>1</v>
      </c>
      <c r="C226" s="185"/>
      <c r="E226" t="s">
        <v>386</v>
      </c>
      <c r="I226">
        <v>3895</v>
      </c>
      <c r="J226" t="s">
        <v>1485</v>
      </c>
      <c r="K226" t="s">
        <v>1485</v>
      </c>
      <c r="L226" t="s">
        <v>386</v>
      </c>
      <c r="M226" t="s">
        <v>1184</v>
      </c>
      <c r="O226">
        <v>0</v>
      </c>
      <c r="R226" t="s">
        <v>1185</v>
      </c>
      <c r="T226">
        <v>0</v>
      </c>
      <c r="V226" t="s">
        <v>1186</v>
      </c>
      <c r="Z226" t="s">
        <v>865</v>
      </c>
      <c r="AA226" t="s">
        <v>387</v>
      </c>
      <c r="AB226">
        <v>0</v>
      </c>
      <c r="AC226">
        <v>0</v>
      </c>
      <c r="AD226" t="s">
        <v>1187</v>
      </c>
      <c r="AE226">
        <v>0</v>
      </c>
      <c r="AF226" t="s">
        <v>1188</v>
      </c>
    </row>
    <row r="227" spans="1:32" x14ac:dyDescent="0.25">
      <c r="A227">
        <v>1</v>
      </c>
      <c r="C227" s="185"/>
      <c r="E227" t="s">
        <v>386</v>
      </c>
      <c r="I227">
        <v>3493</v>
      </c>
      <c r="J227" t="s">
        <v>1486</v>
      </c>
      <c r="K227" t="s">
        <v>1486</v>
      </c>
      <c r="L227" t="s">
        <v>386</v>
      </c>
      <c r="M227" t="s">
        <v>1184</v>
      </c>
      <c r="O227">
        <v>0</v>
      </c>
      <c r="R227" t="s">
        <v>1185</v>
      </c>
      <c r="T227">
        <v>0</v>
      </c>
      <c r="V227" t="s">
        <v>1186</v>
      </c>
      <c r="Z227" t="s">
        <v>865</v>
      </c>
      <c r="AA227" t="s">
        <v>387</v>
      </c>
      <c r="AB227">
        <v>0</v>
      </c>
      <c r="AC227">
        <v>0</v>
      </c>
      <c r="AD227" t="s">
        <v>1187</v>
      </c>
      <c r="AE227">
        <v>0</v>
      </c>
      <c r="AF227" t="s">
        <v>1188</v>
      </c>
    </row>
    <row r="228" spans="1:32" x14ac:dyDescent="0.25">
      <c r="A228">
        <v>1</v>
      </c>
      <c r="C228" s="185"/>
      <c r="E228" t="s">
        <v>386</v>
      </c>
      <c r="I228">
        <v>3900</v>
      </c>
      <c r="J228" t="s">
        <v>1487</v>
      </c>
      <c r="K228" t="s">
        <v>1487</v>
      </c>
      <c r="L228" t="s">
        <v>386</v>
      </c>
      <c r="M228" t="s">
        <v>1184</v>
      </c>
      <c r="O228">
        <v>0</v>
      </c>
      <c r="R228" t="s">
        <v>1185</v>
      </c>
      <c r="T228">
        <v>0</v>
      </c>
      <c r="V228" t="s">
        <v>1186</v>
      </c>
      <c r="Z228" t="s">
        <v>865</v>
      </c>
      <c r="AA228" t="s">
        <v>387</v>
      </c>
      <c r="AB228">
        <v>0</v>
      </c>
      <c r="AC228">
        <v>0</v>
      </c>
      <c r="AD228" t="s">
        <v>1187</v>
      </c>
      <c r="AE228">
        <v>0</v>
      </c>
      <c r="AF228" t="s">
        <v>1188</v>
      </c>
    </row>
    <row r="229" spans="1:32" x14ac:dyDescent="0.25">
      <c r="A229">
        <v>1</v>
      </c>
      <c r="C229" s="185"/>
      <c r="E229" t="s">
        <v>386</v>
      </c>
      <c r="I229">
        <v>4095</v>
      </c>
      <c r="J229" t="s">
        <v>1488</v>
      </c>
      <c r="K229" t="s">
        <v>1488</v>
      </c>
      <c r="L229" t="s">
        <v>386</v>
      </c>
      <c r="M229" t="s">
        <v>1184</v>
      </c>
      <c r="O229">
        <v>0</v>
      </c>
      <c r="R229" t="s">
        <v>1185</v>
      </c>
      <c r="T229">
        <v>0</v>
      </c>
      <c r="V229" t="s">
        <v>1186</v>
      </c>
      <c r="Z229" t="s">
        <v>865</v>
      </c>
      <c r="AA229" t="s">
        <v>387</v>
      </c>
      <c r="AB229">
        <v>0</v>
      </c>
      <c r="AC229">
        <v>0</v>
      </c>
      <c r="AD229" t="s">
        <v>1187</v>
      </c>
      <c r="AE229">
        <v>0</v>
      </c>
      <c r="AF229" t="s">
        <v>1188</v>
      </c>
    </row>
    <row r="230" spans="1:32" x14ac:dyDescent="0.25">
      <c r="A230">
        <v>1</v>
      </c>
      <c r="C230" s="185"/>
      <c r="E230" t="s">
        <v>386</v>
      </c>
      <c r="I230">
        <v>3482</v>
      </c>
      <c r="J230" t="s">
        <v>1489</v>
      </c>
      <c r="K230" t="s">
        <v>1489</v>
      </c>
      <c r="L230" t="s">
        <v>386</v>
      </c>
      <c r="M230" t="s">
        <v>1184</v>
      </c>
      <c r="O230">
        <v>0</v>
      </c>
      <c r="R230" t="s">
        <v>1185</v>
      </c>
      <c r="T230">
        <v>0</v>
      </c>
      <c r="V230" t="s">
        <v>1186</v>
      </c>
      <c r="Z230" t="s">
        <v>865</v>
      </c>
      <c r="AA230" t="s">
        <v>387</v>
      </c>
      <c r="AB230">
        <v>0</v>
      </c>
      <c r="AC230">
        <v>0</v>
      </c>
      <c r="AD230" t="s">
        <v>1187</v>
      </c>
      <c r="AE230">
        <v>0</v>
      </c>
      <c r="AF230" t="s">
        <v>1188</v>
      </c>
    </row>
    <row r="231" spans="1:32" x14ac:dyDescent="0.25">
      <c r="A231">
        <v>1</v>
      </c>
      <c r="C231" s="185"/>
      <c r="E231" t="s">
        <v>386</v>
      </c>
      <c r="I231">
        <v>3576</v>
      </c>
      <c r="J231" t="s">
        <v>1490</v>
      </c>
      <c r="K231" t="s">
        <v>1490</v>
      </c>
      <c r="L231" t="s">
        <v>386</v>
      </c>
      <c r="M231" t="s">
        <v>1184</v>
      </c>
      <c r="O231">
        <v>0</v>
      </c>
      <c r="R231" t="s">
        <v>1185</v>
      </c>
      <c r="T231">
        <v>0</v>
      </c>
      <c r="V231" t="s">
        <v>1186</v>
      </c>
      <c r="Z231" t="s">
        <v>865</v>
      </c>
      <c r="AA231" t="s">
        <v>387</v>
      </c>
      <c r="AB231">
        <v>0</v>
      </c>
      <c r="AC231">
        <v>0</v>
      </c>
      <c r="AD231" t="s">
        <v>1187</v>
      </c>
      <c r="AE231">
        <v>0</v>
      </c>
      <c r="AF231" t="s">
        <v>1188</v>
      </c>
    </row>
    <row r="232" spans="1:32" x14ac:dyDescent="0.25">
      <c r="A232">
        <v>1</v>
      </c>
      <c r="C232" s="185"/>
      <c r="E232" t="s">
        <v>386</v>
      </c>
      <c r="I232">
        <v>4164</v>
      </c>
      <c r="J232" t="s">
        <v>1491</v>
      </c>
      <c r="K232" t="s">
        <v>1491</v>
      </c>
      <c r="L232" t="s">
        <v>386</v>
      </c>
      <c r="M232" t="s">
        <v>1184</v>
      </c>
      <c r="O232">
        <v>0</v>
      </c>
      <c r="R232" t="s">
        <v>1185</v>
      </c>
      <c r="T232">
        <v>0</v>
      </c>
      <c r="V232" t="s">
        <v>1186</v>
      </c>
      <c r="Z232" t="s">
        <v>865</v>
      </c>
      <c r="AA232" t="s">
        <v>387</v>
      </c>
      <c r="AB232">
        <v>0</v>
      </c>
      <c r="AC232">
        <v>0</v>
      </c>
      <c r="AD232" t="s">
        <v>1187</v>
      </c>
      <c r="AE232">
        <v>0</v>
      </c>
      <c r="AF232" t="s">
        <v>1188</v>
      </c>
    </row>
    <row r="233" spans="1:32" x14ac:dyDescent="0.25">
      <c r="A233">
        <v>1</v>
      </c>
      <c r="C233" s="185"/>
      <c r="E233" t="s">
        <v>386</v>
      </c>
      <c r="I233">
        <v>3784</v>
      </c>
      <c r="J233" t="s">
        <v>1492</v>
      </c>
      <c r="K233" t="s">
        <v>1492</v>
      </c>
      <c r="L233" t="s">
        <v>386</v>
      </c>
      <c r="M233" t="s">
        <v>1184</v>
      </c>
      <c r="O233">
        <v>0</v>
      </c>
      <c r="R233" t="s">
        <v>1185</v>
      </c>
      <c r="T233">
        <v>0</v>
      </c>
      <c r="V233" t="s">
        <v>1186</v>
      </c>
      <c r="Z233" t="s">
        <v>865</v>
      </c>
      <c r="AA233" t="s">
        <v>387</v>
      </c>
      <c r="AB233">
        <v>0</v>
      </c>
      <c r="AC233">
        <v>0</v>
      </c>
      <c r="AD233" t="s">
        <v>1187</v>
      </c>
      <c r="AE233">
        <v>0</v>
      </c>
      <c r="AF233" t="s">
        <v>1188</v>
      </c>
    </row>
    <row r="234" spans="1:32" x14ac:dyDescent="0.25">
      <c r="A234">
        <v>1</v>
      </c>
      <c r="C234" s="185"/>
      <c r="E234" t="s">
        <v>386</v>
      </c>
      <c r="I234">
        <v>4191</v>
      </c>
      <c r="J234" t="s">
        <v>1493</v>
      </c>
      <c r="K234" t="s">
        <v>1493</v>
      </c>
      <c r="L234" t="s">
        <v>386</v>
      </c>
      <c r="M234" t="s">
        <v>1184</v>
      </c>
      <c r="O234">
        <v>0</v>
      </c>
      <c r="R234" t="s">
        <v>1185</v>
      </c>
      <c r="T234">
        <v>0</v>
      </c>
      <c r="V234" t="s">
        <v>1186</v>
      </c>
      <c r="Z234" t="s">
        <v>865</v>
      </c>
      <c r="AA234" t="s">
        <v>387</v>
      </c>
      <c r="AB234">
        <v>0</v>
      </c>
      <c r="AC234">
        <v>0</v>
      </c>
      <c r="AD234" t="s">
        <v>1187</v>
      </c>
      <c r="AE234">
        <v>0</v>
      </c>
      <c r="AF234" t="s">
        <v>1188</v>
      </c>
    </row>
    <row r="235" spans="1:32" x14ac:dyDescent="0.25">
      <c r="A235">
        <v>1</v>
      </c>
      <c r="C235" s="185"/>
      <c r="E235" t="s">
        <v>386</v>
      </c>
      <c r="I235">
        <v>4026</v>
      </c>
      <c r="J235" t="s">
        <v>1494</v>
      </c>
      <c r="K235" t="s">
        <v>1494</v>
      </c>
      <c r="L235" t="s">
        <v>386</v>
      </c>
      <c r="M235" t="s">
        <v>1184</v>
      </c>
      <c r="O235">
        <v>0</v>
      </c>
      <c r="R235" t="s">
        <v>1185</v>
      </c>
      <c r="T235">
        <v>0</v>
      </c>
      <c r="V235" t="s">
        <v>1186</v>
      </c>
      <c r="Z235" t="s">
        <v>865</v>
      </c>
      <c r="AA235" t="s">
        <v>387</v>
      </c>
      <c r="AB235">
        <v>0</v>
      </c>
      <c r="AC235">
        <v>0</v>
      </c>
      <c r="AD235" t="s">
        <v>1187</v>
      </c>
      <c r="AE235">
        <v>0</v>
      </c>
      <c r="AF235" t="s">
        <v>1188</v>
      </c>
    </row>
    <row r="236" spans="1:32" x14ac:dyDescent="0.25">
      <c r="A236">
        <v>1</v>
      </c>
      <c r="C236" s="185"/>
      <c r="E236" t="s">
        <v>386</v>
      </c>
      <c r="I236">
        <v>4194</v>
      </c>
      <c r="J236" t="s">
        <v>1495</v>
      </c>
      <c r="K236" t="s">
        <v>1495</v>
      </c>
      <c r="L236" t="s">
        <v>386</v>
      </c>
      <c r="M236" t="s">
        <v>1184</v>
      </c>
      <c r="O236">
        <v>0</v>
      </c>
      <c r="R236" t="s">
        <v>1185</v>
      </c>
      <c r="T236">
        <v>0</v>
      </c>
      <c r="V236" t="s">
        <v>1186</v>
      </c>
      <c r="Z236" t="s">
        <v>865</v>
      </c>
      <c r="AA236" t="s">
        <v>387</v>
      </c>
      <c r="AB236">
        <v>0</v>
      </c>
      <c r="AC236">
        <v>0</v>
      </c>
      <c r="AD236" t="s">
        <v>1187</v>
      </c>
      <c r="AE236">
        <v>0</v>
      </c>
      <c r="AF236" t="s">
        <v>1188</v>
      </c>
    </row>
    <row r="237" spans="1:32" x14ac:dyDescent="0.25">
      <c r="A237">
        <v>1</v>
      </c>
      <c r="C237" s="185"/>
      <c r="E237" t="s">
        <v>386</v>
      </c>
      <c r="I237">
        <v>4112</v>
      </c>
      <c r="J237" t="s">
        <v>1496</v>
      </c>
      <c r="K237" t="s">
        <v>1496</v>
      </c>
      <c r="L237" t="s">
        <v>386</v>
      </c>
      <c r="M237" t="s">
        <v>1184</v>
      </c>
      <c r="O237">
        <v>0</v>
      </c>
      <c r="R237" t="s">
        <v>1185</v>
      </c>
      <c r="T237">
        <v>0</v>
      </c>
      <c r="V237" t="s">
        <v>1186</v>
      </c>
      <c r="Z237" t="s">
        <v>865</v>
      </c>
      <c r="AA237" t="s">
        <v>387</v>
      </c>
      <c r="AB237">
        <v>0</v>
      </c>
      <c r="AC237">
        <v>0</v>
      </c>
      <c r="AD237" t="s">
        <v>1187</v>
      </c>
      <c r="AE237">
        <v>0</v>
      </c>
      <c r="AF237" t="s">
        <v>1188</v>
      </c>
    </row>
    <row r="238" spans="1:32" x14ac:dyDescent="0.25">
      <c r="A238">
        <v>1</v>
      </c>
      <c r="C238" s="185"/>
      <c r="E238" t="s">
        <v>386</v>
      </c>
      <c r="I238">
        <v>3955</v>
      </c>
      <c r="J238" t="s">
        <v>1497</v>
      </c>
      <c r="K238" t="s">
        <v>1497</v>
      </c>
      <c r="L238" t="s">
        <v>386</v>
      </c>
      <c r="M238" t="s">
        <v>1184</v>
      </c>
      <c r="O238">
        <v>0</v>
      </c>
      <c r="R238" t="s">
        <v>1185</v>
      </c>
      <c r="T238">
        <v>0</v>
      </c>
      <c r="V238" t="s">
        <v>1186</v>
      </c>
      <c r="Z238" t="s">
        <v>865</v>
      </c>
      <c r="AA238" t="s">
        <v>387</v>
      </c>
      <c r="AB238">
        <v>0</v>
      </c>
      <c r="AC238">
        <v>0</v>
      </c>
      <c r="AD238" t="s">
        <v>1187</v>
      </c>
      <c r="AE238">
        <v>0</v>
      </c>
      <c r="AF238" t="s">
        <v>1188</v>
      </c>
    </row>
    <row r="239" spans="1:32" x14ac:dyDescent="0.25">
      <c r="A239">
        <v>1</v>
      </c>
      <c r="C239" s="185"/>
      <c r="E239" t="s">
        <v>386</v>
      </c>
      <c r="I239">
        <v>3639</v>
      </c>
      <c r="J239" t="s">
        <v>1498</v>
      </c>
      <c r="K239" t="s">
        <v>1498</v>
      </c>
      <c r="L239" t="s">
        <v>386</v>
      </c>
      <c r="M239" t="s">
        <v>1184</v>
      </c>
      <c r="O239">
        <v>0</v>
      </c>
      <c r="R239" t="s">
        <v>1185</v>
      </c>
      <c r="T239">
        <v>0</v>
      </c>
      <c r="V239" t="s">
        <v>1186</v>
      </c>
      <c r="Z239" t="s">
        <v>865</v>
      </c>
      <c r="AA239" t="s">
        <v>387</v>
      </c>
      <c r="AB239">
        <v>0</v>
      </c>
      <c r="AC239">
        <v>0</v>
      </c>
      <c r="AD239" t="s">
        <v>1187</v>
      </c>
      <c r="AE239">
        <v>0</v>
      </c>
      <c r="AF239" t="s">
        <v>1188</v>
      </c>
    </row>
    <row r="240" spans="1:32" x14ac:dyDescent="0.25">
      <c r="A240">
        <v>1</v>
      </c>
      <c r="C240" s="185"/>
      <c r="E240" t="s">
        <v>386</v>
      </c>
      <c r="I240">
        <v>3653</v>
      </c>
      <c r="J240" t="s">
        <v>1499</v>
      </c>
      <c r="K240" t="s">
        <v>1499</v>
      </c>
      <c r="L240" t="s">
        <v>386</v>
      </c>
      <c r="M240" t="s">
        <v>1184</v>
      </c>
      <c r="O240">
        <v>0</v>
      </c>
      <c r="R240" t="s">
        <v>1185</v>
      </c>
      <c r="T240">
        <v>0</v>
      </c>
      <c r="V240" t="s">
        <v>1186</v>
      </c>
      <c r="Z240" t="s">
        <v>865</v>
      </c>
      <c r="AA240" t="s">
        <v>387</v>
      </c>
      <c r="AB240">
        <v>0</v>
      </c>
      <c r="AC240">
        <v>0</v>
      </c>
      <c r="AD240" t="s">
        <v>1187</v>
      </c>
      <c r="AE240">
        <v>0</v>
      </c>
      <c r="AF240" t="s">
        <v>1188</v>
      </c>
    </row>
    <row r="241" spans="1:32" x14ac:dyDescent="0.25">
      <c r="A241">
        <v>1</v>
      </c>
      <c r="C241" s="185"/>
      <c r="E241" t="s">
        <v>386</v>
      </c>
      <c r="I241">
        <v>4163</v>
      </c>
      <c r="J241" t="s">
        <v>1500</v>
      </c>
      <c r="K241" t="s">
        <v>1500</v>
      </c>
      <c r="L241" t="s">
        <v>386</v>
      </c>
      <c r="M241" t="s">
        <v>1184</v>
      </c>
      <c r="O241">
        <v>0</v>
      </c>
      <c r="R241" t="s">
        <v>1185</v>
      </c>
      <c r="T241">
        <v>0</v>
      </c>
      <c r="V241" t="s">
        <v>1186</v>
      </c>
      <c r="Z241" t="s">
        <v>865</v>
      </c>
      <c r="AA241" t="s">
        <v>387</v>
      </c>
      <c r="AB241">
        <v>0</v>
      </c>
      <c r="AC241">
        <v>0</v>
      </c>
      <c r="AD241" t="s">
        <v>1187</v>
      </c>
      <c r="AE241">
        <v>0</v>
      </c>
      <c r="AF241" t="s">
        <v>1188</v>
      </c>
    </row>
    <row r="242" spans="1:32" x14ac:dyDescent="0.25">
      <c r="A242">
        <v>1</v>
      </c>
      <c r="C242" s="185"/>
      <c r="E242" t="s">
        <v>386</v>
      </c>
      <c r="I242">
        <v>4091</v>
      </c>
      <c r="J242" t="s">
        <v>1501</v>
      </c>
      <c r="K242" t="s">
        <v>1501</v>
      </c>
      <c r="L242" t="s">
        <v>386</v>
      </c>
      <c r="M242" t="s">
        <v>1184</v>
      </c>
      <c r="O242">
        <v>0</v>
      </c>
      <c r="R242" t="s">
        <v>1185</v>
      </c>
      <c r="T242">
        <v>0</v>
      </c>
      <c r="V242" t="s">
        <v>1186</v>
      </c>
      <c r="Z242" t="s">
        <v>865</v>
      </c>
      <c r="AA242" t="s">
        <v>387</v>
      </c>
      <c r="AB242">
        <v>0</v>
      </c>
      <c r="AC242">
        <v>0</v>
      </c>
      <c r="AD242" t="s">
        <v>1187</v>
      </c>
      <c r="AE242">
        <v>0</v>
      </c>
      <c r="AF242" t="s">
        <v>1188</v>
      </c>
    </row>
    <row r="243" spans="1:32" x14ac:dyDescent="0.25">
      <c r="A243">
        <v>1</v>
      </c>
      <c r="C243" s="185"/>
      <c r="E243" t="s">
        <v>386</v>
      </c>
      <c r="I243">
        <v>3714</v>
      </c>
      <c r="J243" t="s">
        <v>1502</v>
      </c>
      <c r="K243" t="s">
        <v>1502</v>
      </c>
      <c r="L243" t="s">
        <v>386</v>
      </c>
      <c r="M243" t="s">
        <v>1184</v>
      </c>
      <c r="O243">
        <v>0</v>
      </c>
      <c r="R243" t="s">
        <v>1185</v>
      </c>
      <c r="T243">
        <v>0</v>
      </c>
      <c r="V243" t="s">
        <v>1186</v>
      </c>
      <c r="Z243" t="s">
        <v>865</v>
      </c>
      <c r="AA243" t="s">
        <v>387</v>
      </c>
      <c r="AB243">
        <v>0</v>
      </c>
      <c r="AC243">
        <v>0</v>
      </c>
      <c r="AD243" t="s">
        <v>1187</v>
      </c>
      <c r="AE243">
        <v>0</v>
      </c>
      <c r="AF243" t="s">
        <v>1188</v>
      </c>
    </row>
    <row r="244" spans="1:32" x14ac:dyDescent="0.25">
      <c r="A244">
        <v>1</v>
      </c>
      <c r="C244" s="185"/>
      <c r="E244" t="s">
        <v>386</v>
      </c>
      <c r="I244">
        <v>4168</v>
      </c>
      <c r="J244" t="s">
        <v>1503</v>
      </c>
      <c r="K244" t="s">
        <v>1503</v>
      </c>
      <c r="L244" t="s">
        <v>386</v>
      </c>
      <c r="M244" t="s">
        <v>1184</v>
      </c>
      <c r="O244">
        <v>0</v>
      </c>
      <c r="R244" t="s">
        <v>1185</v>
      </c>
      <c r="T244">
        <v>0</v>
      </c>
      <c r="V244" t="s">
        <v>1186</v>
      </c>
      <c r="Z244" t="s">
        <v>865</v>
      </c>
      <c r="AA244" t="s">
        <v>387</v>
      </c>
      <c r="AB244">
        <v>0</v>
      </c>
      <c r="AC244">
        <v>0</v>
      </c>
      <c r="AD244" t="s">
        <v>1187</v>
      </c>
      <c r="AE244">
        <v>0</v>
      </c>
      <c r="AF244" t="s">
        <v>1188</v>
      </c>
    </row>
    <row r="245" spans="1:32" x14ac:dyDescent="0.25">
      <c r="A245">
        <v>1</v>
      </c>
      <c r="C245" s="185"/>
      <c r="E245" t="s">
        <v>386</v>
      </c>
      <c r="I245">
        <v>3753</v>
      </c>
      <c r="J245" t="s">
        <v>1504</v>
      </c>
      <c r="K245" t="s">
        <v>1504</v>
      </c>
      <c r="L245" t="s">
        <v>386</v>
      </c>
      <c r="M245" t="s">
        <v>1184</v>
      </c>
      <c r="O245">
        <v>0</v>
      </c>
      <c r="R245" t="s">
        <v>1185</v>
      </c>
      <c r="T245">
        <v>0</v>
      </c>
      <c r="V245" t="s">
        <v>1186</v>
      </c>
      <c r="Z245" t="s">
        <v>865</v>
      </c>
      <c r="AA245" t="s">
        <v>387</v>
      </c>
      <c r="AB245">
        <v>0</v>
      </c>
      <c r="AC245">
        <v>0</v>
      </c>
      <c r="AD245" t="s">
        <v>1187</v>
      </c>
      <c r="AE245">
        <v>0</v>
      </c>
      <c r="AF245" t="s">
        <v>1188</v>
      </c>
    </row>
    <row r="246" spans="1:32" x14ac:dyDescent="0.25">
      <c r="A246">
        <v>1</v>
      </c>
      <c r="C246" s="185"/>
      <c r="E246" t="s">
        <v>386</v>
      </c>
      <c r="I246">
        <v>4002</v>
      </c>
      <c r="J246" t="s">
        <v>1505</v>
      </c>
      <c r="K246" t="s">
        <v>1505</v>
      </c>
      <c r="L246" t="s">
        <v>386</v>
      </c>
      <c r="M246" t="s">
        <v>1184</v>
      </c>
      <c r="O246">
        <v>0</v>
      </c>
      <c r="R246" t="s">
        <v>1185</v>
      </c>
      <c r="T246">
        <v>0</v>
      </c>
      <c r="V246" t="s">
        <v>1186</v>
      </c>
      <c r="Z246" t="s">
        <v>865</v>
      </c>
      <c r="AA246" t="s">
        <v>387</v>
      </c>
      <c r="AB246">
        <v>0</v>
      </c>
      <c r="AC246">
        <v>0</v>
      </c>
      <c r="AD246" t="s">
        <v>1187</v>
      </c>
      <c r="AE246">
        <v>0</v>
      </c>
      <c r="AF246" t="s">
        <v>1188</v>
      </c>
    </row>
    <row r="247" spans="1:32" x14ac:dyDescent="0.25">
      <c r="A247">
        <v>1</v>
      </c>
      <c r="C247" s="185"/>
      <c r="E247" t="s">
        <v>386</v>
      </c>
      <c r="I247">
        <v>3589</v>
      </c>
      <c r="J247" t="s">
        <v>1506</v>
      </c>
      <c r="K247" t="s">
        <v>1506</v>
      </c>
      <c r="L247" t="s">
        <v>386</v>
      </c>
      <c r="M247" t="s">
        <v>1184</v>
      </c>
      <c r="O247">
        <v>0</v>
      </c>
      <c r="R247" t="s">
        <v>1185</v>
      </c>
      <c r="T247">
        <v>0</v>
      </c>
      <c r="V247" t="s">
        <v>1186</v>
      </c>
      <c r="Z247" t="s">
        <v>865</v>
      </c>
      <c r="AA247" t="s">
        <v>387</v>
      </c>
      <c r="AB247">
        <v>0</v>
      </c>
      <c r="AC247">
        <v>0</v>
      </c>
      <c r="AD247" t="s">
        <v>1187</v>
      </c>
      <c r="AE247">
        <v>0</v>
      </c>
      <c r="AF247" t="s">
        <v>1188</v>
      </c>
    </row>
    <row r="248" spans="1:32" x14ac:dyDescent="0.25">
      <c r="A248">
        <v>1</v>
      </c>
      <c r="C248" s="185"/>
      <c r="E248" t="s">
        <v>386</v>
      </c>
      <c r="I248">
        <v>4203</v>
      </c>
      <c r="J248" t="s">
        <v>1507</v>
      </c>
      <c r="K248" t="s">
        <v>1507</v>
      </c>
      <c r="L248" t="s">
        <v>386</v>
      </c>
      <c r="M248" t="s">
        <v>1184</v>
      </c>
      <c r="O248">
        <v>0</v>
      </c>
      <c r="R248" t="s">
        <v>1185</v>
      </c>
      <c r="T248">
        <v>0</v>
      </c>
      <c r="V248" t="s">
        <v>1186</v>
      </c>
      <c r="Z248" t="s">
        <v>865</v>
      </c>
      <c r="AA248" t="s">
        <v>387</v>
      </c>
      <c r="AB248">
        <v>0</v>
      </c>
      <c r="AC248">
        <v>0</v>
      </c>
      <c r="AD248" t="s">
        <v>1187</v>
      </c>
      <c r="AE248">
        <v>0</v>
      </c>
      <c r="AF248" t="s">
        <v>1188</v>
      </c>
    </row>
    <row r="249" spans="1:32" x14ac:dyDescent="0.25">
      <c r="A249">
        <v>1</v>
      </c>
      <c r="C249" s="185"/>
      <c r="E249" t="s">
        <v>386</v>
      </c>
      <c r="I249">
        <v>3807</v>
      </c>
      <c r="J249" t="s">
        <v>1508</v>
      </c>
      <c r="K249" t="s">
        <v>1508</v>
      </c>
      <c r="L249" t="s">
        <v>386</v>
      </c>
      <c r="M249" t="s">
        <v>1184</v>
      </c>
      <c r="O249">
        <v>0</v>
      </c>
      <c r="R249" t="s">
        <v>1185</v>
      </c>
      <c r="T249">
        <v>0</v>
      </c>
      <c r="V249" t="s">
        <v>1186</v>
      </c>
      <c r="Z249" t="s">
        <v>865</v>
      </c>
      <c r="AA249" t="s">
        <v>387</v>
      </c>
      <c r="AB249">
        <v>0</v>
      </c>
      <c r="AC249">
        <v>0</v>
      </c>
      <c r="AD249" t="s">
        <v>1187</v>
      </c>
      <c r="AE249">
        <v>0</v>
      </c>
      <c r="AF249" t="s">
        <v>1188</v>
      </c>
    </row>
    <row r="250" spans="1:32" x14ac:dyDescent="0.25">
      <c r="A250">
        <v>1</v>
      </c>
      <c r="C250" s="185"/>
      <c r="E250" t="s">
        <v>386</v>
      </c>
      <c r="I250">
        <v>4018</v>
      </c>
      <c r="J250" t="s">
        <v>1509</v>
      </c>
      <c r="K250" t="s">
        <v>1509</v>
      </c>
      <c r="L250" t="s">
        <v>386</v>
      </c>
      <c r="M250" t="s">
        <v>1184</v>
      </c>
      <c r="O250">
        <v>0</v>
      </c>
      <c r="R250" t="s">
        <v>1185</v>
      </c>
      <c r="T250">
        <v>0</v>
      </c>
      <c r="V250" t="s">
        <v>1186</v>
      </c>
      <c r="Z250" t="s">
        <v>865</v>
      </c>
      <c r="AA250" t="s">
        <v>387</v>
      </c>
      <c r="AB250">
        <v>0</v>
      </c>
      <c r="AC250">
        <v>0</v>
      </c>
      <c r="AD250" t="s">
        <v>1187</v>
      </c>
      <c r="AE250">
        <v>0</v>
      </c>
      <c r="AF250" t="s">
        <v>1188</v>
      </c>
    </row>
    <row r="251" spans="1:32" x14ac:dyDescent="0.25">
      <c r="A251">
        <v>1</v>
      </c>
      <c r="C251" s="185"/>
      <c r="E251" t="s">
        <v>386</v>
      </c>
      <c r="I251">
        <v>3771</v>
      </c>
      <c r="J251" t="s">
        <v>1510</v>
      </c>
      <c r="K251" t="s">
        <v>1510</v>
      </c>
      <c r="L251" t="s">
        <v>386</v>
      </c>
      <c r="M251" t="s">
        <v>1184</v>
      </c>
      <c r="O251">
        <v>0</v>
      </c>
      <c r="R251" t="s">
        <v>1185</v>
      </c>
      <c r="T251">
        <v>0</v>
      </c>
      <c r="V251" t="s">
        <v>1186</v>
      </c>
      <c r="Z251" t="s">
        <v>865</v>
      </c>
      <c r="AA251" t="s">
        <v>387</v>
      </c>
      <c r="AB251">
        <v>0</v>
      </c>
      <c r="AC251">
        <v>0</v>
      </c>
      <c r="AD251" t="s">
        <v>1187</v>
      </c>
      <c r="AE251">
        <v>0</v>
      </c>
      <c r="AF251" t="s">
        <v>1188</v>
      </c>
    </row>
    <row r="252" spans="1:32" x14ac:dyDescent="0.25">
      <c r="A252">
        <v>1</v>
      </c>
      <c r="C252" s="185"/>
      <c r="E252" t="s">
        <v>386</v>
      </c>
      <c r="I252">
        <v>3501</v>
      </c>
      <c r="J252" t="s">
        <v>1511</v>
      </c>
      <c r="K252" t="s">
        <v>1511</v>
      </c>
      <c r="L252" t="s">
        <v>386</v>
      </c>
      <c r="M252" t="s">
        <v>1184</v>
      </c>
      <c r="O252">
        <v>0</v>
      </c>
      <c r="R252" t="s">
        <v>1185</v>
      </c>
      <c r="T252">
        <v>0</v>
      </c>
      <c r="V252" t="s">
        <v>1186</v>
      </c>
      <c r="Z252" t="s">
        <v>865</v>
      </c>
      <c r="AA252" t="s">
        <v>387</v>
      </c>
      <c r="AB252">
        <v>0</v>
      </c>
      <c r="AC252">
        <v>0</v>
      </c>
      <c r="AD252" t="s">
        <v>1187</v>
      </c>
      <c r="AE252">
        <v>0</v>
      </c>
      <c r="AF252" t="s">
        <v>1188</v>
      </c>
    </row>
    <row r="253" spans="1:32" x14ac:dyDescent="0.25">
      <c r="A253">
        <v>1</v>
      </c>
      <c r="C253" s="185"/>
      <c r="E253" t="s">
        <v>386</v>
      </c>
      <c r="I253">
        <v>3609</v>
      </c>
      <c r="J253" t="s">
        <v>1512</v>
      </c>
      <c r="K253" t="s">
        <v>1512</v>
      </c>
      <c r="L253" t="s">
        <v>386</v>
      </c>
      <c r="M253" t="s">
        <v>1184</v>
      </c>
      <c r="O253">
        <v>0</v>
      </c>
      <c r="R253" t="s">
        <v>1185</v>
      </c>
      <c r="T253">
        <v>0</v>
      </c>
      <c r="V253" t="s">
        <v>1186</v>
      </c>
      <c r="Z253" t="s">
        <v>865</v>
      </c>
      <c r="AA253" t="s">
        <v>387</v>
      </c>
      <c r="AB253">
        <v>0</v>
      </c>
      <c r="AC253">
        <v>0</v>
      </c>
      <c r="AD253" t="s">
        <v>1187</v>
      </c>
      <c r="AE253">
        <v>0</v>
      </c>
      <c r="AF253" t="s">
        <v>1188</v>
      </c>
    </row>
    <row r="254" spans="1:32" x14ac:dyDescent="0.25">
      <c r="A254">
        <v>1</v>
      </c>
      <c r="C254" s="185"/>
      <c r="E254" t="s">
        <v>386</v>
      </c>
      <c r="I254">
        <v>3692</v>
      </c>
      <c r="J254" t="s">
        <v>1513</v>
      </c>
      <c r="K254" t="s">
        <v>1513</v>
      </c>
      <c r="L254" t="s">
        <v>386</v>
      </c>
      <c r="M254" t="s">
        <v>1184</v>
      </c>
      <c r="O254">
        <v>0</v>
      </c>
      <c r="R254" t="s">
        <v>1185</v>
      </c>
      <c r="T254">
        <v>0</v>
      </c>
      <c r="V254" t="s">
        <v>1186</v>
      </c>
      <c r="Z254" t="s">
        <v>865</v>
      </c>
      <c r="AA254" t="s">
        <v>387</v>
      </c>
      <c r="AB254">
        <v>0</v>
      </c>
      <c r="AC254">
        <v>0</v>
      </c>
      <c r="AD254" t="s">
        <v>1187</v>
      </c>
      <c r="AE254">
        <v>0</v>
      </c>
      <c r="AF254" t="s">
        <v>1188</v>
      </c>
    </row>
    <row r="255" spans="1:32" x14ac:dyDescent="0.25">
      <c r="A255">
        <v>1</v>
      </c>
      <c r="C255" s="185"/>
      <c r="E255" t="s">
        <v>386</v>
      </c>
      <c r="I255">
        <v>3597</v>
      </c>
      <c r="J255" t="s">
        <v>1514</v>
      </c>
      <c r="K255" t="s">
        <v>1514</v>
      </c>
      <c r="L255" t="s">
        <v>386</v>
      </c>
      <c r="M255" t="s">
        <v>1184</v>
      </c>
      <c r="O255">
        <v>0</v>
      </c>
      <c r="R255" t="s">
        <v>1185</v>
      </c>
      <c r="T255">
        <v>0</v>
      </c>
      <c r="V255" t="s">
        <v>1186</v>
      </c>
      <c r="Z255" t="s">
        <v>865</v>
      </c>
      <c r="AA255" t="s">
        <v>387</v>
      </c>
      <c r="AB255">
        <v>0</v>
      </c>
      <c r="AC255">
        <v>0</v>
      </c>
      <c r="AD255" t="s">
        <v>1187</v>
      </c>
      <c r="AE255">
        <v>0</v>
      </c>
      <c r="AF255" t="s">
        <v>1188</v>
      </c>
    </row>
    <row r="256" spans="1:32" x14ac:dyDescent="0.25">
      <c r="A256">
        <v>1</v>
      </c>
      <c r="C256" s="185"/>
      <c r="E256" t="s">
        <v>386</v>
      </c>
      <c r="I256">
        <v>3870</v>
      </c>
      <c r="J256" t="s">
        <v>1515</v>
      </c>
      <c r="K256" t="s">
        <v>1515</v>
      </c>
      <c r="L256" t="s">
        <v>386</v>
      </c>
      <c r="M256" t="s">
        <v>1184</v>
      </c>
      <c r="O256">
        <v>0</v>
      </c>
      <c r="R256" t="s">
        <v>1185</v>
      </c>
      <c r="T256">
        <v>0</v>
      </c>
      <c r="V256" t="s">
        <v>1186</v>
      </c>
      <c r="Z256" t="s">
        <v>865</v>
      </c>
      <c r="AA256" t="s">
        <v>387</v>
      </c>
      <c r="AB256">
        <v>0</v>
      </c>
      <c r="AC256">
        <v>0</v>
      </c>
      <c r="AD256" t="s">
        <v>1187</v>
      </c>
      <c r="AE256">
        <v>0</v>
      </c>
      <c r="AF256" t="s">
        <v>1188</v>
      </c>
    </row>
    <row r="257" spans="1:33" x14ac:dyDescent="0.25">
      <c r="A257">
        <v>1</v>
      </c>
      <c r="C257" s="185"/>
      <c r="E257" t="s">
        <v>386</v>
      </c>
      <c r="I257">
        <v>4068</v>
      </c>
      <c r="J257" t="s">
        <v>1516</v>
      </c>
      <c r="K257" t="s">
        <v>1516</v>
      </c>
      <c r="L257" t="s">
        <v>386</v>
      </c>
      <c r="M257" t="s">
        <v>1184</v>
      </c>
      <c r="O257">
        <v>0</v>
      </c>
      <c r="R257" t="s">
        <v>1185</v>
      </c>
      <c r="T257">
        <v>0</v>
      </c>
      <c r="V257" t="s">
        <v>1186</v>
      </c>
      <c r="Z257" t="s">
        <v>865</v>
      </c>
      <c r="AA257" t="s">
        <v>387</v>
      </c>
      <c r="AB257">
        <v>0</v>
      </c>
      <c r="AC257">
        <v>0</v>
      </c>
      <c r="AD257" t="s">
        <v>1187</v>
      </c>
      <c r="AE257">
        <v>0</v>
      </c>
      <c r="AF257" t="s">
        <v>1188</v>
      </c>
    </row>
    <row r="258" spans="1:33" x14ac:dyDescent="0.25">
      <c r="A258">
        <v>1</v>
      </c>
      <c r="C258" s="185"/>
      <c r="E258" t="s">
        <v>386</v>
      </c>
      <c r="I258">
        <v>3724</v>
      </c>
      <c r="J258" t="s">
        <v>1517</v>
      </c>
      <c r="K258" t="s">
        <v>1517</v>
      </c>
      <c r="L258" t="s">
        <v>386</v>
      </c>
      <c r="M258" t="s">
        <v>1184</v>
      </c>
      <c r="O258">
        <v>0</v>
      </c>
      <c r="R258" t="s">
        <v>1185</v>
      </c>
      <c r="T258">
        <v>0</v>
      </c>
      <c r="V258" t="s">
        <v>1186</v>
      </c>
      <c r="Z258" t="s">
        <v>865</v>
      </c>
      <c r="AA258" t="s">
        <v>387</v>
      </c>
      <c r="AB258">
        <v>0</v>
      </c>
      <c r="AC258">
        <v>0</v>
      </c>
      <c r="AD258" t="s">
        <v>1187</v>
      </c>
      <c r="AE258">
        <v>0</v>
      </c>
      <c r="AF258" t="s">
        <v>1188</v>
      </c>
    </row>
    <row r="259" spans="1:33" x14ac:dyDescent="0.25">
      <c r="A259">
        <v>1</v>
      </c>
      <c r="C259" s="185"/>
      <c r="E259" t="s">
        <v>386</v>
      </c>
      <c r="I259">
        <v>3814</v>
      </c>
      <c r="J259" t="s">
        <v>1518</v>
      </c>
      <c r="K259" t="s">
        <v>1518</v>
      </c>
      <c r="L259" t="s">
        <v>386</v>
      </c>
      <c r="M259" t="s">
        <v>1184</v>
      </c>
      <c r="O259">
        <v>0</v>
      </c>
      <c r="R259" t="s">
        <v>1185</v>
      </c>
      <c r="T259">
        <v>0</v>
      </c>
      <c r="V259" t="s">
        <v>1186</v>
      </c>
      <c r="Z259" t="s">
        <v>865</v>
      </c>
      <c r="AA259" t="s">
        <v>387</v>
      </c>
      <c r="AB259">
        <v>0</v>
      </c>
      <c r="AC259">
        <v>0</v>
      </c>
      <c r="AD259" t="s">
        <v>1187</v>
      </c>
      <c r="AE259">
        <v>0</v>
      </c>
      <c r="AF259" t="s">
        <v>1188</v>
      </c>
    </row>
    <row r="260" spans="1:33" x14ac:dyDescent="0.25">
      <c r="A260">
        <v>1</v>
      </c>
      <c r="C260" s="185"/>
      <c r="E260" t="s">
        <v>386</v>
      </c>
      <c r="I260">
        <v>3890</v>
      </c>
      <c r="J260" t="s">
        <v>1519</v>
      </c>
      <c r="K260" t="s">
        <v>1519</v>
      </c>
      <c r="L260" t="s">
        <v>386</v>
      </c>
      <c r="M260" t="s">
        <v>1184</v>
      </c>
      <c r="O260">
        <v>0</v>
      </c>
      <c r="R260" t="s">
        <v>1185</v>
      </c>
      <c r="T260">
        <v>0</v>
      </c>
      <c r="V260" t="s">
        <v>1186</v>
      </c>
      <c r="Z260" t="s">
        <v>865</v>
      </c>
      <c r="AA260" t="s">
        <v>387</v>
      </c>
      <c r="AB260">
        <v>0</v>
      </c>
      <c r="AC260">
        <v>0</v>
      </c>
      <c r="AD260" t="s">
        <v>1187</v>
      </c>
      <c r="AE260">
        <v>0</v>
      </c>
      <c r="AF260" t="s">
        <v>1188</v>
      </c>
    </row>
    <row r="261" spans="1:33" x14ac:dyDescent="0.25">
      <c r="A261">
        <v>1</v>
      </c>
      <c r="C261" s="185"/>
      <c r="E261" t="s">
        <v>386</v>
      </c>
      <c r="I261">
        <v>4140</v>
      </c>
      <c r="J261" t="s">
        <v>1520</v>
      </c>
      <c r="K261" t="s">
        <v>1520</v>
      </c>
      <c r="L261" t="s">
        <v>386</v>
      </c>
      <c r="M261" t="s">
        <v>1184</v>
      </c>
      <c r="O261">
        <v>0</v>
      </c>
      <c r="R261" t="s">
        <v>1185</v>
      </c>
      <c r="T261">
        <v>0</v>
      </c>
      <c r="V261" t="s">
        <v>1186</v>
      </c>
      <c r="Z261" t="s">
        <v>865</v>
      </c>
      <c r="AA261" t="s">
        <v>387</v>
      </c>
      <c r="AB261">
        <v>0</v>
      </c>
      <c r="AC261">
        <v>0</v>
      </c>
      <c r="AD261" t="s">
        <v>1187</v>
      </c>
      <c r="AE261">
        <v>0</v>
      </c>
      <c r="AF261" t="s">
        <v>1188</v>
      </c>
    </row>
    <row r="262" spans="1:33" x14ac:dyDescent="0.25">
      <c r="A262">
        <v>1</v>
      </c>
      <c r="C262" s="185"/>
      <c r="E262" t="s">
        <v>386</v>
      </c>
      <c r="I262">
        <v>3488</v>
      </c>
      <c r="J262" t="s">
        <v>1521</v>
      </c>
      <c r="K262" t="s">
        <v>1521</v>
      </c>
      <c r="L262" t="s">
        <v>386</v>
      </c>
      <c r="M262" t="s">
        <v>1184</v>
      </c>
      <c r="O262">
        <v>0</v>
      </c>
      <c r="R262" t="s">
        <v>1185</v>
      </c>
      <c r="T262">
        <v>0</v>
      </c>
      <c r="V262" t="s">
        <v>1186</v>
      </c>
      <c r="Z262" t="s">
        <v>865</v>
      </c>
      <c r="AA262" t="s">
        <v>387</v>
      </c>
      <c r="AB262">
        <v>0</v>
      </c>
      <c r="AC262">
        <v>0</v>
      </c>
      <c r="AD262" t="s">
        <v>1187</v>
      </c>
      <c r="AE262">
        <v>0</v>
      </c>
      <c r="AF262" t="s">
        <v>1188</v>
      </c>
    </row>
    <row r="263" spans="1:33" x14ac:dyDescent="0.25">
      <c r="A263">
        <v>1</v>
      </c>
      <c r="C263" s="185"/>
      <c r="E263" t="s">
        <v>386</v>
      </c>
      <c r="I263">
        <v>3818</v>
      </c>
      <c r="J263" t="s">
        <v>1522</v>
      </c>
      <c r="K263" t="s">
        <v>1522</v>
      </c>
      <c r="L263" t="s">
        <v>386</v>
      </c>
      <c r="M263" t="s">
        <v>1184</v>
      </c>
      <c r="O263">
        <v>0</v>
      </c>
      <c r="R263" t="s">
        <v>1185</v>
      </c>
      <c r="T263">
        <v>0</v>
      </c>
      <c r="V263" t="s">
        <v>1186</v>
      </c>
      <c r="Z263" t="s">
        <v>865</v>
      </c>
      <c r="AA263" t="s">
        <v>387</v>
      </c>
      <c r="AB263">
        <v>0</v>
      </c>
      <c r="AC263">
        <v>0</v>
      </c>
      <c r="AD263" t="s">
        <v>1187</v>
      </c>
      <c r="AE263">
        <v>0</v>
      </c>
      <c r="AF263" t="s">
        <v>1188</v>
      </c>
    </row>
    <row r="264" spans="1:33" x14ac:dyDescent="0.25">
      <c r="A264">
        <v>1</v>
      </c>
      <c r="C264" s="185"/>
      <c r="E264" t="s">
        <v>386</v>
      </c>
      <c r="I264">
        <v>3487</v>
      </c>
      <c r="J264" t="s">
        <v>1523</v>
      </c>
      <c r="K264" t="s">
        <v>1523</v>
      </c>
      <c r="L264" t="s">
        <v>386</v>
      </c>
      <c r="M264" t="s">
        <v>1184</v>
      </c>
      <c r="O264">
        <v>0</v>
      </c>
      <c r="R264" t="s">
        <v>1185</v>
      </c>
      <c r="T264">
        <v>0</v>
      </c>
      <c r="V264" t="s">
        <v>1186</v>
      </c>
      <c r="Z264" t="s">
        <v>865</v>
      </c>
      <c r="AA264" t="s">
        <v>387</v>
      </c>
      <c r="AB264">
        <v>0</v>
      </c>
      <c r="AC264">
        <v>0</v>
      </c>
      <c r="AD264" t="s">
        <v>1187</v>
      </c>
      <c r="AE264">
        <v>0</v>
      </c>
      <c r="AF264" t="s">
        <v>1188</v>
      </c>
    </row>
    <row r="265" spans="1:33" x14ac:dyDescent="0.25">
      <c r="A265">
        <v>1</v>
      </c>
      <c r="C265" s="185"/>
      <c r="E265" t="s">
        <v>386</v>
      </c>
      <c r="I265">
        <v>4158</v>
      </c>
      <c r="J265" t="s">
        <v>1524</v>
      </c>
      <c r="K265" t="s">
        <v>1524</v>
      </c>
      <c r="L265" t="s">
        <v>386</v>
      </c>
      <c r="M265" t="s">
        <v>1184</v>
      </c>
      <c r="O265">
        <v>0</v>
      </c>
      <c r="R265" t="s">
        <v>1185</v>
      </c>
      <c r="T265">
        <v>0</v>
      </c>
      <c r="V265" t="s">
        <v>1186</v>
      </c>
      <c r="Z265" t="s">
        <v>865</v>
      </c>
      <c r="AA265" t="s">
        <v>387</v>
      </c>
      <c r="AB265">
        <v>0</v>
      </c>
      <c r="AC265">
        <v>0</v>
      </c>
      <c r="AD265" t="s">
        <v>1187</v>
      </c>
      <c r="AE265">
        <v>0</v>
      </c>
      <c r="AF265" t="s">
        <v>1188</v>
      </c>
    </row>
    <row r="266" spans="1:33" x14ac:dyDescent="0.25">
      <c r="A266">
        <v>1</v>
      </c>
      <c r="C266" s="185"/>
      <c r="E266" t="s">
        <v>386</v>
      </c>
      <c r="I266">
        <v>3802</v>
      </c>
      <c r="J266" t="s">
        <v>1525</v>
      </c>
      <c r="K266" t="s">
        <v>1525</v>
      </c>
      <c r="L266" t="s">
        <v>386</v>
      </c>
      <c r="M266" t="s">
        <v>1184</v>
      </c>
      <c r="O266">
        <v>0</v>
      </c>
      <c r="R266" t="s">
        <v>1185</v>
      </c>
      <c r="T266">
        <v>0</v>
      </c>
      <c r="V266" t="s">
        <v>1186</v>
      </c>
      <c r="Z266" t="s">
        <v>865</v>
      </c>
      <c r="AA266" t="s">
        <v>387</v>
      </c>
      <c r="AB266">
        <v>0</v>
      </c>
      <c r="AC266">
        <v>0</v>
      </c>
      <c r="AD266" t="s">
        <v>1187</v>
      </c>
      <c r="AE266">
        <v>0</v>
      </c>
      <c r="AF266" t="s">
        <v>1188</v>
      </c>
    </row>
    <row r="267" spans="1:33" x14ac:dyDescent="0.25">
      <c r="A267">
        <v>1</v>
      </c>
      <c r="C267" s="185"/>
      <c r="E267" t="s">
        <v>386</v>
      </c>
      <c r="I267">
        <v>3722</v>
      </c>
      <c r="J267" t="s">
        <v>1526</v>
      </c>
      <c r="K267" t="s">
        <v>1526</v>
      </c>
      <c r="L267" t="s">
        <v>386</v>
      </c>
      <c r="M267" t="s">
        <v>1184</v>
      </c>
      <c r="O267">
        <v>0</v>
      </c>
      <c r="R267" t="s">
        <v>1185</v>
      </c>
      <c r="T267">
        <v>0</v>
      </c>
      <c r="V267" t="s">
        <v>1186</v>
      </c>
      <c r="Z267" t="s">
        <v>865</v>
      </c>
      <c r="AA267" t="s">
        <v>387</v>
      </c>
      <c r="AB267">
        <v>0</v>
      </c>
      <c r="AC267">
        <v>0</v>
      </c>
      <c r="AD267" t="s">
        <v>1187</v>
      </c>
      <c r="AE267">
        <v>0</v>
      </c>
      <c r="AF267" t="s">
        <v>1188</v>
      </c>
    </row>
    <row r="268" spans="1:33" x14ac:dyDescent="0.25">
      <c r="A268">
        <v>1</v>
      </c>
      <c r="C268" s="185"/>
      <c r="E268" t="s">
        <v>386</v>
      </c>
      <c r="I268">
        <v>3533</v>
      </c>
      <c r="J268" t="s">
        <v>1527</v>
      </c>
      <c r="K268" t="s">
        <v>1527</v>
      </c>
      <c r="L268" t="s">
        <v>386</v>
      </c>
      <c r="M268" t="s">
        <v>1184</v>
      </c>
      <c r="O268">
        <v>0</v>
      </c>
      <c r="R268" t="s">
        <v>1185</v>
      </c>
      <c r="T268">
        <v>0</v>
      </c>
      <c r="V268" t="s">
        <v>1186</v>
      </c>
      <c r="Z268" t="s">
        <v>865</v>
      </c>
      <c r="AA268" t="s">
        <v>387</v>
      </c>
      <c r="AB268">
        <v>0</v>
      </c>
      <c r="AC268">
        <v>0</v>
      </c>
      <c r="AD268" t="s">
        <v>1187</v>
      </c>
      <c r="AE268">
        <v>0</v>
      </c>
      <c r="AF268" t="s">
        <v>1188</v>
      </c>
    </row>
    <row r="269" spans="1:33" x14ac:dyDescent="0.25">
      <c r="A269">
        <v>1929</v>
      </c>
      <c r="C269" s="185"/>
      <c r="D269" t="s">
        <v>24</v>
      </c>
      <c r="E269" t="s">
        <v>386</v>
      </c>
      <c r="G269" t="s">
        <v>1192</v>
      </c>
      <c r="I269">
        <v>10980</v>
      </c>
      <c r="J269" t="s">
        <v>1528</v>
      </c>
      <c r="K269" t="s">
        <v>1529</v>
      </c>
      <c r="L269" t="s">
        <v>386</v>
      </c>
      <c r="M269" t="s">
        <v>1193</v>
      </c>
      <c r="O269">
        <v>0</v>
      </c>
      <c r="R269" t="s">
        <v>398</v>
      </c>
      <c r="T269">
        <v>220</v>
      </c>
      <c r="V269" t="s">
        <v>1194</v>
      </c>
      <c r="W269" t="s">
        <v>1530</v>
      </c>
      <c r="X269">
        <v>103</v>
      </c>
      <c r="Z269" t="s">
        <v>1531</v>
      </c>
      <c r="AA269" t="s">
        <v>387</v>
      </c>
      <c r="AB269">
        <v>29000</v>
      </c>
      <c r="AC269">
        <v>4206</v>
      </c>
      <c r="AD269" t="s">
        <v>1532</v>
      </c>
      <c r="AE269">
        <v>0</v>
      </c>
      <c r="AF269" t="s">
        <v>1188</v>
      </c>
      <c r="AG269" t="s">
        <v>1533</v>
      </c>
    </row>
    <row r="270" spans="1:33" x14ac:dyDescent="0.25">
      <c r="A270">
        <v>1</v>
      </c>
      <c r="C270" s="185"/>
      <c r="E270" t="s">
        <v>386</v>
      </c>
      <c r="I270">
        <v>3671</v>
      </c>
      <c r="J270" t="s">
        <v>1534</v>
      </c>
      <c r="K270" t="s">
        <v>1534</v>
      </c>
      <c r="L270" t="s">
        <v>386</v>
      </c>
      <c r="M270" t="s">
        <v>1184</v>
      </c>
      <c r="O270">
        <v>0</v>
      </c>
      <c r="R270" t="s">
        <v>1185</v>
      </c>
      <c r="T270">
        <v>0</v>
      </c>
      <c r="V270" t="s">
        <v>1186</v>
      </c>
      <c r="Z270" t="s">
        <v>865</v>
      </c>
      <c r="AA270" t="s">
        <v>387</v>
      </c>
      <c r="AB270">
        <v>0</v>
      </c>
      <c r="AC270">
        <v>0</v>
      </c>
      <c r="AD270" t="s">
        <v>1187</v>
      </c>
      <c r="AE270">
        <v>0</v>
      </c>
      <c r="AF270" t="s">
        <v>1188</v>
      </c>
    </row>
    <row r="271" spans="1:33" x14ac:dyDescent="0.25">
      <c r="A271">
        <v>1</v>
      </c>
      <c r="C271" s="185"/>
      <c r="E271" t="s">
        <v>386</v>
      </c>
      <c r="I271">
        <v>3582</v>
      </c>
      <c r="J271" t="s">
        <v>1535</v>
      </c>
      <c r="K271" t="s">
        <v>1535</v>
      </c>
      <c r="L271" t="s">
        <v>386</v>
      </c>
      <c r="M271" t="s">
        <v>1184</v>
      </c>
      <c r="O271">
        <v>0</v>
      </c>
      <c r="R271" t="s">
        <v>1185</v>
      </c>
      <c r="T271">
        <v>0</v>
      </c>
      <c r="V271" t="s">
        <v>1186</v>
      </c>
      <c r="Z271" t="s">
        <v>865</v>
      </c>
      <c r="AA271" t="s">
        <v>387</v>
      </c>
      <c r="AB271">
        <v>0</v>
      </c>
      <c r="AC271">
        <v>0</v>
      </c>
      <c r="AD271" t="s">
        <v>1187</v>
      </c>
      <c r="AE271">
        <v>0</v>
      </c>
      <c r="AF271" t="s">
        <v>1188</v>
      </c>
    </row>
    <row r="272" spans="1:33" x14ac:dyDescent="0.25">
      <c r="A272">
        <v>1</v>
      </c>
      <c r="C272" s="185"/>
      <c r="E272" t="s">
        <v>386</v>
      </c>
      <c r="I272">
        <v>4126</v>
      </c>
      <c r="J272" t="s">
        <v>1536</v>
      </c>
      <c r="K272" t="s">
        <v>1536</v>
      </c>
      <c r="L272" t="s">
        <v>386</v>
      </c>
      <c r="M272" t="s">
        <v>1184</v>
      </c>
      <c r="O272">
        <v>0</v>
      </c>
      <c r="R272" t="s">
        <v>1185</v>
      </c>
      <c r="T272">
        <v>0</v>
      </c>
      <c r="V272" t="s">
        <v>1186</v>
      </c>
      <c r="Z272" t="s">
        <v>865</v>
      </c>
      <c r="AA272" t="s">
        <v>387</v>
      </c>
      <c r="AB272">
        <v>0</v>
      </c>
      <c r="AC272">
        <v>0</v>
      </c>
      <c r="AD272" t="s">
        <v>1187</v>
      </c>
      <c r="AE272">
        <v>0</v>
      </c>
      <c r="AF272" t="s">
        <v>1188</v>
      </c>
    </row>
    <row r="273" spans="1:32" x14ac:dyDescent="0.25">
      <c r="A273">
        <v>1</v>
      </c>
      <c r="C273" s="185"/>
      <c r="E273" t="s">
        <v>386</v>
      </c>
      <c r="I273">
        <v>3696</v>
      </c>
      <c r="J273" t="s">
        <v>1537</v>
      </c>
      <c r="K273" t="s">
        <v>1537</v>
      </c>
      <c r="L273" t="s">
        <v>386</v>
      </c>
      <c r="M273" t="s">
        <v>1184</v>
      </c>
      <c r="O273">
        <v>0</v>
      </c>
      <c r="R273" t="s">
        <v>1185</v>
      </c>
      <c r="T273">
        <v>0</v>
      </c>
      <c r="V273" t="s">
        <v>1186</v>
      </c>
      <c r="Z273" t="s">
        <v>865</v>
      </c>
      <c r="AA273" t="s">
        <v>387</v>
      </c>
      <c r="AB273">
        <v>0</v>
      </c>
      <c r="AC273">
        <v>0</v>
      </c>
      <c r="AD273" t="s">
        <v>1187</v>
      </c>
      <c r="AE273">
        <v>0</v>
      </c>
      <c r="AF273" t="s">
        <v>1188</v>
      </c>
    </row>
    <row r="274" spans="1:32" x14ac:dyDescent="0.25">
      <c r="A274">
        <v>1</v>
      </c>
      <c r="C274" s="185"/>
      <c r="E274" t="s">
        <v>386</v>
      </c>
      <c r="I274">
        <v>4066</v>
      </c>
      <c r="J274" t="s">
        <v>1538</v>
      </c>
      <c r="K274" t="s">
        <v>1538</v>
      </c>
      <c r="L274" t="s">
        <v>386</v>
      </c>
      <c r="M274" t="s">
        <v>1184</v>
      </c>
      <c r="O274">
        <v>0</v>
      </c>
      <c r="R274" t="s">
        <v>1185</v>
      </c>
      <c r="T274">
        <v>0</v>
      </c>
      <c r="V274" t="s">
        <v>1186</v>
      </c>
      <c r="Z274" t="s">
        <v>865</v>
      </c>
      <c r="AA274" t="s">
        <v>387</v>
      </c>
      <c r="AB274">
        <v>0</v>
      </c>
      <c r="AC274">
        <v>0</v>
      </c>
      <c r="AD274" t="s">
        <v>1187</v>
      </c>
      <c r="AE274">
        <v>0</v>
      </c>
      <c r="AF274" t="s">
        <v>1188</v>
      </c>
    </row>
    <row r="275" spans="1:32" x14ac:dyDescent="0.25">
      <c r="A275">
        <v>1</v>
      </c>
      <c r="C275" s="185"/>
      <c r="E275" t="s">
        <v>386</v>
      </c>
      <c r="I275">
        <v>3650</v>
      </c>
      <c r="J275" t="s">
        <v>1539</v>
      </c>
      <c r="K275" t="s">
        <v>1539</v>
      </c>
      <c r="L275" t="s">
        <v>386</v>
      </c>
      <c r="M275" t="s">
        <v>1184</v>
      </c>
      <c r="O275">
        <v>0</v>
      </c>
      <c r="R275" t="s">
        <v>1185</v>
      </c>
      <c r="T275">
        <v>0</v>
      </c>
      <c r="V275" t="s">
        <v>1186</v>
      </c>
      <c r="Z275" t="s">
        <v>865</v>
      </c>
      <c r="AA275" t="s">
        <v>387</v>
      </c>
      <c r="AB275">
        <v>0</v>
      </c>
      <c r="AC275">
        <v>0</v>
      </c>
      <c r="AD275" t="s">
        <v>1187</v>
      </c>
      <c r="AE275">
        <v>0</v>
      </c>
      <c r="AF275" t="s">
        <v>1188</v>
      </c>
    </row>
    <row r="276" spans="1:32" x14ac:dyDescent="0.25">
      <c r="A276">
        <v>1</v>
      </c>
      <c r="C276" s="185"/>
      <c r="E276" t="s">
        <v>386</v>
      </c>
      <c r="I276">
        <v>4004</v>
      </c>
      <c r="J276" t="s">
        <v>1540</v>
      </c>
      <c r="K276" t="s">
        <v>1540</v>
      </c>
      <c r="L276" t="s">
        <v>386</v>
      </c>
      <c r="M276" t="s">
        <v>1184</v>
      </c>
      <c r="O276">
        <v>0</v>
      </c>
      <c r="R276" t="s">
        <v>1185</v>
      </c>
      <c r="T276">
        <v>0</v>
      </c>
      <c r="V276" t="s">
        <v>1186</v>
      </c>
      <c r="Z276" t="s">
        <v>865</v>
      </c>
      <c r="AA276" t="s">
        <v>387</v>
      </c>
      <c r="AB276">
        <v>0</v>
      </c>
      <c r="AC276">
        <v>0</v>
      </c>
      <c r="AD276" t="s">
        <v>1187</v>
      </c>
      <c r="AE276">
        <v>0</v>
      </c>
      <c r="AF276" t="s">
        <v>1188</v>
      </c>
    </row>
    <row r="277" spans="1:32" x14ac:dyDescent="0.25">
      <c r="A277">
        <v>1</v>
      </c>
      <c r="C277" s="185"/>
      <c r="E277" t="s">
        <v>386</v>
      </c>
      <c r="I277">
        <v>3795</v>
      </c>
      <c r="J277" t="s">
        <v>1541</v>
      </c>
      <c r="K277" t="s">
        <v>1541</v>
      </c>
      <c r="L277" t="s">
        <v>386</v>
      </c>
      <c r="M277" t="s">
        <v>1184</v>
      </c>
      <c r="O277">
        <v>0</v>
      </c>
      <c r="R277" t="s">
        <v>1185</v>
      </c>
      <c r="T277">
        <v>0</v>
      </c>
      <c r="V277" t="s">
        <v>1186</v>
      </c>
      <c r="Z277" t="s">
        <v>865</v>
      </c>
      <c r="AA277" t="s">
        <v>387</v>
      </c>
      <c r="AB277">
        <v>0</v>
      </c>
      <c r="AC277">
        <v>0</v>
      </c>
      <c r="AD277" t="s">
        <v>1187</v>
      </c>
      <c r="AE277">
        <v>0</v>
      </c>
      <c r="AF277" t="s">
        <v>1188</v>
      </c>
    </row>
    <row r="278" spans="1:32" x14ac:dyDescent="0.25">
      <c r="A278">
        <v>1</v>
      </c>
      <c r="C278" s="185"/>
      <c r="E278" t="s">
        <v>386</v>
      </c>
      <c r="I278">
        <v>4014</v>
      </c>
      <c r="J278" t="s">
        <v>1542</v>
      </c>
      <c r="K278" t="s">
        <v>1542</v>
      </c>
      <c r="L278" t="s">
        <v>386</v>
      </c>
      <c r="M278" t="s">
        <v>1184</v>
      </c>
      <c r="O278">
        <v>0</v>
      </c>
      <c r="R278" t="s">
        <v>1185</v>
      </c>
      <c r="T278">
        <v>0</v>
      </c>
      <c r="V278" t="s">
        <v>1186</v>
      </c>
      <c r="Z278" t="s">
        <v>865</v>
      </c>
      <c r="AA278" t="s">
        <v>387</v>
      </c>
      <c r="AB278">
        <v>0</v>
      </c>
      <c r="AC278">
        <v>0</v>
      </c>
      <c r="AD278" t="s">
        <v>1187</v>
      </c>
      <c r="AE278">
        <v>0</v>
      </c>
      <c r="AF278" t="s">
        <v>1188</v>
      </c>
    </row>
    <row r="279" spans="1:32" x14ac:dyDescent="0.25">
      <c r="A279">
        <v>1</v>
      </c>
      <c r="C279" s="185"/>
      <c r="E279" t="s">
        <v>386</v>
      </c>
      <c r="I279">
        <v>4028</v>
      </c>
      <c r="J279" t="s">
        <v>1543</v>
      </c>
      <c r="K279" t="s">
        <v>1543</v>
      </c>
      <c r="L279" t="s">
        <v>386</v>
      </c>
      <c r="M279" t="s">
        <v>1184</v>
      </c>
      <c r="O279">
        <v>0</v>
      </c>
      <c r="R279" t="s">
        <v>1185</v>
      </c>
      <c r="T279">
        <v>0</v>
      </c>
      <c r="V279" t="s">
        <v>1186</v>
      </c>
      <c r="Z279" t="s">
        <v>865</v>
      </c>
      <c r="AA279" t="s">
        <v>387</v>
      </c>
      <c r="AB279">
        <v>0</v>
      </c>
      <c r="AC279">
        <v>0</v>
      </c>
      <c r="AD279" t="s">
        <v>1187</v>
      </c>
      <c r="AE279">
        <v>0</v>
      </c>
      <c r="AF279" t="s">
        <v>1188</v>
      </c>
    </row>
    <row r="280" spans="1:32" x14ac:dyDescent="0.25">
      <c r="A280">
        <v>1</v>
      </c>
      <c r="C280" s="185"/>
      <c r="E280" t="s">
        <v>386</v>
      </c>
      <c r="I280">
        <v>3638</v>
      </c>
      <c r="J280" t="s">
        <v>1544</v>
      </c>
      <c r="K280" t="s">
        <v>1544</v>
      </c>
      <c r="L280" t="s">
        <v>386</v>
      </c>
      <c r="M280" t="s">
        <v>1184</v>
      </c>
      <c r="O280">
        <v>0</v>
      </c>
      <c r="R280" t="s">
        <v>1185</v>
      </c>
      <c r="T280">
        <v>0</v>
      </c>
      <c r="V280" t="s">
        <v>1186</v>
      </c>
      <c r="Z280" t="s">
        <v>865</v>
      </c>
      <c r="AA280" t="s">
        <v>387</v>
      </c>
      <c r="AB280">
        <v>0</v>
      </c>
      <c r="AC280">
        <v>0</v>
      </c>
      <c r="AD280" t="s">
        <v>1187</v>
      </c>
      <c r="AE280">
        <v>0</v>
      </c>
      <c r="AF280" t="s">
        <v>1188</v>
      </c>
    </row>
    <row r="281" spans="1:32" x14ac:dyDescent="0.25">
      <c r="A281">
        <v>1</v>
      </c>
      <c r="C281" s="185"/>
      <c r="E281" t="s">
        <v>386</v>
      </c>
      <c r="I281">
        <v>3780</v>
      </c>
      <c r="J281" t="s">
        <v>1545</v>
      </c>
      <c r="K281" t="s">
        <v>1545</v>
      </c>
      <c r="L281" t="s">
        <v>386</v>
      </c>
      <c r="M281" t="s">
        <v>1184</v>
      </c>
      <c r="O281">
        <v>0</v>
      </c>
      <c r="R281" t="s">
        <v>1185</v>
      </c>
      <c r="T281">
        <v>0</v>
      </c>
      <c r="V281" t="s">
        <v>1186</v>
      </c>
      <c r="Z281" t="s">
        <v>865</v>
      </c>
      <c r="AA281" t="s">
        <v>387</v>
      </c>
      <c r="AB281">
        <v>0</v>
      </c>
      <c r="AC281">
        <v>0</v>
      </c>
      <c r="AD281" t="s">
        <v>1187</v>
      </c>
      <c r="AE281">
        <v>0</v>
      </c>
      <c r="AF281" t="s">
        <v>1188</v>
      </c>
    </row>
    <row r="282" spans="1:32" x14ac:dyDescent="0.25">
      <c r="A282">
        <v>1</v>
      </c>
      <c r="C282" s="185"/>
      <c r="E282" t="s">
        <v>386</v>
      </c>
      <c r="I282">
        <v>3686</v>
      </c>
      <c r="J282" t="s">
        <v>1546</v>
      </c>
      <c r="K282" t="s">
        <v>1546</v>
      </c>
      <c r="L282" t="s">
        <v>386</v>
      </c>
      <c r="M282" t="s">
        <v>1184</v>
      </c>
      <c r="O282">
        <v>0</v>
      </c>
      <c r="R282" t="s">
        <v>1185</v>
      </c>
      <c r="T282">
        <v>0</v>
      </c>
      <c r="V282" t="s">
        <v>1186</v>
      </c>
      <c r="Z282" t="s">
        <v>865</v>
      </c>
      <c r="AA282" t="s">
        <v>387</v>
      </c>
      <c r="AB282">
        <v>0</v>
      </c>
      <c r="AC282">
        <v>0</v>
      </c>
      <c r="AD282" t="s">
        <v>1187</v>
      </c>
      <c r="AE282">
        <v>0</v>
      </c>
      <c r="AF282" t="s">
        <v>1188</v>
      </c>
    </row>
    <row r="283" spans="1:32" x14ac:dyDescent="0.25">
      <c r="A283">
        <v>1</v>
      </c>
      <c r="C283" s="185"/>
      <c r="E283" t="s">
        <v>386</v>
      </c>
      <c r="I283">
        <v>4087</v>
      </c>
      <c r="J283" t="s">
        <v>1547</v>
      </c>
      <c r="K283" t="s">
        <v>1547</v>
      </c>
      <c r="L283" t="s">
        <v>386</v>
      </c>
      <c r="M283" t="s">
        <v>1184</v>
      </c>
      <c r="O283">
        <v>0</v>
      </c>
      <c r="R283" t="s">
        <v>1185</v>
      </c>
      <c r="T283">
        <v>0</v>
      </c>
      <c r="V283" t="s">
        <v>1186</v>
      </c>
      <c r="Z283" t="s">
        <v>865</v>
      </c>
      <c r="AA283" t="s">
        <v>387</v>
      </c>
      <c r="AB283">
        <v>0</v>
      </c>
      <c r="AC283">
        <v>0</v>
      </c>
      <c r="AD283" t="s">
        <v>1187</v>
      </c>
      <c r="AE283">
        <v>0</v>
      </c>
      <c r="AF283" t="s">
        <v>1188</v>
      </c>
    </row>
    <row r="284" spans="1:32" x14ac:dyDescent="0.25">
      <c r="A284">
        <v>1</v>
      </c>
      <c r="C284" s="185"/>
      <c r="E284" t="s">
        <v>386</v>
      </c>
      <c r="I284">
        <v>3659</v>
      </c>
      <c r="J284" t="s">
        <v>1548</v>
      </c>
      <c r="K284" t="s">
        <v>1548</v>
      </c>
      <c r="L284" t="s">
        <v>386</v>
      </c>
      <c r="M284" t="s">
        <v>1184</v>
      </c>
      <c r="O284">
        <v>0</v>
      </c>
      <c r="R284" t="s">
        <v>1185</v>
      </c>
      <c r="T284">
        <v>0</v>
      </c>
      <c r="V284" t="s">
        <v>1186</v>
      </c>
      <c r="Z284" t="s">
        <v>865</v>
      </c>
      <c r="AA284" t="s">
        <v>387</v>
      </c>
      <c r="AB284">
        <v>0</v>
      </c>
      <c r="AC284">
        <v>0</v>
      </c>
      <c r="AD284" t="s">
        <v>1187</v>
      </c>
      <c r="AE284">
        <v>0</v>
      </c>
      <c r="AF284" t="s">
        <v>1188</v>
      </c>
    </row>
    <row r="285" spans="1:32" x14ac:dyDescent="0.25">
      <c r="A285">
        <v>1</v>
      </c>
      <c r="C285" s="185"/>
      <c r="E285" t="s">
        <v>386</v>
      </c>
      <c r="I285">
        <v>4202</v>
      </c>
      <c r="J285" t="s">
        <v>1549</v>
      </c>
      <c r="K285" t="s">
        <v>1549</v>
      </c>
      <c r="L285" t="s">
        <v>386</v>
      </c>
      <c r="M285" t="s">
        <v>1184</v>
      </c>
      <c r="O285">
        <v>0</v>
      </c>
      <c r="R285" t="s">
        <v>1185</v>
      </c>
      <c r="T285">
        <v>0</v>
      </c>
      <c r="V285" t="s">
        <v>1186</v>
      </c>
      <c r="Z285" t="s">
        <v>865</v>
      </c>
      <c r="AA285" t="s">
        <v>387</v>
      </c>
      <c r="AB285">
        <v>0</v>
      </c>
      <c r="AC285">
        <v>0</v>
      </c>
      <c r="AD285" t="s">
        <v>1187</v>
      </c>
      <c r="AE285">
        <v>0</v>
      </c>
      <c r="AF285" t="s">
        <v>1188</v>
      </c>
    </row>
    <row r="286" spans="1:32" x14ac:dyDescent="0.25">
      <c r="A286">
        <v>1</v>
      </c>
      <c r="C286" s="185"/>
      <c r="E286" t="s">
        <v>386</v>
      </c>
      <c r="I286">
        <v>3860</v>
      </c>
      <c r="J286" t="s">
        <v>1550</v>
      </c>
      <c r="K286" t="s">
        <v>1550</v>
      </c>
      <c r="L286" t="s">
        <v>386</v>
      </c>
      <c r="M286" t="s">
        <v>1184</v>
      </c>
      <c r="O286">
        <v>0</v>
      </c>
      <c r="R286" t="s">
        <v>1185</v>
      </c>
      <c r="T286">
        <v>0</v>
      </c>
      <c r="V286" t="s">
        <v>1186</v>
      </c>
      <c r="Z286" t="s">
        <v>865</v>
      </c>
      <c r="AA286" t="s">
        <v>387</v>
      </c>
      <c r="AB286">
        <v>0</v>
      </c>
      <c r="AC286">
        <v>0</v>
      </c>
      <c r="AD286" t="s">
        <v>1187</v>
      </c>
      <c r="AE286">
        <v>0</v>
      </c>
      <c r="AF286" t="s">
        <v>1188</v>
      </c>
    </row>
    <row r="287" spans="1:32" x14ac:dyDescent="0.25">
      <c r="A287">
        <v>1</v>
      </c>
      <c r="C287" s="185"/>
      <c r="E287" t="s">
        <v>386</v>
      </c>
      <c r="I287">
        <v>3537</v>
      </c>
      <c r="J287" t="s">
        <v>1551</v>
      </c>
      <c r="K287" t="s">
        <v>1551</v>
      </c>
      <c r="L287" t="s">
        <v>386</v>
      </c>
      <c r="M287" t="s">
        <v>1184</v>
      </c>
      <c r="O287">
        <v>0</v>
      </c>
      <c r="R287" t="s">
        <v>1185</v>
      </c>
      <c r="T287">
        <v>0</v>
      </c>
      <c r="V287" t="s">
        <v>1186</v>
      </c>
      <c r="Z287" t="s">
        <v>865</v>
      </c>
      <c r="AA287" t="s">
        <v>387</v>
      </c>
      <c r="AB287">
        <v>0</v>
      </c>
      <c r="AC287">
        <v>0</v>
      </c>
      <c r="AD287" t="s">
        <v>1187</v>
      </c>
      <c r="AE287">
        <v>0</v>
      </c>
      <c r="AF287" t="s">
        <v>1188</v>
      </c>
    </row>
    <row r="288" spans="1:32" x14ac:dyDescent="0.25">
      <c r="A288">
        <v>1</v>
      </c>
      <c r="C288" s="185"/>
      <c r="E288" t="s">
        <v>386</v>
      </c>
      <c r="I288">
        <v>4165</v>
      </c>
      <c r="J288" t="s">
        <v>1552</v>
      </c>
      <c r="K288" t="s">
        <v>1552</v>
      </c>
      <c r="L288" t="s">
        <v>386</v>
      </c>
      <c r="M288" t="s">
        <v>1184</v>
      </c>
      <c r="O288">
        <v>0</v>
      </c>
      <c r="R288" t="s">
        <v>1185</v>
      </c>
      <c r="T288">
        <v>0</v>
      </c>
      <c r="V288" t="s">
        <v>1186</v>
      </c>
      <c r="Z288" t="s">
        <v>865</v>
      </c>
      <c r="AA288" t="s">
        <v>387</v>
      </c>
      <c r="AB288">
        <v>0</v>
      </c>
      <c r="AC288">
        <v>0</v>
      </c>
      <c r="AD288" t="s">
        <v>1187</v>
      </c>
      <c r="AE288">
        <v>0</v>
      </c>
      <c r="AF288" t="s">
        <v>1188</v>
      </c>
    </row>
    <row r="289" spans="1:32" x14ac:dyDescent="0.25">
      <c r="A289">
        <v>1</v>
      </c>
      <c r="C289" s="185"/>
      <c r="E289" t="s">
        <v>386</v>
      </c>
      <c r="I289">
        <v>3949</v>
      </c>
      <c r="J289" t="s">
        <v>1553</v>
      </c>
      <c r="K289" t="s">
        <v>1553</v>
      </c>
      <c r="L289" t="s">
        <v>386</v>
      </c>
      <c r="M289" t="s">
        <v>1184</v>
      </c>
      <c r="O289">
        <v>0</v>
      </c>
      <c r="R289" t="s">
        <v>1185</v>
      </c>
      <c r="T289">
        <v>0</v>
      </c>
      <c r="V289" t="s">
        <v>1186</v>
      </c>
      <c r="Z289" t="s">
        <v>865</v>
      </c>
      <c r="AA289" t="s">
        <v>387</v>
      </c>
      <c r="AB289">
        <v>0</v>
      </c>
      <c r="AC289">
        <v>0</v>
      </c>
      <c r="AD289" t="s">
        <v>1187</v>
      </c>
      <c r="AE289">
        <v>0</v>
      </c>
      <c r="AF289" t="s">
        <v>1188</v>
      </c>
    </row>
    <row r="290" spans="1:32" x14ac:dyDescent="0.25">
      <c r="A290">
        <v>1</v>
      </c>
      <c r="C290" s="185"/>
      <c r="E290" t="s">
        <v>386</v>
      </c>
      <c r="I290">
        <v>3702</v>
      </c>
      <c r="J290" t="s">
        <v>1554</v>
      </c>
      <c r="K290" t="s">
        <v>1554</v>
      </c>
      <c r="L290" t="s">
        <v>386</v>
      </c>
      <c r="M290" t="s">
        <v>1184</v>
      </c>
      <c r="O290">
        <v>0</v>
      </c>
      <c r="R290" t="s">
        <v>1185</v>
      </c>
      <c r="T290">
        <v>0</v>
      </c>
      <c r="V290" t="s">
        <v>1186</v>
      </c>
      <c r="Z290" t="s">
        <v>865</v>
      </c>
      <c r="AA290" t="s">
        <v>387</v>
      </c>
      <c r="AB290">
        <v>0</v>
      </c>
      <c r="AC290">
        <v>0</v>
      </c>
      <c r="AD290" t="s">
        <v>1187</v>
      </c>
      <c r="AE290">
        <v>0</v>
      </c>
      <c r="AF290" t="s">
        <v>1188</v>
      </c>
    </row>
    <row r="291" spans="1:32" x14ac:dyDescent="0.25">
      <c r="A291">
        <v>1</v>
      </c>
      <c r="C291" s="185"/>
      <c r="E291" t="s">
        <v>386</v>
      </c>
      <c r="I291">
        <v>3718</v>
      </c>
      <c r="J291" t="s">
        <v>1555</v>
      </c>
      <c r="K291" t="s">
        <v>1555</v>
      </c>
      <c r="L291" t="s">
        <v>386</v>
      </c>
      <c r="M291" t="s">
        <v>1184</v>
      </c>
      <c r="O291">
        <v>0</v>
      </c>
      <c r="R291" t="s">
        <v>1185</v>
      </c>
      <c r="T291">
        <v>0</v>
      </c>
      <c r="V291" t="s">
        <v>1186</v>
      </c>
      <c r="Z291" t="s">
        <v>865</v>
      </c>
      <c r="AA291" t="s">
        <v>387</v>
      </c>
      <c r="AB291">
        <v>0</v>
      </c>
      <c r="AC291">
        <v>0</v>
      </c>
      <c r="AD291" t="s">
        <v>1187</v>
      </c>
      <c r="AE291">
        <v>0</v>
      </c>
      <c r="AF291" t="s">
        <v>1188</v>
      </c>
    </row>
    <row r="292" spans="1:32" x14ac:dyDescent="0.25">
      <c r="A292">
        <v>1</v>
      </c>
      <c r="C292" s="185"/>
      <c r="E292" t="s">
        <v>386</v>
      </c>
      <c r="I292">
        <v>3840</v>
      </c>
      <c r="J292" t="s">
        <v>1556</v>
      </c>
      <c r="K292" t="s">
        <v>1556</v>
      </c>
      <c r="L292" t="s">
        <v>386</v>
      </c>
      <c r="M292" t="s">
        <v>1184</v>
      </c>
      <c r="O292">
        <v>0</v>
      </c>
      <c r="R292" t="s">
        <v>1185</v>
      </c>
      <c r="T292">
        <v>0</v>
      </c>
      <c r="V292" t="s">
        <v>1186</v>
      </c>
      <c r="Z292" t="s">
        <v>865</v>
      </c>
      <c r="AA292" t="s">
        <v>387</v>
      </c>
      <c r="AB292">
        <v>0</v>
      </c>
      <c r="AC292">
        <v>0</v>
      </c>
      <c r="AD292" t="s">
        <v>1187</v>
      </c>
      <c r="AE292">
        <v>0</v>
      </c>
      <c r="AF292" t="s">
        <v>1188</v>
      </c>
    </row>
    <row r="293" spans="1:32" x14ac:dyDescent="0.25">
      <c r="A293">
        <v>1</v>
      </c>
      <c r="C293" s="185"/>
      <c r="E293" t="s">
        <v>386</v>
      </c>
      <c r="I293">
        <v>3629</v>
      </c>
      <c r="J293" t="s">
        <v>1557</v>
      </c>
      <c r="K293" t="s">
        <v>1557</v>
      </c>
      <c r="L293" t="s">
        <v>386</v>
      </c>
      <c r="M293" t="s">
        <v>1184</v>
      </c>
      <c r="O293">
        <v>0</v>
      </c>
      <c r="R293" t="s">
        <v>1185</v>
      </c>
      <c r="T293">
        <v>0</v>
      </c>
      <c r="V293" t="s">
        <v>1186</v>
      </c>
      <c r="Z293" t="s">
        <v>865</v>
      </c>
      <c r="AA293" t="s">
        <v>387</v>
      </c>
      <c r="AB293">
        <v>0</v>
      </c>
      <c r="AC293">
        <v>0</v>
      </c>
      <c r="AD293" t="s">
        <v>1187</v>
      </c>
      <c r="AE293">
        <v>0</v>
      </c>
      <c r="AF293" t="s">
        <v>1188</v>
      </c>
    </row>
    <row r="294" spans="1:32" x14ac:dyDescent="0.25">
      <c r="A294">
        <v>1</v>
      </c>
      <c r="C294" s="185"/>
      <c r="E294" t="s">
        <v>386</v>
      </c>
      <c r="I294">
        <v>3961</v>
      </c>
      <c r="J294" t="s">
        <v>1558</v>
      </c>
      <c r="K294" t="s">
        <v>1558</v>
      </c>
      <c r="L294" t="s">
        <v>386</v>
      </c>
      <c r="M294" t="s">
        <v>1184</v>
      </c>
      <c r="O294">
        <v>0</v>
      </c>
      <c r="R294" t="s">
        <v>1185</v>
      </c>
      <c r="T294">
        <v>0</v>
      </c>
      <c r="V294" t="s">
        <v>1186</v>
      </c>
      <c r="Z294" t="s">
        <v>865</v>
      </c>
      <c r="AA294" t="s">
        <v>387</v>
      </c>
      <c r="AB294">
        <v>0</v>
      </c>
      <c r="AC294">
        <v>0</v>
      </c>
      <c r="AD294" t="s">
        <v>1187</v>
      </c>
      <c r="AE294">
        <v>0</v>
      </c>
      <c r="AF294" t="s">
        <v>1188</v>
      </c>
    </row>
    <row r="295" spans="1:32" x14ac:dyDescent="0.25">
      <c r="A295">
        <v>1</v>
      </c>
      <c r="C295" s="185"/>
      <c r="E295" t="s">
        <v>386</v>
      </c>
      <c r="I295">
        <v>3607</v>
      </c>
      <c r="J295" t="s">
        <v>1559</v>
      </c>
      <c r="K295" t="s">
        <v>1559</v>
      </c>
      <c r="L295" t="s">
        <v>386</v>
      </c>
      <c r="M295" t="s">
        <v>1184</v>
      </c>
      <c r="O295">
        <v>0</v>
      </c>
      <c r="R295" t="s">
        <v>1185</v>
      </c>
      <c r="T295">
        <v>0</v>
      </c>
      <c r="V295" t="s">
        <v>1186</v>
      </c>
      <c r="Z295" t="s">
        <v>865</v>
      </c>
      <c r="AA295" t="s">
        <v>387</v>
      </c>
      <c r="AB295">
        <v>0</v>
      </c>
      <c r="AC295">
        <v>0</v>
      </c>
      <c r="AD295" t="s">
        <v>1187</v>
      </c>
      <c r="AE295">
        <v>0</v>
      </c>
      <c r="AF295" t="s">
        <v>1188</v>
      </c>
    </row>
    <row r="296" spans="1:32" x14ac:dyDescent="0.25">
      <c r="A296">
        <v>1</v>
      </c>
      <c r="C296" s="185"/>
      <c r="E296" t="s">
        <v>386</v>
      </c>
      <c r="I296">
        <v>4101</v>
      </c>
      <c r="J296" t="s">
        <v>1560</v>
      </c>
      <c r="K296" t="s">
        <v>1560</v>
      </c>
      <c r="L296" t="s">
        <v>386</v>
      </c>
      <c r="M296" t="s">
        <v>1184</v>
      </c>
      <c r="O296">
        <v>0</v>
      </c>
      <c r="R296" t="s">
        <v>1185</v>
      </c>
      <c r="T296">
        <v>0</v>
      </c>
      <c r="V296" t="s">
        <v>1186</v>
      </c>
      <c r="Z296" t="s">
        <v>865</v>
      </c>
      <c r="AA296" t="s">
        <v>387</v>
      </c>
      <c r="AB296">
        <v>0</v>
      </c>
      <c r="AC296">
        <v>0</v>
      </c>
      <c r="AD296" t="s">
        <v>1187</v>
      </c>
      <c r="AE296">
        <v>0</v>
      </c>
      <c r="AF296" t="s">
        <v>1188</v>
      </c>
    </row>
    <row r="297" spans="1:32" x14ac:dyDescent="0.25">
      <c r="A297">
        <v>1</v>
      </c>
      <c r="C297" s="185"/>
      <c r="E297" t="s">
        <v>386</v>
      </c>
      <c r="I297">
        <v>4086</v>
      </c>
      <c r="J297" t="s">
        <v>1561</v>
      </c>
      <c r="K297" t="s">
        <v>1561</v>
      </c>
      <c r="L297" t="s">
        <v>386</v>
      </c>
      <c r="M297" t="s">
        <v>1184</v>
      </c>
      <c r="O297">
        <v>0</v>
      </c>
      <c r="R297" t="s">
        <v>1185</v>
      </c>
      <c r="T297">
        <v>0</v>
      </c>
      <c r="V297" t="s">
        <v>1186</v>
      </c>
      <c r="Z297" t="s">
        <v>865</v>
      </c>
      <c r="AA297" t="s">
        <v>387</v>
      </c>
      <c r="AB297">
        <v>0</v>
      </c>
      <c r="AC297">
        <v>0</v>
      </c>
      <c r="AD297" t="s">
        <v>1187</v>
      </c>
      <c r="AE297">
        <v>0</v>
      </c>
      <c r="AF297" t="s">
        <v>1188</v>
      </c>
    </row>
    <row r="298" spans="1:32" x14ac:dyDescent="0.25">
      <c r="A298">
        <v>1</v>
      </c>
      <c r="C298" s="185"/>
      <c r="E298" t="s">
        <v>386</v>
      </c>
      <c r="I298">
        <v>4078</v>
      </c>
      <c r="J298" t="s">
        <v>1562</v>
      </c>
      <c r="K298" t="s">
        <v>1562</v>
      </c>
      <c r="L298" t="s">
        <v>386</v>
      </c>
      <c r="M298" t="s">
        <v>1184</v>
      </c>
      <c r="O298">
        <v>0</v>
      </c>
      <c r="R298" t="s">
        <v>1185</v>
      </c>
      <c r="T298">
        <v>0</v>
      </c>
      <c r="V298" t="s">
        <v>1186</v>
      </c>
      <c r="Z298" t="s">
        <v>865</v>
      </c>
      <c r="AA298" t="s">
        <v>387</v>
      </c>
      <c r="AB298">
        <v>0</v>
      </c>
      <c r="AC298">
        <v>0</v>
      </c>
      <c r="AD298" t="s">
        <v>1187</v>
      </c>
      <c r="AE298">
        <v>0</v>
      </c>
      <c r="AF298" t="s">
        <v>1188</v>
      </c>
    </row>
    <row r="299" spans="1:32" x14ac:dyDescent="0.25">
      <c r="A299">
        <v>1</v>
      </c>
      <c r="C299" s="185"/>
      <c r="E299" t="s">
        <v>386</v>
      </c>
      <c r="I299">
        <v>4123</v>
      </c>
      <c r="J299" t="s">
        <v>1563</v>
      </c>
      <c r="K299" t="s">
        <v>1563</v>
      </c>
      <c r="L299" t="s">
        <v>386</v>
      </c>
      <c r="M299" t="s">
        <v>1184</v>
      </c>
      <c r="O299">
        <v>0</v>
      </c>
      <c r="R299" t="s">
        <v>1185</v>
      </c>
      <c r="T299">
        <v>0</v>
      </c>
      <c r="V299" t="s">
        <v>1186</v>
      </c>
      <c r="Z299" t="s">
        <v>865</v>
      </c>
      <c r="AA299" t="s">
        <v>387</v>
      </c>
      <c r="AB299">
        <v>0</v>
      </c>
      <c r="AC299">
        <v>0</v>
      </c>
      <c r="AD299" t="s">
        <v>1187</v>
      </c>
      <c r="AE299">
        <v>0</v>
      </c>
      <c r="AF299" t="s">
        <v>1188</v>
      </c>
    </row>
    <row r="300" spans="1:32" x14ac:dyDescent="0.25">
      <c r="A300">
        <v>1</v>
      </c>
      <c r="C300" s="185"/>
      <c r="E300" t="s">
        <v>386</v>
      </c>
      <c r="I300">
        <v>3759</v>
      </c>
      <c r="J300" t="s">
        <v>1564</v>
      </c>
      <c r="K300" t="s">
        <v>1564</v>
      </c>
      <c r="L300" t="s">
        <v>386</v>
      </c>
      <c r="M300" t="s">
        <v>1184</v>
      </c>
      <c r="O300">
        <v>0</v>
      </c>
      <c r="R300" t="s">
        <v>1185</v>
      </c>
      <c r="T300">
        <v>0</v>
      </c>
      <c r="V300" t="s">
        <v>1186</v>
      </c>
      <c r="Z300" t="s">
        <v>865</v>
      </c>
      <c r="AA300" t="s">
        <v>387</v>
      </c>
      <c r="AB300">
        <v>0</v>
      </c>
      <c r="AC300">
        <v>0</v>
      </c>
      <c r="AD300" t="s">
        <v>1187</v>
      </c>
      <c r="AE300">
        <v>0</v>
      </c>
      <c r="AF300" t="s">
        <v>1188</v>
      </c>
    </row>
    <row r="301" spans="1:32" x14ac:dyDescent="0.25">
      <c r="A301">
        <v>1</v>
      </c>
      <c r="C301" s="185"/>
      <c r="E301" t="s">
        <v>386</v>
      </c>
      <c r="I301">
        <v>3552</v>
      </c>
      <c r="J301" t="s">
        <v>1565</v>
      </c>
      <c r="K301" t="s">
        <v>1565</v>
      </c>
      <c r="L301" t="s">
        <v>386</v>
      </c>
      <c r="M301" t="s">
        <v>1184</v>
      </c>
      <c r="O301">
        <v>0</v>
      </c>
      <c r="R301" t="s">
        <v>1185</v>
      </c>
      <c r="T301">
        <v>0</v>
      </c>
      <c r="V301" t="s">
        <v>1186</v>
      </c>
      <c r="Z301" t="s">
        <v>865</v>
      </c>
      <c r="AA301" t="s">
        <v>387</v>
      </c>
      <c r="AB301">
        <v>0</v>
      </c>
      <c r="AC301">
        <v>0</v>
      </c>
      <c r="AD301" t="s">
        <v>1187</v>
      </c>
      <c r="AE301">
        <v>0</v>
      </c>
      <c r="AF301" t="s">
        <v>1188</v>
      </c>
    </row>
    <row r="302" spans="1:32" x14ac:dyDescent="0.25">
      <c r="A302">
        <v>1</v>
      </c>
      <c r="C302" s="185"/>
      <c r="E302" t="s">
        <v>386</v>
      </c>
      <c r="I302">
        <v>4105</v>
      </c>
      <c r="J302" t="s">
        <v>1566</v>
      </c>
      <c r="K302" t="s">
        <v>1566</v>
      </c>
      <c r="L302" t="s">
        <v>386</v>
      </c>
      <c r="M302" t="s">
        <v>1184</v>
      </c>
      <c r="O302">
        <v>0</v>
      </c>
      <c r="R302" t="s">
        <v>1185</v>
      </c>
      <c r="T302">
        <v>0</v>
      </c>
      <c r="V302" t="s">
        <v>1186</v>
      </c>
      <c r="Z302" t="s">
        <v>865</v>
      </c>
      <c r="AA302" t="s">
        <v>387</v>
      </c>
      <c r="AB302">
        <v>0</v>
      </c>
      <c r="AC302">
        <v>0</v>
      </c>
      <c r="AD302" t="s">
        <v>1187</v>
      </c>
      <c r="AE302">
        <v>0</v>
      </c>
      <c r="AF302" t="s">
        <v>1188</v>
      </c>
    </row>
    <row r="303" spans="1:32" x14ac:dyDescent="0.25">
      <c r="A303">
        <v>1</v>
      </c>
      <c r="C303" s="185"/>
      <c r="E303" t="s">
        <v>386</v>
      </c>
      <c r="I303">
        <v>4070</v>
      </c>
      <c r="J303" t="s">
        <v>1567</v>
      </c>
      <c r="K303" t="s">
        <v>1567</v>
      </c>
      <c r="L303" t="s">
        <v>386</v>
      </c>
      <c r="M303" t="s">
        <v>1184</v>
      </c>
      <c r="O303">
        <v>0</v>
      </c>
      <c r="R303" t="s">
        <v>1185</v>
      </c>
      <c r="T303">
        <v>0</v>
      </c>
      <c r="V303" t="s">
        <v>1186</v>
      </c>
      <c r="Z303" t="s">
        <v>865</v>
      </c>
      <c r="AA303" t="s">
        <v>387</v>
      </c>
      <c r="AB303">
        <v>0</v>
      </c>
      <c r="AC303">
        <v>0</v>
      </c>
      <c r="AD303" t="s">
        <v>1187</v>
      </c>
      <c r="AE303">
        <v>0</v>
      </c>
      <c r="AF303" t="s">
        <v>1188</v>
      </c>
    </row>
    <row r="304" spans="1:32" x14ac:dyDescent="0.25">
      <c r="A304">
        <v>1</v>
      </c>
      <c r="C304" s="185"/>
      <c r="E304" t="s">
        <v>386</v>
      </c>
      <c r="I304">
        <v>4169</v>
      </c>
      <c r="J304" t="s">
        <v>1568</v>
      </c>
      <c r="K304" t="s">
        <v>1568</v>
      </c>
      <c r="L304" t="s">
        <v>386</v>
      </c>
      <c r="M304" t="s">
        <v>1184</v>
      </c>
      <c r="O304">
        <v>0</v>
      </c>
      <c r="R304" t="s">
        <v>1185</v>
      </c>
      <c r="T304">
        <v>0</v>
      </c>
      <c r="V304" t="s">
        <v>1186</v>
      </c>
      <c r="Z304" t="s">
        <v>865</v>
      </c>
      <c r="AA304" t="s">
        <v>387</v>
      </c>
      <c r="AB304">
        <v>0</v>
      </c>
      <c r="AC304">
        <v>0</v>
      </c>
      <c r="AD304" t="s">
        <v>1187</v>
      </c>
      <c r="AE304">
        <v>0</v>
      </c>
      <c r="AF304" t="s">
        <v>1188</v>
      </c>
    </row>
    <row r="305" spans="1:32" x14ac:dyDescent="0.25">
      <c r="A305">
        <v>1</v>
      </c>
      <c r="C305" s="185"/>
      <c r="E305" t="s">
        <v>386</v>
      </c>
      <c r="I305">
        <v>3664</v>
      </c>
      <c r="J305" t="s">
        <v>1569</v>
      </c>
      <c r="K305" t="s">
        <v>1569</v>
      </c>
      <c r="L305" t="s">
        <v>386</v>
      </c>
      <c r="M305" t="s">
        <v>1184</v>
      </c>
      <c r="O305">
        <v>0</v>
      </c>
      <c r="R305" t="s">
        <v>1185</v>
      </c>
      <c r="T305">
        <v>0</v>
      </c>
      <c r="V305" t="s">
        <v>1186</v>
      </c>
      <c r="Z305" t="s">
        <v>865</v>
      </c>
      <c r="AA305" t="s">
        <v>387</v>
      </c>
      <c r="AB305">
        <v>0</v>
      </c>
      <c r="AC305">
        <v>0</v>
      </c>
      <c r="AD305" t="s">
        <v>1187</v>
      </c>
      <c r="AE305">
        <v>0</v>
      </c>
      <c r="AF305" t="s">
        <v>1188</v>
      </c>
    </row>
    <row r="306" spans="1:32" x14ac:dyDescent="0.25">
      <c r="A306">
        <v>1</v>
      </c>
      <c r="C306" s="185"/>
      <c r="E306" t="s">
        <v>386</v>
      </c>
      <c r="I306">
        <v>3849</v>
      </c>
      <c r="J306" t="s">
        <v>1570</v>
      </c>
      <c r="K306" t="s">
        <v>1570</v>
      </c>
      <c r="L306" t="s">
        <v>386</v>
      </c>
      <c r="M306" t="s">
        <v>1184</v>
      </c>
      <c r="O306">
        <v>0</v>
      </c>
      <c r="R306" t="s">
        <v>1185</v>
      </c>
      <c r="T306">
        <v>0</v>
      </c>
      <c r="V306" t="s">
        <v>1186</v>
      </c>
      <c r="Z306" t="s">
        <v>865</v>
      </c>
      <c r="AA306" t="s">
        <v>387</v>
      </c>
      <c r="AB306">
        <v>0</v>
      </c>
      <c r="AC306">
        <v>0</v>
      </c>
      <c r="AD306" t="s">
        <v>1187</v>
      </c>
      <c r="AE306">
        <v>0</v>
      </c>
      <c r="AF306" t="s">
        <v>1188</v>
      </c>
    </row>
    <row r="307" spans="1:32" x14ac:dyDescent="0.25">
      <c r="A307">
        <v>1</v>
      </c>
      <c r="C307" s="185"/>
      <c r="E307" t="s">
        <v>386</v>
      </c>
      <c r="I307">
        <v>3878</v>
      </c>
      <c r="J307" t="s">
        <v>1571</v>
      </c>
      <c r="K307" t="s">
        <v>1571</v>
      </c>
      <c r="L307" t="s">
        <v>386</v>
      </c>
      <c r="M307" t="s">
        <v>1184</v>
      </c>
      <c r="O307">
        <v>0</v>
      </c>
      <c r="R307" t="s">
        <v>1185</v>
      </c>
      <c r="T307">
        <v>0</v>
      </c>
      <c r="V307" t="s">
        <v>1186</v>
      </c>
      <c r="Z307" t="s">
        <v>865</v>
      </c>
      <c r="AA307" t="s">
        <v>387</v>
      </c>
      <c r="AB307">
        <v>0</v>
      </c>
      <c r="AC307">
        <v>0</v>
      </c>
      <c r="AD307" t="s">
        <v>1187</v>
      </c>
      <c r="AE307">
        <v>0</v>
      </c>
      <c r="AF307" t="s">
        <v>1188</v>
      </c>
    </row>
    <row r="308" spans="1:32" x14ac:dyDescent="0.25">
      <c r="A308">
        <v>1</v>
      </c>
      <c r="C308" s="185"/>
      <c r="E308" t="s">
        <v>386</v>
      </c>
      <c r="I308">
        <v>3551</v>
      </c>
      <c r="J308" t="s">
        <v>1572</v>
      </c>
      <c r="K308" t="s">
        <v>1572</v>
      </c>
      <c r="L308" t="s">
        <v>386</v>
      </c>
      <c r="M308" t="s">
        <v>1184</v>
      </c>
      <c r="O308">
        <v>0</v>
      </c>
      <c r="R308" t="s">
        <v>1185</v>
      </c>
      <c r="T308">
        <v>0</v>
      </c>
      <c r="V308" t="s">
        <v>1186</v>
      </c>
      <c r="Z308" t="s">
        <v>865</v>
      </c>
      <c r="AA308" t="s">
        <v>387</v>
      </c>
      <c r="AB308">
        <v>0</v>
      </c>
      <c r="AC308">
        <v>0</v>
      </c>
      <c r="AD308" t="s">
        <v>1187</v>
      </c>
      <c r="AE308">
        <v>0</v>
      </c>
      <c r="AF308" t="s">
        <v>1188</v>
      </c>
    </row>
    <row r="309" spans="1:32" x14ac:dyDescent="0.25">
      <c r="A309">
        <v>1</v>
      </c>
      <c r="C309" s="185"/>
      <c r="E309" t="s">
        <v>386</v>
      </c>
      <c r="I309">
        <v>3938</v>
      </c>
      <c r="J309" t="s">
        <v>1573</v>
      </c>
      <c r="K309" t="s">
        <v>1573</v>
      </c>
      <c r="L309" t="s">
        <v>386</v>
      </c>
      <c r="M309" t="s">
        <v>1184</v>
      </c>
      <c r="O309">
        <v>0</v>
      </c>
      <c r="R309" t="s">
        <v>1185</v>
      </c>
      <c r="T309">
        <v>0</v>
      </c>
      <c r="V309" t="s">
        <v>1186</v>
      </c>
      <c r="Z309" t="s">
        <v>865</v>
      </c>
      <c r="AA309" t="s">
        <v>387</v>
      </c>
      <c r="AB309">
        <v>0</v>
      </c>
      <c r="AC309">
        <v>0</v>
      </c>
      <c r="AD309" t="s">
        <v>1187</v>
      </c>
      <c r="AE309">
        <v>0</v>
      </c>
      <c r="AF309" t="s">
        <v>1188</v>
      </c>
    </row>
    <row r="310" spans="1:32" x14ac:dyDescent="0.25">
      <c r="A310">
        <v>1</v>
      </c>
      <c r="C310" s="185"/>
      <c r="E310" t="s">
        <v>386</v>
      </c>
      <c r="I310">
        <v>3656</v>
      </c>
      <c r="J310" t="s">
        <v>1574</v>
      </c>
      <c r="K310" t="s">
        <v>1574</v>
      </c>
      <c r="L310" t="s">
        <v>386</v>
      </c>
      <c r="M310" t="s">
        <v>1184</v>
      </c>
      <c r="O310">
        <v>0</v>
      </c>
      <c r="R310" t="s">
        <v>1185</v>
      </c>
      <c r="T310">
        <v>0</v>
      </c>
      <c r="V310" t="s">
        <v>1186</v>
      </c>
      <c r="Z310" t="s">
        <v>865</v>
      </c>
      <c r="AA310" t="s">
        <v>387</v>
      </c>
      <c r="AB310">
        <v>0</v>
      </c>
      <c r="AC310">
        <v>0</v>
      </c>
      <c r="AD310" t="s">
        <v>1187</v>
      </c>
      <c r="AE310">
        <v>0</v>
      </c>
      <c r="AF310" t="s">
        <v>1188</v>
      </c>
    </row>
    <row r="311" spans="1:32" x14ac:dyDescent="0.25">
      <c r="A311">
        <v>1</v>
      </c>
      <c r="C311" s="185"/>
      <c r="E311" t="s">
        <v>386</v>
      </c>
      <c r="I311">
        <v>3824</v>
      </c>
      <c r="J311" t="s">
        <v>1575</v>
      </c>
      <c r="K311" t="s">
        <v>1575</v>
      </c>
      <c r="L311" t="s">
        <v>386</v>
      </c>
      <c r="M311" t="s">
        <v>1184</v>
      </c>
      <c r="O311">
        <v>0</v>
      </c>
      <c r="R311" t="s">
        <v>1185</v>
      </c>
      <c r="T311">
        <v>0</v>
      </c>
      <c r="V311" t="s">
        <v>1186</v>
      </c>
      <c r="Z311" t="s">
        <v>865</v>
      </c>
      <c r="AA311" t="s">
        <v>387</v>
      </c>
      <c r="AB311">
        <v>0</v>
      </c>
      <c r="AC311">
        <v>0</v>
      </c>
      <c r="AD311" t="s">
        <v>1187</v>
      </c>
      <c r="AE311">
        <v>0</v>
      </c>
      <c r="AF311" t="s">
        <v>1188</v>
      </c>
    </row>
    <row r="312" spans="1:32" x14ac:dyDescent="0.25">
      <c r="A312">
        <v>1</v>
      </c>
      <c r="C312" s="185"/>
      <c r="E312" t="s">
        <v>386</v>
      </c>
      <c r="I312">
        <v>3837</v>
      </c>
      <c r="J312" t="s">
        <v>1576</v>
      </c>
      <c r="K312" t="s">
        <v>1576</v>
      </c>
      <c r="L312" t="s">
        <v>386</v>
      </c>
      <c r="M312" t="s">
        <v>1184</v>
      </c>
      <c r="O312">
        <v>0</v>
      </c>
      <c r="R312" t="s">
        <v>1185</v>
      </c>
      <c r="T312">
        <v>0</v>
      </c>
      <c r="V312" t="s">
        <v>1186</v>
      </c>
      <c r="Z312" t="s">
        <v>865</v>
      </c>
      <c r="AA312" t="s">
        <v>387</v>
      </c>
      <c r="AB312">
        <v>0</v>
      </c>
      <c r="AC312">
        <v>0</v>
      </c>
      <c r="AD312" t="s">
        <v>1187</v>
      </c>
      <c r="AE312">
        <v>0</v>
      </c>
      <c r="AF312" t="s">
        <v>1188</v>
      </c>
    </row>
    <row r="313" spans="1:32" x14ac:dyDescent="0.25">
      <c r="A313">
        <v>1</v>
      </c>
      <c r="C313" s="185"/>
      <c r="E313" t="s">
        <v>386</v>
      </c>
      <c r="I313">
        <v>3640</v>
      </c>
      <c r="J313" t="s">
        <v>1577</v>
      </c>
      <c r="K313" t="s">
        <v>1577</v>
      </c>
      <c r="L313" t="s">
        <v>386</v>
      </c>
      <c r="M313" t="s">
        <v>1184</v>
      </c>
      <c r="O313">
        <v>0</v>
      </c>
      <c r="R313" t="s">
        <v>1185</v>
      </c>
      <c r="T313">
        <v>0</v>
      </c>
      <c r="V313" t="s">
        <v>1186</v>
      </c>
      <c r="Z313" t="s">
        <v>865</v>
      </c>
      <c r="AA313" t="s">
        <v>387</v>
      </c>
      <c r="AB313">
        <v>0</v>
      </c>
      <c r="AC313">
        <v>0</v>
      </c>
      <c r="AD313" t="s">
        <v>1187</v>
      </c>
      <c r="AE313">
        <v>0</v>
      </c>
      <c r="AF313" t="s">
        <v>1188</v>
      </c>
    </row>
    <row r="314" spans="1:32" x14ac:dyDescent="0.25">
      <c r="A314">
        <v>1</v>
      </c>
      <c r="C314" s="185"/>
      <c r="E314" t="s">
        <v>386</v>
      </c>
      <c r="I314">
        <v>3634</v>
      </c>
      <c r="J314" t="s">
        <v>1578</v>
      </c>
      <c r="K314" t="s">
        <v>1578</v>
      </c>
      <c r="L314" t="s">
        <v>386</v>
      </c>
      <c r="M314" t="s">
        <v>1184</v>
      </c>
      <c r="O314">
        <v>0</v>
      </c>
      <c r="R314" t="s">
        <v>1185</v>
      </c>
      <c r="T314">
        <v>0</v>
      </c>
      <c r="V314" t="s">
        <v>1186</v>
      </c>
      <c r="Z314" t="s">
        <v>865</v>
      </c>
      <c r="AA314" t="s">
        <v>387</v>
      </c>
      <c r="AB314">
        <v>0</v>
      </c>
      <c r="AC314">
        <v>0</v>
      </c>
      <c r="AD314" t="s">
        <v>1187</v>
      </c>
      <c r="AE314">
        <v>0</v>
      </c>
      <c r="AF314" t="s">
        <v>1188</v>
      </c>
    </row>
    <row r="315" spans="1:32" x14ac:dyDescent="0.25">
      <c r="A315">
        <v>1</v>
      </c>
      <c r="C315" s="185"/>
      <c r="E315" t="s">
        <v>386</v>
      </c>
      <c r="I315">
        <v>3793</v>
      </c>
      <c r="J315" t="s">
        <v>1579</v>
      </c>
      <c r="K315" t="s">
        <v>1579</v>
      </c>
      <c r="L315" t="s">
        <v>386</v>
      </c>
      <c r="M315" t="s">
        <v>1184</v>
      </c>
      <c r="O315">
        <v>0</v>
      </c>
      <c r="R315" t="s">
        <v>1185</v>
      </c>
      <c r="T315">
        <v>0</v>
      </c>
      <c r="V315" t="s">
        <v>1186</v>
      </c>
      <c r="Z315" t="s">
        <v>865</v>
      </c>
      <c r="AA315" t="s">
        <v>387</v>
      </c>
      <c r="AB315">
        <v>0</v>
      </c>
      <c r="AC315">
        <v>0</v>
      </c>
      <c r="AD315" t="s">
        <v>1187</v>
      </c>
      <c r="AE315">
        <v>0</v>
      </c>
      <c r="AF315" t="s">
        <v>1188</v>
      </c>
    </row>
    <row r="316" spans="1:32" x14ac:dyDescent="0.25">
      <c r="A316">
        <v>1</v>
      </c>
      <c r="C316" s="185"/>
      <c r="E316" t="s">
        <v>386</v>
      </c>
      <c r="I316">
        <v>3754</v>
      </c>
      <c r="J316" t="s">
        <v>1580</v>
      </c>
      <c r="K316" t="s">
        <v>1580</v>
      </c>
      <c r="L316" t="s">
        <v>386</v>
      </c>
      <c r="M316" t="s">
        <v>1184</v>
      </c>
      <c r="O316">
        <v>0</v>
      </c>
      <c r="R316" t="s">
        <v>1185</v>
      </c>
      <c r="T316">
        <v>0</v>
      </c>
      <c r="V316" t="s">
        <v>1186</v>
      </c>
      <c r="Z316" t="s">
        <v>865</v>
      </c>
      <c r="AA316" t="s">
        <v>387</v>
      </c>
      <c r="AB316">
        <v>0</v>
      </c>
      <c r="AC316">
        <v>0</v>
      </c>
      <c r="AD316" t="s">
        <v>1187</v>
      </c>
      <c r="AE316">
        <v>0</v>
      </c>
      <c r="AF316" t="s">
        <v>1188</v>
      </c>
    </row>
    <row r="317" spans="1:32" x14ac:dyDescent="0.25">
      <c r="A317">
        <v>1</v>
      </c>
      <c r="C317" s="185"/>
      <c r="E317" t="s">
        <v>386</v>
      </c>
      <c r="I317">
        <v>3848</v>
      </c>
      <c r="J317" t="s">
        <v>1581</v>
      </c>
      <c r="K317" t="s">
        <v>1581</v>
      </c>
      <c r="L317" t="s">
        <v>386</v>
      </c>
      <c r="M317" t="s">
        <v>1184</v>
      </c>
      <c r="O317">
        <v>0</v>
      </c>
      <c r="R317" t="s">
        <v>1185</v>
      </c>
      <c r="T317">
        <v>0</v>
      </c>
      <c r="V317" t="s">
        <v>1186</v>
      </c>
      <c r="Z317" t="s">
        <v>865</v>
      </c>
      <c r="AA317" t="s">
        <v>387</v>
      </c>
      <c r="AB317">
        <v>0</v>
      </c>
      <c r="AC317">
        <v>0</v>
      </c>
      <c r="AD317" t="s">
        <v>1187</v>
      </c>
      <c r="AE317">
        <v>0</v>
      </c>
      <c r="AF317" t="s">
        <v>1188</v>
      </c>
    </row>
    <row r="318" spans="1:32" x14ac:dyDescent="0.25">
      <c r="A318">
        <v>1</v>
      </c>
      <c r="C318" s="185"/>
      <c r="E318" t="s">
        <v>386</v>
      </c>
      <c r="I318">
        <v>4174</v>
      </c>
      <c r="J318" t="s">
        <v>1582</v>
      </c>
      <c r="K318" t="s">
        <v>1582</v>
      </c>
      <c r="L318" t="s">
        <v>386</v>
      </c>
      <c r="M318" t="s">
        <v>1184</v>
      </c>
      <c r="O318">
        <v>0</v>
      </c>
      <c r="R318" t="s">
        <v>1185</v>
      </c>
      <c r="T318">
        <v>0</v>
      </c>
      <c r="V318" t="s">
        <v>1186</v>
      </c>
      <c r="Z318" t="s">
        <v>865</v>
      </c>
      <c r="AA318" t="s">
        <v>387</v>
      </c>
      <c r="AB318">
        <v>0</v>
      </c>
      <c r="AC318">
        <v>0</v>
      </c>
      <c r="AD318" t="s">
        <v>1187</v>
      </c>
      <c r="AE318">
        <v>0</v>
      </c>
      <c r="AF318" t="s">
        <v>1188</v>
      </c>
    </row>
    <row r="319" spans="1:32" x14ac:dyDescent="0.25">
      <c r="A319">
        <v>1</v>
      </c>
      <c r="C319" s="185"/>
      <c r="E319" t="s">
        <v>386</v>
      </c>
      <c r="I319">
        <v>3970</v>
      </c>
      <c r="J319" t="s">
        <v>1583</v>
      </c>
      <c r="K319" t="s">
        <v>1583</v>
      </c>
      <c r="L319" t="s">
        <v>386</v>
      </c>
      <c r="M319" t="s">
        <v>1184</v>
      </c>
      <c r="O319">
        <v>0</v>
      </c>
      <c r="R319" t="s">
        <v>1185</v>
      </c>
      <c r="T319">
        <v>0</v>
      </c>
      <c r="V319" t="s">
        <v>1186</v>
      </c>
      <c r="Z319" t="s">
        <v>865</v>
      </c>
      <c r="AA319" t="s">
        <v>387</v>
      </c>
      <c r="AB319">
        <v>0</v>
      </c>
      <c r="AC319">
        <v>0</v>
      </c>
      <c r="AD319" t="s">
        <v>1187</v>
      </c>
      <c r="AE319">
        <v>0</v>
      </c>
      <c r="AF319" t="s">
        <v>1188</v>
      </c>
    </row>
    <row r="320" spans="1:32" x14ac:dyDescent="0.25">
      <c r="A320">
        <v>1</v>
      </c>
      <c r="C320" s="185"/>
      <c r="E320" t="s">
        <v>386</v>
      </c>
      <c r="I320">
        <v>3925</v>
      </c>
      <c r="J320" t="s">
        <v>1584</v>
      </c>
      <c r="K320" t="s">
        <v>1584</v>
      </c>
      <c r="L320" t="s">
        <v>386</v>
      </c>
      <c r="M320" t="s">
        <v>1184</v>
      </c>
      <c r="O320">
        <v>0</v>
      </c>
      <c r="R320" t="s">
        <v>1185</v>
      </c>
      <c r="T320">
        <v>0</v>
      </c>
      <c r="V320" t="s">
        <v>1186</v>
      </c>
      <c r="Z320" t="s">
        <v>865</v>
      </c>
      <c r="AA320" t="s">
        <v>387</v>
      </c>
      <c r="AB320">
        <v>0</v>
      </c>
      <c r="AC320">
        <v>0</v>
      </c>
      <c r="AD320" t="s">
        <v>1187</v>
      </c>
      <c r="AE320">
        <v>0</v>
      </c>
      <c r="AF320" t="s">
        <v>1188</v>
      </c>
    </row>
    <row r="321" spans="1:32" x14ac:dyDescent="0.25">
      <c r="A321">
        <v>1</v>
      </c>
      <c r="C321" s="185"/>
      <c r="E321" t="s">
        <v>386</v>
      </c>
      <c r="I321">
        <v>4080</v>
      </c>
      <c r="J321" t="s">
        <v>1585</v>
      </c>
      <c r="K321" t="s">
        <v>1585</v>
      </c>
      <c r="L321" t="s">
        <v>386</v>
      </c>
      <c r="M321" t="s">
        <v>1184</v>
      </c>
      <c r="O321">
        <v>0</v>
      </c>
      <c r="R321" t="s">
        <v>1185</v>
      </c>
      <c r="T321">
        <v>0</v>
      </c>
      <c r="V321" t="s">
        <v>1186</v>
      </c>
      <c r="Z321" t="s">
        <v>865</v>
      </c>
      <c r="AA321" t="s">
        <v>387</v>
      </c>
      <c r="AB321">
        <v>0</v>
      </c>
      <c r="AC321">
        <v>0</v>
      </c>
      <c r="AD321" t="s">
        <v>1187</v>
      </c>
      <c r="AE321">
        <v>0</v>
      </c>
      <c r="AF321" t="s">
        <v>1188</v>
      </c>
    </row>
    <row r="322" spans="1:32" x14ac:dyDescent="0.25">
      <c r="A322">
        <v>1</v>
      </c>
      <c r="C322" s="185"/>
      <c r="E322" t="s">
        <v>386</v>
      </c>
      <c r="I322">
        <v>3964</v>
      </c>
      <c r="J322" t="s">
        <v>1586</v>
      </c>
      <c r="K322" t="s">
        <v>1586</v>
      </c>
      <c r="L322" t="s">
        <v>386</v>
      </c>
      <c r="M322" t="s">
        <v>1184</v>
      </c>
      <c r="O322">
        <v>0</v>
      </c>
      <c r="R322" t="s">
        <v>1185</v>
      </c>
      <c r="T322">
        <v>0</v>
      </c>
      <c r="V322" t="s">
        <v>1186</v>
      </c>
      <c r="Z322" t="s">
        <v>865</v>
      </c>
      <c r="AA322" t="s">
        <v>387</v>
      </c>
      <c r="AB322">
        <v>0</v>
      </c>
      <c r="AC322">
        <v>0</v>
      </c>
      <c r="AD322" t="s">
        <v>1187</v>
      </c>
      <c r="AE322">
        <v>0</v>
      </c>
      <c r="AF322" t="s">
        <v>1188</v>
      </c>
    </row>
    <row r="323" spans="1:32" x14ac:dyDescent="0.25">
      <c r="A323">
        <v>1</v>
      </c>
      <c r="C323" s="185"/>
      <c r="E323" t="s">
        <v>386</v>
      </c>
      <c r="I323">
        <v>3479</v>
      </c>
      <c r="J323" t="s">
        <v>1587</v>
      </c>
      <c r="K323" t="s">
        <v>1587</v>
      </c>
      <c r="L323" t="s">
        <v>386</v>
      </c>
      <c r="M323" t="s">
        <v>1184</v>
      </c>
      <c r="O323">
        <v>0</v>
      </c>
      <c r="R323" t="s">
        <v>1185</v>
      </c>
      <c r="T323">
        <v>0</v>
      </c>
      <c r="V323" t="s">
        <v>1186</v>
      </c>
      <c r="Z323" t="s">
        <v>865</v>
      </c>
      <c r="AA323" t="s">
        <v>387</v>
      </c>
      <c r="AB323">
        <v>0</v>
      </c>
      <c r="AC323">
        <v>0</v>
      </c>
      <c r="AD323" t="s">
        <v>1187</v>
      </c>
      <c r="AE323">
        <v>0</v>
      </c>
      <c r="AF323" t="s">
        <v>1188</v>
      </c>
    </row>
    <row r="324" spans="1:32" x14ac:dyDescent="0.25">
      <c r="A324">
        <v>1</v>
      </c>
      <c r="C324" s="185"/>
      <c r="E324" t="s">
        <v>386</v>
      </c>
      <c r="I324">
        <v>4054</v>
      </c>
      <c r="J324" t="s">
        <v>1588</v>
      </c>
      <c r="K324" t="s">
        <v>1588</v>
      </c>
      <c r="L324" t="s">
        <v>386</v>
      </c>
      <c r="M324" t="s">
        <v>1184</v>
      </c>
      <c r="O324">
        <v>0</v>
      </c>
      <c r="R324" t="s">
        <v>1185</v>
      </c>
      <c r="T324">
        <v>0</v>
      </c>
      <c r="V324" t="s">
        <v>1186</v>
      </c>
      <c r="Z324" t="s">
        <v>865</v>
      </c>
      <c r="AA324" t="s">
        <v>387</v>
      </c>
      <c r="AB324">
        <v>0</v>
      </c>
      <c r="AC324">
        <v>0</v>
      </c>
      <c r="AD324" t="s">
        <v>1187</v>
      </c>
      <c r="AE324">
        <v>0</v>
      </c>
      <c r="AF324" t="s">
        <v>1188</v>
      </c>
    </row>
    <row r="325" spans="1:32" x14ac:dyDescent="0.25">
      <c r="A325">
        <v>1</v>
      </c>
      <c r="C325" s="185"/>
      <c r="E325" t="s">
        <v>386</v>
      </c>
      <c r="I325">
        <v>3521</v>
      </c>
      <c r="J325" t="s">
        <v>1589</v>
      </c>
      <c r="K325" t="s">
        <v>1589</v>
      </c>
      <c r="L325" t="s">
        <v>386</v>
      </c>
      <c r="M325" t="s">
        <v>1184</v>
      </c>
      <c r="O325">
        <v>0</v>
      </c>
      <c r="R325" t="s">
        <v>1185</v>
      </c>
      <c r="T325">
        <v>0</v>
      </c>
      <c r="V325" t="s">
        <v>1186</v>
      </c>
      <c r="Z325" t="s">
        <v>865</v>
      </c>
      <c r="AA325" t="s">
        <v>387</v>
      </c>
      <c r="AB325">
        <v>0</v>
      </c>
      <c r="AC325">
        <v>0</v>
      </c>
      <c r="AD325" t="s">
        <v>1187</v>
      </c>
      <c r="AE325">
        <v>0</v>
      </c>
      <c r="AF325" t="s">
        <v>1188</v>
      </c>
    </row>
    <row r="326" spans="1:32" x14ac:dyDescent="0.25">
      <c r="A326">
        <v>1</v>
      </c>
      <c r="C326" s="185"/>
      <c r="E326" t="s">
        <v>386</v>
      </c>
      <c r="I326">
        <v>4184</v>
      </c>
      <c r="J326" t="s">
        <v>1590</v>
      </c>
      <c r="K326" t="s">
        <v>1590</v>
      </c>
      <c r="L326" t="s">
        <v>386</v>
      </c>
      <c r="M326" t="s">
        <v>1184</v>
      </c>
      <c r="O326">
        <v>0</v>
      </c>
      <c r="R326" t="s">
        <v>1185</v>
      </c>
      <c r="T326">
        <v>0</v>
      </c>
      <c r="V326" t="s">
        <v>1186</v>
      </c>
      <c r="Z326" t="s">
        <v>865</v>
      </c>
      <c r="AA326" t="s">
        <v>387</v>
      </c>
      <c r="AB326">
        <v>0</v>
      </c>
      <c r="AC326">
        <v>0</v>
      </c>
      <c r="AD326" t="s">
        <v>1187</v>
      </c>
      <c r="AE326">
        <v>0</v>
      </c>
      <c r="AF326" t="s">
        <v>1188</v>
      </c>
    </row>
    <row r="327" spans="1:32" x14ac:dyDescent="0.25">
      <c r="A327">
        <v>1</v>
      </c>
      <c r="C327" s="185"/>
      <c r="E327" t="s">
        <v>386</v>
      </c>
      <c r="I327">
        <v>3804</v>
      </c>
      <c r="J327" t="s">
        <v>1591</v>
      </c>
      <c r="K327" t="s">
        <v>1591</v>
      </c>
      <c r="L327" t="s">
        <v>386</v>
      </c>
      <c r="M327" t="s">
        <v>1184</v>
      </c>
      <c r="O327">
        <v>0</v>
      </c>
      <c r="R327" t="s">
        <v>1185</v>
      </c>
      <c r="T327">
        <v>0</v>
      </c>
      <c r="V327" t="s">
        <v>1186</v>
      </c>
      <c r="Z327" t="s">
        <v>865</v>
      </c>
      <c r="AA327" t="s">
        <v>387</v>
      </c>
      <c r="AB327">
        <v>0</v>
      </c>
      <c r="AC327">
        <v>0</v>
      </c>
      <c r="AD327" t="s">
        <v>1187</v>
      </c>
      <c r="AE327">
        <v>0</v>
      </c>
      <c r="AF327" t="s">
        <v>1188</v>
      </c>
    </row>
    <row r="328" spans="1:32" x14ac:dyDescent="0.25">
      <c r="A328">
        <v>1</v>
      </c>
      <c r="C328" s="185"/>
      <c r="E328" t="s">
        <v>386</v>
      </c>
      <c r="G328" t="s">
        <v>1192</v>
      </c>
      <c r="I328">
        <v>3738</v>
      </c>
      <c r="J328" t="s">
        <v>1592</v>
      </c>
      <c r="K328" t="s">
        <v>1592</v>
      </c>
      <c r="L328" t="s">
        <v>386</v>
      </c>
      <c r="M328" t="s">
        <v>1184</v>
      </c>
      <c r="O328">
        <v>0</v>
      </c>
      <c r="R328" t="s">
        <v>1185</v>
      </c>
      <c r="T328">
        <v>103</v>
      </c>
      <c r="V328" t="s">
        <v>1530</v>
      </c>
      <c r="W328" t="s">
        <v>1186</v>
      </c>
      <c r="X328">
        <v>0</v>
      </c>
      <c r="Z328" t="s">
        <v>865</v>
      </c>
      <c r="AA328" t="s">
        <v>387</v>
      </c>
      <c r="AB328">
        <v>0</v>
      </c>
      <c r="AC328">
        <v>0</v>
      </c>
      <c r="AD328" t="s">
        <v>1187</v>
      </c>
      <c r="AE328">
        <v>0</v>
      </c>
      <c r="AF328" t="s">
        <v>1188</v>
      </c>
    </row>
    <row r="329" spans="1:32" x14ac:dyDescent="0.25">
      <c r="A329">
        <v>1</v>
      </c>
      <c r="C329" s="185"/>
      <c r="E329" t="s">
        <v>386</v>
      </c>
      <c r="I329">
        <v>3689</v>
      </c>
      <c r="J329" t="s">
        <v>1593</v>
      </c>
      <c r="K329" t="s">
        <v>1593</v>
      </c>
      <c r="L329" t="s">
        <v>386</v>
      </c>
      <c r="M329" t="s">
        <v>1184</v>
      </c>
      <c r="O329">
        <v>0</v>
      </c>
      <c r="R329" t="s">
        <v>1185</v>
      </c>
      <c r="T329">
        <v>0</v>
      </c>
      <c r="V329" t="s">
        <v>1186</v>
      </c>
      <c r="Z329" t="s">
        <v>865</v>
      </c>
      <c r="AA329" t="s">
        <v>387</v>
      </c>
      <c r="AB329">
        <v>0</v>
      </c>
      <c r="AC329">
        <v>0</v>
      </c>
      <c r="AD329" t="s">
        <v>1187</v>
      </c>
      <c r="AE329">
        <v>0</v>
      </c>
      <c r="AF329" t="s">
        <v>1188</v>
      </c>
    </row>
    <row r="330" spans="1:32" x14ac:dyDescent="0.25">
      <c r="A330">
        <v>1</v>
      </c>
      <c r="C330" s="185"/>
      <c r="E330" t="s">
        <v>386</v>
      </c>
      <c r="I330">
        <v>3548</v>
      </c>
      <c r="J330" t="s">
        <v>1594</v>
      </c>
      <c r="K330" t="s">
        <v>1594</v>
      </c>
      <c r="L330" t="s">
        <v>386</v>
      </c>
      <c r="M330" t="s">
        <v>1184</v>
      </c>
      <c r="O330">
        <v>0</v>
      </c>
      <c r="R330" t="s">
        <v>1185</v>
      </c>
      <c r="T330">
        <v>0</v>
      </c>
      <c r="V330" t="s">
        <v>1186</v>
      </c>
      <c r="Z330" t="s">
        <v>865</v>
      </c>
      <c r="AA330" t="s">
        <v>387</v>
      </c>
      <c r="AB330">
        <v>0</v>
      </c>
      <c r="AC330">
        <v>0</v>
      </c>
      <c r="AD330" t="s">
        <v>1187</v>
      </c>
      <c r="AE330">
        <v>0</v>
      </c>
      <c r="AF330" t="s">
        <v>1188</v>
      </c>
    </row>
    <row r="331" spans="1:32" x14ac:dyDescent="0.25">
      <c r="A331">
        <v>1</v>
      </c>
      <c r="C331" s="185"/>
      <c r="E331" t="s">
        <v>386</v>
      </c>
      <c r="I331">
        <v>3717</v>
      </c>
      <c r="J331" t="s">
        <v>1595</v>
      </c>
      <c r="K331" t="s">
        <v>1595</v>
      </c>
      <c r="L331" t="s">
        <v>386</v>
      </c>
      <c r="M331" t="s">
        <v>1184</v>
      </c>
      <c r="O331">
        <v>0</v>
      </c>
      <c r="R331" t="s">
        <v>1185</v>
      </c>
      <c r="T331">
        <v>0</v>
      </c>
      <c r="V331" t="s">
        <v>1186</v>
      </c>
      <c r="Z331" t="s">
        <v>865</v>
      </c>
      <c r="AA331" t="s">
        <v>387</v>
      </c>
      <c r="AB331">
        <v>0</v>
      </c>
      <c r="AC331">
        <v>0</v>
      </c>
      <c r="AD331" t="s">
        <v>1187</v>
      </c>
      <c r="AE331">
        <v>0</v>
      </c>
      <c r="AF331" t="s">
        <v>1188</v>
      </c>
    </row>
    <row r="332" spans="1:32" x14ac:dyDescent="0.25">
      <c r="A332">
        <v>1</v>
      </c>
      <c r="C332" s="185"/>
      <c r="E332" t="s">
        <v>386</v>
      </c>
      <c r="I332">
        <v>3788</v>
      </c>
      <c r="J332" t="s">
        <v>1596</v>
      </c>
      <c r="K332" t="s">
        <v>1596</v>
      </c>
      <c r="L332" t="s">
        <v>386</v>
      </c>
      <c r="M332" t="s">
        <v>1184</v>
      </c>
      <c r="O332">
        <v>0</v>
      </c>
      <c r="R332" t="s">
        <v>1185</v>
      </c>
      <c r="T332">
        <v>0</v>
      </c>
      <c r="V332" t="s">
        <v>1186</v>
      </c>
      <c r="Z332" t="s">
        <v>865</v>
      </c>
      <c r="AA332" t="s">
        <v>387</v>
      </c>
      <c r="AB332">
        <v>0</v>
      </c>
      <c r="AC332">
        <v>0</v>
      </c>
      <c r="AD332" t="s">
        <v>1187</v>
      </c>
      <c r="AE332">
        <v>0</v>
      </c>
      <c r="AF332" t="s">
        <v>1188</v>
      </c>
    </row>
    <row r="333" spans="1:32" x14ac:dyDescent="0.25">
      <c r="A333">
        <v>1</v>
      </c>
      <c r="C333" s="185"/>
      <c r="E333" t="s">
        <v>386</v>
      </c>
      <c r="I333">
        <v>3739</v>
      </c>
      <c r="J333" t="s">
        <v>1597</v>
      </c>
      <c r="K333" t="s">
        <v>1597</v>
      </c>
      <c r="L333" t="s">
        <v>386</v>
      </c>
      <c r="M333" t="s">
        <v>1184</v>
      </c>
      <c r="O333">
        <v>0</v>
      </c>
      <c r="R333" t="s">
        <v>1185</v>
      </c>
      <c r="T333">
        <v>0</v>
      </c>
      <c r="V333" t="s">
        <v>1186</v>
      </c>
      <c r="Z333" t="s">
        <v>865</v>
      </c>
      <c r="AA333" t="s">
        <v>387</v>
      </c>
      <c r="AB333">
        <v>0</v>
      </c>
      <c r="AC333">
        <v>0</v>
      </c>
      <c r="AD333" t="s">
        <v>1187</v>
      </c>
      <c r="AE333">
        <v>0</v>
      </c>
      <c r="AF333" t="s">
        <v>1188</v>
      </c>
    </row>
    <row r="334" spans="1:32" x14ac:dyDescent="0.25">
      <c r="A334">
        <v>1</v>
      </c>
      <c r="C334" s="185"/>
      <c r="E334" t="s">
        <v>386</v>
      </c>
      <c r="I334">
        <v>4128</v>
      </c>
      <c r="J334" t="s">
        <v>1598</v>
      </c>
      <c r="K334" t="s">
        <v>1598</v>
      </c>
      <c r="L334" t="s">
        <v>386</v>
      </c>
      <c r="M334" t="s">
        <v>1184</v>
      </c>
      <c r="O334">
        <v>0</v>
      </c>
      <c r="R334" t="s">
        <v>1185</v>
      </c>
      <c r="T334">
        <v>0</v>
      </c>
      <c r="V334" t="s">
        <v>1186</v>
      </c>
      <c r="Z334" t="s">
        <v>865</v>
      </c>
      <c r="AA334" t="s">
        <v>387</v>
      </c>
      <c r="AB334">
        <v>0</v>
      </c>
      <c r="AC334">
        <v>0</v>
      </c>
      <c r="AD334" t="s">
        <v>1187</v>
      </c>
      <c r="AE334">
        <v>0</v>
      </c>
      <c r="AF334" t="s">
        <v>1188</v>
      </c>
    </row>
    <row r="335" spans="1:32" x14ac:dyDescent="0.25">
      <c r="A335">
        <v>1</v>
      </c>
      <c r="C335" s="185"/>
      <c r="E335" t="s">
        <v>386</v>
      </c>
      <c r="I335">
        <v>3550</v>
      </c>
      <c r="J335" t="s">
        <v>1599</v>
      </c>
      <c r="K335" t="s">
        <v>1599</v>
      </c>
      <c r="L335" t="s">
        <v>386</v>
      </c>
      <c r="M335" t="s">
        <v>1184</v>
      </c>
      <c r="O335">
        <v>0</v>
      </c>
      <c r="R335" t="s">
        <v>1185</v>
      </c>
      <c r="T335">
        <v>0</v>
      </c>
      <c r="V335" t="s">
        <v>1186</v>
      </c>
      <c r="Z335" t="s">
        <v>865</v>
      </c>
      <c r="AA335" t="s">
        <v>387</v>
      </c>
      <c r="AB335">
        <v>0</v>
      </c>
      <c r="AC335">
        <v>0</v>
      </c>
      <c r="AD335" t="s">
        <v>1187</v>
      </c>
      <c r="AE335">
        <v>0</v>
      </c>
      <c r="AF335" t="s">
        <v>1188</v>
      </c>
    </row>
    <row r="336" spans="1:32" x14ac:dyDescent="0.25">
      <c r="A336">
        <v>1</v>
      </c>
      <c r="C336" s="185"/>
      <c r="E336" t="s">
        <v>386</v>
      </c>
      <c r="I336">
        <v>4058</v>
      </c>
      <c r="J336" t="s">
        <v>1600</v>
      </c>
      <c r="K336" t="s">
        <v>1600</v>
      </c>
      <c r="L336" t="s">
        <v>386</v>
      </c>
      <c r="M336" t="s">
        <v>1184</v>
      </c>
      <c r="O336">
        <v>0</v>
      </c>
      <c r="R336" t="s">
        <v>1185</v>
      </c>
      <c r="T336">
        <v>0</v>
      </c>
      <c r="V336" t="s">
        <v>1186</v>
      </c>
      <c r="Z336" t="s">
        <v>865</v>
      </c>
      <c r="AA336" t="s">
        <v>387</v>
      </c>
      <c r="AB336">
        <v>0</v>
      </c>
      <c r="AC336">
        <v>0</v>
      </c>
      <c r="AD336" t="s">
        <v>1187</v>
      </c>
      <c r="AE336">
        <v>0</v>
      </c>
      <c r="AF336" t="s">
        <v>1188</v>
      </c>
    </row>
    <row r="337" spans="1:32" x14ac:dyDescent="0.25">
      <c r="A337">
        <v>1</v>
      </c>
      <c r="C337" s="185"/>
      <c r="E337" t="s">
        <v>386</v>
      </c>
      <c r="I337">
        <v>3516</v>
      </c>
      <c r="J337" t="s">
        <v>1601</v>
      </c>
      <c r="K337" t="s">
        <v>1601</v>
      </c>
      <c r="L337" t="s">
        <v>386</v>
      </c>
      <c r="M337" t="s">
        <v>1184</v>
      </c>
      <c r="O337">
        <v>0</v>
      </c>
      <c r="R337" t="s">
        <v>1185</v>
      </c>
      <c r="T337">
        <v>0</v>
      </c>
      <c r="V337" t="s">
        <v>1186</v>
      </c>
      <c r="Z337" t="s">
        <v>865</v>
      </c>
      <c r="AA337" t="s">
        <v>387</v>
      </c>
      <c r="AB337">
        <v>0</v>
      </c>
      <c r="AC337">
        <v>0</v>
      </c>
      <c r="AD337" t="s">
        <v>1187</v>
      </c>
      <c r="AE337">
        <v>0</v>
      </c>
      <c r="AF337" t="s">
        <v>1188</v>
      </c>
    </row>
    <row r="338" spans="1:32" x14ac:dyDescent="0.25">
      <c r="A338">
        <v>1</v>
      </c>
      <c r="C338" s="185"/>
      <c r="E338" t="s">
        <v>386</v>
      </c>
      <c r="I338">
        <v>4107</v>
      </c>
      <c r="J338" t="s">
        <v>1602</v>
      </c>
      <c r="K338" t="s">
        <v>1602</v>
      </c>
      <c r="L338" t="s">
        <v>386</v>
      </c>
      <c r="M338" t="s">
        <v>1184</v>
      </c>
      <c r="O338">
        <v>0</v>
      </c>
      <c r="R338" t="s">
        <v>1185</v>
      </c>
      <c r="T338">
        <v>0</v>
      </c>
      <c r="V338" t="s">
        <v>1186</v>
      </c>
      <c r="Z338" t="s">
        <v>865</v>
      </c>
      <c r="AA338" t="s">
        <v>387</v>
      </c>
      <c r="AB338">
        <v>0</v>
      </c>
      <c r="AC338">
        <v>0</v>
      </c>
      <c r="AD338" t="s">
        <v>1187</v>
      </c>
      <c r="AE338">
        <v>0</v>
      </c>
      <c r="AF338" t="s">
        <v>1188</v>
      </c>
    </row>
    <row r="339" spans="1:32" x14ac:dyDescent="0.25">
      <c r="A339">
        <v>1</v>
      </c>
      <c r="C339" s="185"/>
      <c r="E339" t="s">
        <v>386</v>
      </c>
      <c r="I339">
        <v>3669</v>
      </c>
      <c r="J339" t="s">
        <v>1603</v>
      </c>
      <c r="K339" t="s">
        <v>1603</v>
      </c>
      <c r="L339" t="s">
        <v>386</v>
      </c>
      <c r="M339" t="s">
        <v>1184</v>
      </c>
      <c r="O339">
        <v>0</v>
      </c>
      <c r="R339" t="s">
        <v>1185</v>
      </c>
      <c r="T339">
        <v>0</v>
      </c>
      <c r="V339" t="s">
        <v>1186</v>
      </c>
      <c r="Z339" t="s">
        <v>865</v>
      </c>
      <c r="AA339" t="s">
        <v>387</v>
      </c>
      <c r="AB339">
        <v>0</v>
      </c>
      <c r="AC339">
        <v>0</v>
      </c>
      <c r="AD339" t="s">
        <v>1187</v>
      </c>
      <c r="AE339">
        <v>0</v>
      </c>
      <c r="AF339" t="s">
        <v>1188</v>
      </c>
    </row>
    <row r="340" spans="1:32" x14ac:dyDescent="0.25">
      <c r="A340">
        <v>1</v>
      </c>
      <c r="C340" s="185"/>
      <c r="E340" t="s">
        <v>386</v>
      </c>
      <c r="I340">
        <v>3769</v>
      </c>
      <c r="J340" t="s">
        <v>1604</v>
      </c>
      <c r="K340" t="s">
        <v>1604</v>
      </c>
      <c r="L340" t="s">
        <v>386</v>
      </c>
      <c r="M340" t="s">
        <v>1184</v>
      </c>
      <c r="O340">
        <v>0</v>
      </c>
      <c r="R340" t="s">
        <v>1185</v>
      </c>
      <c r="T340">
        <v>0</v>
      </c>
      <c r="V340" t="s">
        <v>1186</v>
      </c>
      <c r="Z340" t="s">
        <v>865</v>
      </c>
      <c r="AA340" t="s">
        <v>387</v>
      </c>
      <c r="AB340">
        <v>0</v>
      </c>
      <c r="AC340">
        <v>0</v>
      </c>
      <c r="AD340" t="s">
        <v>1187</v>
      </c>
      <c r="AE340">
        <v>0</v>
      </c>
      <c r="AF340" t="s">
        <v>1188</v>
      </c>
    </row>
    <row r="341" spans="1:32" x14ac:dyDescent="0.25">
      <c r="A341">
        <v>1</v>
      </c>
      <c r="C341" s="185"/>
      <c r="E341" t="s">
        <v>386</v>
      </c>
      <c r="I341">
        <v>3915</v>
      </c>
      <c r="J341" t="s">
        <v>1605</v>
      </c>
      <c r="K341" t="s">
        <v>1605</v>
      </c>
      <c r="L341" t="s">
        <v>386</v>
      </c>
      <c r="M341" t="s">
        <v>1184</v>
      </c>
      <c r="O341">
        <v>0</v>
      </c>
      <c r="R341" t="s">
        <v>1185</v>
      </c>
      <c r="T341">
        <v>0</v>
      </c>
      <c r="V341" t="s">
        <v>1186</v>
      </c>
      <c r="Z341" t="s">
        <v>865</v>
      </c>
      <c r="AA341" t="s">
        <v>387</v>
      </c>
      <c r="AB341">
        <v>0</v>
      </c>
      <c r="AC341">
        <v>0</v>
      </c>
      <c r="AD341" t="s">
        <v>1187</v>
      </c>
      <c r="AE341">
        <v>0</v>
      </c>
      <c r="AF341" t="s">
        <v>1188</v>
      </c>
    </row>
    <row r="342" spans="1:32" x14ac:dyDescent="0.25">
      <c r="A342">
        <v>1</v>
      </c>
      <c r="C342" s="185"/>
      <c r="E342" t="s">
        <v>386</v>
      </c>
      <c r="I342">
        <v>3677</v>
      </c>
      <c r="J342" t="s">
        <v>1606</v>
      </c>
      <c r="K342" t="s">
        <v>1606</v>
      </c>
      <c r="L342" t="s">
        <v>386</v>
      </c>
      <c r="M342" t="s">
        <v>1184</v>
      </c>
      <c r="O342">
        <v>0</v>
      </c>
      <c r="R342" t="s">
        <v>1185</v>
      </c>
      <c r="T342">
        <v>0</v>
      </c>
      <c r="V342" t="s">
        <v>1186</v>
      </c>
      <c r="Z342" t="s">
        <v>865</v>
      </c>
      <c r="AA342" t="s">
        <v>387</v>
      </c>
      <c r="AB342">
        <v>0</v>
      </c>
      <c r="AC342">
        <v>0</v>
      </c>
      <c r="AD342" t="s">
        <v>1187</v>
      </c>
      <c r="AE342">
        <v>0</v>
      </c>
      <c r="AF342" t="s">
        <v>1188</v>
      </c>
    </row>
    <row r="343" spans="1:32" x14ac:dyDescent="0.25">
      <c r="A343">
        <v>1</v>
      </c>
      <c r="C343" s="185"/>
      <c r="E343" t="s">
        <v>386</v>
      </c>
      <c r="I343">
        <v>3535</v>
      </c>
      <c r="J343" t="s">
        <v>1607</v>
      </c>
      <c r="K343" t="s">
        <v>1607</v>
      </c>
      <c r="L343" t="s">
        <v>386</v>
      </c>
      <c r="M343" t="s">
        <v>1184</v>
      </c>
      <c r="O343">
        <v>0</v>
      </c>
      <c r="R343" t="s">
        <v>1185</v>
      </c>
      <c r="T343">
        <v>0</v>
      </c>
      <c r="V343" t="s">
        <v>1186</v>
      </c>
      <c r="Z343" t="s">
        <v>865</v>
      </c>
      <c r="AA343" t="s">
        <v>387</v>
      </c>
      <c r="AB343">
        <v>0</v>
      </c>
      <c r="AC343">
        <v>0</v>
      </c>
      <c r="AD343" t="s">
        <v>1187</v>
      </c>
      <c r="AE343">
        <v>0</v>
      </c>
      <c r="AF343" t="s">
        <v>1188</v>
      </c>
    </row>
    <row r="344" spans="1:32" x14ac:dyDescent="0.25">
      <c r="A344">
        <v>1</v>
      </c>
      <c r="C344" s="185"/>
      <c r="E344" t="s">
        <v>386</v>
      </c>
      <c r="I344">
        <v>3776</v>
      </c>
      <c r="J344" t="s">
        <v>1608</v>
      </c>
      <c r="K344" t="s">
        <v>1608</v>
      </c>
      <c r="L344" t="s">
        <v>386</v>
      </c>
      <c r="M344" t="s">
        <v>1184</v>
      </c>
      <c r="O344">
        <v>0</v>
      </c>
      <c r="R344" t="s">
        <v>1185</v>
      </c>
      <c r="T344">
        <v>0</v>
      </c>
      <c r="V344" t="s">
        <v>1186</v>
      </c>
      <c r="Z344" t="s">
        <v>865</v>
      </c>
      <c r="AA344" t="s">
        <v>387</v>
      </c>
      <c r="AB344">
        <v>0</v>
      </c>
      <c r="AC344">
        <v>0</v>
      </c>
      <c r="AD344" t="s">
        <v>1187</v>
      </c>
      <c r="AE344">
        <v>0</v>
      </c>
      <c r="AF344" t="s">
        <v>1188</v>
      </c>
    </row>
    <row r="345" spans="1:32" x14ac:dyDescent="0.25">
      <c r="A345">
        <v>1</v>
      </c>
      <c r="C345" s="185"/>
      <c r="E345" t="s">
        <v>386</v>
      </c>
      <c r="I345">
        <v>3889</v>
      </c>
      <c r="J345" t="s">
        <v>1609</v>
      </c>
      <c r="K345" t="s">
        <v>1609</v>
      </c>
      <c r="L345" t="s">
        <v>386</v>
      </c>
      <c r="M345" t="s">
        <v>1184</v>
      </c>
      <c r="O345">
        <v>0</v>
      </c>
      <c r="R345" t="s">
        <v>1185</v>
      </c>
      <c r="T345">
        <v>0</v>
      </c>
      <c r="V345" t="s">
        <v>1186</v>
      </c>
      <c r="Z345" t="s">
        <v>865</v>
      </c>
      <c r="AA345" t="s">
        <v>387</v>
      </c>
      <c r="AB345">
        <v>0</v>
      </c>
      <c r="AC345">
        <v>0</v>
      </c>
      <c r="AD345" t="s">
        <v>1187</v>
      </c>
      <c r="AE345">
        <v>0</v>
      </c>
      <c r="AF345" t="s">
        <v>1188</v>
      </c>
    </row>
    <row r="346" spans="1:32" x14ac:dyDescent="0.25">
      <c r="A346">
        <v>1</v>
      </c>
      <c r="C346" s="185"/>
      <c r="E346" t="s">
        <v>386</v>
      </c>
      <c r="I346">
        <v>3764</v>
      </c>
      <c r="J346" t="s">
        <v>1610</v>
      </c>
      <c r="K346" t="s">
        <v>1610</v>
      </c>
      <c r="L346" t="s">
        <v>386</v>
      </c>
      <c r="M346" t="s">
        <v>1184</v>
      </c>
      <c r="O346">
        <v>0</v>
      </c>
      <c r="R346" t="s">
        <v>1185</v>
      </c>
      <c r="T346">
        <v>0</v>
      </c>
      <c r="V346" t="s">
        <v>1186</v>
      </c>
      <c r="Z346" t="s">
        <v>865</v>
      </c>
      <c r="AA346" t="s">
        <v>387</v>
      </c>
      <c r="AB346">
        <v>0</v>
      </c>
      <c r="AC346">
        <v>0</v>
      </c>
      <c r="AD346" t="s">
        <v>1187</v>
      </c>
      <c r="AE346">
        <v>0</v>
      </c>
      <c r="AF346" t="s">
        <v>1188</v>
      </c>
    </row>
    <row r="347" spans="1:32" x14ac:dyDescent="0.25">
      <c r="A347">
        <v>1</v>
      </c>
      <c r="C347" s="185"/>
      <c r="E347" t="s">
        <v>386</v>
      </c>
      <c r="I347">
        <v>3710</v>
      </c>
      <c r="J347" t="s">
        <v>1611</v>
      </c>
      <c r="K347" t="s">
        <v>1611</v>
      </c>
      <c r="L347" t="s">
        <v>386</v>
      </c>
      <c r="M347" t="s">
        <v>1184</v>
      </c>
      <c r="O347">
        <v>0</v>
      </c>
      <c r="R347" t="s">
        <v>1185</v>
      </c>
      <c r="T347">
        <v>0</v>
      </c>
      <c r="V347" t="s">
        <v>1186</v>
      </c>
      <c r="Z347" t="s">
        <v>865</v>
      </c>
      <c r="AA347" t="s">
        <v>387</v>
      </c>
      <c r="AB347">
        <v>0</v>
      </c>
      <c r="AC347">
        <v>0</v>
      </c>
      <c r="AD347" t="s">
        <v>1187</v>
      </c>
      <c r="AE347">
        <v>0</v>
      </c>
      <c r="AF347" t="s">
        <v>1188</v>
      </c>
    </row>
    <row r="348" spans="1:32" x14ac:dyDescent="0.25">
      <c r="A348">
        <v>1</v>
      </c>
      <c r="C348" s="185"/>
      <c r="E348" t="s">
        <v>386</v>
      </c>
      <c r="I348">
        <v>3756</v>
      </c>
      <c r="J348" t="s">
        <v>1612</v>
      </c>
      <c r="K348" t="s">
        <v>1612</v>
      </c>
      <c r="L348" t="s">
        <v>386</v>
      </c>
      <c r="M348" t="s">
        <v>1184</v>
      </c>
      <c r="O348">
        <v>0</v>
      </c>
      <c r="R348" t="s">
        <v>1185</v>
      </c>
      <c r="T348">
        <v>0</v>
      </c>
      <c r="V348" t="s">
        <v>1186</v>
      </c>
      <c r="Z348" t="s">
        <v>865</v>
      </c>
      <c r="AA348" t="s">
        <v>387</v>
      </c>
      <c r="AB348">
        <v>0</v>
      </c>
      <c r="AC348">
        <v>0</v>
      </c>
      <c r="AD348" t="s">
        <v>1187</v>
      </c>
      <c r="AE348">
        <v>0</v>
      </c>
      <c r="AF348" t="s">
        <v>1188</v>
      </c>
    </row>
    <row r="349" spans="1:32" x14ac:dyDescent="0.25">
      <c r="A349">
        <v>1</v>
      </c>
      <c r="C349" s="185"/>
      <c r="E349" t="s">
        <v>386</v>
      </c>
      <c r="I349">
        <v>3774</v>
      </c>
      <c r="J349" t="s">
        <v>1613</v>
      </c>
      <c r="K349" t="s">
        <v>1613</v>
      </c>
      <c r="L349" t="s">
        <v>386</v>
      </c>
      <c r="M349" t="s">
        <v>1184</v>
      </c>
      <c r="O349">
        <v>0</v>
      </c>
      <c r="R349" t="s">
        <v>1185</v>
      </c>
      <c r="T349">
        <v>0</v>
      </c>
      <c r="V349" t="s">
        <v>1186</v>
      </c>
      <c r="Z349" t="s">
        <v>865</v>
      </c>
      <c r="AA349" t="s">
        <v>387</v>
      </c>
      <c r="AB349">
        <v>0</v>
      </c>
      <c r="AC349">
        <v>0</v>
      </c>
      <c r="AD349" t="s">
        <v>1187</v>
      </c>
      <c r="AE349">
        <v>0</v>
      </c>
      <c r="AF349" t="s">
        <v>1188</v>
      </c>
    </row>
    <row r="350" spans="1:32" x14ac:dyDescent="0.25">
      <c r="A350">
        <v>1</v>
      </c>
      <c r="C350" s="185"/>
      <c r="E350" t="s">
        <v>386</v>
      </c>
      <c r="I350">
        <v>3908</v>
      </c>
      <c r="J350" t="s">
        <v>1614</v>
      </c>
      <c r="K350" t="s">
        <v>1614</v>
      </c>
      <c r="L350" t="s">
        <v>386</v>
      </c>
      <c r="M350" t="s">
        <v>1184</v>
      </c>
      <c r="O350">
        <v>0</v>
      </c>
      <c r="R350" t="s">
        <v>1185</v>
      </c>
      <c r="T350">
        <v>0</v>
      </c>
      <c r="V350" t="s">
        <v>1186</v>
      </c>
      <c r="Z350" t="s">
        <v>865</v>
      </c>
      <c r="AA350" t="s">
        <v>387</v>
      </c>
      <c r="AB350">
        <v>0</v>
      </c>
      <c r="AC350">
        <v>0</v>
      </c>
      <c r="AD350" t="s">
        <v>1187</v>
      </c>
      <c r="AE350">
        <v>0</v>
      </c>
      <c r="AF350" t="s">
        <v>1188</v>
      </c>
    </row>
    <row r="351" spans="1:32" x14ac:dyDescent="0.25">
      <c r="A351">
        <v>1</v>
      </c>
      <c r="C351" s="185"/>
      <c r="E351" t="s">
        <v>386</v>
      </c>
      <c r="I351">
        <v>3592</v>
      </c>
      <c r="J351" t="s">
        <v>1615</v>
      </c>
      <c r="K351" t="s">
        <v>1615</v>
      </c>
      <c r="L351" t="s">
        <v>386</v>
      </c>
      <c r="M351" t="s">
        <v>1184</v>
      </c>
      <c r="O351">
        <v>0</v>
      </c>
      <c r="R351" t="s">
        <v>1185</v>
      </c>
      <c r="T351">
        <v>0</v>
      </c>
      <c r="V351" t="s">
        <v>1186</v>
      </c>
      <c r="Z351" t="s">
        <v>865</v>
      </c>
      <c r="AA351" t="s">
        <v>387</v>
      </c>
      <c r="AB351">
        <v>0</v>
      </c>
      <c r="AC351">
        <v>0</v>
      </c>
      <c r="AD351" t="s">
        <v>1187</v>
      </c>
      <c r="AE351">
        <v>0</v>
      </c>
      <c r="AF351" t="s">
        <v>1188</v>
      </c>
    </row>
    <row r="352" spans="1:32" x14ac:dyDescent="0.25">
      <c r="A352">
        <v>1</v>
      </c>
      <c r="C352" s="185"/>
      <c r="E352" t="s">
        <v>386</v>
      </c>
      <c r="I352">
        <v>3618</v>
      </c>
      <c r="J352" t="s">
        <v>1616</v>
      </c>
      <c r="K352" t="s">
        <v>1616</v>
      </c>
      <c r="L352" t="s">
        <v>386</v>
      </c>
      <c r="M352" t="s">
        <v>1184</v>
      </c>
      <c r="O352">
        <v>0</v>
      </c>
      <c r="R352" t="s">
        <v>1185</v>
      </c>
      <c r="T352">
        <v>0</v>
      </c>
      <c r="V352" t="s">
        <v>1186</v>
      </c>
      <c r="Z352" t="s">
        <v>865</v>
      </c>
      <c r="AA352" t="s">
        <v>387</v>
      </c>
      <c r="AB352">
        <v>0</v>
      </c>
      <c r="AC352">
        <v>0</v>
      </c>
      <c r="AD352" t="s">
        <v>1187</v>
      </c>
      <c r="AE352">
        <v>0</v>
      </c>
      <c r="AF352" t="s">
        <v>1188</v>
      </c>
    </row>
    <row r="353" spans="1:32" x14ac:dyDescent="0.25">
      <c r="A353">
        <v>1</v>
      </c>
      <c r="C353" s="185"/>
      <c r="E353" t="s">
        <v>386</v>
      </c>
      <c r="I353">
        <v>3907</v>
      </c>
      <c r="J353" t="s">
        <v>1617</v>
      </c>
      <c r="K353" t="s">
        <v>1617</v>
      </c>
      <c r="L353" t="s">
        <v>386</v>
      </c>
      <c r="M353" t="s">
        <v>1184</v>
      </c>
      <c r="O353">
        <v>0</v>
      </c>
      <c r="R353" t="s">
        <v>1185</v>
      </c>
      <c r="T353">
        <v>0</v>
      </c>
      <c r="V353" t="s">
        <v>1186</v>
      </c>
      <c r="Z353" t="s">
        <v>865</v>
      </c>
      <c r="AA353" t="s">
        <v>387</v>
      </c>
      <c r="AB353">
        <v>0</v>
      </c>
      <c r="AC353">
        <v>0</v>
      </c>
      <c r="AD353" t="s">
        <v>1187</v>
      </c>
      <c r="AE353">
        <v>0</v>
      </c>
      <c r="AF353" t="s">
        <v>1188</v>
      </c>
    </row>
    <row r="354" spans="1:32" x14ac:dyDescent="0.25">
      <c r="A354">
        <v>1</v>
      </c>
      <c r="C354" s="185"/>
      <c r="E354" t="s">
        <v>386</v>
      </c>
      <c r="I354">
        <v>3833</v>
      </c>
      <c r="J354" t="s">
        <v>1618</v>
      </c>
      <c r="K354" t="s">
        <v>1618</v>
      </c>
      <c r="L354" t="s">
        <v>386</v>
      </c>
      <c r="M354" t="s">
        <v>1184</v>
      </c>
      <c r="O354">
        <v>0</v>
      </c>
      <c r="R354" t="s">
        <v>1185</v>
      </c>
      <c r="T354">
        <v>0</v>
      </c>
      <c r="V354" t="s">
        <v>1186</v>
      </c>
      <c r="Z354" t="s">
        <v>865</v>
      </c>
      <c r="AA354" t="s">
        <v>387</v>
      </c>
      <c r="AB354">
        <v>0</v>
      </c>
      <c r="AC354">
        <v>0</v>
      </c>
      <c r="AD354" t="s">
        <v>1187</v>
      </c>
      <c r="AE354">
        <v>0</v>
      </c>
      <c r="AF354" t="s">
        <v>1188</v>
      </c>
    </row>
    <row r="355" spans="1:32" x14ac:dyDescent="0.25">
      <c r="A355">
        <v>1</v>
      </c>
      <c r="C355" s="185"/>
      <c r="E355" t="s">
        <v>386</v>
      </c>
      <c r="I355">
        <v>3825</v>
      </c>
      <c r="J355" t="s">
        <v>1619</v>
      </c>
      <c r="K355" t="s">
        <v>1619</v>
      </c>
      <c r="L355" t="s">
        <v>386</v>
      </c>
      <c r="M355" t="s">
        <v>1184</v>
      </c>
      <c r="O355">
        <v>0</v>
      </c>
      <c r="R355" t="s">
        <v>1185</v>
      </c>
      <c r="T355">
        <v>0</v>
      </c>
      <c r="V355" t="s">
        <v>1186</v>
      </c>
      <c r="Z355" t="s">
        <v>865</v>
      </c>
      <c r="AA355" t="s">
        <v>387</v>
      </c>
      <c r="AB355">
        <v>0</v>
      </c>
      <c r="AC355">
        <v>0</v>
      </c>
      <c r="AD355" t="s">
        <v>1187</v>
      </c>
      <c r="AE355">
        <v>0</v>
      </c>
      <c r="AF355" t="s">
        <v>1188</v>
      </c>
    </row>
    <row r="356" spans="1:32" x14ac:dyDescent="0.25">
      <c r="A356">
        <v>1</v>
      </c>
      <c r="C356" s="185"/>
      <c r="E356" t="s">
        <v>386</v>
      </c>
      <c r="I356">
        <v>3688</v>
      </c>
      <c r="J356" t="s">
        <v>1620</v>
      </c>
      <c r="K356" t="s">
        <v>1620</v>
      </c>
      <c r="L356" t="s">
        <v>386</v>
      </c>
      <c r="M356" t="s">
        <v>1184</v>
      </c>
      <c r="O356">
        <v>0</v>
      </c>
      <c r="R356" t="s">
        <v>1185</v>
      </c>
      <c r="T356">
        <v>0</v>
      </c>
      <c r="V356" t="s">
        <v>1186</v>
      </c>
      <c r="Z356" t="s">
        <v>865</v>
      </c>
      <c r="AA356" t="s">
        <v>387</v>
      </c>
      <c r="AB356">
        <v>0</v>
      </c>
      <c r="AC356">
        <v>0</v>
      </c>
      <c r="AD356" t="s">
        <v>1187</v>
      </c>
      <c r="AE356">
        <v>0</v>
      </c>
      <c r="AF356" t="s">
        <v>1188</v>
      </c>
    </row>
    <row r="357" spans="1:32" x14ac:dyDescent="0.25">
      <c r="A357">
        <v>1</v>
      </c>
      <c r="C357" s="185"/>
      <c r="E357" t="s">
        <v>386</v>
      </c>
      <c r="I357">
        <v>3494</v>
      </c>
      <c r="J357" t="s">
        <v>1621</v>
      </c>
      <c r="K357" t="s">
        <v>1621</v>
      </c>
      <c r="L357" t="s">
        <v>386</v>
      </c>
      <c r="M357" t="s">
        <v>1184</v>
      </c>
      <c r="O357">
        <v>0</v>
      </c>
      <c r="R357" t="s">
        <v>1185</v>
      </c>
      <c r="T357">
        <v>0</v>
      </c>
      <c r="V357" t="s">
        <v>1186</v>
      </c>
      <c r="Z357" t="s">
        <v>865</v>
      </c>
      <c r="AA357" t="s">
        <v>387</v>
      </c>
      <c r="AB357">
        <v>0</v>
      </c>
      <c r="AC357">
        <v>0</v>
      </c>
      <c r="AD357" t="s">
        <v>1187</v>
      </c>
      <c r="AE357">
        <v>0</v>
      </c>
      <c r="AF357" t="s">
        <v>1188</v>
      </c>
    </row>
    <row r="358" spans="1:32" x14ac:dyDescent="0.25">
      <c r="A358">
        <v>1</v>
      </c>
      <c r="C358" s="185"/>
      <c r="E358" t="s">
        <v>386</v>
      </c>
      <c r="I358">
        <v>3906</v>
      </c>
      <c r="J358" t="s">
        <v>1622</v>
      </c>
      <c r="K358" t="s">
        <v>1622</v>
      </c>
      <c r="L358" t="s">
        <v>386</v>
      </c>
      <c r="M358" t="s">
        <v>1184</v>
      </c>
      <c r="O358">
        <v>0</v>
      </c>
      <c r="R358" t="s">
        <v>1185</v>
      </c>
      <c r="T358">
        <v>0</v>
      </c>
      <c r="V358" t="s">
        <v>1186</v>
      </c>
      <c r="Z358" t="s">
        <v>865</v>
      </c>
      <c r="AA358" t="s">
        <v>387</v>
      </c>
      <c r="AB358">
        <v>0</v>
      </c>
      <c r="AC358">
        <v>0</v>
      </c>
      <c r="AD358" t="s">
        <v>1187</v>
      </c>
      <c r="AE358">
        <v>0</v>
      </c>
      <c r="AF358" t="s">
        <v>1188</v>
      </c>
    </row>
    <row r="359" spans="1:32" x14ac:dyDescent="0.25">
      <c r="A359">
        <v>1</v>
      </c>
      <c r="C359" s="185"/>
      <c r="E359" t="s">
        <v>386</v>
      </c>
      <c r="I359">
        <v>3866</v>
      </c>
      <c r="J359" t="s">
        <v>1623</v>
      </c>
      <c r="K359" t="s">
        <v>1623</v>
      </c>
      <c r="L359" t="s">
        <v>386</v>
      </c>
      <c r="M359" t="s">
        <v>1184</v>
      </c>
      <c r="O359">
        <v>0</v>
      </c>
      <c r="R359" t="s">
        <v>1185</v>
      </c>
      <c r="T359">
        <v>0</v>
      </c>
      <c r="V359" t="s">
        <v>1186</v>
      </c>
      <c r="Z359" t="s">
        <v>865</v>
      </c>
      <c r="AA359" t="s">
        <v>387</v>
      </c>
      <c r="AB359">
        <v>0</v>
      </c>
      <c r="AC359">
        <v>0</v>
      </c>
      <c r="AD359" t="s">
        <v>1187</v>
      </c>
      <c r="AE359">
        <v>0</v>
      </c>
      <c r="AF359" t="s">
        <v>1188</v>
      </c>
    </row>
    <row r="360" spans="1:32" x14ac:dyDescent="0.25">
      <c r="A360">
        <v>1</v>
      </c>
      <c r="C360" s="185"/>
      <c r="E360" t="s">
        <v>386</v>
      </c>
      <c r="I360">
        <v>3800</v>
      </c>
      <c r="J360" t="s">
        <v>1624</v>
      </c>
      <c r="K360" t="s">
        <v>1624</v>
      </c>
      <c r="L360" t="s">
        <v>386</v>
      </c>
      <c r="M360" t="s">
        <v>1184</v>
      </c>
      <c r="O360">
        <v>0</v>
      </c>
      <c r="R360" t="s">
        <v>1185</v>
      </c>
      <c r="T360">
        <v>0</v>
      </c>
      <c r="V360" t="s">
        <v>1186</v>
      </c>
      <c r="Z360" t="s">
        <v>865</v>
      </c>
      <c r="AA360" t="s">
        <v>387</v>
      </c>
      <c r="AB360">
        <v>0</v>
      </c>
      <c r="AC360">
        <v>0</v>
      </c>
      <c r="AD360" t="s">
        <v>1187</v>
      </c>
      <c r="AE360">
        <v>0</v>
      </c>
      <c r="AF360" t="s">
        <v>1188</v>
      </c>
    </row>
    <row r="361" spans="1:32" x14ac:dyDescent="0.25">
      <c r="A361">
        <v>1</v>
      </c>
      <c r="C361" s="185"/>
      <c r="E361" t="s">
        <v>386</v>
      </c>
      <c r="I361">
        <v>3980</v>
      </c>
      <c r="J361" t="s">
        <v>1625</v>
      </c>
      <c r="K361" t="s">
        <v>1625</v>
      </c>
      <c r="L361" t="s">
        <v>386</v>
      </c>
      <c r="M361" t="s">
        <v>1184</v>
      </c>
      <c r="O361">
        <v>0</v>
      </c>
      <c r="R361" t="s">
        <v>1185</v>
      </c>
      <c r="T361">
        <v>0</v>
      </c>
      <c r="V361" t="s">
        <v>1186</v>
      </c>
      <c r="Z361" t="s">
        <v>865</v>
      </c>
      <c r="AA361" t="s">
        <v>387</v>
      </c>
      <c r="AB361">
        <v>0</v>
      </c>
      <c r="AC361">
        <v>0</v>
      </c>
      <c r="AD361" t="s">
        <v>1187</v>
      </c>
      <c r="AE361">
        <v>0</v>
      </c>
      <c r="AF361" t="s">
        <v>1188</v>
      </c>
    </row>
    <row r="362" spans="1:32" x14ac:dyDescent="0.25">
      <c r="A362">
        <v>1</v>
      </c>
      <c r="C362" s="185"/>
      <c r="E362" t="s">
        <v>386</v>
      </c>
      <c r="I362">
        <v>3820</v>
      </c>
      <c r="J362" t="s">
        <v>1626</v>
      </c>
      <c r="K362" t="s">
        <v>1626</v>
      </c>
      <c r="L362" t="s">
        <v>386</v>
      </c>
      <c r="M362" t="s">
        <v>1184</v>
      </c>
      <c r="O362">
        <v>0</v>
      </c>
      <c r="R362" t="s">
        <v>1185</v>
      </c>
      <c r="T362">
        <v>0</v>
      </c>
      <c r="V362" t="s">
        <v>1186</v>
      </c>
      <c r="Z362" t="s">
        <v>865</v>
      </c>
      <c r="AA362" t="s">
        <v>387</v>
      </c>
      <c r="AB362">
        <v>0</v>
      </c>
      <c r="AC362">
        <v>0</v>
      </c>
      <c r="AD362" t="s">
        <v>1187</v>
      </c>
      <c r="AE362">
        <v>0</v>
      </c>
      <c r="AF362" t="s">
        <v>1188</v>
      </c>
    </row>
    <row r="363" spans="1:32" x14ac:dyDescent="0.25">
      <c r="A363">
        <v>1</v>
      </c>
      <c r="C363" s="185"/>
      <c r="E363" t="s">
        <v>386</v>
      </c>
      <c r="I363">
        <v>4118</v>
      </c>
      <c r="J363" t="s">
        <v>1627</v>
      </c>
      <c r="K363" t="s">
        <v>1627</v>
      </c>
      <c r="L363" t="s">
        <v>386</v>
      </c>
      <c r="M363" t="s">
        <v>1184</v>
      </c>
      <c r="O363">
        <v>0</v>
      </c>
      <c r="R363" t="s">
        <v>1185</v>
      </c>
      <c r="T363">
        <v>0</v>
      </c>
      <c r="V363" t="s">
        <v>1186</v>
      </c>
      <c r="Z363" t="s">
        <v>865</v>
      </c>
      <c r="AA363" t="s">
        <v>387</v>
      </c>
      <c r="AB363">
        <v>0</v>
      </c>
      <c r="AC363">
        <v>0</v>
      </c>
      <c r="AD363" t="s">
        <v>1187</v>
      </c>
      <c r="AE363">
        <v>0</v>
      </c>
      <c r="AF363" t="s">
        <v>1188</v>
      </c>
    </row>
    <row r="364" spans="1:32" x14ac:dyDescent="0.25">
      <c r="A364">
        <v>1</v>
      </c>
      <c r="C364" s="185"/>
      <c r="E364" t="s">
        <v>386</v>
      </c>
      <c r="I364">
        <v>4200</v>
      </c>
      <c r="J364" t="s">
        <v>1628</v>
      </c>
      <c r="K364" t="s">
        <v>1628</v>
      </c>
      <c r="L364" t="s">
        <v>386</v>
      </c>
      <c r="M364" t="s">
        <v>1184</v>
      </c>
      <c r="O364">
        <v>0</v>
      </c>
      <c r="R364" t="s">
        <v>1185</v>
      </c>
      <c r="T364">
        <v>0</v>
      </c>
      <c r="V364" t="s">
        <v>1186</v>
      </c>
      <c r="Z364" t="s">
        <v>865</v>
      </c>
      <c r="AA364" t="s">
        <v>387</v>
      </c>
      <c r="AB364">
        <v>0</v>
      </c>
      <c r="AC364">
        <v>0</v>
      </c>
      <c r="AD364" t="s">
        <v>1187</v>
      </c>
      <c r="AE364">
        <v>0</v>
      </c>
      <c r="AF364" t="s">
        <v>1188</v>
      </c>
    </row>
    <row r="365" spans="1:32" x14ac:dyDescent="0.25">
      <c r="A365">
        <v>1</v>
      </c>
      <c r="C365" s="185"/>
      <c r="E365" t="s">
        <v>386</v>
      </c>
      <c r="I365">
        <v>3966</v>
      </c>
      <c r="J365" t="s">
        <v>1629</v>
      </c>
      <c r="K365" t="s">
        <v>1629</v>
      </c>
      <c r="L365" t="s">
        <v>386</v>
      </c>
      <c r="M365" t="s">
        <v>1184</v>
      </c>
      <c r="O365">
        <v>0</v>
      </c>
      <c r="R365" t="s">
        <v>1185</v>
      </c>
      <c r="T365">
        <v>0</v>
      </c>
      <c r="V365" t="s">
        <v>1186</v>
      </c>
      <c r="Z365" t="s">
        <v>865</v>
      </c>
      <c r="AA365" t="s">
        <v>387</v>
      </c>
      <c r="AB365">
        <v>0</v>
      </c>
      <c r="AC365">
        <v>0</v>
      </c>
      <c r="AD365" t="s">
        <v>1187</v>
      </c>
      <c r="AE365">
        <v>0</v>
      </c>
      <c r="AF365" t="s">
        <v>1188</v>
      </c>
    </row>
    <row r="366" spans="1:32" x14ac:dyDescent="0.25">
      <c r="A366">
        <v>1</v>
      </c>
      <c r="C366" s="185"/>
      <c r="E366" t="s">
        <v>386</v>
      </c>
      <c r="I366">
        <v>4032</v>
      </c>
      <c r="J366" t="s">
        <v>1630</v>
      </c>
      <c r="K366" t="s">
        <v>1630</v>
      </c>
      <c r="L366" t="s">
        <v>386</v>
      </c>
      <c r="M366" t="s">
        <v>1184</v>
      </c>
      <c r="O366">
        <v>0</v>
      </c>
      <c r="R366" t="s">
        <v>1185</v>
      </c>
      <c r="T366">
        <v>0</v>
      </c>
      <c r="V366" t="s">
        <v>1186</v>
      </c>
      <c r="Z366" t="s">
        <v>865</v>
      </c>
      <c r="AA366" t="s">
        <v>387</v>
      </c>
      <c r="AB366">
        <v>0</v>
      </c>
      <c r="AC366">
        <v>0</v>
      </c>
      <c r="AD366" t="s">
        <v>1187</v>
      </c>
      <c r="AE366">
        <v>0</v>
      </c>
      <c r="AF366" t="s">
        <v>1188</v>
      </c>
    </row>
    <row r="367" spans="1:32" x14ac:dyDescent="0.25">
      <c r="A367">
        <v>1</v>
      </c>
      <c r="C367" s="185"/>
      <c r="E367" t="s">
        <v>386</v>
      </c>
      <c r="I367">
        <v>3985</v>
      </c>
      <c r="J367" t="s">
        <v>1631</v>
      </c>
      <c r="K367" t="s">
        <v>1631</v>
      </c>
      <c r="L367" t="s">
        <v>386</v>
      </c>
      <c r="M367" t="s">
        <v>1184</v>
      </c>
      <c r="O367">
        <v>0</v>
      </c>
      <c r="R367" t="s">
        <v>1185</v>
      </c>
      <c r="T367">
        <v>0</v>
      </c>
      <c r="V367" t="s">
        <v>1186</v>
      </c>
      <c r="Z367" t="s">
        <v>865</v>
      </c>
      <c r="AA367" t="s">
        <v>387</v>
      </c>
      <c r="AB367">
        <v>0</v>
      </c>
      <c r="AC367">
        <v>0</v>
      </c>
      <c r="AD367" t="s">
        <v>1187</v>
      </c>
      <c r="AE367">
        <v>0</v>
      </c>
      <c r="AF367" t="s">
        <v>1188</v>
      </c>
    </row>
    <row r="368" spans="1:32" x14ac:dyDescent="0.25">
      <c r="A368">
        <v>1</v>
      </c>
      <c r="C368" s="185"/>
      <c r="E368" t="s">
        <v>386</v>
      </c>
      <c r="I368">
        <v>3538</v>
      </c>
      <c r="J368" t="s">
        <v>1632</v>
      </c>
      <c r="K368" t="s">
        <v>1632</v>
      </c>
      <c r="L368" t="s">
        <v>386</v>
      </c>
      <c r="M368" t="s">
        <v>1184</v>
      </c>
      <c r="O368">
        <v>0</v>
      </c>
      <c r="R368" t="s">
        <v>1185</v>
      </c>
      <c r="T368">
        <v>0</v>
      </c>
      <c r="V368" t="s">
        <v>1186</v>
      </c>
      <c r="Z368" t="s">
        <v>865</v>
      </c>
      <c r="AA368" t="s">
        <v>387</v>
      </c>
      <c r="AB368">
        <v>0</v>
      </c>
      <c r="AC368">
        <v>0</v>
      </c>
      <c r="AD368" t="s">
        <v>1187</v>
      </c>
      <c r="AE368">
        <v>0</v>
      </c>
      <c r="AF368" t="s">
        <v>1188</v>
      </c>
    </row>
    <row r="369" spans="1:32" x14ac:dyDescent="0.25">
      <c r="A369">
        <v>1</v>
      </c>
      <c r="C369" s="185"/>
      <c r="E369" t="s">
        <v>386</v>
      </c>
      <c r="I369">
        <v>3565</v>
      </c>
      <c r="J369" t="s">
        <v>1633</v>
      </c>
      <c r="K369" t="s">
        <v>1633</v>
      </c>
      <c r="L369" t="s">
        <v>386</v>
      </c>
      <c r="M369" t="s">
        <v>1184</v>
      </c>
      <c r="O369">
        <v>0</v>
      </c>
      <c r="R369" t="s">
        <v>1185</v>
      </c>
      <c r="T369">
        <v>0</v>
      </c>
      <c r="V369" t="s">
        <v>1186</v>
      </c>
      <c r="Z369" t="s">
        <v>865</v>
      </c>
      <c r="AA369" t="s">
        <v>387</v>
      </c>
      <c r="AB369">
        <v>0</v>
      </c>
      <c r="AC369">
        <v>0</v>
      </c>
      <c r="AD369" t="s">
        <v>1187</v>
      </c>
      <c r="AE369">
        <v>0</v>
      </c>
      <c r="AF369" t="s">
        <v>1188</v>
      </c>
    </row>
    <row r="370" spans="1:32" x14ac:dyDescent="0.25">
      <c r="A370">
        <v>1</v>
      </c>
      <c r="C370" s="185"/>
      <c r="E370" t="s">
        <v>386</v>
      </c>
      <c r="I370">
        <v>3945</v>
      </c>
      <c r="J370" t="s">
        <v>1634</v>
      </c>
      <c r="K370" t="s">
        <v>1634</v>
      </c>
      <c r="L370" t="s">
        <v>386</v>
      </c>
      <c r="M370" t="s">
        <v>1184</v>
      </c>
      <c r="O370">
        <v>0</v>
      </c>
      <c r="R370" t="s">
        <v>1185</v>
      </c>
      <c r="T370">
        <v>0</v>
      </c>
      <c r="V370" t="s">
        <v>1186</v>
      </c>
      <c r="Z370" t="s">
        <v>865</v>
      </c>
      <c r="AA370" t="s">
        <v>387</v>
      </c>
      <c r="AB370">
        <v>0</v>
      </c>
      <c r="AC370">
        <v>0</v>
      </c>
      <c r="AD370" t="s">
        <v>1187</v>
      </c>
      <c r="AE370">
        <v>0</v>
      </c>
      <c r="AF370" t="s">
        <v>1188</v>
      </c>
    </row>
    <row r="371" spans="1:32" x14ac:dyDescent="0.25">
      <c r="A371">
        <v>1</v>
      </c>
      <c r="C371" s="185"/>
      <c r="E371" t="s">
        <v>386</v>
      </c>
      <c r="I371">
        <v>3911</v>
      </c>
      <c r="J371" t="s">
        <v>1635</v>
      </c>
      <c r="K371" t="s">
        <v>1635</v>
      </c>
      <c r="L371" t="s">
        <v>386</v>
      </c>
      <c r="M371" t="s">
        <v>1184</v>
      </c>
      <c r="O371">
        <v>0</v>
      </c>
      <c r="R371" t="s">
        <v>1185</v>
      </c>
      <c r="T371">
        <v>0</v>
      </c>
      <c r="V371" t="s">
        <v>1186</v>
      </c>
      <c r="Z371" t="s">
        <v>865</v>
      </c>
      <c r="AA371" t="s">
        <v>387</v>
      </c>
      <c r="AB371">
        <v>0</v>
      </c>
      <c r="AC371">
        <v>0</v>
      </c>
      <c r="AD371" t="s">
        <v>1187</v>
      </c>
      <c r="AE371">
        <v>0</v>
      </c>
      <c r="AF371" t="s">
        <v>1188</v>
      </c>
    </row>
    <row r="372" spans="1:32" x14ac:dyDescent="0.25">
      <c r="A372">
        <v>1</v>
      </c>
      <c r="C372" s="185"/>
      <c r="E372" t="s">
        <v>386</v>
      </c>
      <c r="I372">
        <v>3485</v>
      </c>
      <c r="J372" t="s">
        <v>1636</v>
      </c>
      <c r="K372" t="s">
        <v>1636</v>
      </c>
      <c r="L372" t="s">
        <v>386</v>
      </c>
      <c r="M372" t="s">
        <v>1184</v>
      </c>
      <c r="O372">
        <v>0</v>
      </c>
      <c r="R372" t="s">
        <v>1185</v>
      </c>
      <c r="T372">
        <v>0</v>
      </c>
      <c r="V372" t="s">
        <v>1186</v>
      </c>
      <c r="Z372" t="s">
        <v>865</v>
      </c>
      <c r="AA372" t="s">
        <v>387</v>
      </c>
      <c r="AB372">
        <v>0</v>
      </c>
      <c r="AC372">
        <v>0</v>
      </c>
      <c r="AD372" t="s">
        <v>1187</v>
      </c>
      <c r="AE372">
        <v>0</v>
      </c>
      <c r="AF372" t="s">
        <v>1188</v>
      </c>
    </row>
    <row r="373" spans="1:32" x14ac:dyDescent="0.25">
      <c r="A373">
        <v>1</v>
      </c>
      <c r="C373" s="185"/>
      <c r="E373" t="s">
        <v>386</v>
      </c>
      <c r="I373">
        <v>3886</v>
      </c>
      <c r="J373" t="s">
        <v>1637</v>
      </c>
      <c r="K373" t="s">
        <v>1637</v>
      </c>
      <c r="L373" t="s">
        <v>386</v>
      </c>
      <c r="M373" t="s">
        <v>1184</v>
      </c>
      <c r="O373">
        <v>0</v>
      </c>
      <c r="R373" t="s">
        <v>1185</v>
      </c>
      <c r="T373">
        <v>0</v>
      </c>
      <c r="V373" t="s">
        <v>1186</v>
      </c>
      <c r="Z373" t="s">
        <v>865</v>
      </c>
      <c r="AA373" t="s">
        <v>387</v>
      </c>
      <c r="AB373">
        <v>0</v>
      </c>
      <c r="AC373">
        <v>0</v>
      </c>
      <c r="AD373" t="s">
        <v>1187</v>
      </c>
      <c r="AE373">
        <v>0</v>
      </c>
      <c r="AF373" t="s">
        <v>1188</v>
      </c>
    </row>
    <row r="374" spans="1:32" x14ac:dyDescent="0.25">
      <c r="A374">
        <v>1</v>
      </c>
      <c r="C374" s="185"/>
      <c r="E374" t="s">
        <v>386</v>
      </c>
      <c r="I374">
        <v>4077</v>
      </c>
      <c r="J374" t="s">
        <v>1638</v>
      </c>
      <c r="K374" t="s">
        <v>1638</v>
      </c>
      <c r="L374" t="s">
        <v>386</v>
      </c>
      <c r="M374" t="s">
        <v>1184</v>
      </c>
      <c r="O374">
        <v>0</v>
      </c>
      <c r="R374" t="s">
        <v>1185</v>
      </c>
      <c r="T374">
        <v>0</v>
      </c>
      <c r="V374" t="s">
        <v>1186</v>
      </c>
      <c r="Z374" t="s">
        <v>865</v>
      </c>
      <c r="AA374" t="s">
        <v>387</v>
      </c>
      <c r="AB374">
        <v>0</v>
      </c>
      <c r="AC374">
        <v>0</v>
      </c>
      <c r="AD374" t="s">
        <v>1187</v>
      </c>
      <c r="AE374">
        <v>0</v>
      </c>
      <c r="AF374" t="s">
        <v>1188</v>
      </c>
    </row>
    <row r="375" spans="1:32" x14ac:dyDescent="0.25">
      <c r="A375">
        <v>1</v>
      </c>
      <c r="C375" s="185"/>
      <c r="E375" t="s">
        <v>386</v>
      </c>
      <c r="I375">
        <v>3944</v>
      </c>
      <c r="J375" t="s">
        <v>1639</v>
      </c>
      <c r="K375" t="s">
        <v>1639</v>
      </c>
      <c r="L375" t="s">
        <v>386</v>
      </c>
      <c r="M375" t="s">
        <v>1184</v>
      </c>
      <c r="O375">
        <v>0</v>
      </c>
      <c r="R375" t="s">
        <v>1185</v>
      </c>
      <c r="T375">
        <v>0</v>
      </c>
      <c r="V375" t="s">
        <v>1186</v>
      </c>
      <c r="Z375" t="s">
        <v>865</v>
      </c>
      <c r="AA375" t="s">
        <v>387</v>
      </c>
      <c r="AB375">
        <v>0</v>
      </c>
      <c r="AC375">
        <v>0</v>
      </c>
      <c r="AD375" t="s">
        <v>1187</v>
      </c>
      <c r="AE375">
        <v>0</v>
      </c>
      <c r="AF375" t="s">
        <v>1188</v>
      </c>
    </row>
    <row r="376" spans="1:32" x14ac:dyDescent="0.25">
      <c r="A376">
        <v>1</v>
      </c>
      <c r="C376" s="185"/>
      <c r="E376" t="s">
        <v>386</v>
      </c>
      <c r="I376">
        <v>4172</v>
      </c>
      <c r="J376" t="s">
        <v>1640</v>
      </c>
      <c r="K376" t="s">
        <v>1640</v>
      </c>
      <c r="L376" t="s">
        <v>386</v>
      </c>
      <c r="M376" t="s">
        <v>1184</v>
      </c>
      <c r="O376">
        <v>0</v>
      </c>
      <c r="R376" t="s">
        <v>1185</v>
      </c>
      <c r="T376">
        <v>0</v>
      </c>
      <c r="V376" t="s">
        <v>1186</v>
      </c>
      <c r="Z376" t="s">
        <v>865</v>
      </c>
      <c r="AA376" t="s">
        <v>387</v>
      </c>
      <c r="AB376">
        <v>0</v>
      </c>
      <c r="AC376">
        <v>0</v>
      </c>
      <c r="AD376" t="s">
        <v>1187</v>
      </c>
      <c r="AE376">
        <v>0</v>
      </c>
      <c r="AF376" t="s">
        <v>1188</v>
      </c>
    </row>
    <row r="377" spans="1:32" x14ac:dyDescent="0.25">
      <c r="A377">
        <v>1</v>
      </c>
      <c r="C377" s="185"/>
      <c r="E377" t="s">
        <v>386</v>
      </c>
      <c r="I377">
        <v>3643</v>
      </c>
      <c r="J377" t="s">
        <v>1641</v>
      </c>
      <c r="K377" t="s">
        <v>1641</v>
      </c>
      <c r="L377" t="s">
        <v>386</v>
      </c>
      <c r="M377" t="s">
        <v>1184</v>
      </c>
      <c r="O377">
        <v>0</v>
      </c>
      <c r="R377" t="s">
        <v>1185</v>
      </c>
      <c r="T377">
        <v>0</v>
      </c>
      <c r="V377" t="s">
        <v>1186</v>
      </c>
      <c r="Z377" t="s">
        <v>865</v>
      </c>
      <c r="AA377" t="s">
        <v>387</v>
      </c>
      <c r="AB377">
        <v>0</v>
      </c>
      <c r="AC377">
        <v>0</v>
      </c>
      <c r="AD377" t="s">
        <v>1187</v>
      </c>
      <c r="AE377">
        <v>0</v>
      </c>
      <c r="AF377" t="s">
        <v>1188</v>
      </c>
    </row>
    <row r="378" spans="1:32" x14ac:dyDescent="0.25">
      <c r="A378">
        <v>1</v>
      </c>
      <c r="C378" s="185"/>
      <c r="E378" t="s">
        <v>386</v>
      </c>
      <c r="I378">
        <v>3960</v>
      </c>
      <c r="J378" t="s">
        <v>1642</v>
      </c>
      <c r="K378" t="s">
        <v>1642</v>
      </c>
      <c r="L378" t="s">
        <v>386</v>
      </c>
      <c r="M378" t="s">
        <v>1184</v>
      </c>
      <c r="O378">
        <v>0</v>
      </c>
      <c r="R378" t="s">
        <v>1185</v>
      </c>
      <c r="T378">
        <v>0</v>
      </c>
      <c r="V378" t="s">
        <v>1186</v>
      </c>
      <c r="Z378" t="s">
        <v>865</v>
      </c>
      <c r="AA378" t="s">
        <v>387</v>
      </c>
      <c r="AB378">
        <v>0</v>
      </c>
      <c r="AC378">
        <v>0</v>
      </c>
      <c r="AD378" t="s">
        <v>1187</v>
      </c>
      <c r="AE378">
        <v>0</v>
      </c>
      <c r="AF378" t="s">
        <v>1188</v>
      </c>
    </row>
    <row r="379" spans="1:32" x14ac:dyDescent="0.25">
      <c r="A379">
        <v>1</v>
      </c>
      <c r="C379" s="185"/>
      <c r="E379" t="s">
        <v>386</v>
      </c>
      <c r="I379">
        <v>3746</v>
      </c>
      <c r="J379" t="s">
        <v>1643</v>
      </c>
      <c r="K379" t="s">
        <v>1643</v>
      </c>
      <c r="L379" t="s">
        <v>386</v>
      </c>
      <c r="M379" t="s">
        <v>1184</v>
      </c>
      <c r="O379">
        <v>0</v>
      </c>
      <c r="R379" t="s">
        <v>1185</v>
      </c>
      <c r="T379">
        <v>0</v>
      </c>
      <c r="V379" t="s">
        <v>1186</v>
      </c>
      <c r="Z379" t="s">
        <v>865</v>
      </c>
      <c r="AA379" t="s">
        <v>387</v>
      </c>
      <c r="AB379">
        <v>0</v>
      </c>
      <c r="AC379">
        <v>0</v>
      </c>
      <c r="AD379" t="s">
        <v>1187</v>
      </c>
      <c r="AE379">
        <v>0</v>
      </c>
      <c r="AF379" t="s">
        <v>1188</v>
      </c>
    </row>
    <row r="380" spans="1:32" x14ac:dyDescent="0.25">
      <c r="A380">
        <v>1</v>
      </c>
      <c r="C380" s="185"/>
      <c r="E380" t="s">
        <v>386</v>
      </c>
      <c r="I380">
        <v>3999</v>
      </c>
      <c r="J380" t="s">
        <v>1644</v>
      </c>
      <c r="K380" t="s">
        <v>1644</v>
      </c>
      <c r="L380" t="s">
        <v>386</v>
      </c>
      <c r="M380" t="s">
        <v>1184</v>
      </c>
      <c r="O380">
        <v>0</v>
      </c>
      <c r="R380" t="s">
        <v>1185</v>
      </c>
      <c r="T380">
        <v>0</v>
      </c>
      <c r="V380" t="s">
        <v>1186</v>
      </c>
      <c r="Z380" t="s">
        <v>865</v>
      </c>
      <c r="AA380" t="s">
        <v>387</v>
      </c>
      <c r="AB380">
        <v>0</v>
      </c>
      <c r="AC380">
        <v>0</v>
      </c>
      <c r="AD380" t="s">
        <v>1187</v>
      </c>
      <c r="AE380">
        <v>0</v>
      </c>
      <c r="AF380" t="s">
        <v>1188</v>
      </c>
    </row>
    <row r="381" spans="1:32" x14ac:dyDescent="0.25">
      <c r="A381">
        <v>1</v>
      </c>
      <c r="C381" s="185"/>
      <c r="E381" t="s">
        <v>386</v>
      </c>
      <c r="I381">
        <v>3766</v>
      </c>
      <c r="J381" t="s">
        <v>1645</v>
      </c>
      <c r="K381" t="s">
        <v>1645</v>
      </c>
      <c r="L381" t="s">
        <v>386</v>
      </c>
      <c r="M381" t="s">
        <v>1184</v>
      </c>
      <c r="O381">
        <v>0</v>
      </c>
      <c r="R381" t="s">
        <v>1185</v>
      </c>
      <c r="T381">
        <v>0</v>
      </c>
      <c r="V381" t="s">
        <v>1186</v>
      </c>
      <c r="Z381" t="s">
        <v>865</v>
      </c>
      <c r="AA381" t="s">
        <v>387</v>
      </c>
      <c r="AB381">
        <v>0</v>
      </c>
      <c r="AC381">
        <v>0</v>
      </c>
      <c r="AD381" t="s">
        <v>1187</v>
      </c>
      <c r="AE381">
        <v>0</v>
      </c>
      <c r="AF381" t="s">
        <v>1188</v>
      </c>
    </row>
    <row r="382" spans="1:32" x14ac:dyDescent="0.25">
      <c r="A382">
        <v>1</v>
      </c>
      <c r="C382" s="185"/>
      <c r="E382" t="s">
        <v>386</v>
      </c>
      <c r="I382">
        <v>3661</v>
      </c>
      <c r="J382" t="s">
        <v>1646</v>
      </c>
      <c r="K382" t="s">
        <v>1646</v>
      </c>
      <c r="L382" t="s">
        <v>386</v>
      </c>
      <c r="M382" t="s">
        <v>1184</v>
      </c>
      <c r="O382">
        <v>0</v>
      </c>
      <c r="R382" t="s">
        <v>1185</v>
      </c>
      <c r="T382">
        <v>0</v>
      </c>
      <c r="V382" t="s">
        <v>1186</v>
      </c>
      <c r="Z382" t="s">
        <v>865</v>
      </c>
      <c r="AA382" t="s">
        <v>387</v>
      </c>
      <c r="AB382">
        <v>0</v>
      </c>
      <c r="AC382">
        <v>0</v>
      </c>
      <c r="AD382" t="s">
        <v>1187</v>
      </c>
      <c r="AE382">
        <v>0</v>
      </c>
      <c r="AF382" t="s">
        <v>1188</v>
      </c>
    </row>
    <row r="383" spans="1:32" x14ac:dyDescent="0.25">
      <c r="A383">
        <v>1</v>
      </c>
      <c r="C383" s="185"/>
      <c r="E383" t="s">
        <v>386</v>
      </c>
      <c r="I383">
        <v>3752</v>
      </c>
      <c r="J383" t="s">
        <v>1647</v>
      </c>
      <c r="K383" t="s">
        <v>1647</v>
      </c>
      <c r="L383" t="s">
        <v>386</v>
      </c>
      <c r="M383" t="s">
        <v>1184</v>
      </c>
      <c r="O383">
        <v>0</v>
      </c>
      <c r="R383" t="s">
        <v>1185</v>
      </c>
      <c r="T383">
        <v>0</v>
      </c>
      <c r="V383" t="s">
        <v>1186</v>
      </c>
      <c r="Z383" t="s">
        <v>865</v>
      </c>
      <c r="AA383" t="s">
        <v>387</v>
      </c>
      <c r="AB383">
        <v>0</v>
      </c>
      <c r="AC383">
        <v>0</v>
      </c>
      <c r="AD383" t="s">
        <v>1187</v>
      </c>
      <c r="AE383">
        <v>0</v>
      </c>
      <c r="AF383" t="s">
        <v>1188</v>
      </c>
    </row>
    <row r="384" spans="1:32" x14ac:dyDescent="0.25">
      <c r="A384">
        <v>1</v>
      </c>
      <c r="C384" s="185"/>
      <c r="E384" t="s">
        <v>386</v>
      </c>
      <c r="I384">
        <v>3532</v>
      </c>
      <c r="J384" t="s">
        <v>1648</v>
      </c>
      <c r="K384" t="s">
        <v>1648</v>
      </c>
      <c r="L384" t="s">
        <v>386</v>
      </c>
      <c r="M384" t="s">
        <v>1184</v>
      </c>
      <c r="O384">
        <v>0</v>
      </c>
      <c r="R384" t="s">
        <v>1185</v>
      </c>
      <c r="T384">
        <v>0</v>
      </c>
      <c r="V384" t="s">
        <v>1186</v>
      </c>
      <c r="Z384" t="s">
        <v>865</v>
      </c>
      <c r="AA384" t="s">
        <v>387</v>
      </c>
      <c r="AB384">
        <v>0</v>
      </c>
      <c r="AC384">
        <v>0</v>
      </c>
      <c r="AD384" t="s">
        <v>1187</v>
      </c>
      <c r="AE384">
        <v>0</v>
      </c>
      <c r="AF384" t="s">
        <v>1188</v>
      </c>
    </row>
    <row r="385" spans="1:32" x14ac:dyDescent="0.25">
      <c r="A385">
        <v>1</v>
      </c>
      <c r="C385" s="185"/>
      <c r="E385" t="s">
        <v>386</v>
      </c>
      <c r="I385">
        <v>3765</v>
      </c>
      <c r="J385" t="s">
        <v>1649</v>
      </c>
      <c r="K385" t="s">
        <v>1649</v>
      </c>
      <c r="L385" t="s">
        <v>386</v>
      </c>
      <c r="M385" t="s">
        <v>1184</v>
      </c>
      <c r="O385">
        <v>0</v>
      </c>
      <c r="R385" t="s">
        <v>1185</v>
      </c>
      <c r="T385">
        <v>0</v>
      </c>
      <c r="V385" t="s">
        <v>1186</v>
      </c>
      <c r="Z385" t="s">
        <v>865</v>
      </c>
      <c r="AA385" t="s">
        <v>387</v>
      </c>
      <c r="AB385">
        <v>0</v>
      </c>
      <c r="AC385">
        <v>0</v>
      </c>
      <c r="AD385" t="s">
        <v>1187</v>
      </c>
      <c r="AE385">
        <v>0</v>
      </c>
      <c r="AF385" t="s">
        <v>1188</v>
      </c>
    </row>
    <row r="386" spans="1:32" x14ac:dyDescent="0.25">
      <c r="A386">
        <v>1</v>
      </c>
      <c r="C386" s="185"/>
      <c r="E386" t="s">
        <v>386</v>
      </c>
      <c r="I386">
        <v>4190</v>
      </c>
      <c r="J386" t="s">
        <v>1650</v>
      </c>
      <c r="K386" t="s">
        <v>1650</v>
      </c>
      <c r="L386" t="s">
        <v>386</v>
      </c>
      <c r="M386" t="s">
        <v>1184</v>
      </c>
      <c r="O386">
        <v>0</v>
      </c>
      <c r="R386" t="s">
        <v>1185</v>
      </c>
      <c r="T386">
        <v>0</v>
      </c>
      <c r="V386" t="s">
        <v>1186</v>
      </c>
      <c r="Z386" t="s">
        <v>865</v>
      </c>
      <c r="AA386" t="s">
        <v>387</v>
      </c>
      <c r="AB386">
        <v>0</v>
      </c>
      <c r="AC386">
        <v>0</v>
      </c>
      <c r="AD386" t="s">
        <v>1187</v>
      </c>
      <c r="AE386">
        <v>0</v>
      </c>
      <c r="AF386" t="s">
        <v>1188</v>
      </c>
    </row>
    <row r="387" spans="1:32" x14ac:dyDescent="0.25">
      <c r="A387">
        <v>1</v>
      </c>
      <c r="C387" s="185"/>
      <c r="E387" t="s">
        <v>386</v>
      </c>
      <c r="I387">
        <v>4050</v>
      </c>
      <c r="J387" t="s">
        <v>1651</v>
      </c>
      <c r="K387" t="s">
        <v>1651</v>
      </c>
      <c r="L387" t="s">
        <v>386</v>
      </c>
      <c r="M387" t="s">
        <v>1184</v>
      </c>
      <c r="O387">
        <v>0</v>
      </c>
      <c r="R387" t="s">
        <v>1185</v>
      </c>
      <c r="T387">
        <v>0</v>
      </c>
      <c r="V387" t="s">
        <v>1186</v>
      </c>
      <c r="Z387" t="s">
        <v>865</v>
      </c>
      <c r="AA387" t="s">
        <v>387</v>
      </c>
      <c r="AB387">
        <v>0</v>
      </c>
      <c r="AC387">
        <v>0</v>
      </c>
      <c r="AD387" t="s">
        <v>1187</v>
      </c>
      <c r="AE387">
        <v>0</v>
      </c>
      <c r="AF387" t="s">
        <v>1188</v>
      </c>
    </row>
    <row r="388" spans="1:32" x14ac:dyDescent="0.25">
      <c r="A388">
        <v>1</v>
      </c>
      <c r="C388" s="185"/>
      <c r="E388" t="s">
        <v>386</v>
      </c>
      <c r="I388">
        <v>3796</v>
      </c>
      <c r="J388" t="s">
        <v>1652</v>
      </c>
      <c r="K388" t="s">
        <v>1652</v>
      </c>
      <c r="L388" t="s">
        <v>386</v>
      </c>
      <c r="M388" t="s">
        <v>1184</v>
      </c>
      <c r="O388">
        <v>0</v>
      </c>
      <c r="R388" t="s">
        <v>1185</v>
      </c>
      <c r="T388">
        <v>0</v>
      </c>
      <c r="V388" t="s">
        <v>1186</v>
      </c>
      <c r="Z388" t="s">
        <v>865</v>
      </c>
      <c r="AA388" t="s">
        <v>387</v>
      </c>
      <c r="AB388">
        <v>0</v>
      </c>
      <c r="AC388">
        <v>0</v>
      </c>
      <c r="AD388" t="s">
        <v>1187</v>
      </c>
      <c r="AE388">
        <v>0</v>
      </c>
      <c r="AF388" t="s">
        <v>1188</v>
      </c>
    </row>
    <row r="389" spans="1:32" x14ac:dyDescent="0.25">
      <c r="A389">
        <v>1</v>
      </c>
      <c r="C389" s="185"/>
      <c r="E389" t="s">
        <v>386</v>
      </c>
      <c r="I389">
        <v>3901</v>
      </c>
      <c r="J389" t="s">
        <v>1653</v>
      </c>
      <c r="K389" t="s">
        <v>1653</v>
      </c>
      <c r="L389" t="s">
        <v>386</v>
      </c>
      <c r="M389" t="s">
        <v>1184</v>
      </c>
      <c r="O389">
        <v>0</v>
      </c>
      <c r="R389" t="s">
        <v>1185</v>
      </c>
      <c r="T389">
        <v>0</v>
      </c>
      <c r="V389" t="s">
        <v>1186</v>
      </c>
      <c r="Z389" t="s">
        <v>865</v>
      </c>
      <c r="AA389" t="s">
        <v>387</v>
      </c>
      <c r="AB389">
        <v>0</v>
      </c>
      <c r="AC389">
        <v>0</v>
      </c>
      <c r="AD389" t="s">
        <v>1187</v>
      </c>
      <c r="AE389">
        <v>0</v>
      </c>
      <c r="AF389" t="s">
        <v>1188</v>
      </c>
    </row>
    <row r="390" spans="1:32" x14ac:dyDescent="0.25">
      <c r="A390">
        <v>1</v>
      </c>
      <c r="C390" s="185"/>
      <c r="E390" t="s">
        <v>386</v>
      </c>
      <c r="I390">
        <v>4069</v>
      </c>
      <c r="J390" t="s">
        <v>1654</v>
      </c>
      <c r="K390" t="s">
        <v>1654</v>
      </c>
      <c r="L390" t="s">
        <v>386</v>
      </c>
      <c r="M390" t="s">
        <v>1184</v>
      </c>
      <c r="O390">
        <v>0</v>
      </c>
      <c r="R390" t="s">
        <v>1185</v>
      </c>
      <c r="T390">
        <v>0</v>
      </c>
      <c r="V390" t="s">
        <v>1186</v>
      </c>
      <c r="Z390" t="s">
        <v>865</v>
      </c>
      <c r="AA390" t="s">
        <v>387</v>
      </c>
      <c r="AB390">
        <v>0</v>
      </c>
      <c r="AC390">
        <v>0</v>
      </c>
      <c r="AD390" t="s">
        <v>1187</v>
      </c>
      <c r="AE390">
        <v>0</v>
      </c>
      <c r="AF390" t="s">
        <v>1188</v>
      </c>
    </row>
    <row r="391" spans="1:32" x14ac:dyDescent="0.25">
      <c r="A391">
        <v>1</v>
      </c>
      <c r="C391" s="185"/>
      <c r="E391" t="s">
        <v>386</v>
      </c>
      <c r="I391">
        <v>4062</v>
      </c>
      <c r="J391" t="s">
        <v>1655</v>
      </c>
      <c r="K391" t="s">
        <v>1655</v>
      </c>
      <c r="L391" t="s">
        <v>386</v>
      </c>
      <c r="M391" t="s">
        <v>1184</v>
      </c>
      <c r="O391">
        <v>0</v>
      </c>
      <c r="R391" t="s">
        <v>1185</v>
      </c>
      <c r="T391">
        <v>0</v>
      </c>
      <c r="V391" t="s">
        <v>1186</v>
      </c>
      <c r="Z391" t="s">
        <v>865</v>
      </c>
      <c r="AA391" t="s">
        <v>387</v>
      </c>
      <c r="AB391">
        <v>0</v>
      </c>
      <c r="AC391">
        <v>0</v>
      </c>
      <c r="AD391" t="s">
        <v>1187</v>
      </c>
      <c r="AE391">
        <v>0</v>
      </c>
      <c r="AF391" t="s">
        <v>1188</v>
      </c>
    </row>
    <row r="392" spans="1:32" x14ac:dyDescent="0.25">
      <c r="A392">
        <v>1</v>
      </c>
      <c r="C392" s="185"/>
      <c r="E392" t="s">
        <v>386</v>
      </c>
      <c r="I392">
        <v>4034</v>
      </c>
      <c r="J392" t="s">
        <v>1656</v>
      </c>
      <c r="K392" t="s">
        <v>1656</v>
      </c>
      <c r="L392" t="s">
        <v>386</v>
      </c>
      <c r="M392" t="s">
        <v>1184</v>
      </c>
      <c r="O392">
        <v>0</v>
      </c>
      <c r="R392" t="s">
        <v>1185</v>
      </c>
      <c r="T392">
        <v>0</v>
      </c>
      <c r="V392" t="s">
        <v>1186</v>
      </c>
      <c r="Z392" t="s">
        <v>865</v>
      </c>
      <c r="AA392" t="s">
        <v>387</v>
      </c>
      <c r="AB392">
        <v>0</v>
      </c>
      <c r="AC392">
        <v>0</v>
      </c>
      <c r="AD392" t="s">
        <v>1187</v>
      </c>
      <c r="AE392">
        <v>0</v>
      </c>
      <c r="AF392" t="s">
        <v>1188</v>
      </c>
    </row>
    <row r="393" spans="1:32" x14ac:dyDescent="0.25">
      <c r="A393">
        <v>1</v>
      </c>
      <c r="C393" s="185"/>
      <c r="E393" t="s">
        <v>386</v>
      </c>
      <c r="I393">
        <v>3974</v>
      </c>
      <c r="J393" t="s">
        <v>1657</v>
      </c>
      <c r="K393" t="s">
        <v>1657</v>
      </c>
      <c r="L393" t="s">
        <v>386</v>
      </c>
      <c r="M393" t="s">
        <v>1184</v>
      </c>
      <c r="O393">
        <v>0</v>
      </c>
      <c r="R393" t="s">
        <v>1185</v>
      </c>
      <c r="T393">
        <v>0</v>
      </c>
      <c r="V393" t="s">
        <v>1186</v>
      </c>
      <c r="Z393" t="s">
        <v>865</v>
      </c>
      <c r="AA393" t="s">
        <v>387</v>
      </c>
      <c r="AB393">
        <v>0</v>
      </c>
      <c r="AC393">
        <v>0</v>
      </c>
      <c r="AD393" t="s">
        <v>1187</v>
      </c>
      <c r="AE393">
        <v>0</v>
      </c>
      <c r="AF393" t="s">
        <v>1188</v>
      </c>
    </row>
    <row r="394" spans="1:32" x14ac:dyDescent="0.25">
      <c r="A394">
        <v>1</v>
      </c>
      <c r="C394" s="185"/>
      <c r="E394" t="s">
        <v>386</v>
      </c>
      <c r="I394">
        <v>3723</v>
      </c>
      <c r="J394" t="s">
        <v>1658</v>
      </c>
      <c r="K394" t="s">
        <v>1658</v>
      </c>
      <c r="L394" t="s">
        <v>386</v>
      </c>
      <c r="M394" t="s">
        <v>1184</v>
      </c>
      <c r="O394">
        <v>0</v>
      </c>
      <c r="R394" t="s">
        <v>1185</v>
      </c>
      <c r="T394">
        <v>0</v>
      </c>
      <c r="V394" t="s">
        <v>1186</v>
      </c>
      <c r="Z394" t="s">
        <v>865</v>
      </c>
      <c r="AA394" t="s">
        <v>387</v>
      </c>
      <c r="AB394">
        <v>0</v>
      </c>
      <c r="AC394">
        <v>0</v>
      </c>
      <c r="AD394" t="s">
        <v>1187</v>
      </c>
      <c r="AE394">
        <v>0</v>
      </c>
      <c r="AF394" t="s">
        <v>1188</v>
      </c>
    </row>
    <row r="395" spans="1:32" x14ac:dyDescent="0.25">
      <c r="A395">
        <v>1</v>
      </c>
      <c r="C395" s="185"/>
      <c r="E395" t="s">
        <v>386</v>
      </c>
      <c r="I395">
        <v>3699</v>
      </c>
      <c r="J395" t="s">
        <v>1659</v>
      </c>
      <c r="K395" t="s">
        <v>1659</v>
      </c>
      <c r="L395" t="s">
        <v>386</v>
      </c>
      <c r="M395" t="s">
        <v>1184</v>
      </c>
      <c r="O395">
        <v>0</v>
      </c>
      <c r="R395" t="s">
        <v>1185</v>
      </c>
      <c r="T395">
        <v>0</v>
      </c>
      <c r="V395" t="s">
        <v>1186</v>
      </c>
      <c r="Z395" t="s">
        <v>865</v>
      </c>
      <c r="AA395" t="s">
        <v>387</v>
      </c>
      <c r="AB395">
        <v>0</v>
      </c>
      <c r="AC395">
        <v>0</v>
      </c>
      <c r="AD395" t="s">
        <v>1187</v>
      </c>
      <c r="AE395">
        <v>0</v>
      </c>
      <c r="AF395" t="s">
        <v>1188</v>
      </c>
    </row>
    <row r="396" spans="1:32" x14ac:dyDescent="0.25">
      <c r="A396">
        <v>1</v>
      </c>
      <c r="C396" s="185"/>
      <c r="E396" t="s">
        <v>386</v>
      </c>
      <c r="I396">
        <v>3861</v>
      </c>
      <c r="J396" t="s">
        <v>1660</v>
      </c>
      <c r="K396" t="s">
        <v>1660</v>
      </c>
      <c r="L396" t="s">
        <v>386</v>
      </c>
      <c r="M396" t="s">
        <v>1184</v>
      </c>
      <c r="O396">
        <v>0</v>
      </c>
      <c r="R396" t="s">
        <v>1185</v>
      </c>
      <c r="T396">
        <v>0</v>
      </c>
      <c r="V396" t="s">
        <v>1186</v>
      </c>
      <c r="Z396" t="s">
        <v>865</v>
      </c>
      <c r="AA396" t="s">
        <v>387</v>
      </c>
      <c r="AB396">
        <v>0</v>
      </c>
      <c r="AC396">
        <v>0</v>
      </c>
      <c r="AD396" t="s">
        <v>1187</v>
      </c>
      <c r="AE396">
        <v>0</v>
      </c>
      <c r="AF396" t="s">
        <v>1188</v>
      </c>
    </row>
    <row r="397" spans="1:32" x14ac:dyDescent="0.25">
      <c r="A397">
        <v>1</v>
      </c>
      <c r="C397" s="185"/>
      <c r="E397" t="s">
        <v>386</v>
      </c>
      <c r="I397">
        <v>3569</v>
      </c>
      <c r="J397" t="s">
        <v>1661</v>
      </c>
      <c r="K397" t="s">
        <v>1661</v>
      </c>
      <c r="L397" t="s">
        <v>386</v>
      </c>
      <c r="M397" t="s">
        <v>1184</v>
      </c>
      <c r="O397">
        <v>0</v>
      </c>
      <c r="R397" t="s">
        <v>1185</v>
      </c>
      <c r="T397">
        <v>0</v>
      </c>
      <c r="V397" t="s">
        <v>1186</v>
      </c>
      <c r="Z397" t="s">
        <v>865</v>
      </c>
      <c r="AA397" t="s">
        <v>387</v>
      </c>
      <c r="AB397">
        <v>0</v>
      </c>
      <c r="AC397">
        <v>0</v>
      </c>
      <c r="AD397" t="s">
        <v>1187</v>
      </c>
      <c r="AE397">
        <v>0</v>
      </c>
      <c r="AF397" t="s">
        <v>1188</v>
      </c>
    </row>
    <row r="398" spans="1:32" x14ac:dyDescent="0.25">
      <c r="A398">
        <v>1</v>
      </c>
      <c r="C398" s="185"/>
      <c r="E398" t="s">
        <v>386</v>
      </c>
      <c r="I398">
        <v>3940</v>
      </c>
      <c r="J398" t="s">
        <v>1662</v>
      </c>
      <c r="K398" t="s">
        <v>1662</v>
      </c>
      <c r="L398" t="s">
        <v>386</v>
      </c>
      <c r="M398" t="s">
        <v>1184</v>
      </c>
      <c r="O398">
        <v>0</v>
      </c>
      <c r="R398" t="s">
        <v>1185</v>
      </c>
      <c r="T398">
        <v>0</v>
      </c>
      <c r="V398" t="s">
        <v>1186</v>
      </c>
      <c r="Z398" t="s">
        <v>865</v>
      </c>
      <c r="AA398" t="s">
        <v>387</v>
      </c>
      <c r="AB398">
        <v>0</v>
      </c>
      <c r="AC398">
        <v>0</v>
      </c>
      <c r="AD398" t="s">
        <v>1187</v>
      </c>
      <c r="AE398">
        <v>0</v>
      </c>
      <c r="AF398" t="s">
        <v>1188</v>
      </c>
    </row>
    <row r="399" spans="1:32" x14ac:dyDescent="0.25">
      <c r="A399">
        <v>1</v>
      </c>
      <c r="C399" s="185"/>
      <c r="E399" t="s">
        <v>386</v>
      </c>
      <c r="I399">
        <v>3813</v>
      </c>
      <c r="J399" t="s">
        <v>1663</v>
      </c>
      <c r="K399" t="s">
        <v>1663</v>
      </c>
      <c r="L399" t="s">
        <v>386</v>
      </c>
      <c r="M399" t="s">
        <v>1184</v>
      </c>
      <c r="O399">
        <v>0</v>
      </c>
      <c r="R399" t="s">
        <v>1185</v>
      </c>
      <c r="T399">
        <v>0</v>
      </c>
      <c r="V399" t="s">
        <v>1186</v>
      </c>
      <c r="Z399" t="s">
        <v>865</v>
      </c>
      <c r="AA399" t="s">
        <v>387</v>
      </c>
      <c r="AB399">
        <v>0</v>
      </c>
      <c r="AC399">
        <v>0</v>
      </c>
      <c r="AD399" t="s">
        <v>1187</v>
      </c>
      <c r="AE399">
        <v>0</v>
      </c>
      <c r="AF399" t="s">
        <v>1188</v>
      </c>
    </row>
    <row r="400" spans="1:32" x14ac:dyDescent="0.25">
      <c r="A400">
        <v>1</v>
      </c>
      <c r="C400" s="185"/>
      <c r="E400" t="s">
        <v>386</v>
      </c>
      <c r="I400">
        <v>4161</v>
      </c>
      <c r="J400" t="s">
        <v>1664</v>
      </c>
      <c r="K400" t="s">
        <v>1664</v>
      </c>
      <c r="L400" t="s">
        <v>386</v>
      </c>
      <c r="M400" t="s">
        <v>1184</v>
      </c>
      <c r="O400">
        <v>0</v>
      </c>
      <c r="R400" t="s">
        <v>1185</v>
      </c>
      <c r="T400">
        <v>0</v>
      </c>
      <c r="V400" t="s">
        <v>1186</v>
      </c>
      <c r="Z400" t="s">
        <v>865</v>
      </c>
      <c r="AA400" t="s">
        <v>387</v>
      </c>
      <c r="AB400">
        <v>0</v>
      </c>
      <c r="AC400">
        <v>0</v>
      </c>
      <c r="AD400" t="s">
        <v>1187</v>
      </c>
      <c r="AE400">
        <v>0</v>
      </c>
      <c r="AF400" t="s">
        <v>1188</v>
      </c>
    </row>
    <row r="401" spans="1:32" x14ac:dyDescent="0.25">
      <c r="A401">
        <v>1</v>
      </c>
      <c r="C401" s="185"/>
      <c r="E401" t="s">
        <v>386</v>
      </c>
      <c r="I401">
        <v>3888</v>
      </c>
      <c r="J401" t="s">
        <v>1665</v>
      </c>
      <c r="K401" t="s">
        <v>1665</v>
      </c>
      <c r="L401" t="s">
        <v>386</v>
      </c>
      <c r="M401" t="s">
        <v>1184</v>
      </c>
      <c r="O401">
        <v>0</v>
      </c>
      <c r="R401" t="s">
        <v>1185</v>
      </c>
      <c r="T401">
        <v>0</v>
      </c>
      <c r="V401" t="s">
        <v>1186</v>
      </c>
      <c r="Z401" t="s">
        <v>865</v>
      </c>
      <c r="AA401" t="s">
        <v>387</v>
      </c>
      <c r="AB401">
        <v>0</v>
      </c>
      <c r="AC401">
        <v>0</v>
      </c>
      <c r="AD401" t="s">
        <v>1187</v>
      </c>
      <c r="AE401">
        <v>0</v>
      </c>
      <c r="AF401" t="s">
        <v>1188</v>
      </c>
    </row>
    <row r="402" spans="1:32" x14ac:dyDescent="0.25">
      <c r="A402">
        <v>1</v>
      </c>
      <c r="C402" s="185"/>
      <c r="E402" t="s">
        <v>386</v>
      </c>
      <c r="I402">
        <v>4033</v>
      </c>
      <c r="J402" t="s">
        <v>1666</v>
      </c>
      <c r="K402" t="s">
        <v>1666</v>
      </c>
      <c r="L402" t="s">
        <v>386</v>
      </c>
      <c r="M402" t="s">
        <v>1184</v>
      </c>
      <c r="O402">
        <v>0</v>
      </c>
      <c r="R402" t="s">
        <v>1185</v>
      </c>
      <c r="T402">
        <v>0</v>
      </c>
      <c r="V402" t="s">
        <v>1186</v>
      </c>
      <c r="Z402" t="s">
        <v>865</v>
      </c>
      <c r="AA402" t="s">
        <v>387</v>
      </c>
      <c r="AB402">
        <v>0</v>
      </c>
      <c r="AC402">
        <v>0</v>
      </c>
      <c r="AD402" t="s">
        <v>1187</v>
      </c>
      <c r="AE402">
        <v>0</v>
      </c>
      <c r="AF402" t="s">
        <v>1188</v>
      </c>
    </row>
    <row r="403" spans="1:32" x14ac:dyDescent="0.25">
      <c r="A403">
        <v>1</v>
      </c>
      <c r="C403" s="185"/>
      <c r="E403" t="s">
        <v>386</v>
      </c>
      <c r="I403">
        <v>3869</v>
      </c>
      <c r="J403" t="s">
        <v>1667</v>
      </c>
      <c r="K403" t="s">
        <v>1667</v>
      </c>
      <c r="L403" t="s">
        <v>386</v>
      </c>
      <c r="M403" t="s">
        <v>1184</v>
      </c>
      <c r="O403">
        <v>0</v>
      </c>
      <c r="R403" t="s">
        <v>1185</v>
      </c>
      <c r="T403">
        <v>0</v>
      </c>
      <c r="V403" t="s">
        <v>1186</v>
      </c>
      <c r="Z403" t="s">
        <v>865</v>
      </c>
      <c r="AA403" t="s">
        <v>387</v>
      </c>
      <c r="AB403">
        <v>0</v>
      </c>
      <c r="AC403">
        <v>0</v>
      </c>
      <c r="AD403" t="s">
        <v>1187</v>
      </c>
      <c r="AE403">
        <v>0</v>
      </c>
      <c r="AF403" t="s">
        <v>1188</v>
      </c>
    </row>
    <row r="404" spans="1:32" x14ac:dyDescent="0.25">
      <c r="A404">
        <v>1</v>
      </c>
      <c r="C404" s="185"/>
      <c r="E404" t="s">
        <v>386</v>
      </c>
      <c r="I404">
        <v>3923</v>
      </c>
      <c r="J404" t="s">
        <v>1668</v>
      </c>
      <c r="K404" t="s">
        <v>1668</v>
      </c>
      <c r="L404" t="s">
        <v>386</v>
      </c>
      <c r="M404" t="s">
        <v>1184</v>
      </c>
      <c r="O404">
        <v>0</v>
      </c>
      <c r="R404" t="s">
        <v>1185</v>
      </c>
      <c r="T404">
        <v>0</v>
      </c>
      <c r="V404" t="s">
        <v>1186</v>
      </c>
      <c r="Z404" t="s">
        <v>865</v>
      </c>
      <c r="AA404" t="s">
        <v>387</v>
      </c>
      <c r="AB404">
        <v>0</v>
      </c>
      <c r="AC404">
        <v>0</v>
      </c>
      <c r="AD404" t="s">
        <v>1187</v>
      </c>
      <c r="AE404">
        <v>0</v>
      </c>
      <c r="AF404" t="s">
        <v>1188</v>
      </c>
    </row>
    <row r="405" spans="1:32" x14ac:dyDescent="0.25">
      <c r="A405">
        <v>1</v>
      </c>
      <c r="C405" s="185"/>
      <c r="E405" t="s">
        <v>386</v>
      </c>
      <c r="I405">
        <v>3735</v>
      </c>
      <c r="J405" t="s">
        <v>1669</v>
      </c>
      <c r="K405" t="s">
        <v>1669</v>
      </c>
      <c r="L405" t="s">
        <v>386</v>
      </c>
      <c r="M405" t="s">
        <v>1184</v>
      </c>
      <c r="O405">
        <v>0</v>
      </c>
      <c r="R405" t="s">
        <v>1185</v>
      </c>
      <c r="T405">
        <v>0</v>
      </c>
      <c r="V405" t="s">
        <v>1186</v>
      </c>
      <c r="Z405" t="s">
        <v>865</v>
      </c>
      <c r="AA405" t="s">
        <v>387</v>
      </c>
      <c r="AB405">
        <v>0</v>
      </c>
      <c r="AC405">
        <v>0</v>
      </c>
      <c r="AD405" t="s">
        <v>1187</v>
      </c>
      <c r="AE405">
        <v>0</v>
      </c>
      <c r="AF405" t="s">
        <v>1188</v>
      </c>
    </row>
    <row r="406" spans="1:32" x14ac:dyDescent="0.25">
      <c r="A406">
        <v>1</v>
      </c>
      <c r="C406" s="185"/>
      <c r="E406" t="s">
        <v>386</v>
      </c>
      <c r="I406">
        <v>4155</v>
      </c>
      <c r="J406" t="s">
        <v>1670</v>
      </c>
      <c r="K406" t="s">
        <v>1670</v>
      </c>
      <c r="L406" t="s">
        <v>386</v>
      </c>
      <c r="M406" t="s">
        <v>1184</v>
      </c>
      <c r="O406">
        <v>0</v>
      </c>
      <c r="R406" t="s">
        <v>1185</v>
      </c>
      <c r="T406">
        <v>0</v>
      </c>
      <c r="V406" t="s">
        <v>1186</v>
      </c>
      <c r="Z406" t="s">
        <v>865</v>
      </c>
      <c r="AA406" t="s">
        <v>387</v>
      </c>
      <c r="AB406">
        <v>0</v>
      </c>
      <c r="AC406">
        <v>0</v>
      </c>
      <c r="AD406" t="s">
        <v>1187</v>
      </c>
      <c r="AE406">
        <v>0</v>
      </c>
      <c r="AF406" t="s">
        <v>1188</v>
      </c>
    </row>
    <row r="407" spans="1:32" x14ac:dyDescent="0.25">
      <c r="A407">
        <v>1</v>
      </c>
      <c r="C407" s="185"/>
      <c r="E407" t="s">
        <v>386</v>
      </c>
      <c r="I407">
        <v>3937</v>
      </c>
      <c r="J407" t="s">
        <v>1671</v>
      </c>
      <c r="K407" t="s">
        <v>1671</v>
      </c>
      <c r="L407" t="s">
        <v>386</v>
      </c>
      <c r="M407" t="s">
        <v>1184</v>
      </c>
      <c r="O407">
        <v>0</v>
      </c>
      <c r="R407" t="s">
        <v>1185</v>
      </c>
      <c r="T407">
        <v>0</v>
      </c>
      <c r="V407" t="s">
        <v>1186</v>
      </c>
      <c r="Z407" t="s">
        <v>865</v>
      </c>
      <c r="AA407" t="s">
        <v>387</v>
      </c>
      <c r="AB407">
        <v>0</v>
      </c>
      <c r="AC407">
        <v>0</v>
      </c>
      <c r="AD407" t="s">
        <v>1187</v>
      </c>
      <c r="AE407">
        <v>0</v>
      </c>
      <c r="AF407" t="s">
        <v>1188</v>
      </c>
    </row>
    <row r="408" spans="1:32" x14ac:dyDescent="0.25">
      <c r="A408">
        <v>1</v>
      </c>
      <c r="C408" s="185"/>
      <c r="E408" t="s">
        <v>386</v>
      </c>
      <c r="I408">
        <v>3982</v>
      </c>
      <c r="J408" t="s">
        <v>1672</v>
      </c>
      <c r="K408" t="s">
        <v>1672</v>
      </c>
      <c r="L408" t="s">
        <v>386</v>
      </c>
      <c r="M408" t="s">
        <v>1184</v>
      </c>
      <c r="O408">
        <v>0</v>
      </c>
      <c r="R408" t="s">
        <v>1185</v>
      </c>
      <c r="T408">
        <v>0</v>
      </c>
      <c r="V408" t="s">
        <v>1186</v>
      </c>
      <c r="Z408" t="s">
        <v>865</v>
      </c>
      <c r="AA408" t="s">
        <v>387</v>
      </c>
      <c r="AB408">
        <v>0</v>
      </c>
      <c r="AC408">
        <v>0</v>
      </c>
      <c r="AD408" t="s">
        <v>1187</v>
      </c>
      <c r="AE408">
        <v>0</v>
      </c>
      <c r="AF408" t="s">
        <v>1188</v>
      </c>
    </row>
    <row r="409" spans="1:32" x14ac:dyDescent="0.25">
      <c r="A409">
        <v>1</v>
      </c>
      <c r="C409" s="185"/>
      <c r="E409" t="s">
        <v>386</v>
      </c>
      <c r="I409">
        <v>3562</v>
      </c>
      <c r="J409" t="s">
        <v>1673</v>
      </c>
      <c r="K409" t="s">
        <v>1673</v>
      </c>
      <c r="L409" t="s">
        <v>386</v>
      </c>
      <c r="M409" t="s">
        <v>1184</v>
      </c>
      <c r="O409">
        <v>0</v>
      </c>
      <c r="R409" t="s">
        <v>1185</v>
      </c>
      <c r="T409">
        <v>0</v>
      </c>
      <c r="V409" t="s">
        <v>1186</v>
      </c>
      <c r="Z409" t="s">
        <v>865</v>
      </c>
      <c r="AA409" t="s">
        <v>387</v>
      </c>
      <c r="AB409">
        <v>0</v>
      </c>
      <c r="AC409">
        <v>0</v>
      </c>
      <c r="AD409" t="s">
        <v>1187</v>
      </c>
      <c r="AE409">
        <v>0</v>
      </c>
      <c r="AF409" t="s">
        <v>1188</v>
      </c>
    </row>
    <row r="410" spans="1:32" x14ac:dyDescent="0.25">
      <c r="A410">
        <v>1</v>
      </c>
      <c r="C410" s="185"/>
      <c r="E410" t="s">
        <v>386</v>
      </c>
      <c r="I410">
        <v>3852</v>
      </c>
      <c r="J410" t="s">
        <v>1674</v>
      </c>
      <c r="K410" t="s">
        <v>1674</v>
      </c>
      <c r="L410" t="s">
        <v>386</v>
      </c>
      <c r="M410" t="s">
        <v>1184</v>
      </c>
      <c r="O410">
        <v>0</v>
      </c>
      <c r="R410" t="s">
        <v>1185</v>
      </c>
      <c r="T410">
        <v>0</v>
      </c>
      <c r="V410" t="s">
        <v>1186</v>
      </c>
      <c r="Z410" t="s">
        <v>865</v>
      </c>
      <c r="AA410" t="s">
        <v>387</v>
      </c>
      <c r="AB410">
        <v>0</v>
      </c>
      <c r="AC410">
        <v>0</v>
      </c>
      <c r="AD410" t="s">
        <v>1187</v>
      </c>
      <c r="AE410">
        <v>0</v>
      </c>
      <c r="AF410" t="s">
        <v>1188</v>
      </c>
    </row>
    <row r="411" spans="1:32" x14ac:dyDescent="0.25">
      <c r="A411">
        <v>1</v>
      </c>
      <c r="C411" s="185"/>
      <c r="E411" t="s">
        <v>386</v>
      </c>
      <c r="I411">
        <v>3927</v>
      </c>
      <c r="J411" t="s">
        <v>1675</v>
      </c>
      <c r="K411" t="s">
        <v>1675</v>
      </c>
      <c r="L411" t="s">
        <v>386</v>
      </c>
      <c r="M411" t="s">
        <v>1184</v>
      </c>
      <c r="O411">
        <v>0</v>
      </c>
      <c r="R411" t="s">
        <v>1185</v>
      </c>
      <c r="T411">
        <v>0</v>
      </c>
      <c r="V411" t="s">
        <v>1186</v>
      </c>
      <c r="Z411" t="s">
        <v>865</v>
      </c>
      <c r="AA411" t="s">
        <v>387</v>
      </c>
      <c r="AB411">
        <v>0</v>
      </c>
      <c r="AC411">
        <v>0</v>
      </c>
      <c r="AD411" t="s">
        <v>1187</v>
      </c>
      <c r="AE411">
        <v>0</v>
      </c>
      <c r="AF411" t="s">
        <v>1188</v>
      </c>
    </row>
    <row r="412" spans="1:32" x14ac:dyDescent="0.25">
      <c r="A412">
        <v>1</v>
      </c>
      <c r="C412" s="185"/>
      <c r="E412" t="s">
        <v>386</v>
      </c>
      <c r="I412">
        <v>3523</v>
      </c>
      <c r="J412" t="s">
        <v>1676</v>
      </c>
      <c r="K412" t="s">
        <v>1676</v>
      </c>
      <c r="L412" t="s">
        <v>386</v>
      </c>
      <c r="M412" t="s">
        <v>1184</v>
      </c>
      <c r="O412">
        <v>0</v>
      </c>
      <c r="R412" t="s">
        <v>1185</v>
      </c>
      <c r="T412">
        <v>0</v>
      </c>
      <c r="V412" t="s">
        <v>1186</v>
      </c>
      <c r="Z412" t="s">
        <v>865</v>
      </c>
      <c r="AA412" t="s">
        <v>387</v>
      </c>
      <c r="AB412">
        <v>0</v>
      </c>
      <c r="AC412">
        <v>0</v>
      </c>
      <c r="AD412" t="s">
        <v>1187</v>
      </c>
      <c r="AE412">
        <v>0</v>
      </c>
      <c r="AF412" t="s">
        <v>1188</v>
      </c>
    </row>
    <row r="413" spans="1:32" x14ac:dyDescent="0.25">
      <c r="A413">
        <v>1</v>
      </c>
      <c r="C413" s="185"/>
      <c r="E413" t="s">
        <v>386</v>
      </c>
      <c r="I413">
        <v>3853</v>
      </c>
      <c r="J413" t="s">
        <v>1677</v>
      </c>
      <c r="K413" t="s">
        <v>1677</v>
      </c>
      <c r="L413" t="s">
        <v>386</v>
      </c>
      <c r="M413" t="s">
        <v>1184</v>
      </c>
      <c r="O413">
        <v>0</v>
      </c>
      <c r="R413" t="s">
        <v>1185</v>
      </c>
      <c r="T413">
        <v>0</v>
      </c>
      <c r="V413" t="s">
        <v>1186</v>
      </c>
      <c r="Z413" t="s">
        <v>865</v>
      </c>
      <c r="AA413" t="s">
        <v>387</v>
      </c>
      <c r="AB413">
        <v>0</v>
      </c>
      <c r="AC413">
        <v>0</v>
      </c>
      <c r="AD413" t="s">
        <v>1187</v>
      </c>
      <c r="AE413">
        <v>0</v>
      </c>
      <c r="AF413" t="s">
        <v>1188</v>
      </c>
    </row>
    <row r="414" spans="1:32" x14ac:dyDescent="0.25">
      <c r="A414">
        <v>1</v>
      </c>
      <c r="C414" s="185"/>
      <c r="E414" t="s">
        <v>386</v>
      </c>
      <c r="I414">
        <v>4040</v>
      </c>
      <c r="J414" t="s">
        <v>1678</v>
      </c>
      <c r="K414" t="s">
        <v>1678</v>
      </c>
      <c r="L414" t="s">
        <v>386</v>
      </c>
      <c r="M414" t="s">
        <v>1184</v>
      </c>
      <c r="O414">
        <v>0</v>
      </c>
      <c r="R414" t="s">
        <v>1185</v>
      </c>
      <c r="T414">
        <v>0</v>
      </c>
      <c r="V414" t="s">
        <v>1186</v>
      </c>
      <c r="Z414" t="s">
        <v>865</v>
      </c>
      <c r="AA414" t="s">
        <v>387</v>
      </c>
      <c r="AB414">
        <v>0</v>
      </c>
      <c r="AC414">
        <v>0</v>
      </c>
      <c r="AD414" t="s">
        <v>1187</v>
      </c>
      <c r="AE414">
        <v>0</v>
      </c>
      <c r="AF414" t="s">
        <v>1188</v>
      </c>
    </row>
    <row r="415" spans="1:32" x14ac:dyDescent="0.25">
      <c r="A415">
        <v>1</v>
      </c>
      <c r="C415" s="185"/>
      <c r="E415" t="s">
        <v>386</v>
      </c>
      <c r="I415">
        <v>4016</v>
      </c>
      <c r="J415" t="s">
        <v>1679</v>
      </c>
      <c r="K415" t="s">
        <v>1679</v>
      </c>
      <c r="L415" t="s">
        <v>386</v>
      </c>
      <c r="M415" t="s">
        <v>1184</v>
      </c>
      <c r="O415">
        <v>0</v>
      </c>
      <c r="R415" t="s">
        <v>1185</v>
      </c>
      <c r="T415">
        <v>0</v>
      </c>
      <c r="V415" t="s">
        <v>1186</v>
      </c>
      <c r="Z415" t="s">
        <v>865</v>
      </c>
      <c r="AA415" t="s">
        <v>387</v>
      </c>
      <c r="AB415">
        <v>0</v>
      </c>
      <c r="AC415">
        <v>0</v>
      </c>
      <c r="AD415" t="s">
        <v>1187</v>
      </c>
      <c r="AE415">
        <v>0</v>
      </c>
      <c r="AF415" t="s">
        <v>1188</v>
      </c>
    </row>
    <row r="416" spans="1:32" x14ac:dyDescent="0.25">
      <c r="A416">
        <v>1</v>
      </c>
      <c r="C416" s="185"/>
      <c r="E416" t="s">
        <v>386</v>
      </c>
      <c r="I416">
        <v>4162</v>
      </c>
      <c r="J416" t="s">
        <v>1680</v>
      </c>
      <c r="K416" t="s">
        <v>1680</v>
      </c>
      <c r="L416" t="s">
        <v>386</v>
      </c>
      <c r="M416" t="s">
        <v>1184</v>
      </c>
      <c r="O416">
        <v>0</v>
      </c>
      <c r="R416" t="s">
        <v>1185</v>
      </c>
      <c r="T416">
        <v>0</v>
      </c>
      <c r="V416" t="s">
        <v>1186</v>
      </c>
      <c r="Z416" t="s">
        <v>865</v>
      </c>
      <c r="AA416" t="s">
        <v>387</v>
      </c>
      <c r="AB416">
        <v>0</v>
      </c>
      <c r="AC416">
        <v>0</v>
      </c>
      <c r="AD416" t="s">
        <v>1187</v>
      </c>
      <c r="AE416">
        <v>0</v>
      </c>
      <c r="AF416" t="s">
        <v>1188</v>
      </c>
    </row>
    <row r="417" spans="1:34" x14ac:dyDescent="0.25">
      <c r="A417">
        <v>1</v>
      </c>
      <c r="C417" s="185"/>
      <c r="E417" t="s">
        <v>386</v>
      </c>
      <c r="I417">
        <v>3505</v>
      </c>
      <c r="J417" t="s">
        <v>1681</v>
      </c>
      <c r="K417" t="s">
        <v>1681</v>
      </c>
      <c r="L417" t="s">
        <v>386</v>
      </c>
      <c r="M417" t="s">
        <v>1184</v>
      </c>
      <c r="O417">
        <v>0</v>
      </c>
      <c r="R417" t="s">
        <v>1185</v>
      </c>
      <c r="T417">
        <v>0</v>
      </c>
      <c r="V417" t="s">
        <v>1186</v>
      </c>
      <c r="Z417" t="s">
        <v>865</v>
      </c>
      <c r="AA417" t="s">
        <v>387</v>
      </c>
      <c r="AB417">
        <v>0</v>
      </c>
      <c r="AC417">
        <v>0</v>
      </c>
      <c r="AD417" t="s">
        <v>1187</v>
      </c>
      <c r="AE417">
        <v>0</v>
      </c>
      <c r="AF417" t="s">
        <v>1188</v>
      </c>
    </row>
    <row r="418" spans="1:34" x14ac:dyDescent="0.25">
      <c r="A418">
        <v>1</v>
      </c>
      <c r="C418" s="185"/>
      <c r="E418" t="s">
        <v>386</v>
      </c>
      <c r="I418">
        <v>3500</v>
      </c>
      <c r="J418" t="s">
        <v>1682</v>
      </c>
      <c r="K418" t="s">
        <v>1682</v>
      </c>
      <c r="L418" t="s">
        <v>386</v>
      </c>
      <c r="M418" t="s">
        <v>1184</v>
      </c>
      <c r="O418">
        <v>0</v>
      </c>
      <c r="R418" t="s">
        <v>1185</v>
      </c>
      <c r="T418">
        <v>0</v>
      </c>
      <c r="V418" t="s">
        <v>1186</v>
      </c>
      <c r="Z418" t="s">
        <v>865</v>
      </c>
      <c r="AA418" t="s">
        <v>387</v>
      </c>
      <c r="AB418">
        <v>0</v>
      </c>
      <c r="AC418">
        <v>0</v>
      </c>
      <c r="AD418" t="s">
        <v>1187</v>
      </c>
      <c r="AE418">
        <v>0</v>
      </c>
      <c r="AF418" t="s">
        <v>1188</v>
      </c>
    </row>
    <row r="419" spans="1:34" x14ac:dyDescent="0.25">
      <c r="A419">
        <v>1</v>
      </c>
      <c r="C419" s="185"/>
      <c r="E419" t="s">
        <v>386</v>
      </c>
      <c r="I419">
        <v>4119</v>
      </c>
      <c r="J419" t="s">
        <v>1683</v>
      </c>
      <c r="K419" t="s">
        <v>1683</v>
      </c>
      <c r="L419" t="s">
        <v>386</v>
      </c>
      <c r="M419" t="s">
        <v>1184</v>
      </c>
      <c r="O419">
        <v>0</v>
      </c>
      <c r="R419" t="s">
        <v>1185</v>
      </c>
      <c r="T419">
        <v>0</v>
      </c>
      <c r="V419" t="s">
        <v>1186</v>
      </c>
      <c r="Z419" t="s">
        <v>865</v>
      </c>
      <c r="AA419" t="s">
        <v>387</v>
      </c>
      <c r="AB419">
        <v>0</v>
      </c>
      <c r="AC419">
        <v>0</v>
      </c>
      <c r="AD419" t="s">
        <v>1187</v>
      </c>
      <c r="AE419">
        <v>0</v>
      </c>
      <c r="AF419" t="s">
        <v>1188</v>
      </c>
    </row>
    <row r="420" spans="1:34" x14ac:dyDescent="0.25">
      <c r="A420">
        <v>1</v>
      </c>
      <c r="C420" s="185"/>
      <c r="E420" t="s">
        <v>386</v>
      </c>
      <c r="I420">
        <v>4175</v>
      </c>
      <c r="J420" t="s">
        <v>1684</v>
      </c>
      <c r="K420" t="s">
        <v>1684</v>
      </c>
      <c r="L420" t="s">
        <v>386</v>
      </c>
      <c r="M420" t="s">
        <v>1184</v>
      </c>
      <c r="O420">
        <v>0</v>
      </c>
      <c r="R420" t="s">
        <v>1185</v>
      </c>
      <c r="T420">
        <v>0</v>
      </c>
      <c r="V420" t="s">
        <v>1186</v>
      </c>
      <c r="Z420" t="s">
        <v>865</v>
      </c>
      <c r="AA420" t="s">
        <v>387</v>
      </c>
      <c r="AB420">
        <v>0</v>
      </c>
      <c r="AC420">
        <v>0</v>
      </c>
      <c r="AD420" t="s">
        <v>1187</v>
      </c>
      <c r="AE420">
        <v>0</v>
      </c>
      <c r="AF420" t="s">
        <v>1188</v>
      </c>
    </row>
    <row r="421" spans="1:34" x14ac:dyDescent="0.25">
      <c r="A421">
        <v>1</v>
      </c>
      <c r="C421" s="185"/>
      <c r="E421" t="s">
        <v>386</v>
      </c>
      <c r="I421">
        <v>3994</v>
      </c>
      <c r="J421" t="s">
        <v>1685</v>
      </c>
      <c r="K421" t="s">
        <v>1685</v>
      </c>
      <c r="L421" t="s">
        <v>386</v>
      </c>
      <c r="M421" t="s">
        <v>1184</v>
      </c>
      <c r="O421">
        <v>0</v>
      </c>
      <c r="R421" t="s">
        <v>1185</v>
      </c>
      <c r="T421">
        <v>0</v>
      </c>
      <c r="V421" t="s">
        <v>1186</v>
      </c>
      <c r="Z421" t="s">
        <v>865</v>
      </c>
      <c r="AA421" t="s">
        <v>387</v>
      </c>
      <c r="AB421">
        <v>0</v>
      </c>
      <c r="AC421">
        <v>0</v>
      </c>
      <c r="AD421" t="s">
        <v>1187</v>
      </c>
      <c r="AE421">
        <v>0</v>
      </c>
      <c r="AF421" t="s">
        <v>1188</v>
      </c>
    </row>
    <row r="422" spans="1:34" x14ac:dyDescent="0.25">
      <c r="A422">
        <v>1</v>
      </c>
      <c r="C422" s="185"/>
      <c r="E422" t="s">
        <v>386</v>
      </c>
      <c r="I422">
        <v>4171</v>
      </c>
      <c r="J422" t="s">
        <v>1686</v>
      </c>
      <c r="K422" t="s">
        <v>1686</v>
      </c>
      <c r="L422" t="s">
        <v>386</v>
      </c>
      <c r="M422" t="s">
        <v>1184</v>
      </c>
      <c r="O422">
        <v>0</v>
      </c>
      <c r="R422" t="s">
        <v>1185</v>
      </c>
      <c r="T422">
        <v>0</v>
      </c>
      <c r="V422" t="s">
        <v>1186</v>
      </c>
      <c r="Z422" t="s">
        <v>865</v>
      </c>
      <c r="AA422" t="s">
        <v>387</v>
      </c>
      <c r="AB422">
        <v>0</v>
      </c>
      <c r="AC422">
        <v>0</v>
      </c>
      <c r="AD422" t="s">
        <v>1187</v>
      </c>
      <c r="AE422">
        <v>0</v>
      </c>
      <c r="AF422" t="s">
        <v>1188</v>
      </c>
    </row>
    <row r="423" spans="1:34" x14ac:dyDescent="0.25">
      <c r="A423">
        <v>1</v>
      </c>
      <c r="C423" s="185"/>
      <c r="E423" t="s">
        <v>386</v>
      </c>
      <c r="I423">
        <v>3744</v>
      </c>
      <c r="J423" t="s">
        <v>1687</v>
      </c>
      <c r="K423" t="s">
        <v>1687</v>
      </c>
      <c r="L423" t="s">
        <v>386</v>
      </c>
      <c r="M423" t="s">
        <v>1184</v>
      </c>
      <c r="O423">
        <v>0</v>
      </c>
      <c r="R423" t="s">
        <v>1185</v>
      </c>
      <c r="T423">
        <v>0</v>
      </c>
      <c r="V423" t="s">
        <v>1186</v>
      </c>
      <c r="Z423" t="s">
        <v>865</v>
      </c>
      <c r="AA423" t="s">
        <v>387</v>
      </c>
      <c r="AB423">
        <v>0</v>
      </c>
      <c r="AC423">
        <v>0</v>
      </c>
      <c r="AD423" t="s">
        <v>1187</v>
      </c>
      <c r="AE423">
        <v>0</v>
      </c>
      <c r="AF423" t="s">
        <v>1188</v>
      </c>
    </row>
    <row r="424" spans="1:34" x14ac:dyDescent="0.25">
      <c r="A424">
        <v>1</v>
      </c>
      <c r="C424" s="185"/>
      <c r="E424" t="s">
        <v>386</v>
      </c>
      <c r="I424">
        <v>3977</v>
      </c>
      <c r="J424" t="s">
        <v>1688</v>
      </c>
      <c r="K424" t="s">
        <v>1688</v>
      </c>
      <c r="L424" t="s">
        <v>386</v>
      </c>
      <c r="M424" t="s">
        <v>1184</v>
      </c>
      <c r="O424">
        <v>0</v>
      </c>
      <c r="R424" t="s">
        <v>1185</v>
      </c>
      <c r="T424">
        <v>0</v>
      </c>
      <c r="V424" t="s">
        <v>1186</v>
      </c>
      <c r="Z424" t="s">
        <v>865</v>
      </c>
      <c r="AA424" t="s">
        <v>387</v>
      </c>
      <c r="AB424">
        <v>0</v>
      </c>
      <c r="AC424">
        <v>0</v>
      </c>
      <c r="AD424" t="s">
        <v>1187</v>
      </c>
      <c r="AE424">
        <v>0</v>
      </c>
      <c r="AF424" t="s">
        <v>1188</v>
      </c>
    </row>
    <row r="425" spans="1:34" x14ac:dyDescent="0.25">
      <c r="A425">
        <v>1</v>
      </c>
      <c r="C425" s="185"/>
      <c r="E425" t="s">
        <v>386</v>
      </c>
      <c r="I425">
        <v>4074</v>
      </c>
      <c r="J425" t="s">
        <v>1689</v>
      </c>
      <c r="K425" t="s">
        <v>1689</v>
      </c>
      <c r="L425" t="s">
        <v>386</v>
      </c>
      <c r="M425" t="s">
        <v>1184</v>
      </c>
      <c r="O425">
        <v>0</v>
      </c>
      <c r="R425" t="s">
        <v>1185</v>
      </c>
      <c r="T425">
        <v>0</v>
      </c>
      <c r="V425" t="s">
        <v>1186</v>
      </c>
      <c r="Z425" t="s">
        <v>865</v>
      </c>
      <c r="AA425" t="s">
        <v>387</v>
      </c>
      <c r="AB425">
        <v>0</v>
      </c>
      <c r="AC425">
        <v>0</v>
      </c>
      <c r="AD425" t="s">
        <v>1187</v>
      </c>
      <c r="AE425">
        <v>0</v>
      </c>
      <c r="AF425" t="s">
        <v>1188</v>
      </c>
    </row>
    <row r="426" spans="1:34" x14ac:dyDescent="0.25">
      <c r="A426">
        <v>1</v>
      </c>
      <c r="C426" s="185"/>
      <c r="E426" t="s">
        <v>386</v>
      </c>
      <c r="I426">
        <v>3954</v>
      </c>
      <c r="J426" t="s">
        <v>1690</v>
      </c>
      <c r="K426" t="s">
        <v>1690</v>
      </c>
      <c r="L426" t="s">
        <v>386</v>
      </c>
      <c r="M426" t="s">
        <v>1184</v>
      </c>
      <c r="O426">
        <v>0</v>
      </c>
      <c r="R426" t="s">
        <v>1185</v>
      </c>
      <c r="T426">
        <v>0</v>
      </c>
      <c r="V426" t="s">
        <v>1186</v>
      </c>
      <c r="Z426" t="s">
        <v>865</v>
      </c>
      <c r="AA426" t="s">
        <v>387</v>
      </c>
      <c r="AB426">
        <v>0</v>
      </c>
      <c r="AC426">
        <v>0</v>
      </c>
      <c r="AD426" t="s">
        <v>1187</v>
      </c>
      <c r="AE426">
        <v>0</v>
      </c>
      <c r="AF426" t="s">
        <v>1188</v>
      </c>
      <c r="AH426" t="s">
        <v>1691</v>
      </c>
    </row>
    <row r="427" spans="1:34" x14ac:dyDescent="0.25">
      <c r="A427">
        <v>1</v>
      </c>
      <c r="C427" s="185"/>
      <c r="E427" t="s">
        <v>386</v>
      </c>
      <c r="I427">
        <v>4085</v>
      </c>
      <c r="J427" t="s">
        <v>1692</v>
      </c>
      <c r="K427" t="s">
        <v>1692</v>
      </c>
      <c r="L427" t="s">
        <v>386</v>
      </c>
      <c r="M427" t="s">
        <v>1184</v>
      </c>
      <c r="O427">
        <v>0</v>
      </c>
      <c r="R427" t="s">
        <v>1185</v>
      </c>
      <c r="T427">
        <v>0</v>
      </c>
      <c r="V427" t="s">
        <v>1186</v>
      </c>
      <c r="Z427" t="s">
        <v>865</v>
      </c>
      <c r="AA427" t="s">
        <v>387</v>
      </c>
      <c r="AB427">
        <v>0</v>
      </c>
      <c r="AC427">
        <v>0</v>
      </c>
      <c r="AD427" t="s">
        <v>1187</v>
      </c>
      <c r="AE427">
        <v>0</v>
      </c>
      <c r="AF427" t="s">
        <v>1188</v>
      </c>
    </row>
    <row r="428" spans="1:34" x14ac:dyDescent="0.25">
      <c r="A428">
        <v>1</v>
      </c>
      <c r="C428" s="185"/>
      <c r="E428" t="s">
        <v>386</v>
      </c>
      <c r="I428">
        <v>4148</v>
      </c>
      <c r="J428" t="s">
        <v>1693</v>
      </c>
      <c r="K428" t="s">
        <v>1693</v>
      </c>
      <c r="L428" t="s">
        <v>386</v>
      </c>
      <c r="M428" t="s">
        <v>1184</v>
      </c>
      <c r="O428">
        <v>0</v>
      </c>
      <c r="R428" t="s">
        <v>1185</v>
      </c>
      <c r="T428">
        <v>0</v>
      </c>
      <c r="V428" t="s">
        <v>1186</v>
      </c>
      <c r="Z428" t="s">
        <v>865</v>
      </c>
      <c r="AA428" t="s">
        <v>387</v>
      </c>
      <c r="AB428">
        <v>0</v>
      </c>
      <c r="AC428">
        <v>0</v>
      </c>
      <c r="AD428" t="s">
        <v>1187</v>
      </c>
      <c r="AE428">
        <v>0</v>
      </c>
      <c r="AF428" t="s">
        <v>1188</v>
      </c>
    </row>
    <row r="429" spans="1:34" x14ac:dyDescent="0.25">
      <c r="A429">
        <v>1</v>
      </c>
      <c r="C429" s="185"/>
      <c r="E429" t="s">
        <v>386</v>
      </c>
      <c r="I429">
        <v>3912</v>
      </c>
      <c r="J429" t="s">
        <v>1694</v>
      </c>
      <c r="K429" t="s">
        <v>1694</v>
      </c>
      <c r="L429" t="s">
        <v>386</v>
      </c>
      <c r="M429" t="s">
        <v>1184</v>
      </c>
      <c r="O429">
        <v>0</v>
      </c>
      <c r="R429" t="s">
        <v>1185</v>
      </c>
      <c r="T429">
        <v>0</v>
      </c>
      <c r="V429" t="s">
        <v>1186</v>
      </c>
      <c r="Z429" t="s">
        <v>865</v>
      </c>
      <c r="AA429" t="s">
        <v>387</v>
      </c>
      <c r="AB429">
        <v>0</v>
      </c>
      <c r="AC429">
        <v>0</v>
      </c>
      <c r="AD429" t="s">
        <v>1187</v>
      </c>
      <c r="AE429">
        <v>0</v>
      </c>
      <c r="AF429" t="s">
        <v>1188</v>
      </c>
    </row>
    <row r="430" spans="1:34" x14ac:dyDescent="0.25">
      <c r="A430">
        <v>1</v>
      </c>
      <c r="C430" s="185"/>
      <c r="E430" t="s">
        <v>386</v>
      </c>
      <c r="I430">
        <v>3635</v>
      </c>
      <c r="J430" t="s">
        <v>1695</v>
      </c>
      <c r="K430" t="s">
        <v>1695</v>
      </c>
      <c r="L430" t="s">
        <v>386</v>
      </c>
      <c r="M430" t="s">
        <v>1184</v>
      </c>
      <c r="O430">
        <v>0</v>
      </c>
      <c r="R430" t="s">
        <v>1185</v>
      </c>
      <c r="T430">
        <v>0</v>
      </c>
      <c r="V430" t="s">
        <v>1186</v>
      </c>
      <c r="Z430" t="s">
        <v>865</v>
      </c>
      <c r="AA430" t="s">
        <v>387</v>
      </c>
      <c r="AB430">
        <v>0</v>
      </c>
      <c r="AC430">
        <v>0</v>
      </c>
      <c r="AD430" t="s">
        <v>1187</v>
      </c>
      <c r="AE430">
        <v>0</v>
      </c>
      <c r="AF430" t="s">
        <v>1188</v>
      </c>
    </row>
    <row r="431" spans="1:34" x14ac:dyDescent="0.25">
      <c r="A431">
        <v>1</v>
      </c>
      <c r="C431" s="185"/>
      <c r="E431" t="s">
        <v>386</v>
      </c>
      <c r="I431">
        <v>4129</v>
      </c>
      <c r="J431" t="s">
        <v>1696</v>
      </c>
      <c r="K431" t="s">
        <v>1696</v>
      </c>
      <c r="L431" t="s">
        <v>386</v>
      </c>
      <c r="M431" t="s">
        <v>1184</v>
      </c>
      <c r="O431">
        <v>0</v>
      </c>
      <c r="R431" t="s">
        <v>1185</v>
      </c>
      <c r="T431">
        <v>0</v>
      </c>
      <c r="V431" t="s">
        <v>1186</v>
      </c>
      <c r="Z431" t="s">
        <v>865</v>
      </c>
      <c r="AA431" t="s">
        <v>387</v>
      </c>
      <c r="AB431">
        <v>0</v>
      </c>
      <c r="AC431">
        <v>0</v>
      </c>
      <c r="AD431" t="s">
        <v>1187</v>
      </c>
      <c r="AE431">
        <v>0</v>
      </c>
      <c r="AF431" t="s">
        <v>1188</v>
      </c>
    </row>
    <row r="432" spans="1:34" x14ac:dyDescent="0.25">
      <c r="A432">
        <v>1</v>
      </c>
      <c r="C432" s="185"/>
      <c r="E432" t="s">
        <v>386</v>
      </c>
      <c r="I432">
        <v>4192</v>
      </c>
      <c r="J432" t="s">
        <v>1697</v>
      </c>
      <c r="K432" t="s">
        <v>1697</v>
      </c>
      <c r="L432" t="s">
        <v>386</v>
      </c>
      <c r="M432" t="s">
        <v>1184</v>
      </c>
      <c r="O432">
        <v>0</v>
      </c>
      <c r="R432" t="s">
        <v>1185</v>
      </c>
      <c r="T432">
        <v>0</v>
      </c>
      <c r="V432" t="s">
        <v>1186</v>
      </c>
      <c r="Z432" t="s">
        <v>865</v>
      </c>
      <c r="AA432" t="s">
        <v>387</v>
      </c>
      <c r="AB432">
        <v>0</v>
      </c>
      <c r="AC432">
        <v>0</v>
      </c>
      <c r="AD432" t="s">
        <v>1187</v>
      </c>
      <c r="AE432">
        <v>0</v>
      </c>
      <c r="AF432" t="s">
        <v>1188</v>
      </c>
    </row>
    <row r="433" spans="1:32" x14ac:dyDescent="0.25">
      <c r="A433">
        <v>1</v>
      </c>
      <c r="C433" s="185"/>
      <c r="E433" t="s">
        <v>386</v>
      </c>
      <c r="I433">
        <v>3929</v>
      </c>
      <c r="J433" t="s">
        <v>1698</v>
      </c>
      <c r="K433" t="s">
        <v>1698</v>
      </c>
      <c r="L433" t="s">
        <v>386</v>
      </c>
      <c r="M433" t="s">
        <v>1184</v>
      </c>
      <c r="O433">
        <v>0</v>
      </c>
      <c r="R433" t="s">
        <v>1185</v>
      </c>
      <c r="T433">
        <v>0</v>
      </c>
      <c r="V433" t="s">
        <v>1186</v>
      </c>
      <c r="Z433" t="s">
        <v>865</v>
      </c>
      <c r="AA433" t="s">
        <v>387</v>
      </c>
      <c r="AB433">
        <v>0</v>
      </c>
      <c r="AC433">
        <v>0</v>
      </c>
      <c r="AD433" t="s">
        <v>1187</v>
      </c>
      <c r="AE433">
        <v>0</v>
      </c>
      <c r="AF433" t="s">
        <v>1188</v>
      </c>
    </row>
    <row r="434" spans="1:32" x14ac:dyDescent="0.25">
      <c r="A434">
        <v>1</v>
      </c>
      <c r="C434" s="185"/>
      <c r="E434" t="s">
        <v>386</v>
      </c>
      <c r="I434">
        <v>4139</v>
      </c>
      <c r="J434" t="s">
        <v>1699</v>
      </c>
      <c r="K434" t="s">
        <v>1699</v>
      </c>
      <c r="L434" t="s">
        <v>386</v>
      </c>
      <c r="M434" t="s">
        <v>1184</v>
      </c>
      <c r="O434">
        <v>0</v>
      </c>
      <c r="R434" t="s">
        <v>1185</v>
      </c>
      <c r="T434">
        <v>0</v>
      </c>
      <c r="V434" t="s">
        <v>1186</v>
      </c>
      <c r="Z434" t="s">
        <v>865</v>
      </c>
      <c r="AA434" t="s">
        <v>387</v>
      </c>
      <c r="AB434">
        <v>0</v>
      </c>
      <c r="AC434">
        <v>0</v>
      </c>
      <c r="AD434" t="s">
        <v>1187</v>
      </c>
      <c r="AE434">
        <v>0</v>
      </c>
      <c r="AF434" t="s">
        <v>1188</v>
      </c>
    </row>
    <row r="435" spans="1:32" x14ac:dyDescent="0.25">
      <c r="A435">
        <v>1</v>
      </c>
      <c r="C435" s="185"/>
      <c r="E435" t="s">
        <v>386</v>
      </c>
      <c r="I435">
        <v>3555</v>
      </c>
      <c r="J435" t="s">
        <v>1700</v>
      </c>
      <c r="K435" t="s">
        <v>1700</v>
      </c>
      <c r="L435" t="s">
        <v>386</v>
      </c>
      <c r="M435" t="s">
        <v>1184</v>
      </c>
      <c r="O435">
        <v>0</v>
      </c>
      <c r="R435" t="s">
        <v>1185</v>
      </c>
      <c r="T435">
        <v>0</v>
      </c>
      <c r="V435" t="s">
        <v>1186</v>
      </c>
      <c r="Z435" t="s">
        <v>865</v>
      </c>
      <c r="AA435" t="s">
        <v>387</v>
      </c>
      <c r="AB435">
        <v>0</v>
      </c>
      <c r="AC435">
        <v>0</v>
      </c>
      <c r="AD435" t="s">
        <v>1187</v>
      </c>
      <c r="AE435">
        <v>0</v>
      </c>
      <c r="AF435" t="s">
        <v>1188</v>
      </c>
    </row>
    <row r="436" spans="1:32" x14ac:dyDescent="0.25">
      <c r="A436">
        <v>1</v>
      </c>
      <c r="C436" s="185"/>
      <c r="E436" t="s">
        <v>386</v>
      </c>
      <c r="I436">
        <v>3856</v>
      </c>
      <c r="J436" t="s">
        <v>1701</v>
      </c>
      <c r="K436" t="s">
        <v>1701</v>
      </c>
      <c r="L436" t="s">
        <v>386</v>
      </c>
      <c r="M436" t="s">
        <v>1184</v>
      </c>
      <c r="O436">
        <v>0</v>
      </c>
      <c r="R436" t="s">
        <v>1185</v>
      </c>
      <c r="T436">
        <v>471</v>
      </c>
      <c r="V436" t="s">
        <v>1702</v>
      </c>
      <c r="W436" t="s">
        <v>1702</v>
      </c>
      <c r="X436">
        <v>471</v>
      </c>
      <c r="Z436" t="s">
        <v>865</v>
      </c>
      <c r="AA436" t="s">
        <v>387</v>
      </c>
      <c r="AB436">
        <v>0</v>
      </c>
      <c r="AC436">
        <v>0</v>
      </c>
      <c r="AD436" t="s">
        <v>1187</v>
      </c>
      <c r="AE436">
        <v>0</v>
      </c>
      <c r="AF436" t="s">
        <v>1188</v>
      </c>
    </row>
    <row r="437" spans="1:32" x14ac:dyDescent="0.25">
      <c r="A437">
        <v>1</v>
      </c>
      <c r="C437" s="185"/>
      <c r="E437" t="s">
        <v>386</v>
      </c>
      <c r="I437">
        <v>3829</v>
      </c>
      <c r="J437" t="s">
        <v>1703</v>
      </c>
      <c r="K437" t="s">
        <v>1703</v>
      </c>
      <c r="L437" t="s">
        <v>386</v>
      </c>
      <c r="M437" t="s">
        <v>1184</v>
      </c>
      <c r="O437">
        <v>0</v>
      </c>
      <c r="R437" t="s">
        <v>1185</v>
      </c>
      <c r="T437">
        <v>0</v>
      </c>
      <c r="V437" t="s">
        <v>1186</v>
      </c>
      <c r="Z437" t="s">
        <v>865</v>
      </c>
      <c r="AA437" t="s">
        <v>387</v>
      </c>
      <c r="AB437">
        <v>0</v>
      </c>
      <c r="AC437">
        <v>0</v>
      </c>
      <c r="AD437" t="s">
        <v>1187</v>
      </c>
      <c r="AE437">
        <v>0</v>
      </c>
      <c r="AF437" t="s">
        <v>1188</v>
      </c>
    </row>
    <row r="438" spans="1:32" x14ac:dyDescent="0.25">
      <c r="A438">
        <v>1</v>
      </c>
      <c r="C438" s="185"/>
      <c r="E438" t="s">
        <v>386</v>
      </c>
      <c r="I438">
        <v>4075</v>
      </c>
      <c r="J438" t="s">
        <v>1704</v>
      </c>
      <c r="K438" t="s">
        <v>1704</v>
      </c>
      <c r="L438" t="s">
        <v>386</v>
      </c>
      <c r="M438" t="s">
        <v>1184</v>
      </c>
      <c r="O438">
        <v>0</v>
      </c>
      <c r="R438" t="s">
        <v>1185</v>
      </c>
      <c r="T438">
        <v>0</v>
      </c>
      <c r="V438" t="s">
        <v>1186</v>
      </c>
      <c r="Z438" t="s">
        <v>865</v>
      </c>
      <c r="AA438" t="s">
        <v>387</v>
      </c>
      <c r="AB438">
        <v>0</v>
      </c>
      <c r="AC438">
        <v>0</v>
      </c>
      <c r="AD438" t="s">
        <v>1187</v>
      </c>
      <c r="AE438">
        <v>0</v>
      </c>
      <c r="AF438" t="s">
        <v>1188</v>
      </c>
    </row>
    <row r="439" spans="1:32" x14ac:dyDescent="0.25">
      <c r="A439">
        <v>1</v>
      </c>
      <c r="C439" s="185"/>
      <c r="E439" t="s">
        <v>386</v>
      </c>
      <c r="I439">
        <v>3787</v>
      </c>
      <c r="J439" t="s">
        <v>1705</v>
      </c>
      <c r="K439" t="s">
        <v>1705</v>
      </c>
      <c r="L439" t="s">
        <v>386</v>
      </c>
      <c r="M439" t="s">
        <v>1184</v>
      </c>
      <c r="O439">
        <v>0</v>
      </c>
      <c r="R439" t="s">
        <v>1185</v>
      </c>
      <c r="T439">
        <v>0</v>
      </c>
      <c r="V439" t="s">
        <v>1186</v>
      </c>
      <c r="Z439" t="s">
        <v>865</v>
      </c>
      <c r="AA439" t="s">
        <v>387</v>
      </c>
      <c r="AB439">
        <v>0</v>
      </c>
      <c r="AC439">
        <v>0</v>
      </c>
      <c r="AD439" t="s">
        <v>1187</v>
      </c>
      <c r="AE439">
        <v>0</v>
      </c>
      <c r="AF439" t="s">
        <v>1188</v>
      </c>
    </row>
    <row r="440" spans="1:32" x14ac:dyDescent="0.25">
      <c r="A440">
        <v>1</v>
      </c>
      <c r="C440" s="185"/>
      <c r="E440" t="s">
        <v>386</v>
      </c>
      <c r="I440">
        <v>3858</v>
      </c>
      <c r="J440" t="s">
        <v>1706</v>
      </c>
      <c r="K440" t="s">
        <v>1706</v>
      </c>
      <c r="L440" t="s">
        <v>386</v>
      </c>
      <c r="M440" t="s">
        <v>1184</v>
      </c>
      <c r="O440">
        <v>0</v>
      </c>
      <c r="R440" t="s">
        <v>1185</v>
      </c>
      <c r="T440">
        <v>0</v>
      </c>
      <c r="V440" t="s">
        <v>1186</v>
      </c>
      <c r="Z440" t="s">
        <v>865</v>
      </c>
      <c r="AA440" t="s">
        <v>387</v>
      </c>
      <c r="AB440">
        <v>0</v>
      </c>
      <c r="AC440">
        <v>0</v>
      </c>
      <c r="AD440" t="s">
        <v>1187</v>
      </c>
      <c r="AE440">
        <v>0</v>
      </c>
      <c r="AF440" t="s">
        <v>1188</v>
      </c>
    </row>
    <row r="441" spans="1:32" x14ac:dyDescent="0.25">
      <c r="A441">
        <v>1</v>
      </c>
      <c r="C441" s="185"/>
      <c r="E441" t="s">
        <v>386</v>
      </c>
      <c r="I441">
        <v>3673</v>
      </c>
      <c r="J441" t="s">
        <v>1707</v>
      </c>
      <c r="K441" t="s">
        <v>1707</v>
      </c>
      <c r="L441" t="s">
        <v>386</v>
      </c>
      <c r="M441" t="s">
        <v>1184</v>
      </c>
      <c r="O441">
        <v>0</v>
      </c>
      <c r="R441" t="s">
        <v>1185</v>
      </c>
      <c r="T441">
        <v>0</v>
      </c>
      <c r="V441" t="s">
        <v>1186</v>
      </c>
      <c r="Z441" t="s">
        <v>865</v>
      </c>
      <c r="AA441" t="s">
        <v>387</v>
      </c>
      <c r="AB441">
        <v>0</v>
      </c>
      <c r="AC441">
        <v>0</v>
      </c>
      <c r="AD441" t="s">
        <v>1187</v>
      </c>
      <c r="AE441">
        <v>0</v>
      </c>
      <c r="AF441" t="s">
        <v>1188</v>
      </c>
    </row>
    <row r="442" spans="1:32" x14ac:dyDescent="0.25">
      <c r="A442">
        <v>1</v>
      </c>
      <c r="C442" s="185"/>
      <c r="E442" t="s">
        <v>386</v>
      </c>
      <c r="I442">
        <v>4030</v>
      </c>
      <c r="J442" t="s">
        <v>1708</v>
      </c>
      <c r="K442" t="s">
        <v>1708</v>
      </c>
      <c r="L442" t="s">
        <v>386</v>
      </c>
      <c r="M442" t="s">
        <v>1184</v>
      </c>
      <c r="O442">
        <v>0</v>
      </c>
      <c r="R442" t="s">
        <v>1185</v>
      </c>
      <c r="T442">
        <v>0</v>
      </c>
      <c r="V442" t="s">
        <v>1186</v>
      </c>
      <c r="Z442" t="s">
        <v>865</v>
      </c>
      <c r="AA442" t="s">
        <v>387</v>
      </c>
      <c r="AB442">
        <v>0</v>
      </c>
      <c r="AC442">
        <v>0</v>
      </c>
      <c r="AD442" t="s">
        <v>1187</v>
      </c>
      <c r="AE442">
        <v>0</v>
      </c>
      <c r="AF442" t="s">
        <v>1188</v>
      </c>
    </row>
    <row r="443" spans="1:32" x14ac:dyDescent="0.25">
      <c r="A443">
        <v>1</v>
      </c>
      <c r="C443" s="185"/>
      <c r="E443" t="s">
        <v>386</v>
      </c>
      <c r="I443">
        <v>3951</v>
      </c>
      <c r="J443" t="s">
        <v>1709</v>
      </c>
      <c r="K443" t="s">
        <v>1709</v>
      </c>
      <c r="L443" t="s">
        <v>386</v>
      </c>
      <c r="M443" t="s">
        <v>1184</v>
      </c>
      <c r="O443">
        <v>0</v>
      </c>
      <c r="R443" t="s">
        <v>1185</v>
      </c>
      <c r="T443">
        <v>0</v>
      </c>
      <c r="V443" t="s">
        <v>1186</v>
      </c>
      <c r="Z443" t="s">
        <v>865</v>
      </c>
      <c r="AA443" t="s">
        <v>387</v>
      </c>
      <c r="AB443">
        <v>0</v>
      </c>
      <c r="AC443">
        <v>0</v>
      </c>
      <c r="AD443" t="s">
        <v>1187</v>
      </c>
      <c r="AE443">
        <v>0</v>
      </c>
      <c r="AF443" t="s">
        <v>1188</v>
      </c>
    </row>
    <row r="444" spans="1:32" x14ac:dyDescent="0.25">
      <c r="A444">
        <v>1</v>
      </c>
      <c r="C444" s="185"/>
      <c r="E444" t="s">
        <v>386</v>
      </c>
      <c r="G444" t="s">
        <v>1192</v>
      </c>
      <c r="H444" t="s">
        <v>1710</v>
      </c>
      <c r="I444">
        <v>8944</v>
      </c>
      <c r="J444" t="s">
        <v>1711</v>
      </c>
      <c r="K444" t="s">
        <v>1711</v>
      </c>
      <c r="L444" t="s">
        <v>386</v>
      </c>
      <c r="M444" t="s">
        <v>1184</v>
      </c>
      <c r="O444">
        <v>0</v>
      </c>
      <c r="R444" t="s">
        <v>1208</v>
      </c>
      <c r="T444">
        <v>260</v>
      </c>
      <c r="V444" t="s">
        <v>1216</v>
      </c>
      <c r="W444" t="s">
        <v>1712</v>
      </c>
      <c r="X444">
        <v>388</v>
      </c>
      <c r="Z444" t="s">
        <v>865</v>
      </c>
      <c r="AA444" t="s">
        <v>387</v>
      </c>
      <c r="AB444">
        <v>0</v>
      </c>
      <c r="AC444">
        <v>0</v>
      </c>
      <c r="AD444" t="s">
        <v>1187</v>
      </c>
      <c r="AE444">
        <v>0</v>
      </c>
      <c r="AF444" t="s">
        <v>1188</v>
      </c>
    </row>
    <row r="445" spans="1:32" x14ac:dyDescent="0.25">
      <c r="A445">
        <v>1</v>
      </c>
      <c r="C445" s="185"/>
      <c r="E445" t="s">
        <v>386</v>
      </c>
      <c r="I445">
        <v>4008</v>
      </c>
      <c r="J445" t="s">
        <v>1713</v>
      </c>
      <c r="K445" t="s">
        <v>1713</v>
      </c>
      <c r="L445" t="s">
        <v>386</v>
      </c>
      <c r="M445" t="s">
        <v>1184</v>
      </c>
      <c r="O445">
        <v>0</v>
      </c>
      <c r="R445" t="s">
        <v>1185</v>
      </c>
      <c r="T445">
        <v>0</v>
      </c>
      <c r="V445" t="s">
        <v>1186</v>
      </c>
      <c r="Z445" t="s">
        <v>865</v>
      </c>
      <c r="AA445" t="s">
        <v>387</v>
      </c>
      <c r="AB445">
        <v>0</v>
      </c>
      <c r="AC445">
        <v>0</v>
      </c>
      <c r="AD445" t="s">
        <v>1187</v>
      </c>
      <c r="AE445">
        <v>0</v>
      </c>
      <c r="AF445" t="s">
        <v>1188</v>
      </c>
    </row>
    <row r="446" spans="1:32" x14ac:dyDescent="0.25">
      <c r="A446">
        <v>1</v>
      </c>
      <c r="C446" s="185"/>
      <c r="E446" t="s">
        <v>386</v>
      </c>
      <c r="I446">
        <v>3615</v>
      </c>
      <c r="J446" t="s">
        <v>1714</v>
      </c>
      <c r="K446" t="s">
        <v>1714</v>
      </c>
      <c r="L446" t="s">
        <v>386</v>
      </c>
      <c r="M446" t="s">
        <v>1184</v>
      </c>
      <c r="O446">
        <v>0</v>
      </c>
      <c r="R446" t="s">
        <v>1185</v>
      </c>
      <c r="T446">
        <v>0</v>
      </c>
      <c r="V446" t="s">
        <v>1186</v>
      </c>
      <c r="Z446" t="s">
        <v>865</v>
      </c>
      <c r="AA446" t="s">
        <v>387</v>
      </c>
      <c r="AB446">
        <v>0</v>
      </c>
      <c r="AC446">
        <v>0</v>
      </c>
      <c r="AD446" t="s">
        <v>1187</v>
      </c>
      <c r="AE446">
        <v>0</v>
      </c>
      <c r="AF446" t="s">
        <v>1188</v>
      </c>
    </row>
    <row r="447" spans="1:32" x14ac:dyDescent="0.25">
      <c r="A447">
        <v>1</v>
      </c>
      <c r="C447" s="185"/>
      <c r="E447" t="s">
        <v>386</v>
      </c>
      <c r="I447">
        <v>3662</v>
      </c>
      <c r="J447" t="s">
        <v>1715</v>
      </c>
      <c r="K447" t="s">
        <v>1715</v>
      </c>
      <c r="L447" t="s">
        <v>386</v>
      </c>
      <c r="M447" t="s">
        <v>1184</v>
      </c>
      <c r="O447">
        <v>0</v>
      </c>
      <c r="R447" t="s">
        <v>1185</v>
      </c>
      <c r="T447">
        <v>0</v>
      </c>
      <c r="V447" t="s">
        <v>1186</v>
      </c>
      <c r="Z447" t="s">
        <v>865</v>
      </c>
      <c r="AA447" t="s">
        <v>387</v>
      </c>
      <c r="AB447">
        <v>0</v>
      </c>
      <c r="AC447">
        <v>0</v>
      </c>
      <c r="AD447" t="s">
        <v>1187</v>
      </c>
      <c r="AE447">
        <v>0</v>
      </c>
      <c r="AF447" t="s">
        <v>1188</v>
      </c>
    </row>
    <row r="448" spans="1:32" x14ac:dyDescent="0.25">
      <c r="A448">
        <v>1</v>
      </c>
      <c r="C448" s="185"/>
      <c r="E448" t="s">
        <v>386</v>
      </c>
      <c r="I448">
        <v>3651</v>
      </c>
      <c r="J448" t="s">
        <v>1716</v>
      </c>
      <c r="K448" t="s">
        <v>1716</v>
      </c>
      <c r="L448" t="s">
        <v>386</v>
      </c>
      <c r="M448" t="s">
        <v>1184</v>
      </c>
      <c r="O448">
        <v>0</v>
      </c>
      <c r="R448" t="s">
        <v>1185</v>
      </c>
      <c r="T448">
        <v>0</v>
      </c>
      <c r="V448" t="s">
        <v>1186</v>
      </c>
      <c r="Z448" t="s">
        <v>865</v>
      </c>
      <c r="AA448" t="s">
        <v>387</v>
      </c>
      <c r="AB448">
        <v>0</v>
      </c>
      <c r="AC448">
        <v>0</v>
      </c>
      <c r="AD448" t="s">
        <v>1187</v>
      </c>
      <c r="AE448">
        <v>0</v>
      </c>
      <c r="AF448" t="s">
        <v>1188</v>
      </c>
    </row>
    <row r="449" spans="1:32" x14ac:dyDescent="0.25">
      <c r="A449">
        <v>1</v>
      </c>
      <c r="C449" s="185"/>
      <c r="E449" t="s">
        <v>386</v>
      </c>
      <c r="I449">
        <v>4065</v>
      </c>
      <c r="J449" t="s">
        <v>1717</v>
      </c>
      <c r="K449" t="s">
        <v>1717</v>
      </c>
      <c r="L449" t="s">
        <v>386</v>
      </c>
      <c r="M449" t="s">
        <v>1184</v>
      </c>
      <c r="O449">
        <v>0</v>
      </c>
      <c r="R449" t="s">
        <v>1185</v>
      </c>
      <c r="T449">
        <v>0</v>
      </c>
      <c r="V449" t="s">
        <v>1186</v>
      </c>
      <c r="Z449" t="s">
        <v>865</v>
      </c>
      <c r="AA449" t="s">
        <v>387</v>
      </c>
      <c r="AB449">
        <v>0</v>
      </c>
      <c r="AC449">
        <v>0</v>
      </c>
      <c r="AD449" t="s">
        <v>1187</v>
      </c>
      <c r="AE449">
        <v>0</v>
      </c>
      <c r="AF449" t="s">
        <v>1188</v>
      </c>
    </row>
    <row r="450" spans="1:32" x14ac:dyDescent="0.25">
      <c r="A450">
        <v>1</v>
      </c>
      <c r="C450" s="185"/>
      <c r="E450" t="s">
        <v>386</v>
      </c>
      <c r="I450">
        <v>3606</v>
      </c>
      <c r="J450" t="s">
        <v>1718</v>
      </c>
      <c r="K450" t="s">
        <v>1718</v>
      </c>
      <c r="L450" t="s">
        <v>386</v>
      </c>
      <c r="M450" t="s">
        <v>1184</v>
      </c>
      <c r="O450">
        <v>0</v>
      </c>
      <c r="R450" t="s">
        <v>1185</v>
      </c>
      <c r="T450">
        <v>0</v>
      </c>
      <c r="V450" t="s">
        <v>1186</v>
      </c>
      <c r="Z450" t="s">
        <v>865</v>
      </c>
      <c r="AA450" t="s">
        <v>387</v>
      </c>
      <c r="AB450">
        <v>0</v>
      </c>
      <c r="AC450">
        <v>0</v>
      </c>
      <c r="AD450" t="s">
        <v>1187</v>
      </c>
      <c r="AE450">
        <v>0</v>
      </c>
      <c r="AF450" t="s">
        <v>1188</v>
      </c>
    </row>
    <row r="451" spans="1:32" x14ac:dyDescent="0.25">
      <c r="A451">
        <v>1</v>
      </c>
      <c r="C451" s="185"/>
      <c r="E451" t="s">
        <v>386</v>
      </c>
      <c r="I451">
        <v>3648</v>
      </c>
      <c r="J451" t="s">
        <v>1719</v>
      </c>
      <c r="K451" t="s">
        <v>1719</v>
      </c>
      <c r="L451" t="s">
        <v>386</v>
      </c>
      <c r="M451" t="s">
        <v>1184</v>
      </c>
      <c r="O451">
        <v>0</v>
      </c>
      <c r="R451" t="s">
        <v>1185</v>
      </c>
      <c r="T451">
        <v>0</v>
      </c>
      <c r="V451" t="s">
        <v>1186</v>
      </c>
      <c r="Z451" t="s">
        <v>865</v>
      </c>
      <c r="AA451" t="s">
        <v>387</v>
      </c>
      <c r="AB451">
        <v>0</v>
      </c>
      <c r="AC451">
        <v>0</v>
      </c>
      <c r="AD451" t="s">
        <v>1187</v>
      </c>
      <c r="AE451">
        <v>0</v>
      </c>
      <c r="AF451" t="s">
        <v>1188</v>
      </c>
    </row>
    <row r="452" spans="1:32" x14ac:dyDescent="0.25">
      <c r="A452">
        <v>1</v>
      </c>
      <c r="C452" s="185"/>
      <c r="E452" t="s">
        <v>386</v>
      </c>
      <c r="I452">
        <v>3680</v>
      </c>
      <c r="J452" t="s">
        <v>1720</v>
      </c>
      <c r="K452" t="s">
        <v>1720</v>
      </c>
      <c r="L452" t="s">
        <v>386</v>
      </c>
      <c r="M452" t="s">
        <v>1184</v>
      </c>
      <c r="O452">
        <v>0</v>
      </c>
      <c r="R452" t="s">
        <v>1185</v>
      </c>
      <c r="T452">
        <v>0</v>
      </c>
      <c r="V452" t="s">
        <v>1186</v>
      </c>
      <c r="Z452" t="s">
        <v>865</v>
      </c>
      <c r="AA452" t="s">
        <v>387</v>
      </c>
      <c r="AB452">
        <v>0</v>
      </c>
      <c r="AC452">
        <v>0</v>
      </c>
      <c r="AD452" t="s">
        <v>1187</v>
      </c>
      <c r="AE452">
        <v>0</v>
      </c>
      <c r="AF452" t="s">
        <v>1188</v>
      </c>
    </row>
    <row r="453" spans="1:32" x14ac:dyDescent="0.25">
      <c r="A453">
        <v>1</v>
      </c>
      <c r="C453" s="185"/>
      <c r="E453" t="s">
        <v>386</v>
      </c>
      <c r="I453">
        <v>3758</v>
      </c>
      <c r="J453" t="s">
        <v>1721</v>
      </c>
      <c r="K453" t="s">
        <v>1721</v>
      </c>
      <c r="L453" t="s">
        <v>386</v>
      </c>
      <c r="M453" t="s">
        <v>1184</v>
      </c>
      <c r="O453">
        <v>0</v>
      </c>
      <c r="R453" t="s">
        <v>1185</v>
      </c>
      <c r="T453">
        <v>0</v>
      </c>
      <c r="V453" t="s">
        <v>1186</v>
      </c>
      <c r="Z453" t="s">
        <v>865</v>
      </c>
      <c r="AA453" t="s">
        <v>387</v>
      </c>
      <c r="AB453">
        <v>0</v>
      </c>
      <c r="AC453">
        <v>0</v>
      </c>
      <c r="AD453" t="s">
        <v>1187</v>
      </c>
      <c r="AE453">
        <v>0</v>
      </c>
      <c r="AF453" t="s">
        <v>1188</v>
      </c>
    </row>
    <row r="454" spans="1:32" x14ac:dyDescent="0.25">
      <c r="A454">
        <v>1</v>
      </c>
      <c r="C454" s="185"/>
      <c r="E454" t="s">
        <v>386</v>
      </c>
      <c r="I454">
        <v>3647</v>
      </c>
      <c r="J454" t="s">
        <v>1722</v>
      </c>
      <c r="K454" t="s">
        <v>1722</v>
      </c>
      <c r="L454" t="s">
        <v>386</v>
      </c>
      <c r="M454" t="s">
        <v>1184</v>
      </c>
      <c r="O454">
        <v>0</v>
      </c>
      <c r="R454" t="s">
        <v>1185</v>
      </c>
      <c r="T454">
        <v>0</v>
      </c>
      <c r="V454" t="s">
        <v>1186</v>
      </c>
      <c r="Z454" t="s">
        <v>865</v>
      </c>
      <c r="AA454" t="s">
        <v>387</v>
      </c>
      <c r="AB454">
        <v>0</v>
      </c>
      <c r="AC454">
        <v>0</v>
      </c>
      <c r="AD454" t="s">
        <v>1187</v>
      </c>
      <c r="AE454">
        <v>0</v>
      </c>
      <c r="AF454" t="s">
        <v>1188</v>
      </c>
    </row>
    <row r="455" spans="1:32" x14ac:dyDescent="0.25">
      <c r="A455">
        <v>1</v>
      </c>
      <c r="C455" s="185"/>
      <c r="E455" t="s">
        <v>386</v>
      </c>
      <c r="I455">
        <v>3558</v>
      </c>
      <c r="J455" t="s">
        <v>1723</v>
      </c>
      <c r="K455" t="s">
        <v>1723</v>
      </c>
      <c r="L455" t="s">
        <v>386</v>
      </c>
      <c r="M455" t="s">
        <v>1184</v>
      </c>
      <c r="O455">
        <v>0</v>
      </c>
      <c r="R455" t="s">
        <v>1185</v>
      </c>
      <c r="T455">
        <v>0</v>
      </c>
      <c r="V455" t="s">
        <v>1186</v>
      </c>
      <c r="Z455" t="s">
        <v>865</v>
      </c>
      <c r="AA455" t="s">
        <v>387</v>
      </c>
      <c r="AB455">
        <v>0</v>
      </c>
      <c r="AC455">
        <v>0</v>
      </c>
      <c r="AD455" t="s">
        <v>1187</v>
      </c>
      <c r="AE455">
        <v>0</v>
      </c>
      <c r="AF455" t="s">
        <v>1188</v>
      </c>
    </row>
    <row r="456" spans="1:32" x14ac:dyDescent="0.25">
      <c r="A456">
        <v>1</v>
      </c>
      <c r="C456" s="185"/>
      <c r="E456" t="s">
        <v>386</v>
      </c>
      <c r="I456">
        <v>3948</v>
      </c>
      <c r="J456" t="s">
        <v>1724</v>
      </c>
      <c r="K456" t="s">
        <v>1724</v>
      </c>
      <c r="L456" t="s">
        <v>386</v>
      </c>
      <c r="M456" t="s">
        <v>1184</v>
      </c>
      <c r="O456">
        <v>0</v>
      </c>
      <c r="R456" t="s">
        <v>1185</v>
      </c>
      <c r="T456">
        <v>0</v>
      </c>
      <c r="V456" t="s">
        <v>1186</v>
      </c>
      <c r="Z456" t="s">
        <v>865</v>
      </c>
      <c r="AA456" t="s">
        <v>387</v>
      </c>
      <c r="AB456">
        <v>0</v>
      </c>
      <c r="AC456">
        <v>0</v>
      </c>
      <c r="AD456" t="s">
        <v>1187</v>
      </c>
      <c r="AE456">
        <v>0</v>
      </c>
      <c r="AF456" t="s">
        <v>1188</v>
      </c>
    </row>
    <row r="457" spans="1:32" x14ac:dyDescent="0.25">
      <c r="A457">
        <v>1</v>
      </c>
      <c r="C457" s="185"/>
      <c r="E457" t="s">
        <v>386</v>
      </c>
      <c r="I457">
        <v>3623</v>
      </c>
      <c r="J457" t="s">
        <v>1725</v>
      </c>
      <c r="K457" t="s">
        <v>1725</v>
      </c>
      <c r="L457" t="s">
        <v>386</v>
      </c>
      <c r="M457" t="s">
        <v>1184</v>
      </c>
      <c r="O457">
        <v>0</v>
      </c>
      <c r="R457" t="s">
        <v>1185</v>
      </c>
      <c r="T457">
        <v>0</v>
      </c>
      <c r="V457" t="s">
        <v>1186</v>
      </c>
      <c r="Z457" t="s">
        <v>865</v>
      </c>
      <c r="AA457" t="s">
        <v>387</v>
      </c>
      <c r="AB457">
        <v>0</v>
      </c>
      <c r="AC457">
        <v>0</v>
      </c>
      <c r="AD457" t="s">
        <v>1187</v>
      </c>
      <c r="AE457">
        <v>0</v>
      </c>
      <c r="AF457" t="s">
        <v>1188</v>
      </c>
    </row>
    <row r="458" spans="1:32" x14ac:dyDescent="0.25">
      <c r="A458">
        <v>1</v>
      </c>
      <c r="C458" s="185"/>
      <c r="E458" t="s">
        <v>386</v>
      </c>
      <c r="I458">
        <v>3670</v>
      </c>
      <c r="J458" t="s">
        <v>1726</v>
      </c>
      <c r="K458" t="s">
        <v>1726</v>
      </c>
      <c r="L458" t="s">
        <v>386</v>
      </c>
      <c r="M458" t="s">
        <v>1184</v>
      </c>
      <c r="O458">
        <v>0</v>
      </c>
      <c r="R458" t="s">
        <v>1185</v>
      </c>
      <c r="T458">
        <v>0</v>
      </c>
      <c r="V458" t="s">
        <v>1186</v>
      </c>
      <c r="Z458" t="s">
        <v>865</v>
      </c>
      <c r="AA458" t="s">
        <v>387</v>
      </c>
      <c r="AB458">
        <v>0</v>
      </c>
      <c r="AC458">
        <v>0</v>
      </c>
      <c r="AD458" t="s">
        <v>1187</v>
      </c>
      <c r="AE458">
        <v>0</v>
      </c>
      <c r="AF458" t="s">
        <v>1188</v>
      </c>
    </row>
    <row r="459" spans="1:32" x14ac:dyDescent="0.25">
      <c r="A459">
        <v>1</v>
      </c>
      <c r="C459" s="185"/>
      <c r="E459" t="s">
        <v>386</v>
      </c>
      <c r="I459">
        <v>3993</v>
      </c>
      <c r="J459" t="s">
        <v>1727</v>
      </c>
      <c r="K459" t="s">
        <v>1727</v>
      </c>
      <c r="L459" t="s">
        <v>386</v>
      </c>
      <c r="M459" t="s">
        <v>1184</v>
      </c>
      <c r="O459">
        <v>0</v>
      </c>
      <c r="R459" t="s">
        <v>1185</v>
      </c>
      <c r="T459">
        <v>0</v>
      </c>
      <c r="V459" t="s">
        <v>1186</v>
      </c>
      <c r="Z459" t="s">
        <v>865</v>
      </c>
      <c r="AA459" t="s">
        <v>387</v>
      </c>
      <c r="AB459">
        <v>0</v>
      </c>
      <c r="AC459">
        <v>0</v>
      </c>
      <c r="AD459" t="s">
        <v>1187</v>
      </c>
      <c r="AE459">
        <v>0</v>
      </c>
      <c r="AF459" t="s">
        <v>1188</v>
      </c>
    </row>
    <row r="460" spans="1:32" x14ac:dyDescent="0.25">
      <c r="A460">
        <v>1</v>
      </c>
      <c r="C460" s="185"/>
      <c r="E460" t="s">
        <v>386</v>
      </c>
      <c r="I460">
        <v>3995</v>
      </c>
      <c r="J460" t="s">
        <v>1728</v>
      </c>
      <c r="K460" t="s">
        <v>1728</v>
      </c>
      <c r="L460" t="s">
        <v>386</v>
      </c>
      <c r="M460" t="s">
        <v>1184</v>
      </c>
      <c r="O460">
        <v>0</v>
      </c>
      <c r="R460" t="s">
        <v>1185</v>
      </c>
      <c r="T460">
        <v>0</v>
      </c>
      <c r="V460" t="s">
        <v>1186</v>
      </c>
      <c r="Z460" t="s">
        <v>865</v>
      </c>
      <c r="AA460" t="s">
        <v>387</v>
      </c>
      <c r="AB460">
        <v>0</v>
      </c>
      <c r="AC460">
        <v>0</v>
      </c>
      <c r="AD460" t="s">
        <v>1187</v>
      </c>
      <c r="AE460">
        <v>0</v>
      </c>
      <c r="AF460" t="s">
        <v>1188</v>
      </c>
    </row>
    <row r="461" spans="1:32" x14ac:dyDescent="0.25">
      <c r="A461">
        <v>1</v>
      </c>
      <c r="C461" s="185"/>
      <c r="E461" t="s">
        <v>386</v>
      </c>
      <c r="I461">
        <v>4121</v>
      </c>
      <c r="J461" t="s">
        <v>1729</v>
      </c>
      <c r="K461" t="s">
        <v>1729</v>
      </c>
      <c r="L461" t="s">
        <v>386</v>
      </c>
      <c r="M461" t="s">
        <v>1184</v>
      </c>
      <c r="O461">
        <v>0</v>
      </c>
      <c r="R461" t="s">
        <v>1185</v>
      </c>
      <c r="T461">
        <v>0</v>
      </c>
      <c r="V461" t="s">
        <v>1186</v>
      </c>
      <c r="Z461" t="s">
        <v>865</v>
      </c>
      <c r="AA461" t="s">
        <v>387</v>
      </c>
      <c r="AB461">
        <v>0</v>
      </c>
      <c r="AC461">
        <v>0</v>
      </c>
      <c r="AD461" t="s">
        <v>1187</v>
      </c>
      <c r="AE461">
        <v>0</v>
      </c>
      <c r="AF461" t="s">
        <v>1188</v>
      </c>
    </row>
    <row r="462" spans="1:32" x14ac:dyDescent="0.25">
      <c r="A462">
        <v>1</v>
      </c>
      <c r="C462" s="185"/>
      <c r="E462" t="s">
        <v>386</v>
      </c>
      <c r="I462">
        <v>3910</v>
      </c>
      <c r="J462" t="s">
        <v>1730</v>
      </c>
      <c r="K462" t="s">
        <v>1730</v>
      </c>
      <c r="L462" t="s">
        <v>386</v>
      </c>
      <c r="M462" t="s">
        <v>1184</v>
      </c>
      <c r="O462">
        <v>0</v>
      </c>
      <c r="R462" t="s">
        <v>1185</v>
      </c>
      <c r="T462">
        <v>0</v>
      </c>
      <c r="V462" t="s">
        <v>1186</v>
      </c>
      <c r="Z462" t="s">
        <v>865</v>
      </c>
      <c r="AA462" t="s">
        <v>387</v>
      </c>
      <c r="AB462">
        <v>0</v>
      </c>
      <c r="AC462">
        <v>0</v>
      </c>
      <c r="AD462" t="s">
        <v>1187</v>
      </c>
      <c r="AE462">
        <v>0</v>
      </c>
      <c r="AF462" t="s">
        <v>1188</v>
      </c>
    </row>
    <row r="463" spans="1:32" x14ac:dyDescent="0.25">
      <c r="A463">
        <v>1</v>
      </c>
      <c r="C463" s="185"/>
      <c r="E463" t="s">
        <v>386</v>
      </c>
      <c r="I463">
        <v>3782</v>
      </c>
      <c r="J463" t="s">
        <v>1731</v>
      </c>
      <c r="K463" t="s">
        <v>1731</v>
      </c>
      <c r="L463" t="s">
        <v>386</v>
      </c>
      <c r="M463" t="s">
        <v>1184</v>
      </c>
      <c r="O463">
        <v>0</v>
      </c>
      <c r="R463" t="s">
        <v>1185</v>
      </c>
      <c r="T463">
        <v>0</v>
      </c>
      <c r="V463" t="s">
        <v>1186</v>
      </c>
      <c r="Z463" t="s">
        <v>865</v>
      </c>
      <c r="AA463" t="s">
        <v>387</v>
      </c>
      <c r="AB463">
        <v>0</v>
      </c>
      <c r="AC463">
        <v>0</v>
      </c>
      <c r="AD463" t="s">
        <v>1187</v>
      </c>
      <c r="AE463">
        <v>0</v>
      </c>
      <c r="AF463" t="s">
        <v>1188</v>
      </c>
    </row>
    <row r="464" spans="1:32" x14ac:dyDescent="0.25">
      <c r="A464">
        <v>1</v>
      </c>
      <c r="C464" s="185"/>
      <c r="E464" t="s">
        <v>386</v>
      </c>
      <c r="I464">
        <v>3851</v>
      </c>
      <c r="J464" t="s">
        <v>1732</v>
      </c>
      <c r="K464" t="s">
        <v>1732</v>
      </c>
      <c r="L464" t="s">
        <v>386</v>
      </c>
      <c r="M464" t="s">
        <v>1184</v>
      </c>
      <c r="O464">
        <v>0</v>
      </c>
      <c r="R464" t="s">
        <v>1185</v>
      </c>
      <c r="T464">
        <v>0</v>
      </c>
      <c r="V464" t="s">
        <v>1186</v>
      </c>
      <c r="Z464" t="s">
        <v>865</v>
      </c>
      <c r="AA464" t="s">
        <v>387</v>
      </c>
      <c r="AB464">
        <v>0</v>
      </c>
      <c r="AC464">
        <v>0</v>
      </c>
      <c r="AD464" t="s">
        <v>1187</v>
      </c>
      <c r="AE464">
        <v>0</v>
      </c>
      <c r="AF464" t="s">
        <v>1188</v>
      </c>
    </row>
    <row r="465" spans="1:32" x14ac:dyDescent="0.25">
      <c r="A465">
        <v>1</v>
      </c>
      <c r="C465" s="185"/>
      <c r="E465" t="s">
        <v>386</v>
      </c>
      <c r="I465">
        <v>3942</v>
      </c>
      <c r="J465" t="s">
        <v>1733</v>
      </c>
      <c r="K465" t="s">
        <v>1733</v>
      </c>
      <c r="L465" t="s">
        <v>386</v>
      </c>
      <c r="M465" t="s">
        <v>1184</v>
      </c>
      <c r="O465">
        <v>0</v>
      </c>
      <c r="R465" t="s">
        <v>1185</v>
      </c>
      <c r="T465">
        <v>0</v>
      </c>
      <c r="V465" t="s">
        <v>1186</v>
      </c>
      <c r="Z465" t="s">
        <v>865</v>
      </c>
      <c r="AA465" t="s">
        <v>387</v>
      </c>
      <c r="AB465">
        <v>0</v>
      </c>
      <c r="AC465">
        <v>0</v>
      </c>
      <c r="AD465" t="s">
        <v>1187</v>
      </c>
      <c r="AE465">
        <v>0</v>
      </c>
      <c r="AF465" t="s">
        <v>1188</v>
      </c>
    </row>
    <row r="466" spans="1:32" x14ac:dyDescent="0.25">
      <c r="A466">
        <v>1</v>
      </c>
      <c r="C466" s="185"/>
      <c r="E466" t="s">
        <v>386</v>
      </c>
      <c r="I466">
        <v>3581</v>
      </c>
      <c r="J466" t="s">
        <v>1734</v>
      </c>
      <c r="K466" t="s">
        <v>1734</v>
      </c>
      <c r="L466" t="s">
        <v>386</v>
      </c>
      <c r="M466" t="s">
        <v>1184</v>
      </c>
      <c r="O466">
        <v>0</v>
      </c>
      <c r="R466" t="s">
        <v>1185</v>
      </c>
      <c r="T466">
        <v>0</v>
      </c>
      <c r="V466" t="s">
        <v>1186</v>
      </c>
      <c r="Z466" t="s">
        <v>865</v>
      </c>
      <c r="AA466" t="s">
        <v>387</v>
      </c>
      <c r="AB466">
        <v>0</v>
      </c>
      <c r="AC466">
        <v>0</v>
      </c>
      <c r="AD466" t="s">
        <v>1187</v>
      </c>
      <c r="AE466">
        <v>0</v>
      </c>
      <c r="AF466" t="s">
        <v>1188</v>
      </c>
    </row>
    <row r="467" spans="1:32" x14ac:dyDescent="0.25">
      <c r="A467">
        <v>1</v>
      </c>
      <c r="C467" s="185"/>
      <c r="E467" t="s">
        <v>386</v>
      </c>
      <c r="I467">
        <v>4017</v>
      </c>
      <c r="J467" t="s">
        <v>1735</v>
      </c>
      <c r="K467" t="s">
        <v>1735</v>
      </c>
      <c r="L467" t="s">
        <v>386</v>
      </c>
      <c r="M467" t="s">
        <v>1184</v>
      </c>
      <c r="O467">
        <v>0</v>
      </c>
      <c r="R467" t="s">
        <v>1185</v>
      </c>
      <c r="T467">
        <v>0</v>
      </c>
      <c r="V467" t="s">
        <v>1186</v>
      </c>
      <c r="Z467" t="s">
        <v>865</v>
      </c>
      <c r="AA467" t="s">
        <v>387</v>
      </c>
      <c r="AB467">
        <v>0</v>
      </c>
      <c r="AC467">
        <v>0</v>
      </c>
      <c r="AD467" t="s">
        <v>1187</v>
      </c>
      <c r="AE467">
        <v>0</v>
      </c>
      <c r="AF467" t="s">
        <v>1188</v>
      </c>
    </row>
    <row r="468" spans="1:32" x14ac:dyDescent="0.25">
      <c r="A468">
        <v>1</v>
      </c>
      <c r="C468" s="185"/>
      <c r="E468" t="s">
        <v>386</v>
      </c>
      <c r="I468">
        <v>4092</v>
      </c>
      <c r="J468" t="s">
        <v>1736</v>
      </c>
      <c r="K468" t="s">
        <v>1736</v>
      </c>
      <c r="L468" t="s">
        <v>386</v>
      </c>
      <c r="M468" t="s">
        <v>1184</v>
      </c>
      <c r="O468">
        <v>0</v>
      </c>
      <c r="R468" t="s">
        <v>1185</v>
      </c>
      <c r="T468">
        <v>0</v>
      </c>
      <c r="V468" t="s">
        <v>1186</v>
      </c>
      <c r="Z468" t="s">
        <v>865</v>
      </c>
      <c r="AA468" t="s">
        <v>387</v>
      </c>
      <c r="AB468">
        <v>0</v>
      </c>
      <c r="AC468">
        <v>0</v>
      </c>
      <c r="AD468" t="s">
        <v>1187</v>
      </c>
      <c r="AE468">
        <v>0</v>
      </c>
      <c r="AF468" t="s">
        <v>1188</v>
      </c>
    </row>
    <row r="469" spans="1:32" x14ac:dyDescent="0.25">
      <c r="A469">
        <v>1</v>
      </c>
      <c r="C469" s="185"/>
      <c r="E469" t="s">
        <v>386</v>
      </c>
      <c r="I469">
        <v>4116</v>
      </c>
      <c r="J469" t="s">
        <v>1737</v>
      </c>
      <c r="K469" t="s">
        <v>1737</v>
      </c>
      <c r="L469" t="s">
        <v>386</v>
      </c>
      <c r="M469" t="s">
        <v>1184</v>
      </c>
      <c r="O469">
        <v>0</v>
      </c>
      <c r="R469" t="s">
        <v>1185</v>
      </c>
      <c r="T469">
        <v>0</v>
      </c>
      <c r="V469" t="s">
        <v>1186</v>
      </c>
      <c r="Z469" t="s">
        <v>865</v>
      </c>
      <c r="AA469" t="s">
        <v>387</v>
      </c>
      <c r="AB469">
        <v>0</v>
      </c>
      <c r="AC469">
        <v>0</v>
      </c>
      <c r="AD469" t="s">
        <v>1187</v>
      </c>
      <c r="AE469">
        <v>0</v>
      </c>
      <c r="AF469" t="s">
        <v>1188</v>
      </c>
    </row>
    <row r="470" spans="1:32" x14ac:dyDescent="0.25">
      <c r="A470">
        <v>1</v>
      </c>
      <c r="C470" s="185"/>
      <c r="E470" t="s">
        <v>386</v>
      </c>
      <c r="I470">
        <v>4151</v>
      </c>
      <c r="J470" t="s">
        <v>1738</v>
      </c>
      <c r="K470" t="s">
        <v>1738</v>
      </c>
      <c r="L470" t="s">
        <v>386</v>
      </c>
      <c r="M470" t="s">
        <v>1184</v>
      </c>
      <c r="O470">
        <v>0</v>
      </c>
      <c r="R470" t="s">
        <v>1185</v>
      </c>
      <c r="T470">
        <v>0</v>
      </c>
      <c r="V470" t="s">
        <v>1186</v>
      </c>
      <c r="Z470" t="s">
        <v>865</v>
      </c>
      <c r="AA470" t="s">
        <v>387</v>
      </c>
      <c r="AB470">
        <v>0</v>
      </c>
      <c r="AC470">
        <v>0</v>
      </c>
      <c r="AD470" t="s">
        <v>1187</v>
      </c>
      <c r="AE470">
        <v>0</v>
      </c>
      <c r="AF470" t="s">
        <v>1188</v>
      </c>
    </row>
    <row r="471" spans="1:32" x14ac:dyDescent="0.25">
      <c r="A471">
        <v>1</v>
      </c>
      <c r="C471" s="185"/>
      <c r="E471" t="s">
        <v>386</v>
      </c>
      <c r="I471">
        <v>3801</v>
      </c>
      <c r="J471" t="s">
        <v>1739</v>
      </c>
      <c r="K471" t="s">
        <v>1739</v>
      </c>
      <c r="L471" t="s">
        <v>386</v>
      </c>
      <c r="M471" t="s">
        <v>1184</v>
      </c>
      <c r="O471">
        <v>0</v>
      </c>
      <c r="R471" t="s">
        <v>1185</v>
      </c>
      <c r="T471">
        <v>0</v>
      </c>
      <c r="V471" t="s">
        <v>1186</v>
      </c>
      <c r="Z471" t="s">
        <v>865</v>
      </c>
      <c r="AA471" t="s">
        <v>387</v>
      </c>
      <c r="AB471">
        <v>0</v>
      </c>
      <c r="AC471">
        <v>0</v>
      </c>
      <c r="AD471" t="s">
        <v>1187</v>
      </c>
      <c r="AE471">
        <v>0</v>
      </c>
      <c r="AF471" t="s">
        <v>1188</v>
      </c>
    </row>
    <row r="472" spans="1:32" x14ac:dyDescent="0.25">
      <c r="A472">
        <v>1</v>
      </c>
      <c r="C472" s="185"/>
      <c r="E472" t="s">
        <v>386</v>
      </c>
      <c r="I472">
        <v>4167</v>
      </c>
      <c r="J472" t="s">
        <v>1740</v>
      </c>
      <c r="K472" t="s">
        <v>1740</v>
      </c>
      <c r="L472" t="s">
        <v>386</v>
      </c>
      <c r="M472" t="s">
        <v>1184</v>
      </c>
      <c r="O472">
        <v>0</v>
      </c>
      <c r="R472" t="s">
        <v>1185</v>
      </c>
      <c r="T472">
        <v>0</v>
      </c>
      <c r="V472" t="s">
        <v>1186</v>
      </c>
      <c r="Z472" t="s">
        <v>865</v>
      </c>
      <c r="AA472" t="s">
        <v>387</v>
      </c>
      <c r="AB472">
        <v>0</v>
      </c>
      <c r="AC472">
        <v>0</v>
      </c>
      <c r="AD472" t="s">
        <v>1187</v>
      </c>
      <c r="AE472">
        <v>0</v>
      </c>
      <c r="AF472" t="s">
        <v>1188</v>
      </c>
    </row>
    <row r="473" spans="1:32" x14ac:dyDescent="0.25">
      <c r="A473">
        <v>1</v>
      </c>
      <c r="C473" s="185"/>
      <c r="E473" t="s">
        <v>386</v>
      </c>
      <c r="G473" t="s">
        <v>1192</v>
      </c>
      <c r="I473">
        <v>3543</v>
      </c>
      <c r="J473" t="s">
        <v>1741</v>
      </c>
      <c r="K473" t="s">
        <v>1741</v>
      </c>
      <c r="L473" t="s">
        <v>386</v>
      </c>
      <c r="M473" t="s">
        <v>1184</v>
      </c>
      <c r="O473">
        <v>0</v>
      </c>
      <c r="R473" t="s">
        <v>1185</v>
      </c>
      <c r="T473">
        <v>0</v>
      </c>
      <c r="V473" t="s">
        <v>1186</v>
      </c>
      <c r="Z473" t="s">
        <v>865</v>
      </c>
      <c r="AA473" t="s">
        <v>387</v>
      </c>
      <c r="AB473">
        <v>0</v>
      </c>
      <c r="AC473">
        <v>0</v>
      </c>
      <c r="AD473" t="s">
        <v>1187</v>
      </c>
      <c r="AE473">
        <v>0</v>
      </c>
      <c r="AF473" t="s">
        <v>1188</v>
      </c>
    </row>
    <row r="474" spans="1:32" x14ac:dyDescent="0.25">
      <c r="A474">
        <v>1</v>
      </c>
      <c r="C474" s="185"/>
      <c r="E474" t="s">
        <v>386</v>
      </c>
      <c r="I474">
        <v>3642</v>
      </c>
      <c r="J474" t="s">
        <v>1742</v>
      </c>
      <c r="K474" t="s">
        <v>1742</v>
      </c>
      <c r="L474" t="s">
        <v>386</v>
      </c>
      <c r="M474" t="s">
        <v>1184</v>
      </c>
      <c r="O474">
        <v>0</v>
      </c>
      <c r="R474" t="s">
        <v>1185</v>
      </c>
      <c r="T474">
        <v>0</v>
      </c>
      <c r="V474" t="s">
        <v>1186</v>
      </c>
      <c r="Z474" t="s">
        <v>865</v>
      </c>
      <c r="AA474" t="s">
        <v>387</v>
      </c>
      <c r="AB474">
        <v>0</v>
      </c>
      <c r="AC474">
        <v>0</v>
      </c>
      <c r="AD474" t="s">
        <v>1187</v>
      </c>
      <c r="AE474">
        <v>0</v>
      </c>
      <c r="AF474" t="s">
        <v>1188</v>
      </c>
    </row>
    <row r="475" spans="1:32" x14ac:dyDescent="0.25">
      <c r="A475">
        <v>1</v>
      </c>
      <c r="C475" s="185"/>
      <c r="E475" t="s">
        <v>386</v>
      </c>
      <c r="I475">
        <v>3725</v>
      </c>
      <c r="J475" t="s">
        <v>1743</v>
      </c>
      <c r="K475" t="s">
        <v>1743</v>
      </c>
      <c r="L475" t="s">
        <v>386</v>
      </c>
      <c r="M475" t="s">
        <v>1184</v>
      </c>
      <c r="O475">
        <v>0</v>
      </c>
      <c r="R475" t="s">
        <v>1185</v>
      </c>
      <c r="T475">
        <v>0</v>
      </c>
      <c r="V475" t="s">
        <v>1186</v>
      </c>
      <c r="Z475" t="s">
        <v>865</v>
      </c>
      <c r="AA475" t="s">
        <v>387</v>
      </c>
      <c r="AB475">
        <v>0</v>
      </c>
      <c r="AC475">
        <v>0</v>
      </c>
      <c r="AD475" t="s">
        <v>1187</v>
      </c>
      <c r="AE475">
        <v>0</v>
      </c>
      <c r="AF475" t="s">
        <v>1188</v>
      </c>
    </row>
    <row r="476" spans="1:32" x14ac:dyDescent="0.25">
      <c r="A476">
        <v>1</v>
      </c>
      <c r="C476" s="185"/>
      <c r="E476" t="s">
        <v>386</v>
      </c>
      <c r="I476">
        <v>3812</v>
      </c>
      <c r="J476" t="s">
        <v>1744</v>
      </c>
      <c r="K476" t="s">
        <v>1744</v>
      </c>
      <c r="L476" t="s">
        <v>386</v>
      </c>
      <c r="M476" t="s">
        <v>1184</v>
      </c>
      <c r="O476">
        <v>0</v>
      </c>
      <c r="R476" t="s">
        <v>1185</v>
      </c>
      <c r="T476">
        <v>0</v>
      </c>
      <c r="V476" t="s">
        <v>1186</v>
      </c>
      <c r="Z476" t="s">
        <v>865</v>
      </c>
      <c r="AA476" t="s">
        <v>387</v>
      </c>
      <c r="AB476">
        <v>0</v>
      </c>
      <c r="AC476">
        <v>0</v>
      </c>
      <c r="AD476" t="s">
        <v>1187</v>
      </c>
      <c r="AE476">
        <v>0</v>
      </c>
      <c r="AF476" t="s">
        <v>1188</v>
      </c>
    </row>
    <row r="477" spans="1:32" x14ac:dyDescent="0.25">
      <c r="A477">
        <v>1</v>
      </c>
      <c r="C477" s="185"/>
      <c r="E477" t="s">
        <v>386</v>
      </c>
      <c r="I477">
        <v>3600</v>
      </c>
      <c r="J477" t="s">
        <v>1745</v>
      </c>
      <c r="K477" t="s">
        <v>1745</v>
      </c>
      <c r="L477" t="s">
        <v>386</v>
      </c>
      <c r="M477" t="s">
        <v>1184</v>
      </c>
      <c r="O477">
        <v>0</v>
      </c>
      <c r="R477" t="s">
        <v>1185</v>
      </c>
      <c r="T477">
        <v>0</v>
      </c>
      <c r="V477" t="s">
        <v>1186</v>
      </c>
      <c r="Z477" t="s">
        <v>865</v>
      </c>
      <c r="AA477" t="s">
        <v>387</v>
      </c>
      <c r="AB477">
        <v>0</v>
      </c>
      <c r="AC477">
        <v>0</v>
      </c>
      <c r="AD477" t="s">
        <v>1187</v>
      </c>
      <c r="AE477">
        <v>0</v>
      </c>
      <c r="AF477" t="s">
        <v>1188</v>
      </c>
    </row>
    <row r="478" spans="1:32" x14ac:dyDescent="0.25">
      <c r="A478">
        <v>1</v>
      </c>
      <c r="C478" s="185"/>
      <c r="E478" t="s">
        <v>386</v>
      </c>
      <c r="I478">
        <v>3760</v>
      </c>
      <c r="J478" t="s">
        <v>1746</v>
      </c>
      <c r="K478" t="s">
        <v>1746</v>
      </c>
      <c r="L478" t="s">
        <v>386</v>
      </c>
      <c r="M478" t="s">
        <v>1184</v>
      </c>
      <c r="O478">
        <v>0</v>
      </c>
      <c r="R478" t="s">
        <v>1185</v>
      </c>
      <c r="T478">
        <v>0</v>
      </c>
      <c r="V478" t="s">
        <v>1186</v>
      </c>
      <c r="Z478" t="s">
        <v>865</v>
      </c>
      <c r="AA478" t="s">
        <v>387</v>
      </c>
      <c r="AB478">
        <v>0</v>
      </c>
      <c r="AC478">
        <v>0</v>
      </c>
      <c r="AD478" t="s">
        <v>1187</v>
      </c>
      <c r="AE478">
        <v>0</v>
      </c>
      <c r="AF478" t="s">
        <v>1188</v>
      </c>
    </row>
    <row r="479" spans="1:32" x14ac:dyDescent="0.25">
      <c r="A479">
        <v>1</v>
      </c>
      <c r="C479" s="185"/>
      <c r="E479" t="s">
        <v>386</v>
      </c>
      <c r="I479">
        <v>3489</v>
      </c>
      <c r="J479" t="s">
        <v>1747</v>
      </c>
      <c r="K479" t="s">
        <v>1747</v>
      </c>
      <c r="L479" t="s">
        <v>386</v>
      </c>
      <c r="M479" t="s">
        <v>1184</v>
      </c>
      <c r="O479">
        <v>0</v>
      </c>
      <c r="R479" t="s">
        <v>1185</v>
      </c>
      <c r="T479">
        <v>0</v>
      </c>
      <c r="V479" t="s">
        <v>1186</v>
      </c>
      <c r="Z479" t="s">
        <v>865</v>
      </c>
      <c r="AA479" t="s">
        <v>387</v>
      </c>
      <c r="AB479">
        <v>0</v>
      </c>
      <c r="AC479">
        <v>0</v>
      </c>
      <c r="AD479" t="s">
        <v>1187</v>
      </c>
      <c r="AE479">
        <v>0</v>
      </c>
      <c r="AF479" t="s">
        <v>1188</v>
      </c>
    </row>
    <row r="480" spans="1:32" x14ac:dyDescent="0.25">
      <c r="A480">
        <v>1</v>
      </c>
      <c r="C480" s="185"/>
      <c r="E480" t="s">
        <v>386</v>
      </c>
      <c r="I480">
        <v>3554</v>
      </c>
      <c r="J480" t="s">
        <v>1748</v>
      </c>
      <c r="K480" t="s">
        <v>1748</v>
      </c>
      <c r="L480" t="s">
        <v>386</v>
      </c>
      <c r="M480" t="s">
        <v>1184</v>
      </c>
      <c r="O480">
        <v>0</v>
      </c>
      <c r="R480" t="s">
        <v>1185</v>
      </c>
      <c r="T480">
        <v>0</v>
      </c>
      <c r="V480" t="s">
        <v>1186</v>
      </c>
      <c r="Z480" t="s">
        <v>865</v>
      </c>
      <c r="AA480" t="s">
        <v>387</v>
      </c>
      <c r="AB480">
        <v>0</v>
      </c>
      <c r="AC480">
        <v>0</v>
      </c>
      <c r="AD480" t="s">
        <v>1187</v>
      </c>
      <c r="AE480">
        <v>0</v>
      </c>
      <c r="AF480" t="s">
        <v>1188</v>
      </c>
    </row>
    <row r="481" spans="1:32" x14ac:dyDescent="0.25">
      <c r="A481">
        <v>1</v>
      </c>
      <c r="C481" s="185"/>
      <c r="E481" t="s">
        <v>386</v>
      </c>
      <c r="I481">
        <v>3547</v>
      </c>
      <c r="J481" t="s">
        <v>1749</v>
      </c>
      <c r="K481" t="s">
        <v>1749</v>
      </c>
      <c r="L481" t="s">
        <v>386</v>
      </c>
      <c r="M481" t="s">
        <v>1184</v>
      </c>
      <c r="O481">
        <v>0</v>
      </c>
      <c r="R481" t="s">
        <v>1185</v>
      </c>
      <c r="T481">
        <v>0</v>
      </c>
      <c r="V481" t="s">
        <v>1186</v>
      </c>
      <c r="Z481" t="s">
        <v>865</v>
      </c>
      <c r="AA481" t="s">
        <v>387</v>
      </c>
      <c r="AB481">
        <v>0</v>
      </c>
      <c r="AC481">
        <v>0</v>
      </c>
      <c r="AD481" t="s">
        <v>1187</v>
      </c>
      <c r="AE481">
        <v>0</v>
      </c>
      <c r="AF481" t="s">
        <v>1188</v>
      </c>
    </row>
    <row r="482" spans="1:32" x14ac:dyDescent="0.25">
      <c r="A482">
        <v>1</v>
      </c>
      <c r="C482" s="185"/>
      <c r="E482" t="s">
        <v>386</v>
      </c>
      <c r="I482">
        <v>4006</v>
      </c>
      <c r="J482" t="s">
        <v>1750</v>
      </c>
      <c r="K482" t="s">
        <v>1750</v>
      </c>
      <c r="L482" t="s">
        <v>386</v>
      </c>
      <c r="M482" t="s">
        <v>1184</v>
      </c>
      <c r="O482">
        <v>0</v>
      </c>
      <c r="R482" t="s">
        <v>1185</v>
      </c>
      <c r="T482">
        <v>0</v>
      </c>
      <c r="V482" t="s">
        <v>1186</v>
      </c>
      <c r="Z482" t="s">
        <v>865</v>
      </c>
      <c r="AA482" t="s">
        <v>387</v>
      </c>
      <c r="AB482">
        <v>0</v>
      </c>
      <c r="AC482">
        <v>0</v>
      </c>
      <c r="AD482" t="s">
        <v>1187</v>
      </c>
      <c r="AE482">
        <v>0</v>
      </c>
      <c r="AF482" t="s">
        <v>1188</v>
      </c>
    </row>
    <row r="483" spans="1:32" x14ac:dyDescent="0.25">
      <c r="A483">
        <v>1</v>
      </c>
      <c r="C483" s="185"/>
      <c r="E483" t="s">
        <v>386</v>
      </c>
      <c r="I483">
        <v>3583</v>
      </c>
      <c r="J483" t="s">
        <v>1751</v>
      </c>
      <c r="K483" t="s">
        <v>1751</v>
      </c>
      <c r="L483" t="s">
        <v>386</v>
      </c>
      <c r="M483" t="s">
        <v>1184</v>
      </c>
      <c r="O483">
        <v>0</v>
      </c>
      <c r="R483" t="s">
        <v>1185</v>
      </c>
      <c r="T483">
        <v>0</v>
      </c>
      <c r="V483" t="s">
        <v>1186</v>
      </c>
      <c r="Z483" t="s">
        <v>865</v>
      </c>
      <c r="AA483" t="s">
        <v>387</v>
      </c>
      <c r="AB483">
        <v>0</v>
      </c>
      <c r="AC483">
        <v>0</v>
      </c>
      <c r="AD483" t="s">
        <v>1187</v>
      </c>
      <c r="AE483">
        <v>0</v>
      </c>
      <c r="AF483" t="s">
        <v>1188</v>
      </c>
    </row>
    <row r="484" spans="1:32" x14ac:dyDescent="0.25">
      <c r="A484">
        <v>1</v>
      </c>
      <c r="C484" s="185"/>
      <c r="E484" t="s">
        <v>386</v>
      </c>
      <c r="I484">
        <v>3905</v>
      </c>
      <c r="J484" t="s">
        <v>1752</v>
      </c>
      <c r="K484" t="s">
        <v>1752</v>
      </c>
      <c r="L484" t="s">
        <v>386</v>
      </c>
      <c r="M484" t="s">
        <v>1184</v>
      </c>
      <c r="O484">
        <v>0</v>
      </c>
      <c r="R484" t="s">
        <v>1185</v>
      </c>
      <c r="T484">
        <v>0</v>
      </c>
      <c r="V484" t="s">
        <v>1186</v>
      </c>
      <c r="Z484" t="s">
        <v>865</v>
      </c>
      <c r="AA484" t="s">
        <v>387</v>
      </c>
      <c r="AB484">
        <v>0</v>
      </c>
      <c r="AC484">
        <v>0</v>
      </c>
      <c r="AD484" t="s">
        <v>1187</v>
      </c>
      <c r="AE484">
        <v>0</v>
      </c>
      <c r="AF484" t="s">
        <v>1188</v>
      </c>
    </row>
    <row r="485" spans="1:32" x14ac:dyDescent="0.25">
      <c r="A485">
        <v>1</v>
      </c>
      <c r="C485" s="185"/>
      <c r="E485" t="s">
        <v>386</v>
      </c>
      <c r="I485">
        <v>3879</v>
      </c>
      <c r="J485" t="s">
        <v>1753</v>
      </c>
      <c r="K485" t="s">
        <v>1753</v>
      </c>
      <c r="L485" t="s">
        <v>386</v>
      </c>
      <c r="M485" t="s">
        <v>1184</v>
      </c>
      <c r="O485">
        <v>0</v>
      </c>
      <c r="R485" t="s">
        <v>1185</v>
      </c>
      <c r="T485">
        <v>0</v>
      </c>
      <c r="V485" t="s">
        <v>1186</v>
      </c>
      <c r="Z485" t="s">
        <v>865</v>
      </c>
      <c r="AA485" t="s">
        <v>387</v>
      </c>
      <c r="AB485">
        <v>0</v>
      </c>
      <c r="AC485">
        <v>0</v>
      </c>
      <c r="AD485" t="s">
        <v>1187</v>
      </c>
      <c r="AE485">
        <v>0</v>
      </c>
      <c r="AF485" t="s">
        <v>1188</v>
      </c>
    </row>
    <row r="486" spans="1:32" x14ac:dyDescent="0.25">
      <c r="A486">
        <v>1</v>
      </c>
      <c r="C486" s="185"/>
      <c r="E486" t="s">
        <v>386</v>
      </c>
      <c r="I486">
        <v>3891</v>
      </c>
      <c r="J486" t="s">
        <v>1754</v>
      </c>
      <c r="K486" t="s">
        <v>1754</v>
      </c>
      <c r="L486" t="s">
        <v>386</v>
      </c>
      <c r="M486" t="s">
        <v>1184</v>
      </c>
      <c r="O486">
        <v>0</v>
      </c>
      <c r="R486" t="s">
        <v>1185</v>
      </c>
      <c r="T486">
        <v>0</v>
      </c>
      <c r="V486" t="s">
        <v>1186</v>
      </c>
      <c r="Z486" t="s">
        <v>865</v>
      </c>
      <c r="AA486" t="s">
        <v>387</v>
      </c>
      <c r="AB486">
        <v>0</v>
      </c>
      <c r="AC486">
        <v>0</v>
      </c>
      <c r="AD486" t="s">
        <v>1187</v>
      </c>
      <c r="AE486">
        <v>0</v>
      </c>
      <c r="AF486" t="s">
        <v>1188</v>
      </c>
    </row>
    <row r="487" spans="1:32" x14ac:dyDescent="0.25">
      <c r="A487">
        <v>1</v>
      </c>
      <c r="C487" s="185"/>
      <c r="E487" t="s">
        <v>386</v>
      </c>
      <c r="I487">
        <v>3610</v>
      </c>
      <c r="J487" t="s">
        <v>1755</v>
      </c>
      <c r="K487" t="s">
        <v>1755</v>
      </c>
      <c r="L487" t="s">
        <v>386</v>
      </c>
      <c r="M487" t="s">
        <v>1184</v>
      </c>
      <c r="O487">
        <v>0</v>
      </c>
      <c r="R487" t="s">
        <v>1185</v>
      </c>
      <c r="T487">
        <v>0</v>
      </c>
      <c r="V487" t="s">
        <v>1186</v>
      </c>
      <c r="Z487" t="s">
        <v>865</v>
      </c>
      <c r="AA487" t="s">
        <v>387</v>
      </c>
      <c r="AB487">
        <v>0</v>
      </c>
      <c r="AC487">
        <v>0</v>
      </c>
      <c r="AD487" t="s">
        <v>1187</v>
      </c>
      <c r="AE487">
        <v>0</v>
      </c>
      <c r="AF487" t="s">
        <v>1188</v>
      </c>
    </row>
    <row r="488" spans="1:32" x14ac:dyDescent="0.25">
      <c r="A488">
        <v>1</v>
      </c>
      <c r="C488" s="185"/>
      <c r="E488" t="s">
        <v>386</v>
      </c>
      <c r="I488">
        <v>4005</v>
      </c>
      <c r="J488" t="s">
        <v>1756</v>
      </c>
      <c r="K488" t="s">
        <v>1756</v>
      </c>
      <c r="L488" t="s">
        <v>386</v>
      </c>
      <c r="M488" t="s">
        <v>1184</v>
      </c>
      <c r="O488">
        <v>0</v>
      </c>
      <c r="R488" t="s">
        <v>1185</v>
      </c>
      <c r="T488">
        <v>0</v>
      </c>
      <c r="V488" t="s">
        <v>1186</v>
      </c>
      <c r="Z488" t="s">
        <v>865</v>
      </c>
      <c r="AA488" t="s">
        <v>387</v>
      </c>
      <c r="AB488">
        <v>0</v>
      </c>
      <c r="AC488">
        <v>0</v>
      </c>
      <c r="AD488" t="s">
        <v>1187</v>
      </c>
      <c r="AE488">
        <v>0</v>
      </c>
      <c r="AF488" t="s">
        <v>1188</v>
      </c>
    </row>
    <row r="489" spans="1:32" x14ac:dyDescent="0.25">
      <c r="A489">
        <v>1</v>
      </c>
      <c r="C489" s="185"/>
      <c r="E489" t="s">
        <v>386</v>
      </c>
      <c r="I489">
        <v>4044</v>
      </c>
      <c r="J489" t="s">
        <v>1757</v>
      </c>
      <c r="K489" t="s">
        <v>1757</v>
      </c>
      <c r="L489" t="s">
        <v>386</v>
      </c>
      <c r="M489" t="s">
        <v>1184</v>
      </c>
      <c r="O489">
        <v>0</v>
      </c>
      <c r="R489" t="s">
        <v>1185</v>
      </c>
      <c r="T489">
        <v>0</v>
      </c>
      <c r="V489" t="s">
        <v>1186</v>
      </c>
      <c r="Z489" t="s">
        <v>865</v>
      </c>
      <c r="AA489" t="s">
        <v>387</v>
      </c>
      <c r="AB489">
        <v>0</v>
      </c>
      <c r="AC489">
        <v>0</v>
      </c>
      <c r="AD489" t="s">
        <v>1187</v>
      </c>
      <c r="AE489">
        <v>0</v>
      </c>
      <c r="AF489" t="s">
        <v>1188</v>
      </c>
    </row>
    <row r="490" spans="1:32" x14ac:dyDescent="0.25">
      <c r="A490">
        <v>1</v>
      </c>
      <c r="C490" s="185"/>
      <c r="E490" t="s">
        <v>386</v>
      </c>
      <c r="I490">
        <v>4094</v>
      </c>
      <c r="J490" t="s">
        <v>1758</v>
      </c>
      <c r="K490" t="s">
        <v>1758</v>
      </c>
      <c r="L490" t="s">
        <v>386</v>
      </c>
      <c r="M490" t="s">
        <v>1184</v>
      </c>
      <c r="O490">
        <v>0</v>
      </c>
      <c r="R490" t="s">
        <v>1185</v>
      </c>
      <c r="T490">
        <v>0</v>
      </c>
      <c r="V490" t="s">
        <v>1186</v>
      </c>
      <c r="Z490" t="s">
        <v>865</v>
      </c>
      <c r="AA490" t="s">
        <v>387</v>
      </c>
      <c r="AB490">
        <v>0</v>
      </c>
      <c r="AC490">
        <v>0</v>
      </c>
      <c r="AD490" t="s">
        <v>1187</v>
      </c>
      <c r="AE490">
        <v>0</v>
      </c>
      <c r="AF490" t="s">
        <v>1188</v>
      </c>
    </row>
    <row r="491" spans="1:32" x14ac:dyDescent="0.25">
      <c r="A491">
        <v>1</v>
      </c>
      <c r="C491" s="185"/>
      <c r="E491" t="s">
        <v>386</v>
      </c>
      <c r="I491">
        <v>3622</v>
      </c>
      <c r="J491" t="s">
        <v>1759</v>
      </c>
      <c r="K491" t="s">
        <v>1759</v>
      </c>
      <c r="L491" t="s">
        <v>386</v>
      </c>
      <c r="M491" t="s">
        <v>1184</v>
      </c>
      <c r="O491">
        <v>0</v>
      </c>
      <c r="R491" t="s">
        <v>1185</v>
      </c>
      <c r="T491">
        <v>0</v>
      </c>
      <c r="V491" t="s">
        <v>1186</v>
      </c>
      <c r="Z491" t="s">
        <v>865</v>
      </c>
      <c r="AA491" t="s">
        <v>387</v>
      </c>
      <c r="AB491">
        <v>0</v>
      </c>
      <c r="AC491">
        <v>0</v>
      </c>
      <c r="AD491" t="s">
        <v>1187</v>
      </c>
      <c r="AE491">
        <v>0</v>
      </c>
      <c r="AF491" t="s">
        <v>1188</v>
      </c>
    </row>
    <row r="492" spans="1:32" x14ac:dyDescent="0.25">
      <c r="A492">
        <v>1</v>
      </c>
      <c r="C492" s="185"/>
      <c r="E492" t="s">
        <v>386</v>
      </c>
      <c r="I492">
        <v>3816</v>
      </c>
      <c r="J492" t="s">
        <v>1760</v>
      </c>
      <c r="K492" t="s">
        <v>1760</v>
      </c>
      <c r="L492" t="s">
        <v>386</v>
      </c>
      <c r="M492" t="s">
        <v>1184</v>
      </c>
      <c r="O492">
        <v>0</v>
      </c>
      <c r="R492" t="s">
        <v>1185</v>
      </c>
      <c r="T492">
        <v>0</v>
      </c>
      <c r="V492" t="s">
        <v>1186</v>
      </c>
      <c r="Z492" t="s">
        <v>865</v>
      </c>
      <c r="AA492" t="s">
        <v>387</v>
      </c>
      <c r="AB492">
        <v>0</v>
      </c>
      <c r="AC492">
        <v>0</v>
      </c>
      <c r="AD492" t="s">
        <v>1187</v>
      </c>
      <c r="AE492">
        <v>0</v>
      </c>
      <c r="AF492" t="s">
        <v>1188</v>
      </c>
    </row>
    <row r="493" spans="1:32" x14ac:dyDescent="0.25">
      <c r="A493">
        <v>1</v>
      </c>
      <c r="C493" s="185"/>
      <c r="E493" t="s">
        <v>386</v>
      </c>
      <c r="I493">
        <v>3730</v>
      </c>
      <c r="J493" t="s">
        <v>1761</v>
      </c>
      <c r="K493" t="s">
        <v>1761</v>
      </c>
      <c r="L493" t="s">
        <v>386</v>
      </c>
      <c r="M493" t="s">
        <v>1184</v>
      </c>
      <c r="O493">
        <v>0</v>
      </c>
      <c r="R493" t="s">
        <v>1185</v>
      </c>
      <c r="T493">
        <v>0</v>
      </c>
      <c r="V493" t="s">
        <v>1186</v>
      </c>
      <c r="Z493" t="s">
        <v>865</v>
      </c>
      <c r="AA493" t="s">
        <v>387</v>
      </c>
      <c r="AB493">
        <v>0</v>
      </c>
      <c r="AC493">
        <v>0</v>
      </c>
      <c r="AD493" t="s">
        <v>1187</v>
      </c>
      <c r="AE493">
        <v>0</v>
      </c>
      <c r="AF493" t="s">
        <v>1188</v>
      </c>
    </row>
    <row r="494" spans="1:32" x14ac:dyDescent="0.25">
      <c r="A494">
        <v>1</v>
      </c>
      <c r="C494" s="185"/>
      <c r="E494" t="s">
        <v>386</v>
      </c>
      <c r="I494">
        <v>4003</v>
      </c>
      <c r="J494" t="s">
        <v>1762</v>
      </c>
      <c r="K494" t="s">
        <v>1762</v>
      </c>
      <c r="L494" t="s">
        <v>386</v>
      </c>
      <c r="M494" t="s">
        <v>1184</v>
      </c>
      <c r="O494">
        <v>0</v>
      </c>
      <c r="R494" t="s">
        <v>1185</v>
      </c>
      <c r="T494">
        <v>0</v>
      </c>
      <c r="V494" t="s">
        <v>1186</v>
      </c>
      <c r="Z494" t="s">
        <v>865</v>
      </c>
      <c r="AA494" t="s">
        <v>387</v>
      </c>
      <c r="AB494">
        <v>0</v>
      </c>
      <c r="AC494">
        <v>0</v>
      </c>
      <c r="AD494" t="s">
        <v>1187</v>
      </c>
      <c r="AE494">
        <v>0</v>
      </c>
      <c r="AF494" t="s">
        <v>1188</v>
      </c>
    </row>
    <row r="495" spans="1:32" x14ac:dyDescent="0.25">
      <c r="A495">
        <v>1</v>
      </c>
      <c r="C495" s="185"/>
      <c r="E495" t="s">
        <v>386</v>
      </c>
      <c r="I495">
        <v>3757</v>
      </c>
      <c r="J495" t="s">
        <v>1763</v>
      </c>
      <c r="K495" t="s">
        <v>1763</v>
      </c>
      <c r="L495" t="s">
        <v>386</v>
      </c>
      <c r="M495" t="s">
        <v>1184</v>
      </c>
      <c r="O495">
        <v>0</v>
      </c>
      <c r="R495" t="s">
        <v>1185</v>
      </c>
      <c r="T495">
        <v>0</v>
      </c>
      <c r="V495" t="s">
        <v>1186</v>
      </c>
      <c r="Z495" t="s">
        <v>865</v>
      </c>
      <c r="AA495" t="s">
        <v>387</v>
      </c>
      <c r="AB495">
        <v>0</v>
      </c>
      <c r="AC495">
        <v>0</v>
      </c>
      <c r="AD495" t="s">
        <v>1187</v>
      </c>
      <c r="AE495">
        <v>0</v>
      </c>
      <c r="AF495" t="s">
        <v>1188</v>
      </c>
    </row>
    <row r="496" spans="1:32" x14ac:dyDescent="0.25">
      <c r="A496">
        <v>1</v>
      </c>
      <c r="C496" s="185"/>
      <c r="E496" t="s">
        <v>386</v>
      </c>
      <c r="I496">
        <v>4185</v>
      </c>
      <c r="J496" t="s">
        <v>1764</v>
      </c>
      <c r="K496" t="s">
        <v>1764</v>
      </c>
      <c r="L496" t="s">
        <v>386</v>
      </c>
      <c r="M496" t="s">
        <v>1184</v>
      </c>
      <c r="O496">
        <v>0</v>
      </c>
      <c r="R496" t="s">
        <v>1185</v>
      </c>
      <c r="T496">
        <v>0</v>
      </c>
      <c r="V496" t="s">
        <v>1186</v>
      </c>
      <c r="Z496" t="s">
        <v>865</v>
      </c>
      <c r="AA496" t="s">
        <v>387</v>
      </c>
      <c r="AB496">
        <v>0</v>
      </c>
      <c r="AC496">
        <v>0</v>
      </c>
      <c r="AD496" t="s">
        <v>1187</v>
      </c>
      <c r="AE496">
        <v>0</v>
      </c>
      <c r="AF496" t="s">
        <v>1188</v>
      </c>
    </row>
    <row r="497" spans="1:32" x14ac:dyDescent="0.25">
      <c r="A497">
        <v>1</v>
      </c>
      <c r="C497" s="185"/>
      <c r="E497" t="s">
        <v>386</v>
      </c>
      <c r="I497">
        <v>3728</v>
      </c>
      <c r="J497" t="s">
        <v>1765</v>
      </c>
      <c r="K497" t="s">
        <v>1765</v>
      </c>
      <c r="L497" t="s">
        <v>386</v>
      </c>
      <c r="M497" t="s">
        <v>1184</v>
      </c>
      <c r="O497">
        <v>0</v>
      </c>
      <c r="R497" t="s">
        <v>1185</v>
      </c>
      <c r="T497">
        <v>0</v>
      </c>
      <c r="V497" t="s">
        <v>1186</v>
      </c>
      <c r="Z497" t="s">
        <v>865</v>
      </c>
      <c r="AA497" t="s">
        <v>387</v>
      </c>
      <c r="AB497">
        <v>0</v>
      </c>
      <c r="AC497">
        <v>0</v>
      </c>
      <c r="AD497" t="s">
        <v>1187</v>
      </c>
      <c r="AE497">
        <v>0</v>
      </c>
      <c r="AF497" t="s">
        <v>1188</v>
      </c>
    </row>
    <row r="498" spans="1:32" x14ac:dyDescent="0.25">
      <c r="A498">
        <v>1</v>
      </c>
      <c r="C498" s="185"/>
      <c r="E498" t="s">
        <v>386</v>
      </c>
      <c r="I498">
        <v>3892</v>
      </c>
      <c r="J498" t="s">
        <v>1766</v>
      </c>
      <c r="K498" t="s">
        <v>1766</v>
      </c>
      <c r="L498" t="s">
        <v>386</v>
      </c>
      <c r="M498" t="s">
        <v>1184</v>
      </c>
      <c r="O498">
        <v>0</v>
      </c>
      <c r="R498" t="s">
        <v>1185</v>
      </c>
      <c r="T498">
        <v>0</v>
      </c>
      <c r="V498" t="s">
        <v>1186</v>
      </c>
      <c r="Z498" t="s">
        <v>865</v>
      </c>
      <c r="AA498" t="s">
        <v>387</v>
      </c>
      <c r="AB498">
        <v>0</v>
      </c>
      <c r="AC498">
        <v>0</v>
      </c>
      <c r="AD498" t="s">
        <v>1187</v>
      </c>
      <c r="AE498">
        <v>0</v>
      </c>
      <c r="AF498" t="s">
        <v>1188</v>
      </c>
    </row>
    <row r="499" spans="1:32" x14ac:dyDescent="0.25">
      <c r="A499">
        <v>1</v>
      </c>
      <c r="C499" s="185"/>
      <c r="E499" t="s">
        <v>386</v>
      </c>
      <c r="I499">
        <v>3958</v>
      </c>
      <c r="J499" t="s">
        <v>1767</v>
      </c>
      <c r="K499" t="s">
        <v>1767</v>
      </c>
      <c r="L499" t="s">
        <v>386</v>
      </c>
      <c r="M499" t="s">
        <v>1184</v>
      </c>
      <c r="O499">
        <v>0</v>
      </c>
      <c r="R499" t="s">
        <v>1185</v>
      </c>
      <c r="T499">
        <v>0</v>
      </c>
      <c r="V499" t="s">
        <v>1186</v>
      </c>
      <c r="Z499" t="s">
        <v>865</v>
      </c>
      <c r="AA499" t="s">
        <v>387</v>
      </c>
      <c r="AB499">
        <v>0</v>
      </c>
      <c r="AC499">
        <v>0</v>
      </c>
      <c r="AD499" t="s">
        <v>1187</v>
      </c>
      <c r="AE499">
        <v>0</v>
      </c>
      <c r="AF499" t="s">
        <v>1188</v>
      </c>
    </row>
    <row r="500" spans="1:32" x14ac:dyDescent="0.25">
      <c r="A500">
        <v>1</v>
      </c>
      <c r="C500" s="185"/>
      <c r="E500" t="s">
        <v>386</v>
      </c>
      <c r="I500">
        <v>4099</v>
      </c>
      <c r="J500" t="s">
        <v>1768</v>
      </c>
      <c r="K500" t="s">
        <v>1768</v>
      </c>
      <c r="L500" t="s">
        <v>386</v>
      </c>
      <c r="M500" t="s">
        <v>1184</v>
      </c>
      <c r="O500">
        <v>0</v>
      </c>
      <c r="R500" t="s">
        <v>1185</v>
      </c>
      <c r="T500">
        <v>0</v>
      </c>
      <c r="V500" t="s">
        <v>1186</v>
      </c>
      <c r="Z500" t="s">
        <v>865</v>
      </c>
      <c r="AA500" t="s">
        <v>387</v>
      </c>
      <c r="AB500">
        <v>0</v>
      </c>
      <c r="AC500">
        <v>0</v>
      </c>
      <c r="AD500" t="s">
        <v>1187</v>
      </c>
      <c r="AE500">
        <v>0</v>
      </c>
      <c r="AF500" t="s">
        <v>1188</v>
      </c>
    </row>
    <row r="501" spans="1:32" x14ac:dyDescent="0.25">
      <c r="A501">
        <v>1</v>
      </c>
      <c r="C501" s="185"/>
      <c r="E501" t="s">
        <v>386</v>
      </c>
      <c r="I501">
        <v>3509</v>
      </c>
      <c r="J501" t="s">
        <v>1769</v>
      </c>
      <c r="K501" t="s">
        <v>1769</v>
      </c>
      <c r="L501" t="s">
        <v>386</v>
      </c>
      <c r="M501" t="s">
        <v>1184</v>
      </c>
      <c r="O501">
        <v>0</v>
      </c>
      <c r="R501" t="s">
        <v>1185</v>
      </c>
      <c r="T501">
        <v>0</v>
      </c>
      <c r="V501" t="s">
        <v>1186</v>
      </c>
      <c r="Z501" t="s">
        <v>865</v>
      </c>
      <c r="AA501" t="s">
        <v>387</v>
      </c>
      <c r="AB501">
        <v>0</v>
      </c>
      <c r="AC501">
        <v>0</v>
      </c>
      <c r="AD501" t="s">
        <v>1187</v>
      </c>
      <c r="AE501">
        <v>0</v>
      </c>
      <c r="AF501" t="s">
        <v>1188</v>
      </c>
    </row>
    <row r="502" spans="1:32" x14ac:dyDescent="0.25">
      <c r="A502">
        <v>1</v>
      </c>
      <c r="C502" s="185"/>
      <c r="E502" t="s">
        <v>386</v>
      </c>
      <c r="I502">
        <v>4000</v>
      </c>
      <c r="J502" t="s">
        <v>1770</v>
      </c>
      <c r="K502" t="s">
        <v>1770</v>
      </c>
      <c r="L502" t="s">
        <v>386</v>
      </c>
      <c r="M502" t="s">
        <v>1184</v>
      </c>
      <c r="O502">
        <v>0</v>
      </c>
      <c r="R502" t="s">
        <v>1185</v>
      </c>
      <c r="T502">
        <v>0</v>
      </c>
      <c r="V502" t="s">
        <v>1186</v>
      </c>
      <c r="Z502" t="s">
        <v>865</v>
      </c>
      <c r="AA502" t="s">
        <v>387</v>
      </c>
      <c r="AB502">
        <v>0</v>
      </c>
      <c r="AC502">
        <v>0</v>
      </c>
      <c r="AD502" t="s">
        <v>1187</v>
      </c>
      <c r="AE502">
        <v>0</v>
      </c>
      <c r="AF502" t="s">
        <v>1188</v>
      </c>
    </row>
    <row r="503" spans="1:32" x14ac:dyDescent="0.25">
      <c r="A503">
        <v>1</v>
      </c>
      <c r="C503" s="185"/>
      <c r="E503" t="s">
        <v>386</v>
      </c>
      <c r="I503">
        <v>3965</v>
      </c>
      <c r="J503" t="s">
        <v>1771</v>
      </c>
      <c r="K503" t="s">
        <v>1771</v>
      </c>
      <c r="L503" t="s">
        <v>386</v>
      </c>
      <c r="M503" t="s">
        <v>1184</v>
      </c>
      <c r="O503">
        <v>0</v>
      </c>
      <c r="R503" t="s">
        <v>1185</v>
      </c>
      <c r="T503">
        <v>0</v>
      </c>
      <c r="V503" t="s">
        <v>1186</v>
      </c>
      <c r="Z503" t="s">
        <v>865</v>
      </c>
      <c r="AA503" t="s">
        <v>387</v>
      </c>
      <c r="AB503">
        <v>0</v>
      </c>
      <c r="AC503">
        <v>0</v>
      </c>
      <c r="AD503" t="s">
        <v>1187</v>
      </c>
      <c r="AE503">
        <v>0</v>
      </c>
      <c r="AF503" t="s">
        <v>1188</v>
      </c>
    </row>
    <row r="504" spans="1:32" x14ac:dyDescent="0.25">
      <c r="A504">
        <v>1</v>
      </c>
      <c r="C504" s="185"/>
      <c r="E504" t="s">
        <v>386</v>
      </c>
      <c r="I504">
        <v>3839</v>
      </c>
      <c r="J504" t="s">
        <v>1772</v>
      </c>
      <c r="K504" t="s">
        <v>1772</v>
      </c>
      <c r="L504" t="s">
        <v>386</v>
      </c>
      <c r="M504" t="s">
        <v>1184</v>
      </c>
      <c r="O504">
        <v>0</v>
      </c>
      <c r="R504" t="s">
        <v>1185</v>
      </c>
      <c r="T504">
        <v>0</v>
      </c>
      <c r="V504" t="s">
        <v>1186</v>
      </c>
      <c r="Z504" t="s">
        <v>865</v>
      </c>
      <c r="AA504" t="s">
        <v>387</v>
      </c>
      <c r="AB504">
        <v>0</v>
      </c>
      <c r="AC504">
        <v>0</v>
      </c>
      <c r="AD504" t="s">
        <v>1187</v>
      </c>
      <c r="AE504">
        <v>0</v>
      </c>
      <c r="AF504" t="s">
        <v>1188</v>
      </c>
    </row>
    <row r="505" spans="1:32" x14ac:dyDescent="0.25">
      <c r="A505">
        <v>1</v>
      </c>
      <c r="C505" s="185"/>
      <c r="E505" t="s">
        <v>386</v>
      </c>
      <c r="I505">
        <v>3936</v>
      </c>
      <c r="J505" t="s">
        <v>1773</v>
      </c>
      <c r="K505" t="s">
        <v>1773</v>
      </c>
      <c r="L505" t="s">
        <v>386</v>
      </c>
      <c r="M505" t="s">
        <v>1184</v>
      </c>
      <c r="O505">
        <v>0</v>
      </c>
      <c r="R505" t="s">
        <v>1185</v>
      </c>
      <c r="T505">
        <v>0</v>
      </c>
      <c r="V505" t="s">
        <v>1186</v>
      </c>
      <c r="Z505" t="s">
        <v>865</v>
      </c>
      <c r="AA505" t="s">
        <v>387</v>
      </c>
      <c r="AB505">
        <v>0</v>
      </c>
      <c r="AC505">
        <v>0</v>
      </c>
      <c r="AD505" t="s">
        <v>1187</v>
      </c>
      <c r="AE505">
        <v>0</v>
      </c>
      <c r="AF505" t="s">
        <v>1188</v>
      </c>
    </row>
    <row r="506" spans="1:32" x14ac:dyDescent="0.25">
      <c r="A506">
        <v>1</v>
      </c>
      <c r="C506" s="185"/>
      <c r="E506" t="s">
        <v>386</v>
      </c>
      <c r="I506">
        <v>3513</v>
      </c>
      <c r="J506" t="s">
        <v>1774</v>
      </c>
      <c r="K506" t="s">
        <v>1774</v>
      </c>
      <c r="L506" t="s">
        <v>386</v>
      </c>
      <c r="M506" t="s">
        <v>1184</v>
      </c>
      <c r="O506">
        <v>0</v>
      </c>
      <c r="R506" t="s">
        <v>1185</v>
      </c>
      <c r="T506">
        <v>0</v>
      </c>
      <c r="V506" t="s">
        <v>1186</v>
      </c>
      <c r="Z506" t="s">
        <v>865</v>
      </c>
      <c r="AA506" t="s">
        <v>387</v>
      </c>
      <c r="AB506">
        <v>0</v>
      </c>
      <c r="AC506">
        <v>0</v>
      </c>
      <c r="AD506" t="s">
        <v>1187</v>
      </c>
      <c r="AE506">
        <v>0</v>
      </c>
      <c r="AF506" t="s">
        <v>1188</v>
      </c>
    </row>
    <row r="507" spans="1:32" x14ac:dyDescent="0.25">
      <c r="A507">
        <v>1</v>
      </c>
      <c r="C507" s="185"/>
      <c r="E507" t="s">
        <v>386</v>
      </c>
      <c r="I507">
        <v>3996</v>
      </c>
      <c r="J507" t="s">
        <v>1775</v>
      </c>
      <c r="K507" t="s">
        <v>1775</v>
      </c>
      <c r="L507" t="s">
        <v>386</v>
      </c>
      <c r="M507" t="s">
        <v>1184</v>
      </c>
      <c r="O507">
        <v>0</v>
      </c>
      <c r="R507" t="s">
        <v>1185</v>
      </c>
      <c r="T507">
        <v>0</v>
      </c>
      <c r="V507" t="s">
        <v>1186</v>
      </c>
      <c r="Z507" t="s">
        <v>865</v>
      </c>
      <c r="AA507" t="s">
        <v>387</v>
      </c>
      <c r="AB507">
        <v>0</v>
      </c>
      <c r="AC507">
        <v>0</v>
      </c>
      <c r="AD507" t="s">
        <v>1187</v>
      </c>
      <c r="AE507">
        <v>0</v>
      </c>
      <c r="AF507" t="s">
        <v>1188</v>
      </c>
    </row>
    <row r="508" spans="1:32" x14ac:dyDescent="0.25">
      <c r="A508">
        <v>1</v>
      </c>
      <c r="C508" s="185"/>
      <c r="E508" t="s">
        <v>386</v>
      </c>
      <c r="I508">
        <v>3832</v>
      </c>
      <c r="J508" t="s">
        <v>1776</v>
      </c>
      <c r="K508" t="s">
        <v>1776</v>
      </c>
      <c r="L508" t="s">
        <v>386</v>
      </c>
      <c r="M508" t="s">
        <v>1184</v>
      </c>
      <c r="O508">
        <v>0</v>
      </c>
      <c r="R508" t="s">
        <v>1185</v>
      </c>
      <c r="T508">
        <v>0</v>
      </c>
      <c r="V508" t="s">
        <v>1186</v>
      </c>
      <c r="Z508" t="s">
        <v>865</v>
      </c>
      <c r="AA508" t="s">
        <v>387</v>
      </c>
      <c r="AB508">
        <v>0</v>
      </c>
      <c r="AC508">
        <v>0</v>
      </c>
      <c r="AD508" t="s">
        <v>1187</v>
      </c>
      <c r="AE508">
        <v>0</v>
      </c>
      <c r="AF508" t="s">
        <v>1188</v>
      </c>
    </row>
    <row r="509" spans="1:32" x14ac:dyDescent="0.25">
      <c r="A509">
        <v>1</v>
      </c>
      <c r="C509" s="185"/>
      <c r="E509" t="s">
        <v>386</v>
      </c>
      <c r="I509">
        <v>3880</v>
      </c>
      <c r="J509" t="s">
        <v>1777</v>
      </c>
      <c r="K509" t="s">
        <v>1777</v>
      </c>
      <c r="L509" t="s">
        <v>386</v>
      </c>
      <c r="M509" t="s">
        <v>1184</v>
      </c>
      <c r="O509">
        <v>0</v>
      </c>
      <c r="R509" t="s">
        <v>1185</v>
      </c>
      <c r="T509">
        <v>0</v>
      </c>
      <c r="V509" t="s">
        <v>1186</v>
      </c>
      <c r="Z509" t="s">
        <v>865</v>
      </c>
      <c r="AA509" t="s">
        <v>387</v>
      </c>
      <c r="AB509">
        <v>0</v>
      </c>
      <c r="AC509">
        <v>0</v>
      </c>
      <c r="AD509" t="s">
        <v>1187</v>
      </c>
      <c r="AE509">
        <v>0</v>
      </c>
      <c r="AF509" t="s">
        <v>1188</v>
      </c>
    </row>
    <row r="510" spans="1:32" x14ac:dyDescent="0.25">
      <c r="A510">
        <v>1</v>
      </c>
      <c r="C510" s="185"/>
      <c r="E510" t="s">
        <v>386</v>
      </c>
      <c r="I510">
        <v>3806</v>
      </c>
      <c r="J510" t="s">
        <v>1778</v>
      </c>
      <c r="K510" t="s">
        <v>1778</v>
      </c>
      <c r="L510" t="s">
        <v>386</v>
      </c>
      <c r="M510" t="s">
        <v>1184</v>
      </c>
      <c r="O510">
        <v>0</v>
      </c>
      <c r="R510" t="s">
        <v>1185</v>
      </c>
      <c r="T510">
        <v>0</v>
      </c>
      <c r="V510" t="s">
        <v>1186</v>
      </c>
      <c r="Z510" t="s">
        <v>865</v>
      </c>
      <c r="AA510" t="s">
        <v>387</v>
      </c>
      <c r="AB510">
        <v>0</v>
      </c>
      <c r="AC510">
        <v>0</v>
      </c>
      <c r="AD510" t="s">
        <v>1187</v>
      </c>
      <c r="AE510">
        <v>0</v>
      </c>
      <c r="AF510" t="s">
        <v>1188</v>
      </c>
    </row>
    <row r="511" spans="1:32" x14ac:dyDescent="0.25">
      <c r="A511">
        <v>1</v>
      </c>
      <c r="C511" s="185"/>
      <c r="E511" t="s">
        <v>386</v>
      </c>
      <c r="I511">
        <v>3611</v>
      </c>
      <c r="J511" t="s">
        <v>1779</v>
      </c>
      <c r="K511" t="s">
        <v>1779</v>
      </c>
      <c r="L511" t="s">
        <v>386</v>
      </c>
      <c r="M511" t="s">
        <v>1184</v>
      </c>
      <c r="O511">
        <v>0</v>
      </c>
      <c r="R511" t="s">
        <v>1185</v>
      </c>
      <c r="T511">
        <v>0</v>
      </c>
      <c r="V511" t="s">
        <v>1186</v>
      </c>
      <c r="Z511" t="s">
        <v>865</v>
      </c>
      <c r="AA511" t="s">
        <v>387</v>
      </c>
      <c r="AB511">
        <v>0</v>
      </c>
      <c r="AC511">
        <v>0</v>
      </c>
      <c r="AD511" t="s">
        <v>1187</v>
      </c>
      <c r="AE511">
        <v>0</v>
      </c>
      <c r="AF511" t="s">
        <v>1188</v>
      </c>
    </row>
    <row r="512" spans="1:32" x14ac:dyDescent="0.25">
      <c r="A512">
        <v>1</v>
      </c>
      <c r="C512" s="185"/>
      <c r="E512" t="s">
        <v>386</v>
      </c>
      <c r="I512">
        <v>4147</v>
      </c>
      <c r="J512" t="s">
        <v>1780</v>
      </c>
      <c r="K512" t="s">
        <v>1780</v>
      </c>
      <c r="L512" t="s">
        <v>386</v>
      </c>
      <c r="M512" t="s">
        <v>1184</v>
      </c>
      <c r="O512">
        <v>0</v>
      </c>
      <c r="R512" t="s">
        <v>1185</v>
      </c>
      <c r="T512">
        <v>0</v>
      </c>
      <c r="V512" t="s">
        <v>1186</v>
      </c>
      <c r="Z512" t="s">
        <v>865</v>
      </c>
      <c r="AA512" t="s">
        <v>387</v>
      </c>
      <c r="AB512">
        <v>0</v>
      </c>
      <c r="AC512">
        <v>0</v>
      </c>
      <c r="AD512" t="s">
        <v>1187</v>
      </c>
      <c r="AE512">
        <v>0</v>
      </c>
      <c r="AF512" t="s">
        <v>1188</v>
      </c>
    </row>
    <row r="513" spans="1:32" x14ac:dyDescent="0.25">
      <c r="A513">
        <v>1</v>
      </c>
      <c r="C513" s="185"/>
      <c r="E513" t="s">
        <v>386</v>
      </c>
      <c r="I513">
        <v>4196</v>
      </c>
      <c r="J513" t="s">
        <v>1781</v>
      </c>
      <c r="K513" t="s">
        <v>1781</v>
      </c>
      <c r="L513" t="s">
        <v>386</v>
      </c>
      <c r="M513" t="s">
        <v>1184</v>
      </c>
      <c r="O513">
        <v>0</v>
      </c>
      <c r="R513" t="s">
        <v>1185</v>
      </c>
      <c r="T513">
        <v>0</v>
      </c>
      <c r="V513" t="s">
        <v>1186</v>
      </c>
      <c r="Z513" t="s">
        <v>865</v>
      </c>
      <c r="AA513" t="s">
        <v>387</v>
      </c>
      <c r="AB513">
        <v>0</v>
      </c>
      <c r="AC513">
        <v>0</v>
      </c>
      <c r="AD513" t="s">
        <v>1187</v>
      </c>
      <c r="AE513">
        <v>0</v>
      </c>
      <c r="AF513" t="s">
        <v>1188</v>
      </c>
    </row>
    <row r="514" spans="1:32" x14ac:dyDescent="0.25">
      <c r="A514">
        <v>1</v>
      </c>
      <c r="C514" s="185"/>
      <c r="E514" t="s">
        <v>386</v>
      </c>
      <c r="I514">
        <v>3741</v>
      </c>
      <c r="J514" t="s">
        <v>1782</v>
      </c>
      <c r="K514" t="s">
        <v>1782</v>
      </c>
      <c r="L514" t="s">
        <v>386</v>
      </c>
      <c r="M514" t="s">
        <v>1184</v>
      </c>
      <c r="O514">
        <v>0</v>
      </c>
      <c r="R514" t="s">
        <v>1185</v>
      </c>
      <c r="T514">
        <v>0</v>
      </c>
      <c r="V514" t="s">
        <v>1186</v>
      </c>
      <c r="Z514" t="s">
        <v>865</v>
      </c>
      <c r="AA514" t="s">
        <v>387</v>
      </c>
      <c r="AB514">
        <v>0</v>
      </c>
      <c r="AC514">
        <v>0</v>
      </c>
      <c r="AD514" t="s">
        <v>1187</v>
      </c>
      <c r="AE514">
        <v>0</v>
      </c>
      <c r="AF514" t="s">
        <v>1188</v>
      </c>
    </row>
    <row r="515" spans="1:32" x14ac:dyDescent="0.25">
      <c r="A515">
        <v>1</v>
      </c>
      <c r="C515" s="185"/>
      <c r="E515" t="s">
        <v>386</v>
      </c>
      <c r="I515">
        <v>3731</v>
      </c>
      <c r="J515" t="s">
        <v>1783</v>
      </c>
      <c r="K515" t="s">
        <v>1783</v>
      </c>
      <c r="L515" t="s">
        <v>386</v>
      </c>
      <c r="M515" t="s">
        <v>1184</v>
      </c>
      <c r="O515">
        <v>0</v>
      </c>
      <c r="R515" t="s">
        <v>1185</v>
      </c>
      <c r="T515">
        <v>0</v>
      </c>
      <c r="V515" t="s">
        <v>1186</v>
      </c>
      <c r="Z515" t="s">
        <v>865</v>
      </c>
      <c r="AA515" t="s">
        <v>387</v>
      </c>
      <c r="AB515">
        <v>0</v>
      </c>
      <c r="AC515">
        <v>0</v>
      </c>
      <c r="AD515" t="s">
        <v>1187</v>
      </c>
      <c r="AE515">
        <v>0</v>
      </c>
      <c r="AF515" t="s">
        <v>1188</v>
      </c>
    </row>
    <row r="516" spans="1:32" x14ac:dyDescent="0.25">
      <c r="A516">
        <v>1</v>
      </c>
      <c r="C516" s="185"/>
      <c r="E516" t="s">
        <v>386</v>
      </c>
      <c r="I516">
        <v>3484</v>
      </c>
      <c r="J516" t="s">
        <v>1784</v>
      </c>
      <c r="K516" t="s">
        <v>1784</v>
      </c>
      <c r="L516" t="s">
        <v>386</v>
      </c>
      <c r="M516" t="s">
        <v>1184</v>
      </c>
      <c r="O516">
        <v>0</v>
      </c>
      <c r="R516" t="s">
        <v>1185</v>
      </c>
      <c r="T516">
        <v>0</v>
      </c>
      <c r="V516" t="s">
        <v>1186</v>
      </c>
      <c r="Z516" t="s">
        <v>865</v>
      </c>
      <c r="AA516" t="s">
        <v>387</v>
      </c>
      <c r="AB516">
        <v>0</v>
      </c>
      <c r="AC516">
        <v>0</v>
      </c>
      <c r="AD516" t="s">
        <v>1187</v>
      </c>
      <c r="AE516">
        <v>0</v>
      </c>
      <c r="AF516" t="s">
        <v>1188</v>
      </c>
    </row>
    <row r="517" spans="1:32" x14ac:dyDescent="0.25">
      <c r="A517">
        <v>1</v>
      </c>
      <c r="C517" s="185"/>
      <c r="E517" t="s">
        <v>386</v>
      </c>
      <c r="I517">
        <v>4136</v>
      </c>
      <c r="J517" t="s">
        <v>1785</v>
      </c>
      <c r="K517" t="s">
        <v>1785</v>
      </c>
      <c r="L517" t="s">
        <v>386</v>
      </c>
      <c r="M517" t="s">
        <v>1184</v>
      </c>
      <c r="O517">
        <v>0</v>
      </c>
      <c r="R517" t="s">
        <v>1185</v>
      </c>
      <c r="T517">
        <v>0</v>
      </c>
      <c r="V517" t="s">
        <v>1186</v>
      </c>
      <c r="Z517" t="s">
        <v>865</v>
      </c>
      <c r="AA517" t="s">
        <v>387</v>
      </c>
      <c r="AB517">
        <v>0</v>
      </c>
      <c r="AC517">
        <v>0</v>
      </c>
      <c r="AD517" t="s">
        <v>1187</v>
      </c>
      <c r="AE517">
        <v>0</v>
      </c>
      <c r="AF517" t="s">
        <v>1188</v>
      </c>
    </row>
    <row r="518" spans="1:32" x14ac:dyDescent="0.25">
      <c r="A518">
        <v>1</v>
      </c>
      <c r="C518" s="185"/>
      <c r="E518" t="s">
        <v>386</v>
      </c>
      <c r="I518">
        <v>3660</v>
      </c>
      <c r="J518" t="s">
        <v>1786</v>
      </c>
      <c r="K518" t="s">
        <v>1786</v>
      </c>
      <c r="L518" t="s">
        <v>386</v>
      </c>
      <c r="M518" t="s">
        <v>1184</v>
      </c>
      <c r="O518">
        <v>0</v>
      </c>
      <c r="R518" t="s">
        <v>1185</v>
      </c>
      <c r="T518">
        <v>0</v>
      </c>
      <c r="V518" t="s">
        <v>1186</v>
      </c>
      <c r="Z518" t="s">
        <v>865</v>
      </c>
      <c r="AA518" t="s">
        <v>387</v>
      </c>
      <c r="AB518">
        <v>0</v>
      </c>
      <c r="AC518">
        <v>0</v>
      </c>
      <c r="AD518" t="s">
        <v>1187</v>
      </c>
      <c r="AE518">
        <v>0</v>
      </c>
      <c r="AF518" t="s">
        <v>1188</v>
      </c>
    </row>
    <row r="519" spans="1:32" x14ac:dyDescent="0.25">
      <c r="A519">
        <v>1</v>
      </c>
      <c r="C519" s="185"/>
      <c r="E519" t="s">
        <v>386</v>
      </c>
      <c r="I519">
        <v>3678</v>
      </c>
      <c r="J519" t="s">
        <v>1787</v>
      </c>
      <c r="K519" t="s">
        <v>1787</v>
      </c>
      <c r="L519" t="s">
        <v>386</v>
      </c>
      <c r="M519" t="s">
        <v>1184</v>
      </c>
      <c r="O519">
        <v>0</v>
      </c>
      <c r="R519" t="s">
        <v>1185</v>
      </c>
      <c r="T519">
        <v>0</v>
      </c>
      <c r="V519" t="s">
        <v>1186</v>
      </c>
      <c r="Z519" t="s">
        <v>865</v>
      </c>
      <c r="AA519" t="s">
        <v>387</v>
      </c>
      <c r="AB519">
        <v>0</v>
      </c>
      <c r="AC519">
        <v>0</v>
      </c>
      <c r="AD519" t="s">
        <v>1187</v>
      </c>
      <c r="AE519">
        <v>0</v>
      </c>
      <c r="AF519" t="s">
        <v>1188</v>
      </c>
    </row>
    <row r="520" spans="1:32" x14ac:dyDescent="0.25">
      <c r="A520">
        <v>1</v>
      </c>
      <c r="C520" s="185"/>
      <c r="E520" t="s">
        <v>386</v>
      </c>
      <c r="I520">
        <v>3726</v>
      </c>
      <c r="J520" t="s">
        <v>1788</v>
      </c>
      <c r="K520" t="s">
        <v>1788</v>
      </c>
      <c r="L520" t="s">
        <v>386</v>
      </c>
      <c r="M520" t="s">
        <v>1184</v>
      </c>
      <c r="O520">
        <v>0</v>
      </c>
      <c r="R520" t="s">
        <v>1185</v>
      </c>
      <c r="T520">
        <v>0</v>
      </c>
      <c r="V520" t="s">
        <v>1186</v>
      </c>
      <c r="Z520" t="s">
        <v>865</v>
      </c>
      <c r="AA520" t="s">
        <v>387</v>
      </c>
      <c r="AB520">
        <v>0</v>
      </c>
      <c r="AC520">
        <v>0</v>
      </c>
      <c r="AD520" t="s">
        <v>1187</v>
      </c>
      <c r="AE520">
        <v>0</v>
      </c>
      <c r="AF520" t="s">
        <v>1188</v>
      </c>
    </row>
    <row r="521" spans="1:32" x14ac:dyDescent="0.25">
      <c r="A521">
        <v>1</v>
      </c>
      <c r="C521" s="185"/>
      <c r="E521" t="s">
        <v>386</v>
      </c>
      <c r="I521">
        <v>4170</v>
      </c>
      <c r="J521" t="s">
        <v>1789</v>
      </c>
      <c r="K521" t="s">
        <v>1789</v>
      </c>
      <c r="L521" t="s">
        <v>386</v>
      </c>
      <c r="M521" t="s">
        <v>1184</v>
      </c>
      <c r="O521">
        <v>0</v>
      </c>
      <c r="R521" t="s">
        <v>1185</v>
      </c>
      <c r="T521">
        <v>0</v>
      </c>
      <c r="V521" t="s">
        <v>1186</v>
      </c>
      <c r="Z521" t="s">
        <v>865</v>
      </c>
      <c r="AA521" t="s">
        <v>387</v>
      </c>
      <c r="AB521">
        <v>0</v>
      </c>
      <c r="AC521">
        <v>0</v>
      </c>
      <c r="AD521" t="s">
        <v>1187</v>
      </c>
      <c r="AE521">
        <v>0</v>
      </c>
      <c r="AF521" t="s">
        <v>1188</v>
      </c>
    </row>
    <row r="522" spans="1:32" x14ac:dyDescent="0.25">
      <c r="A522">
        <v>1</v>
      </c>
      <c r="C522" s="185"/>
      <c r="E522" t="s">
        <v>386</v>
      </c>
      <c r="I522">
        <v>3850</v>
      </c>
      <c r="J522" t="s">
        <v>1790</v>
      </c>
      <c r="K522" t="s">
        <v>1790</v>
      </c>
      <c r="L522" t="s">
        <v>386</v>
      </c>
      <c r="M522" t="s">
        <v>1184</v>
      </c>
      <c r="O522">
        <v>0</v>
      </c>
      <c r="R522" t="s">
        <v>1185</v>
      </c>
      <c r="T522">
        <v>0</v>
      </c>
      <c r="V522" t="s">
        <v>1186</v>
      </c>
      <c r="Z522" t="s">
        <v>865</v>
      </c>
      <c r="AA522" t="s">
        <v>387</v>
      </c>
      <c r="AB522">
        <v>0</v>
      </c>
      <c r="AC522">
        <v>0</v>
      </c>
      <c r="AD522" t="s">
        <v>1187</v>
      </c>
      <c r="AE522">
        <v>0</v>
      </c>
      <c r="AF522" t="s">
        <v>1188</v>
      </c>
    </row>
    <row r="523" spans="1:32" x14ac:dyDescent="0.25">
      <c r="A523">
        <v>1</v>
      </c>
      <c r="C523" s="185"/>
      <c r="E523" t="s">
        <v>386</v>
      </c>
      <c r="I523">
        <v>3947</v>
      </c>
      <c r="J523" t="s">
        <v>1791</v>
      </c>
      <c r="K523" t="s">
        <v>1791</v>
      </c>
      <c r="L523" t="s">
        <v>386</v>
      </c>
      <c r="M523" t="s">
        <v>1184</v>
      </c>
      <c r="O523">
        <v>0</v>
      </c>
      <c r="R523" t="s">
        <v>1185</v>
      </c>
      <c r="T523">
        <v>0</v>
      </c>
      <c r="V523" t="s">
        <v>1186</v>
      </c>
      <c r="Z523" t="s">
        <v>865</v>
      </c>
      <c r="AA523" t="s">
        <v>387</v>
      </c>
      <c r="AB523">
        <v>0</v>
      </c>
      <c r="AC523">
        <v>0</v>
      </c>
      <c r="AD523" t="s">
        <v>1187</v>
      </c>
      <c r="AE523">
        <v>0</v>
      </c>
      <c r="AF523" t="s">
        <v>1188</v>
      </c>
    </row>
    <row r="524" spans="1:32" x14ac:dyDescent="0.25">
      <c r="A524">
        <v>1</v>
      </c>
      <c r="C524" s="185"/>
      <c r="E524" t="s">
        <v>386</v>
      </c>
      <c r="I524">
        <v>4143</v>
      </c>
      <c r="J524" t="s">
        <v>1792</v>
      </c>
      <c r="K524" t="s">
        <v>1792</v>
      </c>
      <c r="L524" t="s">
        <v>386</v>
      </c>
      <c r="M524" t="s">
        <v>1184</v>
      </c>
      <c r="O524">
        <v>0</v>
      </c>
      <c r="R524" t="s">
        <v>1185</v>
      </c>
      <c r="T524">
        <v>0</v>
      </c>
      <c r="V524" t="s">
        <v>1186</v>
      </c>
      <c r="Z524" t="s">
        <v>865</v>
      </c>
      <c r="AA524" t="s">
        <v>387</v>
      </c>
      <c r="AB524">
        <v>0</v>
      </c>
      <c r="AC524">
        <v>0</v>
      </c>
      <c r="AD524" t="s">
        <v>1187</v>
      </c>
      <c r="AE524">
        <v>0</v>
      </c>
      <c r="AF524" t="s">
        <v>1188</v>
      </c>
    </row>
    <row r="525" spans="1:32" x14ac:dyDescent="0.25">
      <c r="A525">
        <v>1</v>
      </c>
      <c r="C525" s="185"/>
      <c r="E525" t="s">
        <v>386</v>
      </c>
      <c r="I525">
        <v>3803</v>
      </c>
      <c r="J525" t="s">
        <v>1793</v>
      </c>
      <c r="K525" t="s">
        <v>1793</v>
      </c>
      <c r="L525" t="s">
        <v>386</v>
      </c>
      <c r="M525" t="s">
        <v>1184</v>
      </c>
      <c r="O525">
        <v>0</v>
      </c>
      <c r="R525" t="s">
        <v>1185</v>
      </c>
      <c r="T525">
        <v>0</v>
      </c>
      <c r="V525" t="s">
        <v>1186</v>
      </c>
      <c r="Z525" t="s">
        <v>865</v>
      </c>
      <c r="AA525" t="s">
        <v>387</v>
      </c>
      <c r="AB525">
        <v>0</v>
      </c>
      <c r="AC525">
        <v>0</v>
      </c>
      <c r="AD525" t="s">
        <v>1187</v>
      </c>
      <c r="AE525">
        <v>0</v>
      </c>
      <c r="AF525" t="s">
        <v>1188</v>
      </c>
    </row>
    <row r="526" spans="1:32" x14ac:dyDescent="0.25">
      <c r="A526">
        <v>1</v>
      </c>
      <c r="C526" s="185"/>
      <c r="E526" t="s">
        <v>386</v>
      </c>
      <c r="I526">
        <v>4187</v>
      </c>
      <c r="J526" t="s">
        <v>1794</v>
      </c>
      <c r="K526" t="s">
        <v>1794</v>
      </c>
      <c r="L526" t="s">
        <v>386</v>
      </c>
      <c r="M526" t="s">
        <v>1184</v>
      </c>
      <c r="O526">
        <v>0</v>
      </c>
      <c r="R526" t="s">
        <v>1185</v>
      </c>
      <c r="T526">
        <v>0</v>
      </c>
      <c r="V526" t="s">
        <v>1186</v>
      </c>
      <c r="Z526" t="s">
        <v>865</v>
      </c>
      <c r="AA526" t="s">
        <v>387</v>
      </c>
      <c r="AB526">
        <v>0</v>
      </c>
      <c r="AC526">
        <v>0</v>
      </c>
      <c r="AD526" t="s">
        <v>1187</v>
      </c>
      <c r="AE526">
        <v>0</v>
      </c>
      <c r="AF526" t="s">
        <v>1188</v>
      </c>
    </row>
    <row r="527" spans="1:32" x14ac:dyDescent="0.25">
      <c r="A527">
        <v>1</v>
      </c>
      <c r="C527" s="185"/>
      <c r="E527" t="s">
        <v>386</v>
      </c>
      <c r="I527">
        <v>4113</v>
      </c>
      <c r="J527" t="s">
        <v>1795</v>
      </c>
      <c r="K527" t="s">
        <v>1795</v>
      </c>
      <c r="L527" t="s">
        <v>386</v>
      </c>
      <c r="M527" t="s">
        <v>1184</v>
      </c>
      <c r="O527">
        <v>0</v>
      </c>
      <c r="R527" t="s">
        <v>1185</v>
      </c>
      <c r="T527">
        <v>0</v>
      </c>
      <c r="V527" t="s">
        <v>1186</v>
      </c>
      <c r="Z527" t="s">
        <v>865</v>
      </c>
      <c r="AA527" t="s">
        <v>387</v>
      </c>
      <c r="AB527">
        <v>0</v>
      </c>
      <c r="AC527">
        <v>0</v>
      </c>
      <c r="AD527" t="s">
        <v>1187</v>
      </c>
      <c r="AE527">
        <v>0</v>
      </c>
      <c r="AF527" t="s">
        <v>1188</v>
      </c>
    </row>
    <row r="528" spans="1:32" x14ac:dyDescent="0.25">
      <c r="A528">
        <v>1</v>
      </c>
      <c r="C528" s="185"/>
      <c r="E528" t="s">
        <v>386</v>
      </c>
      <c r="I528">
        <v>3998</v>
      </c>
      <c r="J528" t="s">
        <v>1796</v>
      </c>
      <c r="K528" t="s">
        <v>1796</v>
      </c>
      <c r="L528" t="s">
        <v>386</v>
      </c>
      <c r="M528" t="s">
        <v>1184</v>
      </c>
      <c r="O528">
        <v>0</v>
      </c>
      <c r="R528" t="s">
        <v>1185</v>
      </c>
      <c r="T528">
        <v>0</v>
      </c>
      <c r="V528" t="s">
        <v>1186</v>
      </c>
      <c r="Z528" t="s">
        <v>865</v>
      </c>
      <c r="AA528" t="s">
        <v>387</v>
      </c>
      <c r="AB528">
        <v>0</v>
      </c>
      <c r="AC528">
        <v>0</v>
      </c>
      <c r="AD528" t="s">
        <v>1187</v>
      </c>
      <c r="AE528">
        <v>0</v>
      </c>
      <c r="AF528" t="s">
        <v>1188</v>
      </c>
    </row>
    <row r="529" spans="1:32" x14ac:dyDescent="0.25">
      <c r="A529">
        <v>1</v>
      </c>
      <c r="C529" s="185"/>
      <c r="E529" t="s">
        <v>386</v>
      </c>
      <c r="I529">
        <v>4020</v>
      </c>
      <c r="J529" t="s">
        <v>1797</v>
      </c>
      <c r="K529" t="s">
        <v>1797</v>
      </c>
      <c r="L529" t="s">
        <v>386</v>
      </c>
      <c r="M529" t="s">
        <v>1184</v>
      </c>
      <c r="O529">
        <v>0</v>
      </c>
      <c r="R529" t="s">
        <v>1185</v>
      </c>
      <c r="T529">
        <v>0</v>
      </c>
      <c r="V529" t="s">
        <v>1186</v>
      </c>
      <c r="Z529" t="s">
        <v>865</v>
      </c>
      <c r="AA529" t="s">
        <v>387</v>
      </c>
      <c r="AB529">
        <v>0</v>
      </c>
      <c r="AC529">
        <v>0</v>
      </c>
      <c r="AD529" t="s">
        <v>1187</v>
      </c>
      <c r="AE529">
        <v>0</v>
      </c>
      <c r="AF529" t="s">
        <v>1188</v>
      </c>
    </row>
    <row r="530" spans="1:32" x14ac:dyDescent="0.25">
      <c r="A530">
        <v>1</v>
      </c>
      <c r="C530" s="185"/>
      <c r="E530" t="s">
        <v>386</v>
      </c>
      <c r="I530">
        <v>3604</v>
      </c>
      <c r="J530" t="s">
        <v>1798</v>
      </c>
      <c r="K530" t="s">
        <v>1798</v>
      </c>
      <c r="L530" t="s">
        <v>386</v>
      </c>
      <c r="M530" t="s">
        <v>1184</v>
      </c>
      <c r="O530">
        <v>0</v>
      </c>
      <c r="R530" t="s">
        <v>1185</v>
      </c>
      <c r="T530">
        <v>0</v>
      </c>
      <c r="V530" t="s">
        <v>1186</v>
      </c>
      <c r="Z530" t="s">
        <v>865</v>
      </c>
      <c r="AA530" t="s">
        <v>387</v>
      </c>
      <c r="AB530">
        <v>0</v>
      </c>
      <c r="AC530">
        <v>0</v>
      </c>
      <c r="AD530" t="s">
        <v>1187</v>
      </c>
      <c r="AE530">
        <v>0</v>
      </c>
      <c r="AF530" t="s">
        <v>1188</v>
      </c>
    </row>
    <row r="531" spans="1:32" x14ac:dyDescent="0.25">
      <c r="A531">
        <v>1</v>
      </c>
      <c r="C531" s="185"/>
      <c r="E531" t="s">
        <v>386</v>
      </c>
      <c r="I531">
        <v>3594</v>
      </c>
      <c r="J531" t="s">
        <v>1799</v>
      </c>
      <c r="K531" t="s">
        <v>1799</v>
      </c>
      <c r="L531" t="s">
        <v>386</v>
      </c>
      <c r="M531" t="s">
        <v>1184</v>
      </c>
      <c r="O531">
        <v>0</v>
      </c>
      <c r="R531" t="s">
        <v>1185</v>
      </c>
      <c r="T531">
        <v>0</v>
      </c>
      <c r="V531" t="s">
        <v>1186</v>
      </c>
      <c r="Z531" t="s">
        <v>865</v>
      </c>
      <c r="AA531" t="s">
        <v>387</v>
      </c>
      <c r="AB531">
        <v>0</v>
      </c>
      <c r="AC531">
        <v>0</v>
      </c>
      <c r="AD531" t="s">
        <v>1187</v>
      </c>
      <c r="AE531">
        <v>0</v>
      </c>
      <c r="AF531" t="s">
        <v>1188</v>
      </c>
    </row>
    <row r="532" spans="1:32" x14ac:dyDescent="0.25">
      <c r="A532">
        <v>1</v>
      </c>
      <c r="C532" s="185"/>
      <c r="E532" t="s">
        <v>386</v>
      </c>
      <c r="I532">
        <v>3931</v>
      </c>
      <c r="J532" t="s">
        <v>1800</v>
      </c>
      <c r="K532" t="s">
        <v>1800</v>
      </c>
      <c r="L532" t="s">
        <v>386</v>
      </c>
      <c r="M532" t="s">
        <v>1184</v>
      </c>
      <c r="O532">
        <v>0</v>
      </c>
      <c r="R532" t="s">
        <v>1185</v>
      </c>
      <c r="T532">
        <v>0</v>
      </c>
      <c r="V532" t="s">
        <v>1186</v>
      </c>
      <c r="Z532" t="s">
        <v>865</v>
      </c>
      <c r="AA532" t="s">
        <v>387</v>
      </c>
      <c r="AB532">
        <v>0</v>
      </c>
      <c r="AC532">
        <v>0</v>
      </c>
      <c r="AD532" t="s">
        <v>1187</v>
      </c>
      <c r="AE532">
        <v>0</v>
      </c>
      <c r="AF532" t="s">
        <v>1188</v>
      </c>
    </row>
    <row r="533" spans="1:32" x14ac:dyDescent="0.25">
      <c r="A533">
        <v>1</v>
      </c>
      <c r="C533" s="185"/>
      <c r="E533" t="s">
        <v>386</v>
      </c>
      <c r="I533">
        <v>3531</v>
      </c>
      <c r="J533" t="s">
        <v>1801</v>
      </c>
      <c r="K533" t="s">
        <v>1801</v>
      </c>
      <c r="L533" t="s">
        <v>386</v>
      </c>
      <c r="M533" t="s">
        <v>1184</v>
      </c>
      <c r="O533">
        <v>0</v>
      </c>
      <c r="R533" t="s">
        <v>1185</v>
      </c>
      <c r="T533">
        <v>0</v>
      </c>
      <c r="V533" t="s">
        <v>1186</v>
      </c>
      <c r="Z533" t="s">
        <v>865</v>
      </c>
      <c r="AA533" t="s">
        <v>387</v>
      </c>
      <c r="AB533">
        <v>0</v>
      </c>
      <c r="AC533">
        <v>0</v>
      </c>
      <c r="AD533" t="s">
        <v>1187</v>
      </c>
      <c r="AE533">
        <v>0</v>
      </c>
      <c r="AF533" t="s">
        <v>1188</v>
      </c>
    </row>
    <row r="534" spans="1:32" x14ac:dyDescent="0.25">
      <c r="A534">
        <v>1</v>
      </c>
      <c r="C534" s="185"/>
      <c r="E534" t="s">
        <v>386</v>
      </c>
      <c r="I534">
        <v>3997</v>
      </c>
      <c r="J534" t="s">
        <v>1802</v>
      </c>
      <c r="K534" t="s">
        <v>1802</v>
      </c>
      <c r="L534" t="s">
        <v>386</v>
      </c>
      <c r="M534" t="s">
        <v>1184</v>
      </c>
      <c r="O534">
        <v>0</v>
      </c>
      <c r="R534" t="s">
        <v>1185</v>
      </c>
      <c r="T534">
        <v>0</v>
      </c>
      <c r="V534" t="s">
        <v>1186</v>
      </c>
      <c r="Z534" t="s">
        <v>865</v>
      </c>
      <c r="AA534" t="s">
        <v>387</v>
      </c>
      <c r="AB534">
        <v>0</v>
      </c>
      <c r="AC534">
        <v>0</v>
      </c>
      <c r="AD534" t="s">
        <v>1187</v>
      </c>
      <c r="AE534">
        <v>0</v>
      </c>
      <c r="AF534" t="s">
        <v>1188</v>
      </c>
    </row>
    <row r="535" spans="1:32" x14ac:dyDescent="0.25">
      <c r="A535">
        <v>1</v>
      </c>
      <c r="C535" s="185"/>
      <c r="E535" t="s">
        <v>386</v>
      </c>
      <c r="I535">
        <v>3715</v>
      </c>
      <c r="J535" t="s">
        <v>1803</v>
      </c>
      <c r="K535" t="s">
        <v>1803</v>
      </c>
      <c r="L535" t="s">
        <v>386</v>
      </c>
      <c r="M535" t="s">
        <v>1184</v>
      </c>
      <c r="O535">
        <v>0</v>
      </c>
      <c r="R535" t="s">
        <v>1185</v>
      </c>
      <c r="T535">
        <v>0</v>
      </c>
      <c r="V535" t="s">
        <v>1186</v>
      </c>
      <c r="Z535" t="s">
        <v>865</v>
      </c>
      <c r="AA535" t="s">
        <v>387</v>
      </c>
      <c r="AB535">
        <v>0</v>
      </c>
      <c r="AC535">
        <v>0</v>
      </c>
      <c r="AD535" t="s">
        <v>1187</v>
      </c>
      <c r="AE535">
        <v>0</v>
      </c>
      <c r="AF535" t="s">
        <v>1188</v>
      </c>
    </row>
    <row r="536" spans="1:32" x14ac:dyDescent="0.25">
      <c r="A536">
        <v>1</v>
      </c>
      <c r="C536" s="185"/>
      <c r="E536" t="s">
        <v>386</v>
      </c>
      <c r="I536">
        <v>3544</v>
      </c>
      <c r="J536" t="s">
        <v>1804</v>
      </c>
      <c r="K536" t="s">
        <v>1804</v>
      </c>
      <c r="L536" t="s">
        <v>386</v>
      </c>
      <c r="M536" t="s">
        <v>1184</v>
      </c>
      <c r="O536">
        <v>0</v>
      </c>
      <c r="R536" t="s">
        <v>1185</v>
      </c>
      <c r="T536">
        <v>0</v>
      </c>
      <c r="V536" t="s">
        <v>1186</v>
      </c>
      <c r="Z536" t="s">
        <v>865</v>
      </c>
      <c r="AA536" t="s">
        <v>387</v>
      </c>
      <c r="AB536">
        <v>0</v>
      </c>
      <c r="AC536">
        <v>0</v>
      </c>
      <c r="AD536" t="s">
        <v>1187</v>
      </c>
      <c r="AE536">
        <v>0</v>
      </c>
      <c r="AF536" t="s">
        <v>1188</v>
      </c>
    </row>
    <row r="537" spans="1:32" x14ac:dyDescent="0.25">
      <c r="A537">
        <v>1</v>
      </c>
      <c r="C537" s="185"/>
      <c r="E537" t="s">
        <v>386</v>
      </c>
      <c r="I537">
        <v>3826</v>
      </c>
      <c r="J537" t="s">
        <v>1805</v>
      </c>
      <c r="K537" t="s">
        <v>1805</v>
      </c>
      <c r="L537" t="s">
        <v>386</v>
      </c>
      <c r="M537" t="s">
        <v>1184</v>
      </c>
      <c r="O537">
        <v>0</v>
      </c>
      <c r="R537" t="s">
        <v>1185</v>
      </c>
      <c r="T537">
        <v>0</v>
      </c>
      <c r="V537" t="s">
        <v>1186</v>
      </c>
      <c r="Z537" t="s">
        <v>865</v>
      </c>
      <c r="AA537" t="s">
        <v>387</v>
      </c>
      <c r="AB537">
        <v>0</v>
      </c>
      <c r="AC537">
        <v>0</v>
      </c>
      <c r="AD537" t="s">
        <v>1187</v>
      </c>
      <c r="AE537">
        <v>0</v>
      </c>
      <c r="AF537" t="s">
        <v>1188</v>
      </c>
    </row>
    <row r="538" spans="1:32" x14ac:dyDescent="0.25">
      <c r="A538">
        <v>1</v>
      </c>
      <c r="C538" s="185"/>
      <c r="E538" t="s">
        <v>386</v>
      </c>
      <c r="I538">
        <v>3616</v>
      </c>
      <c r="J538" t="s">
        <v>1806</v>
      </c>
      <c r="K538" t="s">
        <v>1806</v>
      </c>
      <c r="L538" t="s">
        <v>386</v>
      </c>
      <c r="M538" t="s">
        <v>1184</v>
      </c>
      <c r="O538">
        <v>0</v>
      </c>
      <c r="R538" t="s">
        <v>1185</v>
      </c>
      <c r="T538">
        <v>0</v>
      </c>
      <c r="V538" t="s">
        <v>1186</v>
      </c>
      <c r="Z538" t="s">
        <v>865</v>
      </c>
      <c r="AA538" t="s">
        <v>387</v>
      </c>
      <c r="AB538">
        <v>0</v>
      </c>
      <c r="AC538">
        <v>0</v>
      </c>
      <c r="AD538" t="s">
        <v>1187</v>
      </c>
      <c r="AE538">
        <v>0</v>
      </c>
      <c r="AF538" t="s">
        <v>1188</v>
      </c>
    </row>
    <row r="539" spans="1:32" x14ac:dyDescent="0.25">
      <c r="A539">
        <v>1</v>
      </c>
      <c r="C539" s="185"/>
      <c r="E539" t="s">
        <v>386</v>
      </c>
      <c r="I539">
        <v>3713</v>
      </c>
      <c r="J539" t="s">
        <v>1807</v>
      </c>
      <c r="K539" t="s">
        <v>1807</v>
      </c>
      <c r="L539" t="s">
        <v>386</v>
      </c>
      <c r="M539" t="s">
        <v>1184</v>
      </c>
      <c r="O539">
        <v>0</v>
      </c>
      <c r="R539" t="s">
        <v>1185</v>
      </c>
      <c r="T539">
        <v>0</v>
      </c>
      <c r="V539" t="s">
        <v>1186</v>
      </c>
      <c r="Z539" t="s">
        <v>865</v>
      </c>
      <c r="AA539" t="s">
        <v>387</v>
      </c>
      <c r="AB539">
        <v>0</v>
      </c>
      <c r="AC539">
        <v>0</v>
      </c>
      <c r="AD539" t="s">
        <v>1187</v>
      </c>
      <c r="AE539">
        <v>0</v>
      </c>
      <c r="AF539" t="s">
        <v>1188</v>
      </c>
    </row>
    <row r="540" spans="1:32" x14ac:dyDescent="0.25">
      <c r="A540">
        <v>1</v>
      </c>
      <c r="C540" s="185"/>
      <c r="E540" t="s">
        <v>386</v>
      </c>
      <c r="I540">
        <v>3720</v>
      </c>
      <c r="J540" t="s">
        <v>1808</v>
      </c>
      <c r="K540" t="s">
        <v>1808</v>
      </c>
      <c r="L540" t="s">
        <v>386</v>
      </c>
      <c r="M540" t="s">
        <v>1184</v>
      </c>
      <c r="O540">
        <v>0</v>
      </c>
      <c r="R540" t="s">
        <v>1185</v>
      </c>
      <c r="T540">
        <v>0</v>
      </c>
      <c r="V540" t="s">
        <v>1186</v>
      </c>
      <c r="Z540" t="s">
        <v>865</v>
      </c>
      <c r="AA540" t="s">
        <v>387</v>
      </c>
      <c r="AB540">
        <v>0</v>
      </c>
      <c r="AC540">
        <v>0</v>
      </c>
      <c r="AD540" t="s">
        <v>1187</v>
      </c>
      <c r="AE540">
        <v>0</v>
      </c>
      <c r="AF540" t="s">
        <v>1188</v>
      </c>
    </row>
    <row r="541" spans="1:32" x14ac:dyDescent="0.25">
      <c r="A541">
        <v>1</v>
      </c>
      <c r="C541" s="185"/>
      <c r="E541" t="s">
        <v>386</v>
      </c>
      <c r="I541">
        <v>4079</v>
      </c>
      <c r="J541" t="s">
        <v>1809</v>
      </c>
      <c r="K541" t="s">
        <v>1809</v>
      </c>
      <c r="L541" t="s">
        <v>386</v>
      </c>
      <c r="M541" t="s">
        <v>1184</v>
      </c>
      <c r="O541">
        <v>0</v>
      </c>
      <c r="R541" t="s">
        <v>1185</v>
      </c>
      <c r="T541">
        <v>0</v>
      </c>
      <c r="V541" t="s">
        <v>1186</v>
      </c>
      <c r="Z541" t="s">
        <v>865</v>
      </c>
      <c r="AA541" t="s">
        <v>387</v>
      </c>
      <c r="AB541">
        <v>0</v>
      </c>
      <c r="AC541">
        <v>0</v>
      </c>
      <c r="AD541" t="s">
        <v>1187</v>
      </c>
      <c r="AE541">
        <v>0</v>
      </c>
      <c r="AF541" t="s">
        <v>1188</v>
      </c>
    </row>
    <row r="542" spans="1:32" x14ac:dyDescent="0.25">
      <c r="A542">
        <v>1</v>
      </c>
      <c r="C542" s="185"/>
      <c r="E542" t="s">
        <v>386</v>
      </c>
      <c r="I542">
        <v>3682</v>
      </c>
      <c r="J542" t="s">
        <v>1810</v>
      </c>
      <c r="K542" t="s">
        <v>1810</v>
      </c>
      <c r="L542" t="s">
        <v>386</v>
      </c>
      <c r="M542" t="s">
        <v>1184</v>
      </c>
      <c r="O542">
        <v>0</v>
      </c>
      <c r="R542" t="s">
        <v>1185</v>
      </c>
      <c r="T542">
        <v>0</v>
      </c>
      <c r="V542" t="s">
        <v>1186</v>
      </c>
      <c r="Z542" t="s">
        <v>865</v>
      </c>
      <c r="AA542" t="s">
        <v>387</v>
      </c>
      <c r="AB542">
        <v>0</v>
      </c>
      <c r="AC542">
        <v>0</v>
      </c>
      <c r="AD542" t="s">
        <v>1187</v>
      </c>
      <c r="AE542">
        <v>0</v>
      </c>
      <c r="AF542" t="s">
        <v>1188</v>
      </c>
    </row>
    <row r="543" spans="1:32" x14ac:dyDescent="0.25">
      <c r="A543">
        <v>1</v>
      </c>
      <c r="C543" s="185"/>
      <c r="E543" t="s">
        <v>386</v>
      </c>
      <c r="I543">
        <v>3679</v>
      </c>
      <c r="J543" t="s">
        <v>1811</v>
      </c>
      <c r="K543" t="s">
        <v>1811</v>
      </c>
      <c r="L543" t="s">
        <v>386</v>
      </c>
      <c r="M543" t="s">
        <v>1184</v>
      </c>
      <c r="O543">
        <v>0</v>
      </c>
      <c r="R543" t="s">
        <v>1185</v>
      </c>
      <c r="T543">
        <v>0</v>
      </c>
      <c r="V543" t="s">
        <v>1186</v>
      </c>
      <c r="Z543" t="s">
        <v>865</v>
      </c>
      <c r="AA543" t="s">
        <v>387</v>
      </c>
      <c r="AB543">
        <v>0</v>
      </c>
      <c r="AC543">
        <v>0</v>
      </c>
      <c r="AD543" t="s">
        <v>1187</v>
      </c>
      <c r="AE543">
        <v>0</v>
      </c>
      <c r="AF543" t="s">
        <v>1188</v>
      </c>
    </row>
    <row r="544" spans="1:32" x14ac:dyDescent="0.25">
      <c r="A544">
        <v>1</v>
      </c>
      <c r="C544" s="185"/>
      <c r="E544" t="s">
        <v>386</v>
      </c>
      <c r="I544">
        <v>4055</v>
      </c>
      <c r="J544" t="s">
        <v>1812</v>
      </c>
      <c r="K544" t="s">
        <v>1812</v>
      </c>
      <c r="L544" t="s">
        <v>386</v>
      </c>
      <c r="M544" t="s">
        <v>1184</v>
      </c>
      <c r="O544">
        <v>0</v>
      </c>
      <c r="R544" t="s">
        <v>1185</v>
      </c>
      <c r="T544">
        <v>0</v>
      </c>
      <c r="V544" t="s">
        <v>1186</v>
      </c>
      <c r="Z544" t="s">
        <v>865</v>
      </c>
      <c r="AA544" t="s">
        <v>387</v>
      </c>
      <c r="AB544">
        <v>0</v>
      </c>
      <c r="AC544">
        <v>0</v>
      </c>
      <c r="AD544" t="s">
        <v>1187</v>
      </c>
      <c r="AE544">
        <v>0</v>
      </c>
      <c r="AF544" t="s">
        <v>1188</v>
      </c>
    </row>
    <row r="545" spans="1:32" x14ac:dyDescent="0.25">
      <c r="A545">
        <v>1</v>
      </c>
      <c r="C545" s="185"/>
      <c r="E545" t="s">
        <v>386</v>
      </c>
      <c r="I545">
        <v>4182</v>
      </c>
      <c r="J545" t="s">
        <v>1813</v>
      </c>
      <c r="K545" t="s">
        <v>1813</v>
      </c>
      <c r="L545" t="s">
        <v>386</v>
      </c>
      <c r="M545" t="s">
        <v>1184</v>
      </c>
      <c r="O545">
        <v>0</v>
      </c>
      <c r="R545" t="s">
        <v>1185</v>
      </c>
      <c r="T545">
        <v>0</v>
      </c>
      <c r="V545" t="s">
        <v>1186</v>
      </c>
      <c r="Z545" t="s">
        <v>865</v>
      </c>
      <c r="AA545" t="s">
        <v>387</v>
      </c>
      <c r="AB545">
        <v>0</v>
      </c>
      <c r="AC545">
        <v>0</v>
      </c>
      <c r="AD545" t="s">
        <v>1187</v>
      </c>
      <c r="AE545">
        <v>0</v>
      </c>
      <c r="AF545" t="s">
        <v>1188</v>
      </c>
    </row>
    <row r="546" spans="1:32" x14ac:dyDescent="0.25">
      <c r="A546">
        <v>1</v>
      </c>
      <c r="C546" s="185"/>
      <c r="E546" t="s">
        <v>386</v>
      </c>
      <c r="I546">
        <v>3797</v>
      </c>
      <c r="J546" t="s">
        <v>1814</v>
      </c>
      <c r="K546" t="s">
        <v>1814</v>
      </c>
      <c r="L546" t="s">
        <v>386</v>
      </c>
      <c r="M546" t="s">
        <v>1184</v>
      </c>
      <c r="O546">
        <v>0</v>
      </c>
      <c r="R546" t="s">
        <v>1185</v>
      </c>
      <c r="T546">
        <v>0</v>
      </c>
      <c r="V546" t="s">
        <v>1186</v>
      </c>
      <c r="Z546" t="s">
        <v>865</v>
      </c>
      <c r="AA546" t="s">
        <v>387</v>
      </c>
      <c r="AB546">
        <v>0</v>
      </c>
      <c r="AC546">
        <v>0</v>
      </c>
      <c r="AD546" t="s">
        <v>1187</v>
      </c>
      <c r="AE546">
        <v>0</v>
      </c>
      <c r="AF546" t="s">
        <v>1188</v>
      </c>
    </row>
    <row r="547" spans="1:32" x14ac:dyDescent="0.25">
      <c r="A547">
        <v>1</v>
      </c>
      <c r="C547" s="185"/>
      <c r="E547" t="s">
        <v>386</v>
      </c>
      <c r="I547">
        <v>3946</v>
      </c>
      <c r="J547" t="s">
        <v>1815</v>
      </c>
      <c r="K547" t="s">
        <v>1815</v>
      </c>
      <c r="L547" t="s">
        <v>386</v>
      </c>
      <c r="M547" t="s">
        <v>1184</v>
      </c>
      <c r="O547">
        <v>0</v>
      </c>
      <c r="R547" t="s">
        <v>1185</v>
      </c>
      <c r="T547">
        <v>0</v>
      </c>
      <c r="V547" t="s">
        <v>1186</v>
      </c>
      <c r="Z547" t="s">
        <v>865</v>
      </c>
      <c r="AA547" t="s">
        <v>387</v>
      </c>
      <c r="AB547">
        <v>0</v>
      </c>
      <c r="AC547">
        <v>0</v>
      </c>
      <c r="AD547" t="s">
        <v>1187</v>
      </c>
      <c r="AE547">
        <v>0</v>
      </c>
      <c r="AF547" t="s">
        <v>1188</v>
      </c>
    </row>
    <row r="548" spans="1:32" x14ac:dyDescent="0.25">
      <c r="A548">
        <v>1</v>
      </c>
      <c r="C548" s="185"/>
      <c r="E548" t="s">
        <v>386</v>
      </c>
      <c r="I548">
        <v>4029</v>
      </c>
      <c r="J548" t="s">
        <v>1816</v>
      </c>
      <c r="K548" t="s">
        <v>1816</v>
      </c>
      <c r="L548" t="s">
        <v>386</v>
      </c>
      <c r="M548" t="s">
        <v>1184</v>
      </c>
      <c r="O548">
        <v>0</v>
      </c>
      <c r="R548" t="s">
        <v>1185</v>
      </c>
      <c r="T548">
        <v>0</v>
      </c>
      <c r="V548" t="s">
        <v>1186</v>
      </c>
      <c r="Z548" t="s">
        <v>865</v>
      </c>
      <c r="AA548" t="s">
        <v>387</v>
      </c>
      <c r="AB548">
        <v>0</v>
      </c>
      <c r="AC548">
        <v>0</v>
      </c>
      <c r="AD548" t="s">
        <v>1187</v>
      </c>
      <c r="AE548">
        <v>0</v>
      </c>
      <c r="AF548" t="s">
        <v>1188</v>
      </c>
    </row>
    <row r="549" spans="1:32" x14ac:dyDescent="0.25">
      <c r="A549">
        <v>1</v>
      </c>
      <c r="C549" s="185"/>
      <c r="E549" t="s">
        <v>386</v>
      </c>
      <c r="I549">
        <v>3613</v>
      </c>
      <c r="J549" t="s">
        <v>1817</v>
      </c>
      <c r="K549" t="s">
        <v>1817</v>
      </c>
      <c r="L549" t="s">
        <v>386</v>
      </c>
      <c r="M549" t="s">
        <v>1184</v>
      </c>
      <c r="O549">
        <v>0</v>
      </c>
      <c r="R549" t="s">
        <v>1185</v>
      </c>
      <c r="T549">
        <v>0</v>
      </c>
      <c r="V549" t="s">
        <v>1186</v>
      </c>
      <c r="Z549" t="s">
        <v>865</v>
      </c>
      <c r="AA549" t="s">
        <v>387</v>
      </c>
      <c r="AB549">
        <v>0</v>
      </c>
      <c r="AC549">
        <v>0</v>
      </c>
      <c r="AD549" t="s">
        <v>1187</v>
      </c>
      <c r="AE549">
        <v>0</v>
      </c>
      <c r="AF549" t="s">
        <v>1188</v>
      </c>
    </row>
    <row r="550" spans="1:32" x14ac:dyDescent="0.25">
      <c r="A550">
        <v>1</v>
      </c>
      <c r="C550" s="185"/>
      <c r="E550" t="s">
        <v>386</v>
      </c>
      <c r="I550">
        <v>3701</v>
      </c>
      <c r="J550" t="s">
        <v>1818</v>
      </c>
      <c r="K550" t="s">
        <v>1818</v>
      </c>
      <c r="L550" t="s">
        <v>386</v>
      </c>
      <c r="M550" t="s">
        <v>1184</v>
      </c>
      <c r="O550">
        <v>0</v>
      </c>
      <c r="R550" t="s">
        <v>1185</v>
      </c>
      <c r="T550">
        <v>0</v>
      </c>
      <c r="V550" t="s">
        <v>1186</v>
      </c>
      <c r="Z550" t="s">
        <v>865</v>
      </c>
      <c r="AA550" t="s">
        <v>387</v>
      </c>
      <c r="AB550">
        <v>0</v>
      </c>
      <c r="AC550">
        <v>0</v>
      </c>
      <c r="AD550" t="s">
        <v>1187</v>
      </c>
      <c r="AE550">
        <v>0</v>
      </c>
      <c r="AF550" t="s">
        <v>1188</v>
      </c>
    </row>
    <row r="551" spans="1:32" x14ac:dyDescent="0.25">
      <c r="A551">
        <v>1</v>
      </c>
      <c r="C551" s="185"/>
      <c r="E551" t="s">
        <v>386</v>
      </c>
      <c r="I551">
        <v>4188</v>
      </c>
      <c r="J551" t="s">
        <v>1819</v>
      </c>
      <c r="K551" t="s">
        <v>1819</v>
      </c>
      <c r="L551" t="s">
        <v>386</v>
      </c>
      <c r="M551" t="s">
        <v>1184</v>
      </c>
      <c r="O551">
        <v>0</v>
      </c>
      <c r="R551" t="s">
        <v>1185</v>
      </c>
      <c r="T551">
        <v>0</v>
      </c>
      <c r="V551" t="s">
        <v>1186</v>
      </c>
      <c r="Z551" t="s">
        <v>865</v>
      </c>
      <c r="AA551" t="s">
        <v>387</v>
      </c>
      <c r="AB551">
        <v>0</v>
      </c>
      <c r="AC551">
        <v>0</v>
      </c>
      <c r="AD551" t="s">
        <v>1187</v>
      </c>
      <c r="AE551">
        <v>0</v>
      </c>
      <c r="AF551" t="s">
        <v>1188</v>
      </c>
    </row>
    <row r="552" spans="1:32" x14ac:dyDescent="0.25">
      <c r="A552">
        <v>1</v>
      </c>
      <c r="C552" s="185"/>
      <c r="E552" t="s">
        <v>386</v>
      </c>
      <c r="I552">
        <v>3933</v>
      </c>
      <c r="J552" t="s">
        <v>1820</v>
      </c>
      <c r="K552" t="s">
        <v>1820</v>
      </c>
      <c r="L552" t="s">
        <v>386</v>
      </c>
      <c r="M552" t="s">
        <v>1184</v>
      </c>
      <c r="O552">
        <v>0</v>
      </c>
      <c r="R552" t="s">
        <v>1185</v>
      </c>
      <c r="T552">
        <v>0</v>
      </c>
      <c r="V552" t="s">
        <v>1186</v>
      </c>
      <c r="Z552" t="s">
        <v>865</v>
      </c>
      <c r="AA552" t="s">
        <v>387</v>
      </c>
      <c r="AB552">
        <v>0</v>
      </c>
      <c r="AC552">
        <v>0</v>
      </c>
      <c r="AD552" t="s">
        <v>1187</v>
      </c>
      <c r="AE552">
        <v>0</v>
      </c>
      <c r="AF552" t="s">
        <v>1188</v>
      </c>
    </row>
    <row r="553" spans="1:32" x14ac:dyDescent="0.25">
      <c r="A553">
        <v>1</v>
      </c>
      <c r="C553" s="185"/>
      <c r="E553" t="s">
        <v>386</v>
      </c>
      <c r="I553">
        <v>3666</v>
      </c>
      <c r="J553" t="s">
        <v>1821</v>
      </c>
      <c r="K553" t="s">
        <v>1821</v>
      </c>
      <c r="L553" t="s">
        <v>386</v>
      </c>
      <c r="M553" t="s">
        <v>1184</v>
      </c>
      <c r="O553">
        <v>0</v>
      </c>
      <c r="R553" t="s">
        <v>1185</v>
      </c>
      <c r="T553">
        <v>0</v>
      </c>
      <c r="V553" t="s">
        <v>1186</v>
      </c>
      <c r="Z553" t="s">
        <v>865</v>
      </c>
      <c r="AA553" t="s">
        <v>387</v>
      </c>
      <c r="AB553">
        <v>0</v>
      </c>
      <c r="AC553">
        <v>0</v>
      </c>
      <c r="AD553" t="s">
        <v>1187</v>
      </c>
      <c r="AE553">
        <v>0</v>
      </c>
      <c r="AF553" t="s">
        <v>1188</v>
      </c>
    </row>
    <row r="554" spans="1:32" x14ac:dyDescent="0.25">
      <c r="A554">
        <v>1</v>
      </c>
      <c r="C554" s="185"/>
      <c r="E554" t="s">
        <v>386</v>
      </c>
      <c r="I554">
        <v>4181</v>
      </c>
      <c r="J554" t="s">
        <v>1822</v>
      </c>
      <c r="K554" t="s">
        <v>1822</v>
      </c>
      <c r="L554" t="s">
        <v>386</v>
      </c>
      <c r="M554" t="s">
        <v>1184</v>
      </c>
      <c r="O554">
        <v>0</v>
      </c>
      <c r="R554" t="s">
        <v>1185</v>
      </c>
      <c r="T554">
        <v>0</v>
      </c>
      <c r="V554" t="s">
        <v>1186</v>
      </c>
      <c r="Z554" t="s">
        <v>865</v>
      </c>
      <c r="AA554" t="s">
        <v>387</v>
      </c>
      <c r="AB554">
        <v>0</v>
      </c>
      <c r="AC554">
        <v>0</v>
      </c>
      <c r="AD554" t="s">
        <v>1187</v>
      </c>
      <c r="AE554">
        <v>0</v>
      </c>
      <c r="AF554" t="s">
        <v>1188</v>
      </c>
    </row>
    <row r="555" spans="1:32" x14ac:dyDescent="0.25">
      <c r="A555">
        <v>1</v>
      </c>
      <c r="C555" s="185"/>
      <c r="E555" t="s">
        <v>386</v>
      </c>
      <c r="I555">
        <v>4082</v>
      </c>
      <c r="J555" t="s">
        <v>1823</v>
      </c>
      <c r="K555" t="s">
        <v>1823</v>
      </c>
      <c r="L555" t="s">
        <v>386</v>
      </c>
      <c r="M555" t="s">
        <v>1184</v>
      </c>
      <c r="O555">
        <v>0</v>
      </c>
      <c r="R555" t="s">
        <v>1185</v>
      </c>
      <c r="T555">
        <v>0</v>
      </c>
      <c r="V555" t="s">
        <v>1186</v>
      </c>
      <c r="Z555" t="s">
        <v>865</v>
      </c>
      <c r="AA555" t="s">
        <v>387</v>
      </c>
      <c r="AB555">
        <v>0</v>
      </c>
      <c r="AC555">
        <v>0</v>
      </c>
      <c r="AD555" t="s">
        <v>1187</v>
      </c>
      <c r="AE555">
        <v>0</v>
      </c>
      <c r="AF555" t="s">
        <v>1188</v>
      </c>
    </row>
    <row r="556" spans="1:32" x14ac:dyDescent="0.25">
      <c r="A556">
        <v>1</v>
      </c>
      <c r="C556" s="185"/>
      <c r="E556" t="s">
        <v>386</v>
      </c>
      <c r="I556">
        <v>4043</v>
      </c>
      <c r="J556" t="s">
        <v>1824</v>
      </c>
      <c r="K556" t="s">
        <v>1824</v>
      </c>
      <c r="L556" t="s">
        <v>386</v>
      </c>
      <c r="M556" t="s">
        <v>1184</v>
      </c>
      <c r="O556">
        <v>0</v>
      </c>
      <c r="R556" t="s">
        <v>1185</v>
      </c>
      <c r="T556">
        <v>0</v>
      </c>
      <c r="V556" t="s">
        <v>1186</v>
      </c>
      <c r="Z556" t="s">
        <v>865</v>
      </c>
      <c r="AA556" t="s">
        <v>387</v>
      </c>
      <c r="AB556">
        <v>0</v>
      </c>
      <c r="AC556">
        <v>0</v>
      </c>
      <c r="AD556" t="s">
        <v>1187</v>
      </c>
      <c r="AE556">
        <v>0</v>
      </c>
      <c r="AF556" t="s">
        <v>1188</v>
      </c>
    </row>
    <row r="557" spans="1:32" x14ac:dyDescent="0.25">
      <c r="A557">
        <v>1</v>
      </c>
      <c r="C557" s="185"/>
      <c r="E557" t="s">
        <v>386</v>
      </c>
      <c r="I557">
        <v>4144</v>
      </c>
      <c r="J557" t="s">
        <v>1825</v>
      </c>
      <c r="K557" t="s">
        <v>1825</v>
      </c>
      <c r="L557" t="s">
        <v>386</v>
      </c>
      <c r="M557" t="s">
        <v>1184</v>
      </c>
      <c r="O557">
        <v>0</v>
      </c>
      <c r="R557" t="s">
        <v>1185</v>
      </c>
      <c r="T557">
        <v>0</v>
      </c>
      <c r="V557" t="s">
        <v>1186</v>
      </c>
      <c r="Z557" t="s">
        <v>865</v>
      </c>
      <c r="AA557" t="s">
        <v>387</v>
      </c>
      <c r="AB557">
        <v>0</v>
      </c>
      <c r="AC557">
        <v>0</v>
      </c>
      <c r="AD557" t="s">
        <v>1187</v>
      </c>
      <c r="AE557">
        <v>0</v>
      </c>
      <c r="AF557" t="s">
        <v>1188</v>
      </c>
    </row>
    <row r="558" spans="1:32" x14ac:dyDescent="0.25">
      <c r="A558">
        <v>1</v>
      </c>
      <c r="C558" s="185"/>
      <c r="E558" t="s">
        <v>386</v>
      </c>
      <c r="I558">
        <v>3708</v>
      </c>
      <c r="J558" t="s">
        <v>1826</v>
      </c>
      <c r="K558" t="s">
        <v>1826</v>
      </c>
      <c r="L558" t="s">
        <v>386</v>
      </c>
      <c r="M558" t="s">
        <v>1184</v>
      </c>
      <c r="O558">
        <v>0</v>
      </c>
      <c r="R558" t="s">
        <v>1185</v>
      </c>
      <c r="T558">
        <v>0</v>
      </c>
      <c r="V558" t="s">
        <v>1186</v>
      </c>
      <c r="Z558" t="s">
        <v>865</v>
      </c>
      <c r="AA558" t="s">
        <v>387</v>
      </c>
      <c r="AB558">
        <v>0</v>
      </c>
      <c r="AC558">
        <v>0</v>
      </c>
      <c r="AD558" t="s">
        <v>1187</v>
      </c>
      <c r="AE558">
        <v>0</v>
      </c>
      <c r="AF558" t="s">
        <v>1188</v>
      </c>
    </row>
    <row r="559" spans="1:32" x14ac:dyDescent="0.25">
      <c r="A559">
        <v>1</v>
      </c>
      <c r="C559" s="185"/>
      <c r="E559" t="s">
        <v>386</v>
      </c>
      <c r="I559">
        <v>4073</v>
      </c>
      <c r="J559" t="s">
        <v>1827</v>
      </c>
      <c r="K559" t="s">
        <v>1827</v>
      </c>
      <c r="L559" t="s">
        <v>386</v>
      </c>
      <c r="M559" t="s">
        <v>1184</v>
      </c>
      <c r="O559">
        <v>0</v>
      </c>
      <c r="R559" t="s">
        <v>1185</v>
      </c>
      <c r="T559">
        <v>0</v>
      </c>
      <c r="V559" t="s">
        <v>1186</v>
      </c>
      <c r="Z559" t="s">
        <v>865</v>
      </c>
      <c r="AA559" t="s">
        <v>387</v>
      </c>
      <c r="AB559">
        <v>0</v>
      </c>
      <c r="AC559">
        <v>0</v>
      </c>
      <c r="AD559" t="s">
        <v>1187</v>
      </c>
      <c r="AE559">
        <v>0</v>
      </c>
      <c r="AF559" t="s">
        <v>1188</v>
      </c>
    </row>
    <row r="560" spans="1:32" x14ac:dyDescent="0.25">
      <c r="A560">
        <v>1</v>
      </c>
      <c r="C560" s="185"/>
      <c r="E560" t="s">
        <v>386</v>
      </c>
      <c r="I560">
        <v>4001</v>
      </c>
      <c r="J560" t="s">
        <v>1828</v>
      </c>
      <c r="K560" t="s">
        <v>1828</v>
      </c>
      <c r="L560" t="s">
        <v>386</v>
      </c>
      <c r="M560" t="s">
        <v>1184</v>
      </c>
      <c r="O560">
        <v>0</v>
      </c>
      <c r="R560" t="s">
        <v>1185</v>
      </c>
      <c r="T560">
        <v>0</v>
      </c>
      <c r="V560" t="s">
        <v>1186</v>
      </c>
      <c r="Z560" t="s">
        <v>865</v>
      </c>
      <c r="AA560" t="s">
        <v>387</v>
      </c>
      <c r="AB560">
        <v>0</v>
      </c>
      <c r="AC560">
        <v>0</v>
      </c>
      <c r="AD560" t="s">
        <v>1187</v>
      </c>
      <c r="AE560">
        <v>0</v>
      </c>
      <c r="AF560" t="s">
        <v>1188</v>
      </c>
    </row>
    <row r="561" spans="1:32" x14ac:dyDescent="0.25">
      <c r="A561">
        <v>1</v>
      </c>
      <c r="C561" s="185"/>
      <c r="E561" t="s">
        <v>386</v>
      </c>
      <c r="I561">
        <v>3598</v>
      </c>
      <c r="J561" t="s">
        <v>1829</v>
      </c>
      <c r="K561" t="s">
        <v>1829</v>
      </c>
      <c r="L561" t="s">
        <v>386</v>
      </c>
      <c r="M561" t="s">
        <v>1184</v>
      </c>
      <c r="O561">
        <v>0</v>
      </c>
      <c r="R561" t="s">
        <v>1185</v>
      </c>
      <c r="T561">
        <v>0</v>
      </c>
      <c r="V561" t="s">
        <v>1186</v>
      </c>
      <c r="Z561" t="s">
        <v>865</v>
      </c>
      <c r="AA561" t="s">
        <v>387</v>
      </c>
      <c r="AB561">
        <v>0</v>
      </c>
      <c r="AC561">
        <v>0</v>
      </c>
      <c r="AD561" t="s">
        <v>1187</v>
      </c>
      <c r="AE561">
        <v>0</v>
      </c>
      <c r="AF561" t="s">
        <v>1188</v>
      </c>
    </row>
    <row r="562" spans="1:32" x14ac:dyDescent="0.25">
      <c r="A562">
        <v>1</v>
      </c>
      <c r="C562" s="185"/>
      <c r="E562" t="s">
        <v>386</v>
      </c>
      <c r="I562">
        <v>3596</v>
      </c>
      <c r="J562" t="s">
        <v>1830</v>
      </c>
      <c r="K562" t="s">
        <v>1830</v>
      </c>
      <c r="L562" t="s">
        <v>386</v>
      </c>
      <c r="M562" t="s">
        <v>1184</v>
      </c>
      <c r="O562">
        <v>0</v>
      </c>
      <c r="R562" t="s">
        <v>1185</v>
      </c>
      <c r="T562">
        <v>0</v>
      </c>
      <c r="V562" t="s">
        <v>1186</v>
      </c>
      <c r="Z562" t="s">
        <v>865</v>
      </c>
      <c r="AA562" t="s">
        <v>387</v>
      </c>
      <c r="AB562">
        <v>0</v>
      </c>
      <c r="AC562">
        <v>0</v>
      </c>
      <c r="AD562" t="s">
        <v>1187</v>
      </c>
      <c r="AE562">
        <v>0</v>
      </c>
      <c r="AF562" t="s">
        <v>1188</v>
      </c>
    </row>
    <row r="563" spans="1:32" x14ac:dyDescent="0.25">
      <c r="A563">
        <v>1</v>
      </c>
      <c r="C563" s="185"/>
      <c r="E563" t="s">
        <v>386</v>
      </c>
      <c r="I563">
        <v>4052</v>
      </c>
      <c r="J563" t="s">
        <v>1831</v>
      </c>
      <c r="K563" t="s">
        <v>1831</v>
      </c>
      <c r="L563" t="s">
        <v>386</v>
      </c>
      <c r="M563" t="s">
        <v>1184</v>
      </c>
      <c r="O563">
        <v>0</v>
      </c>
      <c r="R563" t="s">
        <v>1185</v>
      </c>
      <c r="T563">
        <v>0</v>
      </c>
      <c r="V563" t="s">
        <v>1186</v>
      </c>
      <c r="Z563" t="s">
        <v>865</v>
      </c>
      <c r="AA563" t="s">
        <v>387</v>
      </c>
      <c r="AB563">
        <v>0</v>
      </c>
      <c r="AC563">
        <v>0</v>
      </c>
      <c r="AD563" t="s">
        <v>1187</v>
      </c>
      <c r="AE563">
        <v>0</v>
      </c>
      <c r="AF563" t="s">
        <v>1188</v>
      </c>
    </row>
    <row r="564" spans="1:32" x14ac:dyDescent="0.25">
      <c r="A564">
        <v>1</v>
      </c>
      <c r="C564" s="185"/>
      <c r="E564" t="s">
        <v>386</v>
      </c>
      <c r="I564">
        <v>3952</v>
      </c>
      <c r="J564" t="s">
        <v>1832</v>
      </c>
      <c r="K564" t="s">
        <v>1832</v>
      </c>
      <c r="L564" t="s">
        <v>386</v>
      </c>
      <c r="M564" t="s">
        <v>1184</v>
      </c>
      <c r="O564">
        <v>0</v>
      </c>
      <c r="R564" t="s">
        <v>1185</v>
      </c>
      <c r="T564">
        <v>0</v>
      </c>
      <c r="V564" t="s">
        <v>1186</v>
      </c>
      <c r="Z564" t="s">
        <v>865</v>
      </c>
      <c r="AA564" t="s">
        <v>387</v>
      </c>
      <c r="AB564">
        <v>0</v>
      </c>
      <c r="AC564">
        <v>0</v>
      </c>
      <c r="AD564" t="s">
        <v>1187</v>
      </c>
      <c r="AE564">
        <v>0</v>
      </c>
      <c r="AF564" t="s">
        <v>1188</v>
      </c>
    </row>
    <row r="565" spans="1:32" x14ac:dyDescent="0.25">
      <c r="A565">
        <v>1</v>
      </c>
      <c r="C565" s="185"/>
      <c r="E565" t="s">
        <v>386</v>
      </c>
      <c r="I565">
        <v>3621</v>
      </c>
      <c r="J565" t="s">
        <v>1833</v>
      </c>
      <c r="K565" t="s">
        <v>1833</v>
      </c>
      <c r="L565" t="s">
        <v>386</v>
      </c>
      <c r="M565" t="s">
        <v>1184</v>
      </c>
      <c r="O565">
        <v>0</v>
      </c>
      <c r="R565" t="s">
        <v>1185</v>
      </c>
      <c r="T565">
        <v>0</v>
      </c>
      <c r="V565" t="s">
        <v>1186</v>
      </c>
      <c r="Z565" t="s">
        <v>865</v>
      </c>
      <c r="AA565" t="s">
        <v>387</v>
      </c>
      <c r="AB565">
        <v>0</v>
      </c>
      <c r="AC565">
        <v>0</v>
      </c>
      <c r="AD565" t="s">
        <v>1187</v>
      </c>
      <c r="AE565">
        <v>0</v>
      </c>
      <c r="AF565" t="s">
        <v>1188</v>
      </c>
    </row>
    <row r="566" spans="1:32" x14ac:dyDescent="0.25">
      <c r="A566">
        <v>1</v>
      </c>
      <c r="C566" s="185"/>
      <c r="E566" t="s">
        <v>386</v>
      </c>
      <c r="I566">
        <v>3976</v>
      </c>
      <c r="J566" t="s">
        <v>1834</v>
      </c>
      <c r="K566" t="s">
        <v>1834</v>
      </c>
      <c r="L566" t="s">
        <v>386</v>
      </c>
      <c r="M566" t="s">
        <v>1184</v>
      </c>
      <c r="O566">
        <v>0</v>
      </c>
      <c r="R566" t="s">
        <v>1185</v>
      </c>
      <c r="T566">
        <v>0</v>
      </c>
      <c r="V566" t="s">
        <v>1186</v>
      </c>
      <c r="Z566" t="s">
        <v>865</v>
      </c>
      <c r="AA566" t="s">
        <v>387</v>
      </c>
      <c r="AB566">
        <v>0</v>
      </c>
      <c r="AC566">
        <v>0</v>
      </c>
      <c r="AD566" t="s">
        <v>1187</v>
      </c>
      <c r="AE566">
        <v>0</v>
      </c>
      <c r="AF566" t="s">
        <v>1188</v>
      </c>
    </row>
    <row r="567" spans="1:32" x14ac:dyDescent="0.25">
      <c r="A567">
        <v>1</v>
      </c>
      <c r="C567" s="185"/>
      <c r="E567" t="s">
        <v>386</v>
      </c>
      <c r="I567">
        <v>4201</v>
      </c>
      <c r="J567" t="s">
        <v>1835</v>
      </c>
      <c r="K567" t="s">
        <v>1835</v>
      </c>
      <c r="L567" t="s">
        <v>386</v>
      </c>
      <c r="M567" t="s">
        <v>1184</v>
      </c>
      <c r="O567">
        <v>0</v>
      </c>
      <c r="R567" t="s">
        <v>1185</v>
      </c>
      <c r="T567">
        <v>0</v>
      </c>
      <c r="V567" t="s">
        <v>1186</v>
      </c>
      <c r="Z567" t="s">
        <v>865</v>
      </c>
      <c r="AA567" t="s">
        <v>387</v>
      </c>
      <c r="AB567">
        <v>0</v>
      </c>
      <c r="AC567">
        <v>0</v>
      </c>
      <c r="AD567" t="s">
        <v>1187</v>
      </c>
      <c r="AE567">
        <v>0</v>
      </c>
      <c r="AF567" t="s">
        <v>1188</v>
      </c>
    </row>
    <row r="568" spans="1:32" x14ac:dyDescent="0.25">
      <c r="A568">
        <v>1</v>
      </c>
      <c r="C568" s="185"/>
      <c r="E568" t="s">
        <v>386</v>
      </c>
      <c r="I568">
        <v>3854</v>
      </c>
      <c r="J568" t="s">
        <v>1836</v>
      </c>
      <c r="K568" t="s">
        <v>1836</v>
      </c>
      <c r="L568" t="s">
        <v>386</v>
      </c>
      <c r="M568" t="s">
        <v>1184</v>
      </c>
      <c r="O568">
        <v>0</v>
      </c>
      <c r="R568" t="s">
        <v>1185</v>
      </c>
      <c r="T568">
        <v>0</v>
      </c>
      <c r="V568" t="s">
        <v>1186</v>
      </c>
      <c r="Z568" t="s">
        <v>865</v>
      </c>
      <c r="AA568" t="s">
        <v>387</v>
      </c>
      <c r="AB568">
        <v>0</v>
      </c>
      <c r="AC568">
        <v>0</v>
      </c>
      <c r="AD568" t="s">
        <v>1187</v>
      </c>
      <c r="AE568">
        <v>0</v>
      </c>
      <c r="AF568" t="s">
        <v>1188</v>
      </c>
    </row>
    <row r="569" spans="1:32" x14ac:dyDescent="0.25">
      <c r="A569">
        <v>1</v>
      </c>
      <c r="C569" s="185"/>
      <c r="E569" t="s">
        <v>386</v>
      </c>
      <c r="I569">
        <v>3969</v>
      </c>
      <c r="J569" t="s">
        <v>1837</v>
      </c>
      <c r="K569" t="s">
        <v>1837</v>
      </c>
      <c r="L569" t="s">
        <v>386</v>
      </c>
      <c r="M569" t="s">
        <v>1184</v>
      </c>
      <c r="O569">
        <v>0</v>
      </c>
      <c r="R569" t="s">
        <v>1185</v>
      </c>
      <c r="T569">
        <v>0</v>
      </c>
      <c r="V569" t="s">
        <v>1186</v>
      </c>
      <c r="Z569" t="s">
        <v>865</v>
      </c>
      <c r="AA569" t="s">
        <v>387</v>
      </c>
      <c r="AB569">
        <v>0</v>
      </c>
      <c r="AC569">
        <v>0</v>
      </c>
      <c r="AD569" t="s">
        <v>1187</v>
      </c>
      <c r="AE569">
        <v>0</v>
      </c>
      <c r="AF569" t="s">
        <v>1188</v>
      </c>
    </row>
    <row r="570" spans="1:32" x14ac:dyDescent="0.25">
      <c r="A570">
        <v>1</v>
      </c>
      <c r="C570" s="185"/>
      <c r="E570" t="s">
        <v>386</v>
      </c>
      <c r="I570">
        <v>3893</v>
      </c>
      <c r="J570" t="s">
        <v>1838</v>
      </c>
      <c r="K570" t="s">
        <v>1838</v>
      </c>
      <c r="L570" t="s">
        <v>386</v>
      </c>
      <c r="M570" t="s">
        <v>1184</v>
      </c>
      <c r="O570">
        <v>0</v>
      </c>
      <c r="R570" t="s">
        <v>1185</v>
      </c>
      <c r="T570">
        <v>0</v>
      </c>
      <c r="V570" t="s">
        <v>1186</v>
      </c>
      <c r="Z570" t="s">
        <v>865</v>
      </c>
      <c r="AA570" t="s">
        <v>387</v>
      </c>
      <c r="AB570">
        <v>0</v>
      </c>
      <c r="AC570">
        <v>0</v>
      </c>
      <c r="AD570" t="s">
        <v>1187</v>
      </c>
      <c r="AE570">
        <v>0</v>
      </c>
      <c r="AF570" t="s">
        <v>1188</v>
      </c>
    </row>
    <row r="571" spans="1:32" x14ac:dyDescent="0.25">
      <c r="A571">
        <v>1</v>
      </c>
      <c r="C571" s="185"/>
      <c r="E571" t="s">
        <v>386</v>
      </c>
      <c r="I571">
        <v>3921</v>
      </c>
      <c r="J571" t="s">
        <v>1839</v>
      </c>
      <c r="K571" t="s">
        <v>1839</v>
      </c>
      <c r="L571" t="s">
        <v>386</v>
      </c>
      <c r="M571" t="s">
        <v>1184</v>
      </c>
      <c r="O571">
        <v>0</v>
      </c>
      <c r="R571" t="s">
        <v>1185</v>
      </c>
      <c r="T571">
        <v>0</v>
      </c>
      <c r="V571" t="s">
        <v>1186</v>
      </c>
      <c r="Z571" t="s">
        <v>865</v>
      </c>
      <c r="AA571" t="s">
        <v>387</v>
      </c>
      <c r="AB571">
        <v>0</v>
      </c>
      <c r="AC571">
        <v>0</v>
      </c>
      <c r="AD571" t="s">
        <v>1187</v>
      </c>
      <c r="AE571">
        <v>0</v>
      </c>
      <c r="AF571" t="s">
        <v>1188</v>
      </c>
    </row>
    <row r="572" spans="1:32" x14ac:dyDescent="0.25">
      <c r="A572">
        <v>1</v>
      </c>
      <c r="C572" s="185"/>
      <c r="E572" t="s">
        <v>386</v>
      </c>
      <c r="I572">
        <v>4103</v>
      </c>
      <c r="J572" t="s">
        <v>1840</v>
      </c>
      <c r="K572" t="s">
        <v>1840</v>
      </c>
      <c r="L572" t="s">
        <v>386</v>
      </c>
      <c r="M572" t="s">
        <v>1184</v>
      </c>
      <c r="O572">
        <v>0</v>
      </c>
      <c r="R572" t="s">
        <v>1185</v>
      </c>
      <c r="T572">
        <v>0</v>
      </c>
      <c r="V572" t="s">
        <v>1186</v>
      </c>
      <c r="Z572" t="s">
        <v>865</v>
      </c>
      <c r="AA572" t="s">
        <v>387</v>
      </c>
      <c r="AB572">
        <v>0</v>
      </c>
      <c r="AC572">
        <v>0</v>
      </c>
      <c r="AD572" t="s">
        <v>1187</v>
      </c>
      <c r="AE572">
        <v>0</v>
      </c>
      <c r="AF572" t="s">
        <v>1188</v>
      </c>
    </row>
    <row r="573" spans="1:32" x14ac:dyDescent="0.25">
      <c r="A573">
        <v>1</v>
      </c>
      <c r="C573" s="185"/>
      <c r="E573" t="s">
        <v>386</v>
      </c>
      <c r="I573">
        <v>3884</v>
      </c>
      <c r="J573" t="s">
        <v>1841</v>
      </c>
      <c r="K573" t="s">
        <v>1841</v>
      </c>
      <c r="L573" t="s">
        <v>386</v>
      </c>
      <c r="M573" t="s">
        <v>1184</v>
      </c>
      <c r="O573">
        <v>0</v>
      </c>
      <c r="R573" t="s">
        <v>1185</v>
      </c>
      <c r="T573">
        <v>0</v>
      </c>
      <c r="V573" t="s">
        <v>1186</v>
      </c>
      <c r="Z573" t="s">
        <v>865</v>
      </c>
      <c r="AA573" t="s">
        <v>387</v>
      </c>
      <c r="AB573">
        <v>0</v>
      </c>
      <c r="AC573">
        <v>0</v>
      </c>
      <c r="AD573" t="s">
        <v>1187</v>
      </c>
      <c r="AE573">
        <v>0</v>
      </c>
      <c r="AF573" t="s">
        <v>1188</v>
      </c>
    </row>
    <row r="574" spans="1:32" x14ac:dyDescent="0.25">
      <c r="A574">
        <v>1</v>
      </c>
      <c r="C574" s="185"/>
      <c r="E574" t="s">
        <v>386</v>
      </c>
      <c r="I574">
        <v>4186</v>
      </c>
      <c r="J574" t="s">
        <v>1842</v>
      </c>
      <c r="K574" t="s">
        <v>1842</v>
      </c>
      <c r="L574" t="s">
        <v>386</v>
      </c>
      <c r="M574" t="s">
        <v>1184</v>
      </c>
      <c r="O574">
        <v>0</v>
      </c>
      <c r="R574" t="s">
        <v>1185</v>
      </c>
      <c r="T574">
        <v>0</v>
      </c>
      <c r="V574" t="s">
        <v>1186</v>
      </c>
      <c r="Z574" t="s">
        <v>865</v>
      </c>
      <c r="AA574" t="s">
        <v>387</v>
      </c>
      <c r="AB574">
        <v>0</v>
      </c>
      <c r="AC574">
        <v>0</v>
      </c>
      <c r="AD574" t="s">
        <v>1187</v>
      </c>
      <c r="AE574">
        <v>0</v>
      </c>
      <c r="AF574" t="s">
        <v>1188</v>
      </c>
    </row>
    <row r="575" spans="1:32" x14ac:dyDescent="0.25">
      <c r="A575">
        <v>1</v>
      </c>
      <c r="C575" s="185"/>
      <c r="E575" t="s">
        <v>386</v>
      </c>
      <c r="I575">
        <v>4152</v>
      </c>
      <c r="J575" t="s">
        <v>1843</v>
      </c>
      <c r="K575" t="s">
        <v>1843</v>
      </c>
      <c r="L575" t="s">
        <v>386</v>
      </c>
      <c r="M575" t="s">
        <v>1184</v>
      </c>
      <c r="O575">
        <v>0</v>
      </c>
      <c r="R575" t="s">
        <v>1185</v>
      </c>
      <c r="T575">
        <v>0</v>
      </c>
      <c r="V575" t="s">
        <v>1186</v>
      </c>
      <c r="Z575" t="s">
        <v>865</v>
      </c>
      <c r="AA575" t="s">
        <v>387</v>
      </c>
      <c r="AB575">
        <v>0</v>
      </c>
      <c r="AC575">
        <v>0</v>
      </c>
      <c r="AD575" t="s">
        <v>1187</v>
      </c>
      <c r="AE575">
        <v>0</v>
      </c>
      <c r="AF575" t="s">
        <v>1188</v>
      </c>
    </row>
    <row r="576" spans="1:32" x14ac:dyDescent="0.25">
      <c r="A576">
        <v>1</v>
      </c>
      <c r="C576" s="185"/>
      <c r="E576" t="s">
        <v>386</v>
      </c>
      <c r="I576">
        <v>3792</v>
      </c>
      <c r="J576" t="s">
        <v>1844</v>
      </c>
      <c r="K576" t="s">
        <v>1844</v>
      </c>
      <c r="L576" t="s">
        <v>386</v>
      </c>
      <c r="M576" t="s">
        <v>1184</v>
      </c>
      <c r="O576">
        <v>0</v>
      </c>
      <c r="R576" t="s">
        <v>1185</v>
      </c>
      <c r="T576">
        <v>0</v>
      </c>
      <c r="V576" t="s">
        <v>1186</v>
      </c>
      <c r="Z576" t="s">
        <v>865</v>
      </c>
      <c r="AA576" t="s">
        <v>387</v>
      </c>
      <c r="AB576">
        <v>0</v>
      </c>
      <c r="AC576">
        <v>0</v>
      </c>
      <c r="AD576" t="s">
        <v>1187</v>
      </c>
      <c r="AE576">
        <v>0</v>
      </c>
      <c r="AF576" t="s">
        <v>1188</v>
      </c>
    </row>
    <row r="577" spans="1:32" x14ac:dyDescent="0.25">
      <c r="A577">
        <v>1</v>
      </c>
      <c r="C577" s="185"/>
      <c r="E577" t="s">
        <v>386</v>
      </c>
      <c r="I577">
        <v>3898</v>
      </c>
      <c r="J577" t="s">
        <v>1845</v>
      </c>
      <c r="K577" t="s">
        <v>1845</v>
      </c>
      <c r="L577" t="s">
        <v>386</v>
      </c>
      <c r="M577" t="s">
        <v>1184</v>
      </c>
      <c r="O577">
        <v>0</v>
      </c>
      <c r="R577" t="s">
        <v>1185</v>
      </c>
      <c r="T577">
        <v>0</v>
      </c>
      <c r="V577" t="s">
        <v>1186</v>
      </c>
      <c r="Z577" t="s">
        <v>865</v>
      </c>
      <c r="AA577" t="s">
        <v>387</v>
      </c>
      <c r="AB577">
        <v>0</v>
      </c>
      <c r="AC577">
        <v>0</v>
      </c>
      <c r="AD577" t="s">
        <v>1187</v>
      </c>
      <c r="AE577">
        <v>0</v>
      </c>
      <c r="AF577" t="s">
        <v>1188</v>
      </c>
    </row>
    <row r="578" spans="1:32" x14ac:dyDescent="0.25">
      <c r="A578">
        <v>1</v>
      </c>
      <c r="C578" s="185"/>
      <c r="E578" t="s">
        <v>386</v>
      </c>
      <c r="I578">
        <v>4134</v>
      </c>
      <c r="J578" t="s">
        <v>1846</v>
      </c>
      <c r="K578" t="s">
        <v>1846</v>
      </c>
      <c r="L578" t="s">
        <v>386</v>
      </c>
      <c r="M578" t="s">
        <v>1184</v>
      </c>
      <c r="O578">
        <v>0</v>
      </c>
      <c r="R578" t="s">
        <v>1185</v>
      </c>
      <c r="T578">
        <v>0</v>
      </c>
      <c r="V578" t="s">
        <v>1186</v>
      </c>
      <c r="Z578" t="s">
        <v>865</v>
      </c>
      <c r="AA578" t="s">
        <v>387</v>
      </c>
      <c r="AB578">
        <v>0</v>
      </c>
      <c r="AC578">
        <v>0</v>
      </c>
      <c r="AD578" t="s">
        <v>1187</v>
      </c>
      <c r="AE578">
        <v>0</v>
      </c>
      <c r="AF578" t="s">
        <v>1188</v>
      </c>
    </row>
    <row r="579" spans="1:32" x14ac:dyDescent="0.25">
      <c r="A579">
        <v>1</v>
      </c>
      <c r="C579" s="185"/>
      <c r="E579" t="s">
        <v>386</v>
      </c>
      <c r="I579">
        <v>3740</v>
      </c>
      <c r="J579" t="s">
        <v>1847</v>
      </c>
      <c r="K579" t="s">
        <v>1847</v>
      </c>
      <c r="L579" t="s">
        <v>386</v>
      </c>
      <c r="M579" t="s">
        <v>1184</v>
      </c>
      <c r="O579">
        <v>0</v>
      </c>
      <c r="R579" t="s">
        <v>1185</v>
      </c>
      <c r="T579">
        <v>0</v>
      </c>
      <c r="V579" t="s">
        <v>1186</v>
      </c>
      <c r="Z579" t="s">
        <v>865</v>
      </c>
      <c r="AA579" t="s">
        <v>387</v>
      </c>
      <c r="AB579">
        <v>0</v>
      </c>
      <c r="AC579">
        <v>0</v>
      </c>
      <c r="AD579" t="s">
        <v>1187</v>
      </c>
      <c r="AE579">
        <v>0</v>
      </c>
      <c r="AF579" t="s">
        <v>1188</v>
      </c>
    </row>
    <row r="580" spans="1:32" x14ac:dyDescent="0.25">
      <c r="A580">
        <v>1</v>
      </c>
      <c r="C580" s="185"/>
      <c r="E580" t="s">
        <v>386</v>
      </c>
      <c r="I580">
        <v>3903</v>
      </c>
      <c r="J580" t="s">
        <v>1848</v>
      </c>
      <c r="K580" t="s">
        <v>1848</v>
      </c>
      <c r="L580" t="s">
        <v>386</v>
      </c>
      <c r="M580" t="s">
        <v>1184</v>
      </c>
      <c r="O580">
        <v>0</v>
      </c>
      <c r="R580" t="s">
        <v>1185</v>
      </c>
      <c r="T580">
        <v>0</v>
      </c>
      <c r="V580" t="s">
        <v>1186</v>
      </c>
      <c r="Z580" t="s">
        <v>865</v>
      </c>
      <c r="AA580" t="s">
        <v>387</v>
      </c>
      <c r="AB580">
        <v>0</v>
      </c>
      <c r="AC580">
        <v>0</v>
      </c>
      <c r="AD580" t="s">
        <v>1187</v>
      </c>
      <c r="AE580">
        <v>0</v>
      </c>
      <c r="AF580" t="s">
        <v>1188</v>
      </c>
    </row>
    <row r="581" spans="1:32" x14ac:dyDescent="0.25">
      <c r="A581">
        <v>1</v>
      </c>
      <c r="C581" s="185"/>
      <c r="E581" t="s">
        <v>386</v>
      </c>
      <c r="I581">
        <v>4064</v>
      </c>
      <c r="J581" t="s">
        <v>1849</v>
      </c>
      <c r="K581" t="s">
        <v>1849</v>
      </c>
      <c r="L581" t="s">
        <v>386</v>
      </c>
      <c r="M581" t="s">
        <v>1184</v>
      </c>
      <c r="O581">
        <v>0</v>
      </c>
      <c r="R581" t="s">
        <v>1185</v>
      </c>
      <c r="T581">
        <v>0</v>
      </c>
      <c r="V581" t="s">
        <v>1186</v>
      </c>
      <c r="Z581" t="s">
        <v>865</v>
      </c>
      <c r="AA581" t="s">
        <v>387</v>
      </c>
      <c r="AB581">
        <v>0</v>
      </c>
      <c r="AC581">
        <v>0</v>
      </c>
      <c r="AD581" t="s">
        <v>1187</v>
      </c>
      <c r="AE581">
        <v>0</v>
      </c>
      <c r="AF581" t="s">
        <v>1188</v>
      </c>
    </row>
    <row r="582" spans="1:32" x14ac:dyDescent="0.25">
      <c r="A582">
        <v>1</v>
      </c>
      <c r="C582" s="185"/>
      <c r="E582" t="s">
        <v>386</v>
      </c>
      <c r="I582">
        <v>4036</v>
      </c>
      <c r="J582" t="s">
        <v>1850</v>
      </c>
      <c r="K582" t="s">
        <v>1850</v>
      </c>
      <c r="L582" t="s">
        <v>386</v>
      </c>
      <c r="M582" t="s">
        <v>1184</v>
      </c>
      <c r="O582">
        <v>0</v>
      </c>
      <c r="R582" t="s">
        <v>1185</v>
      </c>
      <c r="T582">
        <v>0</v>
      </c>
      <c r="V582" t="s">
        <v>1186</v>
      </c>
      <c r="Z582" t="s">
        <v>865</v>
      </c>
      <c r="AA582" t="s">
        <v>387</v>
      </c>
      <c r="AB582">
        <v>0</v>
      </c>
      <c r="AC582">
        <v>0</v>
      </c>
      <c r="AD582" t="s">
        <v>1187</v>
      </c>
      <c r="AE582">
        <v>0</v>
      </c>
      <c r="AF582" t="s">
        <v>1188</v>
      </c>
    </row>
    <row r="583" spans="1:32" x14ac:dyDescent="0.25">
      <c r="A583">
        <v>1</v>
      </c>
      <c r="C583" s="185"/>
      <c r="E583" t="s">
        <v>386</v>
      </c>
      <c r="I583">
        <v>3962</v>
      </c>
      <c r="J583" t="s">
        <v>1851</v>
      </c>
      <c r="K583" t="s">
        <v>1851</v>
      </c>
      <c r="L583" t="s">
        <v>386</v>
      </c>
      <c r="M583" t="s">
        <v>1184</v>
      </c>
      <c r="O583">
        <v>0</v>
      </c>
      <c r="R583" t="s">
        <v>1185</v>
      </c>
      <c r="T583">
        <v>0</v>
      </c>
      <c r="V583" t="s">
        <v>1186</v>
      </c>
      <c r="Z583" t="s">
        <v>865</v>
      </c>
      <c r="AA583" t="s">
        <v>387</v>
      </c>
      <c r="AB583">
        <v>0</v>
      </c>
      <c r="AC583">
        <v>0</v>
      </c>
      <c r="AD583" t="s">
        <v>1187</v>
      </c>
      <c r="AE583">
        <v>0</v>
      </c>
      <c r="AF583" t="s">
        <v>1188</v>
      </c>
    </row>
    <row r="584" spans="1:32" x14ac:dyDescent="0.25">
      <c r="A584">
        <v>1</v>
      </c>
      <c r="C584" s="185"/>
      <c r="E584" t="s">
        <v>386</v>
      </c>
      <c r="I584">
        <v>3991</v>
      </c>
      <c r="J584" t="s">
        <v>1852</v>
      </c>
      <c r="K584" t="s">
        <v>1852</v>
      </c>
      <c r="L584" t="s">
        <v>386</v>
      </c>
      <c r="M584" t="s">
        <v>1184</v>
      </c>
      <c r="O584">
        <v>0</v>
      </c>
      <c r="R584" t="s">
        <v>1185</v>
      </c>
      <c r="T584">
        <v>0</v>
      </c>
      <c r="V584" t="s">
        <v>1186</v>
      </c>
      <c r="Z584" t="s">
        <v>865</v>
      </c>
      <c r="AA584" t="s">
        <v>387</v>
      </c>
      <c r="AB584">
        <v>0</v>
      </c>
      <c r="AC584">
        <v>0</v>
      </c>
      <c r="AD584" t="s">
        <v>1187</v>
      </c>
      <c r="AE584">
        <v>0</v>
      </c>
      <c r="AF584" t="s">
        <v>1188</v>
      </c>
    </row>
    <row r="585" spans="1:32" x14ac:dyDescent="0.25">
      <c r="A585">
        <v>1</v>
      </c>
      <c r="C585" s="185"/>
      <c r="E585" t="s">
        <v>386</v>
      </c>
      <c r="I585">
        <v>3478</v>
      </c>
      <c r="J585" t="s">
        <v>1853</v>
      </c>
      <c r="K585" t="s">
        <v>1853</v>
      </c>
      <c r="L585" t="s">
        <v>386</v>
      </c>
      <c r="M585" t="s">
        <v>1184</v>
      </c>
      <c r="O585">
        <v>0</v>
      </c>
      <c r="R585" t="s">
        <v>1185</v>
      </c>
      <c r="T585">
        <v>0</v>
      </c>
      <c r="V585" t="s">
        <v>1186</v>
      </c>
      <c r="Z585" t="s">
        <v>865</v>
      </c>
      <c r="AA585" t="s">
        <v>387</v>
      </c>
      <c r="AB585">
        <v>0</v>
      </c>
      <c r="AC585">
        <v>0</v>
      </c>
      <c r="AD585" t="s">
        <v>1187</v>
      </c>
      <c r="AE585">
        <v>0</v>
      </c>
      <c r="AF585" t="s">
        <v>1188</v>
      </c>
    </row>
    <row r="586" spans="1:32" x14ac:dyDescent="0.25">
      <c r="A586">
        <v>1</v>
      </c>
      <c r="C586" s="185"/>
      <c r="E586" t="s">
        <v>386</v>
      </c>
      <c r="I586">
        <v>4154</v>
      </c>
      <c r="J586" t="s">
        <v>1854</v>
      </c>
      <c r="K586" t="s">
        <v>1854</v>
      </c>
      <c r="L586" t="s">
        <v>386</v>
      </c>
      <c r="M586" t="s">
        <v>1184</v>
      </c>
      <c r="O586">
        <v>0</v>
      </c>
      <c r="R586" t="s">
        <v>1185</v>
      </c>
      <c r="T586">
        <v>0</v>
      </c>
      <c r="V586" t="s">
        <v>1186</v>
      </c>
      <c r="Z586" t="s">
        <v>865</v>
      </c>
      <c r="AA586" t="s">
        <v>387</v>
      </c>
      <c r="AB586">
        <v>0</v>
      </c>
      <c r="AC586">
        <v>0</v>
      </c>
      <c r="AD586" t="s">
        <v>1187</v>
      </c>
      <c r="AE586">
        <v>0</v>
      </c>
      <c r="AF586" t="s">
        <v>1188</v>
      </c>
    </row>
    <row r="587" spans="1:32" x14ac:dyDescent="0.25">
      <c r="A587">
        <v>1</v>
      </c>
      <c r="C587" s="185"/>
      <c r="E587" t="s">
        <v>386</v>
      </c>
      <c r="I587">
        <v>4061</v>
      </c>
      <c r="J587" t="s">
        <v>1855</v>
      </c>
      <c r="K587" t="s">
        <v>1855</v>
      </c>
      <c r="L587" t="s">
        <v>386</v>
      </c>
      <c r="M587" t="s">
        <v>1184</v>
      </c>
      <c r="O587">
        <v>0</v>
      </c>
      <c r="R587" t="s">
        <v>1185</v>
      </c>
      <c r="T587">
        <v>0</v>
      </c>
      <c r="V587" t="s">
        <v>1186</v>
      </c>
      <c r="Z587" t="s">
        <v>865</v>
      </c>
      <c r="AA587" t="s">
        <v>387</v>
      </c>
      <c r="AB587">
        <v>0</v>
      </c>
      <c r="AC587">
        <v>0</v>
      </c>
      <c r="AD587" t="s">
        <v>1187</v>
      </c>
      <c r="AE587">
        <v>0</v>
      </c>
      <c r="AF587" t="s">
        <v>1188</v>
      </c>
    </row>
    <row r="588" spans="1:32" x14ac:dyDescent="0.25">
      <c r="A588">
        <v>1</v>
      </c>
      <c r="C588" s="185"/>
      <c r="E588" t="s">
        <v>386</v>
      </c>
      <c r="I588">
        <v>3862</v>
      </c>
      <c r="J588" t="s">
        <v>1856</v>
      </c>
      <c r="K588" t="s">
        <v>1856</v>
      </c>
      <c r="L588" t="s">
        <v>386</v>
      </c>
      <c r="M588" t="s">
        <v>1184</v>
      </c>
      <c r="O588">
        <v>0</v>
      </c>
      <c r="R588" t="s">
        <v>1185</v>
      </c>
      <c r="T588">
        <v>0</v>
      </c>
      <c r="V588" t="s">
        <v>1186</v>
      </c>
      <c r="Z588" t="s">
        <v>865</v>
      </c>
      <c r="AA588" t="s">
        <v>387</v>
      </c>
      <c r="AB588">
        <v>0</v>
      </c>
      <c r="AC588">
        <v>0</v>
      </c>
      <c r="AD588" t="s">
        <v>1187</v>
      </c>
      <c r="AE588">
        <v>0</v>
      </c>
      <c r="AF588" t="s">
        <v>1188</v>
      </c>
    </row>
    <row r="589" spans="1:32" x14ac:dyDescent="0.25">
      <c r="A589">
        <v>1</v>
      </c>
      <c r="C589" s="185"/>
      <c r="E589" t="s">
        <v>386</v>
      </c>
      <c r="I589">
        <v>3827</v>
      </c>
      <c r="J589" t="s">
        <v>1857</v>
      </c>
      <c r="K589" t="s">
        <v>1857</v>
      </c>
      <c r="L589" t="s">
        <v>386</v>
      </c>
      <c r="M589" t="s">
        <v>1184</v>
      </c>
      <c r="O589">
        <v>0</v>
      </c>
      <c r="R589" t="s">
        <v>1185</v>
      </c>
      <c r="T589">
        <v>0</v>
      </c>
      <c r="V589" t="s">
        <v>1186</v>
      </c>
      <c r="Z589" t="s">
        <v>865</v>
      </c>
      <c r="AA589" t="s">
        <v>387</v>
      </c>
      <c r="AB589">
        <v>0</v>
      </c>
      <c r="AC589">
        <v>0</v>
      </c>
      <c r="AD589" t="s">
        <v>1187</v>
      </c>
      <c r="AE589">
        <v>0</v>
      </c>
      <c r="AF589" t="s">
        <v>1188</v>
      </c>
    </row>
    <row r="590" spans="1:32" x14ac:dyDescent="0.25">
      <c r="A590">
        <v>1</v>
      </c>
      <c r="C590" s="185"/>
      <c r="E590" t="s">
        <v>386</v>
      </c>
      <c r="I590">
        <v>4012</v>
      </c>
      <c r="J590" t="s">
        <v>1858</v>
      </c>
      <c r="K590" t="s">
        <v>1858</v>
      </c>
      <c r="L590" t="s">
        <v>386</v>
      </c>
      <c r="M590" t="s">
        <v>1184</v>
      </c>
      <c r="O590">
        <v>0</v>
      </c>
      <c r="R590" t="s">
        <v>1185</v>
      </c>
      <c r="T590">
        <v>0</v>
      </c>
      <c r="V590" t="s">
        <v>1186</v>
      </c>
      <c r="Z590" t="s">
        <v>865</v>
      </c>
      <c r="AA590" t="s">
        <v>387</v>
      </c>
      <c r="AB590">
        <v>0</v>
      </c>
      <c r="AC590">
        <v>0</v>
      </c>
      <c r="AD590" t="s">
        <v>1187</v>
      </c>
      <c r="AE590">
        <v>0</v>
      </c>
      <c r="AF590" t="s">
        <v>1188</v>
      </c>
    </row>
    <row r="591" spans="1:32" x14ac:dyDescent="0.25">
      <c r="A591">
        <v>1</v>
      </c>
      <c r="C591" s="185"/>
      <c r="E591" t="s">
        <v>386</v>
      </c>
      <c r="I591">
        <v>4056</v>
      </c>
      <c r="J591" t="s">
        <v>1859</v>
      </c>
      <c r="K591" t="s">
        <v>1859</v>
      </c>
      <c r="L591" t="s">
        <v>386</v>
      </c>
      <c r="M591" t="s">
        <v>1184</v>
      </c>
      <c r="O591">
        <v>0</v>
      </c>
      <c r="R591" t="s">
        <v>1185</v>
      </c>
      <c r="T591">
        <v>0</v>
      </c>
      <c r="V591" t="s">
        <v>1186</v>
      </c>
      <c r="Z591" t="s">
        <v>865</v>
      </c>
      <c r="AA591" t="s">
        <v>387</v>
      </c>
      <c r="AB591">
        <v>0</v>
      </c>
      <c r="AC591">
        <v>0</v>
      </c>
      <c r="AD591" t="s">
        <v>1187</v>
      </c>
      <c r="AE591">
        <v>0</v>
      </c>
      <c r="AF591" t="s">
        <v>1188</v>
      </c>
    </row>
    <row r="592" spans="1:32" x14ac:dyDescent="0.25">
      <c r="A592">
        <v>1</v>
      </c>
      <c r="C592" s="185"/>
      <c r="E592" t="s">
        <v>386</v>
      </c>
      <c r="I592">
        <v>4025</v>
      </c>
      <c r="J592" t="s">
        <v>1860</v>
      </c>
      <c r="K592" t="s">
        <v>1860</v>
      </c>
      <c r="L592" t="s">
        <v>386</v>
      </c>
      <c r="M592" t="s">
        <v>1184</v>
      </c>
      <c r="O592">
        <v>0</v>
      </c>
      <c r="R592" t="s">
        <v>1185</v>
      </c>
      <c r="T592">
        <v>0</v>
      </c>
      <c r="V592" t="s">
        <v>1186</v>
      </c>
      <c r="Z592" t="s">
        <v>865</v>
      </c>
      <c r="AA592" t="s">
        <v>387</v>
      </c>
      <c r="AB592">
        <v>0</v>
      </c>
      <c r="AC592">
        <v>0</v>
      </c>
      <c r="AD592" t="s">
        <v>1187</v>
      </c>
      <c r="AE592">
        <v>0</v>
      </c>
      <c r="AF592" t="s">
        <v>1188</v>
      </c>
    </row>
    <row r="593" spans="1:32" x14ac:dyDescent="0.25">
      <c r="A593">
        <v>1</v>
      </c>
      <c r="C593" s="185"/>
      <c r="E593" t="s">
        <v>386</v>
      </c>
      <c r="I593">
        <v>4111</v>
      </c>
      <c r="J593" t="s">
        <v>1861</v>
      </c>
      <c r="K593" t="s">
        <v>1861</v>
      </c>
      <c r="L593" t="s">
        <v>386</v>
      </c>
      <c r="M593" t="s">
        <v>1184</v>
      </c>
      <c r="O593">
        <v>0</v>
      </c>
      <c r="R593" t="s">
        <v>1185</v>
      </c>
      <c r="T593">
        <v>0</v>
      </c>
      <c r="V593" t="s">
        <v>1186</v>
      </c>
      <c r="Z593" t="s">
        <v>865</v>
      </c>
      <c r="AA593" t="s">
        <v>387</v>
      </c>
      <c r="AB593">
        <v>0</v>
      </c>
      <c r="AC593">
        <v>0</v>
      </c>
      <c r="AD593" t="s">
        <v>1187</v>
      </c>
      <c r="AE593">
        <v>0</v>
      </c>
      <c r="AF593" t="s">
        <v>1188</v>
      </c>
    </row>
    <row r="594" spans="1:32" x14ac:dyDescent="0.25">
      <c r="A594">
        <v>1</v>
      </c>
      <c r="C594" s="185"/>
      <c r="E594" t="s">
        <v>386</v>
      </c>
      <c r="I594">
        <v>3549</v>
      </c>
      <c r="J594" t="s">
        <v>1862</v>
      </c>
      <c r="K594" t="s">
        <v>1862</v>
      </c>
      <c r="L594" t="s">
        <v>386</v>
      </c>
      <c r="M594" t="s">
        <v>1184</v>
      </c>
      <c r="O594">
        <v>0</v>
      </c>
      <c r="R594" t="s">
        <v>1185</v>
      </c>
      <c r="T594">
        <v>0</v>
      </c>
      <c r="V594" t="s">
        <v>1186</v>
      </c>
      <c r="Z594" t="s">
        <v>865</v>
      </c>
      <c r="AA594" t="s">
        <v>387</v>
      </c>
      <c r="AB594">
        <v>0</v>
      </c>
      <c r="AC594">
        <v>0</v>
      </c>
      <c r="AD594" t="s">
        <v>1187</v>
      </c>
      <c r="AE594">
        <v>0</v>
      </c>
      <c r="AF594" t="s">
        <v>1188</v>
      </c>
    </row>
    <row r="595" spans="1:32" x14ac:dyDescent="0.25">
      <c r="A595">
        <v>1</v>
      </c>
      <c r="C595" s="185"/>
      <c r="E595" t="s">
        <v>386</v>
      </c>
      <c r="I595">
        <v>4093</v>
      </c>
      <c r="J595" t="s">
        <v>1863</v>
      </c>
      <c r="K595" t="s">
        <v>1863</v>
      </c>
      <c r="L595" t="s">
        <v>386</v>
      </c>
      <c r="M595" t="s">
        <v>1184</v>
      </c>
      <c r="O595">
        <v>0</v>
      </c>
      <c r="R595" t="s">
        <v>1185</v>
      </c>
      <c r="T595">
        <v>0</v>
      </c>
      <c r="V595" t="s">
        <v>1186</v>
      </c>
      <c r="Z595" t="s">
        <v>865</v>
      </c>
      <c r="AA595" t="s">
        <v>387</v>
      </c>
      <c r="AB595">
        <v>0</v>
      </c>
      <c r="AC595">
        <v>0</v>
      </c>
      <c r="AD595" t="s">
        <v>1187</v>
      </c>
      <c r="AE595">
        <v>0</v>
      </c>
      <c r="AF595" t="s">
        <v>1188</v>
      </c>
    </row>
    <row r="596" spans="1:32" x14ac:dyDescent="0.25">
      <c r="A596">
        <v>1</v>
      </c>
      <c r="C596" s="185"/>
      <c r="E596" t="s">
        <v>386</v>
      </c>
      <c r="I596">
        <v>3939</v>
      </c>
      <c r="J596" t="s">
        <v>1864</v>
      </c>
      <c r="K596" t="s">
        <v>1864</v>
      </c>
      <c r="L596" t="s">
        <v>386</v>
      </c>
      <c r="M596" t="s">
        <v>1184</v>
      </c>
      <c r="O596">
        <v>0</v>
      </c>
      <c r="R596" t="s">
        <v>1185</v>
      </c>
      <c r="T596">
        <v>0</v>
      </c>
      <c r="V596" t="s">
        <v>1186</v>
      </c>
      <c r="Z596" t="s">
        <v>865</v>
      </c>
      <c r="AA596" t="s">
        <v>387</v>
      </c>
      <c r="AB596">
        <v>0</v>
      </c>
      <c r="AC596">
        <v>0</v>
      </c>
      <c r="AD596" t="s">
        <v>1187</v>
      </c>
      <c r="AE596">
        <v>0</v>
      </c>
      <c r="AF596" t="s">
        <v>1188</v>
      </c>
    </row>
    <row r="597" spans="1:32" x14ac:dyDescent="0.25">
      <c r="A597">
        <v>1</v>
      </c>
      <c r="C597" s="185"/>
      <c r="E597" t="s">
        <v>386</v>
      </c>
      <c r="I597">
        <v>3799</v>
      </c>
      <c r="J597" t="s">
        <v>1865</v>
      </c>
      <c r="K597" t="s">
        <v>1865</v>
      </c>
      <c r="L597" t="s">
        <v>386</v>
      </c>
      <c r="M597" t="s">
        <v>1184</v>
      </c>
      <c r="O597">
        <v>0</v>
      </c>
      <c r="R597" t="s">
        <v>1185</v>
      </c>
      <c r="T597">
        <v>0</v>
      </c>
      <c r="V597" t="s">
        <v>1186</v>
      </c>
      <c r="Z597" t="s">
        <v>865</v>
      </c>
      <c r="AA597" t="s">
        <v>387</v>
      </c>
      <c r="AB597">
        <v>0</v>
      </c>
      <c r="AC597">
        <v>0</v>
      </c>
      <c r="AD597" t="s">
        <v>1187</v>
      </c>
      <c r="AE597">
        <v>0</v>
      </c>
      <c r="AF597" t="s">
        <v>1188</v>
      </c>
    </row>
    <row r="598" spans="1:32" x14ac:dyDescent="0.25">
      <c r="A598">
        <v>1</v>
      </c>
      <c r="C598" s="185"/>
      <c r="E598" t="s">
        <v>386</v>
      </c>
      <c r="I598">
        <v>3817</v>
      </c>
      <c r="J598" t="s">
        <v>1866</v>
      </c>
      <c r="K598" t="s">
        <v>1866</v>
      </c>
      <c r="L598" t="s">
        <v>386</v>
      </c>
      <c r="M598" t="s">
        <v>1184</v>
      </c>
      <c r="O598">
        <v>0</v>
      </c>
      <c r="R598" t="s">
        <v>1185</v>
      </c>
      <c r="T598">
        <v>0</v>
      </c>
      <c r="V598" t="s">
        <v>1186</v>
      </c>
      <c r="Z598" t="s">
        <v>865</v>
      </c>
      <c r="AA598" t="s">
        <v>387</v>
      </c>
      <c r="AB598">
        <v>0</v>
      </c>
      <c r="AC598">
        <v>0</v>
      </c>
      <c r="AD598" t="s">
        <v>1187</v>
      </c>
      <c r="AE598">
        <v>0</v>
      </c>
      <c r="AF598" t="s">
        <v>1188</v>
      </c>
    </row>
    <row r="599" spans="1:32" x14ac:dyDescent="0.25">
      <c r="A599">
        <v>1</v>
      </c>
      <c r="C599" s="185"/>
      <c r="E599" t="s">
        <v>386</v>
      </c>
      <c r="I599">
        <v>3698</v>
      </c>
      <c r="J599" t="s">
        <v>1867</v>
      </c>
      <c r="K599" t="s">
        <v>1867</v>
      </c>
      <c r="L599" t="s">
        <v>386</v>
      </c>
      <c r="M599" t="s">
        <v>1184</v>
      </c>
      <c r="O599">
        <v>0</v>
      </c>
      <c r="R599" t="s">
        <v>1185</v>
      </c>
      <c r="T599">
        <v>0</v>
      </c>
      <c r="V599" t="s">
        <v>1186</v>
      </c>
      <c r="Z599" t="s">
        <v>865</v>
      </c>
      <c r="AA599" t="s">
        <v>387</v>
      </c>
      <c r="AB599">
        <v>0</v>
      </c>
      <c r="AC599">
        <v>0</v>
      </c>
      <c r="AD599" t="s">
        <v>1187</v>
      </c>
      <c r="AE599">
        <v>0</v>
      </c>
      <c r="AF599" t="s">
        <v>1188</v>
      </c>
    </row>
    <row r="600" spans="1:32" x14ac:dyDescent="0.25">
      <c r="A600">
        <v>1</v>
      </c>
      <c r="C600" s="185"/>
      <c r="E600" t="s">
        <v>386</v>
      </c>
      <c r="I600">
        <v>3691</v>
      </c>
      <c r="J600" t="s">
        <v>1868</v>
      </c>
      <c r="K600" t="s">
        <v>1868</v>
      </c>
      <c r="L600" t="s">
        <v>386</v>
      </c>
      <c r="M600" t="s">
        <v>1184</v>
      </c>
      <c r="O600">
        <v>0</v>
      </c>
      <c r="R600" t="s">
        <v>1185</v>
      </c>
      <c r="T600">
        <v>0</v>
      </c>
      <c r="V600" t="s">
        <v>1186</v>
      </c>
      <c r="Z600" t="s">
        <v>865</v>
      </c>
      <c r="AA600" t="s">
        <v>387</v>
      </c>
      <c r="AB600">
        <v>0</v>
      </c>
      <c r="AC600">
        <v>0</v>
      </c>
      <c r="AD600" t="s">
        <v>1187</v>
      </c>
      <c r="AE600">
        <v>0</v>
      </c>
      <c r="AF600" t="s">
        <v>1188</v>
      </c>
    </row>
    <row r="601" spans="1:32" x14ac:dyDescent="0.25">
      <c r="A601">
        <v>1</v>
      </c>
      <c r="C601" s="185"/>
      <c r="E601" t="s">
        <v>386</v>
      </c>
      <c r="I601">
        <v>3971</v>
      </c>
      <c r="J601" t="s">
        <v>1869</v>
      </c>
      <c r="K601" t="s">
        <v>1869</v>
      </c>
      <c r="L601" t="s">
        <v>386</v>
      </c>
      <c r="M601" t="s">
        <v>1184</v>
      </c>
      <c r="O601">
        <v>0</v>
      </c>
      <c r="R601" t="s">
        <v>1185</v>
      </c>
      <c r="T601">
        <v>0</v>
      </c>
      <c r="V601" t="s">
        <v>1186</v>
      </c>
      <c r="Z601" t="s">
        <v>865</v>
      </c>
      <c r="AA601" t="s">
        <v>387</v>
      </c>
      <c r="AB601">
        <v>0</v>
      </c>
      <c r="AC601">
        <v>0</v>
      </c>
      <c r="AD601" t="s">
        <v>1187</v>
      </c>
      <c r="AE601">
        <v>0</v>
      </c>
      <c r="AF601" t="s">
        <v>1188</v>
      </c>
    </row>
    <row r="602" spans="1:32" x14ac:dyDescent="0.25">
      <c r="A602">
        <v>1</v>
      </c>
      <c r="C602" s="185"/>
      <c r="E602" t="s">
        <v>386</v>
      </c>
      <c r="I602">
        <v>3709</v>
      </c>
      <c r="J602" t="s">
        <v>1870</v>
      </c>
      <c r="K602" t="s">
        <v>1870</v>
      </c>
      <c r="L602" t="s">
        <v>386</v>
      </c>
      <c r="M602" t="s">
        <v>1184</v>
      </c>
      <c r="O602">
        <v>0</v>
      </c>
      <c r="R602" t="s">
        <v>1185</v>
      </c>
      <c r="T602">
        <v>0</v>
      </c>
      <c r="V602" t="s">
        <v>1186</v>
      </c>
      <c r="Z602" t="s">
        <v>865</v>
      </c>
      <c r="AA602" t="s">
        <v>387</v>
      </c>
      <c r="AB602">
        <v>0</v>
      </c>
      <c r="AC602">
        <v>0</v>
      </c>
      <c r="AD602" t="s">
        <v>1187</v>
      </c>
      <c r="AE602">
        <v>0</v>
      </c>
      <c r="AF602" t="s">
        <v>1188</v>
      </c>
    </row>
    <row r="603" spans="1:32" x14ac:dyDescent="0.25">
      <c r="A603">
        <v>1</v>
      </c>
      <c r="C603" s="185"/>
      <c r="E603" t="s">
        <v>386</v>
      </c>
      <c r="I603">
        <v>3672</v>
      </c>
      <c r="J603" t="s">
        <v>1871</v>
      </c>
      <c r="K603" t="s">
        <v>1871</v>
      </c>
      <c r="L603" t="s">
        <v>386</v>
      </c>
      <c r="M603" t="s">
        <v>1184</v>
      </c>
      <c r="O603">
        <v>0</v>
      </c>
      <c r="R603" t="s">
        <v>1185</v>
      </c>
      <c r="T603">
        <v>0</v>
      </c>
      <c r="V603" t="s">
        <v>1186</v>
      </c>
      <c r="Z603" t="s">
        <v>865</v>
      </c>
      <c r="AA603" t="s">
        <v>387</v>
      </c>
      <c r="AB603">
        <v>0</v>
      </c>
      <c r="AC603">
        <v>0</v>
      </c>
      <c r="AD603" t="s">
        <v>1187</v>
      </c>
      <c r="AE603">
        <v>0</v>
      </c>
      <c r="AF603" t="s">
        <v>1188</v>
      </c>
    </row>
    <row r="604" spans="1:32" x14ac:dyDescent="0.25">
      <c r="A604">
        <v>1</v>
      </c>
      <c r="C604" s="185"/>
      <c r="E604" t="s">
        <v>386</v>
      </c>
      <c r="I604">
        <v>3883</v>
      </c>
      <c r="J604" t="s">
        <v>1872</v>
      </c>
      <c r="K604" t="s">
        <v>1872</v>
      </c>
      <c r="L604" t="s">
        <v>386</v>
      </c>
      <c r="M604" t="s">
        <v>1184</v>
      </c>
      <c r="O604">
        <v>0</v>
      </c>
      <c r="R604" t="s">
        <v>1185</v>
      </c>
      <c r="T604">
        <v>0</v>
      </c>
      <c r="V604" t="s">
        <v>1186</v>
      </c>
      <c r="Z604" t="s">
        <v>865</v>
      </c>
      <c r="AA604" t="s">
        <v>387</v>
      </c>
      <c r="AB604">
        <v>0</v>
      </c>
      <c r="AC604">
        <v>0</v>
      </c>
      <c r="AD604" t="s">
        <v>1187</v>
      </c>
      <c r="AE604">
        <v>0</v>
      </c>
      <c r="AF604" t="s">
        <v>1188</v>
      </c>
    </row>
    <row r="605" spans="1:32" x14ac:dyDescent="0.25">
      <c r="A605">
        <v>1</v>
      </c>
      <c r="C605" s="185"/>
      <c r="E605" t="s">
        <v>386</v>
      </c>
      <c r="I605">
        <v>4197</v>
      </c>
      <c r="J605" t="s">
        <v>1873</v>
      </c>
      <c r="K605" t="s">
        <v>1873</v>
      </c>
      <c r="L605" t="s">
        <v>386</v>
      </c>
      <c r="M605" t="s">
        <v>1184</v>
      </c>
      <c r="O605">
        <v>0</v>
      </c>
      <c r="R605" t="s">
        <v>1185</v>
      </c>
      <c r="T605">
        <v>0</v>
      </c>
      <c r="V605" t="s">
        <v>1186</v>
      </c>
      <c r="Z605" t="s">
        <v>865</v>
      </c>
      <c r="AA605" t="s">
        <v>387</v>
      </c>
      <c r="AB605">
        <v>0</v>
      </c>
      <c r="AC605">
        <v>0</v>
      </c>
      <c r="AD605" t="s">
        <v>1187</v>
      </c>
      <c r="AE605">
        <v>0</v>
      </c>
      <c r="AF605" t="s">
        <v>1188</v>
      </c>
    </row>
    <row r="606" spans="1:32" x14ac:dyDescent="0.25">
      <c r="A606">
        <v>1</v>
      </c>
      <c r="C606" s="185"/>
      <c r="E606" t="s">
        <v>386</v>
      </c>
      <c r="I606">
        <v>3685</v>
      </c>
      <c r="J606" t="s">
        <v>1874</v>
      </c>
      <c r="K606" t="s">
        <v>1874</v>
      </c>
      <c r="L606" t="s">
        <v>386</v>
      </c>
      <c r="M606" t="s">
        <v>1184</v>
      </c>
      <c r="O606">
        <v>0</v>
      </c>
      <c r="R606" t="s">
        <v>1185</v>
      </c>
      <c r="T606">
        <v>0</v>
      </c>
      <c r="V606" t="s">
        <v>1186</v>
      </c>
      <c r="Z606" t="s">
        <v>865</v>
      </c>
      <c r="AA606" t="s">
        <v>387</v>
      </c>
      <c r="AB606">
        <v>0</v>
      </c>
      <c r="AC606">
        <v>0</v>
      </c>
      <c r="AD606" t="s">
        <v>1187</v>
      </c>
      <c r="AE606">
        <v>0</v>
      </c>
      <c r="AF606" t="s">
        <v>1188</v>
      </c>
    </row>
    <row r="607" spans="1:32" x14ac:dyDescent="0.25">
      <c r="A607">
        <v>1</v>
      </c>
      <c r="C607" s="185"/>
      <c r="E607" t="s">
        <v>386</v>
      </c>
      <c r="I607">
        <v>3563</v>
      </c>
      <c r="J607" t="s">
        <v>1875</v>
      </c>
      <c r="K607" t="s">
        <v>1875</v>
      </c>
      <c r="L607" t="s">
        <v>386</v>
      </c>
      <c r="M607" t="s">
        <v>1184</v>
      </c>
      <c r="O607">
        <v>0</v>
      </c>
      <c r="R607" t="s">
        <v>1185</v>
      </c>
      <c r="T607">
        <v>0</v>
      </c>
      <c r="V607" t="s">
        <v>1186</v>
      </c>
      <c r="Z607" t="s">
        <v>865</v>
      </c>
      <c r="AA607" t="s">
        <v>387</v>
      </c>
      <c r="AB607">
        <v>0</v>
      </c>
      <c r="AC607">
        <v>0</v>
      </c>
      <c r="AD607" t="s">
        <v>1187</v>
      </c>
      <c r="AE607">
        <v>0</v>
      </c>
      <c r="AF607" t="s">
        <v>1188</v>
      </c>
    </row>
    <row r="608" spans="1:32" x14ac:dyDescent="0.25">
      <c r="A608">
        <v>1</v>
      </c>
      <c r="C608" s="185"/>
      <c r="E608" t="s">
        <v>386</v>
      </c>
      <c r="I608">
        <v>3605</v>
      </c>
      <c r="J608" t="s">
        <v>1876</v>
      </c>
      <c r="K608" t="s">
        <v>1876</v>
      </c>
      <c r="L608" t="s">
        <v>386</v>
      </c>
      <c r="M608" t="s">
        <v>1184</v>
      </c>
      <c r="O608">
        <v>0</v>
      </c>
      <c r="R608" t="s">
        <v>1185</v>
      </c>
      <c r="T608">
        <v>0</v>
      </c>
      <c r="V608" t="s">
        <v>1186</v>
      </c>
      <c r="Z608" t="s">
        <v>865</v>
      </c>
      <c r="AA608" t="s">
        <v>387</v>
      </c>
      <c r="AB608">
        <v>0</v>
      </c>
      <c r="AC608">
        <v>0</v>
      </c>
      <c r="AD608" t="s">
        <v>1187</v>
      </c>
      <c r="AE608">
        <v>0</v>
      </c>
      <c r="AF608" t="s">
        <v>1188</v>
      </c>
    </row>
    <row r="609" spans="1:32" x14ac:dyDescent="0.25">
      <c r="A609">
        <v>1</v>
      </c>
      <c r="C609" s="185"/>
      <c r="E609" t="s">
        <v>386</v>
      </c>
      <c r="I609">
        <v>3749</v>
      </c>
      <c r="J609" t="s">
        <v>1877</v>
      </c>
      <c r="K609" t="s">
        <v>1877</v>
      </c>
      <c r="L609" t="s">
        <v>386</v>
      </c>
      <c r="M609" t="s">
        <v>1184</v>
      </c>
      <c r="O609">
        <v>0</v>
      </c>
      <c r="R609" t="s">
        <v>1185</v>
      </c>
      <c r="T609">
        <v>0</v>
      </c>
      <c r="V609" t="s">
        <v>1186</v>
      </c>
      <c r="Z609" t="s">
        <v>865</v>
      </c>
      <c r="AA609" t="s">
        <v>387</v>
      </c>
      <c r="AB609">
        <v>0</v>
      </c>
      <c r="AC609">
        <v>0</v>
      </c>
      <c r="AD609" t="s">
        <v>1187</v>
      </c>
      <c r="AE609">
        <v>0</v>
      </c>
      <c r="AF609" t="s">
        <v>1188</v>
      </c>
    </row>
    <row r="610" spans="1:32" x14ac:dyDescent="0.25">
      <c r="A610">
        <v>1</v>
      </c>
      <c r="C610" s="185"/>
      <c r="E610" t="s">
        <v>386</v>
      </c>
      <c r="I610">
        <v>3972</v>
      </c>
      <c r="J610" t="s">
        <v>1878</v>
      </c>
      <c r="K610" t="s">
        <v>1878</v>
      </c>
      <c r="L610" t="s">
        <v>386</v>
      </c>
      <c r="M610" t="s">
        <v>1184</v>
      </c>
      <c r="O610">
        <v>0</v>
      </c>
      <c r="R610" t="s">
        <v>1185</v>
      </c>
      <c r="T610">
        <v>0</v>
      </c>
      <c r="V610" t="s">
        <v>1186</v>
      </c>
      <c r="Z610" t="s">
        <v>865</v>
      </c>
      <c r="AA610" t="s">
        <v>387</v>
      </c>
      <c r="AB610">
        <v>0</v>
      </c>
      <c r="AC610">
        <v>0</v>
      </c>
      <c r="AD610" t="s">
        <v>1187</v>
      </c>
      <c r="AE610">
        <v>0</v>
      </c>
      <c r="AF610" t="s">
        <v>1188</v>
      </c>
    </row>
    <row r="611" spans="1:32" x14ac:dyDescent="0.25">
      <c r="A611">
        <v>1</v>
      </c>
      <c r="C611" s="185"/>
      <c r="E611" t="s">
        <v>386</v>
      </c>
      <c r="H611" t="s">
        <v>1879</v>
      </c>
      <c r="I611">
        <v>3633</v>
      </c>
      <c r="J611" t="s">
        <v>1880</v>
      </c>
      <c r="K611" t="s">
        <v>1880</v>
      </c>
      <c r="L611" t="s">
        <v>386</v>
      </c>
      <c r="M611" t="s">
        <v>1184</v>
      </c>
      <c r="O611">
        <v>0</v>
      </c>
      <c r="R611" t="s">
        <v>1185</v>
      </c>
      <c r="T611">
        <v>292</v>
      </c>
      <c r="V611" t="s">
        <v>1881</v>
      </c>
      <c r="W611" t="s">
        <v>1186</v>
      </c>
      <c r="X611">
        <v>0</v>
      </c>
      <c r="Z611" t="s">
        <v>865</v>
      </c>
      <c r="AA611" t="s">
        <v>387</v>
      </c>
      <c r="AB611">
        <v>0</v>
      </c>
      <c r="AC611">
        <v>0</v>
      </c>
      <c r="AD611" t="s">
        <v>1187</v>
      </c>
      <c r="AE611">
        <v>0</v>
      </c>
      <c r="AF611" t="s">
        <v>1188</v>
      </c>
    </row>
    <row r="612" spans="1:32" x14ac:dyDescent="0.25">
      <c r="A612">
        <v>1</v>
      </c>
      <c r="C612" s="185"/>
      <c r="E612" t="s">
        <v>386</v>
      </c>
      <c r="I612">
        <v>4149</v>
      </c>
      <c r="J612" t="s">
        <v>1882</v>
      </c>
      <c r="K612" t="s">
        <v>1882</v>
      </c>
      <c r="L612" t="s">
        <v>386</v>
      </c>
      <c r="M612" t="s">
        <v>1184</v>
      </c>
      <c r="O612">
        <v>0</v>
      </c>
      <c r="R612" t="s">
        <v>1185</v>
      </c>
      <c r="T612">
        <v>0</v>
      </c>
      <c r="V612" t="s">
        <v>1186</v>
      </c>
      <c r="Z612" t="s">
        <v>865</v>
      </c>
      <c r="AA612" t="s">
        <v>387</v>
      </c>
      <c r="AB612">
        <v>0</v>
      </c>
      <c r="AC612">
        <v>0</v>
      </c>
      <c r="AD612" t="s">
        <v>1187</v>
      </c>
      <c r="AE612">
        <v>0</v>
      </c>
      <c r="AF612" t="s">
        <v>1188</v>
      </c>
    </row>
    <row r="613" spans="1:32" x14ac:dyDescent="0.25">
      <c r="A613">
        <v>1</v>
      </c>
      <c r="C613" s="185"/>
      <c r="E613" t="s">
        <v>386</v>
      </c>
      <c r="I613">
        <v>4199</v>
      </c>
      <c r="J613" t="s">
        <v>1883</v>
      </c>
      <c r="K613" t="s">
        <v>1883</v>
      </c>
      <c r="L613" t="s">
        <v>386</v>
      </c>
      <c r="M613" t="s">
        <v>1184</v>
      </c>
      <c r="O613">
        <v>0</v>
      </c>
      <c r="R613" t="s">
        <v>1185</v>
      </c>
      <c r="T613">
        <v>0</v>
      </c>
      <c r="V613" t="s">
        <v>1186</v>
      </c>
      <c r="Z613" t="s">
        <v>865</v>
      </c>
      <c r="AA613" t="s">
        <v>387</v>
      </c>
      <c r="AB613">
        <v>0</v>
      </c>
      <c r="AC613">
        <v>0</v>
      </c>
      <c r="AD613" t="s">
        <v>1187</v>
      </c>
      <c r="AE613">
        <v>0</v>
      </c>
      <c r="AF613" t="s">
        <v>1188</v>
      </c>
    </row>
    <row r="614" spans="1:32" x14ac:dyDescent="0.25">
      <c r="A614">
        <v>1</v>
      </c>
      <c r="C614" s="185"/>
      <c r="E614" t="s">
        <v>386</v>
      </c>
      <c r="I614">
        <v>3675</v>
      </c>
      <c r="J614" t="s">
        <v>1884</v>
      </c>
      <c r="K614" t="s">
        <v>1884</v>
      </c>
      <c r="L614" t="s">
        <v>386</v>
      </c>
      <c r="M614" t="s">
        <v>1184</v>
      </c>
      <c r="O614">
        <v>0</v>
      </c>
      <c r="R614" t="s">
        <v>1185</v>
      </c>
      <c r="T614">
        <v>0</v>
      </c>
      <c r="V614" t="s">
        <v>1186</v>
      </c>
      <c r="Z614" t="s">
        <v>865</v>
      </c>
      <c r="AA614" t="s">
        <v>387</v>
      </c>
      <c r="AB614">
        <v>0</v>
      </c>
      <c r="AC614">
        <v>0</v>
      </c>
      <c r="AD614" t="s">
        <v>1187</v>
      </c>
      <c r="AE614">
        <v>0</v>
      </c>
      <c r="AF614" t="s">
        <v>1188</v>
      </c>
    </row>
    <row r="615" spans="1:32" x14ac:dyDescent="0.25">
      <c r="A615">
        <v>1</v>
      </c>
      <c r="C615" s="185"/>
      <c r="E615" t="s">
        <v>386</v>
      </c>
      <c r="I615">
        <v>3512</v>
      </c>
      <c r="J615" t="s">
        <v>1885</v>
      </c>
      <c r="K615" t="s">
        <v>1885</v>
      </c>
      <c r="L615" t="s">
        <v>386</v>
      </c>
      <c r="M615" t="s">
        <v>1184</v>
      </c>
      <c r="O615">
        <v>0</v>
      </c>
      <c r="R615" t="s">
        <v>1185</v>
      </c>
      <c r="T615">
        <v>0</v>
      </c>
      <c r="V615" t="s">
        <v>1186</v>
      </c>
      <c r="Z615" t="s">
        <v>865</v>
      </c>
      <c r="AA615" t="s">
        <v>387</v>
      </c>
      <c r="AB615">
        <v>0</v>
      </c>
      <c r="AC615">
        <v>0</v>
      </c>
      <c r="AD615" t="s">
        <v>1187</v>
      </c>
      <c r="AE615">
        <v>0</v>
      </c>
      <c r="AF615" t="s">
        <v>1188</v>
      </c>
    </row>
    <row r="616" spans="1:32" x14ac:dyDescent="0.25">
      <c r="A616">
        <v>1</v>
      </c>
      <c r="C616" s="185"/>
      <c r="E616" t="s">
        <v>386</v>
      </c>
      <c r="I616">
        <v>4097</v>
      </c>
      <c r="J616" t="s">
        <v>1886</v>
      </c>
      <c r="K616" t="s">
        <v>1886</v>
      </c>
      <c r="L616" t="s">
        <v>386</v>
      </c>
      <c r="M616" t="s">
        <v>1184</v>
      </c>
      <c r="O616">
        <v>0</v>
      </c>
      <c r="R616" t="s">
        <v>1185</v>
      </c>
      <c r="T616">
        <v>0</v>
      </c>
      <c r="V616" t="s">
        <v>1186</v>
      </c>
      <c r="Z616" t="s">
        <v>865</v>
      </c>
      <c r="AA616" t="s">
        <v>387</v>
      </c>
      <c r="AB616">
        <v>0</v>
      </c>
      <c r="AC616">
        <v>0</v>
      </c>
      <c r="AD616" t="s">
        <v>1187</v>
      </c>
      <c r="AE616">
        <v>0</v>
      </c>
      <c r="AF616" t="s">
        <v>1188</v>
      </c>
    </row>
    <row r="617" spans="1:32" x14ac:dyDescent="0.25">
      <c r="A617">
        <v>1</v>
      </c>
      <c r="C617" s="185"/>
      <c r="E617" t="s">
        <v>386</v>
      </c>
      <c r="I617">
        <v>4100</v>
      </c>
      <c r="J617" t="s">
        <v>1887</v>
      </c>
      <c r="K617" t="s">
        <v>1887</v>
      </c>
      <c r="L617" t="s">
        <v>386</v>
      </c>
      <c r="M617" t="s">
        <v>1184</v>
      </c>
      <c r="O617">
        <v>0</v>
      </c>
      <c r="R617" t="s">
        <v>1185</v>
      </c>
      <c r="T617">
        <v>0</v>
      </c>
      <c r="V617" t="s">
        <v>1186</v>
      </c>
      <c r="Z617" t="s">
        <v>865</v>
      </c>
      <c r="AA617" t="s">
        <v>387</v>
      </c>
      <c r="AB617">
        <v>0</v>
      </c>
      <c r="AC617">
        <v>0</v>
      </c>
      <c r="AD617" t="s">
        <v>1187</v>
      </c>
      <c r="AE617">
        <v>0</v>
      </c>
      <c r="AF617" t="s">
        <v>1188</v>
      </c>
    </row>
    <row r="618" spans="1:32" x14ac:dyDescent="0.25">
      <c r="A618">
        <v>1</v>
      </c>
      <c r="C618" s="185"/>
      <c r="E618" t="s">
        <v>386</v>
      </c>
      <c r="I618">
        <v>3956</v>
      </c>
      <c r="J618" t="s">
        <v>1888</v>
      </c>
      <c r="K618" t="s">
        <v>1888</v>
      </c>
      <c r="L618" t="s">
        <v>386</v>
      </c>
      <c r="M618" t="s">
        <v>1184</v>
      </c>
      <c r="O618">
        <v>0</v>
      </c>
      <c r="R618" t="s">
        <v>1185</v>
      </c>
      <c r="T618">
        <v>0</v>
      </c>
      <c r="V618" t="s">
        <v>1186</v>
      </c>
      <c r="Z618" t="s">
        <v>865</v>
      </c>
      <c r="AA618" t="s">
        <v>387</v>
      </c>
      <c r="AB618">
        <v>0</v>
      </c>
      <c r="AC618">
        <v>0</v>
      </c>
      <c r="AD618" t="s">
        <v>1187</v>
      </c>
      <c r="AE618">
        <v>0</v>
      </c>
      <c r="AF618" t="s">
        <v>1188</v>
      </c>
    </row>
    <row r="619" spans="1:32" x14ac:dyDescent="0.25">
      <c r="A619">
        <v>1</v>
      </c>
      <c r="C619" s="185"/>
      <c r="E619" t="s">
        <v>386</v>
      </c>
      <c r="I619">
        <v>4159</v>
      </c>
      <c r="J619" t="s">
        <v>1889</v>
      </c>
      <c r="K619" t="s">
        <v>1889</v>
      </c>
      <c r="L619" t="s">
        <v>386</v>
      </c>
      <c r="M619" t="s">
        <v>1184</v>
      </c>
      <c r="O619">
        <v>0</v>
      </c>
      <c r="R619" t="s">
        <v>1185</v>
      </c>
      <c r="T619">
        <v>0</v>
      </c>
      <c r="V619" t="s">
        <v>1186</v>
      </c>
      <c r="Z619" t="s">
        <v>865</v>
      </c>
      <c r="AA619" t="s">
        <v>387</v>
      </c>
      <c r="AB619">
        <v>0</v>
      </c>
      <c r="AC619">
        <v>0</v>
      </c>
      <c r="AD619" t="s">
        <v>1187</v>
      </c>
      <c r="AE619">
        <v>0</v>
      </c>
      <c r="AF619" t="s">
        <v>1188</v>
      </c>
    </row>
    <row r="620" spans="1:32" x14ac:dyDescent="0.25">
      <c r="A620">
        <v>1</v>
      </c>
      <c r="C620" s="185"/>
      <c r="E620" t="s">
        <v>386</v>
      </c>
      <c r="I620">
        <v>3599</v>
      </c>
      <c r="J620" t="s">
        <v>1890</v>
      </c>
      <c r="K620" t="s">
        <v>1890</v>
      </c>
      <c r="L620" t="s">
        <v>386</v>
      </c>
      <c r="M620" t="s">
        <v>1184</v>
      </c>
      <c r="O620">
        <v>0</v>
      </c>
      <c r="R620" t="s">
        <v>1185</v>
      </c>
      <c r="T620">
        <v>0</v>
      </c>
      <c r="V620" t="s">
        <v>1186</v>
      </c>
      <c r="Z620" t="s">
        <v>865</v>
      </c>
      <c r="AA620" t="s">
        <v>387</v>
      </c>
      <c r="AB620">
        <v>0</v>
      </c>
      <c r="AC620">
        <v>0</v>
      </c>
      <c r="AD620" t="s">
        <v>1187</v>
      </c>
      <c r="AE620">
        <v>0</v>
      </c>
      <c r="AF620" t="s">
        <v>1188</v>
      </c>
    </row>
    <row r="621" spans="1:32" x14ac:dyDescent="0.25">
      <c r="A621">
        <v>1</v>
      </c>
      <c r="C621" s="185"/>
      <c r="E621" t="s">
        <v>386</v>
      </c>
      <c r="I621">
        <v>4204</v>
      </c>
      <c r="J621" t="s">
        <v>1891</v>
      </c>
      <c r="K621" t="s">
        <v>1891</v>
      </c>
      <c r="L621" t="s">
        <v>386</v>
      </c>
      <c r="M621" t="s">
        <v>1184</v>
      </c>
      <c r="O621">
        <v>0</v>
      </c>
      <c r="R621" t="s">
        <v>1185</v>
      </c>
      <c r="T621">
        <v>0</v>
      </c>
      <c r="V621" t="s">
        <v>1186</v>
      </c>
      <c r="Z621" t="s">
        <v>865</v>
      </c>
      <c r="AA621" t="s">
        <v>387</v>
      </c>
      <c r="AB621">
        <v>0</v>
      </c>
      <c r="AC621">
        <v>0</v>
      </c>
      <c r="AD621" t="s">
        <v>1187</v>
      </c>
      <c r="AE621">
        <v>0</v>
      </c>
      <c r="AF621" t="s">
        <v>1188</v>
      </c>
    </row>
    <row r="622" spans="1:32" x14ac:dyDescent="0.25">
      <c r="A622">
        <v>1</v>
      </c>
      <c r="C622" s="185"/>
      <c r="E622" t="s">
        <v>386</v>
      </c>
      <c r="I622">
        <v>3794</v>
      </c>
      <c r="J622" t="s">
        <v>1892</v>
      </c>
      <c r="K622" t="s">
        <v>1892</v>
      </c>
      <c r="L622" t="s">
        <v>386</v>
      </c>
      <c r="M622" t="s">
        <v>1184</v>
      </c>
      <c r="O622">
        <v>0</v>
      </c>
      <c r="R622" t="s">
        <v>1185</v>
      </c>
      <c r="T622">
        <v>0</v>
      </c>
      <c r="V622" t="s">
        <v>1186</v>
      </c>
      <c r="Z622" t="s">
        <v>865</v>
      </c>
      <c r="AA622" t="s">
        <v>387</v>
      </c>
      <c r="AB622">
        <v>0</v>
      </c>
      <c r="AC622">
        <v>0</v>
      </c>
      <c r="AD622" t="s">
        <v>1187</v>
      </c>
      <c r="AE622">
        <v>0</v>
      </c>
      <c r="AF622" t="s">
        <v>1188</v>
      </c>
    </row>
    <row r="623" spans="1:32" x14ac:dyDescent="0.25">
      <c r="A623">
        <v>1</v>
      </c>
      <c r="C623" s="185"/>
      <c r="E623" t="s">
        <v>386</v>
      </c>
      <c r="I623">
        <v>4117</v>
      </c>
      <c r="J623" t="s">
        <v>1893</v>
      </c>
      <c r="K623" t="s">
        <v>1893</v>
      </c>
      <c r="L623" t="s">
        <v>386</v>
      </c>
      <c r="M623" t="s">
        <v>1184</v>
      </c>
      <c r="O623">
        <v>0</v>
      </c>
      <c r="R623" t="s">
        <v>1185</v>
      </c>
      <c r="T623">
        <v>0</v>
      </c>
      <c r="V623" t="s">
        <v>1186</v>
      </c>
      <c r="Z623" t="s">
        <v>865</v>
      </c>
      <c r="AA623" t="s">
        <v>387</v>
      </c>
      <c r="AB623">
        <v>0</v>
      </c>
      <c r="AC623">
        <v>0</v>
      </c>
      <c r="AD623" t="s">
        <v>1187</v>
      </c>
      <c r="AE623">
        <v>0</v>
      </c>
      <c r="AF623" t="s">
        <v>1188</v>
      </c>
    </row>
    <row r="624" spans="1:32" x14ac:dyDescent="0.25">
      <c r="A624">
        <v>1</v>
      </c>
      <c r="C624" s="185"/>
      <c r="E624" t="s">
        <v>386</v>
      </c>
      <c r="I624">
        <v>4115</v>
      </c>
      <c r="J624" t="s">
        <v>1894</v>
      </c>
      <c r="K624" t="s">
        <v>1894</v>
      </c>
      <c r="L624" t="s">
        <v>386</v>
      </c>
      <c r="M624" t="s">
        <v>1184</v>
      </c>
      <c r="O624">
        <v>0</v>
      </c>
      <c r="R624" t="s">
        <v>1185</v>
      </c>
      <c r="T624">
        <v>0</v>
      </c>
      <c r="V624" t="s">
        <v>1186</v>
      </c>
      <c r="Z624" t="s">
        <v>865</v>
      </c>
      <c r="AA624" t="s">
        <v>387</v>
      </c>
      <c r="AB624">
        <v>0</v>
      </c>
      <c r="AC624">
        <v>0</v>
      </c>
      <c r="AD624" t="s">
        <v>1187</v>
      </c>
      <c r="AE624">
        <v>0</v>
      </c>
      <c r="AF624" t="s">
        <v>1188</v>
      </c>
    </row>
    <row r="625" spans="1:34" x14ac:dyDescent="0.25">
      <c r="A625">
        <v>1</v>
      </c>
      <c r="C625" s="185"/>
      <c r="E625" t="s">
        <v>386</v>
      </c>
      <c r="I625">
        <v>3981</v>
      </c>
      <c r="J625" t="s">
        <v>1895</v>
      </c>
      <c r="K625" t="s">
        <v>1895</v>
      </c>
      <c r="L625" t="s">
        <v>386</v>
      </c>
      <c r="M625" t="s">
        <v>1184</v>
      </c>
      <c r="O625">
        <v>0</v>
      </c>
      <c r="R625" t="s">
        <v>1185</v>
      </c>
      <c r="T625">
        <v>0</v>
      </c>
      <c r="V625" t="s">
        <v>1186</v>
      </c>
      <c r="Z625" t="s">
        <v>865</v>
      </c>
      <c r="AA625" t="s">
        <v>387</v>
      </c>
      <c r="AB625">
        <v>0</v>
      </c>
      <c r="AC625">
        <v>0</v>
      </c>
      <c r="AD625" t="s">
        <v>1187</v>
      </c>
      <c r="AE625">
        <v>0</v>
      </c>
      <c r="AF625" t="s">
        <v>1188</v>
      </c>
    </row>
    <row r="626" spans="1:34" x14ac:dyDescent="0.25">
      <c r="A626">
        <v>1</v>
      </c>
      <c r="C626" s="185"/>
      <c r="E626" t="s">
        <v>386</v>
      </c>
      <c r="I626">
        <v>3950</v>
      </c>
      <c r="J626" t="s">
        <v>1896</v>
      </c>
      <c r="K626" t="s">
        <v>1896</v>
      </c>
      <c r="L626" t="s">
        <v>386</v>
      </c>
      <c r="M626" t="s">
        <v>1184</v>
      </c>
      <c r="O626">
        <v>0</v>
      </c>
      <c r="R626" t="s">
        <v>1185</v>
      </c>
      <c r="T626">
        <v>0</v>
      </c>
      <c r="V626" t="s">
        <v>1186</v>
      </c>
      <c r="Z626" t="s">
        <v>865</v>
      </c>
      <c r="AA626" t="s">
        <v>387</v>
      </c>
      <c r="AB626">
        <v>0</v>
      </c>
      <c r="AC626">
        <v>0</v>
      </c>
      <c r="AD626" t="s">
        <v>1187</v>
      </c>
      <c r="AE626">
        <v>0</v>
      </c>
      <c r="AF626" t="s">
        <v>1188</v>
      </c>
    </row>
    <row r="627" spans="1:34" x14ac:dyDescent="0.25">
      <c r="A627">
        <v>1468</v>
      </c>
      <c r="C627" s="185"/>
      <c r="E627" t="s">
        <v>386</v>
      </c>
      <c r="F627" t="s">
        <v>1897</v>
      </c>
      <c r="I627">
        <v>7958</v>
      </c>
      <c r="J627" t="s">
        <v>1898</v>
      </c>
      <c r="K627" t="s">
        <v>1899</v>
      </c>
      <c r="L627" t="s">
        <v>386</v>
      </c>
      <c r="M627" t="s">
        <v>1193</v>
      </c>
      <c r="N627">
        <v>0</v>
      </c>
      <c r="O627">
        <v>37</v>
      </c>
      <c r="T627">
        <v>220</v>
      </c>
      <c r="V627" t="s">
        <v>1194</v>
      </c>
      <c r="W627" t="s">
        <v>1194</v>
      </c>
      <c r="X627">
        <v>220</v>
      </c>
      <c r="Z627" t="s">
        <v>946</v>
      </c>
      <c r="AA627" t="s">
        <v>387</v>
      </c>
      <c r="AB627">
        <v>29000</v>
      </c>
      <c r="AC627">
        <v>3257</v>
      </c>
      <c r="AD627" t="s">
        <v>1900</v>
      </c>
      <c r="AE627">
        <v>1529</v>
      </c>
      <c r="AF627" t="s">
        <v>1901</v>
      </c>
      <c r="AG627" t="s">
        <v>1902</v>
      </c>
    </row>
    <row r="628" spans="1:34" x14ac:dyDescent="0.25">
      <c r="A628">
        <v>1467</v>
      </c>
      <c r="B628" t="s">
        <v>1313</v>
      </c>
      <c r="C628" s="185"/>
      <c r="E628" t="s">
        <v>386</v>
      </c>
      <c r="F628" t="s">
        <v>1897</v>
      </c>
      <c r="G628" t="s">
        <v>1903</v>
      </c>
      <c r="I628">
        <v>8859</v>
      </c>
      <c r="J628" t="s">
        <v>1908</v>
      </c>
      <c r="K628" t="s">
        <v>1908</v>
      </c>
      <c r="L628" t="s">
        <v>386</v>
      </c>
      <c r="M628" t="s">
        <v>1193</v>
      </c>
      <c r="N628">
        <v>0</v>
      </c>
      <c r="O628">
        <v>0</v>
      </c>
      <c r="R628" t="s">
        <v>398</v>
      </c>
      <c r="S628" t="s">
        <v>1909</v>
      </c>
      <c r="T628">
        <v>189</v>
      </c>
      <c r="U628">
        <v>0</v>
      </c>
      <c r="V628" t="s">
        <v>1910</v>
      </c>
      <c r="Y628" t="s">
        <v>1317</v>
      </c>
      <c r="Z628" t="s">
        <v>1102</v>
      </c>
      <c r="AA628" t="s">
        <v>387</v>
      </c>
      <c r="AB628">
        <v>0</v>
      </c>
      <c r="AC628">
        <v>3545</v>
      </c>
      <c r="AD628" t="s">
        <v>1911</v>
      </c>
      <c r="AE628">
        <v>1645</v>
      </c>
      <c r="AF628" t="s">
        <v>1912</v>
      </c>
      <c r="AG628" t="s">
        <v>1244</v>
      </c>
    </row>
    <row r="629" spans="1:34" x14ac:dyDescent="0.25">
      <c r="A629">
        <v>1852</v>
      </c>
      <c r="C629" s="185"/>
      <c r="E629" t="s">
        <v>386</v>
      </c>
      <c r="F629" t="s">
        <v>1897</v>
      </c>
      <c r="I629">
        <v>9262</v>
      </c>
      <c r="J629" t="s">
        <v>1913</v>
      </c>
      <c r="K629" t="s">
        <v>1914</v>
      </c>
      <c r="L629" t="s">
        <v>386</v>
      </c>
      <c r="M629" t="s">
        <v>1193</v>
      </c>
      <c r="N629">
        <v>0</v>
      </c>
      <c r="O629">
        <v>56</v>
      </c>
      <c r="R629" t="s">
        <v>398</v>
      </c>
      <c r="T629">
        <v>220</v>
      </c>
      <c r="V629" t="s">
        <v>1194</v>
      </c>
      <c r="W629" t="s">
        <v>1915</v>
      </c>
      <c r="X629">
        <v>185</v>
      </c>
      <c r="Z629" t="s">
        <v>1916</v>
      </c>
      <c r="AA629" t="s">
        <v>387</v>
      </c>
      <c r="AB629">
        <v>48000</v>
      </c>
      <c r="AC629">
        <v>3687</v>
      </c>
      <c r="AD629" t="s">
        <v>1917</v>
      </c>
      <c r="AE629">
        <v>1715</v>
      </c>
      <c r="AF629" t="s">
        <v>1918</v>
      </c>
      <c r="AG629" t="s">
        <v>1919</v>
      </c>
    </row>
    <row r="630" spans="1:34" x14ac:dyDescent="0.25">
      <c r="A630">
        <v>1</v>
      </c>
      <c r="C630" s="185"/>
      <c r="E630" t="s">
        <v>386</v>
      </c>
      <c r="F630" t="s">
        <v>1228</v>
      </c>
      <c r="G630" t="s">
        <v>1192</v>
      </c>
      <c r="H630" t="s">
        <v>1710</v>
      </c>
      <c r="I630">
        <v>5214</v>
      </c>
      <c r="J630" t="s">
        <v>1920</v>
      </c>
      <c r="K630" t="s">
        <v>1920</v>
      </c>
      <c r="L630" t="s">
        <v>386</v>
      </c>
      <c r="M630" t="s">
        <v>1184</v>
      </c>
      <c r="N630">
        <v>1</v>
      </c>
      <c r="O630">
        <v>0</v>
      </c>
      <c r="R630" t="s">
        <v>1208</v>
      </c>
      <c r="T630">
        <v>1</v>
      </c>
      <c r="V630" t="s">
        <v>1921</v>
      </c>
      <c r="Z630" t="s">
        <v>865</v>
      </c>
      <c r="AA630" t="s">
        <v>386</v>
      </c>
      <c r="AB630">
        <v>0</v>
      </c>
      <c r="AC630">
        <v>0</v>
      </c>
      <c r="AD630" t="s">
        <v>1187</v>
      </c>
      <c r="AE630">
        <v>1</v>
      </c>
      <c r="AF630" t="s">
        <v>1922</v>
      </c>
      <c r="AG630" t="s">
        <v>1923</v>
      </c>
      <c r="AH630" t="s">
        <v>1924</v>
      </c>
    </row>
    <row r="631" spans="1:34" x14ac:dyDescent="0.25">
      <c r="A631">
        <v>1</v>
      </c>
      <c r="C631" s="185"/>
      <c r="E631" t="s">
        <v>386</v>
      </c>
      <c r="F631" t="s">
        <v>1228</v>
      </c>
      <c r="G631" t="s">
        <v>1192</v>
      </c>
      <c r="H631" t="s">
        <v>1710</v>
      </c>
      <c r="I631">
        <v>6194</v>
      </c>
      <c r="J631" t="s">
        <v>1925</v>
      </c>
      <c r="K631" t="s">
        <v>1925</v>
      </c>
      <c r="L631" t="s">
        <v>386</v>
      </c>
      <c r="M631" t="s">
        <v>1184</v>
      </c>
      <c r="N631">
        <v>1</v>
      </c>
      <c r="O631">
        <v>0</v>
      </c>
      <c r="R631" t="s">
        <v>1208</v>
      </c>
      <c r="T631">
        <v>1</v>
      </c>
      <c r="V631" t="s">
        <v>1921</v>
      </c>
      <c r="Z631" t="s">
        <v>865</v>
      </c>
      <c r="AA631" t="s">
        <v>386</v>
      </c>
      <c r="AB631">
        <v>0</v>
      </c>
      <c r="AC631">
        <v>0</v>
      </c>
      <c r="AD631" t="s">
        <v>1187</v>
      </c>
      <c r="AE631">
        <v>1</v>
      </c>
      <c r="AF631" t="s">
        <v>1922</v>
      </c>
      <c r="AG631" t="s">
        <v>1923</v>
      </c>
      <c r="AH631" t="s">
        <v>1924</v>
      </c>
    </row>
    <row r="632" spans="1:34" x14ac:dyDescent="0.25">
      <c r="A632">
        <v>57</v>
      </c>
      <c r="C632" s="185"/>
      <c r="D632" t="s">
        <v>24</v>
      </c>
      <c r="E632" t="s">
        <v>386</v>
      </c>
      <c r="F632" t="s">
        <v>1926</v>
      </c>
      <c r="G632" t="s">
        <v>1903</v>
      </c>
      <c r="I632">
        <v>211</v>
      </c>
      <c r="J632" t="s">
        <v>1926</v>
      </c>
      <c r="K632" t="s">
        <v>1927</v>
      </c>
      <c r="L632" t="s">
        <v>386</v>
      </c>
      <c r="M632" t="s">
        <v>1193</v>
      </c>
      <c r="N632">
        <v>211</v>
      </c>
      <c r="O632">
        <v>56</v>
      </c>
      <c r="R632" t="s">
        <v>398</v>
      </c>
      <c r="T632">
        <v>220</v>
      </c>
      <c r="V632" t="s">
        <v>1194</v>
      </c>
      <c r="W632" t="s">
        <v>1186</v>
      </c>
      <c r="X632">
        <v>0</v>
      </c>
      <c r="Z632" t="s">
        <v>1928</v>
      </c>
      <c r="AA632" t="s">
        <v>387</v>
      </c>
      <c r="AB632">
        <v>48000</v>
      </c>
      <c r="AC632">
        <v>285</v>
      </c>
      <c r="AD632" t="s">
        <v>1929</v>
      </c>
      <c r="AE632">
        <v>95</v>
      </c>
      <c r="AF632" t="s">
        <v>1930</v>
      </c>
      <c r="AG632" t="s">
        <v>1931</v>
      </c>
    </row>
    <row r="633" spans="1:34" x14ac:dyDescent="0.25">
      <c r="A633">
        <v>3</v>
      </c>
      <c r="C633" s="185"/>
      <c r="E633" t="s">
        <v>386</v>
      </c>
      <c r="F633" t="s">
        <v>1932</v>
      </c>
      <c r="G633" t="s">
        <v>1192</v>
      </c>
      <c r="H633" t="s">
        <v>1933</v>
      </c>
      <c r="I633">
        <v>292</v>
      </c>
      <c r="J633" t="s">
        <v>1932</v>
      </c>
      <c r="K633" t="s">
        <v>1932</v>
      </c>
      <c r="L633" t="s">
        <v>386</v>
      </c>
      <c r="M633" t="s">
        <v>1184</v>
      </c>
      <c r="N633">
        <v>292</v>
      </c>
      <c r="O633">
        <v>0</v>
      </c>
      <c r="R633" t="s">
        <v>1208</v>
      </c>
      <c r="T633">
        <v>31</v>
      </c>
      <c r="V633" t="s">
        <v>1934</v>
      </c>
      <c r="Z633" t="s">
        <v>1935</v>
      </c>
      <c r="AA633" t="s">
        <v>386</v>
      </c>
      <c r="AB633">
        <v>0</v>
      </c>
      <c r="AC633">
        <v>394</v>
      </c>
      <c r="AD633" t="s">
        <v>1936</v>
      </c>
      <c r="AE633">
        <v>130</v>
      </c>
      <c r="AF633" t="s">
        <v>1937</v>
      </c>
      <c r="AG633" t="s">
        <v>1938</v>
      </c>
      <c r="AH633" t="s">
        <v>1939</v>
      </c>
    </row>
    <row r="634" spans="1:34" x14ac:dyDescent="0.25">
      <c r="A634">
        <v>6</v>
      </c>
      <c r="C634" s="185"/>
      <c r="D634" t="s">
        <v>24</v>
      </c>
      <c r="E634" t="s">
        <v>386</v>
      </c>
      <c r="F634" t="s">
        <v>1940</v>
      </c>
      <c r="G634" t="s">
        <v>1192</v>
      </c>
      <c r="H634" t="s">
        <v>1941</v>
      </c>
      <c r="I634">
        <v>323</v>
      </c>
      <c r="J634" t="s">
        <v>1940</v>
      </c>
      <c r="K634" t="s">
        <v>1940</v>
      </c>
      <c r="L634" t="s">
        <v>386</v>
      </c>
      <c r="M634" t="s">
        <v>1184</v>
      </c>
      <c r="N634">
        <v>323</v>
      </c>
      <c r="O634">
        <v>10</v>
      </c>
      <c r="R634" t="s">
        <v>398</v>
      </c>
      <c r="T634">
        <v>0</v>
      </c>
      <c r="V634" t="s">
        <v>1186</v>
      </c>
      <c r="Z634" t="s">
        <v>892</v>
      </c>
      <c r="AA634" t="s">
        <v>387</v>
      </c>
      <c r="AB634">
        <v>6000</v>
      </c>
      <c r="AC634">
        <v>350</v>
      </c>
      <c r="AD634" t="s">
        <v>1942</v>
      </c>
      <c r="AE634">
        <v>18</v>
      </c>
      <c r="AF634" t="s">
        <v>1259</v>
      </c>
      <c r="AG634" t="s">
        <v>1931</v>
      </c>
      <c r="AH634" t="s">
        <v>1943</v>
      </c>
    </row>
    <row r="635" spans="1:34" x14ac:dyDescent="0.25">
      <c r="A635">
        <v>99</v>
      </c>
      <c r="B635" t="s">
        <v>1313</v>
      </c>
      <c r="C635" s="185"/>
      <c r="D635" t="s">
        <v>24</v>
      </c>
      <c r="E635" t="s">
        <v>386</v>
      </c>
      <c r="F635" t="s">
        <v>1944</v>
      </c>
      <c r="G635" t="s">
        <v>1903</v>
      </c>
      <c r="I635">
        <v>402</v>
      </c>
      <c r="J635" t="s">
        <v>1944</v>
      </c>
      <c r="K635" t="s">
        <v>1944</v>
      </c>
      <c r="L635" t="s">
        <v>386</v>
      </c>
      <c r="M635" t="s">
        <v>1193</v>
      </c>
      <c r="N635">
        <v>402</v>
      </c>
      <c r="O635">
        <v>10</v>
      </c>
      <c r="R635" t="s">
        <v>398</v>
      </c>
      <c r="S635" t="s">
        <v>1315</v>
      </c>
      <c r="T635">
        <v>0</v>
      </c>
      <c r="U635">
        <v>0</v>
      </c>
      <c r="V635" t="s">
        <v>1186</v>
      </c>
      <c r="Y635" t="s">
        <v>1317</v>
      </c>
      <c r="Z635" t="s">
        <v>1945</v>
      </c>
      <c r="AA635" t="s">
        <v>387</v>
      </c>
      <c r="AB635">
        <v>6000</v>
      </c>
      <c r="AC635">
        <v>442</v>
      </c>
      <c r="AD635" t="s">
        <v>1946</v>
      </c>
      <c r="AE635">
        <v>175</v>
      </c>
      <c r="AF635" t="s">
        <v>1947</v>
      </c>
      <c r="AG635" t="s">
        <v>1931</v>
      </c>
      <c r="AH635" t="s">
        <v>1948</v>
      </c>
    </row>
    <row r="636" spans="1:34" x14ac:dyDescent="0.25">
      <c r="A636">
        <v>186</v>
      </c>
      <c r="B636" t="s">
        <v>1313</v>
      </c>
      <c r="C636" s="185"/>
      <c r="E636" t="s">
        <v>386</v>
      </c>
      <c r="F636" t="s">
        <v>1949</v>
      </c>
      <c r="G636" t="s">
        <v>1903</v>
      </c>
      <c r="I636">
        <v>873</v>
      </c>
      <c r="J636" t="s">
        <v>1949</v>
      </c>
      <c r="K636" t="s">
        <v>1949</v>
      </c>
      <c r="L636" t="s">
        <v>386</v>
      </c>
      <c r="M636" t="s">
        <v>1193</v>
      </c>
      <c r="N636">
        <v>873</v>
      </c>
      <c r="O636">
        <v>0</v>
      </c>
      <c r="S636" t="s">
        <v>1315</v>
      </c>
      <c r="T636">
        <v>0</v>
      </c>
      <c r="U636">
        <v>0</v>
      </c>
      <c r="V636" t="s">
        <v>1186</v>
      </c>
      <c r="Y636" t="s">
        <v>1317</v>
      </c>
      <c r="Z636" t="s">
        <v>1950</v>
      </c>
      <c r="AA636" t="s">
        <v>387</v>
      </c>
      <c r="AB636">
        <v>0</v>
      </c>
      <c r="AC636">
        <v>754</v>
      </c>
      <c r="AD636" t="s">
        <v>1951</v>
      </c>
      <c r="AE636">
        <v>0</v>
      </c>
      <c r="AF636" t="s">
        <v>1188</v>
      </c>
      <c r="AG636" t="s">
        <v>1952</v>
      </c>
      <c r="AH636" t="s">
        <v>1953</v>
      </c>
    </row>
    <row r="637" spans="1:34" x14ac:dyDescent="0.25">
      <c r="A637">
        <v>198</v>
      </c>
      <c r="B637" t="s">
        <v>1313</v>
      </c>
      <c r="C637" s="185"/>
      <c r="E637" t="s">
        <v>386</v>
      </c>
      <c r="F637" t="s">
        <v>1954</v>
      </c>
      <c r="G637" t="s">
        <v>1903</v>
      </c>
      <c r="H637" t="s">
        <v>1955</v>
      </c>
      <c r="I637">
        <v>947</v>
      </c>
      <c r="J637" t="s">
        <v>1954</v>
      </c>
      <c r="K637" t="s">
        <v>1954</v>
      </c>
      <c r="L637" t="s">
        <v>386</v>
      </c>
      <c r="M637" t="s">
        <v>1193</v>
      </c>
      <c r="N637">
        <v>947</v>
      </c>
      <c r="O637">
        <v>0</v>
      </c>
      <c r="S637" t="s">
        <v>1315</v>
      </c>
      <c r="T637">
        <v>0</v>
      </c>
      <c r="U637">
        <v>0</v>
      </c>
      <c r="V637" t="s">
        <v>1186</v>
      </c>
      <c r="Y637" t="s">
        <v>1317</v>
      </c>
      <c r="Z637" t="s">
        <v>1956</v>
      </c>
      <c r="AA637" t="s">
        <v>387</v>
      </c>
      <c r="AB637">
        <v>0</v>
      </c>
      <c r="AC637">
        <v>795</v>
      </c>
      <c r="AD637" t="s">
        <v>1957</v>
      </c>
      <c r="AE637">
        <v>0</v>
      </c>
      <c r="AF637" t="s">
        <v>1188</v>
      </c>
      <c r="AG637" t="s">
        <v>1958</v>
      </c>
      <c r="AH637" t="s">
        <v>1959</v>
      </c>
    </row>
    <row r="638" spans="1:34" x14ac:dyDescent="0.25">
      <c r="A638">
        <v>205</v>
      </c>
      <c r="C638" s="185"/>
      <c r="D638" t="s">
        <v>24</v>
      </c>
      <c r="E638" t="s">
        <v>386</v>
      </c>
      <c r="F638" t="s">
        <v>1960</v>
      </c>
      <c r="G638" t="s">
        <v>1903</v>
      </c>
      <c r="I638">
        <v>1040</v>
      </c>
      <c r="J638" t="s">
        <v>1960</v>
      </c>
      <c r="K638" t="s">
        <v>1961</v>
      </c>
      <c r="L638" t="s">
        <v>386</v>
      </c>
      <c r="M638" t="s">
        <v>1193</v>
      </c>
      <c r="N638">
        <v>1040</v>
      </c>
      <c r="O638">
        <v>56</v>
      </c>
      <c r="R638" t="s">
        <v>398</v>
      </c>
      <c r="T638">
        <v>220</v>
      </c>
      <c r="V638" t="s">
        <v>1194</v>
      </c>
      <c r="W638" t="s">
        <v>1186</v>
      </c>
      <c r="X638">
        <v>0</v>
      </c>
      <c r="Z638" t="s">
        <v>1012</v>
      </c>
      <c r="AA638" t="s">
        <v>387</v>
      </c>
      <c r="AB638">
        <v>48000</v>
      </c>
      <c r="AC638">
        <v>858</v>
      </c>
      <c r="AD638" t="s">
        <v>1962</v>
      </c>
      <c r="AE638">
        <v>0</v>
      </c>
      <c r="AF638" t="s">
        <v>1188</v>
      </c>
      <c r="AG638" t="s">
        <v>1931</v>
      </c>
    </row>
    <row r="639" spans="1:34" x14ac:dyDescent="0.25">
      <c r="A639">
        <v>207</v>
      </c>
      <c r="B639" t="s">
        <v>1313</v>
      </c>
      <c r="C639" s="185"/>
      <c r="D639" t="s">
        <v>24</v>
      </c>
      <c r="E639" t="s">
        <v>386</v>
      </c>
      <c r="F639" t="s">
        <v>504</v>
      </c>
      <c r="G639" t="s">
        <v>1903</v>
      </c>
      <c r="I639">
        <v>1062</v>
      </c>
      <c r="J639" t="s">
        <v>504</v>
      </c>
      <c r="K639" t="s">
        <v>1963</v>
      </c>
      <c r="L639" t="s">
        <v>386</v>
      </c>
      <c r="M639" t="s">
        <v>1193</v>
      </c>
      <c r="N639">
        <v>1062</v>
      </c>
      <c r="O639">
        <v>56</v>
      </c>
      <c r="R639" t="s">
        <v>398</v>
      </c>
      <c r="S639" t="s">
        <v>1909</v>
      </c>
      <c r="T639">
        <v>473</v>
      </c>
      <c r="U639">
        <v>0</v>
      </c>
      <c r="V639" t="s">
        <v>1964</v>
      </c>
      <c r="W639" t="s">
        <v>1194</v>
      </c>
      <c r="X639">
        <v>220</v>
      </c>
      <c r="Y639" t="s">
        <v>1317</v>
      </c>
      <c r="Z639" t="s">
        <v>954</v>
      </c>
      <c r="AA639" t="s">
        <v>387</v>
      </c>
      <c r="AB639">
        <v>48000</v>
      </c>
      <c r="AC639">
        <v>1005</v>
      </c>
      <c r="AD639" t="s">
        <v>1965</v>
      </c>
      <c r="AE639">
        <v>0</v>
      </c>
      <c r="AF639" t="s">
        <v>1188</v>
      </c>
      <c r="AG639" t="s">
        <v>1966</v>
      </c>
      <c r="AH639" t="s">
        <v>1967</v>
      </c>
    </row>
    <row r="640" spans="1:34" x14ac:dyDescent="0.25">
      <c r="A640">
        <v>969</v>
      </c>
      <c r="B640" t="s">
        <v>1313</v>
      </c>
      <c r="C640" s="185"/>
      <c r="D640" t="s">
        <v>24</v>
      </c>
      <c r="E640" t="s">
        <v>386</v>
      </c>
      <c r="F640" t="s">
        <v>1968</v>
      </c>
      <c r="G640" t="s">
        <v>1903</v>
      </c>
      <c r="I640">
        <v>1100</v>
      </c>
      <c r="J640" t="s">
        <v>1968</v>
      </c>
      <c r="K640" t="s">
        <v>1969</v>
      </c>
      <c r="L640" t="s">
        <v>386</v>
      </c>
      <c r="M640" t="s">
        <v>1193</v>
      </c>
      <c r="N640">
        <v>1100</v>
      </c>
      <c r="O640">
        <v>56</v>
      </c>
      <c r="R640" t="s">
        <v>398</v>
      </c>
      <c r="S640" t="s">
        <v>1315</v>
      </c>
      <c r="T640">
        <v>220</v>
      </c>
      <c r="U640">
        <v>0</v>
      </c>
      <c r="V640" t="s">
        <v>1194</v>
      </c>
      <c r="W640" t="s">
        <v>1194</v>
      </c>
      <c r="X640">
        <v>220</v>
      </c>
      <c r="Y640" t="s">
        <v>1317</v>
      </c>
      <c r="Z640" t="s">
        <v>1970</v>
      </c>
      <c r="AA640" t="s">
        <v>387</v>
      </c>
      <c r="AB640">
        <v>48000</v>
      </c>
      <c r="AC640">
        <v>895</v>
      </c>
      <c r="AD640" t="s">
        <v>1970</v>
      </c>
      <c r="AE640">
        <v>0</v>
      </c>
      <c r="AF640" t="s">
        <v>1188</v>
      </c>
      <c r="AG640" t="s">
        <v>1931</v>
      </c>
    </row>
    <row r="641" spans="1:34" x14ac:dyDescent="0.25">
      <c r="A641">
        <v>1252</v>
      </c>
      <c r="B641" t="s">
        <v>1313</v>
      </c>
      <c r="C641" s="185"/>
      <c r="D641" t="s">
        <v>24</v>
      </c>
      <c r="E641" t="s">
        <v>386</v>
      </c>
      <c r="F641" t="s">
        <v>1971</v>
      </c>
      <c r="G641" t="s">
        <v>1903</v>
      </c>
      <c r="I641">
        <v>1216</v>
      </c>
      <c r="J641" t="s">
        <v>1971</v>
      </c>
      <c r="K641" t="s">
        <v>1971</v>
      </c>
      <c r="L641" t="s">
        <v>386</v>
      </c>
      <c r="M641" t="s">
        <v>1193</v>
      </c>
      <c r="N641">
        <v>1216</v>
      </c>
      <c r="O641">
        <v>0</v>
      </c>
      <c r="S641" t="s">
        <v>1315</v>
      </c>
      <c r="T641">
        <v>0</v>
      </c>
      <c r="U641">
        <v>0</v>
      </c>
      <c r="V641" t="s">
        <v>1186</v>
      </c>
      <c r="Y641" t="s">
        <v>1317</v>
      </c>
      <c r="Z641" t="s">
        <v>1972</v>
      </c>
      <c r="AA641" t="s">
        <v>387</v>
      </c>
      <c r="AB641">
        <v>0</v>
      </c>
      <c r="AC641">
        <v>970</v>
      </c>
      <c r="AD641" t="s">
        <v>1973</v>
      </c>
      <c r="AE641">
        <v>0</v>
      </c>
      <c r="AF641" t="s">
        <v>1188</v>
      </c>
      <c r="AG641" t="s">
        <v>23</v>
      </c>
      <c r="AH641" t="s">
        <v>1974</v>
      </c>
    </row>
    <row r="642" spans="1:34" x14ac:dyDescent="0.25">
      <c r="A642">
        <v>1253</v>
      </c>
      <c r="B642" t="s">
        <v>1313</v>
      </c>
      <c r="C642" s="185"/>
      <c r="E642" t="s">
        <v>386</v>
      </c>
      <c r="F642" t="s">
        <v>1975</v>
      </c>
      <c r="G642" t="s">
        <v>1903</v>
      </c>
      <c r="I642">
        <v>1217</v>
      </c>
      <c r="J642" t="s">
        <v>1975</v>
      </c>
      <c r="K642" t="s">
        <v>1975</v>
      </c>
      <c r="L642" t="s">
        <v>386</v>
      </c>
      <c r="M642" t="s">
        <v>1193</v>
      </c>
      <c r="N642">
        <v>1217</v>
      </c>
      <c r="O642">
        <v>0</v>
      </c>
      <c r="S642" t="s">
        <v>1315</v>
      </c>
      <c r="T642">
        <v>0</v>
      </c>
      <c r="U642">
        <v>0</v>
      </c>
      <c r="V642" t="s">
        <v>1186</v>
      </c>
      <c r="Y642" t="s">
        <v>1317</v>
      </c>
      <c r="Z642" t="s">
        <v>1976</v>
      </c>
      <c r="AA642" t="s">
        <v>387</v>
      </c>
      <c r="AB642">
        <v>0</v>
      </c>
      <c r="AC642">
        <v>971</v>
      </c>
      <c r="AD642" t="s">
        <v>1977</v>
      </c>
      <c r="AE642">
        <v>0</v>
      </c>
      <c r="AF642" t="s">
        <v>1188</v>
      </c>
      <c r="AG642" t="s">
        <v>1931</v>
      </c>
      <c r="AH642" t="s">
        <v>1978</v>
      </c>
    </row>
    <row r="643" spans="1:34" x14ac:dyDescent="0.25">
      <c r="A643">
        <v>1271</v>
      </c>
      <c r="B643" t="s">
        <v>1313</v>
      </c>
      <c r="C643" s="185"/>
      <c r="D643" t="s">
        <v>24</v>
      </c>
      <c r="E643" t="s">
        <v>386</v>
      </c>
      <c r="F643" t="s">
        <v>1979</v>
      </c>
      <c r="G643" t="s">
        <v>1903</v>
      </c>
      <c r="I643">
        <v>1310</v>
      </c>
      <c r="J643" t="s">
        <v>1979</v>
      </c>
      <c r="K643" t="s">
        <v>1980</v>
      </c>
      <c r="L643" t="s">
        <v>386</v>
      </c>
      <c r="M643" t="s">
        <v>1193</v>
      </c>
      <c r="N643">
        <v>1310</v>
      </c>
      <c r="O643">
        <v>37</v>
      </c>
      <c r="R643" t="s">
        <v>398</v>
      </c>
      <c r="S643" t="s">
        <v>1909</v>
      </c>
      <c r="T643">
        <v>220</v>
      </c>
      <c r="U643">
        <v>0</v>
      </c>
      <c r="V643" t="s">
        <v>1194</v>
      </c>
      <c r="W643" t="s">
        <v>1981</v>
      </c>
      <c r="X643">
        <v>23</v>
      </c>
      <c r="Y643" t="s">
        <v>1317</v>
      </c>
      <c r="Z643" t="s">
        <v>1982</v>
      </c>
      <c r="AA643" t="s">
        <v>387</v>
      </c>
      <c r="AB643">
        <v>29000</v>
      </c>
      <c r="AC643">
        <v>1025</v>
      </c>
      <c r="AD643" t="s">
        <v>1983</v>
      </c>
      <c r="AE643">
        <v>0</v>
      </c>
      <c r="AF643" t="s">
        <v>1188</v>
      </c>
      <c r="AG643" t="s">
        <v>1984</v>
      </c>
      <c r="AH643" t="s">
        <v>1985</v>
      </c>
    </row>
    <row r="644" spans="1:34" x14ac:dyDescent="0.25">
      <c r="A644">
        <v>207</v>
      </c>
      <c r="B644" t="s">
        <v>1313</v>
      </c>
      <c r="C644" s="185"/>
      <c r="E644" t="s">
        <v>386</v>
      </c>
      <c r="F644" t="s">
        <v>1986</v>
      </c>
      <c r="G644" t="s">
        <v>1903</v>
      </c>
      <c r="I644">
        <v>1344</v>
      </c>
      <c r="J644" t="s">
        <v>1986</v>
      </c>
      <c r="K644" t="s">
        <v>1986</v>
      </c>
      <c r="L644" t="s">
        <v>386</v>
      </c>
      <c r="M644" t="s">
        <v>1193</v>
      </c>
      <c r="N644">
        <v>1344</v>
      </c>
      <c r="O644">
        <v>11</v>
      </c>
      <c r="R644" t="s">
        <v>398</v>
      </c>
      <c r="S644" t="s">
        <v>1315</v>
      </c>
      <c r="T644">
        <v>0</v>
      </c>
      <c r="U644">
        <v>0</v>
      </c>
      <c r="V644" t="s">
        <v>1186</v>
      </c>
      <c r="Y644" t="s">
        <v>1317</v>
      </c>
      <c r="Z644" t="s">
        <v>954</v>
      </c>
      <c r="AA644" t="s">
        <v>387</v>
      </c>
      <c r="AB644">
        <v>7000</v>
      </c>
      <c r="AC644">
        <v>0</v>
      </c>
      <c r="AD644" t="s">
        <v>1187</v>
      </c>
      <c r="AE644">
        <v>0</v>
      </c>
      <c r="AF644" t="s">
        <v>1188</v>
      </c>
    </row>
    <row r="645" spans="1:34" x14ac:dyDescent="0.25">
      <c r="A645">
        <v>207</v>
      </c>
      <c r="B645" t="s">
        <v>1313</v>
      </c>
      <c r="C645" s="185"/>
      <c r="E645" t="s">
        <v>386</v>
      </c>
      <c r="F645" t="s">
        <v>1986</v>
      </c>
      <c r="I645">
        <v>8506</v>
      </c>
      <c r="J645" t="s">
        <v>1987</v>
      </c>
      <c r="K645" t="s">
        <v>1987</v>
      </c>
      <c r="L645" t="s">
        <v>386</v>
      </c>
      <c r="M645" t="s">
        <v>1193</v>
      </c>
      <c r="N645">
        <v>1344</v>
      </c>
      <c r="O645">
        <v>11</v>
      </c>
      <c r="R645" t="s">
        <v>398</v>
      </c>
      <c r="S645" t="s">
        <v>1315</v>
      </c>
      <c r="T645">
        <v>122</v>
      </c>
      <c r="U645">
        <v>0</v>
      </c>
      <c r="V645" t="s">
        <v>1988</v>
      </c>
      <c r="Y645" t="s">
        <v>1317</v>
      </c>
      <c r="Z645" t="s">
        <v>954</v>
      </c>
      <c r="AA645" t="s">
        <v>387</v>
      </c>
      <c r="AB645">
        <v>7000</v>
      </c>
      <c r="AC645">
        <v>0</v>
      </c>
      <c r="AD645" t="s">
        <v>1187</v>
      </c>
      <c r="AE645">
        <v>0</v>
      </c>
      <c r="AF645" t="s">
        <v>1188</v>
      </c>
    </row>
    <row r="646" spans="1:34" x14ac:dyDescent="0.25">
      <c r="A646">
        <v>207</v>
      </c>
      <c r="B646" t="s">
        <v>1313</v>
      </c>
      <c r="C646" s="185"/>
      <c r="E646" t="s">
        <v>386</v>
      </c>
      <c r="F646" t="s">
        <v>1986</v>
      </c>
      <c r="I646">
        <v>8503</v>
      </c>
      <c r="J646" t="s">
        <v>1989</v>
      </c>
      <c r="K646" t="s">
        <v>1989</v>
      </c>
      <c r="L646" t="s">
        <v>386</v>
      </c>
      <c r="M646" t="s">
        <v>1193</v>
      </c>
      <c r="N646">
        <v>1344</v>
      </c>
      <c r="O646">
        <v>11</v>
      </c>
      <c r="R646" t="s">
        <v>398</v>
      </c>
      <c r="S646" t="s">
        <v>1315</v>
      </c>
      <c r="T646">
        <v>122</v>
      </c>
      <c r="U646">
        <v>0</v>
      </c>
      <c r="V646" t="s">
        <v>1988</v>
      </c>
      <c r="Y646" t="s">
        <v>1317</v>
      </c>
      <c r="Z646" t="s">
        <v>954</v>
      </c>
      <c r="AA646" t="s">
        <v>387</v>
      </c>
      <c r="AB646">
        <v>7000</v>
      </c>
      <c r="AC646">
        <v>0</v>
      </c>
      <c r="AD646" t="s">
        <v>1187</v>
      </c>
      <c r="AE646">
        <v>0</v>
      </c>
      <c r="AF646" t="s">
        <v>1188</v>
      </c>
    </row>
    <row r="647" spans="1:34" x14ac:dyDescent="0.25">
      <c r="A647">
        <v>207</v>
      </c>
      <c r="B647" t="s">
        <v>1313</v>
      </c>
      <c r="C647" s="185"/>
      <c r="E647" t="s">
        <v>386</v>
      </c>
      <c r="F647" t="s">
        <v>1986</v>
      </c>
      <c r="I647">
        <v>8504</v>
      </c>
      <c r="J647" t="s">
        <v>1990</v>
      </c>
      <c r="K647" t="s">
        <v>1990</v>
      </c>
      <c r="L647" t="s">
        <v>386</v>
      </c>
      <c r="M647" t="s">
        <v>1193</v>
      </c>
      <c r="N647">
        <v>1344</v>
      </c>
      <c r="O647">
        <v>11</v>
      </c>
      <c r="R647" t="s">
        <v>398</v>
      </c>
      <c r="S647" t="s">
        <v>1315</v>
      </c>
      <c r="T647">
        <v>122</v>
      </c>
      <c r="U647">
        <v>0</v>
      </c>
      <c r="V647" t="s">
        <v>1988</v>
      </c>
      <c r="Y647" t="s">
        <v>1317</v>
      </c>
      <c r="Z647" t="s">
        <v>954</v>
      </c>
      <c r="AA647" t="s">
        <v>387</v>
      </c>
      <c r="AB647">
        <v>7000</v>
      </c>
      <c r="AC647">
        <v>0</v>
      </c>
      <c r="AD647" t="s">
        <v>1187</v>
      </c>
      <c r="AE647">
        <v>0</v>
      </c>
      <c r="AF647" t="s">
        <v>1188</v>
      </c>
    </row>
    <row r="648" spans="1:34" x14ac:dyDescent="0.25">
      <c r="A648">
        <v>207</v>
      </c>
      <c r="B648" t="s">
        <v>1313</v>
      </c>
      <c r="C648" s="185"/>
      <c r="E648" t="s">
        <v>386</v>
      </c>
      <c r="F648" t="s">
        <v>1986</v>
      </c>
      <c r="I648">
        <v>8505</v>
      </c>
      <c r="J648" t="s">
        <v>1991</v>
      </c>
      <c r="K648" t="s">
        <v>1991</v>
      </c>
      <c r="L648" t="s">
        <v>386</v>
      </c>
      <c r="M648" t="s">
        <v>1193</v>
      </c>
      <c r="N648">
        <v>1344</v>
      </c>
      <c r="O648">
        <v>11</v>
      </c>
      <c r="R648" t="s">
        <v>398</v>
      </c>
      <c r="S648" t="s">
        <v>1315</v>
      </c>
      <c r="T648">
        <v>122</v>
      </c>
      <c r="U648">
        <v>0</v>
      </c>
      <c r="V648" t="s">
        <v>1988</v>
      </c>
      <c r="Y648" t="s">
        <v>1317</v>
      </c>
      <c r="Z648" t="s">
        <v>954</v>
      </c>
      <c r="AA648" t="s">
        <v>387</v>
      </c>
      <c r="AB648">
        <v>7000</v>
      </c>
      <c r="AC648">
        <v>0</v>
      </c>
      <c r="AD648" t="s">
        <v>1187</v>
      </c>
      <c r="AE648">
        <v>0</v>
      </c>
      <c r="AF648" t="s">
        <v>1188</v>
      </c>
    </row>
    <row r="649" spans="1:34" x14ac:dyDescent="0.25">
      <c r="A649">
        <v>207</v>
      </c>
      <c r="B649" t="s">
        <v>1313</v>
      </c>
      <c r="C649" s="185"/>
      <c r="E649" t="s">
        <v>386</v>
      </c>
      <c r="F649" t="s">
        <v>1986</v>
      </c>
      <c r="I649">
        <v>8501</v>
      </c>
      <c r="J649" t="s">
        <v>1992</v>
      </c>
      <c r="K649" t="s">
        <v>1992</v>
      </c>
      <c r="L649" t="s">
        <v>386</v>
      </c>
      <c r="M649" t="s">
        <v>1193</v>
      </c>
      <c r="N649">
        <v>1344</v>
      </c>
      <c r="O649">
        <v>11</v>
      </c>
      <c r="R649" t="s">
        <v>398</v>
      </c>
      <c r="S649" t="s">
        <v>1315</v>
      </c>
      <c r="T649">
        <v>122</v>
      </c>
      <c r="U649">
        <v>0</v>
      </c>
      <c r="V649" t="s">
        <v>1988</v>
      </c>
      <c r="Y649" t="s">
        <v>1317</v>
      </c>
      <c r="Z649" t="s">
        <v>954</v>
      </c>
      <c r="AA649" t="s">
        <v>387</v>
      </c>
      <c r="AB649">
        <v>7000</v>
      </c>
      <c r="AC649">
        <v>0</v>
      </c>
      <c r="AD649" t="s">
        <v>1187</v>
      </c>
      <c r="AE649">
        <v>0</v>
      </c>
      <c r="AF649" t="s">
        <v>1188</v>
      </c>
    </row>
    <row r="650" spans="1:34" x14ac:dyDescent="0.25">
      <c r="A650">
        <v>207</v>
      </c>
      <c r="B650" t="s">
        <v>1313</v>
      </c>
      <c r="C650" s="185"/>
      <c r="E650" t="s">
        <v>386</v>
      </c>
      <c r="F650" t="s">
        <v>1993</v>
      </c>
      <c r="G650" t="s">
        <v>1903</v>
      </c>
      <c r="I650">
        <v>1346</v>
      </c>
      <c r="J650" t="s">
        <v>1993</v>
      </c>
      <c r="K650" t="s">
        <v>1993</v>
      </c>
      <c r="L650" t="s">
        <v>386</v>
      </c>
      <c r="M650" t="s">
        <v>1193</v>
      </c>
      <c r="N650">
        <v>1346</v>
      </c>
      <c r="O650">
        <v>10</v>
      </c>
      <c r="R650" t="s">
        <v>398</v>
      </c>
      <c r="S650" t="s">
        <v>1315</v>
      </c>
      <c r="T650">
        <v>0</v>
      </c>
      <c r="U650">
        <v>0</v>
      </c>
      <c r="V650" t="s">
        <v>1186</v>
      </c>
      <c r="Y650" t="s">
        <v>1317</v>
      </c>
      <c r="Z650" t="s">
        <v>954</v>
      </c>
      <c r="AA650" t="s">
        <v>387</v>
      </c>
      <c r="AB650">
        <v>6000</v>
      </c>
      <c r="AC650">
        <v>0</v>
      </c>
      <c r="AD650" t="s">
        <v>1187</v>
      </c>
      <c r="AE650">
        <v>0</v>
      </c>
      <c r="AF650" t="s">
        <v>1188</v>
      </c>
    </row>
    <row r="651" spans="1:34" x14ac:dyDescent="0.25">
      <c r="A651">
        <v>207</v>
      </c>
      <c r="B651" t="s">
        <v>1313</v>
      </c>
      <c r="C651" s="185"/>
      <c r="E651" t="s">
        <v>386</v>
      </c>
      <c r="F651" t="s">
        <v>1994</v>
      </c>
      <c r="G651" t="s">
        <v>1903</v>
      </c>
      <c r="I651">
        <v>1348</v>
      </c>
      <c r="J651" t="s">
        <v>1994</v>
      </c>
      <c r="K651" t="s">
        <v>1994</v>
      </c>
      <c r="L651" t="s">
        <v>386</v>
      </c>
      <c r="M651" t="s">
        <v>1193</v>
      </c>
      <c r="N651">
        <v>1348</v>
      </c>
      <c r="O651">
        <v>13</v>
      </c>
      <c r="R651" t="s">
        <v>398</v>
      </c>
      <c r="S651" t="s">
        <v>1315</v>
      </c>
      <c r="T651">
        <v>2</v>
      </c>
      <c r="U651">
        <v>0</v>
      </c>
      <c r="V651" t="s">
        <v>1205</v>
      </c>
      <c r="Y651" t="s">
        <v>1317</v>
      </c>
      <c r="Z651" t="s">
        <v>954</v>
      </c>
      <c r="AA651" t="s">
        <v>387</v>
      </c>
      <c r="AB651">
        <v>8000</v>
      </c>
      <c r="AC651">
        <v>0</v>
      </c>
      <c r="AD651" t="s">
        <v>1187</v>
      </c>
      <c r="AE651">
        <v>0</v>
      </c>
      <c r="AF651" t="s">
        <v>1188</v>
      </c>
    </row>
    <row r="652" spans="1:34" x14ac:dyDescent="0.25">
      <c r="A652">
        <v>43</v>
      </c>
      <c r="B652" t="s">
        <v>1313</v>
      </c>
      <c r="C652" s="185"/>
      <c r="E652" t="s">
        <v>386</v>
      </c>
      <c r="F652" t="s">
        <v>1995</v>
      </c>
      <c r="G652" t="s">
        <v>1192</v>
      </c>
      <c r="I652">
        <v>1417</v>
      </c>
      <c r="J652" t="s">
        <v>1995</v>
      </c>
      <c r="K652" t="s">
        <v>1995</v>
      </c>
      <c r="L652" t="s">
        <v>386</v>
      </c>
      <c r="M652" t="s">
        <v>1184</v>
      </c>
      <c r="N652">
        <v>1417</v>
      </c>
      <c r="O652">
        <v>0</v>
      </c>
      <c r="S652" t="s">
        <v>1315</v>
      </c>
      <c r="T652">
        <v>0</v>
      </c>
      <c r="U652">
        <v>0</v>
      </c>
      <c r="V652" t="s">
        <v>1186</v>
      </c>
      <c r="Y652" t="s">
        <v>1317</v>
      </c>
      <c r="Z652" t="s">
        <v>1015</v>
      </c>
      <c r="AA652" t="s">
        <v>387</v>
      </c>
      <c r="AB652">
        <v>0</v>
      </c>
      <c r="AC652">
        <v>0</v>
      </c>
      <c r="AD652" t="s">
        <v>1187</v>
      </c>
      <c r="AE652">
        <v>0</v>
      </c>
      <c r="AF652" t="s">
        <v>1188</v>
      </c>
    </row>
    <row r="653" spans="1:34" x14ac:dyDescent="0.25">
      <c r="A653">
        <v>1297</v>
      </c>
      <c r="C653" s="185"/>
      <c r="E653" t="s">
        <v>386</v>
      </c>
      <c r="F653" t="s">
        <v>1996</v>
      </c>
      <c r="G653" t="s">
        <v>1903</v>
      </c>
      <c r="I653">
        <v>1443</v>
      </c>
      <c r="J653" t="s">
        <v>1996</v>
      </c>
      <c r="K653" t="s">
        <v>1996</v>
      </c>
      <c r="L653" t="s">
        <v>386</v>
      </c>
      <c r="M653" t="s">
        <v>1193</v>
      </c>
      <c r="N653">
        <v>1443</v>
      </c>
      <c r="O653">
        <v>0</v>
      </c>
      <c r="T653">
        <v>0</v>
      </c>
      <c r="V653" t="s">
        <v>1186</v>
      </c>
      <c r="Z653" t="s">
        <v>1997</v>
      </c>
      <c r="AA653" t="s">
        <v>387</v>
      </c>
      <c r="AB653">
        <v>0</v>
      </c>
      <c r="AC653">
        <v>1099</v>
      </c>
      <c r="AD653" t="s">
        <v>1998</v>
      </c>
      <c r="AE653">
        <v>0</v>
      </c>
      <c r="AF653" t="s">
        <v>1188</v>
      </c>
      <c r="AG653" t="s">
        <v>1999</v>
      </c>
      <c r="AH653" t="s">
        <v>1967</v>
      </c>
    </row>
    <row r="654" spans="1:34" x14ac:dyDescent="0.25">
      <c r="A654">
        <v>33</v>
      </c>
      <c r="C654" s="185"/>
      <c r="E654" t="s">
        <v>386</v>
      </c>
      <c r="F654" t="s">
        <v>2000</v>
      </c>
      <c r="G654" t="s">
        <v>1192</v>
      </c>
      <c r="H654" t="s">
        <v>2001</v>
      </c>
      <c r="I654">
        <v>1471</v>
      </c>
      <c r="J654" t="s">
        <v>2000</v>
      </c>
      <c r="K654" t="s">
        <v>2002</v>
      </c>
      <c r="L654" t="s">
        <v>386</v>
      </c>
      <c r="M654" t="s">
        <v>1193</v>
      </c>
      <c r="N654">
        <v>1471</v>
      </c>
      <c r="O654">
        <v>0</v>
      </c>
      <c r="T654">
        <v>571</v>
      </c>
      <c r="V654" t="s">
        <v>2003</v>
      </c>
      <c r="W654" t="s">
        <v>1216</v>
      </c>
      <c r="X654">
        <v>260</v>
      </c>
      <c r="Z654" t="s">
        <v>1115</v>
      </c>
      <c r="AA654" t="s">
        <v>387</v>
      </c>
      <c r="AB654">
        <v>0</v>
      </c>
      <c r="AC654">
        <v>5545</v>
      </c>
      <c r="AD654" t="s">
        <v>2004</v>
      </c>
      <c r="AE654">
        <v>1400</v>
      </c>
      <c r="AF654" t="s">
        <v>2005</v>
      </c>
      <c r="AG654" t="s">
        <v>2006</v>
      </c>
      <c r="AH654" t="s">
        <v>2007</v>
      </c>
    </row>
    <row r="655" spans="1:34" x14ac:dyDescent="0.25">
      <c r="A655">
        <v>1</v>
      </c>
      <c r="B655" t="s">
        <v>1313</v>
      </c>
      <c r="C655" s="185"/>
      <c r="E655" t="s">
        <v>386</v>
      </c>
      <c r="F655" t="s">
        <v>1183</v>
      </c>
      <c r="G655" t="s">
        <v>1192</v>
      </c>
      <c r="I655">
        <v>1486</v>
      </c>
      <c r="J655" t="s">
        <v>1183</v>
      </c>
      <c r="K655" t="s">
        <v>1183</v>
      </c>
      <c r="L655" t="s">
        <v>386</v>
      </c>
      <c r="M655" t="s">
        <v>1184</v>
      </c>
      <c r="N655">
        <v>1486</v>
      </c>
      <c r="O655">
        <v>0</v>
      </c>
      <c r="R655" t="s">
        <v>1185</v>
      </c>
      <c r="S655" t="s">
        <v>1315</v>
      </c>
      <c r="T655">
        <v>0</v>
      </c>
      <c r="U655">
        <v>0</v>
      </c>
      <c r="V655" t="s">
        <v>1186</v>
      </c>
      <c r="Y655" t="s">
        <v>1317</v>
      </c>
      <c r="Z655" t="s">
        <v>865</v>
      </c>
      <c r="AA655" t="s">
        <v>387</v>
      </c>
      <c r="AB655">
        <v>0</v>
      </c>
      <c r="AC655">
        <v>0</v>
      </c>
      <c r="AD655" t="s">
        <v>1187</v>
      </c>
      <c r="AE655">
        <v>0</v>
      </c>
      <c r="AF655" t="s">
        <v>1188</v>
      </c>
    </row>
    <row r="656" spans="1:34" x14ac:dyDescent="0.25">
      <c r="A656">
        <v>205</v>
      </c>
      <c r="B656" t="s">
        <v>1313</v>
      </c>
      <c r="C656" s="185"/>
      <c r="E656" t="s">
        <v>386</v>
      </c>
      <c r="F656" t="s">
        <v>2008</v>
      </c>
      <c r="G656" t="s">
        <v>1903</v>
      </c>
      <c r="I656">
        <v>1560</v>
      </c>
      <c r="J656" t="s">
        <v>2008</v>
      </c>
      <c r="K656" t="s">
        <v>2008</v>
      </c>
      <c r="L656" t="s">
        <v>386</v>
      </c>
      <c r="M656" t="s">
        <v>1193</v>
      </c>
      <c r="N656">
        <v>1560</v>
      </c>
      <c r="O656">
        <v>11</v>
      </c>
      <c r="R656" t="s">
        <v>398</v>
      </c>
      <c r="S656" t="s">
        <v>1315</v>
      </c>
      <c r="T656">
        <v>2</v>
      </c>
      <c r="U656">
        <v>0</v>
      </c>
      <c r="V656" t="s">
        <v>1205</v>
      </c>
      <c r="Y656" t="s">
        <v>1317</v>
      </c>
      <c r="Z656" t="s">
        <v>1012</v>
      </c>
      <c r="AA656" t="s">
        <v>387</v>
      </c>
      <c r="AB656">
        <v>7000</v>
      </c>
      <c r="AC656">
        <v>0</v>
      </c>
      <c r="AD656" t="s">
        <v>1187</v>
      </c>
      <c r="AE656">
        <v>0</v>
      </c>
      <c r="AF656" t="s">
        <v>1188</v>
      </c>
    </row>
    <row r="657" spans="1:34" x14ac:dyDescent="0.25">
      <c r="A657">
        <v>1</v>
      </c>
      <c r="C657" s="185"/>
      <c r="E657" t="s">
        <v>386</v>
      </c>
      <c r="F657" t="s">
        <v>2009</v>
      </c>
      <c r="G657" t="s">
        <v>1192</v>
      </c>
      <c r="I657">
        <v>1745</v>
      </c>
      <c r="J657" t="s">
        <v>2009</v>
      </c>
      <c r="K657" t="s">
        <v>2009</v>
      </c>
      <c r="L657" t="s">
        <v>386</v>
      </c>
      <c r="M657" t="s">
        <v>1184</v>
      </c>
      <c r="N657">
        <v>1745</v>
      </c>
      <c r="O657">
        <v>0</v>
      </c>
      <c r="T657">
        <v>0</v>
      </c>
      <c r="V657" t="s">
        <v>1186</v>
      </c>
      <c r="Z657" t="s">
        <v>865</v>
      </c>
      <c r="AA657" t="s">
        <v>387</v>
      </c>
      <c r="AB657">
        <v>0</v>
      </c>
      <c r="AC657">
        <v>472</v>
      </c>
      <c r="AD657" t="s">
        <v>2010</v>
      </c>
      <c r="AE657">
        <v>198</v>
      </c>
      <c r="AF657" t="s">
        <v>2011</v>
      </c>
      <c r="AG657" t="s">
        <v>2012</v>
      </c>
      <c r="AH657" t="s">
        <v>2013</v>
      </c>
    </row>
    <row r="658" spans="1:34" x14ac:dyDescent="0.25">
      <c r="A658">
        <v>1</v>
      </c>
      <c r="C658" s="185"/>
      <c r="E658" t="s">
        <v>386</v>
      </c>
      <c r="F658" t="s">
        <v>2014</v>
      </c>
      <c r="G658" t="s">
        <v>1192</v>
      </c>
      <c r="I658">
        <v>1828</v>
      </c>
      <c r="J658" t="s">
        <v>2014</v>
      </c>
      <c r="K658" t="s">
        <v>2014</v>
      </c>
      <c r="L658" t="s">
        <v>386</v>
      </c>
      <c r="M658" t="s">
        <v>1184</v>
      </c>
      <c r="N658">
        <v>1828</v>
      </c>
      <c r="O658">
        <v>0</v>
      </c>
      <c r="T658">
        <v>35</v>
      </c>
      <c r="V658" t="s">
        <v>2015</v>
      </c>
      <c r="Z658" t="s">
        <v>865</v>
      </c>
      <c r="AA658" t="s">
        <v>387</v>
      </c>
      <c r="AB658">
        <v>0</v>
      </c>
      <c r="AC658">
        <v>1364</v>
      </c>
      <c r="AD658" t="s">
        <v>2016</v>
      </c>
      <c r="AE658">
        <v>25</v>
      </c>
      <c r="AF658" t="s">
        <v>2017</v>
      </c>
      <c r="AG658" t="s">
        <v>2018</v>
      </c>
    </row>
    <row r="659" spans="1:34" x14ac:dyDescent="0.25">
      <c r="A659">
        <v>1</v>
      </c>
      <c r="C659" s="185"/>
      <c r="E659" t="s">
        <v>386</v>
      </c>
      <c r="F659" t="s">
        <v>2019</v>
      </c>
      <c r="G659" t="s">
        <v>1192</v>
      </c>
      <c r="I659">
        <v>1889</v>
      </c>
      <c r="J659" t="s">
        <v>2019</v>
      </c>
      <c r="K659" t="s">
        <v>2019</v>
      </c>
      <c r="L659" t="s">
        <v>386</v>
      </c>
      <c r="M659" t="s">
        <v>1184</v>
      </c>
      <c r="N659">
        <v>1889</v>
      </c>
      <c r="O659">
        <v>0</v>
      </c>
      <c r="R659" t="s">
        <v>1208</v>
      </c>
      <c r="T659">
        <v>0</v>
      </c>
      <c r="V659" t="s">
        <v>1186</v>
      </c>
      <c r="Z659" t="s">
        <v>865</v>
      </c>
      <c r="AA659" t="s">
        <v>387</v>
      </c>
      <c r="AB659">
        <v>0</v>
      </c>
      <c r="AC659">
        <v>0</v>
      </c>
      <c r="AD659" t="s">
        <v>1187</v>
      </c>
      <c r="AE659">
        <v>0</v>
      </c>
      <c r="AF659" t="s">
        <v>1188</v>
      </c>
      <c r="AG659" t="s">
        <v>1931</v>
      </c>
    </row>
    <row r="660" spans="1:34" x14ac:dyDescent="0.25">
      <c r="A660">
        <v>1</v>
      </c>
      <c r="C660" s="185"/>
      <c r="E660" t="s">
        <v>386</v>
      </c>
      <c r="F660" t="s">
        <v>2020</v>
      </c>
      <c r="G660" t="s">
        <v>1192</v>
      </c>
      <c r="I660">
        <v>1890</v>
      </c>
      <c r="J660" t="s">
        <v>2020</v>
      </c>
      <c r="K660" t="s">
        <v>2020</v>
      </c>
      <c r="L660" t="s">
        <v>386</v>
      </c>
      <c r="M660" t="s">
        <v>1184</v>
      </c>
      <c r="N660">
        <v>1890</v>
      </c>
      <c r="O660">
        <v>0</v>
      </c>
      <c r="R660" t="s">
        <v>1208</v>
      </c>
      <c r="T660">
        <v>0</v>
      </c>
      <c r="V660" t="s">
        <v>1186</v>
      </c>
      <c r="Z660" t="s">
        <v>865</v>
      </c>
      <c r="AA660" t="s">
        <v>387</v>
      </c>
      <c r="AB660">
        <v>0</v>
      </c>
      <c r="AC660">
        <v>0</v>
      </c>
      <c r="AD660" t="s">
        <v>1187</v>
      </c>
      <c r="AE660">
        <v>0</v>
      </c>
      <c r="AF660" t="s">
        <v>1188</v>
      </c>
      <c r="AG660" t="s">
        <v>1931</v>
      </c>
    </row>
    <row r="661" spans="1:34" x14ac:dyDescent="0.25">
      <c r="A661">
        <v>1</v>
      </c>
      <c r="C661" s="185"/>
      <c r="E661" t="s">
        <v>386</v>
      </c>
      <c r="F661" t="s">
        <v>2021</v>
      </c>
      <c r="G661" t="s">
        <v>1192</v>
      </c>
      <c r="I661">
        <v>1892</v>
      </c>
      <c r="J661" t="s">
        <v>2021</v>
      </c>
      <c r="K661" t="s">
        <v>2021</v>
      </c>
      <c r="L661" t="s">
        <v>386</v>
      </c>
      <c r="M661" t="s">
        <v>1184</v>
      </c>
      <c r="N661">
        <v>1892</v>
      </c>
      <c r="O661">
        <v>0</v>
      </c>
      <c r="R661" t="s">
        <v>1208</v>
      </c>
      <c r="T661">
        <v>0</v>
      </c>
      <c r="V661" t="s">
        <v>1186</v>
      </c>
      <c r="Z661" t="s">
        <v>865</v>
      </c>
      <c r="AA661" t="s">
        <v>387</v>
      </c>
      <c r="AB661">
        <v>0</v>
      </c>
      <c r="AC661">
        <v>0</v>
      </c>
      <c r="AD661" t="s">
        <v>1187</v>
      </c>
      <c r="AE661">
        <v>0</v>
      </c>
      <c r="AF661" t="s">
        <v>1188</v>
      </c>
      <c r="AG661" t="s">
        <v>1931</v>
      </c>
    </row>
    <row r="662" spans="1:34" x14ac:dyDescent="0.25">
      <c r="A662">
        <v>1</v>
      </c>
      <c r="C662" s="185"/>
      <c r="E662" t="s">
        <v>386</v>
      </c>
      <c r="F662" t="s">
        <v>2022</v>
      </c>
      <c r="G662" t="s">
        <v>1192</v>
      </c>
      <c r="H662" t="s">
        <v>2023</v>
      </c>
      <c r="I662">
        <v>2085</v>
      </c>
      <c r="J662" t="s">
        <v>2022</v>
      </c>
      <c r="K662" t="s">
        <v>2022</v>
      </c>
      <c r="L662" t="s">
        <v>386</v>
      </c>
      <c r="M662" t="s">
        <v>1193</v>
      </c>
      <c r="N662">
        <v>2085</v>
      </c>
      <c r="O662">
        <v>0</v>
      </c>
      <c r="T662">
        <v>52</v>
      </c>
      <c r="V662" t="s">
        <v>2024</v>
      </c>
      <c r="Z662" t="s">
        <v>865</v>
      </c>
      <c r="AA662" t="s">
        <v>387</v>
      </c>
      <c r="AB662">
        <v>0</v>
      </c>
      <c r="AC662">
        <v>1547</v>
      </c>
      <c r="AD662" t="s">
        <v>2025</v>
      </c>
      <c r="AE662">
        <v>132</v>
      </c>
      <c r="AF662" t="s">
        <v>2026</v>
      </c>
      <c r="AG662" t="s">
        <v>2027</v>
      </c>
    </row>
    <row r="663" spans="1:34" x14ac:dyDescent="0.25">
      <c r="A663">
        <v>1402</v>
      </c>
      <c r="C663" s="185"/>
      <c r="E663" t="s">
        <v>386</v>
      </c>
      <c r="F663" t="s">
        <v>2028</v>
      </c>
      <c r="G663" t="s">
        <v>1197</v>
      </c>
      <c r="I663">
        <v>2142</v>
      </c>
      <c r="J663" t="s">
        <v>2028</v>
      </c>
      <c r="K663" t="s">
        <v>2028</v>
      </c>
      <c r="L663" t="s">
        <v>386</v>
      </c>
      <c r="M663" t="s">
        <v>1193</v>
      </c>
      <c r="N663">
        <v>2142</v>
      </c>
      <c r="O663">
        <v>0</v>
      </c>
      <c r="T663">
        <v>35</v>
      </c>
      <c r="V663" t="s">
        <v>2015</v>
      </c>
      <c r="Z663" t="s">
        <v>2029</v>
      </c>
      <c r="AA663" t="s">
        <v>387</v>
      </c>
      <c r="AB663">
        <v>0</v>
      </c>
      <c r="AC663">
        <v>1581</v>
      </c>
      <c r="AD663" t="s">
        <v>2030</v>
      </c>
      <c r="AE663">
        <v>0</v>
      </c>
      <c r="AF663" t="s">
        <v>1188</v>
      </c>
      <c r="AG663" t="s">
        <v>1931</v>
      </c>
      <c r="AH663" t="s">
        <v>2031</v>
      </c>
    </row>
    <row r="664" spans="1:34" x14ac:dyDescent="0.25">
      <c r="A664">
        <v>1</v>
      </c>
      <c r="C664" s="185"/>
      <c r="E664" t="s">
        <v>386</v>
      </c>
      <c r="F664" t="s">
        <v>2032</v>
      </c>
      <c r="G664" t="s">
        <v>1192</v>
      </c>
      <c r="H664" t="s">
        <v>2033</v>
      </c>
      <c r="I664">
        <v>2163</v>
      </c>
      <c r="J664" t="s">
        <v>2032</v>
      </c>
      <c r="K664" t="s">
        <v>2034</v>
      </c>
      <c r="L664" t="s">
        <v>386</v>
      </c>
      <c r="M664" t="s">
        <v>1193</v>
      </c>
      <c r="N664">
        <v>2163</v>
      </c>
      <c r="O664">
        <v>0</v>
      </c>
      <c r="T664">
        <v>260</v>
      </c>
      <c r="V664" t="s">
        <v>1216</v>
      </c>
      <c r="W664" t="s">
        <v>1216</v>
      </c>
      <c r="X664">
        <v>260</v>
      </c>
      <c r="Z664" t="s">
        <v>865</v>
      </c>
      <c r="AA664" t="s">
        <v>387</v>
      </c>
      <c r="AB664">
        <v>0</v>
      </c>
      <c r="AC664">
        <v>1609</v>
      </c>
      <c r="AD664" t="s">
        <v>2035</v>
      </c>
      <c r="AE664">
        <v>378</v>
      </c>
      <c r="AF664" t="s">
        <v>2036</v>
      </c>
      <c r="AG664" t="s">
        <v>2037</v>
      </c>
      <c r="AH664" t="s">
        <v>2038</v>
      </c>
    </row>
    <row r="665" spans="1:34" x14ac:dyDescent="0.25">
      <c r="A665">
        <v>1368</v>
      </c>
      <c r="C665" s="185"/>
      <c r="E665" t="s">
        <v>386</v>
      </c>
      <c r="F665" t="s">
        <v>2039</v>
      </c>
      <c r="G665" t="s">
        <v>1192</v>
      </c>
      <c r="H665" t="s">
        <v>2040</v>
      </c>
      <c r="I665">
        <v>2183</v>
      </c>
      <c r="J665" t="s">
        <v>2039</v>
      </c>
      <c r="K665" t="s">
        <v>2039</v>
      </c>
      <c r="L665" t="s">
        <v>386</v>
      </c>
      <c r="M665" t="s">
        <v>1193</v>
      </c>
      <c r="N665">
        <v>2183</v>
      </c>
      <c r="O665">
        <v>0</v>
      </c>
      <c r="R665" t="s">
        <v>398</v>
      </c>
      <c r="T665">
        <v>52</v>
      </c>
      <c r="V665" t="s">
        <v>2024</v>
      </c>
      <c r="Z665" t="s">
        <v>2041</v>
      </c>
      <c r="AA665" t="s">
        <v>387</v>
      </c>
      <c r="AB665">
        <v>0</v>
      </c>
      <c r="AC665">
        <v>1606</v>
      </c>
      <c r="AD665" t="s">
        <v>2042</v>
      </c>
      <c r="AE665">
        <v>789</v>
      </c>
      <c r="AF665" t="s">
        <v>2043</v>
      </c>
      <c r="AG665" t="s">
        <v>2044</v>
      </c>
      <c r="AH665" t="s">
        <v>2045</v>
      </c>
    </row>
    <row r="666" spans="1:34" x14ac:dyDescent="0.25">
      <c r="A666">
        <v>1</v>
      </c>
      <c r="C666" s="185"/>
      <c r="E666" t="s">
        <v>386</v>
      </c>
      <c r="F666" t="s">
        <v>2046</v>
      </c>
      <c r="G666" t="s">
        <v>1192</v>
      </c>
      <c r="I666">
        <v>2196</v>
      </c>
      <c r="J666" t="s">
        <v>2046</v>
      </c>
      <c r="K666" t="s">
        <v>2046</v>
      </c>
      <c r="L666" t="s">
        <v>386</v>
      </c>
      <c r="M666" t="s">
        <v>1184</v>
      </c>
      <c r="N666">
        <v>2196</v>
      </c>
      <c r="O666">
        <v>0</v>
      </c>
      <c r="T666">
        <v>52</v>
      </c>
      <c r="V666" t="s">
        <v>2024</v>
      </c>
      <c r="Z666" t="s">
        <v>865</v>
      </c>
      <c r="AA666" t="s">
        <v>387</v>
      </c>
      <c r="AB666">
        <v>0</v>
      </c>
      <c r="AC666">
        <v>1615</v>
      </c>
      <c r="AD666" t="s">
        <v>2047</v>
      </c>
      <c r="AE666">
        <v>0</v>
      </c>
      <c r="AF666" t="s">
        <v>1188</v>
      </c>
      <c r="AG666" t="s">
        <v>2048</v>
      </c>
    </row>
    <row r="667" spans="1:34" x14ac:dyDescent="0.25">
      <c r="A667">
        <v>54</v>
      </c>
      <c r="C667" s="185"/>
      <c r="D667" t="s">
        <v>24</v>
      </c>
      <c r="E667" t="s">
        <v>386</v>
      </c>
      <c r="F667" t="s">
        <v>2049</v>
      </c>
      <c r="G667" t="s">
        <v>1903</v>
      </c>
      <c r="I667">
        <v>2198</v>
      </c>
      <c r="J667" t="s">
        <v>2049</v>
      </c>
      <c r="K667" t="s">
        <v>2049</v>
      </c>
      <c r="L667" t="s">
        <v>386</v>
      </c>
      <c r="M667" t="s">
        <v>1193</v>
      </c>
      <c r="N667">
        <v>2198</v>
      </c>
      <c r="O667">
        <v>0</v>
      </c>
      <c r="T667">
        <v>35</v>
      </c>
      <c r="V667" t="s">
        <v>2015</v>
      </c>
      <c r="Z667" t="s">
        <v>1149</v>
      </c>
      <c r="AA667" t="s">
        <v>387</v>
      </c>
      <c r="AB667">
        <v>0</v>
      </c>
      <c r="AC667">
        <v>1617</v>
      </c>
      <c r="AD667" t="s">
        <v>2050</v>
      </c>
      <c r="AE667">
        <v>1</v>
      </c>
      <c r="AF667" t="s">
        <v>1922</v>
      </c>
      <c r="AG667" t="s">
        <v>2051</v>
      </c>
      <c r="AH667" t="s">
        <v>2052</v>
      </c>
    </row>
    <row r="668" spans="1:34" x14ac:dyDescent="0.25">
      <c r="A668">
        <v>1409</v>
      </c>
      <c r="C668" s="185"/>
      <c r="D668" t="s">
        <v>24</v>
      </c>
      <c r="E668" t="s">
        <v>386</v>
      </c>
      <c r="F668" t="s">
        <v>2053</v>
      </c>
      <c r="G668" t="s">
        <v>1903</v>
      </c>
      <c r="I668">
        <v>2227</v>
      </c>
      <c r="J668" t="s">
        <v>2053</v>
      </c>
      <c r="K668" t="s">
        <v>2054</v>
      </c>
      <c r="L668" t="s">
        <v>386</v>
      </c>
      <c r="M668" t="s">
        <v>1193</v>
      </c>
      <c r="N668">
        <v>2227</v>
      </c>
      <c r="O668">
        <v>37</v>
      </c>
      <c r="R668" t="s">
        <v>398</v>
      </c>
      <c r="T668">
        <v>220</v>
      </c>
      <c r="V668" t="s">
        <v>1194</v>
      </c>
      <c r="W668" t="s">
        <v>1194</v>
      </c>
      <c r="X668">
        <v>220</v>
      </c>
      <c r="Z668" t="s">
        <v>2055</v>
      </c>
      <c r="AA668" t="s">
        <v>387</v>
      </c>
      <c r="AB668">
        <v>29000</v>
      </c>
      <c r="AC668">
        <v>1641</v>
      </c>
      <c r="AD668" t="s">
        <v>2056</v>
      </c>
      <c r="AE668">
        <v>796</v>
      </c>
      <c r="AF668" t="s">
        <v>2057</v>
      </c>
      <c r="AG668" t="s">
        <v>2058</v>
      </c>
      <c r="AH668" t="s">
        <v>2059</v>
      </c>
    </row>
    <row r="669" spans="1:34" x14ac:dyDescent="0.25">
      <c r="A669">
        <v>1416</v>
      </c>
      <c r="C669" s="185"/>
      <c r="E669" t="s">
        <v>386</v>
      </c>
      <c r="F669" t="s">
        <v>2060</v>
      </c>
      <c r="G669" t="s">
        <v>1192</v>
      </c>
      <c r="I669">
        <v>2259</v>
      </c>
      <c r="J669" t="s">
        <v>2060</v>
      </c>
      <c r="K669" t="s">
        <v>2060</v>
      </c>
      <c r="L669" t="s">
        <v>386</v>
      </c>
      <c r="M669" t="s">
        <v>1193</v>
      </c>
      <c r="N669">
        <v>2259</v>
      </c>
      <c r="O669">
        <v>0</v>
      </c>
      <c r="R669" t="s">
        <v>1208</v>
      </c>
      <c r="T669">
        <v>103</v>
      </c>
      <c r="V669" t="s">
        <v>1530</v>
      </c>
      <c r="W669" t="s">
        <v>1530</v>
      </c>
      <c r="X669">
        <v>103</v>
      </c>
      <c r="Z669" t="s">
        <v>2061</v>
      </c>
      <c r="AA669" t="s">
        <v>387</v>
      </c>
      <c r="AB669">
        <v>0</v>
      </c>
      <c r="AC669">
        <v>1664</v>
      </c>
      <c r="AD669" t="s">
        <v>2062</v>
      </c>
      <c r="AE669">
        <v>812</v>
      </c>
      <c r="AF669" t="s">
        <v>2063</v>
      </c>
      <c r="AG669" t="s">
        <v>2064</v>
      </c>
    </row>
    <row r="670" spans="1:34" x14ac:dyDescent="0.25">
      <c r="A670">
        <v>205</v>
      </c>
      <c r="C670" s="185"/>
      <c r="D670" t="s">
        <v>24</v>
      </c>
      <c r="E670" t="s">
        <v>386</v>
      </c>
      <c r="F670" t="s">
        <v>114</v>
      </c>
      <c r="I670">
        <v>13237</v>
      </c>
      <c r="J670" t="s">
        <v>2065</v>
      </c>
      <c r="K670" t="s">
        <v>2066</v>
      </c>
      <c r="L670" t="s">
        <v>386</v>
      </c>
      <c r="M670" t="s">
        <v>1193</v>
      </c>
      <c r="N670">
        <v>2287</v>
      </c>
      <c r="O670">
        <v>56</v>
      </c>
      <c r="R670" t="s">
        <v>398</v>
      </c>
      <c r="T670">
        <v>220</v>
      </c>
      <c r="V670" t="s">
        <v>1194</v>
      </c>
      <c r="W670" t="s">
        <v>2067</v>
      </c>
      <c r="X670">
        <v>304</v>
      </c>
      <c r="Z670" t="s">
        <v>1012</v>
      </c>
      <c r="AA670" t="s">
        <v>387</v>
      </c>
      <c r="AB670">
        <v>48000</v>
      </c>
      <c r="AC670">
        <v>4955</v>
      </c>
      <c r="AD670" t="s">
        <v>2068</v>
      </c>
      <c r="AE670">
        <v>2287</v>
      </c>
      <c r="AF670" t="s">
        <v>2069</v>
      </c>
      <c r="AG670" t="s">
        <v>1931</v>
      </c>
    </row>
    <row r="671" spans="1:34" x14ac:dyDescent="0.25">
      <c r="A671">
        <v>1</v>
      </c>
      <c r="C671" s="185"/>
      <c r="E671" t="s">
        <v>386</v>
      </c>
      <c r="F671" t="s">
        <v>2070</v>
      </c>
      <c r="G671" t="s">
        <v>1192</v>
      </c>
      <c r="H671" t="s">
        <v>2071</v>
      </c>
      <c r="I671">
        <v>2303</v>
      </c>
      <c r="J671" t="s">
        <v>2070</v>
      </c>
      <c r="K671" t="s">
        <v>2072</v>
      </c>
      <c r="L671" t="s">
        <v>386</v>
      </c>
      <c r="M671" t="s">
        <v>1184</v>
      </c>
      <c r="N671">
        <v>2303</v>
      </c>
      <c r="O671">
        <v>0</v>
      </c>
      <c r="T671">
        <v>372</v>
      </c>
      <c r="V671" t="s">
        <v>2073</v>
      </c>
      <c r="W671" t="s">
        <v>1216</v>
      </c>
      <c r="X671">
        <v>260</v>
      </c>
      <c r="Z671" t="s">
        <v>865</v>
      </c>
      <c r="AA671" t="s">
        <v>387</v>
      </c>
      <c r="AB671">
        <v>0</v>
      </c>
      <c r="AC671">
        <v>1694</v>
      </c>
      <c r="AD671" t="s">
        <v>2074</v>
      </c>
      <c r="AE671">
        <v>26</v>
      </c>
      <c r="AF671" t="s">
        <v>2075</v>
      </c>
      <c r="AG671" t="s">
        <v>2076</v>
      </c>
    </row>
    <row r="672" spans="1:34" x14ac:dyDescent="0.25">
      <c r="A672">
        <v>1421</v>
      </c>
      <c r="B672" t="s">
        <v>1313</v>
      </c>
      <c r="C672" s="185"/>
      <c r="D672" t="s">
        <v>24</v>
      </c>
      <c r="E672" t="s">
        <v>386</v>
      </c>
      <c r="F672" t="s">
        <v>453</v>
      </c>
      <c r="G672" t="s">
        <v>1903</v>
      </c>
      <c r="I672">
        <v>2346</v>
      </c>
      <c r="J672" t="s">
        <v>453</v>
      </c>
      <c r="K672" t="s">
        <v>2077</v>
      </c>
      <c r="L672" t="s">
        <v>386</v>
      </c>
      <c r="M672" t="s">
        <v>1193</v>
      </c>
      <c r="N672">
        <v>2346</v>
      </c>
      <c r="O672">
        <v>37</v>
      </c>
      <c r="R672" t="s">
        <v>398</v>
      </c>
      <c r="S672" t="s">
        <v>1909</v>
      </c>
      <c r="T672">
        <v>220</v>
      </c>
      <c r="U672">
        <v>0</v>
      </c>
      <c r="V672" t="s">
        <v>1194</v>
      </c>
      <c r="W672" t="s">
        <v>1194</v>
      </c>
      <c r="X672">
        <v>220</v>
      </c>
      <c r="Y672" t="s">
        <v>1317</v>
      </c>
      <c r="Z672" t="s">
        <v>2078</v>
      </c>
      <c r="AA672" t="s">
        <v>387</v>
      </c>
      <c r="AB672">
        <v>29000</v>
      </c>
      <c r="AC672">
        <v>1724</v>
      </c>
      <c r="AD672" t="s">
        <v>2079</v>
      </c>
      <c r="AE672">
        <v>0</v>
      </c>
      <c r="AF672" t="s">
        <v>1188</v>
      </c>
      <c r="AG672" t="s">
        <v>2080</v>
      </c>
    </row>
    <row r="673" spans="1:34" x14ac:dyDescent="0.25">
      <c r="A673">
        <v>1422</v>
      </c>
      <c r="B673" t="s">
        <v>1313</v>
      </c>
      <c r="C673" s="185"/>
      <c r="D673" t="s">
        <v>24</v>
      </c>
      <c r="E673" t="s">
        <v>386</v>
      </c>
      <c r="F673" t="s">
        <v>2081</v>
      </c>
      <c r="G673" t="s">
        <v>1903</v>
      </c>
      <c r="I673">
        <v>2350</v>
      </c>
      <c r="J673" t="s">
        <v>2081</v>
      </c>
      <c r="K673" t="s">
        <v>2082</v>
      </c>
      <c r="L673" t="s">
        <v>386</v>
      </c>
      <c r="M673" t="s">
        <v>1193</v>
      </c>
      <c r="N673">
        <v>2350</v>
      </c>
      <c r="O673">
        <v>37</v>
      </c>
      <c r="R673" t="s">
        <v>398</v>
      </c>
      <c r="S673" t="s">
        <v>1909</v>
      </c>
      <c r="T673">
        <v>220</v>
      </c>
      <c r="U673">
        <v>0</v>
      </c>
      <c r="V673" t="s">
        <v>1194</v>
      </c>
      <c r="W673" t="s">
        <v>1194</v>
      </c>
      <c r="X673">
        <v>220</v>
      </c>
      <c r="Y673" t="s">
        <v>1317</v>
      </c>
      <c r="Z673" t="s">
        <v>2083</v>
      </c>
      <c r="AA673" t="s">
        <v>387</v>
      </c>
      <c r="AB673">
        <v>29000</v>
      </c>
      <c r="AC673">
        <v>1725</v>
      </c>
      <c r="AD673" t="s">
        <v>2084</v>
      </c>
      <c r="AE673">
        <v>840</v>
      </c>
      <c r="AF673" t="s">
        <v>2085</v>
      </c>
      <c r="AG673" t="s">
        <v>2086</v>
      </c>
      <c r="AH673" t="s">
        <v>2087</v>
      </c>
    </row>
    <row r="674" spans="1:34" x14ac:dyDescent="0.25">
      <c r="A674">
        <v>1426</v>
      </c>
      <c r="C674" s="185"/>
      <c r="D674" t="s">
        <v>24</v>
      </c>
      <c r="E674" t="s">
        <v>386</v>
      </c>
      <c r="F674" t="s">
        <v>2088</v>
      </c>
      <c r="G674" t="s">
        <v>1903</v>
      </c>
      <c r="I674">
        <v>2405</v>
      </c>
      <c r="J674" t="s">
        <v>2088</v>
      </c>
      <c r="K674" t="s">
        <v>2089</v>
      </c>
      <c r="L674" t="s">
        <v>386</v>
      </c>
      <c r="M674" t="s">
        <v>1193</v>
      </c>
      <c r="N674">
        <v>2405</v>
      </c>
      <c r="O674">
        <v>56</v>
      </c>
      <c r="R674" t="s">
        <v>398</v>
      </c>
      <c r="T674">
        <v>220</v>
      </c>
      <c r="V674" t="s">
        <v>1194</v>
      </c>
      <c r="W674" t="s">
        <v>2024</v>
      </c>
      <c r="X674">
        <v>52</v>
      </c>
      <c r="Z674" t="s">
        <v>1033</v>
      </c>
      <c r="AA674" t="s">
        <v>387</v>
      </c>
      <c r="AB674">
        <v>48000</v>
      </c>
      <c r="AC674">
        <v>1753</v>
      </c>
      <c r="AD674" t="s">
        <v>2090</v>
      </c>
      <c r="AE674">
        <v>854</v>
      </c>
      <c r="AF674" t="s">
        <v>2091</v>
      </c>
      <c r="AG674" t="s">
        <v>2092</v>
      </c>
      <c r="AH674" t="s">
        <v>2093</v>
      </c>
    </row>
    <row r="675" spans="1:34" x14ac:dyDescent="0.25">
      <c r="A675">
        <v>207</v>
      </c>
      <c r="B675" t="s">
        <v>1313</v>
      </c>
      <c r="C675" s="185"/>
      <c r="D675" t="s">
        <v>24</v>
      </c>
      <c r="E675" t="s">
        <v>386</v>
      </c>
      <c r="F675" t="s">
        <v>419</v>
      </c>
      <c r="G675" t="s">
        <v>1903</v>
      </c>
      <c r="I675">
        <v>2410</v>
      </c>
      <c r="J675" t="s">
        <v>419</v>
      </c>
      <c r="K675" t="s">
        <v>2094</v>
      </c>
      <c r="L675" t="s">
        <v>386</v>
      </c>
      <c r="M675" t="s">
        <v>1193</v>
      </c>
      <c r="N675">
        <v>2410</v>
      </c>
      <c r="O675">
        <v>56</v>
      </c>
      <c r="R675" t="s">
        <v>398</v>
      </c>
      <c r="S675" t="s">
        <v>1909</v>
      </c>
      <c r="T675">
        <v>220</v>
      </c>
      <c r="U675">
        <v>0</v>
      </c>
      <c r="V675" t="s">
        <v>1194</v>
      </c>
      <c r="W675" t="s">
        <v>1200</v>
      </c>
      <c r="X675">
        <v>340</v>
      </c>
      <c r="Y675" t="s">
        <v>1317</v>
      </c>
      <c r="Z675" t="s">
        <v>954</v>
      </c>
      <c r="AA675" t="s">
        <v>387</v>
      </c>
      <c r="AB675">
        <v>48000</v>
      </c>
      <c r="AC675">
        <v>1757</v>
      </c>
      <c r="AD675" t="s">
        <v>2095</v>
      </c>
      <c r="AE675">
        <v>0</v>
      </c>
      <c r="AF675" t="s">
        <v>1188</v>
      </c>
      <c r="AG675" t="s">
        <v>2096</v>
      </c>
    </row>
    <row r="676" spans="1:34" x14ac:dyDescent="0.25">
      <c r="A676">
        <v>31</v>
      </c>
      <c r="C676" s="185"/>
      <c r="E676" t="s">
        <v>386</v>
      </c>
      <c r="F676" t="s">
        <v>2097</v>
      </c>
      <c r="G676" t="s">
        <v>1192</v>
      </c>
      <c r="I676">
        <v>2431</v>
      </c>
      <c r="J676" t="s">
        <v>2097</v>
      </c>
      <c r="K676" t="s">
        <v>2097</v>
      </c>
      <c r="L676" t="s">
        <v>386</v>
      </c>
      <c r="M676" t="s">
        <v>1184</v>
      </c>
      <c r="N676">
        <v>2431</v>
      </c>
      <c r="O676">
        <v>0</v>
      </c>
      <c r="T676">
        <v>1</v>
      </c>
      <c r="V676" t="s">
        <v>1921</v>
      </c>
      <c r="Z676" t="s">
        <v>1132</v>
      </c>
      <c r="AA676" t="s">
        <v>387</v>
      </c>
      <c r="AB676">
        <v>0</v>
      </c>
      <c r="AC676">
        <v>0</v>
      </c>
      <c r="AD676" t="s">
        <v>1187</v>
      </c>
      <c r="AE676">
        <v>0</v>
      </c>
      <c r="AF676" t="s">
        <v>1188</v>
      </c>
    </row>
    <row r="677" spans="1:34" x14ac:dyDescent="0.25">
      <c r="A677">
        <v>1</v>
      </c>
      <c r="C677" s="185"/>
      <c r="E677" t="s">
        <v>386</v>
      </c>
      <c r="F677" t="s">
        <v>2098</v>
      </c>
      <c r="G677" t="s">
        <v>1192</v>
      </c>
      <c r="I677">
        <v>2442</v>
      </c>
      <c r="J677" t="s">
        <v>2098</v>
      </c>
      <c r="K677" t="s">
        <v>2098</v>
      </c>
      <c r="L677" t="s">
        <v>386</v>
      </c>
      <c r="M677" t="s">
        <v>1184</v>
      </c>
      <c r="N677">
        <v>2442</v>
      </c>
      <c r="O677">
        <v>0</v>
      </c>
      <c r="T677">
        <v>35</v>
      </c>
      <c r="V677" t="s">
        <v>2015</v>
      </c>
      <c r="Z677" t="s">
        <v>865</v>
      </c>
      <c r="AA677" t="s">
        <v>387</v>
      </c>
      <c r="AB677">
        <v>0</v>
      </c>
      <c r="AC677">
        <v>0</v>
      </c>
      <c r="AD677" t="s">
        <v>1187</v>
      </c>
      <c r="AE677">
        <v>0</v>
      </c>
      <c r="AF677" t="s">
        <v>1188</v>
      </c>
    </row>
    <row r="678" spans="1:34" x14ac:dyDescent="0.25">
      <c r="A678">
        <v>1408</v>
      </c>
      <c r="B678" t="s">
        <v>1313</v>
      </c>
      <c r="C678" s="185"/>
      <c r="D678" t="s">
        <v>24</v>
      </c>
      <c r="E678" t="s">
        <v>386</v>
      </c>
      <c r="F678" t="s">
        <v>327</v>
      </c>
      <c r="G678" t="s">
        <v>1903</v>
      </c>
      <c r="I678">
        <v>2494</v>
      </c>
      <c r="J678" t="s">
        <v>327</v>
      </c>
      <c r="K678" t="s">
        <v>327</v>
      </c>
      <c r="L678" t="s">
        <v>386</v>
      </c>
      <c r="M678" t="s">
        <v>1193</v>
      </c>
      <c r="N678">
        <v>2494</v>
      </c>
      <c r="O678">
        <v>37</v>
      </c>
      <c r="R678" t="s">
        <v>398</v>
      </c>
      <c r="S678" t="s">
        <v>1909</v>
      </c>
      <c r="T678">
        <v>473</v>
      </c>
      <c r="U678">
        <v>0</v>
      </c>
      <c r="V678" t="s">
        <v>1964</v>
      </c>
      <c r="W678" t="s">
        <v>1194</v>
      </c>
      <c r="X678">
        <v>220</v>
      </c>
      <c r="Y678" t="s">
        <v>1317</v>
      </c>
      <c r="Z678" t="s">
        <v>1036</v>
      </c>
      <c r="AA678" t="s">
        <v>387</v>
      </c>
      <c r="AB678">
        <v>29000</v>
      </c>
      <c r="AC678">
        <v>2099</v>
      </c>
      <c r="AD678" t="s">
        <v>2099</v>
      </c>
      <c r="AE678">
        <v>1009</v>
      </c>
      <c r="AF678" t="s">
        <v>2100</v>
      </c>
      <c r="AG678" t="s">
        <v>2101</v>
      </c>
    </row>
    <row r="679" spans="1:34" x14ac:dyDescent="0.25">
      <c r="A679">
        <v>1445</v>
      </c>
      <c r="C679" s="185"/>
      <c r="E679" t="s">
        <v>386</v>
      </c>
      <c r="F679" t="s">
        <v>340</v>
      </c>
      <c r="G679" t="s">
        <v>1903</v>
      </c>
      <c r="I679">
        <v>2533</v>
      </c>
      <c r="J679" t="s">
        <v>2102</v>
      </c>
      <c r="K679" t="s">
        <v>2102</v>
      </c>
      <c r="L679" t="s">
        <v>386</v>
      </c>
      <c r="M679" t="s">
        <v>1193</v>
      </c>
      <c r="N679">
        <v>2527</v>
      </c>
      <c r="O679">
        <v>0</v>
      </c>
      <c r="R679" t="s">
        <v>398</v>
      </c>
      <c r="T679">
        <v>200</v>
      </c>
      <c r="V679" t="s">
        <v>1199</v>
      </c>
      <c r="W679" t="s">
        <v>1215</v>
      </c>
      <c r="X679">
        <v>259</v>
      </c>
      <c r="Z679" t="s">
        <v>2103</v>
      </c>
      <c r="AA679" t="s">
        <v>387</v>
      </c>
      <c r="AB679">
        <v>0</v>
      </c>
      <c r="AC679">
        <v>1827</v>
      </c>
      <c r="AD679" t="s">
        <v>2104</v>
      </c>
      <c r="AE679">
        <v>0</v>
      </c>
      <c r="AF679" t="s">
        <v>1188</v>
      </c>
      <c r="AG679" t="s">
        <v>2105</v>
      </c>
    </row>
    <row r="680" spans="1:34" x14ac:dyDescent="0.25">
      <c r="A680">
        <v>54</v>
      </c>
      <c r="C680" s="185"/>
      <c r="E680" t="s">
        <v>386</v>
      </c>
      <c r="F680" t="s">
        <v>340</v>
      </c>
      <c r="I680">
        <v>14130</v>
      </c>
      <c r="J680" t="s">
        <v>2106</v>
      </c>
      <c r="K680" t="s">
        <v>2106</v>
      </c>
      <c r="L680" t="s">
        <v>386</v>
      </c>
      <c r="M680" t="s">
        <v>1193</v>
      </c>
      <c r="N680">
        <v>2527</v>
      </c>
      <c r="O680">
        <v>0</v>
      </c>
      <c r="R680" t="s">
        <v>398</v>
      </c>
      <c r="T680">
        <v>272</v>
      </c>
      <c r="V680" t="s">
        <v>2107</v>
      </c>
      <c r="W680" t="s">
        <v>1215</v>
      </c>
      <c r="X680">
        <v>259</v>
      </c>
      <c r="Z680" t="s">
        <v>1149</v>
      </c>
      <c r="AA680" t="s">
        <v>387</v>
      </c>
      <c r="AB680">
        <v>0</v>
      </c>
      <c r="AC680">
        <v>0</v>
      </c>
      <c r="AD680" t="s">
        <v>1187</v>
      </c>
      <c r="AE680">
        <v>0</v>
      </c>
      <c r="AF680" t="s">
        <v>1188</v>
      </c>
    </row>
    <row r="681" spans="1:34" x14ac:dyDescent="0.25">
      <c r="A681">
        <v>1545</v>
      </c>
      <c r="B681" t="s">
        <v>1313</v>
      </c>
      <c r="C681" s="185"/>
      <c r="D681" t="s">
        <v>24</v>
      </c>
      <c r="E681" t="s">
        <v>386</v>
      </c>
      <c r="F681" t="s">
        <v>340</v>
      </c>
      <c r="G681" t="s">
        <v>1903</v>
      </c>
      <c r="I681">
        <v>2527</v>
      </c>
      <c r="J681" t="s">
        <v>340</v>
      </c>
      <c r="K681" t="s">
        <v>2108</v>
      </c>
      <c r="L681" t="s">
        <v>386</v>
      </c>
      <c r="M681" t="s">
        <v>1193</v>
      </c>
      <c r="N681">
        <v>2527</v>
      </c>
      <c r="O681">
        <v>37</v>
      </c>
      <c r="R681" t="s">
        <v>398</v>
      </c>
      <c r="S681" t="s">
        <v>1909</v>
      </c>
      <c r="T681">
        <v>200</v>
      </c>
      <c r="U681">
        <v>0</v>
      </c>
      <c r="V681" t="s">
        <v>1199</v>
      </c>
      <c r="W681" t="s">
        <v>1194</v>
      </c>
      <c r="X681">
        <v>220</v>
      </c>
      <c r="Y681" t="s">
        <v>1317</v>
      </c>
      <c r="Z681" t="s">
        <v>1126</v>
      </c>
      <c r="AA681" t="s">
        <v>387</v>
      </c>
      <c r="AB681">
        <v>29000</v>
      </c>
      <c r="AC681">
        <v>1823</v>
      </c>
      <c r="AD681" t="s">
        <v>2109</v>
      </c>
      <c r="AE681">
        <v>0</v>
      </c>
      <c r="AF681" t="s">
        <v>1188</v>
      </c>
      <c r="AG681" t="s">
        <v>2110</v>
      </c>
    </row>
    <row r="682" spans="1:34" x14ac:dyDescent="0.25">
      <c r="A682">
        <v>56</v>
      </c>
      <c r="C682" s="185"/>
      <c r="E682" t="s">
        <v>386</v>
      </c>
      <c r="F682" t="s">
        <v>2111</v>
      </c>
      <c r="G682" t="s">
        <v>1192</v>
      </c>
      <c r="I682">
        <v>2555</v>
      </c>
      <c r="J682" t="s">
        <v>2111</v>
      </c>
      <c r="K682" t="s">
        <v>2111</v>
      </c>
      <c r="L682" t="s">
        <v>386</v>
      </c>
      <c r="M682" t="s">
        <v>1193</v>
      </c>
      <c r="N682">
        <v>2555</v>
      </c>
      <c r="O682">
        <v>1</v>
      </c>
      <c r="R682" t="s">
        <v>398</v>
      </c>
      <c r="T682">
        <v>0</v>
      </c>
      <c r="V682" t="s">
        <v>1186</v>
      </c>
      <c r="Z682" t="s">
        <v>880</v>
      </c>
      <c r="AA682" t="s">
        <v>387</v>
      </c>
      <c r="AB682">
        <v>1000</v>
      </c>
      <c r="AC682">
        <v>0</v>
      </c>
      <c r="AD682" t="s">
        <v>1187</v>
      </c>
      <c r="AE682">
        <v>0</v>
      </c>
      <c r="AF682" t="s">
        <v>1188</v>
      </c>
    </row>
    <row r="683" spans="1:34" x14ac:dyDescent="0.25">
      <c r="A683">
        <v>1447</v>
      </c>
      <c r="C683" s="185"/>
      <c r="E683" t="s">
        <v>386</v>
      </c>
      <c r="F683" t="s">
        <v>2112</v>
      </c>
      <c r="G683" t="s">
        <v>1192</v>
      </c>
      <c r="I683">
        <v>2556</v>
      </c>
      <c r="J683" t="s">
        <v>2112</v>
      </c>
      <c r="K683" t="s">
        <v>2112</v>
      </c>
      <c r="L683" t="s">
        <v>386</v>
      </c>
      <c r="M683" t="s">
        <v>1193</v>
      </c>
      <c r="N683">
        <v>2556</v>
      </c>
      <c r="O683">
        <v>44</v>
      </c>
      <c r="R683" t="s">
        <v>398</v>
      </c>
      <c r="T683">
        <v>220</v>
      </c>
      <c r="V683" t="s">
        <v>1194</v>
      </c>
      <c r="Z683" t="s">
        <v>2113</v>
      </c>
      <c r="AA683" t="s">
        <v>387</v>
      </c>
      <c r="AB683">
        <v>36000</v>
      </c>
      <c r="AC683">
        <v>0</v>
      </c>
      <c r="AD683" t="s">
        <v>1187</v>
      </c>
      <c r="AE683">
        <v>0</v>
      </c>
      <c r="AF683" t="s">
        <v>1188</v>
      </c>
    </row>
    <row r="684" spans="1:34" x14ac:dyDescent="0.25">
      <c r="A684">
        <v>1448</v>
      </c>
      <c r="C684" s="185"/>
      <c r="E684" t="s">
        <v>386</v>
      </c>
      <c r="F684" t="s">
        <v>2114</v>
      </c>
      <c r="G684" t="s">
        <v>1192</v>
      </c>
      <c r="I684">
        <v>2560</v>
      </c>
      <c r="J684" t="s">
        <v>2114</v>
      </c>
      <c r="K684" t="s">
        <v>2114</v>
      </c>
      <c r="L684" t="s">
        <v>386</v>
      </c>
      <c r="M684" t="s">
        <v>1193</v>
      </c>
      <c r="N684">
        <v>2560</v>
      </c>
      <c r="O684">
        <v>1</v>
      </c>
      <c r="R684" t="s">
        <v>398</v>
      </c>
      <c r="T684">
        <v>2</v>
      </c>
      <c r="V684" t="s">
        <v>1205</v>
      </c>
      <c r="Z684" t="s">
        <v>2115</v>
      </c>
      <c r="AA684" t="s">
        <v>387</v>
      </c>
      <c r="AB684">
        <v>1000</v>
      </c>
      <c r="AC684">
        <v>0</v>
      </c>
      <c r="AD684" t="s">
        <v>1187</v>
      </c>
      <c r="AE684">
        <v>0</v>
      </c>
      <c r="AF684" t="s">
        <v>1188</v>
      </c>
    </row>
    <row r="685" spans="1:34" x14ac:dyDescent="0.25">
      <c r="A685">
        <v>50</v>
      </c>
      <c r="C685" s="185"/>
      <c r="E685" t="s">
        <v>386</v>
      </c>
      <c r="F685" t="s">
        <v>2116</v>
      </c>
      <c r="G685" t="s">
        <v>1192</v>
      </c>
      <c r="I685">
        <v>2561</v>
      </c>
      <c r="J685" t="s">
        <v>2116</v>
      </c>
      <c r="K685" t="s">
        <v>2116</v>
      </c>
      <c r="L685" t="s">
        <v>386</v>
      </c>
      <c r="M685" t="s">
        <v>1193</v>
      </c>
      <c r="N685">
        <v>2561</v>
      </c>
      <c r="O685">
        <v>1</v>
      </c>
      <c r="R685" t="s">
        <v>398</v>
      </c>
      <c r="T685">
        <v>2</v>
      </c>
      <c r="V685" t="s">
        <v>1205</v>
      </c>
      <c r="Z685" t="s">
        <v>878</v>
      </c>
      <c r="AA685" t="s">
        <v>387</v>
      </c>
      <c r="AB685">
        <v>1000</v>
      </c>
      <c r="AC685">
        <v>0</v>
      </c>
      <c r="AD685" t="s">
        <v>1187</v>
      </c>
      <c r="AE685">
        <v>0</v>
      </c>
      <c r="AF685" t="s">
        <v>1188</v>
      </c>
    </row>
    <row r="686" spans="1:34" x14ac:dyDescent="0.25">
      <c r="A686">
        <v>50</v>
      </c>
      <c r="C686" s="185"/>
      <c r="E686" t="s">
        <v>386</v>
      </c>
      <c r="F686" t="s">
        <v>2117</v>
      </c>
      <c r="G686" t="s">
        <v>1192</v>
      </c>
      <c r="I686">
        <v>2562</v>
      </c>
      <c r="J686" t="s">
        <v>2117</v>
      </c>
      <c r="K686" t="s">
        <v>2117</v>
      </c>
      <c r="L686" t="s">
        <v>386</v>
      </c>
      <c r="M686" t="s">
        <v>1193</v>
      </c>
      <c r="N686">
        <v>2562</v>
      </c>
      <c r="O686">
        <v>1</v>
      </c>
      <c r="R686" t="s">
        <v>398</v>
      </c>
      <c r="T686">
        <v>0</v>
      </c>
      <c r="V686" t="s">
        <v>1186</v>
      </c>
      <c r="Z686" t="s">
        <v>878</v>
      </c>
      <c r="AA686" t="s">
        <v>387</v>
      </c>
      <c r="AB686">
        <v>1000</v>
      </c>
      <c r="AC686">
        <v>0</v>
      </c>
      <c r="AD686" t="s">
        <v>1187</v>
      </c>
      <c r="AE686">
        <v>0</v>
      </c>
      <c r="AF686" t="s">
        <v>1188</v>
      </c>
    </row>
    <row r="687" spans="1:34" x14ac:dyDescent="0.25">
      <c r="A687">
        <v>1361</v>
      </c>
      <c r="C687" s="185"/>
      <c r="E687" t="s">
        <v>386</v>
      </c>
      <c r="F687" t="s">
        <v>2118</v>
      </c>
      <c r="G687" t="s">
        <v>1192</v>
      </c>
      <c r="I687">
        <v>2563</v>
      </c>
      <c r="J687" t="s">
        <v>2118</v>
      </c>
      <c r="K687" t="s">
        <v>2118</v>
      </c>
      <c r="L687" t="s">
        <v>386</v>
      </c>
      <c r="M687" t="s">
        <v>1193</v>
      </c>
      <c r="N687">
        <v>2563</v>
      </c>
      <c r="O687">
        <v>10</v>
      </c>
      <c r="R687" t="s">
        <v>398</v>
      </c>
      <c r="T687">
        <v>0</v>
      </c>
      <c r="V687" t="s">
        <v>1186</v>
      </c>
      <c r="Z687" t="s">
        <v>1113</v>
      </c>
      <c r="AA687" t="s">
        <v>387</v>
      </c>
      <c r="AB687">
        <v>6000</v>
      </c>
      <c r="AC687">
        <v>0</v>
      </c>
      <c r="AD687" t="s">
        <v>1187</v>
      </c>
      <c r="AE687">
        <v>0</v>
      </c>
      <c r="AF687" t="s">
        <v>1188</v>
      </c>
    </row>
    <row r="688" spans="1:34" x14ac:dyDescent="0.25">
      <c r="A688">
        <v>11</v>
      </c>
      <c r="C688" s="185"/>
      <c r="E688" t="s">
        <v>386</v>
      </c>
      <c r="F688" t="s">
        <v>2119</v>
      </c>
      <c r="G688" t="s">
        <v>1192</v>
      </c>
      <c r="I688">
        <v>2564</v>
      </c>
      <c r="J688" t="s">
        <v>2119</v>
      </c>
      <c r="K688" t="s">
        <v>2119</v>
      </c>
      <c r="L688" t="s">
        <v>386</v>
      </c>
      <c r="M688" t="s">
        <v>1193</v>
      </c>
      <c r="N688">
        <v>2564</v>
      </c>
      <c r="O688">
        <v>10</v>
      </c>
      <c r="R688" t="s">
        <v>398</v>
      </c>
      <c r="T688">
        <v>220</v>
      </c>
      <c r="V688" t="s">
        <v>1194</v>
      </c>
      <c r="Z688" t="s">
        <v>871</v>
      </c>
      <c r="AA688" t="s">
        <v>387</v>
      </c>
      <c r="AB688">
        <v>6000</v>
      </c>
      <c r="AC688">
        <v>0</v>
      </c>
      <c r="AD688" t="s">
        <v>1187</v>
      </c>
      <c r="AE688">
        <v>0</v>
      </c>
      <c r="AF688" t="s">
        <v>1188</v>
      </c>
    </row>
    <row r="689" spans="1:32" x14ac:dyDescent="0.25">
      <c r="A689">
        <v>1449</v>
      </c>
      <c r="C689" s="185"/>
      <c r="E689" t="s">
        <v>386</v>
      </c>
      <c r="F689" t="s">
        <v>2120</v>
      </c>
      <c r="G689" t="s">
        <v>1192</v>
      </c>
      <c r="I689">
        <v>2565</v>
      </c>
      <c r="J689" t="s">
        <v>2120</v>
      </c>
      <c r="K689" t="s">
        <v>2120</v>
      </c>
      <c r="L689" t="s">
        <v>386</v>
      </c>
      <c r="M689" t="s">
        <v>1193</v>
      </c>
      <c r="N689">
        <v>2565</v>
      </c>
      <c r="O689">
        <v>10</v>
      </c>
      <c r="R689" t="s">
        <v>398</v>
      </c>
      <c r="T689">
        <v>0</v>
      </c>
      <c r="V689" t="s">
        <v>1186</v>
      </c>
      <c r="Z689" t="s">
        <v>2121</v>
      </c>
      <c r="AA689" t="s">
        <v>387</v>
      </c>
      <c r="AB689">
        <v>6000</v>
      </c>
      <c r="AC689">
        <v>0</v>
      </c>
      <c r="AD689" t="s">
        <v>1187</v>
      </c>
      <c r="AE689">
        <v>0</v>
      </c>
      <c r="AF689" t="s">
        <v>1188</v>
      </c>
    </row>
    <row r="690" spans="1:32" x14ac:dyDescent="0.25">
      <c r="A690">
        <v>95</v>
      </c>
      <c r="C690" s="185"/>
      <c r="E690" t="s">
        <v>386</v>
      </c>
      <c r="F690" t="s">
        <v>2122</v>
      </c>
      <c r="G690" t="s">
        <v>1192</v>
      </c>
      <c r="I690">
        <v>2566</v>
      </c>
      <c r="J690" t="s">
        <v>2122</v>
      </c>
      <c r="K690" t="s">
        <v>2122</v>
      </c>
      <c r="L690" t="s">
        <v>386</v>
      </c>
      <c r="M690" t="s">
        <v>1193</v>
      </c>
      <c r="N690">
        <v>2566</v>
      </c>
      <c r="O690">
        <v>10</v>
      </c>
      <c r="R690" t="s">
        <v>398</v>
      </c>
      <c r="T690">
        <v>0</v>
      </c>
      <c r="V690" t="s">
        <v>1186</v>
      </c>
      <c r="Z690" t="s">
        <v>952</v>
      </c>
      <c r="AA690" t="s">
        <v>387</v>
      </c>
      <c r="AB690">
        <v>6000</v>
      </c>
      <c r="AC690">
        <v>0</v>
      </c>
      <c r="AD690" t="s">
        <v>1187</v>
      </c>
      <c r="AE690">
        <v>0</v>
      </c>
      <c r="AF690" t="s">
        <v>1188</v>
      </c>
    </row>
    <row r="691" spans="1:32" x14ac:dyDescent="0.25">
      <c r="A691">
        <v>1275</v>
      </c>
      <c r="C691" s="185"/>
      <c r="E691" t="s">
        <v>386</v>
      </c>
      <c r="F691" t="s">
        <v>2123</v>
      </c>
      <c r="G691" t="s">
        <v>1192</v>
      </c>
      <c r="I691">
        <v>2567</v>
      </c>
      <c r="J691" t="s">
        <v>2123</v>
      </c>
      <c r="K691" t="s">
        <v>2123</v>
      </c>
      <c r="L691" t="s">
        <v>386</v>
      </c>
      <c r="M691" t="s">
        <v>1193</v>
      </c>
      <c r="N691">
        <v>2567</v>
      </c>
      <c r="O691">
        <v>10</v>
      </c>
      <c r="R691" t="s">
        <v>398</v>
      </c>
      <c r="T691">
        <v>0</v>
      </c>
      <c r="V691" t="s">
        <v>1186</v>
      </c>
      <c r="Z691" t="s">
        <v>2124</v>
      </c>
      <c r="AA691" t="s">
        <v>387</v>
      </c>
      <c r="AB691">
        <v>6000</v>
      </c>
      <c r="AC691">
        <v>0</v>
      </c>
      <c r="AD691" t="s">
        <v>1187</v>
      </c>
      <c r="AE691">
        <v>0</v>
      </c>
      <c r="AF691" t="s">
        <v>1188</v>
      </c>
    </row>
    <row r="692" spans="1:32" x14ac:dyDescent="0.25">
      <c r="A692">
        <v>11</v>
      </c>
      <c r="C692" s="185"/>
      <c r="E692" t="s">
        <v>386</v>
      </c>
      <c r="F692" t="s">
        <v>2125</v>
      </c>
      <c r="G692" t="s">
        <v>1192</v>
      </c>
      <c r="I692">
        <v>2568</v>
      </c>
      <c r="J692" t="s">
        <v>2125</v>
      </c>
      <c r="K692" t="s">
        <v>2125</v>
      </c>
      <c r="L692" t="s">
        <v>386</v>
      </c>
      <c r="M692" t="s">
        <v>1193</v>
      </c>
      <c r="N692">
        <v>2568</v>
      </c>
      <c r="O692">
        <v>10</v>
      </c>
      <c r="R692" t="s">
        <v>398</v>
      </c>
      <c r="T692">
        <v>0</v>
      </c>
      <c r="V692" t="s">
        <v>1186</v>
      </c>
      <c r="Z692" t="s">
        <v>871</v>
      </c>
      <c r="AA692" t="s">
        <v>387</v>
      </c>
      <c r="AB692">
        <v>6000</v>
      </c>
      <c r="AC692">
        <v>0</v>
      </c>
      <c r="AD692" t="s">
        <v>1187</v>
      </c>
      <c r="AE692">
        <v>0</v>
      </c>
      <c r="AF692" t="s">
        <v>1188</v>
      </c>
    </row>
    <row r="693" spans="1:32" x14ac:dyDescent="0.25">
      <c r="A693">
        <v>1450</v>
      </c>
      <c r="C693" s="185"/>
      <c r="E693" t="s">
        <v>386</v>
      </c>
      <c r="F693" t="s">
        <v>2126</v>
      </c>
      <c r="G693" t="s">
        <v>1192</v>
      </c>
      <c r="I693">
        <v>2569</v>
      </c>
      <c r="J693" t="s">
        <v>2126</v>
      </c>
      <c r="K693" t="s">
        <v>2126</v>
      </c>
      <c r="L693" t="s">
        <v>386</v>
      </c>
      <c r="M693" t="s">
        <v>1193</v>
      </c>
      <c r="N693">
        <v>2569</v>
      </c>
      <c r="O693">
        <v>10</v>
      </c>
      <c r="R693" t="s">
        <v>398</v>
      </c>
      <c r="T693">
        <v>0</v>
      </c>
      <c r="V693" t="s">
        <v>1186</v>
      </c>
      <c r="Z693" t="s">
        <v>2127</v>
      </c>
      <c r="AA693" t="s">
        <v>387</v>
      </c>
      <c r="AB693">
        <v>6000</v>
      </c>
      <c r="AC693">
        <v>0</v>
      </c>
      <c r="AD693" t="s">
        <v>1187</v>
      </c>
      <c r="AE693">
        <v>0</v>
      </c>
      <c r="AF693" t="s">
        <v>1188</v>
      </c>
    </row>
    <row r="694" spans="1:32" x14ac:dyDescent="0.25">
      <c r="A694">
        <v>1451</v>
      </c>
      <c r="C694" s="185"/>
      <c r="E694" t="s">
        <v>386</v>
      </c>
      <c r="F694" t="s">
        <v>2128</v>
      </c>
      <c r="G694" t="s">
        <v>1192</v>
      </c>
      <c r="I694">
        <v>2570</v>
      </c>
      <c r="J694" t="s">
        <v>2128</v>
      </c>
      <c r="K694" t="s">
        <v>2128</v>
      </c>
      <c r="L694" t="s">
        <v>386</v>
      </c>
      <c r="M694" t="s">
        <v>1193</v>
      </c>
      <c r="N694">
        <v>2570</v>
      </c>
      <c r="O694">
        <v>10</v>
      </c>
      <c r="R694" t="s">
        <v>398</v>
      </c>
      <c r="T694">
        <v>0</v>
      </c>
      <c r="V694" t="s">
        <v>1186</v>
      </c>
      <c r="Z694" t="s">
        <v>2129</v>
      </c>
      <c r="AA694" t="s">
        <v>387</v>
      </c>
      <c r="AB694">
        <v>6000</v>
      </c>
      <c r="AC694">
        <v>0</v>
      </c>
      <c r="AD694" t="s">
        <v>1187</v>
      </c>
      <c r="AE694">
        <v>0</v>
      </c>
      <c r="AF694" t="s">
        <v>1188</v>
      </c>
    </row>
    <row r="695" spans="1:32" x14ac:dyDescent="0.25">
      <c r="A695">
        <v>1452</v>
      </c>
      <c r="C695" s="185"/>
      <c r="E695" t="s">
        <v>386</v>
      </c>
      <c r="F695" t="s">
        <v>2130</v>
      </c>
      <c r="G695" t="s">
        <v>1192</v>
      </c>
      <c r="I695">
        <v>2571</v>
      </c>
      <c r="J695" t="s">
        <v>2130</v>
      </c>
      <c r="K695" t="s">
        <v>2130</v>
      </c>
      <c r="L695" t="s">
        <v>386</v>
      </c>
      <c r="M695" t="s">
        <v>1193</v>
      </c>
      <c r="N695">
        <v>2571</v>
      </c>
      <c r="O695">
        <v>10</v>
      </c>
      <c r="R695" t="s">
        <v>398</v>
      </c>
      <c r="T695">
        <v>0</v>
      </c>
      <c r="V695" t="s">
        <v>1186</v>
      </c>
      <c r="Z695" t="s">
        <v>2131</v>
      </c>
      <c r="AA695" t="s">
        <v>387</v>
      </c>
      <c r="AB695">
        <v>6000</v>
      </c>
      <c r="AC695">
        <v>0</v>
      </c>
      <c r="AD695" t="s">
        <v>1187</v>
      </c>
      <c r="AE695">
        <v>0</v>
      </c>
      <c r="AF695" t="s">
        <v>1188</v>
      </c>
    </row>
    <row r="696" spans="1:32" x14ac:dyDescent="0.25">
      <c r="A696">
        <v>6</v>
      </c>
      <c r="C696" s="185"/>
      <c r="E696" t="s">
        <v>386</v>
      </c>
      <c r="F696" t="s">
        <v>2132</v>
      </c>
      <c r="G696" t="s">
        <v>1192</v>
      </c>
      <c r="I696">
        <v>2572</v>
      </c>
      <c r="J696" t="s">
        <v>2132</v>
      </c>
      <c r="K696" t="s">
        <v>2132</v>
      </c>
      <c r="L696" t="s">
        <v>386</v>
      </c>
      <c r="M696" t="s">
        <v>1193</v>
      </c>
      <c r="N696">
        <v>2572</v>
      </c>
      <c r="O696">
        <v>10</v>
      </c>
      <c r="R696" t="s">
        <v>398</v>
      </c>
      <c r="T696">
        <v>0</v>
      </c>
      <c r="V696" t="s">
        <v>1186</v>
      </c>
      <c r="Z696" t="s">
        <v>892</v>
      </c>
      <c r="AA696" t="s">
        <v>387</v>
      </c>
      <c r="AB696">
        <v>6000</v>
      </c>
      <c r="AC696">
        <v>0</v>
      </c>
      <c r="AD696" t="s">
        <v>1187</v>
      </c>
      <c r="AE696">
        <v>0</v>
      </c>
      <c r="AF696" t="s">
        <v>1188</v>
      </c>
    </row>
    <row r="697" spans="1:32" x14ac:dyDescent="0.25">
      <c r="A697">
        <v>1300</v>
      </c>
      <c r="C697" s="185"/>
      <c r="E697" t="s">
        <v>386</v>
      </c>
      <c r="F697" t="s">
        <v>2133</v>
      </c>
      <c r="G697" t="s">
        <v>1192</v>
      </c>
      <c r="I697">
        <v>2573</v>
      </c>
      <c r="J697" t="s">
        <v>2133</v>
      </c>
      <c r="K697" t="s">
        <v>2133</v>
      </c>
      <c r="L697" t="s">
        <v>386</v>
      </c>
      <c r="M697" t="s">
        <v>1193</v>
      </c>
      <c r="N697">
        <v>2573</v>
      </c>
      <c r="O697">
        <v>10</v>
      </c>
      <c r="R697" t="s">
        <v>398</v>
      </c>
      <c r="T697">
        <v>0</v>
      </c>
      <c r="V697" t="s">
        <v>1186</v>
      </c>
      <c r="Z697" t="s">
        <v>2134</v>
      </c>
      <c r="AA697" t="s">
        <v>387</v>
      </c>
      <c r="AB697">
        <v>6000</v>
      </c>
      <c r="AC697">
        <v>0</v>
      </c>
      <c r="AD697" t="s">
        <v>1187</v>
      </c>
      <c r="AE697">
        <v>0</v>
      </c>
      <c r="AF697" t="s">
        <v>1188</v>
      </c>
    </row>
    <row r="698" spans="1:32" x14ac:dyDescent="0.25">
      <c r="A698">
        <v>1267</v>
      </c>
      <c r="C698" s="185"/>
      <c r="E698" t="s">
        <v>386</v>
      </c>
      <c r="F698" t="s">
        <v>2135</v>
      </c>
      <c r="G698" t="s">
        <v>1192</v>
      </c>
      <c r="I698">
        <v>2574</v>
      </c>
      <c r="J698" t="s">
        <v>2135</v>
      </c>
      <c r="K698" t="s">
        <v>2135</v>
      </c>
      <c r="L698" t="s">
        <v>386</v>
      </c>
      <c r="M698" t="s">
        <v>1193</v>
      </c>
      <c r="N698">
        <v>2574</v>
      </c>
      <c r="O698">
        <v>10</v>
      </c>
      <c r="R698" t="s">
        <v>398</v>
      </c>
      <c r="T698">
        <v>0</v>
      </c>
      <c r="V698" t="s">
        <v>1186</v>
      </c>
      <c r="Z698" t="s">
        <v>2136</v>
      </c>
      <c r="AA698" t="s">
        <v>387</v>
      </c>
      <c r="AB698">
        <v>6000</v>
      </c>
      <c r="AC698">
        <v>0</v>
      </c>
      <c r="AD698" t="s">
        <v>1187</v>
      </c>
      <c r="AE698">
        <v>0</v>
      </c>
      <c r="AF698" t="s">
        <v>1188</v>
      </c>
    </row>
    <row r="699" spans="1:32" x14ac:dyDescent="0.25">
      <c r="A699">
        <v>11</v>
      </c>
      <c r="C699" s="185"/>
      <c r="E699" t="s">
        <v>386</v>
      </c>
      <c r="F699" t="s">
        <v>2137</v>
      </c>
      <c r="G699" t="s">
        <v>1192</v>
      </c>
      <c r="I699">
        <v>2577</v>
      </c>
      <c r="J699" t="s">
        <v>2137</v>
      </c>
      <c r="K699" t="s">
        <v>2137</v>
      </c>
      <c r="L699" t="s">
        <v>386</v>
      </c>
      <c r="M699" t="s">
        <v>1193</v>
      </c>
      <c r="N699">
        <v>2577</v>
      </c>
      <c r="O699">
        <v>10</v>
      </c>
      <c r="R699" t="s">
        <v>398</v>
      </c>
      <c r="T699">
        <v>0</v>
      </c>
      <c r="V699" t="s">
        <v>1186</v>
      </c>
      <c r="Z699" t="s">
        <v>871</v>
      </c>
      <c r="AA699" t="s">
        <v>387</v>
      </c>
      <c r="AB699">
        <v>6000</v>
      </c>
      <c r="AC699">
        <v>0</v>
      </c>
      <c r="AD699" t="s">
        <v>1187</v>
      </c>
      <c r="AE699">
        <v>0</v>
      </c>
      <c r="AF699" t="s">
        <v>1188</v>
      </c>
    </row>
    <row r="700" spans="1:32" x14ac:dyDescent="0.25">
      <c r="A700">
        <v>1370</v>
      </c>
      <c r="C700" s="185"/>
      <c r="E700" t="s">
        <v>386</v>
      </c>
      <c r="F700" t="s">
        <v>2138</v>
      </c>
      <c r="G700" t="s">
        <v>1192</v>
      </c>
      <c r="I700">
        <v>2580</v>
      </c>
      <c r="J700" t="s">
        <v>2138</v>
      </c>
      <c r="K700" t="s">
        <v>2138</v>
      </c>
      <c r="L700" t="s">
        <v>386</v>
      </c>
      <c r="M700" t="s">
        <v>1193</v>
      </c>
      <c r="N700">
        <v>2580</v>
      </c>
      <c r="O700">
        <v>10</v>
      </c>
      <c r="R700" t="s">
        <v>398</v>
      </c>
      <c r="T700">
        <v>0</v>
      </c>
      <c r="V700" t="s">
        <v>1186</v>
      </c>
      <c r="Z700" t="s">
        <v>2139</v>
      </c>
      <c r="AA700" t="s">
        <v>387</v>
      </c>
      <c r="AB700">
        <v>6000</v>
      </c>
      <c r="AC700">
        <v>0</v>
      </c>
      <c r="AD700" t="s">
        <v>1187</v>
      </c>
      <c r="AE700">
        <v>0</v>
      </c>
      <c r="AF700" t="s">
        <v>1188</v>
      </c>
    </row>
    <row r="701" spans="1:32" x14ac:dyDescent="0.25">
      <c r="A701">
        <v>1275</v>
      </c>
      <c r="C701" s="185"/>
      <c r="E701" t="s">
        <v>386</v>
      </c>
      <c r="F701" t="s">
        <v>2140</v>
      </c>
      <c r="G701" t="s">
        <v>1192</v>
      </c>
      <c r="H701" t="s">
        <v>2141</v>
      </c>
      <c r="I701">
        <v>2581</v>
      </c>
      <c r="J701" t="s">
        <v>2140</v>
      </c>
      <c r="K701" t="s">
        <v>2140</v>
      </c>
      <c r="L701" t="s">
        <v>386</v>
      </c>
      <c r="M701" t="s">
        <v>1193</v>
      </c>
      <c r="N701">
        <v>2581</v>
      </c>
      <c r="O701">
        <v>29</v>
      </c>
      <c r="R701" t="s">
        <v>398</v>
      </c>
      <c r="T701">
        <v>0</v>
      </c>
      <c r="V701" t="s">
        <v>1186</v>
      </c>
      <c r="Z701" t="s">
        <v>2124</v>
      </c>
      <c r="AA701" t="s">
        <v>387</v>
      </c>
      <c r="AB701">
        <v>21000</v>
      </c>
      <c r="AC701">
        <v>0</v>
      </c>
      <c r="AD701" t="s">
        <v>1187</v>
      </c>
      <c r="AE701">
        <v>0</v>
      </c>
      <c r="AF701" t="s">
        <v>1188</v>
      </c>
    </row>
    <row r="702" spans="1:32" x14ac:dyDescent="0.25">
      <c r="A702">
        <v>1795</v>
      </c>
      <c r="C702" s="185"/>
      <c r="E702" t="s">
        <v>386</v>
      </c>
      <c r="F702" t="s">
        <v>2142</v>
      </c>
      <c r="G702" t="s">
        <v>1192</v>
      </c>
      <c r="H702" t="s">
        <v>2141</v>
      </c>
      <c r="I702">
        <v>7099</v>
      </c>
      <c r="J702" t="s">
        <v>2143</v>
      </c>
      <c r="K702" t="s">
        <v>2143</v>
      </c>
      <c r="L702" t="s">
        <v>386</v>
      </c>
      <c r="M702" t="s">
        <v>1193</v>
      </c>
      <c r="N702">
        <v>2582</v>
      </c>
      <c r="O702">
        <v>35</v>
      </c>
      <c r="R702" t="s">
        <v>398</v>
      </c>
      <c r="T702">
        <v>39</v>
      </c>
      <c r="V702" t="s">
        <v>2144</v>
      </c>
      <c r="Z702" t="s">
        <v>888</v>
      </c>
      <c r="AA702" t="s">
        <v>387</v>
      </c>
      <c r="AB702">
        <v>27000</v>
      </c>
      <c r="AC702">
        <v>0</v>
      </c>
      <c r="AD702" t="s">
        <v>1187</v>
      </c>
      <c r="AE702">
        <v>0</v>
      </c>
      <c r="AF702" t="s">
        <v>1188</v>
      </c>
    </row>
    <row r="703" spans="1:32" x14ac:dyDescent="0.25">
      <c r="A703">
        <v>11</v>
      </c>
      <c r="C703" s="185"/>
      <c r="E703" t="s">
        <v>386</v>
      </c>
      <c r="F703" t="s">
        <v>2142</v>
      </c>
      <c r="G703" t="s">
        <v>1192</v>
      </c>
      <c r="I703">
        <v>2582</v>
      </c>
      <c r="J703" t="s">
        <v>2142</v>
      </c>
      <c r="K703" t="s">
        <v>2142</v>
      </c>
      <c r="L703" t="s">
        <v>386</v>
      </c>
      <c r="M703" t="s">
        <v>1193</v>
      </c>
      <c r="N703">
        <v>2582</v>
      </c>
      <c r="O703">
        <v>10</v>
      </c>
      <c r="R703" t="s">
        <v>398</v>
      </c>
      <c r="T703">
        <v>0</v>
      </c>
      <c r="V703" t="s">
        <v>1186</v>
      </c>
      <c r="Z703" t="s">
        <v>871</v>
      </c>
      <c r="AA703" t="s">
        <v>387</v>
      </c>
      <c r="AB703">
        <v>6000</v>
      </c>
      <c r="AC703">
        <v>0</v>
      </c>
      <c r="AD703" t="s">
        <v>1187</v>
      </c>
      <c r="AE703">
        <v>0</v>
      </c>
      <c r="AF703" t="s">
        <v>1188</v>
      </c>
    </row>
    <row r="704" spans="1:32" x14ac:dyDescent="0.25">
      <c r="A704">
        <v>1795</v>
      </c>
      <c r="C704" s="185"/>
      <c r="E704" t="s">
        <v>386</v>
      </c>
      <c r="F704" t="s">
        <v>2142</v>
      </c>
      <c r="G704" t="s">
        <v>1192</v>
      </c>
      <c r="H704" t="s">
        <v>2141</v>
      </c>
      <c r="I704">
        <v>7098</v>
      </c>
      <c r="J704" t="s">
        <v>2145</v>
      </c>
      <c r="K704" t="s">
        <v>2145</v>
      </c>
      <c r="L704" t="s">
        <v>386</v>
      </c>
      <c r="M704" t="s">
        <v>1193</v>
      </c>
      <c r="N704">
        <v>2582</v>
      </c>
      <c r="O704">
        <v>0</v>
      </c>
      <c r="R704" t="s">
        <v>398</v>
      </c>
      <c r="T704">
        <v>220</v>
      </c>
      <c r="V704" t="s">
        <v>1194</v>
      </c>
      <c r="W704" t="s">
        <v>1194</v>
      </c>
      <c r="X704">
        <v>220</v>
      </c>
      <c r="Z704" t="s">
        <v>888</v>
      </c>
      <c r="AA704" t="s">
        <v>387</v>
      </c>
      <c r="AB704">
        <v>0</v>
      </c>
      <c r="AC704">
        <v>0</v>
      </c>
      <c r="AD704" t="s">
        <v>1187</v>
      </c>
      <c r="AE704">
        <v>0</v>
      </c>
      <c r="AF704" t="s">
        <v>1188</v>
      </c>
    </row>
    <row r="705" spans="1:32" x14ac:dyDescent="0.25">
      <c r="A705">
        <v>1795</v>
      </c>
      <c r="C705" s="185"/>
      <c r="E705" t="s">
        <v>386</v>
      </c>
      <c r="F705" t="s">
        <v>2142</v>
      </c>
      <c r="G705" t="s">
        <v>1192</v>
      </c>
      <c r="H705" t="s">
        <v>2141</v>
      </c>
      <c r="I705">
        <v>7100</v>
      </c>
      <c r="J705" t="s">
        <v>2146</v>
      </c>
      <c r="K705" t="s">
        <v>2146</v>
      </c>
      <c r="L705" t="s">
        <v>386</v>
      </c>
      <c r="M705" t="s">
        <v>1193</v>
      </c>
      <c r="N705">
        <v>2582</v>
      </c>
      <c r="O705">
        <v>0</v>
      </c>
      <c r="R705" t="s">
        <v>398</v>
      </c>
      <c r="T705">
        <v>220</v>
      </c>
      <c r="V705" t="s">
        <v>1194</v>
      </c>
      <c r="W705" t="s">
        <v>1194</v>
      </c>
      <c r="X705">
        <v>220</v>
      </c>
      <c r="Z705" t="s">
        <v>888</v>
      </c>
      <c r="AA705" t="s">
        <v>387</v>
      </c>
      <c r="AB705">
        <v>0</v>
      </c>
      <c r="AC705">
        <v>0</v>
      </c>
      <c r="AD705" t="s">
        <v>1187</v>
      </c>
      <c r="AE705">
        <v>0</v>
      </c>
      <c r="AF705" t="s">
        <v>1188</v>
      </c>
    </row>
    <row r="706" spans="1:32" x14ac:dyDescent="0.25">
      <c r="A706">
        <v>1795</v>
      </c>
      <c r="C706" s="185"/>
      <c r="E706" t="s">
        <v>386</v>
      </c>
      <c r="F706" t="s">
        <v>2142</v>
      </c>
      <c r="G706" t="s">
        <v>1192</v>
      </c>
      <c r="H706" t="s">
        <v>2141</v>
      </c>
      <c r="I706">
        <v>7095</v>
      </c>
      <c r="J706" t="s">
        <v>2147</v>
      </c>
      <c r="K706" t="s">
        <v>2147</v>
      </c>
      <c r="L706" t="s">
        <v>386</v>
      </c>
      <c r="M706" t="s">
        <v>1193</v>
      </c>
      <c r="N706">
        <v>2582</v>
      </c>
      <c r="O706">
        <v>13</v>
      </c>
      <c r="R706" t="s">
        <v>398</v>
      </c>
      <c r="T706">
        <v>0</v>
      </c>
      <c r="V706" t="s">
        <v>1186</v>
      </c>
      <c r="Z706" t="s">
        <v>888</v>
      </c>
      <c r="AA706" t="s">
        <v>387</v>
      </c>
      <c r="AB706">
        <v>8000</v>
      </c>
      <c r="AC706">
        <v>0</v>
      </c>
      <c r="AD706" t="s">
        <v>1187</v>
      </c>
      <c r="AE706">
        <v>0</v>
      </c>
      <c r="AF706" t="s">
        <v>1188</v>
      </c>
    </row>
    <row r="707" spans="1:32" x14ac:dyDescent="0.25">
      <c r="A707">
        <v>1795</v>
      </c>
      <c r="C707" s="185"/>
      <c r="E707" t="s">
        <v>386</v>
      </c>
      <c r="F707" t="s">
        <v>2142</v>
      </c>
      <c r="G707" t="s">
        <v>1192</v>
      </c>
      <c r="H707" t="s">
        <v>2141</v>
      </c>
      <c r="I707">
        <v>7096</v>
      </c>
      <c r="J707" t="s">
        <v>2148</v>
      </c>
      <c r="K707" t="s">
        <v>2148</v>
      </c>
      <c r="L707" t="s">
        <v>386</v>
      </c>
      <c r="M707" t="s">
        <v>1193</v>
      </c>
      <c r="N707">
        <v>2582</v>
      </c>
      <c r="O707">
        <v>31</v>
      </c>
      <c r="R707" t="s">
        <v>398</v>
      </c>
      <c r="T707">
        <v>0</v>
      </c>
      <c r="V707" t="s">
        <v>1186</v>
      </c>
      <c r="Z707" t="s">
        <v>888</v>
      </c>
      <c r="AA707" t="s">
        <v>387</v>
      </c>
      <c r="AB707">
        <v>23000</v>
      </c>
      <c r="AC707">
        <v>0</v>
      </c>
      <c r="AD707" t="s">
        <v>1187</v>
      </c>
      <c r="AE707">
        <v>0</v>
      </c>
      <c r="AF707" t="s">
        <v>1188</v>
      </c>
    </row>
    <row r="708" spans="1:32" x14ac:dyDescent="0.25">
      <c r="A708">
        <v>35</v>
      </c>
      <c r="C708" s="185"/>
      <c r="E708" t="s">
        <v>386</v>
      </c>
      <c r="F708" t="s">
        <v>2149</v>
      </c>
      <c r="G708" t="s">
        <v>1192</v>
      </c>
      <c r="H708" t="s">
        <v>1710</v>
      </c>
      <c r="I708">
        <v>2583</v>
      </c>
      <c r="J708" t="s">
        <v>2149</v>
      </c>
      <c r="K708" t="s">
        <v>2149</v>
      </c>
      <c r="L708" t="s">
        <v>386</v>
      </c>
      <c r="M708" t="s">
        <v>1193</v>
      </c>
      <c r="N708">
        <v>2583</v>
      </c>
      <c r="O708">
        <v>35</v>
      </c>
      <c r="R708" t="s">
        <v>398</v>
      </c>
      <c r="T708">
        <v>122</v>
      </c>
      <c r="V708" t="s">
        <v>1988</v>
      </c>
      <c r="Z708" t="s">
        <v>890</v>
      </c>
      <c r="AA708" t="s">
        <v>387</v>
      </c>
      <c r="AB708">
        <v>6000</v>
      </c>
      <c r="AC708">
        <v>0</v>
      </c>
      <c r="AD708" t="s">
        <v>1187</v>
      </c>
      <c r="AE708">
        <v>0</v>
      </c>
      <c r="AF708" t="s">
        <v>1188</v>
      </c>
    </row>
    <row r="709" spans="1:32" x14ac:dyDescent="0.25">
      <c r="A709">
        <v>1</v>
      </c>
      <c r="C709" s="185"/>
      <c r="E709" t="s">
        <v>386</v>
      </c>
      <c r="F709" t="s">
        <v>2150</v>
      </c>
      <c r="G709" t="s">
        <v>1192</v>
      </c>
      <c r="I709">
        <v>2585</v>
      </c>
      <c r="J709" t="s">
        <v>2150</v>
      </c>
      <c r="K709" t="s">
        <v>2150</v>
      </c>
      <c r="L709" t="s">
        <v>386</v>
      </c>
      <c r="M709" t="s">
        <v>1193</v>
      </c>
      <c r="N709">
        <v>2585</v>
      </c>
      <c r="O709">
        <v>10</v>
      </c>
      <c r="R709" t="s">
        <v>398</v>
      </c>
      <c r="T709">
        <v>0</v>
      </c>
      <c r="V709" t="s">
        <v>1186</v>
      </c>
      <c r="Z709" t="s">
        <v>865</v>
      </c>
      <c r="AA709" t="s">
        <v>387</v>
      </c>
      <c r="AB709">
        <v>6000</v>
      </c>
      <c r="AC709">
        <v>0</v>
      </c>
      <c r="AD709" t="s">
        <v>1187</v>
      </c>
      <c r="AE709">
        <v>0</v>
      </c>
      <c r="AF709" t="s">
        <v>1188</v>
      </c>
    </row>
    <row r="710" spans="1:32" x14ac:dyDescent="0.25">
      <c r="A710">
        <v>1457</v>
      </c>
      <c r="C710" s="185"/>
      <c r="E710" t="s">
        <v>386</v>
      </c>
      <c r="F710" t="s">
        <v>2151</v>
      </c>
      <c r="G710" t="s">
        <v>1192</v>
      </c>
      <c r="I710">
        <v>2590</v>
      </c>
      <c r="J710" t="s">
        <v>2151</v>
      </c>
      <c r="K710" t="s">
        <v>2151</v>
      </c>
      <c r="L710" t="s">
        <v>386</v>
      </c>
      <c r="M710" t="s">
        <v>1193</v>
      </c>
      <c r="N710">
        <v>2590</v>
      </c>
      <c r="O710">
        <v>20</v>
      </c>
      <c r="R710" t="s">
        <v>398</v>
      </c>
      <c r="T710">
        <v>0</v>
      </c>
      <c r="V710" t="s">
        <v>1186</v>
      </c>
      <c r="Z710" t="s">
        <v>2152</v>
      </c>
      <c r="AA710" t="s">
        <v>387</v>
      </c>
      <c r="AB710">
        <v>14000</v>
      </c>
      <c r="AC710">
        <v>0</v>
      </c>
      <c r="AD710" t="s">
        <v>1187</v>
      </c>
      <c r="AE710">
        <v>0</v>
      </c>
      <c r="AF710" t="s">
        <v>1188</v>
      </c>
    </row>
    <row r="711" spans="1:32" x14ac:dyDescent="0.25">
      <c r="A711">
        <v>5</v>
      </c>
      <c r="C711" s="185"/>
      <c r="E711" t="s">
        <v>386</v>
      </c>
      <c r="F711" t="s">
        <v>2153</v>
      </c>
      <c r="G711" t="s">
        <v>1192</v>
      </c>
      <c r="H711" t="s">
        <v>2141</v>
      </c>
      <c r="I711">
        <v>2591</v>
      </c>
      <c r="J711" t="s">
        <v>2153</v>
      </c>
      <c r="K711" t="s">
        <v>2153</v>
      </c>
      <c r="L711" t="s">
        <v>386</v>
      </c>
      <c r="M711" t="s">
        <v>1193</v>
      </c>
      <c r="N711">
        <v>2591</v>
      </c>
      <c r="O711">
        <v>31</v>
      </c>
      <c r="R711" t="s">
        <v>398</v>
      </c>
      <c r="T711">
        <v>0</v>
      </c>
      <c r="V711" t="s">
        <v>1186</v>
      </c>
      <c r="Z711" t="s">
        <v>861</v>
      </c>
      <c r="AA711" t="s">
        <v>387</v>
      </c>
      <c r="AB711">
        <v>23000</v>
      </c>
      <c r="AC711">
        <v>0</v>
      </c>
      <c r="AD711" t="s">
        <v>1187</v>
      </c>
      <c r="AE711">
        <v>0</v>
      </c>
      <c r="AF711" t="s">
        <v>1188</v>
      </c>
    </row>
    <row r="712" spans="1:32" x14ac:dyDescent="0.25">
      <c r="A712">
        <v>32</v>
      </c>
      <c r="C712" s="185"/>
      <c r="E712" t="s">
        <v>386</v>
      </c>
      <c r="F712" t="s">
        <v>2154</v>
      </c>
      <c r="G712" t="s">
        <v>1192</v>
      </c>
      <c r="H712" t="s">
        <v>2141</v>
      </c>
      <c r="I712">
        <v>2592</v>
      </c>
      <c r="J712" t="s">
        <v>2154</v>
      </c>
      <c r="K712" t="s">
        <v>2154</v>
      </c>
      <c r="L712" t="s">
        <v>386</v>
      </c>
      <c r="M712" t="s">
        <v>1193</v>
      </c>
      <c r="N712">
        <v>2592</v>
      </c>
      <c r="O712">
        <v>31</v>
      </c>
      <c r="R712" t="s">
        <v>398</v>
      </c>
      <c r="T712">
        <v>0</v>
      </c>
      <c r="V712" t="s">
        <v>1186</v>
      </c>
      <c r="Z712" t="s">
        <v>874</v>
      </c>
      <c r="AA712" t="s">
        <v>387</v>
      </c>
      <c r="AB712">
        <v>23000</v>
      </c>
      <c r="AC712">
        <v>0</v>
      </c>
      <c r="AD712" t="s">
        <v>1187</v>
      </c>
      <c r="AE712">
        <v>0</v>
      </c>
      <c r="AF712" t="s">
        <v>1188</v>
      </c>
    </row>
    <row r="713" spans="1:32" x14ac:dyDescent="0.25">
      <c r="A713">
        <v>1342</v>
      </c>
      <c r="C713" s="185"/>
      <c r="E713" t="s">
        <v>386</v>
      </c>
      <c r="F713" t="s">
        <v>2155</v>
      </c>
      <c r="G713" t="s">
        <v>1192</v>
      </c>
      <c r="I713">
        <v>2593</v>
      </c>
      <c r="J713" t="s">
        <v>2155</v>
      </c>
      <c r="K713" t="s">
        <v>2155</v>
      </c>
      <c r="L713" t="s">
        <v>386</v>
      </c>
      <c r="M713" t="s">
        <v>1193</v>
      </c>
      <c r="N713">
        <v>2593</v>
      </c>
      <c r="O713">
        <v>20</v>
      </c>
      <c r="R713" t="s">
        <v>398</v>
      </c>
      <c r="T713">
        <v>0</v>
      </c>
      <c r="V713" t="s">
        <v>1186</v>
      </c>
      <c r="Z713" t="s">
        <v>2156</v>
      </c>
      <c r="AA713" t="s">
        <v>387</v>
      </c>
      <c r="AB713">
        <v>14000</v>
      </c>
      <c r="AC713">
        <v>0</v>
      </c>
      <c r="AD713" t="s">
        <v>1187</v>
      </c>
      <c r="AE713">
        <v>0</v>
      </c>
      <c r="AF713" t="s">
        <v>1188</v>
      </c>
    </row>
    <row r="714" spans="1:32" x14ac:dyDescent="0.25">
      <c r="A714">
        <v>362</v>
      </c>
      <c r="C714" s="185"/>
      <c r="E714" t="s">
        <v>386</v>
      </c>
      <c r="F714" t="s">
        <v>2157</v>
      </c>
      <c r="G714" t="s">
        <v>1192</v>
      </c>
      <c r="I714">
        <v>2594</v>
      </c>
      <c r="J714" t="s">
        <v>2157</v>
      </c>
      <c r="K714" t="s">
        <v>2157</v>
      </c>
      <c r="L714" t="s">
        <v>386</v>
      </c>
      <c r="M714" t="s">
        <v>1193</v>
      </c>
      <c r="N714">
        <v>2594</v>
      </c>
      <c r="O714">
        <v>20</v>
      </c>
      <c r="R714" t="s">
        <v>398</v>
      </c>
      <c r="T714">
        <v>0</v>
      </c>
      <c r="V714" t="s">
        <v>1186</v>
      </c>
      <c r="Z714" t="s">
        <v>2158</v>
      </c>
      <c r="AA714" t="s">
        <v>387</v>
      </c>
      <c r="AB714">
        <v>14000</v>
      </c>
      <c r="AC714">
        <v>0</v>
      </c>
      <c r="AD714" t="s">
        <v>1187</v>
      </c>
      <c r="AE714">
        <v>0</v>
      </c>
      <c r="AF714" t="s">
        <v>1188</v>
      </c>
    </row>
    <row r="715" spans="1:32" x14ac:dyDescent="0.25">
      <c r="A715">
        <v>704</v>
      </c>
      <c r="C715" s="185"/>
      <c r="E715" t="s">
        <v>386</v>
      </c>
      <c r="F715" t="s">
        <v>2159</v>
      </c>
      <c r="G715" t="s">
        <v>1192</v>
      </c>
      <c r="I715">
        <v>2595</v>
      </c>
      <c r="J715" t="s">
        <v>2159</v>
      </c>
      <c r="K715" t="s">
        <v>2159</v>
      </c>
      <c r="L715" t="s">
        <v>386</v>
      </c>
      <c r="M715" t="s">
        <v>1193</v>
      </c>
      <c r="N715">
        <v>2595</v>
      </c>
      <c r="O715">
        <v>20</v>
      </c>
      <c r="R715" t="s">
        <v>398</v>
      </c>
      <c r="T715">
        <v>0</v>
      </c>
      <c r="V715" t="s">
        <v>1186</v>
      </c>
      <c r="Z715" t="s">
        <v>2160</v>
      </c>
      <c r="AA715" t="s">
        <v>387</v>
      </c>
      <c r="AB715">
        <v>14000</v>
      </c>
      <c r="AC715">
        <v>0</v>
      </c>
      <c r="AD715" t="s">
        <v>1187</v>
      </c>
      <c r="AE715">
        <v>0</v>
      </c>
      <c r="AF715" t="s">
        <v>1188</v>
      </c>
    </row>
    <row r="716" spans="1:32" x14ac:dyDescent="0.25">
      <c r="A716">
        <v>5</v>
      </c>
      <c r="B716" t="s">
        <v>1313</v>
      </c>
      <c r="C716" s="185"/>
      <c r="E716" t="s">
        <v>386</v>
      </c>
      <c r="F716" t="s">
        <v>2161</v>
      </c>
      <c r="G716" t="s">
        <v>1192</v>
      </c>
      <c r="I716">
        <v>2596</v>
      </c>
      <c r="J716" t="s">
        <v>2161</v>
      </c>
      <c r="K716" t="s">
        <v>2161</v>
      </c>
      <c r="L716" t="s">
        <v>386</v>
      </c>
      <c r="M716" t="s">
        <v>1193</v>
      </c>
      <c r="N716">
        <v>2596</v>
      </c>
      <c r="O716">
        <v>20</v>
      </c>
      <c r="R716" t="s">
        <v>398</v>
      </c>
      <c r="S716" t="s">
        <v>1909</v>
      </c>
      <c r="T716">
        <v>0</v>
      </c>
      <c r="U716">
        <v>0</v>
      </c>
      <c r="V716" t="s">
        <v>1186</v>
      </c>
      <c r="Y716" t="s">
        <v>1317</v>
      </c>
      <c r="Z716" t="s">
        <v>861</v>
      </c>
      <c r="AA716" t="s">
        <v>387</v>
      </c>
      <c r="AB716">
        <v>14000</v>
      </c>
      <c r="AC716">
        <v>0</v>
      </c>
      <c r="AD716" t="s">
        <v>1187</v>
      </c>
      <c r="AE716">
        <v>0</v>
      </c>
      <c r="AF716" t="s">
        <v>1188</v>
      </c>
    </row>
    <row r="717" spans="1:32" x14ac:dyDescent="0.25">
      <c r="A717">
        <v>5</v>
      </c>
      <c r="C717" s="185"/>
      <c r="E717" t="s">
        <v>386</v>
      </c>
      <c r="F717" t="s">
        <v>2162</v>
      </c>
      <c r="G717" t="s">
        <v>1192</v>
      </c>
      <c r="I717">
        <v>2597</v>
      </c>
      <c r="J717" t="s">
        <v>2162</v>
      </c>
      <c r="K717" t="s">
        <v>2162</v>
      </c>
      <c r="L717" t="s">
        <v>386</v>
      </c>
      <c r="M717" t="s">
        <v>1193</v>
      </c>
      <c r="N717">
        <v>2597</v>
      </c>
      <c r="O717">
        <v>20</v>
      </c>
      <c r="R717" t="s">
        <v>398</v>
      </c>
      <c r="T717">
        <v>0</v>
      </c>
      <c r="V717" t="s">
        <v>1186</v>
      </c>
      <c r="Z717" t="s">
        <v>861</v>
      </c>
      <c r="AA717" t="s">
        <v>387</v>
      </c>
      <c r="AB717">
        <v>14000</v>
      </c>
      <c r="AC717">
        <v>0</v>
      </c>
      <c r="AD717" t="s">
        <v>1187</v>
      </c>
      <c r="AE717">
        <v>0</v>
      </c>
      <c r="AF717" t="s">
        <v>1188</v>
      </c>
    </row>
    <row r="718" spans="1:32" x14ac:dyDescent="0.25">
      <c r="A718">
        <v>596</v>
      </c>
      <c r="C718" s="185"/>
      <c r="E718" t="s">
        <v>386</v>
      </c>
      <c r="F718" t="s">
        <v>2163</v>
      </c>
      <c r="G718" t="s">
        <v>1192</v>
      </c>
      <c r="I718">
        <v>2599</v>
      </c>
      <c r="J718" t="s">
        <v>2163</v>
      </c>
      <c r="K718" t="s">
        <v>2163</v>
      </c>
      <c r="L718" t="s">
        <v>386</v>
      </c>
      <c r="M718" t="s">
        <v>1193</v>
      </c>
      <c r="N718">
        <v>2599</v>
      </c>
      <c r="O718">
        <v>13</v>
      </c>
      <c r="R718" t="s">
        <v>398</v>
      </c>
      <c r="T718">
        <v>2</v>
      </c>
      <c r="V718" t="s">
        <v>1205</v>
      </c>
      <c r="Z718" t="s">
        <v>975</v>
      </c>
      <c r="AA718" t="s">
        <v>387</v>
      </c>
      <c r="AB718">
        <v>8000</v>
      </c>
      <c r="AC718">
        <v>0</v>
      </c>
      <c r="AD718" t="s">
        <v>1187</v>
      </c>
      <c r="AE718">
        <v>0</v>
      </c>
      <c r="AF718" t="s">
        <v>1188</v>
      </c>
    </row>
    <row r="719" spans="1:32" x14ac:dyDescent="0.25">
      <c r="A719">
        <v>140</v>
      </c>
      <c r="C719" s="185"/>
      <c r="E719" t="s">
        <v>386</v>
      </c>
      <c r="F719" t="s">
        <v>2164</v>
      </c>
      <c r="G719" t="s">
        <v>1192</v>
      </c>
      <c r="I719">
        <v>2600</v>
      </c>
      <c r="J719" t="s">
        <v>2164</v>
      </c>
      <c r="K719" t="s">
        <v>2164</v>
      </c>
      <c r="L719" t="s">
        <v>386</v>
      </c>
      <c r="M719" t="s">
        <v>1193</v>
      </c>
      <c r="N719">
        <v>2600</v>
      </c>
      <c r="O719">
        <v>13</v>
      </c>
      <c r="R719" t="s">
        <v>398</v>
      </c>
      <c r="T719">
        <v>0</v>
      </c>
      <c r="V719" t="s">
        <v>1186</v>
      </c>
      <c r="Z719" t="s">
        <v>2165</v>
      </c>
      <c r="AA719" t="s">
        <v>387</v>
      </c>
      <c r="AB719">
        <v>8000</v>
      </c>
      <c r="AC719">
        <v>0</v>
      </c>
      <c r="AD719" t="s">
        <v>1187</v>
      </c>
      <c r="AE719">
        <v>0</v>
      </c>
      <c r="AF719" t="s">
        <v>1188</v>
      </c>
    </row>
    <row r="720" spans="1:32" x14ac:dyDescent="0.25">
      <c r="A720">
        <v>110</v>
      </c>
      <c r="C720" s="185"/>
      <c r="E720" t="s">
        <v>386</v>
      </c>
      <c r="F720" t="s">
        <v>2166</v>
      </c>
      <c r="G720" t="s">
        <v>1192</v>
      </c>
      <c r="I720">
        <v>2602</v>
      </c>
      <c r="J720" t="s">
        <v>2166</v>
      </c>
      <c r="K720" t="s">
        <v>2166</v>
      </c>
      <c r="L720" t="s">
        <v>386</v>
      </c>
      <c r="M720" t="s">
        <v>1193</v>
      </c>
      <c r="N720">
        <v>2602</v>
      </c>
      <c r="O720">
        <v>13</v>
      </c>
      <c r="R720" t="s">
        <v>398</v>
      </c>
      <c r="T720">
        <v>0</v>
      </c>
      <c r="V720" t="s">
        <v>1186</v>
      </c>
      <c r="Z720" t="s">
        <v>876</v>
      </c>
      <c r="AA720" t="s">
        <v>387</v>
      </c>
      <c r="AB720">
        <v>8000</v>
      </c>
      <c r="AC720">
        <v>0</v>
      </c>
      <c r="AD720" t="s">
        <v>1187</v>
      </c>
      <c r="AE720">
        <v>0</v>
      </c>
      <c r="AF720" t="s">
        <v>1188</v>
      </c>
    </row>
    <row r="721" spans="1:33" x14ac:dyDescent="0.25">
      <c r="A721">
        <v>1458</v>
      </c>
      <c r="C721" s="185"/>
      <c r="E721" t="s">
        <v>386</v>
      </c>
      <c r="F721" t="s">
        <v>2167</v>
      </c>
      <c r="G721" t="s">
        <v>1192</v>
      </c>
      <c r="I721">
        <v>2604</v>
      </c>
      <c r="J721" t="s">
        <v>2167</v>
      </c>
      <c r="K721" t="s">
        <v>2167</v>
      </c>
      <c r="L721" t="s">
        <v>386</v>
      </c>
      <c r="M721" t="s">
        <v>1193</v>
      </c>
      <c r="N721">
        <v>2604</v>
      </c>
      <c r="O721">
        <v>13</v>
      </c>
      <c r="R721" t="s">
        <v>398</v>
      </c>
      <c r="T721">
        <v>0</v>
      </c>
      <c r="V721" t="s">
        <v>1186</v>
      </c>
      <c r="Z721" t="s">
        <v>1030</v>
      </c>
      <c r="AA721" t="s">
        <v>387</v>
      </c>
      <c r="AB721">
        <v>8000</v>
      </c>
      <c r="AC721">
        <v>0</v>
      </c>
      <c r="AD721" t="s">
        <v>1187</v>
      </c>
      <c r="AE721">
        <v>0</v>
      </c>
      <c r="AF721" t="s">
        <v>1188</v>
      </c>
    </row>
    <row r="722" spans="1:33" x14ac:dyDescent="0.25">
      <c r="A722">
        <v>119</v>
      </c>
      <c r="C722" s="185"/>
      <c r="E722" t="s">
        <v>386</v>
      </c>
      <c r="F722" t="s">
        <v>2168</v>
      </c>
      <c r="G722" t="s">
        <v>1192</v>
      </c>
      <c r="I722">
        <v>2606</v>
      </c>
      <c r="J722" t="s">
        <v>2168</v>
      </c>
      <c r="K722" t="s">
        <v>2168</v>
      </c>
      <c r="L722" t="s">
        <v>386</v>
      </c>
      <c r="M722" t="s">
        <v>1193</v>
      </c>
      <c r="N722">
        <v>2606</v>
      </c>
      <c r="O722">
        <v>13</v>
      </c>
      <c r="R722" t="s">
        <v>398</v>
      </c>
      <c r="T722">
        <v>0</v>
      </c>
      <c r="V722" t="s">
        <v>1186</v>
      </c>
      <c r="Z722" t="s">
        <v>1009</v>
      </c>
      <c r="AA722" t="s">
        <v>387</v>
      </c>
      <c r="AB722">
        <v>8000</v>
      </c>
      <c r="AC722">
        <v>0</v>
      </c>
      <c r="AD722" t="s">
        <v>1187</v>
      </c>
      <c r="AE722">
        <v>0</v>
      </c>
      <c r="AF722" t="s">
        <v>1188</v>
      </c>
    </row>
    <row r="723" spans="1:33" x14ac:dyDescent="0.25">
      <c r="A723">
        <v>108</v>
      </c>
      <c r="C723" s="185"/>
      <c r="E723" t="s">
        <v>386</v>
      </c>
      <c r="F723" t="s">
        <v>2169</v>
      </c>
      <c r="G723" t="s">
        <v>1192</v>
      </c>
      <c r="I723">
        <v>2608</v>
      </c>
      <c r="J723" t="s">
        <v>2169</v>
      </c>
      <c r="K723" t="s">
        <v>2169</v>
      </c>
      <c r="L723" t="s">
        <v>386</v>
      </c>
      <c r="M723" t="s">
        <v>1193</v>
      </c>
      <c r="N723">
        <v>2608</v>
      </c>
      <c r="O723">
        <v>13</v>
      </c>
      <c r="R723" t="s">
        <v>398</v>
      </c>
      <c r="T723">
        <v>220</v>
      </c>
      <c r="V723" t="s">
        <v>1194</v>
      </c>
      <c r="Z723" t="s">
        <v>899</v>
      </c>
      <c r="AA723" t="s">
        <v>387</v>
      </c>
      <c r="AB723">
        <v>8000</v>
      </c>
      <c r="AC723">
        <v>0</v>
      </c>
      <c r="AD723" t="s">
        <v>1187</v>
      </c>
      <c r="AE723">
        <v>0</v>
      </c>
      <c r="AF723" t="s">
        <v>1188</v>
      </c>
    </row>
    <row r="724" spans="1:33" x14ac:dyDescent="0.25">
      <c r="A724">
        <v>110</v>
      </c>
      <c r="C724" s="185"/>
      <c r="E724" t="s">
        <v>386</v>
      </c>
      <c r="F724" t="s">
        <v>2170</v>
      </c>
      <c r="G724" t="s">
        <v>1192</v>
      </c>
      <c r="I724">
        <v>2610</v>
      </c>
      <c r="J724" t="s">
        <v>2170</v>
      </c>
      <c r="K724" t="s">
        <v>2170</v>
      </c>
      <c r="L724" t="s">
        <v>386</v>
      </c>
      <c r="M724" t="s">
        <v>1193</v>
      </c>
      <c r="N724">
        <v>2610</v>
      </c>
      <c r="O724">
        <v>13</v>
      </c>
      <c r="R724" t="s">
        <v>398</v>
      </c>
      <c r="T724">
        <v>2</v>
      </c>
      <c r="V724" t="s">
        <v>1205</v>
      </c>
      <c r="Z724" t="s">
        <v>876</v>
      </c>
      <c r="AA724" t="s">
        <v>387</v>
      </c>
      <c r="AB724">
        <v>8000</v>
      </c>
      <c r="AC724">
        <v>0</v>
      </c>
      <c r="AD724" t="s">
        <v>1187</v>
      </c>
      <c r="AE724">
        <v>0</v>
      </c>
      <c r="AF724" t="s">
        <v>1188</v>
      </c>
    </row>
    <row r="725" spans="1:33" x14ac:dyDescent="0.25">
      <c r="A725">
        <v>26</v>
      </c>
      <c r="C725" s="185"/>
      <c r="E725" t="s">
        <v>386</v>
      </c>
      <c r="F725" t="s">
        <v>2171</v>
      </c>
      <c r="G725" t="s">
        <v>1192</v>
      </c>
      <c r="I725">
        <v>2613</v>
      </c>
      <c r="J725" t="s">
        <v>2171</v>
      </c>
      <c r="K725" t="s">
        <v>2171</v>
      </c>
      <c r="L725" t="s">
        <v>386</v>
      </c>
      <c r="M725" t="s">
        <v>1193</v>
      </c>
      <c r="N725">
        <v>2613</v>
      </c>
      <c r="O725">
        <v>13</v>
      </c>
      <c r="R725" t="s">
        <v>398</v>
      </c>
      <c r="T725">
        <v>2</v>
      </c>
      <c r="V725" t="s">
        <v>1205</v>
      </c>
      <c r="Z725" t="s">
        <v>888</v>
      </c>
      <c r="AA725" t="s">
        <v>387</v>
      </c>
      <c r="AB725">
        <v>8000</v>
      </c>
      <c r="AC725">
        <v>0</v>
      </c>
      <c r="AD725" t="s">
        <v>1187</v>
      </c>
      <c r="AE725">
        <v>0</v>
      </c>
      <c r="AF725" t="s">
        <v>1188</v>
      </c>
    </row>
    <row r="726" spans="1:33" x14ac:dyDescent="0.25">
      <c r="A726">
        <v>110</v>
      </c>
      <c r="C726" s="185"/>
      <c r="E726" t="s">
        <v>386</v>
      </c>
      <c r="F726" t="s">
        <v>2172</v>
      </c>
      <c r="G726" t="s">
        <v>1192</v>
      </c>
      <c r="I726">
        <v>2614</v>
      </c>
      <c r="J726" t="s">
        <v>2172</v>
      </c>
      <c r="K726" t="s">
        <v>2172</v>
      </c>
      <c r="L726" t="s">
        <v>386</v>
      </c>
      <c r="M726" t="s">
        <v>1193</v>
      </c>
      <c r="N726">
        <v>2614</v>
      </c>
      <c r="O726">
        <v>13</v>
      </c>
      <c r="R726" t="s">
        <v>398</v>
      </c>
      <c r="T726">
        <v>0</v>
      </c>
      <c r="V726" t="s">
        <v>1186</v>
      </c>
      <c r="Z726" t="s">
        <v>876</v>
      </c>
      <c r="AA726" t="s">
        <v>387</v>
      </c>
      <c r="AB726">
        <v>8000</v>
      </c>
      <c r="AC726">
        <v>0</v>
      </c>
      <c r="AD726" t="s">
        <v>1187</v>
      </c>
      <c r="AE726">
        <v>0</v>
      </c>
      <c r="AF726" t="s">
        <v>1188</v>
      </c>
    </row>
    <row r="727" spans="1:33" x14ac:dyDescent="0.25">
      <c r="A727">
        <v>108</v>
      </c>
      <c r="C727" s="185"/>
      <c r="E727" t="s">
        <v>386</v>
      </c>
      <c r="F727" t="s">
        <v>2173</v>
      </c>
      <c r="G727" t="s">
        <v>1192</v>
      </c>
      <c r="I727">
        <v>2615</v>
      </c>
      <c r="J727" t="s">
        <v>2173</v>
      </c>
      <c r="K727" t="s">
        <v>2173</v>
      </c>
      <c r="L727" t="s">
        <v>386</v>
      </c>
      <c r="M727" t="s">
        <v>1193</v>
      </c>
      <c r="N727">
        <v>2615</v>
      </c>
      <c r="O727">
        <v>13</v>
      </c>
      <c r="R727" t="s">
        <v>398</v>
      </c>
      <c r="T727">
        <v>0</v>
      </c>
      <c r="V727" t="s">
        <v>1186</v>
      </c>
      <c r="Z727" t="s">
        <v>899</v>
      </c>
      <c r="AA727" t="s">
        <v>387</v>
      </c>
      <c r="AB727">
        <v>8000</v>
      </c>
      <c r="AC727">
        <v>0</v>
      </c>
      <c r="AD727" t="s">
        <v>1187</v>
      </c>
      <c r="AE727">
        <v>0</v>
      </c>
      <c r="AF727" t="s">
        <v>1188</v>
      </c>
    </row>
    <row r="728" spans="1:33" x14ac:dyDescent="0.25">
      <c r="A728">
        <v>120</v>
      </c>
      <c r="C728" s="185"/>
      <c r="E728" t="s">
        <v>386</v>
      </c>
      <c r="F728" t="s">
        <v>2174</v>
      </c>
      <c r="G728" t="s">
        <v>1192</v>
      </c>
      <c r="I728">
        <v>2616</v>
      </c>
      <c r="J728" t="s">
        <v>2174</v>
      </c>
      <c r="K728" t="s">
        <v>2174</v>
      </c>
      <c r="L728" t="s">
        <v>386</v>
      </c>
      <c r="M728" t="s">
        <v>1193</v>
      </c>
      <c r="N728">
        <v>2616</v>
      </c>
      <c r="O728">
        <v>13</v>
      </c>
      <c r="R728" t="s">
        <v>398</v>
      </c>
      <c r="T728">
        <v>0</v>
      </c>
      <c r="V728" t="s">
        <v>1186</v>
      </c>
      <c r="Z728" t="s">
        <v>1041</v>
      </c>
      <c r="AA728" t="s">
        <v>387</v>
      </c>
      <c r="AB728">
        <v>8000</v>
      </c>
      <c r="AC728">
        <v>0</v>
      </c>
      <c r="AD728" t="s">
        <v>1187</v>
      </c>
      <c r="AE728">
        <v>0</v>
      </c>
      <c r="AF728" t="s">
        <v>1188</v>
      </c>
    </row>
    <row r="729" spans="1:33" x14ac:dyDescent="0.25">
      <c r="A729">
        <v>9</v>
      </c>
      <c r="C729" s="185"/>
      <c r="E729" t="s">
        <v>386</v>
      </c>
      <c r="F729" t="s">
        <v>2175</v>
      </c>
      <c r="G729" t="s">
        <v>1192</v>
      </c>
      <c r="I729">
        <v>2617</v>
      </c>
      <c r="J729" t="s">
        <v>2175</v>
      </c>
      <c r="K729" t="s">
        <v>2175</v>
      </c>
      <c r="L729" t="s">
        <v>386</v>
      </c>
      <c r="M729" t="s">
        <v>1193</v>
      </c>
      <c r="N729">
        <v>2617</v>
      </c>
      <c r="O729">
        <v>44</v>
      </c>
      <c r="R729" t="s">
        <v>398</v>
      </c>
      <c r="T729">
        <v>220</v>
      </c>
      <c r="V729" t="s">
        <v>1194</v>
      </c>
      <c r="Z729" t="s">
        <v>864</v>
      </c>
      <c r="AA729" t="s">
        <v>387</v>
      </c>
      <c r="AB729">
        <v>36000</v>
      </c>
      <c r="AC729">
        <v>0</v>
      </c>
      <c r="AD729" t="s">
        <v>1187</v>
      </c>
      <c r="AE729">
        <v>0</v>
      </c>
      <c r="AF729" t="s">
        <v>1188</v>
      </c>
    </row>
    <row r="730" spans="1:33" x14ac:dyDescent="0.25">
      <c r="A730">
        <v>9</v>
      </c>
      <c r="C730" s="185"/>
      <c r="E730" t="s">
        <v>386</v>
      </c>
      <c r="F730" t="s">
        <v>2176</v>
      </c>
      <c r="G730" t="s">
        <v>1192</v>
      </c>
      <c r="H730" t="s">
        <v>2141</v>
      </c>
      <c r="I730">
        <v>2618</v>
      </c>
      <c r="J730" t="s">
        <v>2176</v>
      </c>
      <c r="K730" t="s">
        <v>2176</v>
      </c>
      <c r="L730" t="s">
        <v>386</v>
      </c>
      <c r="M730" t="s">
        <v>1193</v>
      </c>
      <c r="N730">
        <v>2618</v>
      </c>
      <c r="O730">
        <v>0</v>
      </c>
      <c r="R730" t="s">
        <v>398</v>
      </c>
      <c r="T730">
        <v>220</v>
      </c>
      <c r="V730" t="s">
        <v>1194</v>
      </c>
      <c r="W730" t="s">
        <v>1194</v>
      </c>
      <c r="X730">
        <v>220</v>
      </c>
      <c r="Z730" t="s">
        <v>864</v>
      </c>
      <c r="AA730" t="s">
        <v>387</v>
      </c>
      <c r="AB730">
        <v>0</v>
      </c>
      <c r="AC730">
        <v>0</v>
      </c>
      <c r="AD730" t="s">
        <v>1187</v>
      </c>
      <c r="AE730">
        <v>0</v>
      </c>
      <c r="AF730" t="s">
        <v>1188</v>
      </c>
    </row>
    <row r="731" spans="1:33" x14ac:dyDescent="0.25">
      <c r="A731">
        <v>50</v>
      </c>
      <c r="C731" s="185"/>
      <c r="E731" t="s">
        <v>386</v>
      </c>
      <c r="F731" t="s">
        <v>2176</v>
      </c>
      <c r="G731" t="s">
        <v>1192</v>
      </c>
      <c r="H731" t="s">
        <v>2141</v>
      </c>
      <c r="I731">
        <v>7115</v>
      </c>
      <c r="J731" t="s">
        <v>2177</v>
      </c>
      <c r="K731" t="s">
        <v>2177</v>
      </c>
      <c r="L731" t="s">
        <v>386</v>
      </c>
      <c r="M731" t="s">
        <v>1193</v>
      </c>
      <c r="N731">
        <v>2618</v>
      </c>
      <c r="O731">
        <v>1</v>
      </c>
      <c r="R731" t="s">
        <v>398</v>
      </c>
      <c r="T731">
        <v>0</v>
      </c>
      <c r="V731" t="s">
        <v>1186</v>
      </c>
      <c r="Z731" t="s">
        <v>878</v>
      </c>
      <c r="AA731" t="s">
        <v>387</v>
      </c>
      <c r="AB731">
        <v>1000</v>
      </c>
      <c r="AC731">
        <v>0</v>
      </c>
      <c r="AD731" t="s">
        <v>1187</v>
      </c>
      <c r="AE731">
        <v>0</v>
      </c>
      <c r="AF731" t="s">
        <v>1188</v>
      </c>
    </row>
    <row r="732" spans="1:33" x14ac:dyDescent="0.25">
      <c r="A732">
        <v>1257</v>
      </c>
      <c r="C732" s="185"/>
      <c r="E732" t="s">
        <v>386</v>
      </c>
      <c r="F732" t="s">
        <v>2178</v>
      </c>
      <c r="G732" t="s">
        <v>1192</v>
      </c>
      <c r="I732">
        <v>2620</v>
      </c>
      <c r="J732" t="s">
        <v>2178</v>
      </c>
      <c r="K732" t="s">
        <v>2178</v>
      </c>
      <c r="L732" t="s">
        <v>386</v>
      </c>
      <c r="M732" t="s">
        <v>1193</v>
      </c>
      <c r="N732">
        <v>2620</v>
      </c>
      <c r="O732">
        <v>10</v>
      </c>
      <c r="R732" t="s">
        <v>398</v>
      </c>
      <c r="T732">
        <v>0</v>
      </c>
      <c r="V732" t="s">
        <v>1186</v>
      </c>
      <c r="Z732" t="s">
        <v>2179</v>
      </c>
      <c r="AA732" t="s">
        <v>387</v>
      </c>
      <c r="AB732">
        <v>6000</v>
      </c>
      <c r="AC732">
        <v>0</v>
      </c>
      <c r="AD732" t="s">
        <v>1187</v>
      </c>
      <c r="AE732">
        <v>0</v>
      </c>
      <c r="AF732" t="s">
        <v>1188</v>
      </c>
    </row>
    <row r="733" spans="1:33" x14ac:dyDescent="0.25">
      <c r="A733">
        <v>37</v>
      </c>
      <c r="C733" s="185"/>
      <c r="E733" t="s">
        <v>386</v>
      </c>
      <c r="F733" t="s">
        <v>2180</v>
      </c>
      <c r="G733" t="s">
        <v>1192</v>
      </c>
      <c r="I733">
        <v>2621</v>
      </c>
      <c r="J733" t="s">
        <v>2180</v>
      </c>
      <c r="K733" t="s">
        <v>2180</v>
      </c>
      <c r="L733" t="s">
        <v>386</v>
      </c>
      <c r="M733" t="s">
        <v>1193</v>
      </c>
      <c r="N733">
        <v>2621</v>
      </c>
      <c r="O733">
        <v>44</v>
      </c>
      <c r="R733" t="s">
        <v>398</v>
      </c>
      <c r="T733">
        <v>220</v>
      </c>
      <c r="V733" t="s">
        <v>1194</v>
      </c>
      <c r="Z733" t="s">
        <v>1121</v>
      </c>
      <c r="AA733" t="s">
        <v>387</v>
      </c>
      <c r="AB733">
        <v>36000</v>
      </c>
      <c r="AC733">
        <v>0</v>
      </c>
      <c r="AD733" t="s">
        <v>1187</v>
      </c>
      <c r="AE733">
        <v>0</v>
      </c>
      <c r="AF733" t="s">
        <v>1188</v>
      </c>
    </row>
    <row r="734" spans="1:33" x14ac:dyDescent="0.25">
      <c r="A734">
        <v>1472</v>
      </c>
      <c r="C734" s="185"/>
      <c r="D734" t="s">
        <v>24</v>
      </c>
      <c r="E734" t="s">
        <v>386</v>
      </c>
      <c r="F734" t="s">
        <v>2181</v>
      </c>
      <c r="G734" t="s">
        <v>1197</v>
      </c>
      <c r="I734">
        <v>2640</v>
      </c>
      <c r="J734" t="s">
        <v>2181</v>
      </c>
      <c r="K734" t="s">
        <v>2182</v>
      </c>
      <c r="L734" t="s">
        <v>386</v>
      </c>
      <c r="M734" t="s">
        <v>1193</v>
      </c>
      <c r="N734">
        <v>2640</v>
      </c>
      <c r="O734">
        <v>37</v>
      </c>
      <c r="R734" t="s">
        <v>398</v>
      </c>
      <c r="T734">
        <v>220</v>
      </c>
      <c r="V734" t="s">
        <v>1194</v>
      </c>
      <c r="W734" t="s">
        <v>1194</v>
      </c>
      <c r="X734">
        <v>220</v>
      </c>
      <c r="Z734" t="s">
        <v>2183</v>
      </c>
      <c r="AA734" t="s">
        <v>387</v>
      </c>
      <c r="AB734">
        <v>29000</v>
      </c>
      <c r="AC734">
        <v>1886</v>
      </c>
      <c r="AD734" t="s">
        <v>2184</v>
      </c>
      <c r="AE734">
        <v>0</v>
      </c>
      <c r="AF734" t="s">
        <v>1188</v>
      </c>
      <c r="AG734" t="s">
        <v>2185</v>
      </c>
    </row>
    <row r="735" spans="1:33" x14ac:dyDescent="0.25">
      <c r="A735">
        <v>1408</v>
      </c>
      <c r="C735" s="185"/>
      <c r="D735" t="s">
        <v>24</v>
      </c>
      <c r="E735" t="s">
        <v>386</v>
      </c>
      <c r="F735" t="s">
        <v>665</v>
      </c>
      <c r="G735" t="s">
        <v>1192</v>
      </c>
      <c r="H735" t="s">
        <v>2141</v>
      </c>
      <c r="I735">
        <v>2642</v>
      </c>
      <c r="J735" t="s">
        <v>665</v>
      </c>
      <c r="K735" t="s">
        <v>665</v>
      </c>
      <c r="L735" t="s">
        <v>386</v>
      </c>
      <c r="M735" t="s">
        <v>1193</v>
      </c>
      <c r="N735">
        <v>2642</v>
      </c>
      <c r="O735">
        <v>37</v>
      </c>
      <c r="R735" t="s">
        <v>398</v>
      </c>
      <c r="T735">
        <v>396</v>
      </c>
      <c r="V735" t="s">
        <v>2186</v>
      </c>
      <c r="W735" t="s">
        <v>1530</v>
      </c>
      <c r="X735">
        <v>103</v>
      </c>
      <c r="Z735" t="s">
        <v>1036</v>
      </c>
      <c r="AA735" t="s">
        <v>387</v>
      </c>
      <c r="AB735">
        <v>29000</v>
      </c>
      <c r="AC735">
        <v>4094</v>
      </c>
      <c r="AD735" t="s">
        <v>2187</v>
      </c>
      <c r="AE735">
        <v>1</v>
      </c>
      <c r="AF735" t="s">
        <v>1922</v>
      </c>
      <c r="AG735" t="s">
        <v>1236</v>
      </c>
    </row>
    <row r="736" spans="1:33" x14ac:dyDescent="0.25">
      <c r="A736">
        <v>1408</v>
      </c>
      <c r="C736" s="185"/>
      <c r="D736" t="s">
        <v>24</v>
      </c>
      <c r="E736" t="s">
        <v>386</v>
      </c>
      <c r="F736" t="s">
        <v>2188</v>
      </c>
      <c r="G736" t="s">
        <v>1197</v>
      </c>
      <c r="I736">
        <v>2643</v>
      </c>
      <c r="J736" t="s">
        <v>2188</v>
      </c>
      <c r="K736" t="s">
        <v>2189</v>
      </c>
      <c r="L736" t="s">
        <v>386</v>
      </c>
      <c r="M736" t="s">
        <v>1193</v>
      </c>
      <c r="N736">
        <v>2643</v>
      </c>
      <c r="O736">
        <v>37</v>
      </c>
      <c r="R736" t="s">
        <v>398</v>
      </c>
      <c r="T736">
        <v>200</v>
      </c>
      <c r="V736" t="s">
        <v>1199</v>
      </c>
      <c r="W736" t="s">
        <v>1199</v>
      </c>
      <c r="X736">
        <v>200</v>
      </c>
      <c r="Z736" t="s">
        <v>1036</v>
      </c>
      <c r="AA736" t="s">
        <v>387</v>
      </c>
      <c r="AB736">
        <v>29000</v>
      </c>
      <c r="AC736">
        <v>2177</v>
      </c>
      <c r="AD736" t="s">
        <v>2190</v>
      </c>
      <c r="AE736">
        <v>0</v>
      </c>
      <c r="AF736" t="s">
        <v>1188</v>
      </c>
      <c r="AG736" t="s">
        <v>2191</v>
      </c>
    </row>
    <row r="737" spans="1:34" x14ac:dyDescent="0.25">
      <c r="A737">
        <v>1460</v>
      </c>
      <c r="C737" s="185"/>
      <c r="D737" t="s">
        <v>24</v>
      </c>
      <c r="E737" t="s">
        <v>386</v>
      </c>
      <c r="F737" t="s">
        <v>2192</v>
      </c>
      <c r="G737" t="s">
        <v>1197</v>
      </c>
      <c r="I737">
        <v>2644</v>
      </c>
      <c r="J737" t="s">
        <v>2192</v>
      </c>
      <c r="K737" t="s">
        <v>2193</v>
      </c>
      <c r="L737" t="s">
        <v>386</v>
      </c>
      <c r="M737" t="s">
        <v>1193</v>
      </c>
      <c r="N737">
        <v>2644</v>
      </c>
      <c r="O737">
        <v>37</v>
      </c>
      <c r="R737" t="s">
        <v>398</v>
      </c>
      <c r="T737">
        <v>220</v>
      </c>
      <c r="V737" t="s">
        <v>1194</v>
      </c>
      <c r="W737" t="s">
        <v>2144</v>
      </c>
      <c r="X737">
        <v>39</v>
      </c>
      <c r="Z737" t="s">
        <v>2194</v>
      </c>
      <c r="AA737" t="s">
        <v>387</v>
      </c>
      <c r="AB737">
        <v>29000</v>
      </c>
      <c r="AC737">
        <v>2700</v>
      </c>
      <c r="AD737" t="s">
        <v>2195</v>
      </c>
      <c r="AE737">
        <v>1295</v>
      </c>
      <c r="AF737" t="s">
        <v>2196</v>
      </c>
      <c r="AG737" t="s">
        <v>2197</v>
      </c>
    </row>
    <row r="738" spans="1:34" x14ac:dyDescent="0.25">
      <c r="A738">
        <v>1426</v>
      </c>
      <c r="C738" s="185"/>
      <c r="D738" t="s">
        <v>24</v>
      </c>
      <c r="E738" t="s">
        <v>386</v>
      </c>
      <c r="F738" t="s">
        <v>342</v>
      </c>
      <c r="G738" t="s">
        <v>1903</v>
      </c>
      <c r="I738">
        <v>2645</v>
      </c>
      <c r="J738" t="s">
        <v>342</v>
      </c>
      <c r="K738" t="s">
        <v>2198</v>
      </c>
      <c r="L738" t="s">
        <v>386</v>
      </c>
      <c r="M738" t="s">
        <v>1193</v>
      </c>
      <c r="N738">
        <v>2645</v>
      </c>
      <c r="O738">
        <v>56</v>
      </c>
      <c r="R738" t="s">
        <v>398</v>
      </c>
      <c r="T738">
        <v>220</v>
      </c>
      <c r="V738" t="s">
        <v>1194</v>
      </c>
      <c r="W738" t="s">
        <v>1199</v>
      </c>
      <c r="X738">
        <v>200</v>
      </c>
      <c r="Z738" t="s">
        <v>1033</v>
      </c>
      <c r="AA738" t="s">
        <v>387</v>
      </c>
      <c r="AB738">
        <v>48000</v>
      </c>
      <c r="AC738">
        <v>2646</v>
      </c>
      <c r="AD738" t="s">
        <v>2199</v>
      </c>
      <c r="AE738">
        <v>1276</v>
      </c>
      <c r="AF738" t="s">
        <v>2200</v>
      </c>
      <c r="AG738" t="s">
        <v>2201</v>
      </c>
    </row>
    <row r="739" spans="1:34" x14ac:dyDescent="0.25">
      <c r="A739">
        <v>1426</v>
      </c>
      <c r="C739" s="185"/>
      <c r="E739" t="s">
        <v>386</v>
      </c>
      <c r="F739" t="s">
        <v>2202</v>
      </c>
      <c r="G739" t="s">
        <v>1192</v>
      </c>
      <c r="I739">
        <v>2646</v>
      </c>
      <c r="J739" t="s">
        <v>2202</v>
      </c>
      <c r="K739" t="s">
        <v>2203</v>
      </c>
      <c r="L739" t="s">
        <v>386</v>
      </c>
      <c r="M739" t="s">
        <v>1193</v>
      </c>
      <c r="N739">
        <v>2646</v>
      </c>
      <c r="O739">
        <v>56</v>
      </c>
      <c r="R739" t="s">
        <v>398</v>
      </c>
      <c r="T739">
        <v>220</v>
      </c>
      <c r="V739" t="s">
        <v>1194</v>
      </c>
      <c r="W739" t="s">
        <v>1194</v>
      </c>
      <c r="X739">
        <v>220</v>
      </c>
      <c r="Z739" t="s">
        <v>1033</v>
      </c>
      <c r="AA739" t="s">
        <v>387</v>
      </c>
      <c r="AB739">
        <v>48000</v>
      </c>
      <c r="AC739">
        <v>0</v>
      </c>
      <c r="AD739" t="s">
        <v>1187</v>
      </c>
      <c r="AE739">
        <v>0</v>
      </c>
      <c r="AF739" t="s">
        <v>1188</v>
      </c>
    </row>
    <row r="740" spans="1:34" x14ac:dyDescent="0.25">
      <c r="A740">
        <v>1426</v>
      </c>
      <c r="B740" t="s">
        <v>1313</v>
      </c>
      <c r="C740" s="185"/>
      <c r="D740" t="s">
        <v>24</v>
      </c>
      <c r="E740" t="s">
        <v>386</v>
      </c>
      <c r="F740" t="s">
        <v>452</v>
      </c>
      <c r="G740" t="s">
        <v>1192</v>
      </c>
      <c r="I740">
        <v>2648</v>
      </c>
      <c r="J740" t="s">
        <v>452</v>
      </c>
      <c r="K740" t="s">
        <v>2204</v>
      </c>
      <c r="L740" t="s">
        <v>386</v>
      </c>
      <c r="M740" t="s">
        <v>1193</v>
      </c>
      <c r="N740">
        <v>2648</v>
      </c>
      <c r="O740">
        <v>56</v>
      </c>
      <c r="R740" t="s">
        <v>398</v>
      </c>
      <c r="S740" t="s">
        <v>1909</v>
      </c>
      <c r="T740">
        <v>220</v>
      </c>
      <c r="U740">
        <v>0</v>
      </c>
      <c r="V740" t="s">
        <v>1194</v>
      </c>
      <c r="W740" t="s">
        <v>1194</v>
      </c>
      <c r="X740">
        <v>220</v>
      </c>
      <c r="Y740" t="s">
        <v>1317</v>
      </c>
      <c r="Z740" t="s">
        <v>1033</v>
      </c>
      <c r="AA740" t="s">
        <v>387</v>
      </c>
      <c r="AB740">
        <v>48000</v>
      </c>
      <c r="AC740">
        <v>2353</v>
      </c>
      <c r="AD740" t="s">
        <v>2205</v>
      </c>
      <c r="AE740">
        <v>1128</v>
      </c>
      <c r="AF740" t="s">
        <v>2206</v>
      </c>
      <c r="AG740" t="s">
        <v>2207</v>
      </c>
      <c r="AH740" t="s">
        <v>2208</v>
      </c>
    </row>
    <row r="741" spans="1:34" x14ac:dyDescent="0.25">
      <c r="A741">
        <v>1461</v>
      </c>
      <c r="C741" s="185"/>
      <c r="E741" t="s">
        <v>386</v>
      </c>
      <c r="F741" t="s">
        <v>2209</v>
      </c>
      <c r="G741" t="s">
        <v>1192</v>
      </c>
      <c r="I741">
        <v>2649</v>
      </c>
      <c r="J741" t="s">
        <v>2209</v>
      </c>
      <c r="K741" t="s">
        <v>2209</v>
      </c>
      <c r="L741" t="s">
        <v>386</v>
      </c>
      <c r="M741" t="s">
        <v>1193</v>
      </c>
      <c r="N741">
        <v>2649</v>
      </c>
      <c r="O741">
        <v>21</v>
      </c>
      <c r="R741" t="s">
        <v>398</v>
      </c>
      <c r="T741">
        <v>220</v>
      </c>
      <c r="V741" t="s">
        <v>1194</v>
      </c>
      <c r="W741" t="s">
        <v>1186</v>
      </c>
      <c r="X741">
        <v>0</v>
      </c>
      <c r="Z741" t="s">
        <v>2210</v>
      </c>
      <c r="AA741" t="s">
        <v>387</v>
      </c>
      <c r="AB741">
        <v>15000</v>
      </c>
      <c r="AC741">
        <v>0</v>
      </c>
      <c r="AD741" t="s">
        <v>1187</v>
      </c>
      <c r="AE741">
        <v>0</v>
      </c>
      <c r="AF741" t="s">
        <v>1188</v>
      </c>
    </row>
    <row r="742" spans="1:34" x14ac:dyDescent="0.25">
      <c r="A742">
        <v>1462</v>
      </c>
      <c r="C742" s="185"/>
      <c r="D742" t="s">
        <v>24</v>
      </c>
      <c r="E742" t="s">
        <v>386</v>
      </c>
      <c r="F742" t="s">
        <v>2211</v>
      </c>
      <c r="G742" t="s">
        <v>1197</v>
      </c>
      <c r="I742">
        <v>2650</v>
      </c>
      <c r="J742" t="s">
        <v>2211</v>
      </c>
      <c r="K742" t="s">
        <v>2212</v>
      </c>
      <c r="L742" t="s">
        <v>386</v>
      </c>
      <c r="M742" t="s">
        <v>1193</v>
      </c>
      <c r="N742">
        <v>2650</v>
      </c>
      <c r="O742">
        <v>37</v>
      </c>
      <c r="R742" t="s">
        <v>398</v>
      </c>
      <c r="T742">
        <v>0</v>
      </c>
      <c r="V742" t="s">
        <v>1186</v>
      </c>
      <c r="Z742" t="s">
        <v>998</v>
      </c>
      <c r="AA742" t="s">
        <v>387</v>
      </c>
      <c r="AB742">
        <v>29000</v>
      </c>
      <c r="AC742">
        <v>1995</v>
      </c>
      <c r="AD742" t="s">
        <v>2213</v>
      </c>
      <c r="AE742">
        <v>0</v>
      </c>
      <c r="AF742" t="s">
        <v>1188</v>
      </c>
      <c r="AG742" t="s">
        <v>1244</v>
      </c>
      <c r="AH742" t="s">
        <v>2214</v>
      </c>
    </row>
    <row r="743" spans="1:34" x14ac:dyDescent="0.25">
      <c r="A743">
        <v>1581</v>
      </c>
      <c r="C743" s="185"/>
      <c r="D743" t="s">
        <v>24</v>
      </c>
      <c r="E743" t="s">
        <v>386</v>
      </c>
      <c r="F743" t="s">
        <v>116</v>
      </c>
      <c r="G743" t="s">
        <v>1197</v>
      </c>
      <c r="I743">
        <v>2651</v>
      </c>
      <c r="J743" t="s">
        <v>116</v>
      </c>
      <c r="K743" t="s">
        <v>1198</v>
      </c>
      <c r="L743" t="s">
        <v>386</v>
      </c>
      <c r="M743" t="s">
        <v>1193</v>
      </c>
      <c r="N743">
        <v>2651</v>
      </c>
      <c r="O743">
        <v>37</v>
      </c>
      <c r="R743" t="s">
        <v>398</v>
      </c>
      <c r="T743">
        <v>200</v>
      </c>
      <c r="V743" t="s">
        <v>1199</v>
      </c>
      <c r="W743" t="s">
        <v>1199</v>
      </c>
      <c r="X743">
        <v>200</v>
      </c>
      <c r="Z743" t="s">
        <v>1065</v>
      </c>
      <c r="AA743" t="s">
        <v>387</v>
      </c>
      <c r="AB743">
        <v>29000</v>
      </c>
      <c r="AC743">
        <v>3834</v>
      </c>
      <c r="AD743" t="s">
        <v>1201</v>
      </c>
      <c r="AE743">
        <v>1354</v>
      </c>
      <c r="AF743" t="s">
        <v>1202</v>
      </c>
      <c r="AG743" t="s">
        <v>1203</v>
      </c>
    </row>
    <row r="744" spans="1:34" x14ac:dyDescent="0.25">
      <c r="A744">
        <v>1463</v>
      </c>
      <c r="C744" s="185"/>
      <c r="D744" t="s">
        <v>24</v>
      </c>
      <c r="E744" t="s">
        <v>386</v>
      </c>
      <c r="F744" t="s">
        <v>117</v>
      </c>
      <c r="G744" t="s">
        <v>1192</v>
      </c>
      <c r="I744">
        <v>2652</v>
      </c>
      <c r="J744" t="s">
        <v>117</v>
      </c>
      <c r="K744" t="s">
        <v>2215</v>
      </c>
      <c r="L744" t="s">
        <v>386</v>
      </c>
      <c r="M744" t="s">
        <v>1193</v>
      </c>
      <c r="N744">
        <v>2652</v>
      </c>
      <c r="O744">
        <v>56</v>
      </c>
      <c r="R744" t="s">
        <v>398</v>
      </c>
      <c r="T744">
        <v>220</v>
      </c>
      <c r="V744" t="s">
        <v>1194</v>
      </c>
      <c r="W744" t="s">
        <v>1194</v>
      </c>
      <c r="X744">
        <v>220</v>
      </c>
      <c r="Z744" t="s">
        <v>1070</v>
      </c>
      <c r="AA744" t="s">
        <v>387</v>
      </c>
      <c r="AB744">
        <v>48000</v>
      </c>
      <c r="AC744">
        <v>4448</v>
      </c>
      <c r="AD744" t="s">
        <v>2216</v>
      </c>
      <c r="AE744">
        <v>0</v>
      </c>
      <c r="AF744" t="s">
        <v>1188</v>
      </c>
    </row>
    <row r="745" spans="1:34" x14ac:dyDescent="0.25">
      <c r="A745">
        <v>205</v>
      </c>
      <c r="C745" s="185"/>
      <c r="E745" t="s">
        <v>386</v>
      </c>
      <c r="F745" t="s">
        <v>2217</v>
      </c>
      <c r="G745" t="s">
        <v>1192</v>
      </c>
      <c r="I745">
        <v>2653</v>
      </c>
      <c r="J745" t="s">
        <v>2217</v>
      </c>
      <c r="K745" t="s">
        <v>2218</v>
      </c>
      <c r="L745" t="s">
        <v>386</v>
      </c>
      <c r="M745" t="s">
        <v>1193</v>
      </c>
      <c r="N745">
        <v>2653</v>
      </c>
      <c r="O745">
        <v>56</v>
      </c>
      <c r="R745" t="s">
        <v>398</v>
      </c>
      <c r="T745">
        <v>396</v>
      </c>
      <c r="V745" t="s">
        <v>2186</v>
      </c>
      <c r="W745" t="s">
        <v>1199</v>
      </c>
      <c r="X745">
        <v>200</v>
      </c>
      <c r="Z745" t="s">
        <v>1012</v>
      </c>
      <c r="AA745" t="s">
        <v>387</v>
      </c>
      <c r="AB745">
        <v>48000</v>
      </c>
      <c r="AC745">
        <v>3710</v>
      </c>
      <c r="AD745" t="s">
        <v>2219</v>
      </c>
      <c r="AE745">
        <v>0</v>
      </c>
      <c r="AF745" t="s">
        <v>1188</v>
      </c>
      <c r="AG745" t="s">
        <v>2220</v>
      </c>
    </row>
    <row r="746" spans="1:34" x14ac:dyDescent="0.25">
      <c r="A746">
        <v>1464</v>
      </c>
      <c r="C746" s="185"/>
      <c r="E746" t="s">
        <v>386</v>
      </c>
      <c r="F746" t="s">
        <v>2221</v>
      </c>
      <c r="G746" t="s">
        <v>1192</v>
      </c>
      <c r="I746">
        <v>2654</v>
      </c>
      <c r="J746" t="s">
        <v>2221</v>
      </c>
      <c r="K746" t="s">
        <v>2221</v>
      </c>
      <c r="L746" t="s">
        <v>386</v>
      </c>
      <c r="M746" t="s">
        <v>1193</v>
      </c>
      <c r="N746">
        <v>2654</v>
      </c>
      <c r="O746">
        <v>37</v>
      </c>
      <c r="R746" t="s">
        <v>398</v>
      </c>
      <c r="T746">
        <v>339</v>
      </c>
      <c r="V746" t="s">
        <v>2222</v>
      </c>
      <c r="W746" t="s">
        <v>2223</v>
      </c>
      <c r="X746">
        <v>138</v>
      </c>
      <c r="Z746" t="s">
        <v>872</v>
      </c>
      <c r="AA746" t="s">
        <v>387</v>
      </c>
      <c r="AB746">
        <v>29000</v>
      </c>
      <c r="AC746">
        <v>0</v>
      </c>
      <c r="AD746" t="s">
        <v>1187</v>
      </c>
      <c r="AE746">
        <v>0</v>
      </c>
      <c r="AF746" t="s">
        <v>1188</v>
      </c>
    </row>
    <row r="747" spans="1:34" x14ac:dyDescent="0.25">
      <c r="A747">
        <v>1464</v>
      </c>
      <c r="C747" s="185"/>
      <c r="D747" t="s">
        <v>24</v>
      </c>
      <c r="E747" t="s">
        <v>386</v>
      </c>
      <c r="F747" t="s">
        <v>318</v>
      </c>
      <c r="G747" t="s">
        <v>1192</v>
      </c>
      <c r="I747">
        <v>2655</v>
      </c>
      <c r="J747" t="s">
        <v>318</v>
      </c>
      <c r="K747" t="s">
        <v>2224</v>
      </c>
      <c r="L747" t="s">
        <v>386</v>
      </c>
      <c r="M747" t="s">
        <v>1193</v>
      </c>
      <c r="N747">
        <v>2655</v>
      </c>
      <c r="O747">
        <v>37</v>
      </c>
      <c r="R747" t="s">
        <v>398</v>
      </c>
      <c r="T747">
        <v>138</v>
      </c>
      <c r="V747" t="s">
        <v>2223</v>
      </c>
      <c r="Z747" t="s">
        <v>872</v>
      </c>
      <c r="AA747" t="s">
        <v>387</v>
      </c>
      <c r="AB747">
        <v>29000</v>
      </c>
      <c r="AC747">
        <v>4445</v>
      </c>
      <c r="AD747" t="s">
        <v>2225</v>
      </c>
      <c r="AE747">
        <v>2056</v>
      </c>
      <c r="AF747" t="s">
        <v>1126</v>
      </c>
      <c r="AG747" t="s">
        <v>2226</v>
      </c>
      <c r="AH747" t="s">
        <v>2227</v>
      </c>
    </row>
    <row r="748" spans="1:34" x14ac:dyDescent="0.25">
      <c r="A748">
        <v>1465</v>
      </c>
      <c r="B748" t="s">
        <v>1313</v>
      </c>
      <c r="C748" s="185"/>
      <c r="D748" t="s">
        <v>24</v>
      </c>
      <c r="E748" t="s">
        <v>386</v>
      </c>
      <c r="F748" t="s">
        <v>118</v>
      </c>
      <c r="G748" t="s">
        <v>1903</v>
      </c>
      <c r="I748">
        <v>2656</v>
      </c>
      <c r="J748" t="s">
        <v>118</v>
      </c>
      <c r="K748" t="s">
        <v>2228</v>
      </c>
      <c r="L748" t="s">
        <v>386</v>
      </c>
      <c r="M748" t="s">
        <v>1193</v>
      </c>
      <c r="N748">
        <v>2656</v>
      </c>
      <c r="O748">
        <v>56</v>
      </c>
      <c r="R748" t="s">
        <v>398</v>
      </c>
      <c r="S748" t="s">
        <v>1315</v>
      </c>
      <c r="T748">
        <v>473</v>
      </c>
      <c r="U748">
        <v>0</v>
      </c>
      <c r="V748" t="s">
        <v>1964</v>
      </c>
      <c r="W748" t="s">
        <v>1194</v>
      </c>
      <c r="X748">
        <v>220</v>
      </c>
      <c r="Y748" t="s">
        <v>1317</v>
      </c>
      <c r="Z748" t="s">
        <v>918</v>
      </c>
      <c r="AA748" t="s">
        <v>387</v>
      </c>
      <c r="AB748">
        <v>48000</v>
      </c>
      <c r="AC748">
        <v>3804</v>
      </c>
      <c r="AD748" t="s">
        <v>2229</v>
      </c>
      <c r="AE748">
        <v>0</v>
      </c>
      <c r="AF748" t="s">
        <v>1188</v>
      </c>
      <c r="AG748" t="s">
        <v>1244</v>
      </c>
      <c r="AH748" t="s">
        <v>2230</v>
      </c>
    </row>
    <row r="749" spans="1:34" x14ac:dyDescent="0.25">
      <c r="A749">
        <v>50</v>
      </c>
      <c r="C749" s="185"/>
      <c r="E749" t="s">
        <v>386</v>
      </c>
      <c r="F749" t="s">
        <v>2231</v>
      </c>
      <c r="G749" t="s">
        <v>1192</v>
      </c>
      <c r="I749">
        <v>2658</v>
      </c>
      <c r="J749" t="s">
        <v>2231</v>
      </c>
      <c r="K749" t="s">
        <v>2231</v>
      </c>
      <c r="L749" t="s">
        <v>386</v>
      </c>
      <c r="M749" t="s">
        <v>1193</v>
      </c>
      <c r="N749">
        <v>2658</v>
      </c>
      <c r="O749">
        <v>1</v>
      </c>
      <c r="R749" t="s">
        <v>398</v>
      </c>
      <c r="T749">
        <v>0</v>
      </c>
      <c r="V749" t="s">
        <v>1186</v>
      </c>
      <c r="Z749" t="s">
        <v>878</v>
      </c>
      <c r="AA749" t="s">
        <v>387</v>
      </c>
      <c r="AB749">
        <v>1000</v>
      </c>
      <c r="AC749">
        <v>0</v>
      </c>
      <c r="AD749" t="s">
        <v>1187</v>
      </c>
      <c r="AE749">
        <v>0</v>
      </c>
      <c r="AF749" t="s">
        <v>1188</v>
      </c>
    </row>
    <row r="750" spans="1:34" x14ac:dyDescent="0.25">
      <c r="A750">
        <v>50</v>
      </c>
      <c r="C750" s="185"/>
      <c r="E750" t="s">
        <v>386</v>
      </c>
      <c r="F750" t="s">
        <v>2232</v>
      </c>
      <c r="G750" t="s">
        <v>1192</v>
      </c>
      <c r="I750">
        <v>2659</v>
      </c>
      <c r="J750" t="s">
        <v>2232</v>
      </c>
      <c r="K750" t="s">
        <v>2232</v>
      </c>
      <c r="L750" t="s">
        <v>386</v>
      </c>
      <c r="M750" t="s">
        <v>1193</v>
      </c>
      <c r="N750">
        <v>2659</v>
      </c>
      <c r="O750">
        <v>1</v>
      </c>
      <c r="R750" t="s">
        <v>398</v>
      </c>
      <c r="T750">
        <v>0</v>
      </c>
      <c r="V750" t="s">
        <v>1186</v>
      </c>
      <c r="Z750" t="s">
        <v>878</v>
      </c>
      <c r="AA750" t="s">
        <v>387</v>
      </c>
      <c r="AB750">
        <v>1000</v>
      </c>
      <c r="AC750">
        <v>0</v>
      </c>
      <c r="AD750" t="s">
        <v>1187</v>
      </c>
      <c r="AE750">
        <v>0</v>
      </c>
      <c r="AF750" t="s">
        <v>1188</v>
      </c>
    </row>
    <row r="751" spans="1:34" x14ac:dyDescent="0.25">
      <c r="A751">
        <v>50</v>
      </c>
      <c r="C751" s="185"/>
      <c r="E751" t="s">
        <v>386</v>
      </c>
      <c r="F751" t="s">
        <v>2233</v>
      </c>
      <c r="G751" t="s">
        <v>1192</v>
      </c>
      <c r="I751">
        <v>2660</v>
      </c>
      <c r="J751" t="s">
        <v>2233</v>
      </c>
      <c r="K751" t="s">
        <v>2233</v>
      </c>
      <c r="L751" t="s">
        <v>386</v>
      </c>
      <c r="M751" t="s">
        <v>1193</v>
      </c>
      <c r="N751">
        <v>2660</v>
      </c>
      <c r="O751">
        <v>1</v>
      </c>
      <c r="R751" t="s">
        <v>398</v>
      </c>
      <c r="T751">
        <v>0</v>
      </c>
      <c r="V751" t="s">
        <v>1186</v>
      </c>
      <c r="Z751" t="s">
        <v>878</v>
      </c>
      <c r="AA751" t="s">
        <v>387</v>
      </c>
      <c r="AB751">
        <v>1000</v>
      </c>
      <c r="AC751">
        <v>0</v>
      </c>
      <c r="AD751" t="s">
        <v>1187</v>
      </c>
      <c r="AE751">
        <v>0</v>
      </c>
      <c r="AF751" t="s">
        <v>1188</v>
      </c>
    </row>
    <row r="752" spans="1:34" x14ac:dyDescent="0.25">
      <c r="A752">
        <v>50</v>
      </c>
      <c r="C752" s="185"/>
      <c r="E752" t="s">
        <v>386</v>
      </c>
      <c r="F752" t="s">
        <v>2234</v>
      </c>
      <c r="G752" t="s">
        <v>1192</v>
      </c>
      <c r="I752">
        <v>2661</v>
      </c>
      <c r="J752" t="s">
        <v>2234</v>
      </c>
      <c r="K752" t="s">
        <v>2234</v>
      </c>
      <c r="L752" t="s">
        <v>386</v>
      </c>
      <c r="M752" t="s">
        <v>1193</v>
      </c>
      <c r="N752">
        <v>2661</v>
      </c>
      <c r="O752">
        <v>1</v>
      </c>
      <c r="R752" t="s">
        <v>398</v>
      </c>
      <c r="T752">
        <v>0</v>
      </c>
      <c r="V752" t="s">
        <v>1186</v>
      </c>
      <c r="Z752" t="s">
        <v>878</v>
      </c>
      <c r="AA752" t="s">
        <v>387</v>
      </c>
      <c r="AB752">
        <v>1000</v>
      </c>
      <c r="AC752">
        <v>0</v>
      </c>
      <c r="AD752" t="s">
        <v>1187</v>
      </c>
      <c r="AE752">
        <v>0</v>
      </c>
      <c r="AF752" t="s">
        <v>1188</v>
      </c>
    </row>
    <row r="753" spans="1:34" x14ac:dyDescent="0.25">
      <c r="A753">
        <v>6</v>
      </c>
      <c r="C753" s="185"/>
      <c r="E753" t="s">
        <v>386</v>
      </c>
      <c r="F753" t="s">
        <v>2235</v>
      </c>
      <c r="G753" t="s">
        <v>1192</v>
      </c>
      <c r="H753" t="s">
        <v>2141</v>
      </c>
      <c r="I753">
        <v>2662</v>
      </c>
      <c r="J753" t="s">
        <v>2235</v>
      </c>
      <c r="K753" t="s">
        <v>2235</v>
      </c>
      <c r="L753" t="s">
        <v>386</v>
      </c>
      <c r="M753" t="s">
        <v>1193</v>
      </c>
      <c r="N753">
        <v>2662</v>
      </c>
      <c r="O753">
        <v>29</v>
      </c>
      <c r="R753" t="s">
        <v>398</v>
      </c>
      <c r="T753">
        <v>0</v>
      </c>
      <c r="V753" t="s">
        <v>1186</v>
      </c>
      <c r="Z753" t="s">
        <v>892</v>
      </c>
      <c r="AA753" t="s">
        <v>387</v>
      </c>
      <c r="AB753">
        <v>21000</v>
      </c>
      <c r="AC753">
        <v>0</v>
      </c>
      <c r="AD753" t="s">
        <v>1187</v>
      </c>
      <c r="AE753">
        <v>0</v>
      </c>
      <c r="AF753" t="s">
        <v>1188</v>
      </c>
    </row>
    <row r="754" spans="1:34" x14ac:dyDescent="0.25">
      <c r="A754">
        <v>1466</v>
      </c>
      <c r="C754" s="185"/>
      <c r="E754" t="s">
        <v>386</v>
      </c>
      <c r="F754" t="s">
        <v>2236</v>
      </c>
      <c r="G754" t="s">
        <v>1192</v>
      </c>
      <c r="I754">
        <v>2666</v>
      </c>
      <c r="J754" t="s">
        <v>2236</v>
      </c>
      <c r="K754" t="s">
        <v>2236</v>
      </c>
      <c r="L754" t="s">
        <v>386</v>
      </c>
      <c r="M754" t="s">
        <v>1193</v>
      </c>
      <c r="N754">
        <v>2666</v>
      </c>
      <c r="O754">
        <v>21</v>
      </c>
      <c r="R754" t="s">
        <v>398</v>
      </c>
      <c r="T754">
        <v>220</v>
      </c>
      <c r="V754" t="s">
        <v>1194</v>
      </c>
      <c r="W754" t="s">
        <v>1186</v>
      </c>
      <c r="X754">
        <v>0</v>
      </c>
      <c r="Z754" t="s">
        <v>2237</v>
      </c>
      <c r="AA754" t="s">
        <v>387</v>
      </c>
      <c r="AB754">
        <v>15000</v>
      </c>
      <c r="AC754">
        <v>0</v>
      </c>
      <c r="AD754" t="s">
        <v>1187</v>
      </c>
      <c r="AE754">
        <v>0</v>
      </c>
      <c r="AF754" t="s">
        <v>1188</v>
      </c>
    </row>
    <row r="755" spans="1:34" x14ac:dyDescent="0.25">
      <c r="A755">
        <v>1826</v>
      </c>
      <c r="C755" s="185"/>
      <c r="E755" t="s">
        <v>386</v>
      </c>
      <c r="F755" t="s">
        <v>2236</v>
      </c>
      <c r="I755">
        <v>8459</v>
      </c>
      <c r="J755" t="s">
        <v>2238</v>
      </c>
      <c r="K755" t="s">
        <v>2238</v>
      </c>
      <c r="L755" t="s">
        <v>386</v>
      </c>
      <c r="M755" t="s">
        <v>1193</v>
      </c>
      <c r="N755">
        <v>2666</v>
      </c>
      <c r="O755">
        <v>21</v>
      </c>
      <c r="R755" t="s">
        <v>398</v>
      </c>
      <c r="T755">
        <v>220</v>
      </c>
      <c r="V755" t="s">
        <v>1194</v>
      </c>
      <c r="W755" t="s">
        <v>1915</v>
      </c>
      <c r="X755">
        <v>185</v>
      </c>
      <c r="Z755" t="s">
        <v>2239</v>
      </c>
      <c r="AA755" t="s">
        <v>387</v>
      </c>
      <c r="AB755">
        <v>15000</v>
      </c>
      <c r="AC755">
        <v>3384</v>
      </c>
      <c r="AD755" t="s">
        <v>2240</v>
      </c>
      <c r="AE755">
        <v>0</v>
      </c>
      <c r="AF755" t="s">
        <v>1188</v>
      </c>
      <c r="AG755" t="s">
        <v>706</v>
      </c>
      <c r="AH755" t="s">
        <v>2241</v>
      </c>
    </row>
    <row r="756" spans="1:34" x14ac:dyDescent="0.25">
      <c r="A756">
        <v>1370</v>
      </c>
      <c r="C756" s="185"/>
      <c r="E756" t="s">
        <v>386</v>
      </c>
      <c r="F756" t="s">
        <v>2242</v>
      </c>
      <c r="G756" t="s">
        <v>1192</v>
      </c>
      <c r="I756">
        <v>2667</v>
      </c>
      <c r="J756" t="s">
        <v>2242</v>
      </c>
      <c r="K756" t="s">
        <v>2242</v>
      </c>
      <c r="L756" t="s">
        <v>386</v>
      </c>
      <c r="M756" t="s">
        <v>1193</v>
      </c>
      <c r="N756">
        <v>2667</v>
      </c>
      <c r="O756">
        <v>10</v>
      </c>
      <c r="R756" t="s">
        <v>398</v>
      </c>
      <c r="T756">
        <v>0</v>
      </c>
      <c r="V756" t="s">
        <v>1186</v>
      </c>
      <c r="Z756" t="s">
        <v>2139</v>
      </c>
      <c r="AA756" t="s">
        <v>387</v>
      </c>
      <c r="AB756">
        <v>6000</v>
      </c>
      <c r="AC756">
        <v>0</v>
      </c>
      <c r="AD756" t="s">
        <v>1187</v>
      </c>
      <c r="AE756">
        <v>0</v>
      </c>
      <c r="AF756" t="s">
        <v>1188</v>
      </c>
    </row>
    <row r="757" spans="1:34" x14ac:dyDescent="0.25">
      <c r="A757">
        <v>1426</v>
      </c>
      <c r="C757" s="185"/>
      <c r="E757" t="s">
        <v>386</v>
      </c>
      <c r="F757" t="s">
        <v>2243</v>
      </c>
      <c r="G757" t="s">
        <v>1192</v>
      </c>
      <c r="I757">
        <v>2668</v>
      </c>
      <c r="J757" t="s">
        <v>2243</v>
      </c>
      <c r="K757" t="s">
        <v>2243</v>
      </c>
      <c r="L757" t="s">
        <v>386</v>
      </c>
      <c r="M757" t="s">
        <v>1193</v>
      </c>
      <c r="N757">
        <v>2668</v>
      </c>
      <c r="O757">
        <v>11</v>
      </c>
      <c r="R757" t="s">
        <v>398</v>
      </c>
      <c r="T757">
        <v>0</v>
      </c>
      <c r="V757" t="s">
        <v>1186</v>
      </c>
      <c r="Z757" t="s">
        <v>1033</v>
      </c>
      <c r="AA757" t="s">
        <v>387</v>
      </c>
      <c r="AB757">
        <v>7000</v>
      </c>
      <c r="AC757">
        <v>0</v>
      </c>
      <c r="AD757" t="s">
        <v>1187</v>
      </c>
      <c r="AE757">
        <v>0</v>
      </c>
      <c r="AF757" t="s">
        <v>1188</v>
      </c>
    </row>
    <row r="758" spans="1:34" x14ac:dyDescent="0.25">
      <c r="A758">
        <v>1467</v>
      </c>
      <c r="B758" t="s">
        <v>1313</v>
      </c>
      <c r="C758" s="185"/>
      <c r="D758" t="s">
        <v>24</v>
      </c>
      <c r="E758" t="s">
        <v>386</v>
      </c>
      <c r="F758" t="s">
        <v>2244</v>
      </c>
      <c r="G758" t="s">
        <v>1903</v>
      </c>
      <c r="I758">
        <v>2669</v>
      </c>
      <c r="J758" t="s">
        <v>2244</v>
      </c>
      <c r="K758" t="s">
        <v>2245</v>
      </c>
      <c r="L758" t="s">
        <v>386</v>
      </c>
      <c r="M758" t="s">
        <v>1193</v>
      </c>
      <c r="N758">
        <v>2669</v>
      </c>
      <c r="O758">
        <v>56</v>
      </c>
      <c r="R758" t="s">
        <v>398</v>
      </c>
      <c r="S758" t="s">
        <v>1909</v>
      </c>
      <c r="T758">
        <v>496</v>
      </c>
      <c r="U758">
        <v>0</v>
      </c>
      <c r="V758" t="s">
        <v>2246</v>
      </c>
      <c r="W758" t="s">
        <v>1194</v>
      </c>
      <c r="X758">
        <v>220</v>
      </c>
      <c r="Y758" t="s">
        <v>1317</v>
      </c>
      <c r="Z758" t="s">
        <v>1102</v>
      </c>
      <c r="AA758" t="s">
        <v>387</v>
      </c>
      <c r="AB758">
        <v>48000</v>
      </c>
      <c r="AC758">
        <v>2322</v>
      </c>
      <c r="AD758" t="s">
        <v>2247</v>
      </c>
      <c r="AE758">
        <v>0</v>
      </c>
      <c r="AF758" t="s">
        <v>1188</v>
      </c>
      <c r="AG758" t="s">
        <v>1244</v>
      </c>
      <c r="AH758" t="s">
        <v>2248</v>
      </c>
    </row>
    <row r="759" spans="1:34" x14ac:dyDescent="0.25">
      <c r="A759">
        <v>1696</v>
      </c>
      <c r="C759" s="185"/>
      <c r="D759" t="s">
        <v>24</v>
      </c>
      <c r="E759" t="s">
        <v>386</v>
      </c>
      <c r="F759" t="s">
        <v>2249</v>
      </c>
      <c r="G759" t="s">
        <v>1192</v>
      </c>
      <c r="I759">
        <v>2671</v>
      </c>
      <c r="J759" t="s">
        <v>2249</v>
      </c>
      <c r="K759" t="s">
        <v>2250</v>
      </c>
      <c r="L759" t="s">
        <v>386</v>
      </c>
      <c r="M759" t="s">
        <v>1193</v>
      </c>
      <c r="N759">
        <v>2671</v>
      </c>
      <c r="O759">
        <v>56</v>
      </c>
      <c r="R759" t="s">
        <v>398</v>
      </c>
      <c r="T759">
        <v>220</v>
      </c>
      <c r="V759" t="s">
        <v>1194</v>
      </c>
      <c r="W759" t="s">
        <v>2024</v>
      </c>
      <c r="X759">
        <v>52</v>
      </c>
      <c r="Z759" t="s">
        <v>2251</v>
      </c>
      <c r="AA759" t="s">
        <v>387</v>
      </c>
      <c r="AB759">
        <v>48000</v>
      </c>
      <c r="AC759">
        <v>2650</v>
      </c>
      <c r="AD759" t="s">
        <v>2252</v>
      </c>
      <c r="AE759">
        <v>0</v>
      </c>
      <c r="AF759" t="s">
        <v>1188</v>
      </c>
      <c r="AG759" t="s">
        <v>2253</v>
      </c>
    </row>
    <row r="760" spans="1:34" x14ac:dyDescent="0.25">
      <c r="A760">
        <v>27</v>
      </c>
      <c r="C760" s="185"/>
      <c r="E760" t="s">
        <v>386</v>
      </c>
      <c r="F760" t="s">
        <v>2254</v>
      </c>
      <c r="G760" t="s">
        <v>1192</v>
      </c>
      <c r="I760">
        <v>2672</v>
      </c>
      <c r="J760" t="s">
        <v>2254</v>
      </c>
      <c r="K760" t="s">
        <v>2254</v>
      </c>
      <c r="L760" t="s">
        <v>386</v>
      </c>
      <c r="M760" t="s">
        <v>1193</v>
      </c>
      <c r="N760">
        <v>2672</v>
      </c>
      <c r="O760">
        <v>10</v>
      </c>
      <c r="R760" t="s">
        <v>398</v>
      </c>
      <c r="T760">
        <v>0</v>
      </c>
      <c r="V760" t="s">
        <v>1186</v>
      </c>
      <c r="Z760" t="s">
        <v>1018</v>
      </c>
      <c r="AA760" t="s">
        <v>387</v>
      </c>
      <c r="AB760">
        <v>6000</v>
      </c>
      <c r="AC760">
        <v>0</v>
      </c>
      <c r="AD760" t="s">
        <v>1187</v>
      </c>
      <c r="AE760">
        <v>0</v>
      </c>
      <c r="AF760" t="s">
        <v>1188</v>
      </c>
    </row>
    <row r="761" spans="1:34" x14ac:dyDescent="0.25">
      <c r="A761">
        <v>1</v>
      </c>
      <c r="C761" s="185"/>
      <c r="E761" t="s">
        <v>386</v>
      </c>
      <c r="F761" t="s">
        <v>2255</v>
      </c>
      <c r="G761" t="s">
        <v>1192</v>
      </c>
      <c r="I761">
        <v>2673</v>
      </c>
      <c r="J761" t="s">
        <v>2255</v>
      </c>
      <c r="K761" t="s">
        <v>2255</v>
      </c>
      <c r="L761" t="s">
        <v>386</v>
      </c>
      <c r="M761" t="s">
        <v>1193</v>
      </c>
      <c r="N761">
        <v>2673</v>
      </c>
      <c r="O761">
        <v>21</v>
      </c>
      <c r="R761" t="s">
        <v>398</v>
      </c>
      <c r="T761">
        <v>0</v>
      </c>
      <c r="V761" t="s">
        <v>1186</v>
      </c>
      <c r="Z761" t="s">
        <v>865</v>
      </c>
      <c r="AA761" t="s">
        <v>387</v>
      </c>
      <c r="AB761">
        <v>15000</v>
      </c>
      <c r="AC761">
        <v>0</v>
      </c>
      <c r="AD761" t="s">
        <v>1187</v>
      </c>
      <c r="AE761">
        <v>0</v>
      </c>
      <c r="AF761" t="s">
        <v>1188</v>
      </c>
    </row>
    <row r="762" spans="1:34" x14ac:dyDescent="0.25">
      <c r="A762">
        <v>1</v>
      </c>
      <c r="C762" s="185"/>
      <c r="E762" t="s">
        <v>386</v>
      </c>
      <c r="F762" t="s">
        <v>2256</v>
      </c>
      <c r="G762" t="s">
        <v>1192</v>
      </c>
      <c r="I762">
        <v>2675</v>
      </c>
      <c r="J762" t="s">
        <v>2256</v>
      </c>
      <c r="K762" t="s">
        <v>2256</v>
      </c>
      <c r="L762" t="s">
        <v>386</v>
      </c>
      <c r="M762" t="s">
        <v>1193</v>
      </c>
      <c r="N762">
        <v>2675</v>
      </c>
      <c r="O762">
        <v>11</v>
      </c>
      <c r="R762" t="s">
        <v>398</v>
      </c>
      <c r="T762">
        <v>0</v>
      </c>
      <c r="V762" t="s">
        <v>1186</v>
      </c>
      <c r="Z762" t="s">
        <v>865</v>
      </c>
      <c r="AA762" t="s">
        <v>387</v>
      </c>
      <c r="AB762">
        <v>7000</v>
      </c>
      <c r="AC762">
        <v>0</v>
      </c>
      <c r="AD762" t="s">
        <v>1187</v>
      </c>
      <c r="AE762">
        <v>0</v>
      </c>
      <c r="AF762" t="s">
        <v>1188</v>
      </c>
    </row>
    <row r="763" spans="1:34" x14ac:dyDescent="0.25">
      <c r="A763">
        <v>1440</v>
      </c>
      <c r="C763" s="185"/>
      <c r="E763" t="s">
        <v>386</v>
      </c>
      <c r="F763" t="s">
        <v>2257</v>
      </c>
      <c r="G763" t="s">
        <v>1192</v>
      </c>
      <c r="I763">
        <v>2676</v>
      </c>
      <c r="J763" t="s">
        <v>2257</v>
      </c>
      <c r="K763" t="s">
        <v>2257</v>
      </c>
      <c r="L763" t="s">
        <v>386</v>
      </c>
      <c r="M763" t="s">
        <v>1193</v>
      </c>
      <c r="N763">
        <v>2676</v>
      </c>
      <c r="O763">
        <v>11</v>
      </c>
      <c r="R763" t="s">
        <v>398</v>
      </c>
      <c r="T763">
        <v>0</v>
      </c>
      <c r="V763" t="s">
        <v>1186</v>
      </c>
      <c r="Z763" t="s">
        <v>2258</v>
      </c>
      <c r="AA763" t="s">
        <v>387</v>
      </c>
      <c r="AB763">
        <v>7000</v>
      </c>
      <c r="AC763">
        <v>0</v>
      </c>
      <c r="AD763" t="s">
        <v>1187</v>
      </c>
      <c r="AE763">
        <v>0</v>
      </c>
      <c r="AF763" t="s">
        <v>1188</v>
      </c>
    </row>
    <row r="764" spans="1:34" x14ac:dyDescent="0.25">
      <c r="A764">
        <v>207</v>
      </c>
      <c r="C764" s="185"/>
      <c r="E764" t="s">
        <v>386</v>
      </c>
      <c r="F764" t="s">
        <v>581</v>
      </c>
      <c r="G764" t="s">
        <v>1192</v>
      </c>
      <c r="I764">
        <v>2678</v>
      </c>
      <c r="J764" t="s">
        <v>581</v>
      </c>
      <c r="K764" t="s">
        <v>2259</v>
      </c>
      <c r="L764" t="s">
        <v>386</v>
      </c>
      <c r="M764" t="s">
        <v>1193</v>
      </c>
      <c r="N764">
        <v>2678</v>
      </c>
      <c r="O764">
        <v>56</v>
      </c>
      <c r="R764" t="s">
        <v>398</v>
      </c>
      <c r="T764">
        <v>220</v>
      </c>
      <c r="V764" t="s">
        <v>1194</v>
      </c>
      <c r="W764" t="s">
        <v>1194</v>
      </c>
      <c r="X764">
        <v>220</v>
      </c>
      <c r="Z764" t="s">
        <v>954</v>
      </c>
      <c r="AA764" t="s">
        <v>387</v>
      </c>
      <c r="AB764">
        <v>48000</v>
      </c>
      <c r="AC764">
        <v>6231</v>
      </c>
      <c r="AD764" t="s">
        <v>2260</v>
      </c>
      <c r="AE764">
        <v>2293</v>
      </c>
      <c r="AF764" t="s">
        <v>2261</v>
      </c>
      <c r="AG764" t="s">
        <v>2262</v>
      </c>
    </row>
    <row r="765" spans="1:34" x14ac:dyDescent="0.25">
      <c r="A765">
        <v>1468</v>
      </c>
      <c r="C765" s="185"/>
      <c r="D765" t="s">
        <v>24</v>
      </c>
      <c r="E765" t="s">
        <v>386</v>
      </c>
      <c r="F765" t="s">
        <v>313</v>
      </c>
      <c r="G765" t="s">
        <v>1903</v>
      </c>
      <c r="I765">
        <v>2680</v>
      </c>
      <c r="J765" t="s">
        <v>313</v>
      </c>
      <c r="K765" t="s">
        <v>313</v>
      </c>
      <c r="L765" t="s">
        <v>386</v>
      </c>
      <c r="M765" t="s">
        <v>1193</v>
      </c>
      <c r="N765">
        <v>2680</v>
      </c>
      <c r="O765">
        <v>37</v>
      </c>
      <c r="R765" t="s">
        <v>398</v>
      </c>
      <c r="T765">
        <v>426</v>
      </c>
      <c r="V765" t="s">
        <v>1257</v>
      </c>
      <c r="W765" t="s">
        <v>2107</v>
      </c>
      <c r="X765">
        <v>272</v>
      </c>
      <c r="Z765" t="s">
        <v>946</v>
      </c>
      <c r="AA765" t="s">
        <v>387</v>
      </c>
      <c r="AB765">
        <v>29000</v>
      </c>
      <c r="AC765">
        <v>3992</v>
      </c>
      <c r="AD765" t="s">
        <v>2263</v>
      </c>
      <c r="AE765">
        <v>1834</v>
      </c>
      <c r="AF765" t="s">
        <v>2264</v>
      </c>
      <c r="AH765" t="s">
        <v>2265</v>
      </c>
    </row>
    <row r="766" spans="1:34" x14ac:dyDescent="0.25">
      <c r="A766">
        <v>1</v>
      </c>
      <c r="C766" s="185"/>
      <c r="E766" t="s">
        <v>386</v>
      </c>
      <c r="F766" t="s">
        <v>2266</v>
      </c>
      <c r="G766" t="s">
        <v>1192</v>
      </c>
      <c r="I766">
        <v>2681</v>
      </c>
      <c r="J766" t="s">
        <v>2266</v>
      </c>
      <c r="K766" t="s">
        <v>2266</v>
      </c>
      <c r="L766" t="s">
        <v>386</v>
      </c>
      <c r="M766" t="s">
        <v>1193</v>
      </c>
      <c r="N766">
        <v>2681</v>
      </c>
      <c r="O766">
        <v>0</v>
      </c>
      <c r="R766" t="s">
        <v>398</v>
      </c>
      <c r="T766">
        <v>52</v>
      </c>
      <c r="V766" t="s">
        <v>2024</v>
      </c>
      <c r="Z766" t="s">
        <v>865</v>
      </c>
      <c r="AA766" t="s">
        <v>387</v>
      </c>
      <c r="AB766">
        <v>0</v>
      </c>
      <c r="AC766">
        <v>0</v>
      </c>
      <c r="AD766" t="s">
        <v>1187</v>
      </c>
      <c r="AE766">
        <v>0</v>
      </c>
      <c r="AF766" t="s">
        <v>1188</v>
      </c>
    </row>
    <row r="767" spans="1:34" x14ac:dyDescent="0.25">
      <c r="A767">
        <v>1468</v>
      </c>
      <c r="C767" s="185"/>
      <c r="E767" t="s">
        <v>386</v>
      </c>
      <c r="F767" t="s">
        <v>2266</v>
      </c>
      <c r="G767" t="s">
        <v>1192</v>
      </c>
      <c r="I767">
        <v>2682</v>
      </c>
      <c r="J767" t="s">
        <v>2267</v>
      </c>
      <c r="K767" t="s">
        <v>2267</v>
      </c>
      <c r="L767" t="s">
        <v>386</v>
      </c>
      <c r="M767" t="s">
        <v>1193</v>
      </c>
      <c r="N767">
        <v>2681</v>
      </c>
      <c r="O767">
        <v>37</v>
      </c>
      <c r="R767" t="s">
        <v>398</v>
      </c>
      <c r="T767">
        <v>138</v>
      </c>
      <c r="V767" t="s">
        <v>2223</v>
      </c>
      <c r="W767" t="s">
        <v>1186</v>
      </c>
      <c r="X767">
        <v>0</v>
      </c>
      <c r="Z767" t="s">
        <v>946</v>
      </c>
      <c r="AA767" t="s">
        <v>387</v>
      </c>
      <c r="AB767">
        <v>29000</v>
      </c>
      <c r="AC767">
        <v>0</v>
      </c>
      <c r="AD767" t="s">
        <v>1187</v>
      </c>
      <c r="AE767">
        <v>0</v>
      </c>
      <c r="AF767" t="s">
        <v>1188</v>
      </c>
    </row>
    <row r="768" spans="1:34" x14ac:dyDescent="0.25">
      <c r="A768">
        <v>1</v>
      </c>
      <c r="C768" s="185"/>
      <c r="E768" t="s">
        <v>386</v>
      </c>
      <c r="F768" t="s">
        <v>2268</v>
      </c>
      <c r="G768" t="s">
        <v>1192</v>
      </c>
      <c r="I768">
        <v>2683</v>
      </c>
      <c r="J768" t="s">
        <v>2268</v>
      </c>
      <c r="K768" t="s">
        <v>2268</v>
      </c>
      <c r="L768" t="s">
        <v>386</v>
      </c>
      <c r="M768" t="s">
        <v>1193</v>
      </c>
      <c r="N768">
        <v>2683</v>
      </c>
      <c r="O768">
        <v>0</v>
      </c>
      <c r="R768" t="s">
        <v>398</v>
      </c>
      <c r="T768">
        <v>2</v>
      </c>
      <c r="V768" t="s">
        <v>1205</v>
      </c>
      <c r="Z768" t="s">
        <v>865</v>
      </c>
      <c r="AA768" t="s">
        <v>387</v>
      </c>
      <c r="AB768">
        <v>0</v>
      </c>
      <c r="AC768">
        <v>0</v>
      </c>
      <c r="AD768" t="s">
        <v>1187</v>
      </c>
      <c r="AE768">
        <v>0</v>
      </c>
      <c r="AF768" t="s">
        <v>1188</v>
      </c>
    </row>
    <row r="769" spans="1:34" x14ac:dyDescent="0.25">
      <c r="A769">
        <v>1</v>
      </c>
      <c r="C769" s="185"/>
      <c r="E769" t="s">
        <v>386</v>
      </c>
      <c r="F769" t="s">
        <v>2269</v>
      </c>
      <c r="G769" t="s">
        <v>1192</v>
      </c>
      <c r="I769">
        <v>2684</v>
      </c>
      <c r="J769" t="s">
        <v>2269</v>
      </c>
      <c r="K769" t="s">
        <v>2269</v>
      </c>
      <c r="L769" t="s">
        <v>386</v>
      </c>
      <c r="M769" t="s">
        <v>1193</v>
      </c>
      <c r="N769">
        <v>2684</v>
      </c>
      <c r="O769">
        <v>0</v>
      </c>
      <c r="R769" t="s">
        <v>398</v>
      </c>
      <c r="T769">
        <v>2</v>
      </c>
      <c r="V769" t="s">
        <v>1205</v>
      </c>
      <c r="Z769" t="s">
        <v>865</v>
      </c>
      <c r="AA769" t="s">
        <v>387</v>
      </c>
      <c r="AB769">
        <v>0</v>
      </c>
      <c r="AC769">
        <v>0</v>
      </c>
      <c r="AD769" t="s">
        <v>1187</v>
      </c>
      <c r="AE769">
        <v>0</v>
      </c>
      <c r="AF769" t="s">
        <v>1188</v>
      </c>
    </row>
    <row r="770" spans="1:34" x14ac:dyDescent="0.25">
      <c r="A770">
        <v>480</v>
      </c>
      <c r="C770" s="185"/>
      <c r="E770" t="s">
        <v>386</v>
      </c>
      <c r="F770" t="s">
        <v>2270</v>
      </c>
      <c r="G770" t="s">
        <v>1192</v>
      </c>
      <c r="I770">
        <v>2685</v>
      </c>
      <c r="J770" t="s">
        <v>2270</v>
      </c>
      <c r="K770" t="s">
        <v>2270</v>
      </c>
      <c r="L770" t="s">
        <v>386</v>
      </c>
      <c r="M770" t="s">
        <v>1193</v>
      </c>
      <c r="N770">
        <v>2685</v>
      </c>
      <c r="O770">
        <v>10</v>
      </c>
      <c r="R770" t="s">
        <v>398</v>
      </c>
      <c r="T770">
        <v>0</v>
      </c>
      <c r="V770" t="s">
        <v>1186</v>
      </c>
      <c r="Z770" t="s">
        <v>902</v>
      </c>
      <c r="AA770" t="s">
        <v>387</v>
      </c>
      <c r="AB770">
        <v>6000</v>
      </c>
      <c r="AC770">
        <v>0</v>
      </c>
      <c r="AD770" t="s">
        <v>1187</v>
      </c>
      <c r="AE770">
        <v>0</v>
      </c>
      <c r="AF770" t="s">
        <v>1188</v>
      </c>
    </row>
    <row r="771" spans="1:34" x14ac:dyDescent="0.25">
      <c r="A771">
        <v>1469</v>
      </c>
      <c r="C771" s="185"/>
      <c r="E771" t="s">
        <v>386</v>
      </c>
      <c r="F771" t="s">
        <v>2271</v>
      </c>
      <c r="G771" t="s">
        <v>1192</v>
      </c>
      <c r="I771">
        <v>2686</v>
      </c>
      <c r="J771" t="s">
        <v>2271</v>
      </c>
      <c r="K771" t="s">
        <v>2271</v>
      </c>
      <c r="L771" t="s">
        <v>386</v>
      </c>
      <c r="M771" t="s">
        <v>1193</v>
      </c>
      <c r="N771">
        <v>2686</v>
      </c>
      <c r="O771">
        <v>0</v>
      </c>
      <c r="R771" t="s">
        <v>398</v>
      </c>
      <c r="T771">
        <v>2</v>
      </c>
      <c r="V771" t="s">
        <v>1205</v>
      </c>
      <c r="Z771" t="s">
        <v>2272</v>
      </c>
      <c r="AA771" t="s">
        <v>387</v>
      </c>
      <c r="AB771">
        <v>0</v>
      </c>
      <c r="AC771">
        <v>0</v>
      </c>
      <c r="AD771" t="s">
        <v>1187</v>
      </c>
      <c r="AE771">
        <v>0</v>
      </c>
      <c r="AF771" t="s">
        <v>1188</v>
      </c>
    </row>
    <row r="772" spans="1:34" x14ac:dyDescent="0.25">
      <c r="A772">
        <v>1</v>
      </c>
      <c r="C772" s="185"/>
      <c r="E772" t="s">
        <v>386</v>
      </c>
      <c r="F772" t="s">
        <v>2273</v>
      </c>
      <c r="G772" t="s">
        <v>1192</v>
      </c>
      <c r="I772">
        <v>2687</v>
      </c>
      <c r="J772" t="s">
        <v>2273</v>
      </c>
      <c r="K772" t="s">
        <v>2273</v>
      </c>
      <c r="L772" t="s">
        <v>386</v>
      </c>
      <c r="M772" t="s">
        <v>1193</v>
      </c>
      <c r="N772">
        <v>2687</v>
      </c>
      <c r="O772">
        <v>0</v>
      </c>
      <c r="R772" t="s">
        <v>398</v>
      </c>
      <c r="T772">
        <v>2</v>
      </c>
      <c r="V772" t="s">
        <v>1205</v>
      </c>
      <c r="Z772" t="s">
        <v>865</v>
      </c>
      <c r="AA772" t="s">
        <v>387</v>
      </c>
      <c r="AB772">
        <v>0</v>
      </c>
      <c r="AC772">
        <v>0</v>
      </c>
      <c r="AD772" t="s">
        <v>1187</v>
      </c>
      <c r="AE772">
        <v>0</v>
      </c>
      <c r="AF772" t="s">
        <v>1188</v>
      </c>
    </row>
    <row r="773" spans="1:34" x14ac:dyDescent="0.25">
      <c r="A773">
        <v>1</v>
      </c>
      <c r="C773" s="185"/>
      <c r="E773" t="s">
        <v>386</v>
      </c>
      <c r="F773" t="s">
        <v>2274</v>
      </c>
      <c r="G773" t="s">
        <v>1192</v>
      </c>
      <c r="I773">
        <v>2688</v>
      </c>
      <c r="J773" t="s">
        <v>2274</v>
      </c>
      <c r="K773" t="s">
        <v>2274</v>
      </c>
      <c r="L773" t="s">
        <v>386</v>
      </c>
      <c r="M773" t="s">
        <v>1193</v>
      </c>
      <c r="N773">
        <v>2688</v>
      </c>
      <c r="O773">
        <v>0</v>
      </c>
      <c r="R773" t="s">
        <v>398</v>
      </c>
      <c r="T773">
        <v>2</v>
      </c>
      <c r="V773" t="s">
        <v>1205</v>
      </c>
      <c r="Z773" t="s">
        <v>865</v>
      </c>
      <c r="AA773" t="s">
        <v>387</v>
      </c>
      <c r="AB773">
        <v>0</v>
      </c>
      <c r="AC773">
        <v>0</v>
      </c>
      <c r="AD773" t="s">
        <v>1187</v>
      </c>
      <c r="AE773">
        <v>0</v>
      </c>
      <c r="AF773" t="s">
        <v>1188</v>
      </c>
    </row>
    <row r="774" spans="1:34" x14ac:dyDescent="0.25">
      <c r="A774">
        <v>1</v>
      </c>
      <c r="C774" s="185"/>
      <c r="E774" t="s">
        <v>386</v>
      </c>
      <c r="F774" t="s">
        <v>2275</v>
      </c>
      <c r="G774" t="s">
        <v>1192</v>
      </c>
      <c r="I774">
        <v>2689</v>
      </c>
      <c r="J774" t="s">
        <v>2275</v>
      </c>
      <c r="K774" t="s">
        <v>2276</v>
      </c>
      <c r="L774" t="s">
        <v>386</v>
      </c>
      <c r="M774" t="s">
        <v>1193</v>
      </c>
      <c r="N774">
        <v>2689</v>
      </c>
      <c r="O774">
        <v>0</v>
      </c>
      <c r="R774" t="s">
        <v>398</v>
      </c>
      <c r="T774">
        <v>2</v>
      </c>
      <c r="V774" t="s">
        <v>1205</v>
      </c>
      <c r="Z774" t="s">
        <v>865</v>
      </c>
      <c r="AA774" t="s">
        <v>387</v>
      </c>
      <c r="AB774">
        <v>0</v>
      </c>
      <c r="AC774">
        <v>0</v>
      </c>
      <c r="AD774" t="s">
        <v>1187</v>
      </c>
      <c r="AE774">
        <v>0</v>
      </c>
      <c r="AF774" t="s">
        <v>1188</v>
      </c>
    </row>
    <row r="775" spans="1:34" x14ac:dyDescent="0.25">
      <c r="A775">
        <v>1549</v>
      </c>
      <c r="C775" s="185"/>
      <c r="D775" t="s">
        <v>24</v>
      </c>
      <c r="E775" t="s">
        <v>386</v>
      </c>
      <c r="F775" t="s">
        <v>2277</v>
      </c>
      <c r="G775" t="s">
        <v>1197</v>
      </c>
      <c r="I775">
        <v>2690</v>
      </c>
      <c r="J775" t="s">
        <v>2277</v>
      </c>
      <c r="K775" t="s">
        <v>2278</v>
      </c>
      <c r="L775" t="s">
        <v>386</v>
      </c>
      <c r="M775" t="s">
        <v>1193</v>
      </c>
      <c r="N775">
        <v>2690</v>
      </c>
      <c r="O775">
        <v>56</v>
      </c>
      <c r="R775" t="s">
        <v>398</v>
      </c>
      <c r="T775">
        <v>220</v>
      </c>
      <c r="V775" t="s">
        <v>1194</v>
      </c>
      <c r="W775" t="s">
        <v>1915</v>
      </c>
      <c r="X775">
        <v>185</v>
      </c>
      <c r="Z775" t="s">
        <v>2279</v>
      </c>
      <c r="AA775" t="s">
        <v>387</v>
      </c>
      <c r="AB775">
        <v>48000</v>
      </c>
      <c r="AC775">
        <v>2591</v>
      </c>
      <c r="AD775" t="s">
        <v>2280</v>
      </c>
      <c r="AE775">
        <v>1247</v>
      </c>
      <c r="AF775" t="s">
        <v>2281</v>
      </c>
      <c r="AG775" t="s">
        <v>2282</v>
      </c>
    </row>
    <row r="776" spans="1:34" x14ac:dyDescent="0.25">
      <c r="A776">
        <v>1836</v>
      </c>
      <c r="C776" s="185"/>
      <c r="D776" t="s">
        <v>24</v>
      </c>
      <c r="E776" t="s">
        <v>386</v>
      </c>
      <c r="F776" t="s">
        <v>2283</v>
      </c>
      <c r="G776" t="s">
        <v>1192</v>
      </c>
      <c r="I776">
        <v>2691</v>
      </c>
      <c r="J776" t="s">
        <v>2283</v>
      </c>
      <c r="K776" t="s">
        <v>2284</v>
      </c>
      <c r="L776" t="s">
        <v>386</v>
      </c>
      <c r="M776" t="s">
        <v>1193</v>
      </c>
      <c r="N776">
        <v>2691</v>
      </c>
      <c r="O776">
        <v>56</v>
      </c>
      <c r="R776" t="s">
        <v>398</v>
      </c>
      <c r="T776">
        <v>220</v>
      </c>
      <c r="V776" t="s">
        <v>1194</v>
      </c>
      <c r="W776" t="s">
        <v>1216</v>
      </c>
      <c r="X776">
        <v>260</v>
      </c>
      <c r="Z776" t="s">
        <v>2285</v>
      </c>
      <c r="AA776" t="s">
        <v>387</v>
      </c>
      <c r="AB776">
        <v>48000</v>
      </c>
      <c r="AC776">
        <v>3500</v>
      </c>
      <c r="AD776" t="s">
        <v>2286</v>
      </c>
      <c r="AE776">
        <v>1626</v>
      </c>
      <c r="AF776" t="s">
        <v>2287</v>
      </c>
      <c r="AG776" t="s">
        <v>2288</v>
      </c>
    </row>
    <row r="777" spans="1:34" x14ac:dyDescent="0.25">
      <c r="A777">
        <v>1</v>
      </c>
      <c r="C777" s="185"/>
      <c r="E777" t="s">
        <v>386</v>
      </c>
      <c r="F777" t="s">
        <v>2289</v>
      </c>
      <c r="G777" t="s">
        <v>1192</v>
      </c>
      <c r="I777">
        <v>2692</v>
      </c>
      <c r="J777" t="s">
        <v>2289</v>
      </c>
      <c r="K777" t="s">
        <v>2289</v>
      </c>
      <c r="L777" t="s">
        <v>386</v>
      </c>
      <c r="M777" t="s">
        <v>1193</v>
      </c>
      <c r="N777">
        <v>2692</v>
      </c>
      <c r="O777">
        <v>0</v>
      </c>
      <c r="R777" t="s">
        <v>398</v>
      </c>
      <c r="T777">
        <v>2</v>
      </c>
      <c r="V777" t="s">
        <v>1205</v>
      </c>
      <c r="Z777" t="s">
        <v>865</v>
      </c>
      <c r="AA777" t="s">
        <v>387</v>
      </c>
      <c r="AB777">
        <v>0</v>
      </c>
      <c r="AC777">
        <v>0</v>
      </c>
      <c r="AD777" t="s">
        <v>1187</v>
      </c>
      <c r="AE777">
        <v>0</v>
      </c>
      <c r="AF777" t="s">
        <v>1188</v>
      </c>
    </row>
    <row r="778" spans="1:34" x14ac:dyDescent="0.25">
      <c r="A778">
        <v>1</v>
      </c>
      <c r="C778" s="185"/>
      <c r="E778" t="s">
        <v>386</v>
      </c>
      <c r="F778" t="s">
        <v>2290</v>
      </c>
      <c r="G778" t="s">
        <v>1192</v>
      </c>
      <c r="I778">
        <v>2693</v>
      </c>
      <c r="J778" t="s">
        <v>2290</v>
      </c>
      <c r="K778" t="s">
        <v>2290</v>
      </c>
      <c r="L778" t="s">
        <v>386</v>
      </c>
      <c r="M778" t="s">
        <v>1193</v>
      </c>
      <c r="N778">
        <v>2693</v>
      </c>
      <c r="O778">
        <v>0</v>
      </c>
      <c r="R778" t="s">
        <v>398</v>
      </c>
      <c r="T778">
        <v>2</v>
      </c>
      <c r="V778" t="s">
        <v>1205</v>
      </c>
      <c r="Z778" t="s">
        <v>865</v>
      </c>
      <c r="AA778" t="s">
        <v>387</v>
      </c>
      <c r="AB778">
        <v>0</v>
      </c>
      <c r="AC778">
        <v>0</v>
      </c>
      <c r="AD778" t="s">
        <v>1187</v>
      </c>
      <c r="AE778">
        <v>0</v>
      </c>
      <c r="AF778" t="s">
        <v>1188</v>
      </c>
    </row>
    <row r="779" spans="1:34" x14ac:dyDescent="0.25">
      <c r="A779">
        <v>1</v>
      </c>
      <c r="C779" s="185"/>
      <c r="E779" t="s">
        <v>386</v>
      </c>
      <c r="F779" t="s">
        <v>2291</v>
      </c>
      <c r="G779" t="s">
        <v>1192</v>
      </c>
      <c r="I779">
        <v>2694</v>
      </c>
      <c r="J779" t="s">
        <v>2291</v>
      </c>
      <c r="K779" t="s">
        <v>2291</v>
      </c>
      <c r="L779" t="s">
        <v>386</v>
      </c>
      <c r="M779" t="s">
        <v>1193</v>
      </c>
      <c r="N779">
        <v>2694</v>
      </c>
      <c r="O779">
        <v>0</v>
      </c>
      <c r="R779" t="s">
        <v>398</v>
      </c>
      <c r="T779">
        <v>2</v>
      </c>
      <c r="V779" t="s">
        <v>1205</v>
      </c>
      <c r="Z779" t="s">
        <v>865</v>
      </c>
      <c r="AA779" t="s">
        <v>387</v>
      </c>
      <c r="AB779">
        <v>0</v>
      </c>
      <c r="AC779">
        <v>0</v>
      </c>
      <c r="AD779" t="s">
        <v>1187</v>
      </c>
      <c r="AE779">
        <v>0</v>
      </c>
      <c r="AF779" t="s">
        <v>1188</v>
      </c>
    </row>
    <row r="780" spans="1:34" x14ac:dyDescent="0.25">
      <c r="A780">
        <v>1</v>
      </c>
      <c r="C780" s="185"/>
      <c r="E780" t="s">
        <v>386</v>
      </c>
      <c r="F780" t="s">
        <v>2292</v>
      </c>
      <c r="G780" t="s">
        <v>1192</v>
      </c>
      <c r="I780">
        <v>2695</v>
      </c>
      <c r="J780" t="s">
        <v>2292</v>
      </c>
      <c r="K780" t="s">
        <v>2292</v>
      </c>
      <c r="L780" t="s">
        <v>386</v>
      </c>
      <c r="M780" t="s">
        <v>1193</v>
      </c>
      <c r="N780">
        <v>2695</v>
      </c>
      <c r="O780">
        <v>0</v>
      </c>
      <c r="R780" t="s">
        <v>398</v>
      </c>
      <c r="T780">
        <v>2</v>
      </c>
      <c r="V780" t="s">
        <v>1205</v>
      </c>
      <c r="Z780" t="s">
        <v>865</v>
      </c>
      <c r="AA780" t="s">
        <v>387</v>
      </c>
      <c r="AB780">
        <v>0</v>
      </c>
      <c r="AC780">
        <v>0</v>
      </c>
      <c r="AD780" t="s">
        <v>1187</v>
      </c>
      <c r="AE780">
        <v>0</v>
      </c>
      <c r="AF780" t="s">
        <v>1188</v>
      </c>
    </row>
    <row r="781" spans="1:34" x14ac:dyDescent="0.25">
      <c r="A781">
        <v>205</v>
      </c>
      <c r="B781" t="s">
        <v>1313</v>
      </c>
      <c r="C781" s="185"/>
      <c r="D781" t="s">
        <v>24</v>
      </c>
      <c r="E781" t="s">
        <v>386</v>
      </c>
      <c r="F781" t="s">
        <v>119</v>
      </c>
      <c r="G781" t="s">
        <v>1197</v>
      </c>
      <c r="H781" t="s">
        <v>2141</v>
      </c>
      <c r="I781">
        <v>2696</v>
      </c>
      <c r="J781" t="s">
        <v>119</v>
      </c>
      <c r="K781" t="s">
        <v>119</v>
      </c>
      <c r="L781" t="s">
        <v>386</v>
      </c>
      <c r="M781" t="s">
        <v>1193</v>
      </c>
      <c r="N781">
        <v>2696</v>
      </c>
      <c r="O781">
        <v>56</v>
      </c>
      <c r="R781" t="s">
        <v>398</v>
      </c>
      <c r="S781" t="s">
        <v>2293</v>
      </c>
      <c r="T781">
        <v>37</v>
      </c>
      <c r="U781">
        <v>0</v>
      </c>
      <c r="V781" t="s">
        <v>15481</v>
      </c>
      <c r="W781" t="s">
        <v>1199</v>
      </c>
      <c r="X781">
        <v>200</v>
      </c>
      <c r="Y781" t="s">
        <v>1317</v>
      </c>
      <c r="Z781" t="s">
        <v>1012</v>
      </c>
      <c r="AA781" t="s">
        <v>387</v>
      </c>
      <c r="AB781">
        <v>48000</v>
      </c>
      <c r="AC781">
        <v>4921</v>
      </c>
      <c r="AD781" t="s">
        <v>2294</v>
      </c>
      <c r="AE781">
        <v>0</v>
      </c>
      <c r="AF781" t="s">
        <v>1188</v>
      </c>
      <c r="AG781" t="s">
        <v>2295</v>
      </c>
      <c r="AH781" t="s">
        <v>2296</v>
      </c>
    </row>
    <row r="782" spans="1:34" x14ac:dyDescent="0.25">
      <c r="A782">
        <v>1</v>
      </c>
      <c r="C782" s="185"/>
      <c r="E782" t="s">
        <v>386</v>
      </c>
      <c r="F782" t="s">
        <v>2297</v>
      </c>
      <c r="G782" t="s">
        <v>1192</v>
      </c>
      <c r="I782">
        <v>2697</v>
      </c>
      <c r="J782" t="s">
        <v>2297</v>
      </c>
      <c r="K782" t="s">
        <v>2297</v>
      </c>
      <c r="L782" t="s">
        <v>386</v>
      </c>
      <c r="M782" t="s">
        <v>1193</v>
      </c>
      <c r="N782">
        <v>2697</v>
      </c>
      <c r="O782">
        <v>0</v>
      </c>
      <c r="R782" t="s">
        <v>398</v>
      </c>
      <c r="T782">
        <v>2</v>
      </c>
      <c r="V782" t="s">
        <v>1205</v>
      </c>
      <c r="Z782" t="s">
        <v>865</v>
      </c>
      <c r="AA782" t="s">
        <v>387</v>
      </c>
      <c r="AB782">
        <v>0</v>
      </c>
      <c r="AC782">
        <v>0</v>
      </c>
      <c r="AD782" t="s">
        <v>1187</v>
      </c>
      <c r="AE782">
        <v>0</v>
      </c>
      <c r="AF782" t="s">
        <v>1188</v>
      </c>
    </row>
    <row r="783" spans="1:34" x14ac:dyDescent="0.25">
      <c r="A783">
        <v>153</v>
      </c>
      <c r="C783" s="185"/>
      <c r="E783" t="s">
        <v>386</v>
      </c>
      <c r="F783" t="s">
        <v>2298</v>
      </c>
      <c r="G783" t="s">
        <v>1192</v>
      </c>
      <c r="I783">
        <v>2698</v>
      </c>
      <c r="J783" t="s">
        <v>2298</v>
      </c>
      <c r="K783" t="s">
        <v>2298</v>
      </c>
      <c r="L783" t="s">
        <v>386</v>
      </c>
      <c r="M783" t="s">
        <v>1193</v>
      </c>
      <c r="N783">
        <v>2698</v>
      </c>
      <c r="O783">
        <v>0</v>
      </c>
      <c r="R783" t="s">
        <v>398</v>
      </c>
      <c r="T783">
        <v>2</v>
      </c>
      <c r="V783" t="s">
        <v>1205</v>
      </c>
      <c r="Z783" t="s">
        <v>969</v>
      </c>
      <c r="AA783" t="s">
        <v>387</v>
      </c>
      <c r="AB783">
        <v>0</v>
      </c>
      <c r="AC783">
        <v>0</v>
      </c>
      <c r="AD783" t="s">
        <v>1187</v>
      </c>
      <c r="AE783">
        <v>0</v>
      </c>
      <c r="AF783" t="s">
        <v>1188</v>
      </c>
    </row>
    <row r="784" spans="1:34" x14ac:dyDescent="0.25">
      <c r="A784">
        <v>1</v>
      </c>
      <c r="C784" s="185"/>
      <c r="E784" t="s">
        <v>386</v>
      </c>
      <c r="F784" t="s">
        <v>2299</v>
      </c>
      <c r="G784" t="s">
        <v>1192</v>
      </c>
      <c r="I784">
        <v>2699</v>
      </c>
      <c r="J784" t="s">
        <v>2299</v>
      </c>
      <c r="K784" t="s">
        <v>2299</v>
      </c>
      <c r="L784" t="s">
        <v>386</v>
      </c>
      <c r="M784" t="s">
        <v>1193</v>
      </c>
      <c r="N784">
        <v>2699</v>
      </c>
      <c r="O784">
        <v>0</v>
      </c>
      <c r="R784" t="s">
        <v>398</v>
      </c>
      <c r="T784">
        <v>2</v>
      </c>
      <c r="V784" t="s">
        <v>1205</v>
      </c>
      <c r="Z784" t="s">
        <v>865</v>
      </c>
      <c r="AA784" t="s">
        <v>387</v>
      </c>
      <c r="AB784">
        <v>0</v>
      </c>
      <c r="AC784">
        <v>0</v>
      </c>
      <c r="AD784" t="s">
        <v>1187</v>
      </c>
      <c r="AE784">
        <v>0</v>
      </c>
      <c r="AF784" t="s">
        <v>1188</v>
      </c>
    </row>
    <row r="785" spans="1:34" x14ac:dyDescent="0.25">
      <c r="A785">
        <v>151</v>
      </c>
      <c r="C785" s="185"/>
      <c r="E785" t="s">
        <v>386</v>
      </c>
      <c r="F785" t="s">
        <v>2300</v>
      </c>
      <c r="G785" t="s">
        <v>1192</v>
      </c>
      <c r="I785">
        <v>2700</v>
      </c>
      <c r="J785" t="s">
        <v>2300</v>
      </c>
      <c r="K785" t="s">
        <v>2300</v>
      </c>
      <c r="L785" t="s">
        <v>386</v>
      </c>
      <c r="M785" t="s">
        <v>1193</v>
      </c>
      <c r="N785">
        <v>2700</v>
      </c>
      <c r="O785">
        <v>10</v>
      </c>
      <c r="R785" t="s">
        <v>398</v>
      </c>
      <c r="T785">
        <v>0</v>
      </c>
      <c r="V785" t="s">
        <v>1186</v>
      </c>
      <c r="Z785" t="s">
        <v>2301</v>
      </c>
      <c r="AA785" t="s">
        <v>387</v>
      </c>
      <c r="AB785">
        <v>6000</v>
      </c>
      <c r="AC785">
        <v>0</v>
      </c>
      <c r="AD785" t="s">
        <v>1187</v>
      </c>
      <c r="AE785">
        <v>0</v>
      </c>
      <c r="AF785" t="s">
        <v>1188</v>
      </c>
    </row>
    <row r="786" spans="1:34" x14ac:dyDescent="0.25">
      <c r="A786">
        <v>39</v>
      </c>
      <c r="C786" s="185"/>
      <c r="E786" t="s">
        <v>386</v>
      </c>
      <c r="F786" t="s">
        <v>2302</v>
      </c>
      <c r="G786" t="s">
        <v>1192</v>
      </c>
      <c r="I786">
        <v>2703</v>
      </c>
      <c r="J786" t="s">
        <v>2302</v>
      </c>
      <c r="K786" t="s">
        <v>2302</v>
      </c>
      <c r="L786" t="s">
        <v>386</v>
      </c>
      <c r="M786" t="s">
        <v>1193</v>
      </c>
      <c r="N786">
        <v>2703</v>
      </c>
      <c r="O786">
        <v>44</v>
      </c>
      <c r="R786" t="s">
        <v>398</v>
      </c>
      <c r="T786">
        <v>220</v>
      </c>
      <c r="V786" t="s">
        <v>1194</v>
      </c>
      <c r="Z786" t="s">
        <v>2303</v>
      </c>
      <c r="AA786" t="s">
        <v>387</v>
      </c>
      <c r="AB786">
        <v>36000</v>
      </c>
      <c r="AC786">
        <v>0</v>
      </c>
      <c r="AD786" t="s">
        <v>1187</v>
      </c>
      <c r="AE786">
        <v>0</v>
      </c>
      <c r="AF786" t="s">
        <v>1188</v>
      </c>
    </row>
    <row r="787" spans="1:34" x14ac:dyDescent="0.25">
      <c r="A787">
        <v>1</v>
      </c>
      <c r="C787" s="185"/>
      <c r="E787" t="s">
        <v>386</v>
      </c>
      <c r="F787" t="s">
        <v>2304</v>
      </c>
      <c r="G787" t="s">
        <v>1192</v>
      </c>
      <c r="I787">
        <v>2704</v>
      </c>
      <c r="J787" t="s">
        <v>2304</v>
      </c>
      <c r="K787" t="s">
        <v>2304</v>
      </c>
      <c r="L787" t="s">
        <v>386</v>
      </c>
      <c r="M787" t="s">
        <v>1193</v>
      </c>
      <c r="N787">
        <v>2704</v>
      </c>
      <c r="O787">
        <v>0</v>
      </c>
      <c r="R787" t="s">
        <v>398</v>
      </c>
      <c r="T787">
        <v>2</v>
      </c>
      <c r="V787" t="s">
        <v>1205</v>
      </c>
      <c r="Z787" t="s">
        <v>865</v>
      </c>
      <c r="AA787" t="s">
        <v>387</v>
      </c>
      <c r="AB787">
        <v>0</v>
      </c>
      <c r="AC787">
        <v>0</v>
      </c>
      <c r="AD787" t="s">
        <v>1187</v>
      </c>
      <c r="AE787">
        <v>0</v>
      </c>
      <c r="AF787" t="s">
        <v>1188</v>
      </c>
    </row>
    <row r="788" spans="1:34" x14ac:dyDescent="0.25">
      <c r="A788">
        <v>1464</v>
      </c>
      <c r="C788" s="185"/>
      <c r="E788" t="s">
        <v>386</v>
      </c>
      <c r="F788" t="s">
        <v>2305</v>
      </c>
      <c r="G788" t="s">
        <v>1192</v>
      </c>
      <c r="I788">
        <v>2705</v>
      </c>
      <c r="J788" t="s">
        <v>2305</v>
      </c>
      <c r="K788" t="s">
        <v>2305</v>
      </c>
      <c r="L788" t="s">
        <v>386</v>
      </c>
      <c r="M788" t="s">
        <v>1193</v>
      </c>
      <c r="N788">
        <v>2705</v>
      </c>
      <c r="O788">
        <v>21</v>
      </c>
      <c r="R788" t="s">
        <v>398</v>
      </c>
      <c r="T788">
        <v>220</v>
      </c>
      <c r="V788" t="s">
        <v>1194</v>
      </c>
      <c r="W788" t="s">
        <v>1186</v>
      </c>
      <c r="X788">
        <v>0</v>
      </c>
      <c r="Z788" t="s">
        <v>872</v>
      </c>
      <c r="AA788" t="s">
        <v>387</v>
      </c>
      <c r="AB788">
        <v>15000</v>
      </c>
      <c r="AC788">
        <v>0</v>
      </c>
      <c r="AD788" t="s">
        <v>1187</v>
      </c>
      <c r="AE788">
        <v>0</v>
      </c>
      <c r="AF788" t="s">
        <v>1188</v>
      </c>
    </row>
    <row r="789" spans="1:34" x14ac:dyDescent="0.25">
      <c r="A789">
        <v>1411</v>
      </c>
      <c r="C789" s="185"/>
      <c r="E789" t="s">
        <v>386</v>
      </c>
      <c r="F789" t="s">
        <v>2306</v>
      </c>
      <c r="G789" t="s">
        <v>1192</v>
      </c>
      <c r="I789">
        <v>2707</v>
      </c>
      <c r="J789" t="s">
        <v>2306</v>
      </c>
      <c r="K789" t="s">
        <v>2306</v>
      </c>
      <c r="L789" t="s">
        <v>386</v>
      </c>
      <c r="M789" t="s">
        <v>1193</v>
      </c>
      <c r="N789">
        <v>2707</v>
      </c>
      <c r="O789">
        <v>10</v>
      </c>
      <c r="R789" t="s">
        <v>398</v>
      </c>
      <c r="T789">
        <v>0</v>
      </c>
      <c r="V789" t="s">
        <v>1186</v>
      </c>
      <c r="Z789" t="s">
        <v>1086</v>
      </c>
      <c r="AA789" t="s">
        <v>387</v>
      </c>
      <c r="AB789">
        <v>6000</v>
      </c>
      <c r="AC789">
        <v>0</v>
      </c>
      <c r="AD789" t="s">
        <v>1187</v>
      </c>
      <c r="AE789">
        <v>0</v>
      </c>
      <c r="AF789" t="s">
        <v>1188</v>
      </c>
    </row>
    <row r="790" spans="1:34" x14ac:dyDescent="0.25">
      <c r="A790">
        <v>1</v>
      </c>
      <c r="C790" s="185"/>
      <c r="E790" t="s">
        <v>386</v>
      </c>
      <c r="F790" t="s">
        <v>2307</v>
      </c>
      <c r="G790" t="s">
        <v>1192</v>
      </c>
      <c r="I790">
        <v>2708</v>
      </c>
      <c r="J790" t="s">
        <v>2307</v>
      </c>
      <c r="K790" t="s">
        <v>2307</v>
      </c>
      <c r="L790" t="s">
        <v>386</v>
      </c>
      <c r="M790" t="s">
        <v>1193</v>
      </c>
      <c r="N790">
        <v>2708</v>
      </c>
      <c r="O790">
        <v>0</v>
      </c>
      <c r="R790" t="s">
        <v>398</v>
      </c>
      <c r="T790">
        <v>2</v>
      </c>
      <c r="V790" t="s">
        <v>1205</v>
      </c>
      <c r="Z790" t="s">
        <v>865</v>
      </c>
      <c r="AA790" t="s">
        <v>387</v>
      </c>
      <c r="AB790">
        <v>0</v>
      </c>
      <c r="AC790">
        <v>0</v>
      </c>
      <c r="AD790" t="s">
        <v>1187</v>
      </c>
      <c r="AE790">
        <v>0</v>
      </c>
      <c r="AF790" t="s">
        <v>1188</v>
      </c>
    </row>
    <row r="791" spans="1:34" x14ac:dyDescent="0.25">
      <c r="A791">
        <v>1</v>
      </c>
      <c r="C791" s="185"/>
      <c r="E791" t="s">
        <v>386</v>
      </c>
      <c r="F791" t="s">
        <v>2308</v>
      </c>
      <c r="G791" t="s">
        <v>1192</v>
      </c>
      <c r="I791">
        <v>2709</v>
      </c>
      <c r="J791" t="s">
        <v>2308</v>
      </c>
      <c r="K791" t="s">
        <v>2308</v>
      </c>
      <c r="L791" t="s">
        <v>386</v>
      </c>
      <c r="M791" t="s">
        <v>1193</v>
      </c>
      <c r="N791">
        <v>2709</v>
      </c>
      <c r="O791">
        <v>13</v>
      </c>
      <c r="R791" t="s">
        <v>398</v>
      </c>
      <c r="T791">
        <v>2</v>
      </c>
      <c r="V791" t="s">
        <v>1205</v>
      </c>
      <c r="Z791" t="s">
        <v>865</v>
      </c>
      <c r="AA791" t="s">
        <v>387</v>
      </c>
      <c r="AB791">
        <v>8000</v>
      </c>
      <c r="AC791">
        <v>0</v>
      </c>
      <c r="AD791" t="s">
        <v>1187</v>
      </c>
      <c r="AE791">
        <v>0</v>
      </c>
      <c r="AF791" t="s">
        <v>1188</v>
      </c>
    </row>
    <row r="792" spans="1:34" x14ac:dyDescent="0.25">
      <c r="A792">
        <v>1</v>
      </c>
      <c r="C792" s="185"/>
      <c r="E792" t="s">
        <v>386</v>
      </c>
      <c r="F792" t="s">
        <v>2309</v>
      </c>
      <c r="G792" t="s">
        <v>1192</v>
      </c>
      <c r="I792">
        <v>2710</v>
      </c>
      <c r="J792" t="s">
        <v>2309</v>
      </c>
      <c r="K792" t="s">
        <v>2309</v>
      </c>
      <c r="L792" t="s">
        <v>386</v>
      </c>
      <c r="M792" t="s">
        <v>1193</v>
      </c>
      <c r="N792">
        <v>2710</v>
      </c>
      <c r="O792">
        <v>11</v>
      </c>
      <c r="R792" t="s">
        <v>398</v>
      </c>
      <c r="T792">
        <v>0</v>
      </c>
      <c r="V792" t="s">
        <v>1186</v>
      </c>
      <c r="Z792" t="s">
        <v>865</v>
      </c>
      <c r="AA792" t="s">
        <v>387</v>
      </c>
      <c r="AB792">
        <v>7000</v>
      </c>
      <c r="AC792">
        <v>0</v>
      </c>
      <c r="AD792" t="s">
        <v>1187</v>
      </c>
      <c r="AE792">
        <v>0</v>
      </c>
      <c r="AF792" t="s">
        <v>1188</v>
      </c>
    </row>
    <row r="793" spans="1:34" x14ac:dyDescent="0.25">
      <c r="A793">
        <v>1</v>
      </c>
      <c r="C793" s="185"/>
      <c r="E793" t="s">
        <v>386</v>
      </c>
      <c r="F793" t="s">
        <v>2310</v>
      </c>
      <c r="G793" t="s">
        <v>1192</v>
      </c>
      <c r="I793">
        <v>2711</v>
      </c>
      <c r="J793" t="s">
        <v>2310</v>
      </c>
      <c r="K793" t="s">
        <v>2310</v>
      </c>
      <c r="L793" t="s">
        <v>386</v>
      </c>
      <c r="M793" t="s">
        <v>1193</v>
      </c>
      <c r="N793">
        <v>2711</v>
      </c>
      <c r="O793">
        <v>21</v>
      </c>
      <c r="R793" t="s">
        <v>398</v>
      </c>
      <c r="T793">
        <v>220</v>
      </c>
      <c r="V793" t="s">
        <v>1194</v>
      </c>
      <c r="W793" t="s">
        <v>1186</v>
      </c>
      <c r="X793">
        <v>0</v>
      </c>
      <c r="Z793" t="s">
        <v>865</v>
      </c>
      <c r="AA793" t="s">
        <v>387</v>
      </c>
      <c r="AB793">
        <v>15000</v>
      </c>
      <c r="AC793">
        <v>0</v>
      </c>
      <c r="AD793" t="s">
        <v>1187</v>
      </c>
      <c r="AE793">
        <v>0</v>
      </c>
      <c r="AF793" t="s">
        <v>1188</v>
      </c>
    </row>
    <row r="794" spans="1:34" x14ac:dyDescent="0.25">
      <c r="A794">
        <v>1</v>
      </c>
      <c r="C794" s="185"/>
      <c r="E794" t="s">
        <v>386</v>
      </c>
      <c r="F794" t="s">
        <v>2311</v>
      </c>
      <c r="G794" t="s">
        <v>1192</v>
      </c>
      <c r="I794">
        <v>2712</v>
      </c>
      <c r="J794" t="s">
        <v>2311</v>
      </c>
      <c r="K794" t="s">
        <v>2311</v>
      </c>
      <c r="L794" t="s">
        <v>386</v>
      </c>
      <c r="M794" t="s">
        <v>1193</v>
      </c>
      <c r="N794">
        <v>2712</v>
      </c>
      <c r="O794">
        <v>21</v>
      </c>
      <c r="R794" t="s">
        <v>398</v>
      </c>
      <c r="T794">
        <v>0</v>
      </c>
      <c r="V794" t="s">
        <v>1186</v>
      </c>
      <c r="Z794" t="s">
        <v>865</v>
      </c>
      <c r="AA794" t="s">
        <v>387</v>
      </c>
      <c r="AB794">
        <v>15000</v>
      </c>
      <c r="AC794">
        <v>0</v>
      </c>
      <c r="AD794" t="s">
        <v>1187</v>
      </c>
      <c r="AE794">
        <v>0</v>
      </c>
      <c r="AF794" t="s">
        <v>1188</v>
      </c>
    </row>
    <row r="795" spans="1:34" x14ac:dyDescent="0.25">
      <c r="A795">
        <v>1135</v>
      </c>
      <c r="C795" s="185"/>
      <c r="E795" t="s">
        <v>386</v>
      </c>
      <c r="F795" t="s">
        <v>2312</v>
      </c>
      <c r="G795" t="s">
        <v>1192</v>
      </c>
      <c r="I795">
        <v>2713</v>
      </c>
      <c r="J795" t="s">
        <v>2312</v>
      </c>
      <c r="K795" t="s">
        <v>2312</v>
      </c>
      <c r="L795" t="s">
        <v>386</v>
      </c>
      <c r="M795" t="s">
        <v>1193</v>
      </c>
      <c r="N795">
        <v>2713</v>
      </c>
      <c r="O795">
        <v>10</v>
      </c>
      <c r="R795" t="s">
        <v>398</v>
      </c>
      <c r="T795">
        <v>0</v>
      </c>
      <c r="V795" t="s">
        <v>1186</v>
      </c>
      <c r="Z795" t="s">
        <v>2313</v>
      </c>
      <c r="AA795" t="s">
        <v>387</v>
      </c>
      <c r="AB795">
        <v>6000</v>
      </c>
      <c r="AC795">
        <v>0</v>
      </c>
      <c r="AD795" t="s">
        <v>1187</v>
      </c>
      <c r="AE795">
        <v>0</v>
      </c>
      <c r="AF795" t="s">
        <v>1188</v>
      </c>
    </row>
    <row r="796" spans="1:34" x14ac:dyDescent="0.25">
      <c r="A796">
        <v>1</v>
      </c>
      <c r="C796" s="185"/>
      <c r="E796" t="s">
        <v>386</v>
      </c>
      <c r="F796" t="s">
        <v>2314</v>
      </c>
      <c r="G796" t="s">
        <v>1192</v>
      </c>
      <c r="I796">
        <v>2714</v>
      </c>
      <c r="J796" t="s">
        <v>2314</v>
      </c>
      <c r="K796" t="s">
        <v>2314</v>
      </c>
      <c r="L796" t="s">
        <v>386</v>
      </c>
      <c r="M796" t="s">
        <v>1193</v>
      </c>
      <c r="N796">
        <v>2714</v>
      </c>
      <c r="O796">
        <v>0</v>
      </c>
      <c r="R796" t="s">
        <v>398</v>
      </c>
      <c r="T796">
        <v>65</v>
      </c>
      <c r="V796" t="s">
        <v>2315</v>
      </c>
      <c r="Z796" t="s">
        <v>865</v>
      </c>
      <c r="AA796" t="s">
        <v>387</v>
      </c>
      <c r="AB796">
        <v>0</v>
      </c>
      <c r="AC796">
        <v>0</v>
      </c>
      <c r="AD796" t="s">
        <v>1187</v>
      </c>
      <c r="AE796">
        <v>0</v>
      </c>
      <c r="AF796" t="s">
        <v>1188</v>
      </c>
    </row>
    <row r="797" spans="1:34" x14ac:dyDescent="0.25">
      <c r="A797">
        <v>1</v>
      </c>
      <c r="C797" s="185"/>
      <c r="E797" t="s">
        <v>386</v>
      </c>
      <c r="F797" t="s">
        <v>2316</v>
      </c>
      <c r="G797" t="s">
        <v>1192</v>
      </c>
      <c r="I797">
        <v>2715</v>
      </c>
      <c r="J797" t="s">
        <v>2316</v>
      </c>
      <c r="K797" t="s">
        <v>2316</v>
      </c>
      <c r="L797" t="s">
        <v>386</v>
      </c>
      <c r="M797" t="s">
        <v>1193</v>
      </c>
      <c r="N797">
        <v>2715</v>
      </c>
      <c r="O797">
        <v>10</v>
      </c>
      <c r="R797" t="s">
        <v>398</v>
      </c>
      <c r="T797">
        <v>0</v>
      </c>
      <c r="V797" t="s">
        <v>1186</v>
      </c>
      <c r="Z797" t="s">
        <v>865</v>
      </c>
      <c r="AA797" t="s">
        <v>387</v>
      </c>
      <c r="AB797">
        <v>6000</v>
      </c>
      <c r="AC797">
        <v>0</v>
      </c>
      <c r="AD797" t="s">
        <v>1187</v>
      </c>
      <c r="AE797">
        <v>0</v>
      </c>
      <c r="AF797" t="s">
        <v>1188</v>
      </c>
    </row>
    <row r="798" spans="1:34" x14ac:dyDescent="0.25">
      <c r="A798">
        <v>1408</v>
      </c>
      <c r="C798" s="185"/>
      <c r="E798" t="s">
        <v>386</v>
      </c>
      <c r="F798" t="s">
        <v>2317</v>
      </c>
      <c r="G798" t="s">
        <v>1192</v>
      </c>
      <c r="I798">
        <v>2716</v>
      </c>
      <c r="J798" t="s">
        <v>2317</v>
      </c>
      <c r="K798" t="s">
        <v>2317</v>
      </c>
      <c r="L798" t="s">
        <v>386</v>
      </c>
      <c r="M798" t="s">
        <v>1193</v>
      </c>
      <c r="N798">
        <v>2716</v>
      </c>
      <c r="O798">
        <v>0</v>
      </c>
      <c r="R798" t="s">
        <v>398</v>
      </c>
      <c r="T798">
        <v>220</v>
      </c>
      <c r="V798" t="s">
        <v>1194</v>
      </c>
      <c r="W798" t="s">
        <v>1194</v>
      </c>
      <c r="X798">
        <v>220</v>
      </c>
      <c r="Z798" t="s">
        <v>1036</v>
      </c>
      <c r="AA798" t="s">
        <v>387</v>
      </c>
      <c r="AB798">
        <v>0</v>
      </c>
      <c r="AC798">
        <v>0</v>
      </c>
      <c r="AD798" t="s">
        <v>1187</v>
      </c>
      <c r="AE798">
        <v>0</v>
      </c>
      <c r="AF798" t="s">
        <v>1188</v>
      </c>
    </row>
    <row r="799" spans="1:34" x14ac:dyDescent="0.25">
      <c r="A799">
        <v>1468</v>
      </c>
      <c r="C799" s="185"/>
      <c r="D799" t="s">
        <v>24</v>
      </c>
      <c r="E799" t="s">
        <v>386</v>
      </c>
      <c r="F799" t="s">
        <v>2318</v>
      </c>
      <c r="G799" t="s">
        <v>1192</v>
      </c>
      <c r="I799">
        <v>2726</v>
      </c>
      <c r="J799" t="s">
        <v>2318</v>
      </c>
      <c r="K799" t="s">
        <v>2319</v>
      </c>
      <c r="L799" t="s">
        <v>386</v>
      </c>
      <c r="M799" t="s">
        <v>1193</v>
      </c>
      <c r="N799">
        <v>2726</v>
      </c>
      <c r="O799">
        <v>37</v>
      </c>
      <c r="R799" t="s">
        <v>398</v>
      </c>
      <c r="T799">
        <v>220</v>
      </c>
      <c r="V799" t="s">
        <v>1194</v>
      </c>
      <c r="W799" t="s">
        <v>1194</v>
      </c>
      <c r="X799">
        <v>220</v>
      </c>
      <c r="Z799" t="s">
        <v>946</v>
      </c>
      <c r="AA799" t="s">
        <v>387</v>
      </c>
      <c r="AB799">
        <v>29000</v>
      </c>
      <c r="AC799">
        <v>3257</v>
      </c>
      <c r="AD799" t="s">
        <v>1900</v>
      </c>
      <c r="AE799">
        <v>1529</v>
      </c>
      <c r="AF799" t="s">
        <v>1901</v>
      </c>
      <c r="AG799" t="s">
        <v>1902</v>
      </c>
    </row>
    <row r="800" spans="1:34" x14ac:dyDescent="0.25">
      <c r="A800">
        <v>1468</v>
      </c>
      <c r="B800" t="s">
        <v>1313</v>
      </c>
      <c r="C800" s="185"/>
      <c r="E800" t="s">
        <v>386</v>
      </c>
      <c r="F800" t="s">
        <v>479</v>
      </c>
      <c r="G800" t="s">
        <v>1903</v>
      </c>
      <c r="I800">
        <v>2727</v>
      </c>
      <c r="J800" t="s">
        <v>479</v>
      </c>
      <c r="K800" t="s">
        <v>136</v>
      </c>
      <c r="L800" t="s">
        <v>386</v>
      </c>
      <c r="M800" t="s">
        <v>1193</v>
      </c>
      <c r="N800">
        <v>2727</v>
      </c>
      <c r="O800">
        <v>37</v>
      </c>
      <c r="R800" t="s">
        <v>398</v>
      </c>
      <c r="S800" t="s">
        <v>1909</v>
      </c>
      <c r="T800">
        <v>220</v>
      </c>
      <c r="U800">
        <v>0</v>
      </c>
      <c r="V800" t="s">
        <v>1194</v>
      </c>
      <c r="W800" t="s">
        <v>1199</v>
      </c>
      <c r="X800">
        <v>200</v>
      </c>
      <c r="Y800" t="s">
        <v>1317</v>
      </c>
      <c r="Z800" t="s">
        <v>946</v>
      </c>
      <c r="AA800" t="s">
        <v>387</v>
      </c>
      <c r="AB800">
        <v>29000</v>
      </c>
      <c r="AC800">
        <v>1895</v>
      </c>
      <c r="AD800" t="s">
        <v>2320</v>
      </c>
      <c r="AE800">
        <v>0</v>
      </c>
      <c r="AF800" t="s">
        <v>1188</v>
      </c>
      <c r="AG800" t="s">
        <v>1931</v>
      </c>
      <c r="AH800" t="s">
        <v>2321</v>
      </c>
    </row>
    <row r="801" spans="1:34" x14ac:dyDescent="0.25">
      <c r="A801">
        <v>1468</v>
      </c>
      <c r="C801" s="185"/>
      <c r="D801" t="s">
        <v>24</v>
      </c>
      <c r="E801" t="s">
        <v>386</v>
      </c>
      <c r="F801" t="s">
        <v>2322</v>
      </c>
      <c r="G801" t="s">
        <v>1192</v>
      </c>
      <c r="I801">
        <v>2729</v>
      </c>
      <c r="J801" t="s">
        <v>2322</v>
      </c>
      <c r="K801" t="s">
        <v>2323</v>
      </c>
      <c r="L801" t="s">
        <v>386</v>
      </c>
      <c r="M801" t="s">
        <v>1193</v>
      </c>
      <c r="N801">
        <v>2729</v>
      </c>
      <c r="O801">
        <v>37</v>
      </c>
      <c r="R801" t="s">
        <v>398</v>
      </c>
      <c r="T801">
        <v>220</v>
      </c>
      <c r="V801" t="s">
        <v>1194</v>
      </c>
      <c r="W801" t="s">
        <v>1194</v>
      </c>
      <c r="X801">
        <v>220</v>
      </c>
      <c r="Z801" t="s">
        <v>946</v>
      </c>
      <c r="AA801" t="s">
        <v>387</v>
      </c>
      <c r="AB801">
        <v>29000</v>
      </c>
      <c r="AC801">
        <v>4124</v>
      </c>
      <c r="AD801" t="s">
        <v>2324</v>
      </c>
      <c r="AE801">
        <v>0</v>
      </c>
      <c r="AF801" t="s">
        <v>1188</v>
      </c>
    </row>
    <row r="802" spans="1:34" x14ac:dyDescent="0.25">
      <c r="A802">
        <v>1</v>
      </c>
      <c r="C802" s="185"/>
      <c r="E802" t="s">
        <v>386</v>
      </c>
      <c r="F802" t="s">
        <v>2325</v>
      </c>
      <c r="G802" t="s">
        <v>1192</v>
      </c>
      <c r="I802">
        <v>2755</v>
      </c>
      <c r="J802" t="s">
        <v>2325</v>
      </c>
      <c r="K802" t="s">
        <v>2325</v>
      </c>
      <c r="L802" t="s">
        <v>386</v>
      </c>
      <c r="M802" t="s">
        <v>1184</v>
      </c>
      <c r="N802">
        <v>2755</v>
      </c>
      <c r="O802">
        <v>0</v>
      </c>
      <c r="T802">
        <v>52</v>
      </c>
      <c r="V802" t="s">
        <v>2024</v>
      </c>
      <c r="Z802" t="s">
        <v>865</v>
      </c>
      <c r="AA802" t="s">
        <v>387</v>
      </c>
      <c r="AB802">
        <v>0</v>
      </c>
      <c r="AC802">
        <v>0</v>
      </c>
      <c r="AD802" t="s">
        <v>1187</v>
      </c>
      <c r="AE802">
        <v>0</v>
      </c>
      <c r="AF802" t="s">
        <v>1188</v>
      </c>
    </row>
    <row r="803" spans="1:34" x14ac:dyDescent="0.25">
      <c r="A803">
        <v>1408</v>
      </c>
      <c r="C803" s="185"/>
      <c r="E803" t="s">
        <v>386</v>
      </c>
      <c r="F803" t="s">
        <v>2326</v>
      </c>
      <c r="G803" t="s">
        <v>1197</v>
      </c>
      <c r="I803">
        <v>2770</v>
      </c>
      <c r="J803" t="s">
        <v>2326</v>
      </c>
      <c r="K803" t="s">
        <v>2326</v>
      </c>
      <c r="L803" t="s">
        <v>386</v>
      </c>
      <c r="M803" t="s">
        <v>1193</v>
      </c>
      <c r="N803">
        <v>2770</v>
      </c>
      <c r="O803">
        <v>0</v>
      </c>
      <c r="T803">
        <v>52</v>
      </c>
      <c r="V803" t="s">
        <v>2024</v>
      </c>
      <c r="Z803" t="s">
        <v>1036</v>
      </c>
      <c r="AA803" t="s">
        <v>387</v>
      </c>
      <c r="AB803">
        <v>0</v>
      </c>
      <c r="AC803">
        <v>1876</v>
      </c>
      <c r="AD803" t="s">
        <v>2327</v>
      </c>
      <c r="AE803">
        <v>916</v>
      </c>
      <c r="AF803" t="s">
        <v>1982</v>
      </c>
      <c r="AG803" t="s">
        <v>2328</v>
      </c>
    </row>
    <row r="804" spans="1:34" x14ac:dyDescent="0.25">
      <c r="A804">
        <v>1474</v>
      </c>
      <c r="C804" s="185"/>
      <c r="E804" t="s">
        <v>386</v>
      </c>
      <c r="F804" t="s">
        <v>2329</v>
      </c>
      <c r="G804" t="s">
        <v>1197</v>
      </c>
      <c r="I804">
        <v>2780</v>
      </c>
      <c r="J804" t="s">
        <v>2329</v>
      </c>
      <c r="K804" t="s">
        <v>2329</v>
      </c>
      <c r="L804" t="s">
        <v>386</v>
      </c>
      <c r="M804" t="s">
        <v>1193</v>
      </c>
      <c r="N804">
        <v>2780</v>
      </c>
      <c r="O804">
        <v>0</v>
      </c>
      <c r="T804">
        <v>52</v>
      </c>
      <c r="V804" t="s">
        <v>2024</v>
      </c>
      <c r="Z804" t="s">
        <v>2330</v>
      </c>
      <c r="AA804" t="s">
        <v>387</v>
      </c>
      <c r="AB804">
        <v>0</v>
      </c>
      <c r="AC804">
        <v>1879</v>
      </c>
      <c r="AD804" t="s">
        <v>2331</v>
      </c>
      <c r="AE804">
        <v>919</v>
      </c>
      <c r="AF804" t="s">
        <v>2332</v>
      </c>
      <c r="AG804" t="s">
        <v>1244</v>
      </c>
    </row>
    <row r="805" spans="1:34" x14ac:dyDescent="0.25">
      <c r="A805">
        <v>1476</v>
      </c>
      <c r="C805" s="185"/>
      <c r="E805" t="s">
        <v>386</v>
      </c>
      <c r="F805" t="s">
        <v>2333</v>
      </c>
      <c r="G805" t="s">
        <v>1197</v>
      </c>
      <c r="I805">
        <v>2786</v>
      </c>
      <c r="J805" t="s">
        <v>2333</v>
      </c>
      <c r="K805" t="s">
        <v>2333</v>
      </c>
      <c r="L805" t="s">
        <v>386</v>
      </c>
      <c r="M805" t="s">
        <v>1193</v>
      </c>
      <c r="N805">
        <v>2786</v>
      </c>
      <c r="O805">
        <v>0</v>
      </c>
      <c r="T805">
        <v>52</v>
      </c>
      <c r="V805" t="s">
        <v>2024</v>
      </c>
      <c r="Z805" t="s">
        <v>2334</v>
      </c>
      <c r="AA805" t="s">
        <v>387</v>
      </c>
      <c r="AB805">
        <v>0</v>
      </c>
      <c r="AC805">
        <v>1881</v>
      </c>
      <c r="AD805" t="s">
        <v>2335</v>
      </c>
      <c r="AE805">
        <v>0</v>
      </c>
      <c r="AF805" t="s">
        <v>1188</v>
      </c>
      <c r="AG805" t="s">
        <v>2336</v>
      </c>
      <c r="AH805" t="s">
        <v>2337</v>
      </c>
    </row>
    <row r="806" spans="1:34" x14ac:dyDescent="0.25">
      <c r="A806">
        <v>1477</v>
      </c>
      <c r="C806" s="185"/>
      <c r="D806" t="s">
        <v>24</v>
      </c>
      <c r="E806" t="s">
        <v>386</v>
      </c>
      <c r="F806" t="s">
        <v>2338</v>
      </c>
      <c r="G806" t="s">
        <v>1903</v>
      </c>
      <c r="I806">
        <v>2787</v>
      </c>
      <c r="J806" t="s">
        <v>2338</v>
      </c>
      <c r="K806" t="s">
        <v>2338</v>
      </c>
      <c r="L806" t="s">
        <v>386</v>
      </c>
      <c r="M806" t="s">
        <v>1193</v>
      </c>
      <c r="N806">
        <v>2787</v>
      </c>
      <c r="O806">
        <v>0</v>
      </c>
      <c r="T806">
        <v>200</v>
      </c>
      <c r="V806" t="s">
        <v>1199</v>
      </c>
      <c r="Z806" t="s">
        <v>2339</v>
      </c>
      <c r="AA806" t="s">
        <v>387</v>
      </c>
      <c r="AB806">
        <v>29000</v>
      </c>
      <c r="AC806">
        <v>1882</v>
      </c>
      <c r="AD806" t="s">
        <v>2340</v>
      </c>
      <c r="AE806">
        <v>0</v>
      </c>
      <c r="AF806" t="s">
        <v>1188</v>
      </c>
      <c r="AG806" t="s">
        <v>2341</v>
      </c>
    </row>
    <row r="807" spans="1:34" x14ac:dyDescent="0.25">
      <c r="A807">
        <v>1</v>
      </c>
      <c r="C807" s="185"/>
      <c r="E807" t="s">
        <v>386</v>
      </c>
      <c r="F807" t="s">
        <v>2342</v>
      </c>
      <c r="G807" t="s">
        <v>1192</v>
      </c>
      <c r="H807" t="s">
        <v>2343</v>
      </c>
      <c r="I807">
        <v>2788</v>
      </c>
      <c r="J807" t="s">
        <v>2342</v>
      </c>
      <c r="K807" t="s">
        <v>2342</v>
      </c>
      <c r="L807" t="s">
        <v>386</v>
      </c>
      <c r="M807" t="s">
        <v>1184</v>
      </c>
      <c r="N807">
        <v>2788</v>
      </c>
      <c r="O807">
        <v>0</v>
      </c>
      <c r="R807" t="s">
        <v>1208</v>
      </c>
      <c r="T807">
        <v>115</v>
      </c>
      <c r="V807" t="s">
        <v>2344</v>
      </c>
      <c r="Z807" t="s">
        <v>865</v>
      </c>
      <c r="AA807" t="s">
        <v>387</v>
      </c>
      <c r="AB807">
        <v>0</v>
      </c>
      <c r="AC807">
        <v>0</v>
      </c>
      <c r="AD807" t="s">
        <v>1187</v>
      </c>
      <c r="AE807">
        <v>0</v>
      </c>
      <c r="AF807" t="s">
        <v>1188</v>
      </c>
    </row>
    <row r="808" spans="1:34" x14ac:dyDescent="0.25">
      <c r="A808">
        <v>1</v>
      </c>
      <c r="C808" s="185"/>
      <c r="E808" t="s">
        <v>386</v>
      </c>
      <c r="F808" t="s">
        <v>2345</v>
      </c>
      <c r="G808" t="s">
        <v>1192</v>
      </c>
      <c r="I808">
        <v>2789</v>
      </c>
      <c r="J808" t="s">
        <v>2345</v>
      </c>
      <c r="K808" t="s">
        <v>2345</v>
      </c>
      <c r="L808" t="s">
        <v>386</v>
      </c>
      <c r="M808" t="s">
        <v>1184</v>
      </c>
      <c r="N808">
        <v>2789</v>
      </c>
      <c r="O808">
        <v>0</v>
      </c>
      <c r="R808" t="s">
        <v>1208</v>
      </c>
      <c r="T808">
        <v>2</v>
      </c>
      <c r="V808" t="s">
        <v>1205</v>
      </c>
      <c r="Z808" t="s">
        <v>865</v>
      </c>
      <c r="AA808" t="s">
        <v>387</v>
      </c>
      <c r="AB808">
        <v>0</v>
      </c>
      <c r="AC808">
        <v>0</v>
      </c>
      <c r="AD808" t="s">
        <v>1187</v>
      </c>
      <c r="AE808">
        <v>0</v>
      </c>
      <c r="AF808" t="s">
        <v>1188</v>
      </c>
    </row>
    <row r="809" spans="1:34" x14ac:dyDescent="0.25">
      <c r="A809">
        <v>1480</v>
      </c>
      <c r="C809" s="185"/>
      <c r="E809" t="s">
        <v>386</v>
      </c>
      <c r="F809" t="s">
        <v>2346</v>
      </c>
      <c r="G809" t="s">
        <v>1192</v>
      </c>
      <c r="I809">
        <v>2804</v>
      </c>
      <c r="J809" t="s">
        <v>2346</v>
      </c>
      <c r="K809" t="s">
        <v>2346</v>
      </c>
      <c r="L809" t="s">
        <v>386</v>
      </c>
      <c r="M809" t="s">
        <v>1193</v>
      </c>
      <c r="N809">
        <v>2804</v>
      </c>
      <c r="O809">
        <v>0</v>
      </c>
      <c r="R809" t="s">
        <v>398</v>
      </c>
      <c r="T809">
        <v>52</v>
      </c>
      <c r="V809" t="s">
        <v>2024</v>
      </c>
      <c r="Z809" t="s">
        <v>2347</v>
      </c>
      <c r="AA809" t="s">
        <v>387</v>
      </c>
      <c r="AB809">
        <v>0</v>
      </c>
      <c r="AC809">
        <v>0</v>
      </c>
      <c r="AD809" t="s">
        <v>1187</v>
      </c>
      <c r="AE809">
        <v>0</v>
      </c>
      <c r="AF809" t="s">
        <v>1188</v>
      </c>
    </row>
    <row r="810" spans="1:34" x14ac:dyDescent="0.25">
      <c r="A810">
        <v>1426</v>
      </c>
      <c r="C810" s="185"/>
      <c r="E810" t="s">
        <v>386</v>
      </c>
      <c r="F810" t="s">
        <v>2348</v>
      </c>
      <c r="G810" t="s">
        <v>1197</v>
      </c>
      <c r="I810">
        <v>2834</v>
      </c>
      <c r="J810" t="s">
        <v>2348</v>
      </c>
      <c r="K810" t="s">
        <v>2349</v>
      </c>
      <c r="L810" t="s">
        <v>386</v>
      </c>
      <c r="M810" t="s">
        <v>1193</v>
      </c>
      <c r="N810">
        <v>2834</v>
      </c>
      <c r="O810">
        <v>56</v>
      </c>
      <c r="T810">
        <v>220</v>
      </c>
      <c r="V810" t="s">
        <v>1194</v>
      </c>
      <c r="W810" t="s">
        <v>1194</v>
      </c>
      <c r="X810">
        <v>220</v>
      </c>
      <c r="Z810" t="s">
        <v>1033</v>
      </c>
      <c r="AA810" t="s">
        <v>387</v>
      </c>
      <c r="AB810">
        <v>48000</v>
      </c>
      <c r="AC810">
        <v>1903</v>
      </c>
      <c r="AD810" t="s">
        <v>2350</v>
      </c>
      <c r="AE810">
        <v>939</v>
      </c>
      <c r="AF810" t="s">
        <v>2351</v>
      </c>
      <c r="AG810" t="s">
        <v>2352</v>
      </c>
      <c r="AH810" t="s">
        <v>2353</v>
      </c>
    </row>
    <row r="811" spans="1:34" x14ac:dyDescent="0.25">
      <c r="A811">
        <v>1</v>
      </c>
      <c r="C811" s="185"/>
      <c r="E811" t="s">
        <v>386</v>
      </c>
      <c r="F811" t="s">
        <v>2354</v>
      </c>
      <c r="G811" t="s">
        <v>1192</v>
      </c>
      <c r="H811" t="s">
        <v>2355</v>
      </c>
      <c r="I811">
        <v>2852</v>
      </c>
      <c r="J811" t="s">
        <v>2354</v>
      </c>
      <c r="K811" t="s">
        <v>2356</v>
      </c>
      <c r="L811" t="s">
        <v>386</v>
      </c>
      <c r="M811" t="s">
        <v>1193</v>
      </c>
      <c r="N811">
        <v>2852</v>
      </c>
      <c r="O811">
        <v>0</v>
      </c>
      <c r="T811">
        <v>2</v>
      </c>
      <c r="V811" t="s">
        <v>1205</v>
      </c>
      <c r="Z811" t="s">
        <v>865</v>
      </c>
      <c r="AA811" t="s">
        <v>387</v>
      </c>
      <c r="AB811">
        <v>0</v>
      </c>
      <c r="AC811">
        <v>1918</v>
      </c>
      <c r="AD811" t="s">
        <v>2357</v>
      </c>
      <c r="AE811">
        <v>377</v>
      </c>
      <c r="AF811" t="s">
        <v>2358</v>
      </c>
      <c r="AG811" t="s">
        <v>2359</v>
      </c>
    </row>
    <row r="812" spans="1:34" x14ac:dyDescent="0.25">
      <c r="A812">
        <v>1485</v>
      </c>
      <c r="C812" s="185"/>
      <c r="E812" t="s">
        <v>386</v>
      </c>
      <c r="F812" t="s">
        <v>2360</v>
      </c>
      <c r="G812" t="s">
        <v>1197</v>
      </c>
      <c r="I812">
        <v>2877</v>
      </c>
      <c r="J812" t="s">
        <v>2360</v>
      </c>
      <c r="K812" t="s">
        <v>2361</v>
      </c>
      <c r="L812" t="s">
        <v>386</v>
      </c>
      <c r="M812" t="s">
        <v>1193</v>
      </c>
      <c r="N812">
        <v>2877</v>
      </c>
      <c r="O812">
        <v>56</v>
      </c>
      <c r="T812">
        <v>220</v>
      </c>
      <c r="V812" t="s">
        <v>1194</v>
      </c>
      <c r="W812" t="s">
        <v>1194</v>
      </c>
      <c r="X812">
        <v>220</v>
      </c>
      <c r="Z812" t="s">
        <v>2362</v>
      </c>
      <c r="AA812" t="s">
        <v>387</v>
      </c>
      <c r="AB812">
        <v>48000</v>
      </c>
      <c r="AC812">
        <v>1928</v>
      </c>
      <c r="AD812" t="s">
        <v>2363</v>
      </c>
      <c r="AE812">
        <v>0</v>
      </c>
      <c r="AF812" t="s">
        <v>1188</v>
      </c>
      <c r="AG812" t="s">
        <v>1244</v>
      </c>
    </row>
    <row r="813" spans="1:34" x14ac:dyDescent="0.25">
      <c r="A813">
        <v>1488</v>
      </c>
      <c r="C813" s="185"/>
      <c r="E813" t="s">
        <v>386</v>
      </c>
      <c r="F813" t="s">
        <v>2364</v>
      </c>
      <c r="G813" t="s">
        <v>1197</v>
      </c>
      <c r="I813">
        <v>2880</v>
      </c>
      <c r="J813" t="s">
        <v>2364</v>
      </c>
      <c r="K813" t="s">
        <v>2365</v>
      </c>
      <c r="L813" t="s">
        <v>386</v>
      </c>
      <c r="M813" t="s">
        <v>1193</v>
      </c>
      <c r="N813">
        <v>2880</v>
      </c>
      <c r="O813">
        <v>56</v>
      </c>
      <c r="T813">
        <v>220</v>
      </c>
      <c r="V813" t="s">
        <v>1194</v>
      </c>
      <c r="W813" t="s">
        <v>2024</v>
      </c>
      <c r="X813">
        <v>52</v>
      </c>
      <c r="Z813" t="s">
        <v>2366</v>
      </c>
      <c r="AA813" t="s">
        <v>387</v>
      </c>
      <c r="AB813">
        <v>48000</v>
      </c>
      <c r="AC813">
        <v>1930</v>
      </c>
      <c r="AD813" t="s">
        <v>2367</v>
      </c>
      <c r="AE813">
        <v>0</v>
      </c>
      <c r="AF813" t="s">
        <v>1188</v>
      </c>
      <c r="AG813" t="s">
        <v>2352</v>
      </c>
      <c r="AH813" t="s">
        <v>2368</v>
      </c>
    </row>
    <row r="814" spans="1:34" x14ac:dyDescent="0.25">
      <c r="A814">
        <v>1490</v>
      </c>
      <c r="C814" s="185"/>
      <c r="E814" t="s">
        <v>386</v>
      </c>
      <c r="F814" t="s">
        <v>2369</v>
      </c>
      <c r="G814" t="s">
        <v>1197</v>
      </c>
      <c r="I814">
        <v>2883</v>
      </c>
      <c r="J814" t="s">
        <v>2369</v>
      </c>
      <c r="K814" t="s">
        <v>2370</v>
      </c>
      <c r="L814" t="s">
        <v>386</v>
      </c>
      <c r="M814" t="s">
        <v>1193</v>
      </c>
      <c r="N814">
        <v>2883</v>
      </c>
      <c r="O814">
        <v>37</v>
      </c>
      <c r="T814">
        <v>220</v>
      </c>
      <c r="V814" t="s">
        <v>1194</v>
      </c>
      <c r="W814" t="s">
        <v>1194</v>
      </c>
      <c r="X814">
        <v>220</v>
      </c>
      <c r="Z814" t="s">
        <v>2371</v>
      </c>
      <c r="AA814" t="s">
        <v>387</v>
      </c>
      <c r="AB814">
        <v>29000</v>
      </c>
      <c r="AC814">
        <v>1934</v>
      </c>
      <c r="AD814" t="s">
        <v>2372</v>
      </c>
      <c r="AE814">
        <v>0</v>
      </c>
      <c r="AF814" t="s">
        <v>1188</v>
      </c>
      <c r="AG814" t="s">
        <v>2373</v>
      </c>
      <c r="AH814" t="s">
        <v>2374</v>
      </c>
    </row>
    <row r="815" spans="1:34" x14ac:dyDescent="0.25">
      <c r="A815">
        <v>1492</v>
      </c>
      <c r="C815" s="185"/>
      <c r="E815" t="s">
        <v>386</v>
      </c>
      <c r="F815" t="s">
        <v>2375</v>
      </c>
      <c r="G815" t="s">
        <v>1197</v>
      </c>
      <c r="I815">
        <v>2884</v>
      </c>
      <c r="J815" t="s">
        <v>2375</v>
      </c>
      <c r="K815" t="s">
        <v>2376</v>
      </c>
      <c r="L815" t="s">
        <v>386</v>
      </c>
      <c r="M815" t="s">
        <v>1193</v>
      </c>
      <c r="N815">
        <v>2884</v>
      </c>
      <c r="O815">
        <v>37</v>
      </c>
      <c r="T815">
        <v>220</v>
      </c>
      <c r="V815" t="s">
        <v>1194</v>
      </c>
      <c r="W815" t="s">
        <v>2024</v>
      </c>
      <c r="X815">
        <v>52</v>
      </c>
      <c r="Z815" t="s">
        <v>2377</v>
      </c>
      <c r="AA815" t="s">
        <v>387</v>
      </c>
      <c r="AB815">
        <v>29000</v>
      </c>
      <c r="AC815">
        <v>1935</v>
      </c>
      <c r="AD815" t="s">
        <v>2378</v>
      </c>
      <c r="AE815">
        <v>0</v>
      </c>
      <c r="AF815" t="s">
        <v>1188</v>
      </c>
      <c r="AG815" t="s">
        <v>2379</v>
      </c>
      <c r="AH815" t="s">
        <v>2380</v>
      </c>
    </row>
    <row r="816" spans="1:34" x14ac:dyDescent="0.25">
      <c r="A816">
        <v>1494</v>
      </c>
      <c r="C816" s="185"/>
      <c r="E816" t="s">
        <v>386</v>
      </c>
      <c r="F816" t="s">
        <v>2381</v>
      </c>
      <c r="G816" t="s">
        <v>1197</v>
      </c>
      <c r="I816">
        <v>2885</v>
      </c>
      <c r="J816" t="s">
        <v>2381</v>
      </c>
      <c r="K816" t="s">
        <v>2382</v>
      </c>
      <c r="L816" t="s">
        <v>386</v>
      </c>
      <c r="M816" t="s">
        <v>1193</v>
      </c>
      <c r="N816">
        <v>2885</v>
      </c>
      <c r="O816">
        <v>11</v>
      </c>
      <c r="T816">
        <v>52</v>
      </c>
      <c r="V816" t="s">
        <v>2024</v>
      </c>
      <c r="Z816" t="s">
        <v>2383</v>
      </c>
      <c r="AA816" t="s">
        <v>387</v>
      </c>
      <c r="AB816">
        <v>7000</v>
      </c>
      <c r="AC816">
        <v>1936</v>
      </c>
      <c r="AD816" t="s">
        <v>2384</v>
      </c>
      <c r="AE816">
        <v>0</v>
      </c>
      <c r="AF816" t="s">
        <v>1188</v>
      </c>
      <c r="AG816" t="s">
        <v>2385</v>
      </c>
      <c r="AH816" t="s">
        <v>2386</v>
      </c>
    </row>
    <row r="817" spans="1:34" x14ac:dyDescent="0.25">
      <c r="A817">
        <v>1494</v>
      </c>
      <c r="C817" s="185"/>
      <c r="E817" t="s">
        <v>386</v>
      </c>
      <c r="F817" t="s">
        <v>2387</v>
      </c>
      <c r="G817" t="s">
        <v>1197</v>
      </c>
      <c r="I817">
        <v>2886</v>
      </c>
      <c r="J817" t="s">
        <v>2387</v>
      </c>
      <c r="K817" t="s">
        <v>2388</v>
      </c>
      <c r="L817" t="s">
        <v>386</v>
      </c>
      <c r="M817" t="s">
        <v>1193</v>
      </c>
      <c r="N817">
        <v>2886</v>
      </c>
      <c r="O817">
        <v>11</v>
      </c>
      <c r="T817">
        <v>220</v>
      </c>
      <c r="V817" t="s">
        <v>1194</v>
      </c>
      <c r="W817" t="s">
        <v>2024</v>
      </c>
      <c r="X817">
        <v>52</v>
      </c>
      <c r="Z817" t="s">
        <v>2383</v>
      </c>
      <c r="AA817" t="s">
        <v>387</v>
      </c>
      <c r="AB817">
        <v>7000</v>
      </c>
      <c r="AC817">
        <v>1937</v>
      </c>
      <c r="AD817" t="s">
        <v>2389</v>
      </c>
      <c r="AE817">
        <v>0</v>
      </c>
      <c r="AF817" t="s">
        <v>1188</v>
      </c>
      <c r="AG817" t="s">
        <v>2385</v>
      </c>
      <c r="AH817" t="s">
        <v>2390</v>
      </c>
    </row>
    <row r="818" spans="1:34" x14ac:dyDescent="0.25">
      <c r="A818">
        <v>1498</v>
      </c>
      <c r="C818" s="185"/>
      <c r="E818" t="s">
        <v>386</v>
      </c>
      <c r="F818" t="s">
        <v>2391</v>
      </c>
      <c r="G818" t="s">
        <v>1197</v>
      </c>
      <c r="I818">
        <v>2889</v>
      </c>
      <c r="J818" t="s">
        <v>2391</v>
      </c>
      <c r="K818" t="s">
        <v>2392</v>
      </c>
      <c r="L818" t="s">
        <v>386</v>
      </c>
      <c r="M818" t="s">
        <v>1193</v>
      </c>
      <c r="N818">
        <v>2889</v>
      </c>
      <c r="O818">
        <v>11</v>
      </c>
      <c r="T818">
        <v>220</v>
      </c>
      <c r="V818" t="s">
        <v>1194</v>
      </c>
      <c r="W818" t="s">
        <v>2024</v>
      </c>
      <c r="X818">
        <v>52</v>
      </c>
      <c r="Z818" t="s">
        <v>2393</v>
      </c>
      <c r="AA818" t="s">
        <v>387</v>
      </c>
      <c r="AB818">
        <v>7000</v>
      </c>
      <c r="AC818">
        <v>1940</v>
      </c>
      <c r="AD818" t="s">
        <v>2394</v>
      </c>
      <c r="AE818">
        <v>0</v>
      </c>
      <c r="AF818" t="s">
        <v>1188</v>
      </c>
      <c r="AG818" t="s">
        <v>2395</v>
      </c>
      <c r="AH818" t="s">
        <v>2396</v>
      </c>
    </row>
    <row r="819" spans="1:34" x14ac:dyDescent="0.25">
      <c r="A819">
        <v>1500</v>
      </c>
      <c r="C819" s="185"/>
      <c r="E819" t="s">
        <v>386</v>
      </c>
      <c r="F819" t="s">
        <v>2397</v>
      </c>
      <c r="G819" t="s">
        <v>1197</v>
      </c>
      <c r="I819">
        <v>2890</v>
      </c>
      <c r="J819" t="s">
        <v>2397</v>
      </c>
      <c r="K819" t="s">
        <v>2398</v>
      </c>
      <c r="L819" t="s">
        <v>386</v>
      </c>
      <c r="M819" t="s">
        <v>1193</v>
      </c>
      <c r="N819">
        <v>2890</v>
      </c>
      <c r="O819">
        <v>37</v>
      </c>
      <c r="T819">
        <v>220</v>
      </c>
      <c r="V819" t="s">
        <v>1194</v>
      </c>
      <c r="W819" t="s">
        <v>1194</v>
      </c>
      <c r="X819">
        <v>220</v>
      </c>
      <c r="Z819" t="s">
        <v>2399</v>
      </c>
      <c r="AA819" t="s">
        <v>387</v>
      </c>
      <c r="AB819">
        <v>29000</v>
      </c>
      <c r="AC819">
        <v>1941</v>
      </c>
      <c r="AD819" t="s">
        <v>2400</v>
      </c>
      <c r="AE819">
        <v>0</v>
      </c>
      <c r="AF819" t="s">
        <v>1188</v>
      </c>
      <c r="AH819" t="s">
        <v>2401</v>
      </c>
    </row>
    <row r="820" spans="1:34" x14ac:dyDescent="0.25">
      <c r="A820">
        <v>1476</v>
      </c>
      <c r="C820" s="185"/>
      <c r="E820" t="s">
        <v>386</v>
      </c>
      <c r="F820" t="s">
        <v>2402</v>
      </c>
      <c r="G820" t="s">
        <v>1197</v>
      </c>
      <c r="I820">
        <v>2893</v>
      </c>
      <c r="J820" t="s">
        <v>2402</v>
      </c>
      <c r="K820" t="s">
        <v>2403</v>
      </c>
      <c r="L820" t="s">
        <v>386</v>
      </c>
      <c r="M820" t="s">
        <v>1193</v>
      </c>
      <c r="N820">
        <v>2893</v>
      </c>
      <c r="O820">
        <v>11</v>
      </c>
      <c r="T820">
        <v>220</v>
      </c>
      <c r="V820" t="s">
        <v>1194</v>
      </c>
      <c r="W820" t="s">
        <v>2024</v>
      </c>
      <c r="X820">
        <v>52</v>
      </c>
      <c r="Z820" t="s">
        <v>2334</v>
      </c>
      <c r="AA820" t="s">
        <v>387</v>
      </c>
      <c r="AB820">
        <v>7000</v>
      </c>
      <c r="AC820">
        <v>1943</v>
      </c>
      <c r="AD820" t="s">
        <v>2404</v>
      </c>
      <c r="AE820">
        <v>941</v>
      </c>
      <c r="AF820" t="s">
        <v>2405</v>
      </c>
      <c r="AG820" t="s">
        <v>1244</v>
      </c>
      <c r="AH820" t="s">
        <v>2406</v>
      </c>
    </row>
    <row r="821" spans="1:34" x14ac:dyDescent="0.25">
      <c r="A821">
        <v>1503</v>
      </c>
      <c r="C821" s="185"/>
      <c r="E821" t="s">
        <v>386</v>
      </c>
      <c r="F821" t="s">
        <v>2407</v>
      </c>
      <c r="G821" t="s">
        <v>1197</v>
      </c>
      <c r="I821">
        <v>2897</v>
      </c>
      <c r="J821" t="s">
        <v>2407</v>
      </c>
      <c r="K821" t="s">
        <v>2408</v>
      </c>
      <c r="L821" t="s">
        <v>386</v>
      </c>
      <c r="M821" t="s">
        <v>1193</v>
      </c>
      <c r="N821">
        <v>2897</v>
      </c>
      <c r="O821">
        <v>11</v>
      </c>
      <c r="T821">
        <v>220</v>
      </c>
      <c r="V821" t="s">
        <v>1194</v>
      </c>
      <c r="W821" t="s">
        <v>2024</v>
      </c>
      <c r="X821">
        <v>52</v>
      </c>
      <c r="Z821" t="s">
        <v>2409</v>
      </c>
      <c r="AA821" t="s">
        <v>387</v>
      </c>
      <c r="AB821">
        <v>7000</v>
      </c>
      <c r="AC821">
        <v>1946</v>
      </c>
      <c r="AD821" t="s">
        <v>2410</v>
      </c>
      <c r="AE821">
        <v>0</v>
      </c>
      <c r="AF821" t="s">
        <v>1188</v>
      </c>
      <c r="AG821" t="s">
        <v>1244</v>
      </c>
      <c r="AH821" t="s">
        <v>2411</v>
      </c>
    </row>
    <row r="822" spans="1:34" x14ac:dyDescent="0.25">
      <c r="A822">
        <v>1505</v>
      </c>
      <c r="C822" s="185"/>
      <c r="E822" t="s">
        <v>386</v>
      </c>
      <c r="F822" t="s">
        <v>2412</v>
      </c>
      <c r="G822" t="s">
        <v>1197</v>
      </c>
      <c r="I822">
        <v>2906</v>
      </c>
      <c r="J822" t="s">
        <v>2412</v>
      </c>
      <c r="K822" t="s">
        <v>2413</v>
      </c>
      <c r="L822" t="s">
        <v>386</v>
      </c>
      <c r="M822" t="s">
        <v>1193</v>
      </c>
      <c r="N822">
        <v>2906</v>
      </c>
      <c r="O822">
        <v>11</v>
      </c>
      <c r="T822">
        <v>220</v>
      </c>
      <c r="V822" t="s">
        <v>1194</v>
      </c>
      <c r="W822" t="s">
        <v>2024</v>
      </c>
      <c r="X822">
        <v>52</v>
      </c>
      <c r="Z822" t="s">
        <v>2414</v>
      </c>
      <c r="AA822" t="s">
        <v>387</v>
      </c>
      <c r="AB822">
        <v>7000</v>
      </c>
      <c r="AC822">
        <v>1952</v>
      </c>
      <c r="AD822" t="s">
        <v>2415</v>
      </c>
      <c r="AE822">
        <v>0</v>
      </c>
      <c r="AF822" t="s">
        <v>1188</v>
      </c>
      <c r="AG822" t="s">
        <v>2416</v>
      </c>
      <c r="AH822" t="s">
        <v>2417</v>
      </c>
    </row>
    <row r="823" spans="1:34" x14ac:dyDescent="0.25">
      <c r="A823">
        <v>1</v>
      </c>
      <c r="C823" s="185"/>
      <c r="E823" t="s">
        <v>386</v>
      </c>
      <c r="F823" t="s">
        <v>2418</v>
      </c>
      <c r="G823" t="s">
        <v>1192</v>
      </c>
      <c r="I823">
        <v>2907</v>
      </c>
      <c r="J823" t="s">
        <v>2418</v>
      </c>
      <c r="K823" t="s">
        <v>2418</v>
      </c>
      <c r="L823" t="s">
        <v>386</v>
      </c>
      <c r="M823" t="s">
        <v>1184</v>
      </c>
      <c r="N823">
        <v>2907</v>
      </c>
      <c r="O823">
        <v>0</v>
      </c>
      <c r="R823" t="s">
        <v>1208</v>
      </c>
      <c r="T823">
        <v>52</v>
      </c>
      <c r="V823" t="s">
        <v>2024</v>
      </c>
      <c r="Z823" t="s">
        <v>865</v>
      </c>
      <c r="AA823" t="s">
        <v>387</v>
      </c>
      <c r="AB823">
        <v>0</v>
      </c>
      <c r="AC823">
        <v>0</v>
      </c>
      <c r="AD823" t="s">
        <v>1187</v>
      </c>
      <c r="AE823">
        <v>0</v>
      </c>
      <c r="AF823" t="s">
        <v>1188</v>
      </c>
    </row>
    <row r="824" spans="1:34" x14ac:dyDescent="0.25">
      <c r="A824">
        <v>1507</v>
      </c>
      <c r="C824" s="185"/>
      <c r="D824" t="s">
        <v>24</v>
      </c>
      <c r="E824" t="s">
        <v>386</v>
      </c>
      <c r="F824" t="s">
        <v>2419</v>
      </c>
      <c r="G824" t="s">
        <v>1197</v>
      </c>
      <c r="I824">
        <v>2921</v>
      </c>
      <c r="J824" t="s">
        <v>2419</v>
      </c>
      <c r="K824" t="s">
        <v>2420</v>
      </c>
      <c r="L824" t="s">
        <v>386</v>
      </c>
      <c r="M824" t="s">
        <v>1193</v>
      </c>
      <c r="N824">
        <v>2921</v>
      </c>
      <c r="O824">
        <v>56</v>
      </c>
      <c r="R824" t="s">
        <v>398</v>
      </c>
      <c r="T824">
        <v>220</v>
      </c>
      <c r="V824" t="s">
        <v>1194</v>
      </c>
      <c r="W824" t="s">
        <v>1194</v>
      </c>
      <c r="X824">
        <v>220</v>
      </c>
      <c r="Z824" t="s">
        <v>2421</v>
      </c>
      <c r="AA824" t="s">
        <v>387</v>
      </c>
      <c r="AB824">
        <v>48000</v>
      </c>
      <c r="AC824">
        <v>1961</v>
      </c>
      <c r="AD824" t="s">
        <v>2422</v>
      </c>
      <c r="AE824">
        <v>0</v>
      </c>
      <c r="AF824" t="s">
        <v>1188</v>
      </c>
      <c r="AG824" t="s">
        <v>2044</v>
      </c>
      <c r="AH824" t="s">
        <v>2423</v>
      </c>
    </row>
    <row r="825" spans="1:34" x14ac:dyDescent="0.25">
      <c r="A825">
        <v>1509</v>
      </c>
      <c r="B825" t="s">
        <v>1313</v>
      </c>
      <c r="C825" s="185"/>
      <c r="D825" t="s">
        <v>24</v>
      </c>
      <c r="E825" t="s">
        <v>386</v>
      </c>
      <c r="F825" t="s">
        <v>341</v>
      </c>
      <c r="G825" t="s">
        <v>1903</v>
      </c>
      <c r="I825">
        <v>2925</v>
      </c>
      <c r="J825" t="s">
        <v>341</v>
      </c>
      <c r="K825" t="s">
        <v>2424</v>
      </c>
      <c r="L825" t="s">
        <v>386</v>
      </c>
      <c r="M825" t="s">
        <v>1193</v>
      </c>
      <c r="N825">
        <v>2925</v>
      </c>
      <c r="O825">
        <v>56</v>
      </c>
      <c r="R825" t="s">
        <v>398</v>
      </c>
      <c r="S825" t="s">
        <v>1909</v>
      </c>
      <c r="T825">
        <v>220</v>
      </c>
      <c r="U825">
        <v>0</v>
      </c>
      <c r="V825" t="s">
        <v>1194</v>
      </c>
      <c r="W825" t="s">
        <v>1216</v>
      </c>
      <c r="X825">
        <v>260</v>
      </c>
      <c r="Y825" t="s">
        <v>1317</v>
      </c>
      <c r="Z825" t="s">
        <v>1076</v>
      </c>
      <c r="AA825" t="s">
        <v>387</v>
      </c>
      <c r="AB825">
        <v>48000</v>
      </c>
      <c r="AC825">
        <v>1964</v>
      </c>
      <c r="AD825" t="s">
        <v>2425</v>
      </c>
      <c r="AE825">
        <v>0</v>
      </c>
      <c r="AF825" t="s">
        <v>1188</v>
      </c>
      <c r="AG825" t="s">
        <v>2426</v>
      </c>
    </row>
    <row r="826" spans="1:34" x14ac:dyDescent="0.25">
      <c r="A826">
        <v>1</v>
      </c>
      <c r="C826" s="185"/>
      <c r="E826" t="s">
        <v>386</v>
      </c>
      <c r="F826" t="s">
        <v>2427</v>
      </c>
      <c r="G826" t="s">
        <v>1192</v>
      </c>
      <c r="I826">
        <v>2928</v>
      </c>
      <c r="J826" t="s">
        <v>2427</v>
      </c>
      <c r="K826" t="s">
        <v>2427</v>
      </c>
      <c r="L826" t="s">
        <v>386</v>
      </c>
      <c r="M826" t="s">
        <v>1184</v>
      </c>
      <c r="N826">
        <v>2928</v>
      </c>
      <c r="O826">
        <v>0</v>
      </c>
      <c r="R826" t="s">
        <v>1208</v>
      </c>
      <c r="T826">
        <v>52</v>
      </c>
      <c r="V826" t="s">
        <v>2024</v>
      </c>
      <c r="Z826" t="s">
        <v>865</v>
      </c>
      <c r="AA826" t="s">
        <v>387</v>
      </c>
      <c r="AB826">
        <v>0</v>
      </c>
      <c r="AC826">
        <v>0</v>
      </c>
      <c r="AD826" t="s">
        <v>1187</v>
      </c>
      <c r="AE826">
        <v>0</v>
      </c>
      <c r="AF826" t="s">
        <v>1188</v>
      </c>
    </row>
    <row r="827" spans="1:34" x14ac:dyDescent="0.25">
      <c r="A827">
        <v>1468</v>
      </c>
      <c r="C827" s="185"/>
      <c r="D827" t="s">
        <v>24</v>
      </c>
      <c r="E827" t="s">
        <v>386</v>
      </c>
      <c r="F827" t="s">
        <v>2428</v>
      </c>
      <c r="G827" t="s">
        <v>1192</v>
      </c>
      <c r="I827">
        <v>2932</v>
      </c>
      <c r="J827" t="s">
        <v>2428</v>
      </c>
      <c r="K827" t="s">
        <v>2428</v>
      </c>
      <c r="L827" t="s">
        <v>386</v>
      </c>
      <c r="M827" t="s">
        <v>1184</v>
      </c>
      <c r="N827">
        <v>2932</v>
      </c>
      <c r="O827">
        <v>0</v>
      </c>
      <c r="T827">
        <v>52</v>
      </c>
      <c r="V827" t="s">
        <v>2024</v>
      </c>
      <c r="Z827" t="s">
        <v>946</v>
      </c>
      <c r="AA827" t="s">
        <v>387</v>
      </c>
      <c r="AB827">
        <v>0</v>
      </c>
      <c r="AC827">
        <v>1895</v>
      </c>
      <c r="AD827" t="s">
        <v>2320</v>
      </c>
      <c r="AE827">
        <v>0</v>
      </c>
      <c r="AF827" t="s">
        <v>1188</v>
      </c>
      <c r="AG827" t="s">
        <v>2044</v>
      </c>
      <c r="AH827" t="s">
        <v>2321</v>
      </c>
    </row>
    <row r="828" spans="1:34" x14ac:dyDescent="0.25">
      <c r="A828">
        <v>1526</v>
      </c>
      <c r="C828" s="185"/>
      <c r="E828" t="s">
        <v>386</v>
      </c>
      <c r="F828" t="s">
        <v>2429</v>
      </c>
      <c r="G828" t="s">
        <v>1197</v>
      </c>
      <c r="I828">
        <v>3005</v>
      </c>
      <c r="J828" t="s">
        <v>2429</v>
      </c>
      <c r="K828" t="s">
        <v>2429</v>
      </c>
      <c r="L828" t="s">
        <v>386</v>
      </c>
      <c r="M828" t="s">
        <v>1193</v>
      </c>
      <c r="N828">
        <v>3005</v>
      </c>
      <c r="O828">
        <v>0</v>
      </c>
      <c r="T828">
        <v>52</v>
      </c>
      <c r="V828" t="s">
        <v>2024</v>
      </c>
      <c r="Z828" t="s">
        <v>2430</v>
      </c>
      <c r="AA828" t="s">
        <v>387</v>
      </c>
      <c r="AB828">
        <v>0</v>
      </c>
      <c r="AC828">
        <v>2013</v>
      </c>
      <c r="AD828" t="s">
        <v>2431</v>
      </c>
      <c r="AE828">
        <v>0</v>
      </c>
      <c r="AF828" t="s">
        <v>1188</v>
      </c>
      <c r="AH828" t="s">
        <v>2432</v>
      </c>
    </row>
    <row r="829" spans="1:34" x14ac:dyDescent="0.25">
      <c r="A829">
        <v>3</v>
      </c>
      <c r="C829" s="185"/>
      <c r="E829" t="s">
        <v>386</v>
      </c>
      <c r="F829" t="s">
        <v>2433</v>
      </c>
      <c r="G829" t="s">
        <v>1192</v>
      </c>
      <c r="I829">
        <v>3029</v>
      </c>
      <c r="J829" t="s">
        <v>2433</v>
      </c>
      <c r="K829" t="s">
        <v>2433</v>
      </c>
      <c r="L829" t="s">
        <v>386</v>
      </c>
      <c r="M829" t="s">
        <v>1184</v>
      </c>
      <c r="N829">
        <v>3029</v>
      </c>
      <c r="O829">
        <v>0</v>
      </c>
      <c r="R829" t="s">
        <v>1208</v>
      </c>
      <c r="T829">
        <v>1</v>
      </c>
      <c r="V829" t="s">
        <v>1921</v>
      </c>
      <c r="Z829" t="s">
        <v>1935</v>
      </c>
      <c r="AA829" t="s">
        <v>387</v>
      </c>
      <c r="AB829">
        <v>0</v>
      </c>
      <c r="AC829">
        <v>0</v>
      </c>
      <c r="AD829" t="s">
        <v>1187</v>
      </c>
      <c r="AE829">
        <v>0</v>
      </c>
      <c r="AF829" t="s">
        <v>1188</v>
      </c>
    </row>
    <row r="830" spans="1:34" x14ac:dyDescent="0.25">
      <c r="A830">
        <v>69</v>
      </c>
      <c r="C830" s="185"/>
      <c r="D830" t="s">
        <v>157</v>
      </c>
      <c r="E830" t="s">
        <v>386</v>
      </c>
      <c r="F830" t="s">
        <v>2434</v>
      </c>
      <c r="G830" t="s">
        <v>1192</v>
      </c>
      <c r="H830" t="s">
        <v>2435</v>
      </c>
      <c r="I830">
        <v>3263</v>
      </c>
      <c r="J830" t="s">
        <v>2436</v>
      </c>
      <c r="K830" t="s">
        <v>2436</v>
      </c>
      <c r="L830" t="s">
        <v>386</v>
      </c>
      <c r="M830" t="s">
        <v>1184</v>
      </c>
      <c r="N830">
        <v>3158</v>
      </c>
      <c r="O830">
        <v>11</v>
      </c>
      <c r="R830" t="s">
        <v>398</v>
      </c>
      <c r="T830">
        <v>52</v>
      </c>
      <c r="V830" t="s">
        <v>2024</v>
      </c>
      <c r="Z830" t="s">
        <v>2437</v>
      </c>
      <c r="AA830" t="s">
        <v>387</v>
      </c>
      <c r="AB830">
        <v>7000</v>
      </c>
      <c r="AC830">
        <v>2157</v>
      </c>
      <c r="AD830" t="s">
        <v>1041</v>
      </c>
      <c r="AE830">
        <v>1033</v>
      </c>
      <c r="AF830" t="s">
        <v>2438</v>
      </c>
      <c r="AG830" t="s">
        <v>2439</v>
      </c>
    </row>
    <row r="831" spans="1:34" x14ac:dyDescent="0.25">
      <c r="A831">
        <v>1545</v>
      </c>
      <c r="C831" s="185"/>
      <c r="E831" t="s">
        <v>386</v>
      </c>
      <c r="F831" t="s">
        <v>2440</v>
      </c>
      <c r="G831" t="s">
        <v>1197</v>
      </c>
      <c r="I831">
        <v>3219</v>
      </c>
      <c r="J831" t="s">
        <v>2440</v>
      </c>
      <c r="K831" t="s">
        <v>2441</v>
      </c>
      <c r="L831" t="s">
        <v>386</v>
      </c>
      <c r="M831" t="s">
        <v>1193</v>
      </c>
      <c r="N831">
        <v>3219</v>
      </c>
      <c r="O831">
        <v>37</v>
      </c>
      <c r="T831">
        <v>220</v>
      </c>
      <c r="V831" t="s">
        <v>1194</v>
      </c>
      <c r="W831" t="s">
        <v>1194</v>
      </c>
      <c r="X831">
        <v>220</v>
      </c>
      <c r="Z831" t="s">
        <v>1126</v>
      </c>
      <c r="AA831" t="s">
        <v>387</v>
      </c>
      <c r="AB831">
        <v>29000</v>
      </c>
      <c r="AC831">
        <v>2135</v>
      </c>
      <c r="AD831" t="s">
        <v>2442</v>
      </c>
      <c r="AE831">
        <v>0</v>
      </c>
      <c r="AF831" t="s">
        <v>1188</v>
      </c>
      <c r="AG831" t="s">
        <v>2443</v>
      </c>
    </row>
    <row r="832" spans="1:34" x14ac:dyDescent="0.25">
      <c r="A832">
        <v>1</v>
      </c>
      <c r="C832" s="185"/>
      <c r="E832" t="s">
        <v>386</v>
      </c>
      <c r="F832" t="s">
        <v>2444</v>
      </c>
      <c r="G832" t="s">
        <v>1192</v>
      </c>
      <c r="I832">
        <v>3230</v>
      </c>
      <c r="J832" t="s">
        <v>2444</v>
      </c>
      <c r="K832" t="s">
        <v>2444</v>
      </c>
      <c r="L832" t="s">
        <v>386</v>
      </c>
      <c r="M832" t="s">
        <v>1193</v>
      </c>
      <c r="N832">
        <v>3230</v>
      </c>
      <c r="O832">
        <v>20</v>
      </c>
      <c r="R832" t="s">
        <v>398</v>
      </c>
      <c r="T832">
        <v>0</v>
      </c>
      <c r="V832" t="s">
        <v>1186</v>
      </c>
      <c r="Z832" t="s">
        <v>865</v>
      </c>
      <c r="AA832" t="s">
        <v>387</v>
      </c>
      <c r="AB832">
        <v>14000</v>
      </c>
      <c r="AC832">
        <v>0</v>
      </c>
      <c r="AD832" t="s">
        <v>1187</v>
      </c>
      <c r="AE832">
        <v>0</v>
      </c>
      <c r="AF832" t="s">
        <v>1188</v>
      </c>
    </row>
    <row r="833" spans="1:34" x14ac:dyDescent="0.25">
      <c r="A833">
        <v>1</v>
      </c>
      <c r="C833" s="185"/>
      <c r="E833" t="s">
        <v>386</v>
      </c>
      <c r="F833" t="s">
        <v>2445</v>
      </c>
      <c r="G833" t="s">
        <v>1192</v>
      </c>
      <c r="I833">
        <v>3231</v>
      </c>
      <c r="J833" t="s">
        <v>2445</v>
      </c>
      <c r="K833" t="s">
        <v>2445</v>
      </c>
      <c r="L833" t="s">
        <v>386</v>
      </c>
      <c r="M833" t="s">
        <v>1193</v>
      </c>
      <c r="N833">
        <v>3231</v>
      </c>
      <c r="O833">
        <v>20</v>
      </c>
      <c r="R833" t="s">
        <v>398</v>
      </c>
      <c r="T833">
        <v>0</v>
      </c>
      <c r="V833" t="s">
        <v>1186</v>
      </c>
      <c r="Z833" t="s">
        <v>865</v>
      </c>
      <c r="AA833" t="s">
        <v>387</v>
      </c>
      <c r="AB833">
        <v>14000</v>
      </c>
      <c r="AC833">
        <v>0</v>
      </c>
      <c r="AD833" t="s">
        <v>1187</v>
      </c>
      <c r="AE833">
        <v>0</v>
      </c>
      <c r="AF833" t="s">
        <v>1188</v>
      </c>
    </row>
    <row r="834" spans="1:34" x14ac:dyDescent="0.25">
      <c r="A834">
        <v>1</v>
      </c>
      <c r="C834" s="185"/>
      <c r="E834" t="s">
        <v>386</v>
      </c>
      <c r="F834" t="s">
        <v>2446</v>
      </c>
      <c r="G834" t="s">
        <v>1192</v>
      </c>
      <c r="I834">
        <v>3233</v>
      </c>
      <c r="J834" t="s">
        <v>2446</v>
      </c>
      <c r="K834" t="s">
        <v>2446</v>
      </c>
      <c r="L834" t="s">
        <v>386</v>
      </c>
      <c r="M834" t="s">
        <v>1193</v>
      </c>
      <c r="N834">
        <v>3233</v>
      </c>
      <c r="O834">
        <v>13</v>
      </c>
      <c r="R834" t="s">
        <v>398</v>
      </c>
      <c r="T834">
        <v>52</v>
      </c>
      <c r="V834" t="s">
        <v>2024</v>
      </c>
      <c r="Z834" t="s">
        <v>865</v>
      </c>
      <c r="AA834" t="s">
        <v>387</v>
      </c>
      <c r="AB834">
        <v>8000</v>
      </c>
      <c r="AC834">
        <v>0</v>
      </c>
      <c r="AD834" t="s">
        <v>1187</v>
      </c>
      <c r="AE834">
        <v>0</v>
      </c>
      <c r="AF834" t="s">
        <v>1188</v>
      </c>
    </row>
    <row r="835" spans="1:34" x14ac:dyDescent="0.25">
      <c r="A835">
        <v>1549</v>
      </c>
      <c r="C835" s="185"/>
      <c r="D835" t="s">
        <v>24</v>
      </c>
      <c r="E835" t="s">
        <v>386</v>
      </c>
      <c r="F835" t="s">
        <v>2447</v>
      </c>
      <c r="G835" t="s">
        <v>1903</v>
      </c>
      <c r="I835">
        <v>3242</v>
      </c>
      <c r="J835" t="s">
        <v>2447</v>
      </c>
      <c r="K835" t="s">
        <v>2448</v>
      </c>
      <c r="L835" t="s">
        <v>386</v>
      </c>
      <c r="M835" t="s">
        <v>1193</v>
      </c>
      <c r="N835">
        <v>3242</v>
      </c>
      <c r="O835">
        <v>56</v>
      </c>
      <c r="R835" t="s">
        <v>398</v>
      </c>
      <c r="T835">
        <v>220</v>
      </c>
      <c r="V835" t="s">
        <v>1194</v>
      </c>
      <c r="W835" t="s">
        <v>1194</v>
      </c>
      <c r="X835">
        <v>220</v>
      </c>
      <c r="Z835" t="s">
        <v>2279</v>
      </c>
      <c r="AA835" t="s">
        <v>387</v>
      </c>
      <c r="AB835">
        <v>48000</v>
      </c>
      <c r="AC835">
        <v>2144</v>
      </c>
      <c r="AD835" t="s">
        <v>2449</v>
      </c>
      <c r="AE835">
        <v>1029</v>
      </c>
      <c r="AF835" t="s">
        <v>2450</v>
      </c>
      <c r="AG835" t="s">
        <v>2451</v>
      </c>
    </row>
    <row r="836" spans="1:34" x14ac:dyDescent="0.25">
      <c r="A836">
        <v>1</v>
      </c>
      <c r="C836" s="185"/>
      <c r="E836" t="s">
        <v>386</v>
      </c>
      <c r="F836" t="s">
        <v>2452</v>
      </c>
      <c r="G836" t="s">
        <v>1192</v>
      </c>
      <c r="H836" t="s">
        <v>2453</v>
      </c>
      <c r="I836">
        <v>3252</v>
      </c>
      <c r="J836" t="s">
        <v>2452</v>
      </c>
      <c r="K836" t="s">
        <v>2452</v>
      </c>
      <c r="L836" t="s">
        <v>386</v>
      </c>
      <c r="M836" t="s">
        <v>1184</v>
      </c>
      <c r="N836">
        <v>3252</v>
      </c>
      <c r="O836">
        <v>0</v>
      </c>
      <c r="R836" t="s">
        <v>1223</v>
      </c>
      <c r="T836">
        <v>260</v>
      </c>
      <c r="V836" t="s">
        <v>1216</v>
      </c>
      <c r="W836" t="s">
        <v>1186</v>
      </c>
      <c r="X836">
        <v>0</v>
      </c>
      <c r="Z836" t="s">
        <v>865</v>
      </c>
      <c r="AA836" t="s">
        <v>387</v>
      </c>
      <c r="AB836">
        <v>0</v>
      </c>
      <c r="AC836">
        <v>2148</v>
      </c>
      <c r="AD836" t="s">
        <v>2454</v>
      </c>
      <c r="AE836">
        <v>53</v>
      </c>
      <c r="AF836" t="s">
        <v>2455</v>
      </c>
      <c r="AG836" t="s">
        <v>2456</v>
      </c>
      <c r="AH836" t="s">
        <v>2457</v>
      </c>
    </row>
    <row r="837" spans="1:34" x14ac:dyDescent="0.25">
      <c r="A837">
        <v>1552</v>
      </c>
      <c r="C837" s="185"/>
      <c r="E837" t="s">
        <v>386</v>
      </c>
      <c r="F837" t="s">
        <v>1190</v>
      </c>
      <c r="G837" t="s">
        <v>1192</v>
      </c>
      <c r="I837">
        <v>3258</v>
      </c>
      <c r="J837" t="s">
        <v>1190</v>
      </c>
      <c r="K837" t="s">
        <v>1190</v>
      </c>
      <c r="L837" t="s">
        <v>386</v>
      </c>
      <c r="M837" t="s">
        <v>1184</v>
      </c>
      <c r="N837">
        <v>3258</v>
      </c>
      <c r="O837">
        <v>0</v>
      </c>
      <c r="T837">
        <v>44</v>
      </c>
      <c r="V837" t="s">
        <v>2458</v>
      </c>
      <c r="Z837" t="s">
        <v>2459</v>
      </c>
      <c r="AA837" t="s">
        <v>387</v>
      </c>
      <c r="AB837">
        <v>0</v>
      </c>
      <c r="AC837">
        <v>0</v>
      </c>
      <c r="AD837" t="s">
        <v>1187</v>
      </c>
      <c r="AE837">
        <v>0</v>
      </c>
      <c r="AF837" t="s">
        <v>1188</v>
      </c>
      <c r="AH837" t="s">
        <v>2460</v>
      </c>
    </row>
    <row r="838" spans="1:34" x14ac:dyDescent="0.25">
      <c r="A838">
        <v>1</v>
      </c>
      <c r="C838" s="185"/>
      <c r="E838" t="s">
        <v>386</v>
      </c>
      <c r="F838" t="s">
        <v>2461</v>
      </c>
      <c r="G838" t="s">
        <v>1197</v>
      </c>
      <c r="H838" t="s">
        <v>2462</v>
      </c>
      <c r="I838">
        <v>3271</v>
      </c>
      <c r="J838" t="s">
        <v>2461</v>
      </c>
      <c r="K838" t="s">
        <v>2461</v>
      </c>
      <c r="L838" t="s">
        <v>386</v>
      </c>
      <c r="M838" t="s">
        <v>1193</v>
      </c>
      <c r="N838">
        <v>3271</v>
      </c>
      <c r="O838">
        <v>0</v>
      </c>
      <c r="T838">
        <v>571</v>
      </c>
      <c r="V838" t="s">
        <v>2003</v>
      </c>
      <c r="W838" t="s">
        <v>1215</v>
      </c>
      <c r="X838">
        <v>259</v>
      </c>
      <c r="Z838" t="s">
        <v>865</v>
      </c>
      <c r="AA838" t="s">
        <v>387</v>
      </c>
      <c r="AB838">
        <v>0</v>
      </c>
      <c r="AC838">
        <v>1559</v>
      </c>
      <c r="AD838" t="s">
        <v>2463</v>
      </c>
      <c r="AE838">
        <v>198</v>
      </c>
      <c r="AF838" t="s">
        <v>2011</v>
      </c>
      <c r="AG838" t="s">
        <v>2464</v>
      </c>
    </row>
    <row r="839" spans="1:34" x14ac:dyDescent="0.25">
      <c r="A839">
        <v>1464</v>
      </c>
      <c r="B839" t="s">
        <v>1313</v>
      </c>
      <c r="C839" s="185"/>
      <c r="D839" t="s">
        <v>24</v>
      </c>
      <c r="E839" t="s">
        <v>386</v>
      </c>
      <c r="F839" t="s">
        <v>550</v>
      </c>
      <c r="G839" t="s">
        <v>1903</v>
      </c>
      <c r="I839">
        <v>3297</v>
      </c>
      <c r="J839" t="s">
        <v>550</v>
      </c>
      <c r="K839" t="s">
        <v>220</v>
      </c>
      <c r="L839" t="s">
        <v>386</v>
      </c>
      <c r="M839" t="s">
        <v>1193</v>
      </c>
      <c r="N839">
        <v>3297</v>
      </c>
      <c r="O839">
        <v>37</v>
      </c>
      <c r="R839" t="s">
        <v>398</v>
      </c>
      <c r="S839" t="s">
        <v>1909</v>
      </c>
      <c r="T839">
        <v>260</v>
      </c>
      <c r="U839">
        <v>0</v>
      </c>
      <c r="V839" t="s">
        <v>1216</v>
      </c>
      <c r="W839" t="s">
        <v>1194</v>
      </c>
      <c r="X839">
        <v>220</v>
      </c>
      <c r="Y839" t="s">
        <v>1317</v>
      </c>
      <c r="Z839" t="s">
        <v>872</v>
      </c>
      <c r="AA839" t="s">
        <v>387</v>
      </c>
      <c r="AB839">
        <v>29000</v>
      </c>
      <c r="AC839">
        <v>2646</v>
      </c>
      <c r="AD839" t="s">
        <v>2199</v>
      </c>
      <c r="AE839">
        <v>1050</v>
      </c>
      <c r="AF839" t="s">
        <v>2465</v>
      </c>
      <c r="AG839" t="s">
        <v>2466</v>
      </c>
    </row>
    <row r="840" spans="1:34" x14ac:dyDescent="0.25">
      <c r="A840">
        <v>1</v>
      </c>
      <c r="C840" s="185"/>
      <c r="E840" t="s">
        <v>386</v>
      </c>
      <c r="F840" t="s">
        <v>2467</v>
      </c>
      <c r="G840" t="s">
        <v>1192</v>
      </c>
      <c r="H840" t="s">
        <v>2023</v>
      </c>
      <c r="I840">
        <v>3391</v>
      </c>
      <c r="J840" t="s">
        <v>2467</v>
      </c>
      <c r="K840" t="s">
        <v>2467</v>
      </c>
      <c r="L840" t="s">
        <v>386</v>
      </c>
      <c r="M840" t="s">
        <v>1184</v>
      </c>
      <c r="N840">
        <v>3391</v>
      </c>
      <c r="O840">
        <v>0</v>
      </c>
      <c r="R840" t="s">
        <v>1208</v>
      </c>
      <c r="T840">
        <v>74</v>
      </c>
      <c r="V840" t="s">
        <v>1209</v>
      </c>
      <c r="Z840" t="s">
        <v>865</v>
      </c>
      <c r="AA840" t="s">
        <v>387</v>
      </c>
      <c r="AB840">
        <v>0</v>
      </c>
      <c r="AC840">
        <v>1547</v>
      </c>
      <c r="AD840" t="s">
        <v>2025</v>
      </c>
      <c r="AE840">
        <v>853</v>
      </c>
      <c r="AF840" t="s">
        <v>2468</v>
      </c>
      <c r="AG840" t="s">
        <v>2469</v>
      </c>
    </row>
    <row r="841" spans="1:34" x14ac:dyDescent="0.25">
      <c r="A841">
        <v>1</v>
      </c>
      <c r="C841" s="185"/>
      <c r="E841" t="s">
        <v>386</v>
      </c>
      <c r="F841" t="s">
        <v>2470</v>
      </c>
      <c r="G841" t="s">
        <v>1192</v>
      </c>
      <c r="H841" t="s">
        <v>2471</v>
      </c>
      <c r="I841">
        <v>3392</v>
      </c>
      <c r="J841" t="s">
        <v>2470</v>
      </c>
      <c r="K841" t="s">
        <v>2470</v>
      </c>
      <c r="L841" t="s">
        <v>386</v>
      </c>
      <c r="M841" t="s">
        <v>1184</v>
      </c>
      <c r="N841">
        <v>3392</v>
      </c>
      <c r="O841">
        <v>0</v>
      </c>
      <c r="R841" t="s">
        <v>1208</v>
      </c>
      <c r="T841">
        <v>115</v>
      </c>
      <c r="V841" t="s">
        <v>2344</v>
      </c>
      <c r="Z841" t="s">
        <v>865</v>
      </c>
      <c r="AA841" t="s">
        <v>387</v>
      </c>
      <c r="AB841">
        <v>0</v>
      </c>
      <c r="AC841">
        <v>2195</v>
      </c>
      <c r="AD841" t="s">
        <v>2472</v>
      </c>
      <c r="AE841">
        <v>26</v>
      </c>
      <c r="AF841" t="s">
        <v>2075</v>
      </c>
      <c r="AG841" t="s">
        <v>2473</v>
      </c>
    </row>
    <row r="842" spans="1:34" x14ac:dyDescent="0.25">
      <c r="A842">
        <v>1</v>
      </c>
      <c r="C842" s="185"/>
      <c r="E842" t="s">
        <v>386</v>
      </c>
      <c r="F842" t="s">
        <v>2474</v>
      </c>
      <c r="G842" t="s">
        <v>1192</v>
      </c>
      <c r="H842" t="s">
        <v>2475</v>
      </c>
      <c r="I842">
        <v>3393</v>
      </c>
      <c r="J842" t="s">
        <v>2474</v>
      </c>
      <c r="K842" t="s">
        <v>2474</v>
      </c>
      <c r="L842" t="s">
        <v>386</v>
      </c>
      <c r="M842" t="s">
        <v>1184</v>
      </c>
      <c r="N842">
        <v>3393</v>
      </c>
      <c r="O842">
        <v>0</v>
      </c>
      <c r="R842" t="s">
        <v>1208</v>
      </c>
      <c r="T842">
        <v>35</v>
      </c>
      <c r="V842" t="s">
        <v>2015</v>
      </c>
      <c r="Z842" t="s">
        <v>865</v>
      </c>
      <c r="AA842" t="s">
        <v>387</v>
      </c>
      <c r="AB842">
        <v>0</v>
      </c>
      <c r="AC842">
        <v>668</v>
      </c>
      <c r="AD842" t="s">
        <v>2476</v>
      </c>
      <c r="AE842">
        <v>0</v>
      </c>
      <c r="AF842" t="s">
        <v>1188</v>
      </c>
      <c r="AG842" t="s">
        <v>2477</v>
      </c>
    </row>
    <row r="843" spans="1:34" x14ac:dyDescent="0.25">
      <c r="A843">
        <v>1563</v>
      </c>
      <c r="C843" s="185"/>
      <c r="E843" t="s">
        <v>386</v>
      </c>
      <c r="F843" t="s">
        <v>2478</v>
      </c>
      <c r="G843" t="s">
        <v>1197</v>
      </c>
      <c r="I843">
        <v>3402</v>
      </c>
      <c r="J843" t="s">
        <v>2478</v>
      </c>
      <c r="K843" t="s">
        <v>2479</v>
      </c>
      <c r="L843" t="s">
        <v>386</v>
      </c>
      <c r="M843" t="s">
        <v>1193</v>
      </c>
      <c r="N843">
        <v>3402</v>
      </c>
      <c r="O843">
        <v>0</v>
      </c>
      <c r="R843" t="s">
        <v>398</v>
      </c>
      <c r="T843">
        <v>35</v>
      </c>
      <c r="V843" t="s">
        <v>2015</v>
      </c>
      <c r="Z843" t="s">
        <v>2480</v>
      </c>
      <c r="AA843" t="s">
        <v>387</v>
      </c>
      <c r="AB843">
        <v>0</v>
      </c>
      <c r="AC843">
        <v>2198</v>
      </c>
      <c r="AD843" t="s">
        <v>2481</v>
      </c>
      <c r="AE843">
        <v>0</v>
      </c>
      <c r="AF843" t="s">
        <v>1188</v>
      </c>
      <c r="AG843" t="s">
        <v>2482</v>
      </c>
    </row>
    <row r="844" spans="1:34" x14ac:dyDescent="0.25">
      <c r="A844">
        <v>1</v>
      </c>
      <c r="C844" s="185"/>
      <c r="E844" t="s">
        <v>386</v>
      </c>
      <c r="F844" t="s">
        <v>2483</v>
      </c>
      <c r="G844" t="s">
        <v>1192</v>
      </c>
      <c r="H844" t="s">
        <v>2484</v>
      </c>
      <c r="I844">
        <v>3421</v>
      </c>
      <c r="J844" t="s">
        <v>2483</v>
      </c>
      <c r="K844" t="s">
        <v>2483</v>
      </c>
      <c r="L844" t="s">
        <v>386</v>
      </c>
      <c r="M844" t="s">
        <v>1184</v>
      </c>
      <c r="N844">
        <v>3421</v>
      </c>
      <c r="O844">
        <v>0</v>
      </c>
      <c r="R844" t="s">
        <v>1208</v>
      </c>
      <c r="T844">
        <v>74</v>
      </c>
      <c r="V844" t="s">
        <v>1209</v>
      </c>
      <c r="Z844" t="s">
        <v>865</v>
      </c>
      <c r="AA844" t="s">
        <v>387</v>
      </c>
      <c r="AB844">
        <v>0</v>
      </c>
      <c r="AC844">
        <v>2204</v>
      </c>
      <c r="AD844" t="s">
        <v>2485</v>
      </c>
      <c r="AE844">
        <v>0</v>
      </c>
      <c r="AF844" t="s">
        <v>1188</v>
      </c>
      <c r="AG844" t="s">
        <v>2486</v>
      </c>
    </row>
    <row r="845" spans="1:34" x14ac:dyDescent="0.25">
      <c r="A845">
        <v>1581</v>
      </c>
      <c r="C845" s="185"/>
      <c r="D845" t="s">
        <v>24</v>
      </c>
      <c r="E845" t="s">
        <v>386</v>
      </c>
      <c r="F845" t="s">
        <v>350</v>
      </c>
      <c r="G845" t="s">
        <v>1903</v>
      </c>
      <c r="I845">
        <v>3426</v>
      </c>
      <c r="J845" t="s">
        <v>350</v>
      </c>
      <c r="K845" t="s">
        <v>350</v>
      </c>
      <c r="L845" t="s">
        <v>386</v>
      </c>
      <c r="M845" t="s">
        <v>1193</v>
      </c>
      <c r="N845">
        <v>3426</v>
      </c>
      <c r="O845">
        <v>37</v>
      </c>
      <c r="R845" t="s">
        <v>398</v>
      </c>
      <c r="T845">
        <v>473</v>
      </c>
      <c r="V845" t="s">
        <v>1964</v>
      </c>
      <c r="W845" t="s">
        <v>1200</v>
      </c>
      <c r="X845">
        <v>340</v>
      </c>
      <c r="Z845" t="s">
        <v>1065</v>
      </c>
      <c r="AA845" t="s">
        <v>387</v>
      </c>
      <c r="AB845">
        <v>29000</v>
      </c>
      <c r="AC845">
        <v>2207</v>
      </c>
      <c r="AD845" t="s">
        <v>2487</v>
      </c>
      <c r="AE845">
        <v>1354</v>
      </c>
      <c r="AF845" t="s">
        <v>1202</v>
      </c>
    </row>
    <row r="846" spans="1:34" x14ac:dyDescent="0.25">
      <c r="A846">
        <v>1572</v>
      </c>
      <c r="C846" s="185"/>
      <c r="E846" t="s">
        <v>386</v>
      </c>
      <c r="F846" t="s">
        <v>2488</v>
      </c>
      <c r="G846" t="s">
        <v>1192</v>
      </c>
      <c r="I846">
        <v>3428</v>
      </c>
      <c r="J846" t="s">
        <v>2488</v>
      </c>
      <c r="K846" t="s">
        <v>2488</v>
      </c>
      <c r="L846" t="s">
        <v>386</v>
      </c>
      <c r="M846" t="s">
        <v>1193</v>
      </c>
      <c r="N846">
        <v>3428</v>
      </c>
      <c r="O846">
        <v>0</v>
      </c>
      <c r="R846" t="s">
        <v>398</v>
      </c>
      <c r="T846">
        <v>35</v>
      </c>
      <c r="V846" t="s">
        <v>2015</v>
      </c>
      <c r="Z846" t="s">
        <v>2489</v>
      </c>
      <c r="AA846" t="s">
        <v>387</v>
      </c>
      <c r="AB846">
        <v>0</v>
      </c>
      <c r="AC846">
        <v>2208</v>
      </c>
      <c r="AD846" t="s">
        <v>2490</v>
      </c>
      <c r="AE846">
        <v>0</v>
      </c>
      <c r="AF846" t="s">
        <v>1188</v>
      </c>
      <c r="AG846" t="s">
        <v>2044</v>
      </c>
    </row>
    <row r="847" spans="1:34" x14ac:dyDescent="0.25">
      <c r="A847">
        <v>1573</v>
      </c>
      <c r="C847" s="185"/>
      <c r="E847" t="s">
        <v>386</v>
      </c>
      <c r="F847" t="s">
        <v>2491</v>
      </c>
      <c r="G847" t="s">
        <v>1192</v>
      </c>
      <c r="I847">
        <v>3429</v>
      </c>
      <c r="J847" t="s">
        <v>2491</v>
      </c>
      <c r="K847" t="s">
        <v>2491</v>
      </c>
      <c r="L847" t="s">
        <v>386</v>
      </c>
      <c r="M847" t="s">
        <v>1193</v>
      </c>
      <c r="N847">
        <v>3429</v>
      </c>
      <c r="O847">
        <v>0</v>
      </c>
      <c r="R847" t="s">
        <v>398</v>
      </c>
      <c r="T847">
        <v>35</v>
      </c>
      <c r="V847" t="s">
        <v>2015</v>
      </c>
      <c r="Z847" t="s">
        <v>2492</v>
      </c>
      <c r="AA847" t="s">
        <v>387</v>
      </c>
      <c r="AB847">
        <v>0</v>
      </c>
      <c r="AC847">
        <v>2209</v>
      </c>
      <c r="AD847" t="s">
        <v>2493</v>
      </c>
      <c r="AE847">
        <v>0</v>
      </c>
      <c r="AF847" t="s">
        <v>1188</v>
      </c>
      <c r="AG847" t="s">
        <v>2044</v>
      </c>
    </row>
    <row r="848" spans="1:34" x14ac:dyDescent="0.25">
      <c r="A848">
        <v>1575</v>
      </c>
      <c r="C848" s="185"/>
      <c r="E848" t="s">
        <v>386</v>
      </c>
      <c r="F848" t="s">
        <v>2494</v>
      </c>
      <c r="G848" t="s">
        <v>1197</v>
      </c>
      <c r="I848">
        <v>3436</v>
      </c>
      <c r="J848" t="s">
        <v>2494</v>
      </c>
      <c r="K848" t="s">
        <v>2495</v>
      </c>
      <c r="L848" t="s">
        <v>386</v>
      </c>
      <c r="M848" t="s">
        <v>1193</v>
      </c>
      <c r="N848">
        <v>3436</v>
      </c>
      <c r="O848">
        <v>11</v>
      </c>
      <c r="T848">
        <v>220</v>
      </c>
      <c r="V848" t="s">
        <v>1194</v>
      </c>
      <c r="W848" t="s">
        <v>2315</v>
      </c>
      <c r="X848">
        <v>65</v>
      </c>
      <c r="Z848" t="s">
        <v>2496</v>
      </c>
      <c r="AA848" t="s">
        <v>387</v>
      </c>
      <c r="AB848">
        <v>7000</v>
      </c>
      <c r="AC848">
        <v>2212</v>
      </c>
      <c r="AD848" t="s">
        <v>2497</v>
      </c>
      <c r="AE848">
        <v>1066</v>
      </c>
      <c r="AF848" t="s">
        <v>2498</v>
      </c>
      <c r="AG848" t="s">
        <v>2499</v>
      </c>
    </row>
    <row r="849" spans="1:34" x14ac:dyDescent="0.25">
      <c r="A849">
        <v>1</v>
      </c>
      <c r="C849" s="185"/>
      <c r="E849" t="s">
        <v>386</v>
      </c>
      <c r="F849" t="s">
        <v>2500</v>
      </c>
      <c r="G849" t="s">
        <v>1192</v>
      </c>
      <c r="I849">
        <v>3458</v>
      </c>
      <c r="J849" t="s">
        <v>2500</v>
      </c>
      <c r="K849" t="s">
        <v>2500</v>
      </c>
      <c r="L849" t="s">
        <v>386</v>
      </c>
      <c r="M849" t="s">
        <v>1184</v>
      </c>
      <c r="N849">
        <v>3458</v>
      </c>
      <c r="O849">
        <v>0</v>
      </c>
      <c r="R849" t="s">
        <v>1208</v>
      </c>
      <c r="T849">
        <v>74</v>
      </c>
      <c r="V849" t="s">
        <v>1209</v>
      </c>
      <c r="Z849" t="s">
        <v>865</v>
      </c>
      <c r="AA849" t="s">
        <v>387</v>
      </c>
      <c r="AB849">
        <v>0</v>
      </c>
      <c r="AC849">
        <v>2222</v>
      </c>
      <c r="AD849" t="s">
        <v>2501</v>
      </c>
      <c r="AE849">
        <v>0</v>
      </c>
      <c r="AF849" t="s">
        <v>1188</v>
      </c>
      <c r="AG849" t="s">
        <v>2502</v>
      </c>
    </row>
    <row r="850" spans="1:34" x14ac:dyDescent="0.25">
      <c r="A850">
        <v>1</v>
      </c>
      <c r="C850" s="185"/>
      <c r="E850" t="s">
        <v>386</v>
      </c>
      <c r="F850" t="s">
        <v>2503</v>
      </c>
      <c r="G850" t="s">
        <v>1192</v>
      </c>
      <c r="I850">
        <v>3459</v>
      </c>
      <c r="J850" t="s">
        <v>2503</v>
      </c>
      <c r="K850" t="s">
        <v>2503</v>
      </c>
      <c r="L850" t="s">
        <v>386</v>
      </c>
      <c r="M850" t="s">
        <v>1184</v>
      </c>
      <c r="N850">
        <v>3459</v>
      </c>
      <c r="O850">
        <v>0</v>
      </c>
      <c r="R850" t="s">
        <v>1208</v>
      </c>
      <c r="T850">
        <v>74</v>
      </c>
      <c r="V850" t="s">
        <v>1209</v>
      </c>
      <c r="Z850" t="s">
        <v>865</v>
      </c>
      <c r="AA850" t="s">
        <v>387</v>
      </c>
      <c r="AB850">
        <v>0</v>
      </c>
      <c r="AC850">
        <v>2223</v>
      </c>
      <c r="AD850" t="s">
        <v>2504</v>
      </c>
      <c r="AE850">
        <v>273</v>
      </c>
      <c r="AF850" t="s">
        <v>2505</v>
      </c>
      <c r="AG850" t="s">
        <v>2506</v>
      </c>
    </row>
    <row r="851" spans="1:34" x14ac:dyDescent="0.25">
      <c r="A851">
        <v>1</v>
      </c>
      <c r="C851" s="185"/>
      <c r="E851" t="s">
        <v>386</v>
      </c>
      <c r="F851" t="s">
        <v>2507</v>
      </c>
      <c r="G851" t="s">
        <v>1192</v>
      </c>
      <c r="H851" t="s">
        <v>1710</v>
      </c>
      <c r="I851">
        <v>3460</v>
      </c>
      <c r="J851" t="s">
        <v>2507</v>
      </c>
      <c r="K851" t="s">
        <v>2507</v>
      </c>
      <c r="L851" t="s">
        <v>386</v>
      </c>
      <c r="M851" t="s">
        <v>1184</v>
      </c>
      <c r="N851">
        <v>3460</v>
      </c>
      <c r="O851">
        <v>0</v>
      </c>
      <c r="R851" t="s">
        <v>1208</v>
      </c>
      <c r="T851">
        <v>35</v>
      </c>
      <c r="V851" t="s">
        <v>2015</v>
      </c>
      <c r="Z851" t="s">
        <v>865</v>
      </c>
      <c r="AA851" t="s">
        <v>387</v>
      </c>
      <c r="AB851">
        <v>0</v>
      </c>
      <c r="AC851">
        <v>937</v>
      </c>
      <c r="AD851" t="s">
        <v>2508</v>
      </c>
      <c r="AE851">
        <v>138</v>
      </c>
      <c r="AF851" t="s">
        <v>2509</v>
      </c>
      <c r="AG851" t="s">
        <v>2510</v>
      </c>
    </row>
    <row r="852" spans="1:34" x14ac:dyDescent="0.25">
      <c r="A852">
        <v>1</v>
      </c>
      <c r="C852" s="185"/>
      <c r="E852" t="s">
        <v>386</v>
      </c>
      <c r="F852" t="s">
        <v>1206</v>
      </c>
      <c r="G852" t="s">
        <v>1192</v>
      </c>
      <c r="H852" t="s">
        <v>1207</v>
      </c>
      <c r="I852">
        <v>3468</v>
      </c>
      <c r="J852" t="s">
        <v>1206</v>
      </c>
      <c r="K852" t="s">
        <v>1206</v>
      </c>
      <c r="L852" t="s">
        <v>386</v>
      </c>
      <c r="M852" t="s">
        <v>1184</v>
      </c>
      <c r="N852">
        <v>3468</v>
      </c>
      <c r="O852">
        <v>0</v>
      </c>
      <c r="R852" t="s">
        <v>1208</v>
      </c>
      <c r="T852">
        <v>388</v>
      </c>
      <c r="V852" t="s">
        <v>1712</v>
      </c>
      <c r="W852" t="s">
        <v>1186</v>
      </c>
      <c r="X852">
        <v>0</v>
      </c>
      <c r="Z852" t="s">
        <v>865</v>
      </c>
      <c r="AA852" t="s">
        <v>387</v>
      </c>
      <c r="AB852">
        <v>0</v>
      </c>
      <c r="AC852">
        <v>611</v>
      </c>
      <c r="AD852" t="s">
        <v>1210</v>
      </c>
      <c r="AE852">
        <v>279</v>
      </c>
      <c r="AF852" t="s">
        <v>1211</v>
      </c>
      <c r="AG852" t="s">
        <v>1212</v>
      </c>
    </row>
    <row r="853" spans="1:34" x14ac:dyDescent="0.25">
      <c r="A853">
        <v>1</v>
      </c>
      <c r="C853" s="185"/>
      <c r="E853" t="s">
        <v>386</v>
      </c>
      <c r="F853" t="s">
        <v>2511</v>
      </c>
      <c r="I853">
        <v>4183</v>
      </c>
      <c r="J853" t="s">
        <v>2511</v>
      </c>
      <c r="K853" t="s">
        <v>2511</v>
      </c>
      <c r="L853" t="s">
        <v>386</v>
      </c>
      <c r="M853" t="s">
        <v>1184</v>
      </c>
      <c r="N853">
        <v>4183</v>
      </c>
      <c r="O853">
        <v>0</v>
      </c>
      <c r="R853" t="s">
        <v>1185</v>
      </c>
      <c r="T853">
        <v>0</v>
      </c>
      <c r="V853" t="s">
        <v>1186</v>
      </c>
      <c r="Z853" t="s">
        <v>865</v>
      </c>
      <c r="AA853" t="s">
        <v>387</v>
      </c>
      <c r="AB853">
        <v>0</v>
      </c>
      <c r="AC853">
        <v>0</v>
      </c>
      <c r="AD853" t="s">
        <v>1187</v>
      </c>
      <c r="AE853">
        <v>0</v>
      </c>
      <c r="AF853" t="s">
        <v>1188</v>
      </c>
      <c r="AH853" t="s">
        <v>2512</v>
      </c>
    </row>
    <row r="854" spans="1:34" x14ac:dyDescent="0.25">
      <c r="A854">
        <v>1576</v>
      </c>
      <c r="C854" s="185"/>
      <c r="E854" t="s">
        <v>386</v>
      </c>
      <c r="F854" t="s">
        <v>2513</v>
      </c>
      <c r="G854" t="s">
        <v>1197</v>
      </c>
      <c r="I854">
        <v>4212</v>
      </c>
      <c r="J854" t="s">
        <v>2513</v>
      </c>
      <c r="K854" t="s">
        <v>2514</v>
      </c>
      <c r="L854" t="s">
        <v>386</v>
      </c>
      <c r="M854" t="s">
        <v>1193</v>
      </c>
      <c r="N854">
        <v>4212</v>
      </c>
      <c r="O854">
        <v>11</v>
      </c>
      <c r="R854" t="s">
        <v>398</v>
      </c>
      <c r="T854">
        <v>220</v>
      </c>
      <c r="V854" t="s">
        <v>1194</v>
      </c>
      <c r="W854" t="s">
        <v>2024</v>
      </c>
      <c r="X854">
        <v>52</v>
      </c>
      <c r="Z854" t="s">
        <v>2515</v>
      </c>
      <c r="AA854" t="s">
        <v>387</v>
      </c>
      <c r="AB854">
        <v>7000</v>
      </c>
      <c r="AC854">
        <v>2236</v>
      </c>
      <c r="AD854" t="s">
        <v>2516</v>
      </c>
      <c r="AE854">
        <v>0</v>
      </c>
      <c r="AF854" t="s">
        <v>1188</v>
      </c>
      <c r="AH854" t="s">
        <v>2517</v>
      </c>
    </row>
    <row r="855" spans="1:34" x14ac:dyDescent="0.25">
      <c r="A855">
        <v>1577</v>
      </c>
      <c r="C855" s="185"/>
      <c r="D855" t="s">
        <v>24</v>
      </c>
      <c r="E855" t="s">
        <v>386</v>
      </c>
      <c r="F855" t="s">
        <v>2518</v>
      </c>
      <c r="G855" t="s">
        <v>1197</v>
      </c>
      <c r="I855">
        <v>4213</v>
      </c>
      <c r="J855" t="s">
        <v>2518</v>
      </c>
      <c r="K855" t="s">
        <v>2519</v>
      </c>
      <c r="L855" t="s">
        <v>386</v>
      </c>
      <c r="M855" t="s">
        <v>1193</v>
      </c>
      <c r="N855">
        <v>4213</v>
      </c>
      <c r="O855">
        <v>56</v>
      </c>
      <c r="R855" t="s">
        <v>398</v>
      </c>
      <c r="T855">
        <v>220</v>
      </c>
      <c r="V855" t="s">
        <v>1194</v>
      </c>
      <c r="W855" t="s">
        <v>1194</v>
      </c>
      <c r="X855">
        <v>220</v>
      </c>
      <c r="Z855" t="s">
        <v>2520</v>
      </c>
      <c r="AA855" t="s">
        <v>387</v>
      </c>
      <c r="AB855">
        <v>48000</v>
      </c>
      <c r="AC855">
        <v>2237</v>
      </c>
      <c r="AD855" t="s">
        <v>2521</v>
      </c>
      <c r="AE855">
        <v>0</v>
      </c>
      <c r="AF855" t="s">
        <v>1188</v>
      </c>
      <c r="AG855" t="s">
        <v>2197</v>
      </c>
      <c r="AH855" t="s">
        <v>2522</v>
      </c>
    </row>
    <row r="856" spans="1:34" x14ac:dyDescent="0.25">
      <c r="A856">
        <v>1578</v>
      </c>
      <c r="C856" s="185"/>
      <c r="D856" t="s">
        <v>24</v>
      </c>
      <c r="E856" t="s">
        <v>386</v>
      </c>
      <c r="F856" t="s">
        <v>2523</v>
      </c>
      <c r="G856" t="s">
        <v>1197</v>
      </c>
      <c r="I856">
        <v>4214</v>
      </c>
      <c r="J856" t="s">
        <v>2523</v>
      </c>
      <c r="K856" t="s">
        <v>2524</v>
      </c>
      <c r="L856" t="s">
        <v>386</v>
      </c>
      <c r="M856" t="s">
        <v>1193</v>
      </c>
      <c r="N856">
        <v>4214</v>
      </c>
      <c r="O856">
        <v>37</v>
      </c>
      <c r="R856" t="s">
        <v>398</v>
      </c>
      <c r="T856">
        <v>220</v>
      </c>
      <c r="V856" t="s">
        <v>1194</v>
      </c>
      <c r="W856" t="s">
        <v>1194</v>
      </c>
      <c r="X856">
        <v>220</v>
      </c>
      <c r="Z856" t="s">
        <v>872</v>
      </c>
      <c r="AA856" t="s">
        <v>387</v>
      </c>
      <c r="AB856">
        <v>29000</v>
      </c>
      <c r="AC856">
        <v>2238</v>
      </c>
      <c r="AD856" t="s">
        <v>2525</v>
      </c>
      <c r="AE856">
        <v>0</v>
      </c>
      <c r="AF856" t="s">
        <v>1188</v>
      </c>
      <c r="AG856" t="s">
        <v>2526</v>
      </c>
      <c r="AH856" t="s">
        <v>2527</v>
      </c>
    </row>
    <row r="857" spans="1:34" x14ac:dyDescent="0.25">
      <c r="A857">
        <v>1579</v>
      </c>
      <c r="C857" s="185"/>
      <c r="E857" t="s">
        <v>386</v>
      </c>
      <c r="F857" t="s">
        <v>2528</v>
      </c>
      <c r="G857" t="s">
        <v>1197</v>
      </c>
      <c r="I857">
        <v>4215</v>
      </c>
      <c r="J857" t="s">
        <v>2528</v>
      </c>
      <c r="K857" t="s">
        <v>2529</v>
      </c>
      <c r="L857" t="s">
        <v>386</v>
      </c>
      <c r="M857" t="s">
        <v>1193</v>
      </c>
      <c r="N857">
        <v>4215</v>
      </c>
      <c r="O857">
        <v>11</v>
      </c>
      <c r="R857" t="s">
        <v>398</v>
      </c>
      <c r="T857">
        <v>220</v>
      </c>
      <c r="V857" t="s">
        <v>1194</v>
      </c>
      <c r="W857" t="s">
        <v>2024</v>
      </c>
      <c r="X857">
        <v>52</v>
      </c>
      <c r="Z857" t="s">
        <v>2530</v>
      </c>
      <c r="AA857" t="s">
        <v>387</v>
      </c>
      <c r="AB857">
        <v>7000</v>
      </c>
      <c r="AC857">
        <v>2239</v>
      </c>
      <c r="AD857" t="s">
        <v>2531</v>
      </c>
      <c r="AE857">
        <v>0</v>
      </c>
      <c r="AF857" t="s">
        <v>1188</v>
      </c>
      <c r="AG857" t="s">
        <v>2532</v>
      </c>
      <c r="AH857" t="s">
        <v>2533</v>
      </c>
    </row>
    <row r="858" spans="1:34" x14ac:dyDescent="0.25">
      <c r="A858">
        <v>1580</v>
      </c>
      <c r="C858" s="185"/>
      <c r="E858" t="s">
        <v>386</v>
      </c>
      <c r="F858" t="s">
        <v>2534</v>
      </c>
      <c r="G858" t="s">
        <v>1197</v>
      </c>
      <c r="I858">
        <v>4216</v>
      </c>
      <c r="J858" t="s">
        <v>2534</v>
      </c>
      <c r="K858" t="s">
        <v>2535</v>
      </c>
      <c r="L858" t="s">
        <v>386</v>
      </c>
      <c r="M858" t="s">
        <v>1193</v>
      </c>
      <c r="N858">
        <v>4216</v>
      </c>
      <c r="O858">
        <v>56</v>
      </c>
      <c r="R858" t="s">
        <v>398</v>
      </c>
      <c r="T858">
        <v>220</v>
      </c>
      <c r="V858" t="s">
        <v>1194</v>
      </c>
      <c r="W858" t="s">
        <v>2024</v>
      </c>
      <c r="X858">
        <v>52</v>
      </c>
      <c r="Z858" t="s">
        <v>2536</v>
      </c>
      <c r="AA858" t="s">
        <v>387</v>
      </c>
      <c r="AB858">
        <v>48000</v>
      </c>
      <c r="AC858">
        <v>2240</v>
      </c>
      <c r="AD858" t="s">
        <v>2537</v>
      </c>
      <c r="AE858">
        <v>0</v>
      </c>
      <c r="AF858" t="s">
        <v>1188</v>
      </c>
      <c r="AG858" t="s">
        <v>1244</v>
      </c>
      <c r="AH858" t="s">
        <v>2538</v>
      </c>
    </row>
    <row r="859" spans="1:34" x14ac:dyDescent="0.25">
      <c r="A859">
        <v>1507</v>
      </c>
      <c r="C859" s="185"/>
      <c r="E859" t="s">
        <v>386</v>
      </c>
      <c r="F859" t="s">
        <v>2539</v>
      </c>
      <c r="G859" t="s">
        <v>1197</v>
      </c>
      <c r="I859">
        <v>4217</v>
      </c>
      <c r="J859" t="s">
        <v>2539</v>
      </c>
      <c r="K859" t="s">
        <v>2540</v>
      </c>
      <c r="L859" t="s">
        <v>386</v>
      </c>
      <c r="M859" t="s">
        <v>1193</v>
      </c>
      <c r="N859">
        <v>4217</v>
      </c>
      <c r="O859">
        <v>56</v>
      </c>
      <c r="R859" t="s">
        <v>398</v>
      </c>
      <c r="T859">
        <v>220</v>
      </c>
      <c r="V859" t="s">
        <v>1194</v>
      </c>
      <c r="W859" t="s">
        <v>2024</v>
      </c>
      <c r="X859">
        <v>52</v>
      </c>
      <c r="Z859" t="s">
        <v>2421</v>
      </c>
      <c r="AA859" t="s">
        <v>387</v>
      </c>
      <c r="AB859">
        <v>48000</v>
      </c>
      <c r="AC859">
        <v>2241</v>
      </c>
      <c r="AD859" t="s">
        <v>2541</v>
      </c>
      <c r="AE859">
        <v>0</v>
      </c>
      <c r="AF859" t="s">
        <v>1188</v>
      </c>
      <c r="AH859" t="s">
        <v>2538</v>
      </c>
    </row>
    <row r="860" spans="1:34" x14ac:dyDescent="0.25">
      <c r="A860">
        <v>1581</v>
      </c>
      <c r="C860" s="185"/>
      <c r="E860" t="s">
        <v>386</v>
      </c>
      <c r="F860" t="s">
        <v>2542</v>
      </c>
      <c r="G860" t="s">
        <v>1197</v>
      </c>
      <c r="I860">
        <v>4221</v>
      </c>
      <c r="J860" t="s">
        <v>2542</v>
      </c>
      <c r="K860" t="s">
        <v>2543</v>
      </c>
      <c r="L860" t="s">
        <v>386</v>
      </c>
      <c r="M860" t="s">
        <v>1193</v>
      </c>
      <c r="N860">
        <v>4221</v>
      </c>
      <c r="O860">
        <v>37</v>
      </c>
      <c r="R860" t="s">
        <v>398</v>
      </c>
      <c r="T860">
        <v>220</v>
      </c>
      <c r="V860" t="s">
        <v>1194</v>
      </c>
      <c r="W860" t="s">
        <v>2024</v>
      </c>
      <c r="X860">
        <v>52</v>
      </c>
      <c r="Z860" t="s">
        <v>1065</v>
      </c>
      <c r="AA860" t="s">
        <v>387</v>
      </c>
      <c r="AB860">
        <v>29000</v>
      </c>
      <c r="AC860">
        <v>2244</v>
      </c>
      <c r="AD860" t="s">
        <v>2544</v>
      </c>
      <c r="AE860">
        <v>0</v>
      </c>
      <c r="AF860" t="s">
        <v>1188</v>
      </c>
      <c r="AG860" t="s">
        <v>2545</v>
      </c>
    </row>
    <row r="861" spans="1:34" x14ac:dyDescent="0.25">
      <c r="A861">
        <v>2190</v>
      </c>
      <c r="C861" s="185"/>
      <c r="E861" t="s">
        <v>386</v>
      </c>
      <c r="F861" t="s">
        <v>756</v>
      </c>
      <c r="G861" t="s">
        <v>1197</v>
      </c>
      <c r="I861">
        <v>4222</v>
      </c>
      <c r="J861" t="s">
        <v>756</v>
      </c>
      <c r="K861" t="s">
        <v>2546</v>
      </c>
      <c r="L861" t="s">
        <v>386</v>
      </c>
      <c r="M861" t="s">
        <v>1193</v>
      </c>
      <c r="N861">
        <v>4222</v>
      </c>
      <c r="O861">
        <v>37</v>
      </c>
      <c r="R861" t="s">
        <v>398</v>
      </c>
      <c r="T861">
        <v>138</v>
      </c>
      <c r="V861" t="s">
        <v>2223</v>
      </c>
      <c r="W861" t="s">
        <v>1216</v>
      </c>
      <c r="X861">
        <v>260</v>
      </c>
      <c r="Z861" t="s">
        <v>936</v>
      </c>
      <c r="AA861" t="s">
        <v>387</v>
      </c>
      <c r="AB861">
        <v>29000</v>
      </c>
      <c r="AC861">
        <v>6255</v>
      </c>
      <c r="AD861" t="s">
        <v>2547</v>
      </c>
      <c r="AE861">
        <v>2865</v>
      </c>
      <c r="AF861" t="s">
        <v>2548</v>
      </c>
      <c r="AH861" t="s">
        <v>2549</v>
      </c>
    </row>
    <row r="862" spans="1:34" x14ac:dyDescent="0.25">
      <c r="A862">
        <v>1583</v>
      </c>
      <c r="C862" s="185"/>
      <c r="E862" t="s">
        <v>386</v>
      </c>
      <c r="F862" t="s">
        <v>595</v>
      </c>
      <c r="G862" t="s">
        <v>1197</v>
      </c>
      <c r="I862">
        <v>4223</v>
      </c>
      <c r="J862" t="s">
        <v>595</v>
      </c>
      <c r="K862" t="s">
        <v>2550</v>
      </c>
      <c r="L862" t="s">
        <v>386</v>
      </c>
      <c r="M862" t="s">
        <v>1193</v>
      </c>
      <c r="N862">
        <v>4223</v>
      </c>
      <c r="O862">
        <v>37</v>
      </c>
      <c r="R862" t="s">
        <v>398</v>
      </c>
      <c r="T862">
        <v>260</v>
      </c>
      <c r="V862" t="s">
        <v>1216</v>
      </c>
      <c r="W862" t="s">
        <v>1194</v>
      </c>
      <c r="X862">
        <v>220</v>
      </c>
      <c r="Z862" t="s">
        <v>2551</v>
      </c>
      <c r="AA862" t="s">
        <v>387</v>
      </c>
      <c r="AB862">
        <v>29000</v>
      </c>
      <c r="AC862">
        <v>6265</v>
      </c>
      <c r="AD862" t="s">
        <v>2552</v>
      </c>
      <c r="AE862">
        <v>2870</v>
      </c>
      <c r="AF862" t="s">
        <v>2553</v>
      </c>
      <c r="AG862" t="s">
        <v>2554</v>
      </c>
    </row>
    <row r="863" spans="1:34" x14ac:dyDescent="0.25">
      <c r="A863">
        <v>1584</v>
      </c>
      <c r="C863" s="185"/>
      <c r="E863" t="s">
        <v>386</v>
      </c>
      <c r="F863" t="s">
        <v>2555</v>
      </c>
      <c r="G863" t="s">
        <v>1197</v>
      </c>
      <c r="I863">
        <v>4224</v>
      </c>
      <c r="J863" t="s">
        <v>2555</v>
      </c>
      <c r="K863" t="s">
        <v>2556</v>
      </c>
      <c r="L863" t="s">
        <v>386</v>
      </c>
      <c r="M863" t="s">
        <v>1193</v>
      </c>
      <c r="N863">
        <v>4224</v>
      </c>
      <c r="O863">
        <v>37</v>
      </c>
      <c r="R863" t="s">
        <v>398</v>
      </c>
      <c r="T863">
        <v>220</v>
      </c>
      <c r="V863" t="s">
        <v>1194</v>
      </c>
      <c r="W863" t="s">
        <v>2024</v>
      </c>
      <c r="X863">
        <v>52</v>
      </c>
      <c r="Z863" t="s">
        <v>2557</v>
      </c>
      <c r="AA863" t="s">
        <v>387</v>
      </c>
      <c r="AB863">
        <v>29000</v>
      </c>
      <c r="AC863">
        <v>2247</v>
      </c>
      <c r="AD863" t="s">
        <v>2558</v>
      </c>
      <c r="AE863">
        <v>0</v>
      </c>
      <c r="AF863" t="s">
        <v>1188</v>
      </c>
      <c r="AG863" t="s">
        <v>1244</v>
      </c>
    </row>
    <row r="864" spans="1:34" x14ac:dyDescent="0.25">
      <c r="A864">
        <v>1585</v>
      </c>
      <c r="C864" s="185"/>
      <c r="E864" t="s">
        <v>386</v>
      </c>
      <c r="F864" t="s">
        <v>2559</v>
      </c>
      <c r="G864" t="s">
        <v>1197</v>
      </c>
      <c r="I864">
        <v>4225</v>
      </c>
      <c r="J864" t="s">
        <v>2559</v>
      </c>
      <c r="K864" t="s">
        <v>2560</v>
      </c>
      <c r="L864" t="s">
        <v>386</v>
      </c>
      <c r="M864" t="s">
        <v>1193</v>
      </c>
      <c r="N864">
        <v>4225</v>
      </c>
      <c r="O864">
        <v>11</v>
      </c>
      <c r="R864" t="s">
        <v>398</v>
      </c>
      <c r="T864">
        <v>220</v>
      </c>
      <c r="V864" t="s">
        <v>1194</v>
      </c>
      <c r="W864" t="s">
        <v>2024</v>
      </c>
      <c r="X864">
        <v>52</v>
      </c>
      <c r="Z864" t="s">
        <v>2561</v>
      </c>
      <c r="AA864" t="s">
        <v>387</v>
      </c>
      <c r="AB864">
        <v>7000</v>
      </c>
      <c r="AC864">
        <v>2248</v>
      </c>
      <c r="AD864" t="s">
        <v>2562</v>
      </c>
      <c r="AE864">
        <v>0</v>
      </c>
      <c r="AF864" t="s">
        <v>1188</v>
      </c>
      <c r="AG864" t="s">
        <v>1244</v>
      </c>
    </row>
    <row r="865" spans="1:34" x14ac:dyDescent="0.25">
      <c r="A865">
        <v>1447</v>
      </c>
      <c r="C865" s="185"/>
      <c r="E865" t="s">
        <v>386</v>
      </c>
      <c r="F865" t="s">
        <v>2563</v>
      </c>
      <c r="G865" t="s">
        <v>1192</v>
      </c>
      <c r="H865" t="s">
        <v>2564</v>
      </c>
      <c r="I865">
        <v>4234</v>
      </c>
      <c r="J865" t="s">
        <v>2563</v>
      </c>
      <c r="K865" t="s">
        <v>2563</v>
      </c>
      <c r="L865" t="s">
        <v>386</v>
      </c>
      <c r="M865" t="s">
        <v>1184</v>
      </c>
      <c r="N865">
        <v>4234</v>
      </c>
      <c r="O865">
        <v>19</v>
      </c>
      <c r="R865" t="s">
        <v>1208</v>
      </c>
      <c r="T865">
        <v>122</v>
      </c>
      <c r="V865" t="s">
        <v>1988</v>
      </c>
      <c r="W865" t="s">
        <v>1988</v>
      </c>
      <c r="X865">
        <v>122</v>
      </c>
      <c r="Z865" t="s">
        <v>2113</v>
      </c>
      <c r="AA865" t="s">
        <v>386</v>
      </c>
      <c r="AB865">
        <v>0</v>
      </c>
      <c r="AC865">
        <v>2255</v>
      </c>
      <c r="AD865" t="s">
        <v>2565</v>
      </c>
      <c r="AE865">
        <v>868</v>
      </c>
      <c r="AF865" t="s">
        <v>2566</v>
      </c>
      <c r="AG865" t="s">
        <v>2567</v>
      </c>
    </row>
    <row r="866" spans="1:34" x14ac:dyDescent="0.25">
      <c r="A866">
        <v>1</v>
      </c>
      <c r="C866" s="185"/>
      <c r="E866" t="s">
        <v>386</v>
      </c>
      <c r="F866" t="s">
        <v>2568</v>
      </c>
      <c r="G866" t="s">
        <v>1192</v>
      </c>
      <c r="H866" t="s">
        <v>2569</v>
      </c>
      <c r="I866">
        <v>4252</v>
      </c>
      <c r="J866" t="s">
        <v>2568</v>
      </c>
      <c r="K866" t="s">
        <v>2568</v>
      </c>
      <c r="L866" t="s">
        <v>386</v>
      </c>
      <c r="M866" t="s">
        <v>1184</v>
      </c>
      <c r="N866">
        <v>4252</v>
      </c>
      <c r="O866">
        <v>0</v>
      </c>
      <c r="R866" t="s">
        <v>1208</v>
      </c>
      <c r="T866">
        <v>120</v>
      </c>
      <c r="V866" t="s">
        <v>2570</v>
      </c>
      <c r="Z866" t="s">
        <v>865</v>
      </c>
      <c r="AA866" t="s">
        <v>387</v>
      </c>
      <c r="AB866">
        <v>10000</v>
      </c>
      <c r="AC866">
        <v>2261</v>
      </c>
      <c r="AD866" t="s">
        <v>2571</v>
      </c>
      <c r="AE866">
        <v>113</v>
      </c>
      <c r="AF866" t="s">
        <v>2115</v>
      </c>
      <c r="AG866" t="s">
        <v>2572</v>
      </c>
    </row>
    <row r="867" spans="1:34" x14ac:dyDescent="0.25">
      <c r="A867">
        <v>1</v>
      </c>
      <c r="C867" s="185"/>
      <c r="E867" t="s">
        <v>386</v>
      </c>
      <c r="F867" t="s">
        <v>2573</v>
      </c>
      <c r="G867" t="s">
        <v>1192</v>
      </c>
      <c r="H867" t="s">
        <v>2141</v>
      </c>
      <c r="I867">
        <v>4259</v>
      </c>
      <c r="J867" t="s">
        <v>2573</v>
      </c>
      <c r="K867" t="s">
        <v>2573</v>
      </c>
      <c r="L867" t="s">
        <v>386</v>
      </c>
      <c r="M867" t="s">
        <v>1184</v>
      </c>
      <c r="N867">
        <v>4259</v>
      </c>
      <c r="O867">
        <v>0</v>
      </c>
      <c r="R867" t="s">
        <v>1208</v>
      </c>
      <c r="T867">
        <v>120</v>
      </c>
      <c r="V867" t="s">
        <v>2570</v>
      </c>
      <c r="Z867" t="s">
        <v>865</v>
      </c>
      <c r="AA867" t="s">
        <v>387</v>
      </c>
      <c r="AB867">
        <v>0</v>
      </c>
      <c r="AC867">
        <v>0</v>
      </c>
      <c r="AD867" t="s">
        <v>1187</v>
      </c>
      <c r="AE867">
        <v>0</v>
      </c>
      <c r="AF867" t="s">
        <v>1188</v>
      </c>
    </row>
    <row r="868" spans="1:34" x14ac:dyDescent="0.25">
      <c r="A868">
        <v>1570</v>
      </c>
      <c r="C868" s="185"/>
      <c r="E868" t="s">
        <v>386</v>
      </c>
      <c r="F868" t="s">
        <v>2574</v>
      </c>
      <c r="G868" t="s">
        <v>1903</v>
      </c>
      <c r="I868">
        <v>4278</v>
      </c>
      <c r="J868" t="s">
        <v>2574</v>
      </c>
      <c r="K868" t="s">
        <v>2575</v>
      </c>
      <c r="L868" t="s">
        <v>386</v>
      </c>
      <c r="M868" t="s">
        <v>1193</v>
      </c>
      <c r="N868">
        <v>4278</v>
      </c>
      <c r="O868">
        <v>37</v>
      </c>
      <c r="R868" t="s">
        <v>398</v>
      </c>
      <c r="T868">
        <v>220</v>
      </c>
      <c r="V868" t="s">
        <v>1194</v>
      </c>
      <c r="W868" t="s">
        <v>1194</v>
      </c>
      <c r="X868">
        <v>220</v>
      </c>
      <c r="Z868" t="s">
        <v>2576</v>
      </c>
      <c r="AA868" t="s">
        <v>387</v>
      </c>
      <c r="AB868">
        <v>29000</v>
      </c>
      <c r="AC868">
        <v>2272</v>
      </c>
      <c r="AD868" t="s">
        <v>2577</v>
      </c>
      <c r="AE868">
        <v>0</v>
      </c>
      <c r="AF868" t="s">
        <v>1188</v>
      </c>
      <c r="AG868" t="s">
        <v>2578</v>
      </c>
    </row>
    <row r="869" spans="1:34" x14ac:dyDescent="0.25">
      <c r="A869">
        <v>1594</v>
      </c>
      <c r="C869" s="185"/>
      <c r="D869" t="s">
        <v>24</v>
      </c>
      <c r="E869" t="s">
        <v>386</v>
      </c>
      <c r="F869" t="s">
        <v>2579</v>
      </c>
      <c r="G869" t="s">
        <v>1197</v>
      </c>
      <c r="I869">
        <v>4310</v>
      </c>
      <c r="J869" t="s">
        <v>2579</v>
      </c>
      <c r="K869" t="s">
        <v>2580</v>
      </c>
      <c r="L869" t="s">
        <v>386</v>
      </c>
      <c r="M869" t="s">
        <v>1193</v>
      </c>
      <c r="N869">
        <v>4310</v>
      </c>
      <c r="O869">
        <v>11</v>
      </c>
      <c r="R869" t="s">
        <v>398</v>
      </c>
      <c r="T869">
        <v>220</v>
      </c>
      <c r="V869" t="s">
        <v>1194</v>
      </c>
      <c r="W869" t="s">
        <v>2024</v>
      </c>
      <c r="X869">
        <v>52</v>
      </c>
      <c r="Z869" t="s">
        <v>2581</v>
      </c>
      <c r="AA869" t="s">
        <v>387</v>
      </c>
      <c r="AB869">
        <v>7000</v>
      </c>
      <c r="AC869">
        <v>2285</v>
      </c>
      <c r="AD869" t="s">
        <v>2582</v>
      </c>
      <c r="AE869">
        <v>0</v>
      </c>
      <c r="AF869" t="s">
        <v>1188</v>
      </c>
      <c r="AG869" t="s">
        <v>1931</v>
      </c>
      <c r="AH869" t="s">
        <v>2583</v>
      </c>
    </row>
    <row r="870" spans="1:34" x14ac:dyDescent="0.25">
      <c r="A870">
        <v>1</v>
      </c>
      <c r="C870" s="185"/>
      <c r="E870" t="s">
        <v>386</v>
      </c>
      <c r="F870" t="s">
        <v>2584</v>
      </c>
      <c r="G870" t="s">
        <v>1192</v>
      </c>
      <c r="H870" t="s">
        <v>2585</v>
      </c>
      <c r="I870">
        <v>4319</v>
      </c>
      <c r="J870" t="s">
        <v>2584</v>
      </c>
      <c r="K870" t="s">
        <v>2584</v>
      </c>
      <c r="L870" t="s">
        <v>386</v>
      </c>
      <c r="M870" t="s">
        <v>1184</v>
      </c>
      <c r="N870">
        <v>4319</v>
      </c>
      <c r="O870">
        <v>0</v>
      </c>
      <c r="R870" t="s">
        <v>1208</v>
      </c>
      <c r="T870">
        <v>35</v>
      </c>
      <c r="V870" t="s">
        <v>2015</v>
      </c>
      <c r="Z870" t="s">
        <v>865</v>
      </c>
      <c r="AA870" t="s">
        <v>387</v>
      </c>
      <c r="AB870">
        <v>0</v>
      </c>
      <c r="AC870">
        <v>2288</v>
      </c>
      <c r="AD870" t="s">
        <v>2586</v>
      </c>
      <c r="AE870">
        <v>150</v>
      </c>
      <c r="AF870" t="s">
        <v>2587</v>
      </c>
      <c r="AG870" t="s">
        <v>2588</v>
      </c>
    </row>
    <row r="871" spans="1:34" x14ac:dyDescent="0.25">
      <c r="A871">
        <v>1</v>
      </c>
      <c r="C871" s="185"/>
      <c r="E871" t="s">
        <v>386</v>
      </c>
      <c r="F871" t="s">
        <v>2589</v>
      </c>
      <c r="G871" t="s">
        <v>1192</v>
      </c>
      <c r="H871" t="s">
        <v>2590</v>
      </c>
      <c r="I871">
        <v>4331</v>
      </c>
      <c r="J871" t="s">
        <v>2589</v>
      </c>
      <c r="K871" t="s">
        <v>2589</v>
      </c>
      <c r="L871" t="s">
        <v>386</v>
      </c>
      <c r="M871" t="s">
        <v>1184</v>
      </c>
      <c r="N871">
        <v>4331</v>
      </c>
      <c r="O871">
        <v>0</v>
      </c>
      <c r="R871" t="s">
        <v>1208</v>
      </c>
      <c r="T871">
        <v>74</v>
      </c>
      <c r="V871" t="s">
        <v>1209</v>
      </c>
      <c r="Z871" t="s">
        <v>865</v>
      </c>
      <c r="AA871" t="s">
        <v>387</v>
      </c>
      <c r="AB871">
        <v>0</v>
      </c>
      <c r="AC871">
        <v>2292</v>
      </c>
      <c r="AD871" t="s">
        <v>2591</v>
      </c>
      <c r="AE871">
        <v>826</v>
      </c>
      <c r="AF871" t="s">
        <v>2592</v>
      </c>
      <c r="AG871" t="s">
        <v>2499</v>
      </c>
    </row>
    <row r="872" spans="1:34" x14ac:dyDescent="0.25">
      <c r="A872">
        <v>1</v>
      </c>
      <c r="C872" s="185"/>
      <c r="E872" t="s">
        <v>386</v>
      </c>
      <c r="F872" t="s">
        <v>2593</v>
      </c>
      <c r="G872" t="s">
        <v>1192</v>
      </c>
      <c r="I872">
        <v>4332</v>
      </c>
      <c r="J872" t="s">
        <v>2593</v>
      </c>
      <c r="K872" t="s">
        <v>2593</v>
      </c>
      <c r="L872" t="s">
        <v>386</v>
      </c>
      <c r="M872" t="s">
        <v>1184</v>
      </c>
      <c r="N872">
        <v>4332</v>
      </c>
      <c r="O872">
        <v>0</v>
      </c>
      <c r="R872" t="s">
        <v>1208</v>
      </c>
      <c r="T872">
        <v>74</v>
      </c>
      <c r="V872" t="s">
        <v>1209</v>
      </c>
      <c r="Z872" t="s">
        <v>865</v>
      </c>
      <c r="AA872" t="s">
        <v>387</v>
      </c>
      <c r="AB872">
        <v>0</v>
      </c>
      <c r="AC872">
        <v>2293</v>
      </c>
      <c r="AD872" t="s">
        <v>2594</v>
      </c>
      <c r="AE872">
        <v>826</v>
      </c>
      <c r="AF872" t="s">
        <v>2592</v>
      </c>
      <c r="AG872" t="s">
        <v>2416</v>
      </c>
    </row>
    <row r="873" spans="1:34" x14ac:dyDescent="0.25">
      <c r="A873">
        <v>1</v>
      </c>
      <c r="C873" s="185"/>
      <c r="E873" t="s">
        <v>386</v>
      </c>
      <c r="F873" t="s">
        <v>2595</v>
      </c>
      <c r="G873" t="s">
        <v>1192</v>
      </c>
      <c r="H873" t="s">
        <v>2596</v>
      </c>
      <c r="I873">
        <v>4333</v>
      </c>
      <c r="J873" t="s">
        <v>2595</v>
      </c>
      <c r="K873" t="s">
        <v>2595</v>
      </c>
      <c r="L873" t="s">
        <v>386</v>
      </c>
      <c r="M873" t="s">
        <v>1184</v>
      </c>
      <c r="N873">
        <v>4333</v>
      </c>
      <c r="O873">
        <v>0</v>
      </c>
      <c r="R873" t="s">
        <v>1208</v>
      </c>
      <c r="T873">
        <v>35</v>
      </c>
      <c r="V873" t="s">
        <v>2015</v>
      </c>
      <c r="Z873" t="s">
        <v>865</v>
      </c>
      <c r="AA873" t="s">
        <v>387</v>
      </c>
      <c r="AB873">
        <v>0</v>
      </c>
      <c r="AC873">
        <v>2294</v>
      </c>
      <c r="AD873" t="s">
        <v>2597</v>
      </c>
      <c r="AE873">
        <v>557</v>
      </c>
      <c r="AF873" t="s">
        <v>2598</v>
      </c>
      <c r="AG873" t="s">
        <v>2599</v>
      </c>
    </row>
    <row r="874" spans="1:34" x14ac:dyDescent="0.25">
      <c r="A874">
        <v>1</v>
      </c>
      <c r="C874" s="185"/>
      <c r="E874" t="s">
        <v>386</v>
      </c>
      <c r="F874" t="s">
        <v>2600</v>
      </c>
      <c r="G874" t="s">
        <v>1192</v>
      </c>
      <c r="H874" t="s">
        <v>2601</v>
      </c>
      <c r="I874">
        <v>4335</v>
      </c>
      <c r="J874" t="s">
        <v>2600</v>
      </c>
      <c r="K874" t="s">
        <v>2600</v>
      </c>
      <c r="L874" t="s">
        <v>386</v>
      </c>
      <c r="M874" t="s">
        <v>1184</v>
      </c>
      <c r="N874">
        <v>4335</v>
      </c>
      <c r="O874">
        <v>0</v>
      </c>
      <c r="R874" t="s">
        <v>1208</v>
      </c>
      <c r="T874">
        <v>560</v>
      </c>
      <c r="V874" t="s">
        <v>2602</v>
      </c>
      <c r="W874" t="s">
        <v>2073</v>
      </c>
      <c r="X874">
        <v>372</v>
      </c>
      <c r="Z874" t="s">
        <v>865</v>
      </c>
      <c r="AA874" t="s">
        <v>387</v>
      </c>
      <c r="AB874">
        <v>0</v>
      </c>
      <c r="AC874">
        <v>886</v>
      </c>
      <c r="AD874" t="s">
        <v>2603</v>
      </c>
      <c r="AE874">
        <v>143</v>
      </c>
      <c r="AF874" t="s">
        <v>2604</v>
      </c>
      <c r="AG874" t="s">
        <v>2605</v>
      </c>
    </row>
    <row r="875" spans="1:34" x14ac:dyDescent="0.25">
      <c r="A875">
        <v>1</v>
      </c>
      <c r="C875" s="185"/>
      <c r="E875" t="s">
        <v>386</v>
      </c>
      <c r="F875" t="s">
        <v>2606</v>
      </c>
      <c r="G875" t="s">
        <v>1192</v>
      </c>
      <c r="H875" t="s">
        <v>2607</v>
      </c>
      <c r="I875">
        <v>4381</v>
      </c>
      <c r="J875" t="s">
        <v>2606</v>
      </c>
      <c r="K875" t="s">
        <v>2608</v>
      </c>
      <c r="L875" t="s">
        <v>386</v>
      </c>
      <c r="M875" t="s">
        <v>1193</v>
      </c>
      <c r="N875">
        <v>4381</v>
      </c>
      <c r="O875">
        <v>0</v>
      </c>
      <c r="T875">
        <v>52</v>
      </c>
      <c r="V875" t="s">
        <v>2024</v>
      </c>
      <c r="Z875" t="s">
        <v>865</v>
      </c>
      <c r="AA875" t="s">
        <v>387</v>
      </c>
      <c r="AB875">
        <v>0</v>
      </c>
      <c r="AC875">
        <v>2306</v>
      </c>
      <c r="AD875" t="s">
        <v>2609</v>
      </c>
      <c r="AE875">
        <v>458</v>
      </c>
      <c r="AF875" t="s">
        <v>2610</v>
      </c>
      <c r="AG875" t="s">
        <v>2611</v>
      </c>
      <c r="AH875" t="s">
        <v>2612</v>
      </c>
    </row>
    <row r="876" spans="1:34" x14ac:dyDescent="0.25">
      <c r="A876">
        <v>1</v>
      </c>
      <c r="C876" s="185"/>
      <c r="E876" t="s">
        <v>386</v>
      </c>
      <c r="F876" t="s">
        <v>2613</v>
      </c>
      <c r="G876" t="s">
        <v>1192</v>
      </c>
      <c r="H876" t="s">
        <v>2614</v>
      </c>
      <c r="I876">
        <v>4384</v>
      </c>
      <c r="J876" t="s">
        <v>2613</v>
      </c>
      <c r="K876" t="s">
        <v>2613</v>
      </c>
      <c r="L876" t="s">
        <v>386</v>
      </c>
      <c r="M876" t="s">
        <v>1184</v>
      </c>
      <c r="N876">
        <v>4384</v>
      </c>
      <c r="O876">
        <v>0</v>
      </c>
      <c r="T876">
        <v>52</v>
      </c>
      <c r="V876" t="s">
        <v>2024</v>
      </c>
      <c r="Z876" t="s">
        <v>865</v>
      </c>
      <c r="AA876" t="s">
        <v>387</v>
      </c>
      <c r="AB876">
        <v>0</v>
      </c>
      <c r="AC876">
        <v>210</v>
      </c>
      <c r="AD876" t="s">
        <v>2615</v>
      </c>
      <c r="AE876">
        <v>14</v>
      </c>
      <c r="AF876" t="s">
        <v>2615</v>
      </c>
      <c r="AG876" t="s">
        <v>2616</v>
      </c>
    </row>
    <row r="877" spans="1:34" x14ac:dyDescent="0.25">
      <c r="A877">
        <v>1</v>
      </c>
      <c r="C877" s="185"/>
      <c r="E877" t="s">
        <v>386</v>
      </c>
      <c r="F877" t="s">
        <v>2617</v>
      </c>
      <c r="G877" t="s">
        <v>1192</v>
      </c>
      <c r="H877" t="s">
        <v>2618</v>
      </c>
      <c r="I877">
        <v>4436</v>
      </c>
      <c r="J877" t="s">
        <v>2617</v>
      </c>
      <c r="K877" t="s">
        <v>2617</v>
      </c>
      <c r="L877" t="s">
        <v>386</v>
      </c>
      <c r="M877" t="s">
        <v>1184</v>
      </c>
      <c r="N877">
        <v>4436</v>
      </c>
      <c r="O877">
        <v>0</v>
      </c>
      <c r="R877" t="s">
        <v>1208</v>
      </c>
      <c r="T877">
        <v>260</v>
      </c>
      <c r="V877" t="s">
        <v>1216</v>
      </c>
      <c r="W877" t="s">
        <v>1712</v>
      </c>
      <c r="X877">
        <v>388</v>
      </c>
      <c r="Z877" t="s">
        <v>865</v>
      </c>
      <c r="AA877" t="s">
        <v>387</v>
      </c>
      <c r="AB877">
        <v>0</v>
      </c>
      <c r="AC877">
        <v>3497</v>
      </c>
      <c r="AD877" t="s">
        <v>2619</v>
      </c>
      <c r="AE877">
        <v>802</v>
      </c>
      <c r="AF877" t="s">
        <v>2620</v>
      </c>
      <c r="AG877" t="s">
        <v>2621</v>
      </c>
      <c r="AH877" t="s">
        <v>2622</v>
      </c>
    </row>
    <row r="878" spans="1:34" x14ac:dyDescent="0.25">
      <c r="A878">
        <v>1604</v>
      </c>
      <c r="C878" s="185"/>
      <c r="E878" t="s">
        <v>386</v>
      </c>
      <c r="F878" t="s">
        <v>2623</v>
      </c>
      <c r="G878" t="s">
        <v>1197</v>
      </c>
      <c r="I878">
        <v>4468</v>
      </c>
      <c r="J878" t="s">
        <v>2623</v>
      </c>
      <c r="K878" t="s">
        <v>2623</v>
      </c>
      <c r="L878" t="s">
        <v>386</v>
      </c>
      <c r="M878" t="s">
        <v>1193</v>
      </c>
      <c r="N878">
        <v>4468</v>
      </c>
      <c r="O878">
        <v>0</v>
      </c>
      <c r="R878" t="s">
        <v>398</v>
      </c>
      <c r="T878">
        <v>65</v>
      </c>
      <c r="V878" t="s">
        <v>2315</v>
      </c>
      <c r="Z878" t="s">
        <v>2624</v>
      </c>
      <c r="AA878" t="s">
        <v>387</v>
      </c>
      <c r="AB878">
        <v>0</v>
      </c>
      <c r="AC878">
        <v>2339</v>
      </c>
      <c r="AD878" t="s">
        <v>2625</v>
      </c>
      <c r="AE878">
        <v>1119</v>
      </c>
      <c r="AF878" t="s">
        <v>2626</v>
      </c>
    </row>
    <row r="879" spans="1:34" x14ac:dyDescent="0.25">
      <c r="A879">
        <v>1</v>
      </c>
      <c r="C879" s="185"/>
      <c r="E879" t="s">
        <v>386</v>
      </c>
      <c r="F879" t="s">
        <v>2627</v>
      </c>
      <c r="G879" t="s">
        <v>1192</v>
      </c>
      <c r="I879">
        <v>4491</v>
      </c>
      <c r="J879" t="s">
        <v>2627</v>
      </c>
      <c r="K879" t="s">
        <v>2627</v>
      </c>
      <c r="L879" t="s">
        <v>386</v>
      </c>
      <c r="M879" t="s">
        <v>1193</v>
      </c>
      <c r="N879">
        <v>4491</v>
      </c>
      <c r="O879">
        <v>0</v>
      </c>
      <c r="R879" t="s">
        <v>398</v>
      </c>
      <c r="T879">
        <v>52</v>
      </c>
      <c r="V879" t="s">
        <v>2024</v>
      </c>
      <c r="Z879" t="s">
        <v>865</v>
      </c>
      <c r="AA879" t="s">
        <v>387</v>
      </c>
      <c r="AB879">
        <v>0</v>
      </c>
      <c r="AC879">
        <v>0</v>
      </c>
      <c r="AD879" t="s">
        <v>1187</v>
      </c>
      <c r="AE879">
        <v>0</v>
      </c>
      <c r="AF879" t="s">
        <v>1188</v>
      </c>
    </row>
    <row r="880" spans="1:34" x14ac:dyDescent="0.25">
      <c r="A880">
        <v>1490</v>
      </c>
      <c r="C880" s="185"/>
      <c r="E880" t="s">
        <v>386</v>
      </c>
      <c r="F880" t="s">
        <v>2628</v>
      </c>
      <c r="G880" t="s">
        <v>1197</v>
      </c>
      <c r="I880">
        <v>4492</v>
      </c>
      <c r="J880" t="s">
        <v>2628</v>
      </c>
      <c r="K880" t="s">
        <v>2629</v>
      </c>
      <c r="L880" t="s">
        <v>386</v>
      </c>
      <c r="M880" t="s">
        <v>1193</v>
      </c>
      <c r="N880">
        <v>4492</v>
      </c>
      <c r="O880">
        <v>37</v>
      </c>
      <c r="R880" t="s">
        <v>398</v>
      </c>
      <c r="T880">
        <v>220</v>
      </c>
      <c r="V880" t="s">
        <v>1194</v>
      </c>
      <c r="W880" t="s">
        <v>1194</v>
      </c>
      <c r="X880">
        <v>220</v>
      </c>
      <c r="Z880" t="s">
        <v>2371</v>
      </c>
      <c r="AA880" t="s">
        <v>387</v>
      </c>
      <c r="AB880">
        <v>29000</v>
      </c>
      <c r="AC880">
        <v>2345</v>
      </c>
      <c r="AD880" t="s">
        <v>2630</v>
      </c>
      <c r="AE880">
        <v>0</v>
      </c>
      <c r="AF880" t="s">
        <v>1188</v>
      </c>
      <c r="AG880" t="s">
        <v>1244</v>
      </c>
    </row>
    <row r="881" spans="1:34" x14ac:dyDescent="0.25">
      <c r="A881">
        <v>1605</v>
      </c>
      <c r="C881" s="185"/>
      <c r="E881" t="s">
        <v>386</v>
      </c>
      <c r="F881" t="s">
        <v>2631</v>
      </c>
      <c r="G881" t="s">
        <v>1197</v>
      </c>
      <c r="I881">
        <v>4493</v>
      </c>
      <c r="J881" t="s">
        <v>2631</v>
      </c>
      <c r="K881" t="s">
        <v>2632</v>
      </c>
      <c r="L881" t="s">
        <v>386</v>
      </c>
      <c r="M881" t="s">
        <v>1193</v>
      </c>
      <c r="N881">
        <v>4493</v>
      </c>
      <c r="O881">
        <v>37</v>
      </c>
      <c r="R881" t="s">
        <v>398</v>
      </c>
      <c r="T881">
        <v>220</v>
      </c>
      <c r="V881" t="s">
        <v>1194</v>
      </c>
      <c r="W881" t="s">
        <v>1194</v>
      </c>
      <c r="X881">
        <v>220</v>
      </c>
      <c r="Z881" t="s">
        <v>2633</v>
      </c>
      <c r="AA881" t="s">
        <v>387</v>
      </c>
      <c r="AB881">
        <v>29000</v>
      </c>
      <c r="AC881">
        <v>2346</v>
      </c>
      <c r="AD881" t="s">
        <v>2634</v>
      </c>
      <c r="AE881">
        <v>0</v>
      </c>
      <c r="AF881" t="s">
        <v>1188</v>
      </c>
      <c r="AG881" t="s">
        <v>2635</v>
      </c>
    </row>
    <row r="882" spans="1:34" x14ac:dyDescent="0.25">
      <c r="A882">
        <v>1464</v>
      </c>
      <c r="C882" s="185"/>
      <c r="D882" t="s">
        <v>24</v>
      </c>
      <c r="E882" t="s">
        <v>386</v>
      </c>
      <c r="F882" t="s">
        <v>2440</v>
      </c>
      <c r="G882" t="s">
        <v>1197</v>
      </c>
      <c r="I882">
        <v>4593</v>
      </c>
      <c r="J882" t="s">
        <v>2440</v>
      </c>
      <c r="K882" t="s">
        <v>2636</v>
      </c>
      <c r="L882" t="s">
        <v>386</v>
      </c>
      <c r="M882" t="s">
        <v>1193</v>
      </c>
      <c r="N882">
        <v>4593</v>
      </c>
      <c r="O882">
        <v>37</v>
      </c>
      <c r="R882" t="s">
        <v>398</v>
      </c>
      <c r="T882">
        <v>220</v>
      </c>
      <c r="V882" t="s">
        <v>1194</v>
      </c>
      <c r="W882" t="s">
        <v>1194</v>
      </c>
      <c r="X882">
        <v>220</v>
      </c>
      <c r="Z882" t="s">
        <v>872</v>
      </c>
      <c r="AA882" t="s">
        <v>387</v>
      </c>
      <c r="AB882">
        <v>29000</v>
      </c>
      <c r="AC882">
        <v>2369</v>
      </c>
      <c r="AD882" t="s">
        <v>2637</v>
      </c>
      <c r="AE882">
        <v>1138</v>
      </c>
      <c r="AF882" t="s">
        <v>2638</v>
      </c>
      <c r="AG882" t="s">
        <v>2443</v>
      </c>
      <c r="AH882" t="s">
        <v>2639</v>
      </c>
    </row>
    <row r="883" spans="1:34" x14ac:dyDescent="0.25">
      <c r="A883">
        <v>1</v>
      </c>
      <c r="B883" t="s">
        <v>1313</v>
      </c>
      <c r="C883" s="185"/>
      <c r="E883" t="s">
        <v>386</v>
      </c>
      <c r="F883" t="s">
        <v>2640</v>
      </c>
      <c r="G883" t="s">
        <v>1192</v>
      </c>
      <c r="H883" t="s">
        <v>2641</v>
      </c>
      <c r="I883">
        <v>4690</v>
      </c>
      <c r="J883" t="s">
        <v>2640</v>
      </c>
      <c r="K883" t="s">
        <v>2640</v>
      </c>
      <c r="L883" t="s">
        <v>386</v>
      </c>
      <c r="M883" t="s">
        <v>1184</v>
      </c>
      <c r="N883">
        <v>4690</v>
      </c>
      <c r="O883">
        <v>0</v>
      </c>
      <c r="R883" t="s">
        <v>1208</v>
      </c>
      <c r="S883" t="s">
        <v>1315</v>
      </c>
      <c r="T883">
        <v>122</v>
      </c>
      <c r="U883">
        <v>0</v>
      </c>
      <c r="V883" t="s">
        <v>1988</v>
      </c>
      <c r="W883" t="s">
        <v>1988</v>
      </c>
      <c r="X883">
        <v>122</v>
      </c>
      <c r="Y883" t="s">
        <v>1317</v>
      </c>
      <c r="Z883" t="s">
        <v>865</v>
      </c>
      <c r="AA883" t="s">
        <v>386</v>
      </c>
      <c r="AB883">
        <v>0</v>
      </c>
      <c r="AC883">
        <v>5562</v>
      </c>
      <c r="AD883" t="s">
        <v>2642</v>
      </c>
      <c r="AE883">
        <v>313</v>
      </c>
      <c r="AF883" t="s">
        <v>2643</v>
      </c>
      <c r="AG883" t="s">
        <v>2644</v>
      </c>
      <c r="AH883" t="s">
        <v>2645</v>
      </c>
    </row>
    <row r="884" spans="1:34" x14ac:dyDescent="0.25">
      <c r="A884">
        <v>1468</v>
      </c>
      <c r="C884" s="185"/>
      <c r="E884" t="s">
        <v>386</v>
      </c>
      <c r="F884" t="s">
        <v>2646</v>
      </c>
      <c r="G884" t="s">
        <v>1197</v>
      </c>
      <c r="I884">
        <v>4722</v>
      </c>
      <c r="J884" t="s">
        <v>2646</v>
      </c>
      <c r="K884" t="s">
        <v>2646</v>
      </c>
      <c r="L884" t="s">
        <v>386</v>
      </c>
      <c r="M884" t="s">
        <v>1193</v>
      </c>
      <c r="N884">
        <v>4722</v>
      </c>
      <c r="O884">
        <v>37</v>
      </c>
      <c r="R884" t="s">
        <v>398</v>
      </c>
      <c r="T884">
        <v>220</v>
      </c>
      <c r="V884" t="s">
        <v>1194</v>
      </c>
      <c r="W884" t="s">
        <v>1194</v>
      </c>
      <c r="X884">
        <v>220</v>
      </c>
      <c r="Z884" t="s">
        <v>946</v>
      </c>
      <c r="AA884" t="s">
        <v>387</v>
      </c>
      <c r="AB884">
        <v>29000</v>
      </c>
      <c r="AC884">
        <v>2397</v>
      </c>
      <c r="AD884" t="s">
        <v>2647</v>
      </c>
      <c r="AE884">
        <v>1153</v>
      </c>
      <c r="AF884" t="s">
        <v>2648</v>
      </c>
      <c r="AG884" t="s">
        <v>2599</v>
      </c>
      <c r="AH884" t="s">
        <v>2649</v>
      </c>
    </row>
    <row r="885" spans="1:34" x14ac:dyDescent="0.25">
      <c r="A885">
        <v>1618</v>
      </c>
      <c r="C885" s="185"/>
      <c r="E885" t="s">
        <v>386</v>
      </c>
      <c r="F885" t="s">
        <v>2650</v>
      </c>
      <c r="G885" t="s">
        <v>1197</v>
      </c>
      <c r="I885">
        <v>4723</v>
      </c>
      <c r="J885" t="s">
        <v>2650</v>
      </c>
      <c r="K885" t="s">
        <v>2650</v>
      </c>
      <c r="L885" t="s">
        <v>386</v>
      </c>
      <c r="M885" t="s">
        <v>1193</v>
      </c>
      <c r="N885">
        <v>4723</v>
      </c>
      <c r="O885">
        <v>37</v>
      </c>
      <c r="R885" t="s">
        <v>398</v>
      </c>
      <c r="T885">
        <v>220</v>
      </c>
      <c r="V885" t="s">
        <v>1194</v>
      </c>
      <c r="W885" t="s">
        <v>1194</v>
      </c>
      <c r="X885">
        <v>220</v>
      </c>
      <c r="Z885" t="s">
        <v>1026</v>
      </c>
      <c r="AA885" t="s">
        <v>387</v>
      </c>
      <c r="AB885">
        <v>29000</v>
      </c>
      <c r="AC885">
        <v>2398</v>
      </c>
      <c r="AD885" t="s">
        <v>2651</v>
      </c>
      <c r="AE885">
        <v>0</v>
      </c>
      <c r="AF885" t="s">
        <v>1188</v>
      </c>
      <c r="AG885" t="s">
        <v>2652</v>
      </c>
      <c r="AH885" t="s">
        <v>2653</v>
      </c>
    </row>
    <row r="886" spans="1:34" x14ac:dyDescent="0.25">
      <c r="A886">
        <v>1464</v>
      </c>
      <c r="C886" s="185"/>
      <c r="E886" t="s">
        <v>386</v>
      </c>
      <c r="F886" t="s">
        <v>2654</v>
      </c>
      <c r="G886" t="s">
        <v>1197</v>
      </c>
      <c r="I886">
        <v>4725</v>
      </c>
      <c r="J886" t="s">
        <v>2654</v>
      </c>
      <c r="K886" t="s">
        <v>2655</v>
      </c>
      <c r="L886" t="s">
        <v>386</v>
      </c>
      <c r="M886" t="s">
        <v>1193</v>
      </c>
      <c r="N886">
        <v>4725</v>
      </c>
      <c r="O886">
        <v>0</v>
      </c>
      <c r="R886" t="s">
        <v>398</v>
      </c>
      <c r="T886">
        <v>52</v>
      </c>
      <c r="V886" t="s">
        <v>2024</v>
      </c>
      <c r="Z886" t="s">
        <v>872</v>
      </c>
      <c r="AA886" t="s">
        <v>387</v>
      </c>
      <c r="AB886">
        <v>0</v>
      </c>
      <c r="AC886">
        <v>2400</v>
      </c>
      <c r="AD886" t="s">
        <v>2656</v>
      </c>
      <c r="AE886">
        <v>0</v>
      </c>
      <c r="AF886" t="s">
        <v>1188</v>
      </c>
      <c r="AG886" t="s">
        <v>2657</v>
      </c>
      <c r="AH886" t="s">
        <v>2658</v>
      </c>
    </row>
    <row r="887" spans="1:34" x14ac:dyDescent="0.25">
      <c r="A887">
        <v>205</v>
      </c>
      <c r="C887" s="185"/>
      <c r="D887" t="s">
        <v>24</v>
      </c>
      <c r="E887" t="s">
        <v>386</v>
      </c>
      <c r="F887" t="s">
        <v>2659</v>
      </c>
      <c r="G887" t="s">
        <v>1903</v>
      </c>
      <c r="I887">
        <v>4787</v>
      </c>
      <c r="J887" t="s">
        <v>2659</v>
      </c>
      <c r="K887" t="s">
        <v>2660</v>
      </c>
      <c r="L887" t="s">
        <v>386</v>
      </c>
      <c r="M887" t="s">
        <v>1193</v>
      </c>
      <c r="N887">
        <v>4787</v>
      </c>
      <c r="O887">
        <v>56</v>
      </c>
      <c r="R887" t="s">
        <v>398</v>
      </c>
      <c r="T887">
        <v>220</v>
      </c>
      <c r="V887" t="s">
        <v>1194</v>
      </c>
      <c r="W887" t="s">
        <v>2144</v>
      </c>
      <c r="X887">
        <v>39</v>
      </c>
      <c r="Z887" t="s">
        <v>1012</v>
      </c>
      <c r="AA887" t="s">
        <v>387</v>
      </c>
      <c r="AB887">
        <v>48000</v>
      </c>
      <c r="AC887">
        <v>2722</v>
      </c>
      <c r="AD887" t="s">
        <v>2661</v>
      </c>
      <c r="AE887">
        <v>1160</v>
      </c>
      <c r="AF887" t="s">
        <v>2662</v>
      </c>
      <c r="AG887" t="s">
        <v>1244</v>
      </c>
    </row>
    <row r="888" spans="1:34" x14ac:dyDescent="0.25">
      <c r="A888">
        <v>51</v>
      </c>
      <c r="C888" s="185"/>
      <c r="E888" t="s">
        <v>386</v>
      </c>
      <c r="F888" t="s">
        <v>2663</v>
      </c>
      <c r="G888" t="s">
        <v>1192</v>
      </c>
      <c r="I888">
        <v>5001</v>
      </c>
      <c r="J888" t="s">
        <v>2663</v>
      </c>
      <c r="K888" t="s">
        <v>2663</v>
      </c>
      <c r="L888" t="s">
        <v>386</v>
      </c>
      <c r="M888" t="s">
        <v>1184</v>
      </c>
      <c r="N888">
        <v>5001</v>
      </c>
      <c r="O888">
        <v>0</v>
      </c>
      <c r="T888">
        <v>0</v>
      </c>
      <c r="V888" t="s">
        <v>1186</v>
      </c>
      <c r="Z888" t="s">
        <v>1109</v>
      </c>
      <c r="AA888" t="s">
        <v>387</v>
      </c>
      <c r="AB888">
        <v>0</v>
      </c>
      <c r="AC888">
        <v>0</v>
      </c>
      <c r="AD888" t="s">
        <v>1187</v>
      </c>
      <c r="AE888">
        <v>0</v>
      </c>
      <c r="AF888" t="s">
        <v>1188</v>
      </c>
    </row>
    <row r="889" spans="1:34" x14ac:dyDescent="0.25">
      <c r="A889">
        <v>1479</v>
      </c>
      <c r="C889" s="185"/>
      <c r="E889" t="s">
        <v>386</v>
      </c>
      <c r="F889" t="s">
        <v>2664</v>
      </c>
      <c r="G889" t="s">
        <v>1192</v>
      </c>
      <c r="I889">
        <v>5041</v>
      </c>
      <c r="J889" t="s">
        <v>2664</v>
      </c>
      <c r="K889" t="s">
        <v>2664</v>
      </c>
      <c r="L889" t="s">
        <v>386</v>
      </c>
      <c r="M889" t="s">
        <v>1184</v>
      </c>
      <c r="N889">
        <v>5041</v>
      </c>
      <c r="O889">
        <v>0</v>
      </c>
      <c r="T889">
        <v>0</v>
      </c>
      <c r="V889" t="s">
        <v>1186</v>
      </c>
      <c r="Z889" t="s">
        <v>2665</v>
      </c>
      <c r="AA889" t="s">
        <v>387</v>
      </c>
      <c r="AB889">
        <v>0</v>
      </c>
      <c r="AC889">
        <v>0</v>
      </c>
      <c r="AD889" t="s">
        <v>1187</v>
      </c>
      <c r="AE889">
        <v>0</v>
      </c>
      <c r="AF889" t="s">
        <v>1188</v>
      </c>
    </row>
    <row r="890" spans="1:34" x14ac:dyDescent="0.25">
      <c r="A890">
        <v>1</v>
      </c>
      <c r="C890" s="185"/>
      <c r="E890" t="s">
        <v>386</v>
      </c>
      <c r="F890" t="s">
        <v>1246</v>
      </c>
      <c r="G890" t="s">
        <v>1192</v>
      </c>
      <c r="H890" t="s">
        <v>1710</v>
      </c>
      <c r="I890">
        <v>5371</v>
      </c>
      <c r="J890" t="s">
        <v>2666</v>
      </c>
      <c r="K890" t="s">
        <v>2667</v>
      </c>
      <c r="L890" t="s">
        <v>386</v>
      </c>
      <c r="M890" t="s">
        <v>1184</v>
      </c>
      <c r="N890">
        <v>5091</v>
      </c>
      <c r="O890">
        <v>0</v>
      </c>
      <c r="R890" t="s">
        <v>1208</v>
      </c>
      <c r="T890">
        <v>2</v>
      </c>
      <c r="V890" t="s">
        <v>1205</v>
      </c>
      <c r="Z890" t="s">
        <v>865</v>
      </c>
      <c r="AA890" t="s">
        <v>386</v>
      </c>
      <c r="AB890">
        <v>0</v>
      </c>
      <c r="AC890">
        <v>0</v>
      </c>
      <c r="AD890" t="s">
        <v>1187</v>
      </c>
      <c r="AE890">
        <v>1</v>
      </c>
      <c r="AF890" t="s">
        <v>1922</v>
      </c>
      <c r="AH890" t="s">
        <v>1924</v>
      </c>
    </row>
    <row r="891" spans="1:34" x14ac:dyDescent="0.25">
      <c r="A891">
        <v>1648</v>
      </c>
      <c r="C891" s="185"/>
      <c r="D891" t="s">
        <v>24</v>
      </c>
      <c r="E891" t="s">
        <v>386</v>
      </c>
      <c r="F891" t="s">
        <v>2668</v>
      </c>
      <c r="G891" t="s">
        <v>1192</v>
      </c>
      <c r="I891">
        <v>5139</v>
      </c>
      <c r="J891" t="s">
        <v>2668</v>
      </c>
      <c r="K891" t="s">
        <v>2669</v>
      </c>
      <c r="L891" t="s">
        <v>386</v>
      </c>
      <c r="M891" t="s">
        <v>1193</v>
      </c>
      <c r="N891">
        <v>5139</v>
      </c>
      <c r="O891">
        <v>56</v>
      </c>
      <c r="R891" t="s">
        <v>398</v>
      </c>
      <c r="T891">
        <v>220</v>
      </c>
      <c r="V891" t="s">
        <v>1194</v>
      </c>
      <c r="W891" t="s">
        <v>1194</v>
      </c>
      <c r="X891">
        <v>220</v>
      </c>
      <c r="Z891" t="s">
        <v>2670</v>
      </c>
      <c r="AA891" t="s">
        <v>387</v>
      </c>
      <c r="AB891">
        <v>48000</v>
      </c>
      <c r="AC891">
        <v>2487</v>
      </c>
      <c r="AD891" t="s">
        <v>2671</v>
      </c>
      <c r="AE891">
        <v>0</v>
      </c>
      <c r="AF891" t="s">
        <v>1188</v>
      </c>
      <c r="AG891" t="s">
        <v>2672</v>
      </c>
    </row>
    <row r="892" spans="1:34" x14ac:dyDescent="0.25">
      <c r="A892">
        <v>1</v>
      </c>
      <c r="C892" s="185"/>
      <c r="E892" t="s">
        <v>386</v>
      </c>
      <c r="F892" t="s">
        <v>2673</v>
      </c>
      <c r="G892" t="s">
        <v>1192</v>
      </c>
      <c r="H892" t="s">
        <v>2674</v>
      </c>
      <c r="I892">
        <v>5179</v>
      </c>
      <c r="J892" t="s">
        <v>2673</v>
      </c>
      <c r="K892" t="s">
        <v>2673</v>
      </c>
      <c r="L892" t="s">
        <v>386</v>
      </c>
      <c r="M892" t="s">
        <v>1193</v>
      </c>
      <c r="N892">
        <v>5179</v>
      </c>
      <c r="O892">
        <v>0</v>
      </c>
      <c r="R892" t="s">
        <v>1208</v>
      </c>
      <c r="T892">
        <v>571</v>
      </c>
      <c r="V892" t="s">
        <v>2003</v>
      </c>
      <c r="W892" t="s">
        <v>1199</v>
      </c>
      <c r="X892">
        <v>200</v>
      </c>
      <c r="Z892" t="s">
        <v>865</v>
      </c>
      <c r="AA892" t="s">
        <v>387</v>
      </c>
      <c r="AB892">
        <v>0</v>
      </c>
      <c r="AC892">
        <v>506</v>
      </c>
      <c r="AD892" t="s">
        <v>2675</v>
      </c>
      <c r="AE892">
        <v>103</v>
      </c>
      <c r="AF892" t="s">
        <v>2676</v>
      </c>
      <c r="AG892" t="s">
        <v>2677</v>
      </c>
    </row>
    <row r="893" spans="1:34" x14ac:dyDescent="0.25">
      <c r="A893">
        <v>124</v>
      </c>
      <c r="C893" s="185"/>
      <c r="E893" t="s">
        <v>386</v>
      </c>
      <c r="F893" t="s">
        <v>2678</v>
      </c>
      <c r="G893" t="s">
        <v>1192</v>
      </c>
      <c r="I893">
        <v>5207</v>
      </c>
      <c r="J893" t="s">
        <v>2678</v>
      </c>
      <c r="K893" t="s">
        <v>2678</v>
      </c>
      <c r="L893" t="s">
        <v>386</v>
      </c>
      <c r="M893" t="s">
        <v>1184</v>
      </c>
      <c r="N893">
        <v>5207</v>
      </c>
      <c r="O893">
        <v>0</v>
      </c>
      <c r="T893">
        <v>0</v>
      </c>
      <c r="V893" t="s">
        <v>1186</v>
      </c>
      <c r="Z893" t="s">
        <v>2679</v>
      </c>
      <c r="AA893" t="s">
        <v>387</v>
      </c>
      <c r="AB893">
        <v>0</v>
      </c>
      <c r="AC893">
        <v>0</v>
      </c>
      <c r="AD893" t="s">
        <v>1187</v>
      </c>
      <c r="AE893">
        <v>0</v>
      </c>
      <c r="AF893" t="s">
        <v>1188</v>
      </c>
    </row>
    <row r="894" spans="1:34" x14ac:dyDescent="0.25">
      <c r="A894">
        <v>1659</v>
      </c>
      <c r="C894" s="185"/>
      <c r="E894" t="s">
        <v>386</v>
      </c>
      <c r="F894" t="s">
        <v>2680</v>
      </c>
      <c r="G894" t="s">
        <v>1197</v>
      </c>
      <c r="I894">
        <v>5263</v>
      </c>
      <c r="J894" t="s">
        <v>2680</v>
      </c>
      <c r="K894" t="s">
        <v>2681</v>
      </c>
      <c r="L894" t="s">
        <v>386</v>
      </c>
      <c r="M894" t="s">
        <v>1193</v>
      </c>
      <c r="N894">
        <v>5263</v>
      </c>
      <c r="O894">
        <v>0</v>
      </c>
      <c r="T894">
        <v>65</v>
      </c>
      <c r="V894" t="s">
        <v>2315</v>
      </c>
      <c r="Z894" t="s">
        <v>2682</v>
      </c>
      <c r="AA894" t="s">
        <v>387</v>
      </c>
      <c r="AB894">
        <v>0</v>
      </c>
      <c r="AC894">
        <v>0</v>
      </c>
      <c r="AD894" t="s">
        <v>1187</v>
      </c>
      <c r="AE894">
        <v>0</v>
      </c>
      <c r="AF894" t="s">
        <v>1188</v>
      </c>
    </row>
    <row r="895" spans="1:34" x14ac:dyDescent="0.25">
      <c r="A895">
        <v>1674</v>
      </c>
      <c r="C895" s="185"/>
      <c r="D895" t="s">
        <v>157</v>
      </c>
      <c r="E895" t="s">
        <v>386</v>
      </c>
      <c r="F895" t="s">
        <v>2683</v>
      </c>
      <c r="G895" t="s">
        <v>1192</v>
      </c>
      <c r="H895" t="s">
        <v>2684</v>
      </c>
      <c r="I895">
        <v>5398</v>
      </c>
      <c r="J895" t="s">
        <v>2683</v>
      </c>
      <c r="K895" t="s">
        <v>2683</v>
      </c>
      <c r="L895" t="s">
        <v>386</v>
      </c>
      <c r="M895" t="s">
        <v>1193</v>
      </c>
      <c r="N895">
        <v>5398</v>
      </c>
      <c r="O895">
        <v>0</v>
      </c>
      <c r="T895">
        <v>35</v>
      </c>
      <c r="V895" t="s">
        <v>2015</v>
      </c>
      <c r="Z895" t="s">
        <v>2685</v>
      </c>
      <c r="AA895" t="s">
        <v>387</v>
      </c>
      <c r="AB895">
        <v>0</v>
      </c>
      <c r="AC895">
        <v>2584</v>
      </c>
      <c r="AD895" t="s">
        <v>2686</v>
      </c>
      <c r="AE895">
        <v>1242</v>
      </c>
      <c r="AF895" t="s">
        <v>2687</v>
      </c>
      <c r="AG895" t="s">
        <v>2688</v>
      </c>
    </row>
    <row r="896" spans="1:34" x14ac:dyDescent="0.25">
      <c r="A896">
        <v>1</v>
      </c>
      <c r="C896" s="185"/>
      <c r="E896" t="s">
        <v>386</v>
      </c>
      <c r="F896" t="s">
        <v>2689</v>
      </c>
      <c r="G896" t="s">
        <v>1192</v>
      </c>
      <c r="H896" t="s">
        <v>2690</v>
      </c>
      <c r="I896">
        <v>5413</v>
      </c>
      <c r="J896" t="s">
        <v>2689</v>
      </c>
      <c r="K896" t="s">
        <v>2691</v>
      </c>
      <c r="L896" t="s">
        <v>386</v>
      </c>
      <c r="M896" t="s">
        <v>1193</v>
      </c>
      <c r="N896">
        <v>5413</v>
      </c>
      <c r="O896">
        <v>0</v>
      </c>
      <c r="T896">
        <v>340</v>
      </c>
      <c r="V896" t="s">
        <v>1200</v>
      </c>
      <c r="W896" t="s">
        <v>1530</v>
      </c>
      <c r="X896">
        <v>103</v>
      </c>
      <c r="Z896" t="s">
        <v>865</v>
      </c>
      <c r="AA896" t="s">
        <v>387</v>
      </c>
      <c r="AB896">
        <v>0</v>
      </c>
      <c r="AC896">
        <v>82</v>
      </c>
      <c r="AD896" t="s">
        <v>2692</v>
      </c>
      <c r="AE896">
        <v>983</v>
      </c>
      <c r="AF896" t="s">
        <v>2693</v>
      </c>
      <c r="AG896" t="s">
        <v>2694</v>
      </c>
      <c r="AH896" t="s">
        <v>2695</v>
      </c>
    </row>
    <row r="897" spans="1:34" x14ac:dyDescent="0.25">
      <c r="A897">
        <v>1</v>
      </c>
      <c r="C897" s="185"/>
      <c r="E897" t="s">
        <v>386</v>
      </c>
      <c r="F897" t="s">
        <v>2696</v>
      </c>
      <c r="G897" t="s">
        <v>1192</v>
      </c>
      <c r="H897" t="s">
        <v>2690</v>
      </c>
      <c r="I897">
        <v>5422</v>
      </c>
      <c r="J897" t="s">
        <v>2696</v>
      </c>
      <c r="K897" t="s">
        <v>2696</v>
      </c>
      <c r="L897" t="s">
        <v>386</v>
      </c>
      <c r="M897" t="s">
        <v>1193</v>
      </c>
      <c r="N897">
        <v>5422</v>
      </c>
      <c r="O897">
        <v>0</v>
      </c>
      <c r="T897">
        <v>103</v>
      </c>
      <c r="V897" t="s">
        <v>1530</v>
      </c>
      <c r="Z897" t="s">
        <v>865</v>
      </c>
      <c r="AA897" t="s">
        <v>387</v>
      </c>
      <c r="AB897">
        <v>0</v>
      </c>
      <c r="AC897">
        <v>2592</v>
      </c>
      <c r="AD897" t="s">
        <v>2697</v>
      </c>
      <c r="AE897">
        <v>983</v>
      </c>
      <c r="AF897" t="s">
        <v>2693</v>
      </c>
      <c r="AG897" t="s">
        <v>2698</v>
      </c>
    </row>
    <row r="898" spans="1:34" x14ac:dyDescent="0.25">
      <c r="A898">
        <v>1</v>
      </c>
      <c r="C898" s="185"/>
      <c r="E898" t="s">
        <v>386</v>
      </c>
      <c r="F898" t="s">
        <v>2699</v>
      </c>
      <c r="G898" t="s">
        <v>1192</v>
      </c>
      <c r="H898" t="s">
        <v>2700</v>
      </c>
      <c r="I898">
        <v>5431</v>
      </c>
      <c r="J898" t="s">
        <v>2699</v>
      </c>
      <c r="K898" t="s">
        <v>2699</v>
      </c>
      <c r="L898" t="s">
        <v>386</v>
      </c>
      <c r="M898" t="s">
        <v>1193</v>
      </c>
      <c r="N898">
        <v>5431</v>
      </c>
      <c r="O898">
        <v>0</v>
      </c>
      <c r="T898">
        <v>35</v>
      </c>
      <c r="V898" t="s">
        <v>2015</v>
      </c>
      <c r="Z898" t="s">
        <v>865</v>
      </c>
      <c r="AA898" t="s">
        <v>387</v>
      </c>
      <c r="AB898">
        <v>0</v>
      </c>
      <c r="AC898">
        <v>2596</v>
      </c>
      <c r="AD898" t="s">
        <v>2701</v>
      </c>
      <c r="AE898">
        <v>458</v>
      </c>
      <c r="AF898" t="s">
        <v>2610</v>
      </c>
      <c r="AG898" t="s">
        <v>2702</v>
      </c>
      <c r="AH898" t="s">
        <v>2703</v>
      </c>
    </row>
    <row r="899" spans="1:34" x14ac:dyDescent="0.25">
      <c r="A899">
        <v>1679</v>
      </c>
      <c r="C899" s="185"/>
      <c r="E899" t="s">
        <v>386</v>
      </c>
      <c r="F899" t="s">
        <v>2704</v>
      </c>
      <c r="G899" t="s">
        <v>1903</v>
      </c>
      <c r="I899">
        <v>5449</v>
      </c>
      <c r="J899" t="s">
        <v>2704</v>
      </c>
      <c r="K899" t="s">
        <v>2705</v>
      </c>
      <c r="L899" t="s">
        <v>386</v>
      </c>
      <c r="M899" t="s">
        <v>1193</v>
      </c>
      <c r="N899">
        <v>5449</v>
      </c>
      <c r="O899">
        <v>37</v>
      </c>
      <c r="R899" t="s">
        <v>398</v>
      </c>
      <c r="T899">
        <v>220</v>
      </c>
      <c r="V899" t="s">
        <v>1194</v>
      </c>
      <c r="W899" t="s">
        <v>1194</v>
      </c>
      <c r="X899">
        <v>220</v>
      </c>
      <c r="Z899" t="s">
        <v>2706</v>
      </c>
      <c r="AA899" t="s">
        <v>387</v>
      </c>
      <c r="AB899">
        <v>29000</v>
      </c>
      <c r="AC899">
        <v>2603</v>
      </c>
      <c r="AD899" t="s">
        <v>2707</v>
      </c>
      <c r="AE899">
        <v>0</v>
      </c>
      <c r="AF899" t="s">
        <v>1188</v>
      </c>
      <c r="AG899" t="s">
        <v>2708</v>
      </c>
    </row>
    <row r="900" spans="1:34" x14ac:dyDescent="0.25">
      <c r="A900">
        <v>1680</v>
      </c>
      <c r="C900" s="185"/>
      <c r="E900" t="s">
        <v>386</v>
      </c>
      <c r="F900" t="s">
        <v>2709</v>
      </c>
      <c r="G900" t="s">
        <v>1197</v>
      </c>
      <c r="I900">
        <v>5450</v>
      </c>
      <c r="J900" t="s">
        <v>2709</v>
      </c>
      <c r="K900" t="s">
        <v>2710</v>
      </c>
      <c r="L900" t="s">
        <v>386</v>
      </c>
      <c r="M900" t="s">
        <v>1193</v>
      </c>
      <c r="N900">
        <v>5450</v>
      </c>
      <c r="O900">
        <v>37</v>
      </c>
      <c r="R900" t="s">
        <v>398</v>
      </c>
      <c r="T900">
        <v>220</v>
      </c>
      <c r="V900" t="s">
        <v>1194</v>
      </c>
      <c r="W900" t="s">
        <v>1194</v>
      </c>
      <c r="X900">
        <v>220</v>
      </c>
      <c r="Z900" t="s">
        <v>2711</v>
      </c>
      <c r="AA900" t="s">
        <v>387</v>
      </c>
      <c r="AB900">
        <v>29000</v>
      </c>
      <c r="AC900">
        <v>2604</v>
      </c>
      <c r="AD900" t="s">
        <v>2712</v>
      </c>
      <c r="AE900">
        <v>0</v>
      </c>
      <c r="AF900" t="s">
        <v>1188</v>
      </c>
      <c r="AG900" t="s">
        <v>2713</v>
      </c>
    </row>
    <row r="901" spans="1:34" x14ac:dyDescent="0.25">
      <c r="A901">
        <v>1582</v>
      </c>
      <c r="C901" s="185"/>
      <c r="E901" t="s">
        <v>386</v>
      </c>
      <c r="F901" t="s">
        <v>2714</v>
      </c>
      <c r="G901" t="s">
        <v>1903</v>
      </c>
      <c r="I901">
        <v>5451</v>
      </c>
      <c r="J901" t="s">
        <v>2714</v>
      </c>
      <c r="K901" t="s">
        <v>2715</v>
      </c>
      <c r="L901" t="s">
        <v>386</v>
      </c>
      <c r="M901" t="s">
        <v>1193</v>
      </c>
      <c r="N901">
        <v>5451</v>
      </c>
      <c r="O901">
        <v>37</v>
      </c>
      <c r="R901" t="s">
        <v>398</v>
      </c>
      <c r="T901">
        <v>220</v>
      </c>
      <c r="V901" t="s">
        <v>1194</v>
      </c>
      <c r="W901" t="s">
        <v>1194</v>
      </c>
      <c r="X901">
        <v>220</v>
      </c>
      <c r="Z901" t="s">
        <v>2716</v>
      </c>
      <c r="AA901" t="s">
        <v>387</v>
      </c>
      <c r="AB901">
        <v>29000</v>
      </c>
      <c r="AC901">
        <v>2605</v>
      </c>
      <c r="AD901" t="s">
        <v>2717</v>
      </c>
      <c r="AE901">
        <v>0</v>
      </c>
      <c r="AF901" t="s">
        <v>1188</v>
      </c>
      <c r="AG901" t="s">
        <v>2718</v>
      </c>
      <c r="AH901" t="s">
        <v>2719</v>
      </c>
    </row>
    <row r="902" spans="1:34" x14ac:dyDescent="0.25">
      <c r="A902">
        <v>1681</v>
      </c>
      <c r="C902" s="185"/>
      <c r="E902" t="s">
        <v>386</v>
      </c>
      <c r="F902" t="s">
        <v>2720</v>
      </c>
      <c r="G902" t="s">
        <v>1903</v>
      </c>
      <c r="I902">
        <v>5452</v>
      </c>
      <c r="J902" t="s">
        <v>2720</v>
      </c>
      <c r="K902" t="s">
        <v>2721</v>
      </c>
      <c r="L902" t="s">
        <v>386</v>
      </c>
      <c r="M902" t="s">
        <v>1193</v>
      </c>
      <c r="N902">
        <v>5452</v>
      </c>
      <c r="O902">
        <v>37</v>
      </c>
      <c r="R902" t="s">
        <v>398</v>
      </c>
      <c r="T902">
        <v>220</v>
      </c>
      <c r="V902" t="s">
        <v>1194</v>
      </c>
      <c r="W902" t="s">
        <v>1194</v>
      </c>
      <c r="X902">
        <v>220</v>
      </c>
      <c r="Z902" t="s">
        <v>2722</v>
      </c>
      <c r="AA902" t="s">
        <v>387</v>
      </c>
      <c r="AB902">
        <v>29000</v>
      </c>
      <c r="AC902">
        <v>2606</v>
      </c>
      <c r="AD902" t="s">
        <v>2723</v>
      </c>
      <c r="AE902">
        <v>1251</v>
      </c>
      <c r="AF902" t="s">
        <v>2724</v>
      </c>
      <c r="AG902" t="s">
        <v>1999</v>
      </c>
    </row>
    <row r="903" spans="1:34" x14ac:dyDescent="0.25">
      <c r="A903">
        <v>1842</v>
      </c>
      <c r="C903" s="185"/>
      <c r="E903" t="s">
        <v>386</v>
      </c>
      <c r="F903" t="s">
        <v>2725</v>
      </c>
      <c r="I903">
        <v>10204</v>
      </c>
      <c r="J903" t="s">
        <v>2726</v>
      </c>
      <c r="K903" t="s">
        <v>2726</v>
      </c>
      <c r="L903" t="s">
        <v>386</v>
      </c>
      <c r="M903" t="s">
        <v>1193</v>
      </c>
      <c r="N903">
        <v>5461</v>
      </c>
      <c r="O903">
        <v>11</v>
      </c>
      <c r="R903" t="s">
        <v>398</v>
      </c>
      <c r="T903">
        <v>146</v>
      </c>
      <c r="V903" t="s">
        <v>2727</v>
      </c>
      <c r="Z903" t="s">
        <v>2728</v>
      </c>
      <c r="AA903" t="s">
        <v>387</v>
      </c>
      <c r="AB903">
        <v>7000</v>
      </c>
      <c r="AC903">
        <v>3975</v>
      </c>
      <c r="AD903" t="s">
        <v>2729</v>
      </c>
      <c r="AE903">
        <v>0</v>
      </c>
      <c r="AF903" t="s">
        <v>1188</v>
      </c>
      <c r="AG903" t="s">
        <v>2730</v>
      </c>
    </row>
    <row r="904" spans="1:34" x14ac:dyDescent="0.25">
      <c r="A904">
        <v>1842</v>
      </c>
      <c r="C904" s="185"/>
      <c r="E904" t="s">
        <v>386</v>
      </c>
      <c r="F904" t="s">
        <v>2725</v>
      </c>
      <c r="G904" t="s">
        <v>1192</v>
      </c>
      <c r="I904">
        <v>10203</v>
      </c>
      <c r="J904" t="s">
        <v>2731</v>
      </c>
      <c r="K904" t="s">
        <v>2731</v>
      </c>
      <c r="L904" t="s">
        <v>386</v>
      </c>
      <c r="M904" t="s">
        <v>1193</v>
      </c>
      <c r="N904">
        <v>5461</v>
      </c>
      <c r="O904">
        <v>11</v>
      </c>
      <c r="R904" t="s">
        <v>398</v>
      </c>
      <c r="T904">
        <v>52</v>
      </c>
      <c r="V904" t="s">
        <v>2024</v>
      </c>
      <c r="Z904" t="s">
        <v>2728</v>
      </c>
      <c r="AA904" t="s">
        <v>387</v>
      </c>
      <c r="AB904">
        <v>7000</v>
      </c>
      <c r="AC904">
        <v>3975</v>
      </c>
      <c r="AD904" t="s">
        <v>2729</v>
      </c>
      <c r="AE904">
        <v>0</v>
      </c>
      <c r="AF904" t="s">
        <v>1188</v>
      </c>
      <c r="AG904" t="s">
        <v>2730</v>
      </c>
    </row>
    <row r="905" spans="1:34" x14ac:dyDescent="0.25">
      <c r="A905">
        <v>1686</v>
      </c>
      <c r="C905" s="185"/>
      <c r="D905" t="s">
        <v>157</v>
      </c>
      <c r="E905" t="s">
        <v>386</v>
      </c>
      <c r="F905" t="s">
        <v>2725</v>
      </c>
      <c r="G905" t="s">
        <v>1903</v>
      </c>
      <c r="I905">
        <v>5461</v>
      </c>
      <c r="J905" t="s">
        <v>2725</v>
      </c>
      <c r="K905" t="s">
        <v>2732</v>
      </c>
      <c r="L905" t="s">
        <v>386</v>
      </c>
      <c r="M905" t="s">
        <v>1193</v>
      </c>
      <c r="N905">
        <v>5461</v>
      </c>
      <c r="O905">
        <v>11</v>
      </c>
      <c r="R905" t="s">
        <v>398</v>
      </c>
      <c r="T905">
        <v>52</v>
      </c>
      <c r="V905" t="s">
        <v>2024</v>
      </c>
      <c r="Z905" t="s">
        <v>2733</v>
      </c>
      <c r="AA905" t="s">
        <v>387</v>
      </c>
      <c r="AB905">
        <v>7000</v>
      </c>
      <c r="AC905">
        <v>2611</v>
      </c>
      <c r="AD905" t="s">
        <v>2734</v>
      </c>
      <c r="AE905">
        <v>0</v>
      </c>
      <c r="AF905" t="s">
        <v>1188</v>
      </c>
      <c r="AG905" t="s">
        <v>1244</v>
      </c>
    </row>
    <row r="906" spans="1:34" x14ac:dyDescent="0.25">
      <c r="A906">
        <v>1</v>
      </c>
      <c r="C906" s="185"/>
      <c r="E906" t="s">
        <v>386</v>
      </c>
      <c r="F906" t="s">
        <v>2735</v>
      </c>
      <c r="G906" t="s">
        <v>1192</v>
      </c>
      <c r="H906" t="s">
        <v>2736</v>
      </c>
      <c r="I906">
        <v>5466</v>
      </c>
      <c r="J906" t="s">
        <v>2735</v>
      </c>
      <c r="K906" t="s">
        <v>2735</v>
      </c>
      <c r="L906" t="s">
        <v>386</v>
      </c>
      <c r="M906" t="s">
        <v>1184</v>
      </c>
      <c r="N906">
        <v>5466</v>
      </c>
      <c r="O906">
        <v>0</v>
      </c>
      <c r="T906">
        <v>52</v>
      </c>
      <c r="V906" t="s">
        <v>2024</v>
      </c>
      <c r="Z906" t="s">
        <v>865</v>
      </c>
      <c r="AA906" t="s">
        <v>387</v>
      </c>
      <c r="AB906">
        <v>0</v>
      </c>
      <c r="AC906">
        <v>2301</v>
      </c>
      <c r="AD906" t="s">
        <v>2737</v>
      </c>
      <c r="AE906">
        <v>433</v>
      </c>
      <c r="AF906" t="s">
        <v>2738</v>
      </c>
      <c r="AG906" t="s">
        <v>2739</v>
      </c>
    </row>
    <row r="907" spans="1:34" x14ac:dyDescent="0.25">
      <c r="A907">
        <v>1</v>
      </c>
      <c r="C907" s="185">
        <v>29394</v>
      </c>
      <c r="E907" t="s">
        <v>386</v>
      </c>
      <c r="F907" t="s">
        <v>2740</v>
      </c>
      <c r="G907" t="s">
        <v>1192</v>
      </c>
      <c r="H907" t="s">
        <v>2741</v>
      </c>
      <c r="I907">
        <v>5486</v>
      </c>
      <c r="J907" t="s">
        <v>2740</v>
      </c>
      <c r="K907" t="s">
        <v>2740</v>
      </c>
      <c r="L907" t="s">
        <v>386</v>
      </c>
      <c r="M907" t="s">
        <v>1184</v>
      </c>
      <c r="N907">
        <v>5486</v>
      </c>
      <c r="O907">
        <v>0</v>
      </c>
      <c r="R907" t="s">
        <v>1223</v>
      </c>
      <c r="T907">
        <v>388</v>
      </c>
      <c r="V907" t="s">
        <v>1712</v>
      </c>
      <c r="W907" t="s">
        <v>1215</v>
      </c>
      <c r="X907">
        <v>259</v>
      </c>
      <c r="Z907" t="s">
        <v>865</v>
      </c>
      <c r="AA907" t="s">
        <v>386</v>
      </c>
      <c r="AB907">
        <v>0</v>
      </c>
      <c r="AC907">
        <v>3858</v>
      </c>
      <c r="AD907" t="s">
        <v>2742</v>
      </c>
      <c r="AE907">
        <v>164</v>
      </c>
      <c r="AF907" t="s">
        <v>2743</v>
      </c>
      <c r="AG907" t="s">
        <v>2744</v>
      </c>
    </row>
    <row r="908" spans="1:34" x14ac:dyDescent="0.25">
      <c r="A908">
        <v>1477</v>
      </c>
      <c r="C908" s="185"/>
      <c r="E908" t="s">
        <v>386</v>
      </c>
      <c r="F908" t="s">
        <v>2745</v>
      </c>
      <c r="G908" t="s">
        <v>1903</v>
      </c>
      <c r="I908">
        <v>5498</v>
      </c>
      <c r="J908" t="s">
        <v>2745</v>
      </c>
      <c r="K908" t="s">
        <v>2746</v>
      </c>
      <c r="L908" t="s">
        <v>386</v>
      </c>
      <c r="M908" t="s">
        <v>1193</v>
      </c>
      <c r="N908">
        <v>5498</v>
      </c>
      <c r="O908">
        <v>37</v>
      </c>
      <c r="R908" t="s">
        <v>398</v>
      </c>
      <c r="T908">
        <v>220</v>
      </c>
      <c r="V908" t="s">
        <v>1194</v>
      </c>
      <c r="W908" t="s">
        <v>2024</v>
      </c>
      <c r="X908">
        <v>52</v>
      </c>
      <c r="Z908" t="s">
        <v>2339</v>
      </c>
      <c r="AA908" t="s">
        <v>387</v>
      </c>
      <c r="AB908">
        <v>29000</v>
      </c>
      <c r="AC908">
        <v>2619</v>
      </c>
      <c r="AD908" t="s">
        <v>2747</v>
      </c>
      <c r="AE908">
        <v>1256</v>
      </c>
      <c r="AF908" t="s">
        <v>2748</v>
      </c>
      <c r="AG908" t="s">
        <v>2749</v>
      </c>
    </row>
    <row r="909" spans="1:34" x14ac:dyDescent="0.25">
      <c r="A909">
        <v>1687</v>
      </c>
      <c r="C909" s="185"/>
      <c r="E909" t="s">
        <v>386</v>
      </c>
      <c r="F909" t="s">
        <v>2750</v>
      </c>
      <c r="G909" t="s">
        <v>1197</v>
      </c>
      <c r="I909">
        <v>5506</v>
      </c>
      <c r="J909" t="s">
        <v>2750</v>
      </c>
      <c r="K909" t="s">
        <v>2751</v>
      </c>
      <c r="L909" t="s">
        <v>386</v>
      </c>
      <c r="M909" t="s">
        <v>1193</v>
      </c>
      <c r="N909">
        <v>5506</v>
      </c>
      <c r="O909">
        <v>37</v>
      </c>
      <c r="R909" t="s">
        <v>398</v>
      </c>
      <c r="T909">
        <v>220</v>
      </c>
      <c r="V909" t="s">
        <v>1194</v>
      </c>
      <c r="W909" t="s">
        <v>1194</v>
      </c>
      <c r="X909">
        <v>220</v>
      </c>
      <c r="Z909" t="s">
        <v>2752</v>
      </c>
      <c r="AA909" t="s">
        <v>387</v>
      </c>
      <c r="AB909">
        <v>29000</v>
      </c>
      <c r="AC909">
        <v>2621</v>
      </c>
      <c r="AD909" t="s">
        <v>2753</v>
      </c>
      <c r="AE909">
        <v>0</v>
      </c>
      <c r="AF909" t="s">
        <v>1188</v>
      </c>
      <c r="AG909" t="s">
        <v>2754</v>
      </c>
    </row>
    <row r="910" spans="1:34" x14ac:dyDescent="0.25">
      <c r="A910">
        <v>1468</v>
      </c>
      <c r="C910" s="185"/>
      <c r="E910" t="s">
        <v>386</v>
      </c>
      <c r="F910" t="s">
        <v>2755</v>
      </c>
      <c r="G910" t="s">
        <v>1197</v>
      </c>
      <c r="I910">
        <v>5507</v>
      </c>
      <c r="J910" t="s">
        <v>2755</v>
      </c>
      <c r="K910" t="s">
        <v>2756</v>
      </c>
      <c r="L910" t="s">
        <v>386</v>
      </c>
      <c r="M910" t="s">
        <v>1193</v>
      </c>
      <c r="N910">
        <v>5507</v>
      </c>
      <c r="O910">
        <v>37</v>
      </c>
      <c r="R910" t="s">
        <v>398</v>
      </c>
      <c r="T910">
        <v>220</v>
      </c>
      <c r="V910" t="s">
        <v>1194</v>
      </c>
      <c r="W910" t="s">
        <v>1194</v>
      </c>
      <c r="X910">
        <v>220</v>
      </c>
      <c r="Z910" t="s">
        <v>946</v>
      </c>
      <c r="AA910" t="s">
        <v>387</v>
      </c>
      <c r="AB910">
        <v>29000</v>
      </c>
      <c r="AC910">
        <v>2622</v>
      </c>
      <c r="AD910" t="s">
        <v>2757</v>
      </c>
      <c r="AE910">
        <v>0</v>
      </c>
      <c r="AF910" t="s">
        <v>1188</v>
      </c>
    </row>
    <row r="911" spans="1:34" x14ac:dyDescent="0.25">
      <c r="A911">
        <v>1</v>
      </c>
      <c r="C911" s="185"/>
      <c r="E911" t="s">
        <v>386</v>
      </c>
      <c r="F911" t="s">
        <v>2758</v>
      </c>
      <c r="G911" t="s">
        <v>1192</v>
      </c>
      <c r="H911" t="s">
        <v>2759</v>
      </c>
      <c r="I911">
        <v>5520</v>
      </c>
      <c r="J911" t="s">
        <v>2758</v>
      </c>
      <c r="K911" t="s">
        <v>2758</v>
      </c>
      <c r="L911" t="s">
        <v>386</v>
      </c>
      <c r="M911" t="s">
        <v>1193</v>
      </c>
      <c r="N911">
        <v>5520</v>
      </c>
      <c r="O911">
        <v>0</v>
      </c>
      <c r="T911">
        <v>39</v>
      </c>
      <c r="V911" t="s">
        <v>2144</v>
      </c>
      <c r="Z911" t="s">
        <v>865</v>
      </c>
      <c r="AA911" t="s">
        <v>387</v>
      </c>
      <c r="AB911">
        <v>0</v>
      </c>
      <c r="AC911">
        <v>2626</v>
      </c>
      <c r="AD911" t="s">
        <v>2760</v>
      </c>
      <c r="AE911">
        <v>26</v>
      </c>
      <c r="AF911" t="s">
        <v>2075</v>
      </c>
      <c r="AG911" t="s">
        <v>2761</v>
      </c>
    </row>
    <row r="912" spans="1:34" x14ac:dyDescent="0.25">
      <c r="A912">
        <v>1688</v>
      </c>
      <c r="C912" s="185"/>
      <c r="E912" t="s">
        <v>386</v>
      </c>
      <c r="F912" t="s">
        <v>2762</v>
      </c>
      <c r="G912" t="s">
        <v>1197</v>
      </c>
      <c r="I912">
        <v>5522</v>
      </c>
      <c r="J912" t="s">
        <v>2762</v>
      </c>
      <c r="K912" t="s">
        <v>2763</v>
      </c>
      <c r="L912" t="s">
        <v>386</v>
      </c>
      <c r="M912" t="s">
        <v>1193</v>
      </c>
      <c r="N912">
        <v>5522</v>
      </c>
      <c r="O912">
        <v>11</v>
      </c>
      <c r="R912" t="s">
        <v>398</v>
      </c>
      <c r="T912">
        <v>220</v>
      </c>
      <c r="V912" t="s">
        <v>1194</v>
      </c>
      <c r="W912" t="s">
        <v>2024</v>
      </c>
      <c r="X912">
        <v>52</v>
      </c>
      <c r="Z912" t="s">
        <v>2764</v>
      </c>
      <c r="AA912" t="s">
        <v>387</v>
      </c>
      <c r="AB912">
        <v>7000</v>
      </c>
      <c r="AC912">
        <v>2627</v>
      </c>
      <c r="AD912" t="s">
        <v>2765</v>
      </c>
      <c r="AE912">
        <v>0</v>
      </c>
      <c r="AF912" t="s">
        <v>1188</v>
      </c>
      <c r="AG912" t="s">
        <v>1244</v>
      </c>
    </row>
    <row r="913" spans="1:34" x14ac:dyDescent="0.25">
      <c r="A913">
        <v>1689</v>
      </c>
      <c r="C913" s="185"/>
      <c r="E913" t="s">
        <v>386</v>
      </c>
      <c r="F913" t="s">
        <v>2766</v>
      </c>
      <c r="G913" t="s">
        <v>1197</v>
      </c>
      <c r="I913">
        <v>5523</v>
      </c>
      <c r="J913" t="s">
        <v>2766</v>
      </c>
      <c r="K913" t="s">
        <v>2767</v>
      </c>
      <c r="L913" t="s">
        <v>386</v>
      </c>
      <c r="M913" t="s">
        <v>1193</v>
      </c>
      <c r="N913">
        <v>5523</v>
      </c>
      <c r="O913">
        <v>11</v>
      </c>
      <c r="R913" t="s">
        <v>398</v>
      </c>
      <c r="T913">
        <v>220</v>
      </c>
      <c r="V913" t="s">
        <v>1194</v>
      </c>
      <c r="W913" t="s">
        <v>2024</v>
      </c>
      <c r="X913">
        <v>52</v>
      </c>
      <c r="Z913" t="s">
        <v>2768</v>
      </c>
      <c r="AA913" t="s">
        <v>387</v>
      </c>
      <c r="AB913">
        <v>7000</v>
      </c>
      <c r="AC913">
        <v>2628</v>
      </c>
      <c r="AD913" t="s">
        <v>2769</v>
      </c>
      <c r="AE913">
        <v>0</v>
      </c>
      <c r="AF913" t="s">
        <v>1188</v>
      </c>
      <c r="AG913" t="s">
        <v>1244</v>
      </c>
    </row>
    <row r="914" spans="1:34" x14ac:dyDescent="0.25">
      <c r="A914">
        <v>1692</v>
      </c>
      <c r="C914" s="185"/>
      <c r="D914" t="s">
        <v>24</v>
      </c>
      <c r="E914" t="s">
        <v>386</v>
      </c>
      <c r="F914" t="s">
        <v>2770</v>
      </c>
      <c r="G914" t="s">
        <v>1197</v>
      </c>
      <c r="I914">
        <v>5539</v>
      </c>
      <c r="J914" t="s">
        <v>2770</v>
      </c>
      <c r="K914" t="s">
        <v>2770</v>
      </c>
      <c r="L914" t="s">
        <v>386</v>
      </c>
      <c r="M914" t="s">
        <v>1193</v>
      </c>
      <c r="N914">
        <v>5539</v>
      </c>
      <c r="O914">
        <v>56</v>
      </c>
      <c r="R914" t="s">
        <v>398</v>
      </c>
      <c r="T914">
        <v>220</v>
      </c>
      <c r="V914" t="s">
        <v>1194</v>
      </c>
      <c r="W914" t="s">
        <v>2024</v>
      </c>
      <c r="X914">
        <v>52</v>
      </c>
      <c r="Z914" t="s">
        <v>2771</v>
      </c>
      <c r="AA914" t="s">
        <v>387</v>
      </c>
      <c r="AB914">
        <v>48000</v>
      </c>
      <c r="AC914">
        <v>1964</v>
      </c>
      <c r="AD914" t="s">
        <v>2425</v>
      </c>
      <c r="AE914">
        <v>0</v>
      </c>
      <c r="AF914" t="s">
        <v>1188</v>
      </c>
      <c r="AG914" t="s">
        <v>2772</v>
      </c>
    </row>
    <row r="915" spans="1:34" x14ac:dyDescent="0.25">
      <c r="A915">
        <v>1693</v>
      </c>
      <c r="C915" s="185"/>
      <c r="E915" t="s">
        <v>386</v>
      </c>
      <c r="F915" t="s">
        <v>2773</v>
      </c>
      <c r="G915" t="s">
        <v>1192</v>
      </c>
      <c r="I915">
        <v>5540</v>
      </c>
      <c r="J915" t="s">
        <v>2773</v>
      </c>
      <c r="K915" t="s">
        <v>2773</v>
      </c>
      <c r="L915" t="s">
        <v>386</v>
      </c>
      <c r="M915" t="s">
        <v>1184</v>
      </c>
      <c r="N915">
        <v>5540</v>
      </c>
      <c r="O915">
        <v>0</v>
      </c>
      <c r="T915">
        <v>88</v>
      </c>
      <c r="V915" t="s">
        <v>2774</v>
      </c>
      <c r="Z915" t="s">
        <v>2775</v>
      </c>
      <c r="AA915" t="s">
        <v>387</v>
      </c>
      <c r="AB915">
        <v>0</v>
      </c>
      <c r="AC915">
        <v>0</v>
      </c>
      <c r="AD915" t="s">
        <v>1187</v>
      </c>
      <c r="AE915">
        <v>0</v>
      </c>
      <c r="AF915" t="s">
        <v>1188</v>
      </c>
    </row>
    <row r="916" spans="1:34" x14ac:dyDescent="0.25">
      <c r="A916">
        <v>205</v>
      </c>
      <c r="C916" s="185"/>
      <c r="D916" t="s">
        <v>24</v>
      </c>
      <c r="E916" t="s">
        <v>386</v>
      </c>
      <c r="F916" t="s">
        <v>2776</v>
      </c>
      <c r="G916" t="s">
        <v>1903</v>
      </c>
      <c r="I916">
        <v>5616</v>
      </c>
      <c r="J916" t="s">
        <v>2776</v>
      </c>
      <c r="K916" t="s">
        <v>2777</v>
      </c>
      <c r="L916" t="s">
        <v>386</v>
      </c>
      <c r="M916" t="s">
        <v>1193</v>
      </c>
      <c r="N916">
        <v>5616</v>
      </c>
      <c r="O916">
        <v>56</v>
      </c>
      <c r="R916" t="s">
        <v>398</v>
      </c>
      <c r="T916">
        <v>220</v>
      </c>
      <c r="V916" t="s">
        <v>1194</v>
      </c>
      <c r="W916" t="s">
        <v>2024</v>
      </c>
      <c r="X916">
        <v>52</v>
      </c>
      <c r="Z916" t="s">
        <v>1012</v>
      </c>
      <c r="AA916" t="s">
        <v>387</v>
      </c>
      <c r="AB916">
        <v>48000</v>
      </c>
      <c r="AC916">
        <v>1536</v>
      </c>
      <c r="AD916" t="s">
        <v>2778</v>
      </c>
      <c r="AE916">
        <v>0</v>
      </c>
      <c r="AF916" t="s">
        <v>1188</v>
      </c>
      <c r="AG916" t="s">
        <v>2779</v>
      </c>
    </row>
    <row r="917" spans="1:34" x14ac:dyDescent="0.25">
      <c r="A917">
        <v>1699</v>
      </c>
      <c r="C917" s="185"/>
      <c r="D917" t="s">
        <v>157</v>
      </c>
      <c r="E917" t="s">
        <v>386</v>
      </c>
      <c r="F917" t="s">
        <v>2780</v>
      </c>
      <c r="G917" t="s">
        <v>1192</v>
      </c>
      <c r="H917" t="s">
        <v>2781</v>
      </c>
      <c r="I917">
        <v>5648</v>
      </c>
      <c r="J917" t="s">
        <v>2780</v>
      </c>
      <c r="K917" t="s">
        <v>2780</v>
      </c>
      <c r="L917" t="s">
        <v>386</v>
      </c>
      <c r="M917" t="s">
        <v>1184</v>
      </c>
      <c r="N917">
        <v>5648</v>
      </c>
      <c r="O917">
        <v>0</v>
      </c>
      <c r="R917" t="s">
        <v>398</v>
      </c>
      <c r="T917">
        <v>39</v>
      </c>
      <c r="V917" t="s">
        <v>2144</v>
      </c>
      <c r="Z917" t="s">
        <v>2782</v>
      </c>
      <c r="AA917" t="s">
        <v>387</v>
      </c>
      <c r="AB917">
        <v>0</v>
      </c>
      <c r="AC917">
        <v>2661</v>
      </c>
      <c r="AD917" t="s">
        <v>2783</v>
      </c>
      <c r="AE917">
        <v>0</v>
      </c>
      <c r="AF917" t="s">
        <v>1188</v>
      </c>
      <c r="AG917" t="s">
        <v>2784</v>
      </c>
    </row>
    <row r="918" spans="1:34" x14ac:dyDescent="0.25">
      <c r="A918">
        <v>1</v>
      </c>
      <c r="C918" s="185"/>
      <c r="D918" t="s">
        <v>24</v>
      </c>
      <c r="E918" t="s">
        <v>386</v>
      </c>
      <c r="F918" t="s">
        <v>2785</v>
      </c>
      <c r="G918" t="s">
        <v>1192</v>
      </c>
      <c r="H918" t="s">
        <v>2786</v>
      </c>
      <c r="I918">
        <v>5669</v>
      </c>
      <c r="J918" t="s">
        <v>2785</v>
      </c>
      <c r="K918" t="s">
        <v>2785</v>
      </c>
      <c r="L918" t="s">
        <v>386</v>
      </c>
      <c r="M918" t="s">
        <v>1193</v>
      </c>
      <c r="N918">
        <v>5669</v>
      </c>
      <c r="O918">
        <v>0</v>
      </c>
      <c r="T918">
        <v>571</v>
      </c>
      <c r="V918" t="s">
        <v>2003</v>
      </c>
      <c r="W918" t="s">
        <v>1215</v>
      </c>
      <c r="X918">
        <v>259</v>
      </c>
      <c r="Z918" t="s">
        <v>865</v>
      </c>
      <c r="AA918" t="s">
        <v>387</v>
      </c>
      <c r="AB918">
        <v>0</v>
      </c>
      <c r="AC918">
        <v>2671</v>
      </c>
      <c r="AD918" t="s">
        <v>2787</v>
      </c>
      <c r="AE918">
        <v>3</v>
      </c>
      <c r="AF918" t="s">
        <v>1235</v>
      </c>
      <c r="AG918" t="s">
        <v>2788</v>
      </c>
      <c r="AH918" t="s">
        <v>2789</v>
      </c>
    </row>
    <row r="919" spans="1:34" x14ac:dyDescent="0.25">
      <c r="A919">
        <v>1706</v>
      </c>
      <c r="C919" s="185"/>
      <c r="E919" t="s">
        <v>386</v>
      </c>
      <c r="F919" t="s">
        <v>2790</v>
      </c>
      <c r="G919" t="s">
        <v>1197</v>
      </c>
      <c r="I919">
        <v>5705</v>
      </c>
      <c r="J919" t="s">
        <v>2790</v>
      </c>
      <c r="K919" t="s">
        <v>2790</v>
      </c>
      <c r="L919" t="s">
        <v>386</v>
      </c>
      <c r="M919" t="s">
        <v>1193</v>
      </c>
      <c r="N919">
        <v>5705</v>
      </c>
      <c r="O919">
        <v>0</v>
      </c>
      <c r="T919">
        <v>39</v>
      </c>
      <c r="V919" t="s">
        <v>2144</v>
      </c>
      <c r="Z919" t="s">
        <v>2791</v>
      </c>
      <c r="AA919" t="s">
        <v>387</v>
      </c>
      <c r="AB919">
        <v>0</v>
      </c>
      <c r="AC919">
        <v>2684</v>
      </c>
      <c r="AD919" t="s">
        <v>2792</v>
      </c>
      <c r="AE919">
        <v>1288</v>
      </c>
      <c r="AF919" t="s">
        <v>2793</v>
      </c>
      <c r="AG919" t="s">
        <v>2794</v>
      </c>
    </row>
    <row r="920" spans="1:34" x14ac:dyDescent="0.25">
      <c r="A920">
        <v>48</v>
      </c>
      <c r="C920" s="185"/>
      <c r="E920" t="s">
        <v>386</v>
      </c>
      <c r="F920" t="s">
        <v>2795</v>
      </c>
      <c r="G920" t="s">
        <v>1192</v>
      </c>
      <c r="H920" t="s">
        <v>2796</v>
      </c>
      <c r="I920">
        <v>5714</v>
      </c>
      <c r="J920" t="s">
        <v>2795</v>
      </c>
      <c r="K920" t="s">
        <v>2795</v>
      </c>
      <c r="L920" t="s">
        <v>386</v>
      </c>
      <c r="M920" t="s">
        <v>1193</v>
      </c>
      <c r="N920">
        <v>5714</v>
      </c>
      <c r="O920">
        <v>0</v>
      </c>
      <c r="T920">
        <v>39</v>
      </c>
      <c r="V920" t="s">
        <v>2144</v>
      </c>
      <c r="Z920" t="s">
        <v>2797</v>
      </c>
      <c r="AA920" t="s">
        <v>387</v>
      </c>
      <c r="AB920">
        <v>0</v>
      </c>
      <c r="AC920">
        <v>2685</v>
      </c>
      <c r="AD920" t="s">
        <v>2798</v>
      </c>
      <c r="AE920">
        <v>1290</v>
      </c>
      <c r="AF920" t="s">
        <v>2799</v>
      </c>
      <c r="AG920" t="s">
        <v>2800</v>
      </c>
    </row>
    <row r="921" spans="1:34" x14ac:dyDescent="0.25">
      <c r="A921">
        <v>1</v>
      </c>
      <c r="C921" s="185"/>
      <c r="D921" t="s">
        <v>157</v>
      </c>
      <c r="E921" t="s">
        <v>386</v>
      </c>
      <c r="F921" t="s">
        <v>2801</v>
      </c>
      <c r="G921" t="s">
        <v>1192</v>
      </c>
      <c r="H921" t="s">
        <v>2802</v>
      </c>
      <c r="I921">
        <v>5719</v>
      </c>
      <c r="J921" t="s">
        <v>2801</v>
      </c>
      <c r="K921" t="s">
        <v>2803</v>
      </c>
      <c r="L921" t="s">
        <v>386</v>
      </c>
      <c r="M921" t="s">
        <v>1193</v>
      </c>
      <c r="N921">
        <v>5719</v>
      </c>
      <c r="O921">
        <v>0</v>
      </c>
      <c r="T921">
        <v>39</v>
      </c>
      <c r="V921" t="s">
        <v>2144</v>
      </c>
      <c r="Z921" t="s">
        <v>865</v>
      </c>
      <c r="AA921" t="s">
        <v>387</v>
      </c>
      <c r="AB921">
        <v>0</v>
      </c>
      <c r="AC921">
        <v>2690</v>
      </c>
      <c r="AD921" t="s">
        <v>2804</v>
      </c>
      <c r="AE921">
        <v>8</v>
      </c>
      <c r="AF921" t="s">
        <v>2805</v>
      </c>
      <c r="AG921" t="s">
        <v>2379</v>
      </c>
    </row>
    <row r="922" spans="1:34" x14ac:dyDescent="0.25">
      <c r="A922">
        <v>1710</v>
      </c>
      <c r="C922" s="185"/>
      <c r="E922" t="s">
        <v>386</v>
      </c>
      <c r="F922" t="s">
        <v>2806</v>
      </c>
      <c r="G922" t="s">
        <v>1197</v>
      </c>
      <c r="I922">
        <v>5726</v>
      </c>
      <c r="J922" t="s">
        <v>2806</v>
      </c>
      <c r="K922" t="s">
        <v>2806</v>
      </c>
      <c r="L922" t="s">
        <v>386</v>
      </c>
      <c r="M922" t="s">
        <v>1193</v>
      </c>
      <c r="N922">
        <v>5726</v>
      </c>
      <c r="O922">
        <v>0</v>
      </c>
      <c r="T922">
        <v>35</v>
      </c>
      <c r="V922" t="s">
        <v>2015</v>
      </c>
      <c r="Z922" t="s">
        <v>2807</v>
      </c>
      <c r="AA922" t="s">
        <v>387</v>
      </c>
      <c r="AB922">
        <v>0</v>
      </c>
      <c r="AC922">
        <v>2695</v>
      </c>
      <c r="AD922" t="s">
        <v>2808</v>
      </c>
      <c r="AE922">
        <v>0</v>
      </c>
      <c r="AF922" t="s">
        <v>1188</v>
      </c>
      <c r="AG922" t="s">
        <v>2809</v>
      </c>
    </row>
    <row r="923" spans="1:34" x14ac:dyDescent="0.25">
      <c r="A923">
        <v>1712</v>
      </c>
      <c r="C923" s="185"/>
      <c r="D923" t="s">
        <v>157</v>
      </c>
      <c r="E923" t="s">
        <v>386</v>
      </c>
      <c r="F923" t="s">
        <v>2810</v>
      </c>
      <c r="G923" t="s">
        <v>1192</v>
      </c>
      <c r="I923">
        <v>5739</v>
      </c>
      <c r="J923" t="s">
        <v>2810</v>
      </c>
      <c r="K923" t="s">
        <v>2810</v>
      </c>
      <c r="L923" t="s">
        <v>386</v>
      </c>
      <c r="M923" t="s">
        <v>1193</v>
      </c>
      <c r="N923">
        <v>5739</v>
      </c>
      <c r="O923">
        <v>0</v>
      </c>
      <c r="T923">
        <v>39</v>
      </c>
      <c r="V923" t="s">
        <v>2144</v>
      </c>
      <c r="Z923" t="s">
        <v>2811</v>
      </c>
      <c r="AA923" t="s">
        <v>387</v>
      </c>
      <c r="AB923">
        <v>0</v>
      </c>
      <c r="AC923">
        <v>2703</v>
      </c>
      <c r="AD923" t="s">
        <v>2812</v>
      </c>
      <c r="AE923">
        <v>1296</v>
      </c>
      <c r="AF923" t="s">
        <v>2813</v>
      </c>
      <c r="AG923" t="s">
        <v>1244</v>
      </c>
    </row>
    <row r="924" spans="1:34" x14ac:dyDescent="0.25">
      <c r="A924">
        <v>1</v>
      </c>
      <c r="C924" s="185"/>
      <c r="E924" t="s">
        <v>386</v>
      </c>
      <c r="F924" t="s">
        <v>2814</v>
      </c>
      <c r="G924" t="s">
        <v>1192</v>
      </c>
      <c r="H924" t="s">
        <v>2802</v>
      </c>
      <c r="I924">
        <v>5761</v>
      </c>
      <c r="J924" t="s">
        <v>2814</v>
      </c>
      <c r="K924" t="s">
        <v>2814</v>
      </c>
      <c r="L924" t="s">
        <v>386</v>
      </c>
      <c r="M924" t="s">
        <v>1193</v>
      </c>
      <c r="N924">
        <v>5761</v>
      </c>
      <c r="O924">
        <v>0</v>
      </c>
      <c r="T924">
        <v>39</v>
      </c>
      <c r="V924" t="s">
        <v>2144</v>
      </c>
      <c r="Z924" t="s">
        <v>865</v>
      </c>
      <c r="AA924" t="s">
        <v>387</v>
      </c>
      <c r="AB924">
        <v>0</v>
      </c>
      <c r="AC924">
        <v>2690</v>
      </c>
      <c r="AD924" t="s">
        <v>2804</v>
      </c>
      <c r="AE924">
        <v>8</v>
      </c>
      <c r="AF924" t="s">
        <v>2805</v>
      </c>
      <c r="AG924" t="s">
        <v>2379</v>
      </c>
    </row>
    <row r="925" spans="1:34" x14ac:dyDescent="0.25">
      <c r="A925">
        <v>1490</v>
      </c>
      <c r="C925" s="185"/>
      <c r="E925" t="s">
        <v>386</v>
      </c>
      <c r="F925" t="s">
        <v>2815</v>
      </c>
      <c r="G925" t="s">
        <v>1192</v>
      </c>
      <c r="I925">
        <v>5800</v>
      </c>
      <c r="J925" t="s">
        <v>2815</v>
      </c>
      <c r="K925" t="s">
        <v>2816</v>
      </c>
      <c r="L925" t="s">
        <v>386</v>
      </c>
      <c r="M925" t="s">
        <v>1193</v>
      </c>
      <c r="N925">
        <v>5800</v>
      </c>
      <c r="O925">
        <v>37</v>
      </c>
      <c r="R925" t="s">
        <v>398</v>
      </c>
      <c r="T925">
        <v>220</v>
      </c>
      <c r="V925" t="s">
        <v>1194</v>
      </c>
      <c r="W925" t="s">
        <v>2223</v>
      </c>
      <c r="X925">
        <v>138</v>
      </c>
      <c r="Z925" t="s">
        <v>2371</v>
      </c>
      <c r="AA925" t="s">
        <v>387</v>
      </c>
      <c r="AB925">
        <v>29000</v>
      </c>
      <c r="AC925">
        <v>2728</v>
      </c>
      <c r="AD925" t="s">
        <v>2817</v>
      </c>
      <c r="AE925">
        <v>1303</v>
      </c>
      <c r="AF925" t="s">
        <v>2818</v>
      </c>
      <c r="AG925" t="s">
        <v>2819</v>
      </c>
    </row>
    <row r="926" spans="1:34" x14ac:dyDescent="0.25">
      <c r="A926">
        <v>54</v>
      </c>
      <c r="C926" s="185"/>
      <c r="E926" t="s">
        <v>386</v>
      </c>
      <c r="F926" t="s">
        <v>2820</v>
      </c>
      <c r="I926">
        <v>6053</v>
      </c>
      <c r="J926" t="s">
        <v>2821</v>
      </c>
      <c r="K926" t="s">
        <v>2821</v>
      </c>
      <c r="L926" t="s">
        <v>386</v>
      </c>
      <c r="M926" t="s">
        <v>1193</v>
      </c>
      <c r="N926">
        <v>5803</v>
      </c>
      <c r="O926">
        <v>0</v>
      </c>
      <c r="T926">
        <v>52</v>
      </c>
      <c r="V926" t="s">
        <v>2024</v>
      </c>
      <c r="Z926" t="s">
        <v>1149</v>
      </c>
      <c r="AA926" t="s">
        <v>387</v>
      </c>
      <c r="AB926">
        <v>0</v>
      </c>
      <c r="AC926">
        <v>2804</v>
      </c>
      <c r="AD926" t="s">
        <v>2822</v>
      </c>
      <c r="AE926">
        <v>0</v>
      </c>
      <c r="AF926" t="s">
        <v>1188</v>
      </c>
      <c r="AG926" t="s">
        <v>2823</v>
      </c>
    </row>
    <row r="927" spans="1:34" x14ac:dyDescent="0.25">
      <c r="A927">
        <v>1</v>
      </c>
      <c r="C927" s="185"/>
      <c r="E927" t="s">
        <v>386</v>
      </c>
      <c r="F927" t="s">
        <v>689</v>
      </c>
      <c r="G927" t="s">
        <v>1192</v>
      </c>
      <c r="H927" t="s">
        <v>2824</v>
      </c>
      <c r="I927">
        <v>5849</v>
      </c>
      <c r="J927" t="s">
        <v>689</v>
      </c>
      <c r="K927" t="s">
        <v>689</v>
      </c>
      <c r="L927" t="s">
        <v>386</v>
      </c>
      <c r="M927" t="s">
        <v>1184</v>
      </c>
      <c r="N927">
        <v>5849</v>
      </c>
      <c r="O927">
        <v>0</v>
      </c>
      <c r="R927" t="s">
        <v>1208</v>
      </c>
      <c r="T927">
        <v>260</v>
      </c>
      <c r="V927" t="s">
        <v>1216</v>
      </c>
      <c r="W927" t="s">
        <v>1988</v>
      </c>
      <c r="X927">
        <v>122</v>
      </c>
      <c r="Z927" t="s">
        <v>865</v>
      </c>
      <c r="AA927" t="s">
        <v>387</v>
      </c>
      <c r="AB927">
        <v>0</v>
      </c>
      <c r="AC927">
        <v>6514</v>
      </c>
      <c r="AD927" t="s">
        <v>2825</v>
      </c>
      <c r="AE927">
        <v>279</v>
      </c>
      <c r="AF927" t="s">
        <v>1211</v>
      </c>
      <c r="AG927" t="s">
        <v>2826</v>
      </c>
    </row>
    <row r="928" spans="1:34" x14ac:dyDescent="0.25">
      <c r="A928">
        <v>205</v>
      </c>
      <c r="C928" s="185"/>
      <c r="D928" t="s">
        <v>24</v>
      </c>
      <c r="E928" t="s">
        <v>386</v>
      </c>
      <c r="F928" t="s">
        <v>162</v>
      </c>
      <c r="G928" t="s">
        <v>1903</v>
      </c>
      <c r="I928">
        <v>5882</v>
      </c>
      <c r="J928" t="s">
        <v>162</v>
      </c>
      <c r="K928" t="s">
        <v>2827</v>
      </c>
      <c r="L928" t="s">
        <v>386</v>
      </c>
      <c r="M928" t="s">
        <v>1193</v>
      </c>
      <c r="N928">
        <v>5882</v>
      </c>
      <c r="O928">
        <v>56</v>
      </c>
      <c r="R928" t="s">
        <v>398</v>
      </c>
      <c r="T928">
        <v>220</v>
      </c>
      <c r="V928" t="s">
        <v>1194</v>
      </c>
      <c r="W928" t="s">
        <v>1194</v>
      </c>
      <c r="X928">
        <v>220</v>
      </c>
      <c r="Z928" t="s">
        <v>1012</v>
      </c>
      <c r="AA928" t="s">
        <v>387</v>
      </c>
      <c r="AB928">
        <v>48000</v>
      </c>
      <c r="AC928">
        <v>2754</v>
      </c>
      <c r="AD928" t="s">
        <v>2828</v>
      </c>
      <c r="AE928">
        <v>0</v>
      </c>
      <c r="AF928" t="s">
        <v>1188</v>
      </c>
      <c r="AG928" t="s">
        <v>1244</v>
      </c>
    </row>
    <row r="929" spans="1:34" x14ac:dyDescent="0.25">
      <c r="A929">
        <v>1</v>
      </c>
      <c r="C929" s="185"/>
      <c r="E929" t="s">
        <v>386</v>
      </c>
      <c r="F929" t="s">
        <v>2829</v>
      </c>
      <c r="G929" t="s">
        <v>1192</v>
      </c>
      <c r="H929" t="s">
        <v>2830</v>
      </c>
      <c r="I929">
        <v>5895</v>
      </c>
      <c r="J929" t="s">
        <v>2829</v>
      </c>
      <c r="K929" t="s">
        <v>2829</v>
      </c>
      <c r="L929" t="s">
        <v>386</v>
      </c>
      <c r="M929" t="s">
        <v>1184</v>
      </c>
      <c r="N929">
        <v>5895</v>
      </c>
      <c r="O929">
        <v>0</v>
      </c>
      <c r="R929" t="s">
        <v>1208</v>
      </c>
      <c r="T929">
        <v>372</v>
      </c>
      <c r="V929" t="s">
        <v>2073</v>
      </c>
      <c r="W929" t="s">
        <v>2073</v>
      </c>
      <c r="X929">
        <v>372</v>
      </c>
      <c r="Z929" t="s">
        <v>865</v>
      </c>
      <c r="AA929" t="s">
        <v>387</v>
      </c>
      <c r="AB929">
        <v>0</v>
      </c>
      <c r="AC929">
        <v>0</v>
      </c>
      <c r="AD929" t="s">
        <v>1187</v>
      </c>
      <c r="AE929">
        <v>0</v>
      </c>
      <c r="AF929" t="s">
        <v>1188</v>
      </c>
      <c r="AH929" t="s">
        <v>2831</v>
      </c>
    </row>
    <row r="930" spans="1:34" x14ac:dyDescent="0.25">
      <c r="A930">
        <v>205</v>
      </c>
      <c r="C930" s="185"/>
      <c r="D930" t="s">
        <v>24</v>
      </c>
      <c r="E930" t="s">
        <v>386</v>
      </c>
      <c r="F930" t="s">
        <v>2832</v>
      </c>
      <c r="G930" t="s">
        <v>1197</v>
      </c>
      <c r="I930">
        <v>5932</v>
      </c>
      <c r="J930" t="s">
        <v>2832</v>
      </c>
      <c r="K930" t="s">
        <v>2833</v>
      </c>
      <c r="L930" t="s">
        <v>386</v>
      </c>
      <c r="M930" t="s">
        <v>1193</v>
      </c>
      <c r="N930">
        <v>5932</v>
      </c>
      <c r="O930">
        <v>56</v>
      </c>
      <c r="R930" t="s">
        <v>398</v>
      </c>
      <c r="T930">
        <v>220</v>
      </c>
      <c r="V930" t="s">
        <v>1194</v>
      </c>
      <c r="W930" t="s">
        <v>1194</v>
      </c>
      <c r="X930">
        <v>220</v>
      </c>
      <c r="Z930" t="s">
        <v>1012</v>
      </c>
      <c r="AA930" t="s">
        <v>387</v>
      </c>
      <c r="AB930">
        <v>48000</v>
      </c>
      <c r="AC930">
        <v>2771</v>
      </c>
      <c r="AD930" t="s">
        <v>2834</v>
      </c>
      <c r="AE930">
        <v>0</v>
      </c>
      <c r="AF930" t="s">
        <v>1188</v>
      </c>
      <c r="AG930" t="s">
        <v>2779</v>
      </c>
    </row>
    <row r="931" spans="1:34" x14ac:dyDescent="0.25">
      <c r="A931">
        <v>205</v>
      </c>
      <c r="C931" s="185"/>
      <c r="E931" t="s">
        <v>386</v>
      </c>
      <c r="F931" t="s">
        <v>2827</v>
      </c>
      <c r="G931" t="s">
        <v>1197</v>
      </c>
      <c r="I931">
        <v>5940</v>
      </c>
      <c r="J931" t="s">
        <v>2827</v>
      </c>
      <c r="K931" t="s">
        <v>2827</v>
      </c>
      <c r="L931" t="s">
        <v>386</v>
      </c>
      <c r="M931" t="s">
        <v>1193</v>
      </c>
      <c r="N931">
        <v>5940</v>
      </c>
      <c r="O931">
        <v>0</v>
      </c>
      <c r="T931">
        <v>39</v>
      </c>
      <c r="V931" t="s">
        <v>2144</v>
      </c>
      <c r="Z931" t="s">
        <v>1012</v>
      </c>
      <c r="AA931" t="s">
        <v>387</v>
      </c>
      <c r="AB931">
        <v>7000</v>
      </c>
      <c r="AC931">
        <v>2775</v>
      </c>
      <c r="AD931" t="s">
        <v>2835</v>
      </c>
      <c r="AE931">
        <v>0</v>
      </c>
      <c r="AF931" t="s">
        <v>1188</v>
      </c>
      <c r="AG931" t="s">
        <v>2836</v>
      </c>
    </row>
    <row r="932" spans="1:34" x14ac:dyDescent="0.25">
      <c r="A932">
        <v>1426</v>
      </c>
      <c r="B932" t="s">
        <v>1313</v>
      </c>
      <c r="C932" s="185"/>
      <c r="E932" t="s">
        <v>386</v>
      </c>
      <c r="F932" t="s">
        <v>2837</v>
      </c>
      <c r="I932">
        <v>5965</v>
      </c>
      <c r="J932" t="s">
        <v>2837</v>
      </c>
      <c r="K932" t="s">
        <v>2838</v>
      </c>
      <c r="L932" t="s">
        <v>386</v>
      </c>
      <c r="M932" t="s">
        <v>1193</v>
      </c>
      <c r="N932">
        <v>5965</v>
      </c>
      <c r="O932">
        <v>56</v>
      </c>
      <c r="R932" t="s">
        <v>398</v>
      </c>
      <c r="S932" t="s">
        <v>1315</v>
      </c>
      <c r="T932">
        <v>220</v>
      </c>
      <c r="U932">
        <v>0</v>
      </c>
      <c r="V932" t="s">
        <v>1194</v>
      </c>
      <c r="W932" t="s">
        <v>1981</v>
      </c>
      <c r="X932">
        <v>23</v>
      </c>
      <c r="Y932" t="s">
        <v>1317</v>
      </c>
      <c r="Z932" t="s">
        <v>1033</v>
      </c>
      <c r="AA932" t="s">
        <v>387</v>
      </c>
      <c r="AB932">
        <v>48000</v>
      </c>
      <c r="AC932">
        <v>1753</v>
      </c>
      <c r="AD932" t="s">
        <v>2090</v>
      </c>
      <c r="AE932">
        <v>0</v>
      </c>
      <c r="AF932" t="s">
        <v>1188</v>
      </c>
      <c r="AG932" t="s">
        <v>2839</v>
      </c>
    </row>
    <row r="933" spans="1:34" x14ac:dyDescent="0.25">
      <c r="A933">
        <v>1731</v>
      </c>
      <c r="C933" s="185"/>
      <c r="E933" t="s">
        <v>386</v>
      </c>
      <c r="F933" t="s">
        <v>2840</v>
      </c>
      <c r="G933" t="s">
        <v>1197</v>
      </c>
      <c r="I933">
        <v>5979</v>
      </c>
      <c r="J933" t="s">
        <v>2840</v>
      </c>
      <c r="K933" t="s">
        <v>2841</v>
      </c>
      <c r="L933" t="s">
        <v>386</v>
      </c>
      <c r="M933" t="s">
        <v>1193</v>
      </c>
      <c r="N933">
        <v>5979</v>
      </c>
      <c r="O933">
        <v>56</v>
      </c>
      <c r="R933" t="s">
        <v>398</v>
      </c>
      <c r="T933">
        <v>220</v>
      </c>
      <c r="V933" t="s">
        <v>1194</v>
      </c>
      <c r="W933" t="s">
        <v>1186</v>
      </c>
      <c r="X933">
        <v>0</v>
      </c>
      <c r="Z933" t="s">
        <v>2842</v>
      </c>
      <c r="AA933" t="s">
        <v>387</v>
      </c>
      <c r="AB933">
        <v>48000</v>
      </c>
      <c r="AC933">
        <v>2783</v>
      </c>
      <c r="AD933" t="s">
        <v>2843</v>
      </c>
      <c r="AE933">
        <v>0</v>
      </c>
      <c r="AF933" t="s">
        <v>1188</v>
      </c>
      <c r="AG933" t="s">
        <v>2844</v>
      </c>
    </row>
    <row r="934" spans="1:34" x14ac:dyDescent="0.25">
      <c r="A934">
        <v>1</v>
      </c>
      <c r="C934" s="185"/>
      <c r="E934" t="s">
        <v>386</v>
      </c>
      <c r="F934" t="s">
        <v>2845</v>
      </c>
      <c r="G934" t="s">
        <v>1192</v>
      </c>
      <c r="H934" t="s">
        <v>1710</v>
      </c>
      <c r="I934">
        <v>6027</v>
      </c>
      <c r="J934" t="s">
        <v>2845</v>
      </c>
      <c r="K934" t="s">
        <v>2845</v>
      </c>
      <c r="L934" t="s">
        <v>386</v>
      </c>
      <c r="M934" t="s">
        <v>1184</v>
      </c>
      <c r="N934">
        <v>6027</v>
      </c>
      <c r="O934">
        <v>24</v>
      </c>
      <c r="R934" t="s">
        <v>1208</v>
      </c>
      <c r="T934">
        <v>122</v>
      </c>
      <c r="V934" t="s">
        <v>1988</v>
      </c>
      <c r="Z934" t="s">
        <v>865</v>
      </c>
      <c r="AA934" t="s">
        <v>387</v>
      </c>
      <c r="AB934">
        <v>0</v>
      </c>
      <c r="AC934">
        <v>0</v>
      </c>
      <c r="AD934" t="s">
        <v>1187</v>
      </c>
      <c r="AE934">
        <v>0</v>
      </c>
      <c r="AF934" t="s">
        <v>1188</v>
      </c>
    </row>
    <row r="935" spans="1:34" x14ac:dyDescent="0.25">
      <c r="A935">
        <v>1469</v>
      </c>
      <c r="C935" s="185"/>
      <c r="E935" t="s">
        <v>386</v>
      </c>
      <c r="F935" t="s">
        <v>2846</v>
      </c>
      <c r="G935" t="s">
        <v>1903</v>
      </c>
      <c r="I935">
        <v>6047</v>
      </c>
      <c r="J935" t="s">
        <v>2846</v>
      </c>
      <c r="K935" t="s">
        <v>2846</v>
      </c>
      <c r="L935" t="s">
        <v>386</v>
      </c>
      <c r="M935" t="s">
        <v>1193</v>
      </c>
      <c r="N935">
        <v>6047</v>
      </c>
      <c r="O935">
        <v>0</v>
      </c>
      <c r="R935" t="s">
        <v>398</v>
      </c>
      <c r="T935">
        <v>52</v>
      </c>
      <c r="V935" t="s">
        <v>2024</v>
      </c>
      <c r="Z935" t="s">
        <v>2272</v>
      </c>
      <c r="AA935" t="s">
        <v>387</v>
      </c>
      <c r="AB935">
        <v>7000</v>
      </c>
      <c r="AC935">
        <v>2800</v>
      </c>
      <c r="AD935" t="s">
        <v>2847</v>
      </c>
      <c r="AE935">
        <v>0</v>
      </c>
      <c r="AF935" t="s">
        <v>1188</v>
      </c>
      <c r="AG935" t="s">
        <v>2848</v>
      </c>
    </row>
    <row r="936" spans="1:34" x14ac:dyDescent="0.25">
      <c r="A936">
        <v>1408</v>
      </c>
      <c r="C936" s="185"/>
      <c r="D936" t="s">
        <v>24</v>
      </c>
      <c r="E936" t="s">
        <v>386</v>
      </c>
      <c r="F936" t="s">
        <v>2849</v>
      </c>
      <c r="G936" t="s">
        <v>1197</v>
      </c>
      <c r="I936">
        <v>6102</v>
      </c>
      <c r="J936" t="s">
        <v>2849</v>
      </c>
      <c r="K936" t="s">
        <v>2850</v>
      </c>
      <c r="L936" t="s">
        <v>386</v>
      </c>
      <c r="M936" t="s">
        <v>1193</v>
      </c>
      <c r="N936">
        <v>6102</v>
      </c>
      <c r="O936">
        <v>37</v>
      </c>
      <c r="R936" t="s">
        <v>398</v>
      </c>
      <c r="T936">
        <v>220</v>
      </c>
      <c r="V936" t="s">
        <v>1194</v>
      </c>
      <c r="W936" t="s">
        <v>2223</v>
      </c>
      <c r="X936">
        <v>138</v>
      </c>
      <c r="Z936" t="s">
        <v>1036</v>
      </c>
      <c r="AA936" t="s">
        <v>387</v>
      </c>
      <c r="AB936">
        <v>29000</v>
      </c>
      <c r="AC936">
        <v>3269</v>
      </c>
      <c r="AD936" t="s">
        <v>2851</v>
      </c>
      <c r="AE936">
        <v>0</v>
      </c>
      <c r="AF936" t="s">
        <v>1188</v>
      </c>
      <c r="AG936" t="s">
        <v>2852</v>
      </c>
    </row>
    <row r="937" spans="1:34" x14ac:dyDescent="0.25">
      <c r="A937">
        <v>1734</v>
      </c>
      <c r="C937" s="185"/>
      <c r="D937" t="s">
        <v>157</v>
      </c>
      <c r="E937" t="s">
        <v>386</v>
      </c>
      <c r="F937" t="s">
        <v>2853</v>
      </c>
      <c r="G937" t="s">
        <v>1238</v>
      </c>
      <c r="H937" t="s">
        <v>2854</v>
      </c>
      <c r="I937">
        <v>6105</v>
      </c>
      <c r="J937" t="s">
        <v>2853</v>
      </c>
      <c r="K937" t="s">
        <v>2853</v>
      </c>
      <c r="L937" t="s">
        <v>386</v>
      </c>
      <c r="M937" t="s">
        <v>1184</v>
      </c>
      <c r="N937">
        <v>6105</v>
      </c>
      <c r="O937">
        <v>0</v>
      </c>
      <c r="T937">
        <v>2</v>
      </c>
      <c r="V937" t="s">
        <v>1205</v>
      </c>
      <c r="Z937" t="s">
        <v>2855</v>
      </c>
      <c r="AA937" t="s">
        <v>387</v>
      </c>
      <c r="AB937">
        <v>0</v>
      </c>
      <c r="AC937">
        <v>0</v>
      </c>
      <c r="AD937" t="s">
        <v>1187</v>
      </c>
      <c r="AE937">
        <v>1336</v>
      </c>
      <c r="AF937" t="s">
        <v>2856</v>
      </c>
    </row>
    <row r="938" spans="1:34" x14ac:dyDescent="0.25">
      <c r="A938">
        <v>1</v>
      </c>
      <c r="C938" s="185"/>
      <c r="E938" t="s">
        <v>386</v>
      </c>
      <c r="F938" t="s">
        <v>133</v>
      </c>
      <c r="G938" t="s">
        <v>1192</v>
      </c>
      <c r="H938" t="s">
        <v>2857</v>
      </c>
      <c r="I938">
        <v>6122</v>
      </c>
      <c r="J938" t="s">
        <v>133</v>
      </c>
      <c r="K938" t="s">
        <v>133</v>
      </c>
      <c r="L938" t="s">
        <v>386</v>
      </c>
      <c r="M938" t="s">
        <v>1184</v>
      </c>
      <c r="N938">
        <v>6122</v>
      </c>
      <c r="O938">
        <v>0</v>
      </c>
      <c r="R938" t="s">
        <v>1208</v>
      </c>
      <c r="T938">
        <v>260</v>
      </c>
      <c r="V938" t="s">
        <v>1216</v>
      </c>
      <c r="W938" t="s">
        <v>1199</v>
      </c>
      <c r="X938">
        <v>200</v>
      </c>
      <c r="Z938" t="s">
        <v>865</v>
      </c>
      <c r="AA938" t="s">
        <v>387</v>
      </c>
      <c r="AB938">
        <v>0</v>
      </c>
      <c r="AC938">
        <v>5782</v>
      </c>
      <c r="AD938" t="s">
        <v>2858</v>
      </c>
      <c r="AE938">
        <v>652</v>
      </c>
      <c r="AF938" t="s">
        <v>2859</v>
      </c>
      <c r="AG938" t="s">
        <v>2860</v>
      </c>
      <c r="AH938" t="s">
        <v>2861</v>
      </c>
    </row>
    <row r="939" spans="1:34" x14ac:dyDescent="0.25">
      <c r="A939">
        <v>1</v>
      </c>
      <c r="C939" s="185"/>
      <c r="E939" t="s">
        <v>386</v>
      </c>
      <c r="F939" t="s">
        <v>2862</v>
      </c>
      <c r="G939" t="s">
        <v>1192</v>
      </c>
      <c r="H939" t="s">
        <v>2863</v>
      </c>
      <c r="I939">
        <v>6144</v>
      </c>
      <c r="J939" t="s">
        <v>2862</v>
      </c>
      <c r="K939" t="s">
        <v>2862</v>
      </c>
      <c r="L939" t="s">
        <v>386</v>
      </c>
      <c r="M939" t="s">
        <v>1184</v>
      </c>
      <c r="N939">
        <v>6144</v>
      </c>
      <c r="O939">
        <v>0</v>
      </c>
      <c r="R939" t="s">
        <v>1208</v>
      </c>
      <c r="T939">
        <v>260</v>
      </c>
      <c r="V939" t="s">
        <v>1216</v>
      </c>
      <c r="W939" t="s">
        <v>1712</v>
      </c>
      <c r="X939">
        <v>388</v>
      </c>
      <c r="Z939" t="s">
        <v>865</v>
      </c>
      <c r="AA939" t="s">
        <v>387</v>
      </c>
      <c r="AB939">
        <v>0</v>
      </c>
      <c r="AC939">
        <v>1762</v>
      </c>
      <c r="AD939" t="s">
        <v>2864</v>
      </c>
      <c r="AE939">
        <v>270</v>
      </c>
      <c r="AF939" t="s">
        <v>1030</v>
      </c>
      <c r="AG939" t="s">
        <v>2865</v>
      </c>
      <c r="AH939" t="s">
        <v>2866</v>
      </c>
    </row>
    <row r="940" spans="1:34" x14ac:dyDescent="0.25">
      <c r="A940">
        <v>1477</v>
      </c>
      <c r="C940" s="185"/>
      <c r="E940" t="s">
        <v>386</v>
      </c>
      <c r="F940" t="s">
        <v>2867</v>
      </c>
      <c r="G940" t="s">
        <v>1197</v>
      </c>
      <c r="I940">
        <v>6243</v>
      </c>
      <c r="J940" t="s">
        <v>2867</v>
      </c>
      <c r="K940" t="s">
        <v>2868</v>
      </c>
      <c r="L940" t="s">
        <v>386</v>
      </c>
      <c r="M940" t="s">
        <v>1193</v>
      </c>
      <c r="N940">
        <v>6243</v>
      </c>
      <c r="O940">
        <v>0</v>
      </c>
      <c r="T940">
        <v>39</v>
      </c>
      <c r="V940" t="s">
        <v>2144</v>
      </c>
      <c r="Z940" t="s">
        <v>2339</v>
      </c>
      <c r="AA940" t="s">
        <v>387</v>
      </c>
      <c r="AB940">
        <v>0</v>
      </c>
      <c r="AC940">
        <v>2857</v>
      </c>
      <c r="AD940" t="s">
        <v>2869</v>
      </c>
      <c r="AE940">
        <v>0</v>
      </c>
      <c r="AF940" t="s">
        <v>1188</v>
      </c>
      <c r="AG940" t="s">
        <v>1244</v>
      </c>
    </row>
    <row r="941" spans="1:34" x14ac:dyDescent="0.25">
      <c r="A941">
        <v>1469</v>
      </c>
      <c r="C941" s="185"/>
      <c r="E941" t="s">
        <v>386</v>
      </c>
      <c r="F941" t="s">
        <v>2870</v>
      </c>
      <c r="G941" t="s">
        <v>1197</v>
      </c>
      <c r="I941">
        <v>6250</v>
      </c>
      <c r="J941" t="s">
        <v>2870</v>
      </c>
      <c r="K941" t="s">
        <v>2870</v>
      </c>
      <c r="L941" t="s">
        <v>386</v>
      </c>
      <c r="M941" t="s">
        <v>1193</v>
      </c>
      <c r="N941">
        <v>6250</v>
      </c>
      <c r="O941">
        <v>0</v>
      </c>
      <c r="T941">
        <v>39</v>
      </c>
      <c r="V941" t="s">
        <v>2144</v>
      </c>
      <c r="Z941" t="s">
        <v>2272</v>
      </c>
      <c r="AA941" t="s">
        <v>387</v>
      </c>
      <c r="AB941">
        <v>0</v>
      </c>
      <c r="AC941">
        <v>2858</v>
      </c>
      <c r="AD941" t="s">
        <v>2871</v>
      </c>
      <c r="AE941">
        <v>1355</v>
      </c>
      <c r="AF941" t="s">
        <v>2872</v>
      </c>
      <c r="AG941" t="s">
        <v>2873</v>
      </c>
    </row>
    <row r="942" spans="1:34" x14ac:dyDescent="0.25">
      <c r="A942">
        <v>1468</v>
      </c>
      <c r="C942" s="185"/>
      <c r="D942" t="s">
        <v>24</v>
      </c>
      <c r="E942" t="s">
        <v>386</v>
      </c>
      <c r="F942" t="s">
        <v>548</v>
      </c>
      <c r="G942" t="s">
        <v>1903</v>
      </c>
      <c r="I942">
        <v>6269</v>
      </c>
      <c r="J942" t="s">
        <v>548</v>
      </c>
      <c r="K942" t="s">
        <v>2874</v>
      </c>
      <c r="L942" t="s">
        <v>386</v>
      </c>
      <c r="M942" t="s">
        <v>1193</v>
      </c>
      <c r="N942">
        <v>6269</v>
      </c>
      <c r="O942">
        <v>37</v>
      </c>
      <c r="R942" t="s">
        <v>398</v>
      </c>
      <c r="T942">
        <v>0</v>
      </c>
      <c r="V942" t="s">
        <v>1186</v>
      </c>
      <c r="Z942" t="s">
        <v>946</v>
      </c>
      <c r="AA942" t="s">
        <v>387</v>
      </c>
      <c r="AB942">
        <v>29000</v>
      </c>
      <c r="AC942">
        <v>4539</v>
      </c>
      <c r="AD942" t="s">
        <v>2875</v>
      </c>
      <c r="AE942">
        <v>0</v>
      </c>
      <c r="AF942" t="s">
        <v>1188</v>
      </c>
      <c r="AG942" t="s">
        <v>1244</v>
      </c>
      <c r="AH942" t="s">
        <v>2876</v>
      </c>
    </row>
    <row r="943" spans="1:34" x14ac:dyDescent="0.25">
      <c r="A943">
        <v>1</v>
      </c>
      <c r="C943" s="185"/>
      <c r="E943" t="s">
        <v>386</v>
      </c>
      <c r="F943" t="s">
        <v>2877</v>
      </c>
      <c r="G943" t="s">
        <v>1197</v>
      </c>
      <c r="H943" t="s">
        <v>2878</v>
      </c>
      <c r="I943">
        <v>6280</v>
      </c>
      <c r="J943" t="s">
        <v>2877</v>
      </c>
      <c r="K943" t="s">
        <v>2877</v>
      </c>
      <c r="L943" t="s">
        <v>386</v>
      </c>
      <c r="M943" t="s">
        <v>1193</v>
      </c>
      <c r="N943">
        <v>6280</v>
      </c>
      <c r="O943">
        <v>0</v>
      </c>
      <c r="T943">
        <v>114</v>
      </c>
      <c r="V943" t="s">
        <v>2879</v>
      </c>
      <c r="Z943" t="s">
        <v>865</v>
      </c>
      <c r="AA943" t="s">
        <v>387</v>
      </c>
      <c r="AB943">
        <v>0</v>
      </c>
      <c r="AC943">
        <v>834</v>
      </c>
      <c r="AD943" t="s">
        <v>2880</v>
      </c>
      <c r="AE943">
        <v>14</v>
      </c>
      <c r="AF943" t="s">
        <v>2615</v>
      </c>
      <c r="AG943" t="s">
        <v>2881</v>
      </c>
      <c r="AH943" t="s">
        <v>2882</v>
      </c>
    </row>
    <row r="944" spans="1:34" x14ac:dyDescent="0.25">
      <c r="A944">
        <v>1751</v>
      </c>
      <c r="C944" s="185"/>
      <c r="D944" t="s">
        <v>157</v>
      </c>
      <c r="E944" t="s">
        <v>386</v>
      </c>
      <c r="F944" t="s">
        <v>2883</v>
      </c>
      <c r="G944" t="s">
        <v>1197</v>
      </c>
      <c r="I944">
        <v>6360</v>
      </c>
      <c r="J944" t="s">
        <v>2883</v>
      </c>
      <c r="K944" t="s">
        <v>2767</v>
      </c>
      <c r="L944" t="s">
        <v>386</v>
      </c>
      <c r="M944" t="s">
        <v>1193</v>
      </c>
      <c r="N944">
        <v>6360</v>
      </c>
      <c r="O944">
        <v>0</v>
      </c>
      <c r="T944">
        <v>220</v>
      </c>
      <c r="V944" t="s">
        <v>1194</v>
      </c>
      <c r="W944" t="s">
        <v>2144</v>
      </c>
      <c r="X944">
        <v>39</v>
      </c>
      <c r="Z944" t="s">
        <v>2884</v>
      </c>
      <c r="AA944" t="s">
        <v>387</v>
      </c>
      <c r="AB944">
        <v>0</v>
      </c>
      <c r="AC944">
        <v>2881</v>
      </c>
      <c r="AD944" t="s">
        <v>2885</v>
      </c>
      <c r="AE944">
        <v>1367</v>
      </c>
      <c r="AF944" t="s">
        <v>2886</v>
      </c>
      <c r="AG944" t="s">
        <v>2887</v>
      </c>
    </row>
    <row r="945" spans="1:34" x14ac:dyDescent="0.25">
      <c r="A945">
        <v>1752</v>
      </c>
      <c r="C945" s="185"/>
      <c r="D945" t="s">
        <v>24</v>
      </c>
      <c r="E945" t="s">
        <v>386</v>
      </c>
      <c r="F945" t="s">
        <v>264</v>
      </c>
      <c r="G945" t="s">
        <v>1197</v>
      </c>
      <c r="I945">
        <v>6370</v>
      </c>
      <c r="J945" t="s">
        <v>264</v>
      </c>
      <c r="K945" t="s">
        <v>264</v>
      </c>
      <c r="L945" t="s">
        <v>386</v>
      </c>
      <c r="M945" t="s">
        <v>1193</v>
      </c>
      <c r="N945">
        <v>6370</v>
      </c>
      <c r="O945">
        <v>56</v>
      </c>
      <c r="R945" t="s">
        <v>398</v>
      </c>
      <c r="T945">
        <v>260</v>
      </c>
      <c r="V945" t="s">
        <v>1216</v>
      </c>
      <c r="W945" t="s">
        <v>1194</v>
      </c>
      <c r="X945">
        <v>220</v>
      </c>
      <c r="Z945" t="s">
        <v>896</v>
      </c>
      <c r="AA945" t="s">
        <v>387</v>
      </c>
      <c r="AB945">
        <v>48000</v>
      </c>
      <c r="AC945">
        <v>2886</v>
      </c>
      <c r="AD945" t="s">
        <v>2888</v>
      </c>
      <c r="AE945">
        <v>0</v>
      </c>
      <c r="AF945" t="s">
        <v>1188</v>
      </c>
    </row>
    <row r="946" spans="1:34" x14ac:dyDescent="0.25">
      <c r="A946">
        <v>1618</v>
      </c>
      <c r="C946" s="185"/>
      <c r="D946" t="s">
        <v>24</v>
      </c>
      <c r="E946" t="s">
        <v>386</v>
      </c>
      <c r="F946" t="s">
        <v>423</v>
      </c>
      <c r="G946" t="s">
        <v>1197</v>
      </c>
      <c r="I946">
        <v>6382</v>
      </c>
      <c r="J946" t="s">
        <v>423</v>
      </c>
      <c r="K946" t="s">
        <v>2889</v>
      </c>
      <c r="L946" t="s">
        <v>386</v>
      </c>
      <c r="M946" t="s">
        <v>1193</v>
      </c>
      <c r="N946">
        <v>6382</v>
      </c>
      <c r="O946">
        <v>37</v>
      </c>
      <c r="R946" t="s">
        <v>398</v>
      </c>
      <c r="T946">
        <v>473</v>
      </c>
      <c r="V946" t="s">
        <v>1964</v>
      </c>
      <c r="W946" t="s">
        <v>1200</v>
      </c>
      <c r="X946">
        <v>340</v>
      </c>
      <c r="Z946" t="s">
        <v>1026</v>
      </c>
      <c r="AA946" t="s">
        <v>387</v>
      </c>
      <c r="AB946">
        <v>29000</v>
      </c>
      <c r="AC946">
        <v>0</v>
      </c>
      <c r="AD946" t="s">
        <v>1187</v>
      </c>
      <c r="AE946">
        <v>0</v>
      </c>
      <c r="AF946" t="s">
        <v>1188</v>
      </c>
      <c r="AG946" t="s">
        <v>1244</v>
      </c>
    </row>
    <row r="947" spans="1:34" x14ac:dyDescent="0.25">
      <c r="A947">
        <v>1761</v>
      </c>
      <c r="C947" s="185"/>
      <c r="E947" t="s">
        <v>386</v>
      </c>
      <c r="F947" t="s">
        <v>2890</v>
      </c>
      <c r="G947" t="s">
        <v>1903</v>
      </c>
      <c r="I947">
        <v>6490</v>
      </c>
      <c r="J947" t="s">
        <v>2890</v>
      </c>
      <c r="K947" t="s">
        <v>2890</v>
      </c>
      <c r="L947" t="s">
        <v>386</v>
      </c>
      <c r="M947" t="s">
        <v>1193</v>
      </c>
      <c r="N947">
        <v>6490</v>
      </c>
      <c r="O947">
        <v>0</v>
      </c>
      <c r="T947">
        <v>396</v>
      </c>
      <c r="V947" t="s">
        <v>2186</v>
      </c>
      <c r="W947" t="s">
        <v>2144</v>
      </c>
      <c r="X947">
        <v>39</v>
      </c>
      <c r="Z947" t="s">
        <v>2891</v>
      </c>
      <c r="AA947" t="s">
        <v>387</v>
      </c>
      <c r="AB947">
        <v>7000</v>
      </c>
      <c r="AC947">
        <v>2928</v>
      </c>
      <c r="AD947" t="s">
        <v>2892</v>
      </c>
      <c r="AE947">
        <v>0</v>
      </c>
      <c r="AF947" t="s">
        <v>1188</v>
      </c>
      <c r="AG947" t="s">
        <v>2893</v>
      </c>
    </row>
    <row r="948" spans="1:34" x14ac:dyDescent="0.25">
      <c r="A948">
        <v>1763</v>
      </c>
      <c r="C948" s="185"/>
      <c r="E948" t="s">
        <v>386</v>
      </c>
      <c r="F948" t="s">
        <v>2894</v>
      </c>
      <c r="G948" t="s">
        <v>1197</v>
      </c>
      <c r="I948">
        <v>6506</v>
      </c>
      <c r="J948" t="s">
        <v>2894</v>
      </c>
      <c r="K948" t="s">
        <v>2895</v>
      </c>
      <c r="L948" t="s">
        <v>386</v>
      </c>
      <c r="M948" t="s">
        <v>1193</v>
      </c>
      <c r="N948">
        <v>6506</v>
      </c>
      <c r="O948">
        <v>0</v>
      </c>
      <c r="T948">
        <v>39</v>
      </c>
      <c r="V948" t="s">
        <v>2144</v>
      </c>
      <c r="Z948" t="s">
        <v>2896</v>
      </c>
      <c r="AA948" t="s">
        <v>387</v>
      </c>
      <c r="AB948">
        <v>0</v>
      </c>
      <c r="AC948">
        <v>2932</v>
      </c>
      <c r="AD948" t="s">
        <v>2897</v>
      </c>
      <c r="AE948">
        <v>0</v>
      </c>
      <c r="AF948" t="s">
        <v>1188</v>
      </c>
      <c r="AG948" t="s">
        <v>2898</v>
      </c>
    </row>
    <row r="949" spans="1:34" x14ac:dyDescent="0.25">
      <c r="A949">
        <v>1764</v>
      </c>
      <c r="C949" s="185"/>
      <c r="E949" t="s">
        <v>386</v>
      </c>
      <c r="F949" t="s">
        <v>2899</v>
      </c>
      <c r="G949" t="s">
        <v>1197</v>
      </c>
      <c r="I949">
        <v>6507</v>
      </c>
      <c r="J949" t="s">
        <v>2899</v>
      </c>
      <c r="K949" t="s">
        <v>2899</v>
      </c>
      <c r="L949" t="s">
        <v>386</v>
      </c>
      <c r="M949" t="s">
        <v>1193</v>
      </c>
      <c r="N949">
        <v>6507</v>
      </c>
      <c r="O949">
        <v>0</v>
      </c>
      <c r="T949">
        <v>39</v>
      </c>
      <c r="V949" t="s">
        <v>2144</v>
      </c>
      <c r="Z949" t="s">
        <v>2900</v>
      </c>
      <c r="AA949" t="s">
        <v>387</v>
      </c>
      <c r="AB949">
        <v>0</v>
      </c>
      <c r="AC949">
        <v>2933</v>
      </c>
      <c r="AD949" t="s">
        <v>2901</v>
      </c>
      <c r="AE949">
        <v>0</v>
      </c>
      <c r="AF949" t="s">
        <v>1188</v>
      </c>
      <c r="AG949" t="s">
        <v>2902</v>
      </c>
    </row>
    <row r="950" spans="1:34" x14ac:dyDescent="0.25">
      <c r="A950">
        <v>1712</v>
      </c>
      <c r="C950" s="185"/>
      <c r="E950" t="s">
        <v>386</v>
      </c>
      <c r="F950" t="s">
        <v>2903</v>
      </c>
      <c r="G950" t="s">
        <v>1192</v>
      </c>
      <c r="I950">
        <v>6526</v>
      </c>
      <c r="J950" t="s">
        <v>2903</v>
      </c>
      <c r="K950" t="s">
        <v>2903</v>
      </c>
      <c r="L950" t="s">
        <v>386</v>
      </c>
      <c r="M950" t="s">
        <v>1193</v>
      </c>
      <c r="N950">
        <v>6526</v>
      </c>
      <c r="O950">
        <v>0</v>
      </c>
      <c r="T950">
        <v>114</v>
      </c>
      <c r="V950" t="s">
        <v>2879</v>
      </c>
      <c r="Z950" t="s">
        <v>2811</v>
      </c>
      <c r="AA950" t="s">
        <v>387</v>
      </c>
      <c r="AB950">
        <v>0</v>
      </c>
      <c r="AC950">
        <v>2936</v>
      </c>
      <c r="AD950" t="s">
        <v>2904</v>
      </c>
      <c r="AE950">
        <v>0</v>
      </c>
      <c r="AF950" t="s">
        <v>1188</v>
      </c>
      <c r="AG950" t="s">
        <v>2905</v>
      </c>
    </row>
    <row r="951" spans="1:34" x14ac:dyDescent="0.25">
      <c r="A951">
        <v>1712</v>
      </c>
      <c r="C951" s="185"/>
      <c r="E951" t="s">
        <v>386</v>
      </c>
      <c r="F951" t="s">
        <v>2906</v>
      </c>
      <c r="G951" t="s">
        <v>1192</v>
      </c>
      <c r="I951">
        <v>6527</v>
      </c>
      <c r="J951" t="s">
        <v>2906</v>
      </c>
      <c r="K951" t="s">
        <v>2907</v>
      </c>
      <c r="L951" t="s">
        <v>386</v>
      </c>
      <c r="M951" t="s">
        <v>1193</v>
      </c>
      <c r="N951">
        <v>6527</v>
      </c>
      <c r="O951">
        <v>0</v>
      </c>
      <c r="T951">
        <v>114</v>
      </c>
      <c r="V951" t="s">
        <v>2879</v>
      </c>
      <c r="Z951" t="s">
        <v>2811</v>
      </c>
      <c r="AA951" t="s">
        <v>387</v>
      </c>
      <c r="AB951">
        <v>0</v>
      </c>
      <c r="AC951">
        <v>2937</v>
      </c>
      <c r="AD951" t="s">
        <v>2908</v>
      </c>
      <c r="AE951">
        <v>0</v>
      </c>
      <c r="AF951" t="s">
        <v>1188</v>
      </c>
      <c r="AG951" t="s">
        <v>2909</v>
      </c>
    </row>
    <row r="952" spans="1:34" x14ac:dyDescent="0.25">
      <c r="A952">
        <v>1712</v>
      </c>
      <c r="C952" s="185"/>
      <c r="E952" t="s">
        <v>386</v>
      </c>
      <c r="F952" t="s">
        <v>2910</v>
      </c>
      <c r="G952" t="s">
        <v>1192</v>
      </c>
      <c r="I952">
        <v>6528</v>
      </c>
      <c r="J952" t="s">
        <v>2910</v>
      </c>
      <c r="K952" t="s">
        <v>2910</v>
      </c>
      <c r="L952" t="s">
        <v>386</v>
      </c>
      <c r="M952" t="s">
        <v>1193</v>
      </c>
      <c r="N952">
        <v>6528</v>
      </c>
      <c r="O952">
        <v>0</v>
      </c>
      <c r="T952">
        <v>114</v>
      </c>
      <c r="V952" t="s">
        <v>2879</v>
      </c>
      <c r="Z952" t="s">
        <v>2811</v>
      </c>
      <c r="AA952" t="s">
        <v>387</v>
      </c>
      <c r="AB952">
        <v>0</v>
      </c>
      <c r="AC952">
        <v>2938</v>
      </c>
      <c r="AD952" t="s">
        <v>2911</v>
      </c>
      <c r="AE952">
        <v>0</v>
      </c>
      <c r="AF952" t="s">
        <v>1188</v>
      </c>
    </row>
    <row r="953" spans="1:34" x14ac:dyDescent="0.25">
      <c r="A953">
        <v>1712</v>
      </c>
      <c r="C953" s="185"/>
      <c r="E953" t="s">
        <v>386</v>
      </c>
      <c r="F953" t="s">
        <v>2912</v>
      </c>
      <c r="G953" t="s">
        <v>1192</v>
      </c>
      <c r="I953">
        <v>6529</v>
      </c>
      <c r="J953" t="s">
        <v>2912</v>
      </c>
      <c r="K953" t="s">
        <v>2912</v>
      </c>
      <c r="L953" t="s">
        <v>386</v>
      </c>
      <c r="M953" t="s">
        <v>1193</v>
      </c>
      <c r="N953">
        <v>6529</v>
      </c>
      <c r="O953">
        <v>0</v>
      </c>
      <c r="T953">
        <v>114</v>
      </c>
      <c r="V953" t="s">
        <v>2879</v>
      </c>
      <c r="Z953" t="s">
        <v>2811</v>
      </c>
      <c r="AA953" t="s">
        <v>387</v>
      </c>
      <c r="AB953">
        <v>0</v>
      </c>
      <c r="AC953">
        <v>2939</v>
      </c>
      <c r="AD953" t="s">
        <v>2913</v>
      </c>
      <c r="AE953">
        <v>0</v>
      </c>
      <c r="AF953" t="s">
        <v>1188</v>
      </c>
      <c r="AG953" t="s">
        <v>2914</v>
      </c>
    </row>
    <row r="954" spans="1:34" x14ac:dyDescent="0.25">
      <c r="A954">
        <v>1</v>
      </c>
      <c r="C954" s="185"/>
      <c r="E954" t="s">
        <v>386</v>
      </c>
      <c r="F954" t="s">
        <v>2915</v>
      </c>
      <c r="G954" t="s">
        <v>1192</v>
      </c>
      <c r="H954" t="s">
        <v>2916</v>
      </c>
      <c r="I954">
        <v>6548</v>
      </c>
      <c r="J954" t="s">
        <v>2915</v>
      </c>
      <c r="K954" t="s">
        <v>2917</v>
      </c>
      <c r="L954" t="s">
        <v>386</v>
      </c>
      <c r="M954" t="s">
        <v>1184</v>
      </c>
      <c r="N954">
        <v>6548</v>
      </c>
      <c r="O954">
        <v>0</v>
      </c>
      <c r="R954" t="s">
        <v>1208</v>
      </c>
      <c r="T954">
        <v>496</v>
      </c>
      <c r="V954" t="s">
        <v>2246</v>
      </c>
      <c r="W954" t="s">
        <v>2246</v>
      </c>
      <c r="X954">
        <v>496</v>
      </c>
      <c r="Z954" t="s">
        <v>865</v>
      </c>
      <c r="AA954" t="s">
        <v>387</v>
      </c>
      <c r="AB954">
        <v>0</v>
      </c>
      <c r="AC954">
        <v>4122</v>
      </c>
      <c r="AD954" t="s">
        <v>2918</v>
      </c>
      <c r="AE954">
        <v>2</v>
      </c>
      <c r="AF954" t="s">
        <v>2919</v>
      </c>
      <c r="AG954" t="s">
        <v>2920</v>
      </c>
    </row>
    <row r="955" spans="1:34" x14ac:dyDescent="0.25">
      <c r="A955">
        <v>1577</v>
      </c>
      <c r="C955" s="185"/>
      <c r="D955" t="s">
        <v>24</v>
      </c>
      <c r="E955" t="s">
        <v>386</v>
      </c>
      <c r="F955" t="s">
        <v>2921</v>
      </c>
      <c r="G955" t="s">
        <v>1197</v>
      </c>
      <c r="I955">
        <v>6625</v>
      </c>
      <c r="J955" t="s">
        <v>2921</v>
      </c>
      <c r="K955" t="s">
        <v>2922</v>
      </c>
      <c r="L955" t="s">
        <v>386</v>
      </c>
      <c r="M955" t="s">
        <v>1193</v>
      </c>
      <c r="N955">
        <v>6625</v>
      </c>
      <c r="O955">
        <v>37</v>
      </c>
      <c r="R955" t="s">
        <v>398</v>
      </c>
      <c r="T955">
        <v>220</v>
      </c>
      <c r="V955" t="s">
        <v>1194</v>
      </c>
      <c r="W955" t="s">
        <v>1194</v>
      </c>
      <c r="X955">
        <v>220</v>
      </c>
      <c r="Z955" t="s">
        <v>2520</v>
      </c>
      <c r="AA955" t="s">
        <v>387</v>
      </c>
      <c r="AB955">
        <v>29000</v>
      </c>
      <c r="AC955">
        <v>2968</v>
      </c>
      <c r="AD955" t="s">
        <v>2923</v>
      </c>
      <c r="AE955">
        <v>0</v>
      </c>
      <c r="AF955" t="s">
        <v>1188</v>
      </c>
      <c r="AG955" t="s">
        <v>2197</v>
      </c>
    </row>
    <row r="956" spans="1:34" x14ac:dyDescent="0.25">
      <c r="A956">
        <v>1768</v>
      </c>
      <c r="C956" s="185"/>
      <c r="E956" t="s">
        <v>386</v>
      </c>
      <c r="F956" t="s">
        <v>2924</v>
      </c>
      <c r="G956" t="s">
        <v>1192</v>
      </c>
      <c r="H956" t="s">
        <v>2830</v>
      </c>
      <c r="I956">
        <v>6643</v>
      </c>
      <c r="J956" t="s">
        <v>2924</v>
      </c>
      <c r="K956" t="s">
        <v>2924</v>
      </c>
      <c r="L956" t="s">
        <v>386</v>
      </c>
      <c r="M956" t="s">
        <v>1193</v>
      </c>
      <c r="N956">
        <v>6643</v>
      </c>
      <c r="O956">
        <v>0</v>
      </c>
      <c r="T956">
        <v>52</v>
      </c>
      <c r="V956" t="s">
        <v>2024</v>
      </c>
      <c r="Z956" t="s">
        <v>2925</v>
      </c>
      <c r="AA956" t="s">
        <v>387</v>
      </c>
      <c r="AB956">
        <v>0</v>
      </c>
      <c r="AC956">
        <v>2972</v>
      </c>
      <c r="AD956" t="s">
        <v>2926</v>
      </c>
      <c r="AE956">
        <v>0</v>
      </c>
      <c r="AF956" t="s">
        <v>1188</v>
      </c>
    </row>
    <row r="957" spans="1:34" x14ac:dyDescent="0.25">
      <c r="A957">
        <v>1</v>
      </c>
      <c r="C957" s="185"/>
      <c r="E957" t="s">
        <v>386</v>
      </c>
      <c r="F957" t="s">
        <v>2927</v>
      </c>
      <c r="G957" t="s">
        <v>1192</v>
      </c>
      <c r="H957" t="s">
        <v>2928</v>
      </c>
      <c r="I957">
        <v>6685</v>
      </c>
      <c r="J957" t="s">
        <v>2927</v>
      </c>
      <c r="K957" t="s">
        <v>2927</v>
      </c>
      <c r="L957" t="s">
        <v>386</v>
      </c>
      <c r="M957" t="s">
        <v>1184</v>
      </c>
      <c r="N957">
        <v>6685</v>
      </c>
      <c r="O957">
        <v>0</v>
      </c>
      <c r="R957" t="s">
        <v>1208</v>
      </c>
      <c r="T957">
        <v>372</v>
      </c>
      <c r="V957" t="s">
        <v>2073</v>
      </c>
      <c r="W957" t="s">
        <v>1216</v>
      </c>
      <c r="X957">
        <v>260</v>
      </c>
      <c r="Z957" t="s">
        <v>865</v>
      </c>
      <c r="AA957" t="s">
        <v>387</v>
      </c>
      <c r="AB957">
        <v>0</v>
      </c>
      <c r="AC957">
        <v>4788</v>
      </c>
      <c r="AD957" t="s">
        <v>2929</v>
      </c>
      <c r="AE957">
        <v>53</v>
      </c>
      <c r="AF957" t="s">
        <v>2455</v>
      </c>
      <c r="AG957" t="s">
        <v>2930</v>
      </c>
      <c r="AH957" t="s">
        <v>2931</v>
      </c>
    </row>
    <row r="958" spans="1:34" x14ac:dyDescent="0.25">
      <c r="A958">
        <v>1779</v>
      </c>
      <c r="C958" s="185"/>
      <c r="E958" t="s">
        <v>386</v>
      </c>
      <c r="F958" t="s">
        <v>2932</v>
      </c>
      <c r="G958" t="s">
        <v>1197</v>
      </c>
      <c r="I958">
        <v>6810</v>
      </c>
      <c r="J958" t="s">
        <v>2932</v>
      </c>
      <c r="K958" t="s">
        <v>2932</v>
      </c>
      <c r="L958" t="s">
        <v>386</v>
      </c>
      <c r="M958" t="s">
        <v>1193</v>
      </c>
      <c r="N958">
        <v>6810</v>
      </c>
      <c r="O958">
        <v>0</v>
      </c>
      <c r="T958">
        <v>35</v>
      </c>
      <c r="V958" t="s">
        <v>2015</v>
      </c>
      <c r="Z958" t="s">
        <v>2933</v>
      </c>
      <c r="AA958" t="s">
        <v>387</v>
      </c>
      <c r="AB958">
        <v>0</v>
      </c>
      <c r="AC958">
        <v>3022</v>
      </c>
      <c r="AD958" t="s">
        <v>2934</v>
      </c>
      <c r="AE958">
        <v>1432</v>
      </c>
      <c r="AF958" t="s">
        <v>2935</v>
      </c>
      <c r="AG958" t="s">
        <v>2936</v>
      </c>
    </row>
    <row r="959" spans="1:34" x14ac:dyDescent="0.25">
      <c r="A959">
        <v>1783</v>
      </c>
      <c r="C959" s="185"/>
      <c r="D959" t="s">
        <v>157</v>
      </c>
      <c r="E959" t="s">
        <v>386</v>
      </c>
      <c r="F959" t="s">
        <v>2937</v>
      </c>
      <c r="G959" t="s">
        <v>1192</v>
      </c>
      <c r="H959" t="s">
        <v>2938</v>
      </c>
      <c r="I959">
        <v>6845</v>
      </c>
      <c r="J959" t="s">
        <v>2937</v>
      </c>
      <c r="K959" t="s">
        <v>2939</v>
      </c>
      <c r="L959" t="s">
        <v>386</v>
      </c>
      <c r="M959" t="s">
        <v>1184</v>
      </c>
      <c r="N959">
        <v>6845</v>
      </c>
      <c r="O959">
        <v>0</v>
      </c>
      <c r="R959" t="s">
        <v>398</v>
      </c>
      <c r="T959">
        <v>114</v>
      </c>
      <c r="V959" t="s">
        <v>2879</v>
      </c>
      <c r="Z959" t="s">
        <v>2940</v>
      </c>
      <c r="AA959" t="s">
        <v>387</v>
      </c>
      <c r="AB959">
        <v>0</v>
      </c>
      <c r="AC959">
        <v>3033</v>
      </c>
      <c r="AD959" t="s">
        <v>2941</v>
      </c>
      <c r="AE959">
        <v>480</v>
      </c>
      <c r="AF959" t="s">
        <v>2942</v>
      </c>
      <c r="AG959" t="s">
        <v>2943</v>
      </c>
    </row>
    <row r="960" spans="1:34" x14ac:dyDescent="0.25">
      <c r="A960">
        <v>1463</v>
      </c>
      <c r="C960" s="185"/>
      <c r="E960" t="s">
        <v>386</v>
      </c>
      <c r="F960" t="s">
        <v>2944</v>
      </c>
      <c r="G960" t="s">
        <v>1197</v>
      </c>
      <c r="I960">
        <v>6886</v>
      </c>
      <c r="J960" t="s">
        <v>2944</v>
      </c>
      <c r="K960" t="s">
        <v>2945</v>
      </c>
      <c r="L960" t="s">
        <v>386</v>
      </c>
      <c r="M960" t="s">
        <v>1193</v>
      </c>
      <c r="N960">
        <v>6886</v>
      </c>
      <c r="O960">
        <v>0</v>
      </c>
      <c r="R960" t="s">
        <v>398</v>
      </c>
      <c r="T960">
        <v>114</v>
      </c>
      <c r="V960" t="s">
        <v>2879</v>
      </c>
      <c r="Z960" t="s">
        <v>1070</v>
      </c>
      <c r="AA960" t="s">
        <v>387</v>
      </c>
      <c r="AB960">
        <v>0</v>
      </c>
      <c r="AC960">
        <v>3045</v>
      </c>
      <c r="AD960" t="s">
        <v>2946</v>
      </c>
      <c r="AE960">
        <v>0</v>
      </c>
      <c r="AF960" t="s">
        <v>1188</v>
      </c>
      <c r="AH960" t="s">
        <v>2947</v>
      </c>
    </row>
    <row r="961" spans="1:34" x14ac:dyDescent="0.25">
      <c r="A961">
        <v>31</v>
      </c>
      <c r="C961" s="185">
        <v>40864</v>
      </c>
      <c r="E961" t="s">
        <v>386</v>
      </c>
      <c r="F961" t="s">
        <v>2948</v>
      </c>
      <c r="G961" t="s">
        <v>1192</v>
      </c>
      <c r="H961" t="s">
        <v>2949</v>
      </c>
      <c r="I961">
        <v>6982</v>
      </c>
      <c r="J961" t="s">
        <v>2948</v>
      </c>
      <c r="K961" t="s">
        <v>2948</v>
      </c>
      <c r="L961" t="s">
        <v>386</v>
      </c>
      <c r="M961" t="s">
        <v>1193</v>
      </c>
      <c r="N961">
        <v>6982</v>
      </c>
      <c r="O961">
        <v>0</v>
      </c>
      <c r="T961">
        <v>287</v>
      </c>
      <c r="V961" t="s">
        <v>1233</v>
      </c>
      <c r="Z961" t="s">
        <v>1132</v>
      </c>
      <c r="AA961" t="s">
        <v>386</v>
      </c>
      <c r="AB961">
        <v>0</v>
      </c>
      <c r="AC961">
        <v>4137</v>
      </c>
      <c r="AD961" t="s">
        <v>2950</v>
      </c>
      <c r="AE961">
        <v>980</v>
      </c>
      <c r="AF961" t="s">
        <v>2951</v>
      </c>
      <c r="AG961" t="s">
        <v>2952</v>
      </c>
      <c r="AH961" t="s">
        <v>2953</v>
      </c>
    </row>
    <row r="962" spans="1:34" x14ac:dyDescent="0.25">
      <c r="A962">
        <v>1</v>
      </c>
      <c r="C962" s="185"/>
      <c r="E962" t="s">
        <v>386</v>
      </c>
      <c r="F962" t="s">
        <v>2954</v>
      </c>
      <c r="G962" t="s">
        <v>1192</v>
      </c>
      <c r="H962" t="s">
        <v>2955</v>
      </c>
      <c r="I962">
        <v>7020</v>
      </c>
      <c r="J962" t="s">
        <v>2954</v>
      </c>
      <c r="K962" t="s">
        <v>2954</v>
      </c>
      <c r="L962" t="s">
        <v>386</v>
      </c>
      <c r="M962" t="s">
        <v>1184</v>
      </c>
      <c r="N962">
        <v>7020</v>
      </c>
      <c r="O962">
        <v>0</v>
      </c>
      <c r="R962" t="s">
        <v>1223</v>
      </c>
      <c r="T962">
        <v>122</v>
      </c>
      <c r="V962" t="s">
        <v>1988</v>
      </c>
      <c r="W962" t="s">
        <v>1988</v>
      </c>
      <c r="X962">
        <v>122</v>
      </c>
      <c r="Z962" t="s">
        <v>865</v>
      </c>
      <c r="AA962" t="s">
        <v>387</v>
      </c>
      <c r="AB962">
        <v>0</v>
      </c>
      <c r="AC962">
        <v>936</v>
      </c>
      <c r="AD962" t="s">
        <v>2956</v>
      </c>
      <c r="AE962">
        <v>9</v>
      </c>
      <c r="AF962" t="s">
        <v>2957</v>
      </c>
      <c r="AG962" t="s">
        <v>2328</v>
      </c>
    </row>
    <row r="963" spans="1:34" x14ac:dyDescent="0.25">
      <c r="A963">
        <v>11</v>
      </c>
      <c r="C963" s="185"/>
      <c r="E963" t="s">
        <v>386</v>
      </c>
      <c r="F963" t="s">
        <v>2958</v>
      </c>
      <c r="G963" t="s">
        <v>1192</v>
      </c>
      <c r="H963" t="s">
        <v>2141</v>
      </c>
      <c r="I963">
        <v>7120</v>
      </c>
      <c r="J963" t="s">
        <v>2959</v>
      </c>
      <c r="K963" t="s">
        <v>2959</v>
      </c>
      <c r="L963" t="s">
        <v>386</v>
      </c>
      <c r="M963" t="s">
        <v>1193</v>
      </c>
      <c r="N963">
        <v>7116</v>
      </c>
      <c r="O963">
        <v>35</v>
      </c>
      <c r="R963" t="s">
        <v>398</v>
      </c>
      <c r="T963">
        <v>0</v>
      </c>
      <c r="V963" t="s">
        <v>1186</v>
      </c>
      <c r="Z963" t="s">
        <v>871</v>
      </c>
      <c r="AA963" t="s">
        <v>387</v>
      </c>
      <c r="AB963">
        <v>27000</v>
      </c>
      <c r="AC963">
        <v>0</v>
      </c>
      <c r="AD963" t="s">
        <v>1187</v>
      </c>
      <c r="AE963">
        <v>0</v>
      </c>
      <c r="AF963" t="s">
        <v>1188</v>
      </c>
    </row>
    <row r="964" spans="1:34" x14ac:dyDescent="0.25">
      <c r="A964">
        <v>1275</v>
      </c>
      <c r="C964" s="185"/>
      <c r="E964" t="s">
        <v>386</v>
      </c>
      <c r="F964" t="s">
        <v>2958</v>
      </c>
      <c r="G964" t="s">
        <v>1192</v>
      </c>
      <c r="H964" t="s">
        <v>2141</v>
      </c>
      <c r="I964">
        <v>7122</v>
      </c>
      <c r="J964" t="s">
        <v>2960</v>
      </c>
      <c r="K964" t="s">
        <v>2960</v>
      </c>
      <c r="L964" t="s">
        <v>386</v>
      </c>
      <c r="M964" t="s">
        <v>1193</v>
      </c>
      <c r="N964">
        <v>7116</v>
      </c>
      <c r="O964">
        <v>29</v>
      </c>
      <c r="R964" t="s">
        <v>398</v>
      </c>
      <c r="T964">
        <v>0</v>
      </c>
      <c r="V964" t="s">
        <v>1186</v>
      </c>
      <c r="Z964" t="s">
        <v>2124</v>
      </c>
      <c r="AA964" t="s">
        <v>387</v>
      </c>
      <c r="AB964">
        <v>21000</v>
      </c>
      <c r="AC964">
        <v>0</v>
      </c>
      <c r="AD964" t="s">
        <v>1187</v>
      </c>
      <c r="AE964">
        <v>0</v>
      </c>
      <c r="AF964" t="s">
        <v>1188</v>
      </c>
    </row>
    <row r="965" spans="1:34" x14ac:dyDescent="0.25">
      <c r="A965">
        <v>24</v>
      </c>
      <c r="C965" s="185"/>
      <c r="E965" t="s">
        <v>386</v>
      </c>
      <c r="F965" t="s">
        <v>2958</v>
      </c>
      <c r="G965" t="s">
        <v>1192</v>
      </c>
      <c r="H965" t="s">
        <v>2141</v>
      </c>
      <c r="I965">
        <v>7117</v>
      </c>
      <c r="J965" t="s">
        <v>2961</v>
      </c>
      <c r="K965" t="s">
        <v>2961</v>
      </c>
      <c r="L965" t="s">
        <v>386</v>
      </c>
      <c r="M965" t="s">
        <v>1193</v>
      </c>
      <c r="N965">
        <v>7116</v>
      </c>
      <c r="O965">
        <v>35</v>
      </c>
      <c r="R965" t="s">
        <v>398</v>
      </c>
      <c r="T965">
        <v>0</v>
      </c>
      <c r="V965" t="s">
        <v>1186</v>
      </c>
      <c r="Z965" t="s">
        <v>955</v>
      </c>
      <c r="AA965" t="s">
        <v>387</v>
      </c>
      <c r="AB965">
        <v>27000</v>
      </c>
      <c r="AC965">
        <v>0</v>
      </c>
      <c r="AD965" t="s">
        <v>1187</v>
      </c>
      <c r="AE965">
        <v>0</v>
      </c>
      <c r="AF965" t="s">
        <v>1188</v>
      </c>
    </row>
    <row r="966" spans="1:34" x14ac:dyDescent="0.25">
      <c r="A966">
        <v>1537</v>
      </c>
      <c r="C966" s="185"/>
      <c r="E966" t="s">
        <v>386</v>
      </c>
      <c r="F966" t="s">
        <v>2958</v>
      </c>
      <c r="G966" t="s">
        <v>1192</v>
      </c>
      <c r="H966" t="s">
        <v>2141</v>
      </c>
      <c r="I966">
        <v>7116</v>
      </c>
      <c r="J966" t="s">
        <v>2958</v>
      </c>
      <c r="K966" t="s">
        <v>2958</v>
      </c>
      <c r="L966" t="s">
        <v>386</v>
      </c>
      <c r="M966" t="s">
        <v>1193</v>
      </c>
      <c r="N966">
        <v>7116</v>
      </c>
      <c r="O966">
        <v>31</v>
      </c>
      <c r="R966" t="s">
        <v>398</v>
      </c>
      <c r="T966">
        <v>0</v>
      </c>
      <c r="V966" t="s">
        <v>1186</v>
      </c>
      <c r="Z966" t="s">
        <v>2962</v>
      </c>
      <c r="AA966" t="s">
        <v>387</v>
      </c>
      <c r="AB966">
        <v>23000</v>
      </c>
      <c r="AC966">
        <v>0</v>
      </c>
      <c r="AD966" t="s">
        <v>1187</v>
      </c>
      <c r="AE966">
        <v>0</v>
      </c>
      <c r="AF966" t="s">
        <v>1188</v>
      </c>
    </row>
    <row r="967" spans="1:34" x14ac:dyDescent="0.25">
      <c r="A967">
        <v>27</v>
      </c>
      <c r="C967" s="185"/>
      <c r="E967" t="s">
        <v>386</v>
      </c>
      <c r="F967" t="s">
        <v>2958</v>
      </c>
      <c r="G967" t="s">
        <v>1192</v>
      </c>
      <c r="H967" t="s">
        <v>2141</v>
      </c>
      <c r="I967">
        <v>7121</v>
      </c>
      <c r="J967" t="s">
        <v>2963</v>
      </c>
      <c r="K967" t="s">
        <v>2963</v>
      </c>
      <c r="L967" t="s">
        <v>386</v>
      </c>
      <c r="M967" t="s">
        <v>1193</v>
      </c>
      <c r="N967">
        <v>7116</v>
      </c>
      <c r="O967">
        <v>29</v>
      </c>
      <c r="R967" t="s">
        <v>398</v>
      </c>
      <c r="T967">
        <v>0</v>
      </c>
      <c r="V967" t="s">
        <v>1186</v>
      </c>
      <c r="Z967" t="s">
        <v>1018</v>
      </c>
      <c r="AA967" t="s">
        <v>387</v>
      </c>
      <c r="AB967">
        <v>21000</v>
      </c>
      <c r="AC967">
        <v>0</v>
      </c>
      <c r="AD967" t="s">
        <v>1187</v>
      </c>
      <c r="AE967">
        <v>0</v>
      </c>
      <c r="AF967" t="s">
        <v>1188</v>
      </c>
    </row>
    <row r="968" spans="1:34" x14ac:dyDescent="0.25">
      <c r="A968">
        <v>5</v>
      </c>
      <c r="C968" s="185"/>
      <c r="E968" t="s">
        <v>386</v>
      </c>
      <c r="F968" t="s">
        <v>2958</v>
      </c>
      <c r="G968" t="s">
        <v>1192</v>
      </c>
      <c r="H968" t="s">
        <v>2141</v>
      </c>
      <c r="I968">
        <v>7124</v>
      </c>
      <c r="J968" t="s">
        <v>2964</v>
      </c>
      <c r="K968" t="s">
        <v>2964</v>
      </c>
      <c r="L968" t="s">
        <v>386</v>
      </c>
      <c r="M968" t="s">
        <v>1193</v>
      </c>
      <c r="N968">
        <v>7116</v>
      </c>
      <c r="O968">
        <v>31</v>
      </c>
      <c r="R968" t="s">
        <v>398</v>
      </c>
      <c r="T968">
        <v>0</v>
      </c>
      <c r="V968" t="s">
        <v>1186</v>
      </c>
      <c r="Z968" t="s">
        <v>861</v>
      </c>
      <c r="AA968" t="s">
        <v>387</v>
      </c>
      <c r="AB968">
        <v>23000</v>
      </c>
      <c r="AC968">
        <v>0</v>
      </c>
      <c r="AD968" t="s">
        <v>1187</v>
      </c>
      <c r="AE968">
        <v>0</v>
      </c>
      <c r="AF968" t="s">
        <v>1188</v>
      </c>
    </row>
    <row r="969" spans="1:34" x14ac:dyDescent="0.25">
      <c r="A969">
        <v>50</v>
      </c>
      <c r="C969" s="185"/>
      <c r="E969" t="s">
        <v>386</v>
      </c>
      <c r="F969" t="s">
        <v>2958</v>
      </c>
      <c r="G969" t="s">
        <v>1192</v>
      </c>
      <c r="H969" t="s">
        <v>2141</v>
      </c>
      <c r="I969">
        <v>7118</v>
      </c>
      <c r="J969" t="s">
        <v>2965</v>
      </c>
      <c r="K969" t="s">
        <v>2965</v>
      </c>
      <c r="L969" t="s">
        <v>386</v>
      </c>
      <c r="M969" t="s">
        <v>1193</v>
      </c>
      <c r="N969">
        <v>7116</v>
      </c>
      <c r="O969">
        <v>1</v>
      </c>
      <c r="R969" t="s">
        <v>398</v>
      </c>
      <c r="T969">
        <v>0</v>
      </c>
      <c r="V969" t="s">
        <v>1186</v>
      </c>
      <c r="Z969" t="s">
        <v>878</v>
      </c>
      <c r="AA969" t="s">
        <v>387</v>
      </c>
      <c r="AB969">
        <v>1000</v>
      </c>
      <c r="AC969">
        <v>0</v>
      </c>
      <c r="AD969" t="s">
        <v>1187</v>
      </c>
      <c r="AE969">
        <v>0</v>
      </c>
      <c r="AF969" t="s">
        <v>1188</v>
      </c>
    </row>
    <row r="970" spans="1:34" x14ac:dyDescent="0.25">
      <c r="A970">
        <v>1342</v>
      </c>
      <c r="C970" s="185"/>
      <c r="E970" t="s">
        <v>386</v>
      </c>
      <c r="F970" t="s">
        <v>2966</v>
      </c>
      <c r="G970" t="s">
        <v>1192</v>
      </c>
      <c r="H970" t="s">
        <v>2967</v>
      </c>
      <c r="I970">
        <v>7224</v>
      </c>
      <c r="J970" t="s">
        <v>2966</v>
      </c>
      <c r="K970" t="s">
        <v>2966</v>
      </c>
      <c r="L970" t="s">
        <v>386</v>
      </c>
      <c r="M970" t="s">
        <v>1184</v>
      </c>
      <c r="N970">
        <v>7224</v>
      </c>
      <c r="O970">
        <v>31</v>
      </c>
      <c r="R970" t="s">
        <v>1208</v>
      </c>
      <c r="T970">
        <v>260</v>
      </c>
      <c r="V970" t="s">
        <v>1216</v>
      </c>
      <c r="W970" t="s">
        <v>1216</v>
      </c>
      <c r="X970">
        <v>260</v>
      </c>
      <c r="Z970" t="s">
        <v>2156</v>
      </c>
      <c r="AA970" t="s">
        <v>387</v>
      </c>
      <c r="AB970">
        <v>0</v>
      </c>
      <c r="AC970">
        <v>430</v>
      </c>
      <c r="AD970" t="s">
        <v>2968</v>
      </c>
      <c r="AE970">
        <v>2662</v>
      </c>
      <c r="AF970" t="s">
        <v>2969</v>
      </c>
      <c r="AG970" t="s">
        <v>2970</v>
      </c>
    </row>
    <row r="971" spans="1:34" x14ac:dyDescent="0.25">
      <c r="A971">
        <v>1</v>
      </c>
      <c r="C971" s="185"/>
      <c r="E971" t="s">
        <v>386</v>
      </c>
      <c r="F971" t="s">
        <v>2971</v>
      </c>
      <c r="G971" t="s">
        <v>1192</v>
      </c>
      <c r="H971" t="s">
        <v>2141</v>
      </c>
      <c r="I971">
        <v>7483</v>
      </c>
      <c r="J971" t="s">
        <v>2971</v>
      </c>
      <c r="K971" t="s">
        <v>2971</v>
      </c>
      <c r="L971" t="s">
        <v>386</v>
      </c>
      <c r="M971" t="s">
        <v>1184</v>
      </c>
      <c r="N971">
        <v>7483</v>
      </c>
      <c r="O971">
        <v>0</v>
      </c>
      <c r="R971" t="s">
        <v>1208</v>
      </c>
      <c r="T971">
        <v>200</v>
      </c>
      <c r="V971" t="s">
        <v>1199</v>
      </c>
      <c r="W971" t="s">
        <v>1216</v>
      </c>
      <c r="X971">
        <v>260</v>
      </c>
      <c r="Z971" t="s">
        <v>865</v>
      </c>
      <c r="AA971" t="s">
        <v>387</v>
      </c>
      <c r="AB971">
        <v>0</v>
      </c>
      <c r="AC971">
        <v>5560</v>
      </c>
      <c r="AD971" t="s">
        <v>2972</v>
      </c>
      <c r="AE971">
        <v>2576</v>
      </c>
      <c r="AF971" t="s">
        <v>2973</v>
      </c>
      <c r="AG971" t="s">
        <v>2974</v>
      </c>
      <c r="AH971" t="s">
        <v>2975</v>
      </c>
    </row>
    <row r="972" spans="1:34" x14ac:dyDescent="0.25">
      <c r="A972">
        <v>1</v>
      </c>
      <c r="C972" s="185"/>
      <c r="E972" t="s">
        <v>386</v>
      </c>
      <c r="F972" t="s">
        <v>2976</v>
      </c>
      <c r="G972" t="s">
        <v>1192</v>
      </c>
      <c r="I972">
        <v>7814</v>
      </c>
      <c r="J972" t="s">
        <v>2976</v>
      </c>
      <c r="K972" t="s">
        <v>2976</v>
      </c>
      <c r="L972" t="s">
        <v>386</v>
      </c>
      <c r="M972" t="s">
        <v>1184</v>
      </c>
      <c r="N972">
        <v>7814</v>
      </c>
      <c r="O972">
        <v>0</v>
      </c>
      <c r="R972" t="s">
        <v>1208</v>
      </c>
      <c r="T972">
        <v>200</v>
      </c>
      <c r="V972" t="s">
        <v>1199</v>
      </c>
      <c r="Z972" t="s">
        <v>865</v>
      </c>
      <c r="AA972" t="s">
        <v>387</v>
      </c>
      <c r="AB972">
        <v>0</v>
      </c>
      <c r="AC972">
        <v>0</v>
      </c>
      <c r="AD972" t="s">
        <v>1187</v>
      </c>
      <c r="AE972">
        <v>0</v>
      </c>
      <c r="AF972" t="s">
        <v>1188</v>
      </c>
    </row>
    <row r="973" spans="1:34" x14ac:dyDescent="0.25">
      <c r="A973">
        <v>1336</v>
      </c>
      <c r="C973" s="185"/>
      <c r="E973" t="s">
        <v>386</v>
      </c>
      <c r="F973" t="s">
        <v>2977</v>
      </c>
      <c r="G973" t="s">
        <v>1192</v>
      </c>
      <c r="H973" t="s">
        <v>2978</v>
      </c>
      <c r="I973">
        <v>7843</v>
      </c>
      <c r="J973" t="s">
        <v>2977</v>
      </c>
      <c r="K973" t="s">
        <v>2977</v>
      </c>
      <c r="L973" t="s">
        <v>386</v>
      </c>
      <c r="M973" t="s">
        <v>1193</v>
      </c>
      <c r="N973">
        <v>7843</v>
      </c>
      <c r="O973">
        <v>0</v>
      </c>
      <c r="T973">
        <v>571</v>
      </c>
      <c r="V973" t="s">
        <v>2003</v>
      </c>
      <c r="W973" t="s">
        <v>1215</v>
      </c>
      <c r="X973">
        <v>259</v>
      </c>
      <c r="Z973" t="s">
        <v>2979</v>
      </c>
      <c r="AA973" t="s">
        <v>387</v>
      </c>
      <c r="AB973">
        <v>0</v>
      </c>
      <c r="AC973">
        <v>3235</v>
      </c>
      <c r="AD973" t="s">
        <v>2980</v>
      </c>
      <c r="AE973">
        <v>1517</v>
      </c>
      <c r="AF973" t="s">
        <v>2981</v>
      </c>
      <c r="AG973" t="s">
        <v>2982</v>
      </c>
      <c r="AH973" t="s">
        <v>2983</v>
      </c>
    </row>
    <row r="974" spans="1:34" x14ac:dyDescent="0.25">
      <c r="A974">
        <v>1919</v>
      </c>
      <c r="C974" s="185"/>
      <c r="E974" t="s">
        <v>386</v>
      </c>
      <c r="F974" t="s">
        <v>2984</v>
      </c>
      <c r="G974" t="s">
        <v>1903</v>
      </c>
      <c r="I974">
        <v>7918</v>
      </c>
      <c r="J974" t="s">
        <v>2984</v>
      </c>
      <c r="K974" t="s">
        <v>2985</v>
      </c>
      <c r="L974" t="s">
        <v>386</v>
      </c>
      <c r="M974" t="s">
        <v>1193</v>
      </c>
      <c r="N974">
        <v>7918</v>
      </c>
      <c r="O974">
        <v>0</v>
      </c>
      <c r="R974" t="s">
        <v>1208</v>
      </c>
      <c r="T974">
        <v>496</v>
      </c>
      <c r="V974" t="s">
        <v>2246</v>
      </c>
      <c r="W974" t="s">
        <v>2986</v>
      </c>
      <c r="X974">
        <v>386</v>
      </c>
      <c r="Z974" t="s">
        <v>2987</v>
      </c>
      <c r="AA974" t="s">
        <v>387</v>
      </c>
      <c r="AB974">
        <v>0</v>
      </c>
      <c r="AC974">
        <v>0</v>
      </c>
      <c r="AD974" t="s">
        <v>1187</v>
      </c>
      <c r="AE974">
        <v>0</v>
      </c>
      <c r="AF974" t="s">
        <v>1188</v>
      </c>
    </row>
    <row r="975" spans="1:34" x14ac:dyDescent="0.25">
      <c r="A975">
        <v>1</v>
      </c>
      <c r="C975" s="185"/>
      <c r="E975" t="s">
        <v>386</v>
      </c>
      <c r="F975" t="s">
        <v>2988</v>
      </c>
      <c r="G975" t="s">
        <v>1192</v>
      </c>
      <c r="H975" t="s">
        <v>2989</v>
      </c>
      <c r="I975">
        <v>7934</v>
      </c>
      <c r="J975" t="s">
        <v>2988</v>
      </c>
      <c r="K975" t="s">
        <v>2988</v>
      </c>
      <c r="L975" t="s">
        <v>386</v>
      </c>
      <c r="M975" t="s">
        <v>1184</v>
      </c>
      <c r="N975">
        <v>7934</v>
      </c>
      <c r="O975">
        <v>35</v>
      </c>
      <c r="R975" t="s">
        <v>1208</v>
      </c>
      <c r="T975">
        <v>372</v>
      </c>
      <c r="V975" t="s">
        <v>2073</v>
      </c>
      <c r="W975" t="s">
        <v>1216</v>
      </c>
      <c r="X975">
        <v>260</v>
      </c>
      <c r="Z975" t="s">
        <v>865</v>
      </c>
      <c r="AA975" t="s">
        <v>387</v>
      </c>
      <c r="AB975">
        <v>0</v>
      </c>
      <c r="AC975">
        <v>1469</v>
      </c>
      <c r="AD975" t="s">
        <v>2990</v>
      </c>
      <c r="AE975">
        <v>557</v>
      </c>
      <c r="AF975" t="s">
        <v>2598</v>
      </c>
      <c r="AG975" t="s">
        <v>2991</v>
      </c>
    </row>
    <row r="976" spans="1:34" x14ac:dyDescent="0.25">
      <c r="A976">
        <v>1408</v>
      </c>
      <c r="C976" s="185"/>
      <c r="D976" t="s">
        <v>24</v>
      </c>
      <c r="E976" t="s">
        <v>386</v>
      </c>
      <c r="F976" t="s">
        <v>2992</v>
      </c>
      <c r="G976" t="s">
        <v>1192</v>
      </c>
      <c r="I976">
        <v>7959</v>
      </c>
      <c r="J976" t="s">
        <v>2992</v>
      </c>
      <c r="K976" t="s">
        <v>2993</v>
      </c>
      <c r="L976" t="s">
        <v>386</v>
      </c>
      <c r="M976" t="s">
        <v>1193</v>
      </c>
      <c r="N976">
        <v>7959</v>
      </c>
      <c r="O976">
        <v>0</v>
      </c>
      <c r="R976" t="s">
        <v>398</v>
      </c>
      <c r="T976">
        <v>185</v>
      </c>
      <c r="V976" t="s">
        <v>1915</v>
      </c>
      <c r="Z976" t="s">
        <v>1036</v>
      </c>
      <c r="AA976" t="s">
        <v>387</v>
      </c>
      <c r="AB976">
        <v>0</v>
      </c>
      <c r="AC976">
        <v>3258</v>
      </c>
      <c r="AD976" t="s">
        <v>2994</v>
      </c>
      <c r="AE976">
        <v>0</v>
      </c>
      <c r="AF976" t="s">
        <v>1188</v>
      </c>
      <c r="AG976" t="s">
        <v>2995</v>
      </c>
    </row>
    <row r="977" spans="1:34" x14ac:dyDescent="0.25">
      <c r="A977">
        <v>1</v>
      </c>
      <c r="C977" s="185"/>
      <c r="E977" t="s">
        <v>386</v>
      </c>
      <c r="F977" t="s">
        <v>2996</v>
      </c>
      <c r="G977" t="s">
        <v>1192</v>
      </c>
      <c r="H977" t="s">
        <v>2997</v>
      </c>
      <c r="I977">
        <v>7969</v>
      </c>
      <c r="J977" t="s">
        <v>2996</v>
      </c>
      <c r="K977" t="s">
        <v>2996</v>
      </c>
      <c r="L977" t="s">
        <v>386</v>
      </c>
      <c r="M977" t="s">
        <v>1184</v>
      </c>
      <c r="N977">
        <v>7969</v>
      </c>
      <c r="O977">
        <v>0</v>
      </c>
      <c r="R977" t="s">
        <v>1208</v>
      </c>
      <c r="T977">
        <v>260</v>
      </c>
      <c r="V977" t="s">
        <v>1216</v>
      </c>
      <c r="W977" t="s">
        <v>2344</v>
      </c>
      <c r="X977">
        <v>115</v>
      </c>
      <c r="Z977" t="s">
        <v>865</v>
      </c>
      <c r="AA977" t="s">
        <v>387</v>
      </c>
      <c r="AB977">
        <v>0</v>
      </c>
      <c r="AC977">
        <v>6588</v>
      </c>
      <c r="AD977" t="s">
        <v>2998</v>
      </c>
      <c r="AE977">
        <v>26</v>
      </c>
      <c r="AF977" t="s">
        <v>2075</v>
      </c>
      <c r="AG977" t="s">
        <v>2999</v>
      </c>
      <c r="AH977" t="s">
        <v>3000</v>
      </c>
    </row>
    <row r="978" spans="1:34" x14ac:dyDescent="0.25">
      <c r="A978">
        <v>1814</v>
      </c>
      <c r="C978" s="185"/>
      <c r="D978" t="s">
        <v>157</v>
      </c>
      <c r="E978" t="s">
        <v>386</v>
      </c>
      <c r="F978" t="s">
        <v>3001</v>
      </c>
      <c r="G978" t="s">
        <v>1192</v>
      </c>
      <c r="I978">
        <v>8158</v>
      </c>
      <c r="J978" t="s">
        <v>3001</v>
      </c>
      <c r="K978" t="s">
        <v>3002</v>
      </c>
      <c r="L978" t="s">
        <v>386</v>
      </c>
      <c r="M978" t="s">
        <v>1193</v>
      </c>
      <c r="N978">
        <v>8158</v>
      </c>
      <c r="O978">
        <v>37</v>
      </c>
      <c r="R978" t="s">
        <v>398</v>
      </c>
      <c r="T978">
        <v>220</v>
      </c>
      <c r="V978" t="s">
        <v>1194</v>
      </c>
      <c r="W978" t="s">
        <v>1194</v>
      </c>
      <c r="X978">
        <v>220</v>
      </c>
      <c r="Z978" t="s">
        <v>3003</v>
      </c>
      <c r="AA978" t="s">
        <v>387</v>
      </c>
      <c r="AB978">
        <v>29000</v>
      </c>
      <c r="AC978">
        <v>3286</v>
      </c>
      <c r="AD978" t="s">
        <v>3004</v>
      </c>
      <c r="AE978">
        <v>0</v>
      </c>
      <c r="AF978" t="s">
        <v>1188</v>
      </c>
      <c r="AG978" t="s">
        <v>3005</v>
      </c>
    </row>
    <row r="979" spans="1:34" x14ac:dyDescent="0.25">
      <c r="A979">
        <v>5</v>
      </c>
      <c r="C979" s="185"/>
      <c r="E979" t="s">
        <v>386</v>
      </c>
      <c r="F979" t="s">
        <v>3006</v>
      </c>
      <c r="G979" t="s">
        <v>1192</v>
      </c>
      <c r="H979" t="s">
        <v>3007</v>
      </c>
      <c r="I979">
        <v>8988</v>
      </c>
      <c r="J979" t="s">
        <v>3006</v>
      </c>
      <c r="K979" t="s">
        <v>3006</v>
      </c>
      <c r="L979" t="s">
        <v>386</v>
      </c>
      <c r="M979" t="s">
        <v>1184</v>
      </c>
      <c r="N979">
        <v>8988</v>
      </c>
      <c r="O979">
        <v>0</v>
      </c>
      <c r="R979" t="s">
        <v>1208</v>
      </c>
      <c r="T979">
        <v>260</v>
      </c>
      <c r="V979" t="s">
        <v>1216</v>
      </c>
      <c r="W979" t="s">
        <v>1216</v>
      </c>
      <c r="X979">
        <v>260</v>
      </c>
      <c r="Z979" t="s">
        <v>861</v>
      </c>
      <c r="AA979" t="s">
        <v>387</v>
      </c>
      <c r="AB979">
        <v>0</v>
      </c>
      <c r="AC979">
        <v>854</v>
      </c>
      <c r="AD979" t="s">
        <v>3008</v>
      </c>
      <c r="AE979">
        <v>2058</v>
      </c>
      <c r="AF979" t="s">
        <v>3009</v>
      </c>
      <c r="AG979" t="s">
        <v>3010</v>
      </c>
    </row>
    <row r="980" spans="1:34" x14ac:dyDescent="0.25">
      <c r="A980">
        <v>1853</v>
      </c>
      <c r="C980" s="185"/>
      <c r="D980" t="s">
        <v>24</v>
      </c>
      <c r="E980" t="s">
        <v>386</v>
      </c>
      <c r="F980" t="s">
        <v>587</v>
      </c>
      <c r="G980" t="s">
        <v>1903</v>
      </c>
      <c r="I980">
        <v>9271</v>
      </c>
      <c r="J980" t="s">
        <v>587</v>
      </c>
      <c r="K980" t="s">
        <v>1904</v>
      </c>
      <c r="L980" t="s">
        <v>386</v>
      </c>
      <c r="M980" t="s">
        <v>1193</v>
      </c>
      <c r="N980">
        <v>9271</v>
      </c>
      <c r="O980">
        <v>37</v>
      </c>
      <c r="R980" t="s">
        <v>398</v>
      </c>
      <c r="T980">
        <v>200</v>
      </c>
      <c r="V980" t="s">
        <v>1199</v>
      </c>
      <c r="W980" t="s">
        <v>1199</v>
      </c>
      <c r="X980">
        <v>200</v>
      </c>
      <c r="Z980" t="s">
        <v>1100</v>
      </c>
      <c r="AA980" t="s">
        <v>387</v>
      </c>
      <c r="AB980">
        <v>29000</v>
      </c>
      <c r="AC980">
        <v>3694</v>
      </c>
      <c r="AD980" t="s">
        <v>1905</v>
      </c>
      <c r="AE980">
        <v>1717</v>
      </c>
      <c r="AF980" t="s">
        <v>1906</v>
      </c>
      <c r="AG980" t="s">
        <v>1907</v>
      </c>
    </row>
    <row r="981" spans="1:34" x14ac:dyDescent="0.25">
      <c r="A981">
        <v>205</v>
      </c>
      <c r="B981" t="s">
        <v>1313</v>
      </c>
      <c r="C981" s="185"/>
      <c r="D981" t="s">
        <v>24</v>
      </c>
      <c r="E981" t="s">
        <v>386</v>
      </c>
      <c r="F981" t="s">
        <v>333</v>
      </c>
      <c r="G981" t="s">
        <v>1903</v>
      </c>
      <c r="I981">
        <v>9295</v>
      </c>
      <c r="J981" t="s">
        <v>333</v>
      </c>
      <c r="K981" t="s">
        <v>169</v>
      </c>
      <c r="L981" t="s">
        <v>386</v>
      </c>
      <c r="M981" t="s">
        <v>1193</v>
      </c>
      <c r="N981">
        <v>9295</v>
      </c>
      <c r="O981">
        <v>56</v>
      </c>
      <c r="R981" t="s">
        <v>398</v>
      </c>
      <c r="S981" t="s">
        <v>1909</v>
      </c>
      <c r="T981">
        <v>473</v>
      </c>
      <c r="U981">
        <v>0</v>
      </c>
      <c r="V981" t="s">
        <v>1964</v>
      </c>
      <c r="W981" t="s">
        <v>1199</v>
      </c>
      <c r="X981">
        <v>200</v>
      </c>
      <c r="Y981" t="s">
        <v>1317</v>
      </c>
      <c r="Z981" t="s">
        <v>1012</v>
      </c>
      <c r="AA981" t="s">
        <v>387</v>
      </c>
      <c r="AB981">
        <v>48000</v>
      </c>
      <c r="AC981">
        <v>3710</v>
      </c>
      <c r="AD981" t="s">
        <v>2219</v>
      </c>
      <c r="AE981">
        <v>0</v>
      </c>
      <c r="AF981" t="s">
        <v>1188</v>
      </c>
      <c r="AG981" t="s">
        <v>3011</v>
      </c>
    </row>
    <row r="982" spans="1:34" x14ac:dyDescent="0.25">
      <c r="A982">
        <v>1462</v>
      </c>
      <c r="C982" s="185"/>
      <c r="D982" t="s">
        <v>24</v>
      </c>
      <c r="E982" t="s">
        <v>386</v>
      </c>
      <c r="F982" t="s">
        <v>302</v>
      </c>
      <c r="G982" t="s">
        <v>1903</v>
      </c>
      <c r="I982">
        <v>9355</v>
      </c>
      <c r="J982" t="s">
        <v>302</v>
      </c>
      <c r="K982" t="s">
        <v>302</v>
      </c>
      <c r="L982" t="s">
        <v>386</v>
      </c>
      <c r="M982" t="s">
        <v>1193</v>
      </c>
      <c r="N982">
        <v>9355</v>
      </c>
      <c r="O982">
        <v>37</v>
      </c>
      <c r="R982" t="s">
        <v>398</v>
      </c>
      <c r="T982">
        <v>473</v>
      </c>
      <c r="V982" t="s">
        <v>1964</v>
      </c>
      <c r="W982" t="s">
        <v>1200</v>
      </c>
      <c r="X982">
        <v>340</v>
      </c>
      <c r="Z982" t="s">
        <v>998</v>
      </c>
      <c r="AA982" t="s">
        <v>387</v>
      </c>
      <c r="AB982">
        <v>29000</v>
      </c>
      <c r="AC982">
        <v>3733</v>
      </c>
      <c r="AD982" t="s">
        <v>3012</v>
      </c>
      <c r="AE982">
        <v>0</v>
      </c>
      <c r="AF982" t="s">
        <v>1188</v>
      </c>
      <c r="AG982" t="s">
        <v>3013</v>
      </c>
    </row>
    <row r="983" spans="1:34" x14ac:dyDescent="0.25">
      <c r="A983">
        <v>95</v>
      </c>
      <c r="C983" s="185"/>
      <c r="E983" t="s">
        <v>386</v>
      </c>
      <c r="F983" t="s">
        <v>3014</v>
      </c>
      <c r="G983" t="s">
        <v>1192</v>
      </c>
      <c r="H983" t="s">
        <v>3015</v>
      </c>
      <c r="I983">
        <v>9611</v>
      </c>
      <c r="J983" t="s">
        <v>3014</v>
      </c>
      <c r="K983" t="s">
        <v>3014</v>
      </c>
      <c r="L983" t="s">
        <v>386</v>
      </c>
      <c r="M983" t="s">
        <v>1184</v>
      </c>
      <c r="N983">
        <v>9611</v>
      </c>
      <c r="O983">
        <v>0</v>
      </c>
      <c r="R983" t="s">
        <v>1208</v>
      </c>
      <c r="T983">
        <v>388</v>
      </c>
      <c r="V983" t="s">
        <v>1712</v>
      </c>
      <c r="W983" t="s">
        <v>2727</v>
      </c>
      <c r="X983">
        <v>146</v>
      </c>
      <c r="Z983" t="s">
        <v>952</v>
      </c>
      <c r="AA983" t="s">
        <v>387</v>
      </c>
      <c r="AB983">
        <v>0</v>
      </c>
      <c r="AC983">
        <v>3827</v>
      </c>
      <c r="AD983" t="s">
        <v>3016</v>
      </c>
      <c r="AE983">
        <v>611</v>
      </c>
      <c r="AF983" t="s">
        <v>3017</v>
      </c>
      <c r="AG983" t="s">
        <v>3018</v>
      </c>
    </row>
    <row r="984" spans="1:34" x14ac:dyDescent="0.25">
      <c r="A984">
        <v>1468</v>
      </c>
      <c r="C984" s="185"/>
      <c r="D984" t="s">
        <v>24</v>
      </c>
      <c r="E984" t="s">
        <v>386</v>
      </c>
      <c r="F984" t="s">
        <v>3019</v>
      </c>
      <c r="G984" t="s">
        <v>1197</v>
      </c>
      <c r="I984">
        <v>9707</v>
      </c>
      <c r="J984" t="s">
        <v>3019</v>
      </c>
      <c r="K984" t="s">
        <v>3019</v>
      </c>
      <c r="L984" t="s">
        <v>386</v>
      </c>
      <c r="M984" t="s">
        <v>1193</v>
      </c>
      <c r="N984">
        <v>9707</v>
      </c>
      <c r="O984">
        <v>0</v>
      </c>
      <c r="R984" t="s">
        <v>398</v>
      </c>
      <c r="T984">
        <v>138</v>
      </c>
      <c r="V984" t="s">
        <v>2223</v>
      </c>
      <c r="Z984" t="s">
        <v>946</v>
      </c>
      <c r="AA984" t="s">
        <v>387</v>
      </c>
      <c r="AB984">
        <v>0</v>
      </c>
      <c r="AC984">
        <v>3862</v>
      </c>
      <c r="AD984" t="s">
        <v>3020</v>
      </c>
      <c r="AE984">
        <v>1786</v>
      </c>
      <c r="AF984" t="s">
        <v>3021</v>
      </c>
      <c r="AG984" t="s">
        <v>1244</v>
      </c>
      <c r="AH984" t="s">
        <v>3022</v>
      </c>
    </row>
    <row r="985" spans="1:34" x14ac:dyDescent="0.25">
      <c r="A985">
        <v>1408</v>
      </c>
      <c r="C985" s="185"/>
      <c r="E985" t="s">
        <v>386</v>
      </c>
      <c r="F985" t="s">
        <v>538</v>
      </c>
      <c r="G985" t="s">
        <v>1197</v>
      </c>
      <c r="I985">
        <v>9708</v>
      </c>
      <c r="J985" t="s">
        <v>538</v>
      </c>
      <c r="K985" t="s">
        <v>3023</v>
      </c>
      <c r="L985" t="s">
        <v>386</v>
      </c>
      <c r="M985" t="s">
        <v>1193</v>
      </c>
      <c r="N985">
        <v>9708</v>
      </c>
      <c r="O985">
        <v>37</v>
      </c>
      <c r="R985" t="s">
        <v>398</v>
      </c>
      <c r="T985">
        <v>260</v>
      </c>
      <c r="V985" t="s">
        <v>1216</v>
      </c>
      <c r="W985" t="s">
        <v>2186</v>
      </c>
      <c r="X985">
        <v>396</v>
      </c>
      <c r="Z985" t="s">
        <v>1036</v>
      </c>
      <c r="AA985" t="s">
        <v>387</v>
      </c>
      <c r="AB985">
        <v>29000</v>
      </c>
      <c r="AC985">
        <v>0</v>
      </c>
      <c r="AD985" t="s">
        <v>1187</v>
      </c>
      <c r="AE985">
        <v>1787</v>
      </c>
      <c r="AF985" t="s">
        <v>2194</v>
      </c>
      <c r="AG985" t="s">
        <v>1244</v>
      </c>
      <c r="AH985" t="s">
        <v>3024</v>
      </c>
    </row>
    <row r="986" spans="1:34" x14ac:dyDescent="0.25">
      <c r="A986">
        <v>1</v>
      </c>
      <c r="C986" s="185"/>
      <c r="E986" t="s">
        <v>386</v>
      </c>
      <c r="F986" t="s">
        <v>3025</v>
      </c>
      <c r="G986" t="s">
        <v>1192</v>
      </c>
      <c r="H986" t="s">
        <v>3026</v>
      </c>
      <c r="I986">
        <v>9740</v>
      </c>
      <c r="J986" t="s">
        <v>3025</v>
      </c>
      <c r="K986" t="s">
        <v>3027</v>
      </c>
      <c r="L986" t="s">
        <v>386</v>
      </c>
      <c r="M986" t="s">
        <v>1184</v>
      </c>
      <c r="N986">
        <v>9740</v>
      </c>
      <c r="O986">
        <v>0</v>
      </c>
      <c r="R986" t="s">
        <v>1208</v>
      </c>
      <c r="T986">
        <v>372</v>
      </c>
      <c r="V986" t="s">
        <v>2073</v>
      </c>
      <c r="W986" t="s">
        <v>1216</v>
      </c>
      <c r="X986">
        <v>260</v>
      </c>
      <c r="Z986" t="s">
        <v>865</v>
      </c>
      <c r="AA986" t="s">
        <v>387</v>
      </c>
      <c r="AB986">
        <v>0</v>
      </c>
      <c r="AC986">
        <v>2714</v>
      </c>
      <c r="AD986" t="s">
        <v>3028</v>
      </c>
      <c r="AE986">
        <v>652</v>
      </c>
      <c r="AF986" t="s">
        <v>2859</v>
      </c>
      <c r="AG986" t="s">
        <v>3029</v>
      </c>
      <c r="AH986" t="s">
        <v>3030</v>
      </c>
    </row>
    <row r="987" spans="1:34" x14ac:dyDescent="0.25">
      <c r="A987">
        <v>1414</v>
      </c>
      <c r="C987" s="185"/>
      <c r="E987" t="s">
        <v>386</v>
      </c>
      <c r="F987" t="s">
        <v>3031</v>
      </c>
      <c r="G987" t="s">
        <v>1197</v>
      </c>
      <c r="H987" t="s">
        <v>3032</v>
      </c>
      <c r="I987">
        <v>9748</v>
      </c>
      <c r="J987" t="s">
        <v>3031</v>
      </c>
      <c r="K987" t="s">
        <v>3033</v>
      </c>
      <c r="L987" t="s">
        <v>386</v>
      </c>
      <c r="M987" t="s">
        <v>1193</v>
      </c>
      <c r="N987">
        <v>9748</v>
      </c>
      <c r="O987">
        <v>0</v>
      </c>
      <c r="R987" t="s">
        <v>1208</v>
      </c>
      <c r="T987">
        <v>571</v>
      </c>
      <c r="V987" t="s">
        <v>2003</v>
      </c>
      <c r="W987" t="s">
        <v>2073</v>
      </c>
      <c r="X987">
        <v>372</v>
      </c>
      <c r="Z987" t="s">
        <v>3034</v>
      </c>
      <c r="AA987" t="s">
        <v>387</v>
      </c>
      <c r="AB987">
        <v>0</v>
      </c>
      <c r="AC987">
        <v>3876</v>
      </c>
      <c r="AD987" t="s">
        <v>3035</v>
      </c>
      <c r="AE987">
        <v>1793</v>
      </c>
      <c r="AF987" t="s">
        <v>3036</v>
      </c>
      <c r="AG987" t="s">
        <v>3037</v>
      </c>
      <c r="AH987" t="s">
        <v>3038</v>
      </c>
    </row>
    <row r="988" spans="1:34" x14ac:dyDescent="0.25">
      <c r="A988">
        <v>1408</v>
      </c>
      <c r="C988" s="185"/>
      <c r="E988" t="s">
        <v>386</v>
      </c>
      <c r="F988" t="s">
        <v>3039</v>
      </c>
      <c r="G988" t="s">
        <v>1197</v>
      </c>
      <c r="I988">
        <v>9780</v>
      </c>
      <c r="J988" t="s">
        <v>3039</v>
      </c>
      <c r="K988" t="s">
        <v>3040</v>
      </c>
      <c r="L988" t="s">
        <v>386</v>
      </c>
      <c r="M988" t="s">
        <v>1193</v>
      </c>
      <c r="N988">
        <v>9780</v>
      </c>
      <c r="O988">
        <v>37</v>
      </c>
      <c r="R988" t="s">
        <v>398</v>
      </c>
      <c r="T988">
        <v>220</v>
      </c>
      <c r="V988" t="s">
        <v>1194</v>
      </c>
      <c r="W988" t="s">
        <v>1194</v>
      </c>
      <c r="X988">
        <v>220</v>
      </c>
      <c r="Z988" t="s">
        <v>1036</v>
      </c>
      <c r="AA988" t="s">
        <v>387</v>
      </c>
      <c r="AB988">
        <v>29000</v>
      </c>
      <c r="AC988">
        <v>3883</v>
      </c>
      <c r="AD988" t="s">
        <v>3041</v>
      </c>
      <c r="AE988">
        <v>1796</v>
      </c>
      <c r="AF988" t="s">
        <v>3042</v>
      </c>
      <c r="AG988" t="s">
        <v>2572</v>
      </c>
      <c r="AH988" t="s">
        <v>3043</v>
      </c>
    </row>
    <row r="989" spans="1:34" x14ac:dyDescent="0.25">
      <c r="A989">
        <v>1462</v>
      </c>
      <c r="C989" s="185"/>
      <c r="D989" t="s">
        <v>24</v>
      </c>
      <c r="E989" t="s">
        <v>386</v>
      </c>
      <c r="F989" t="s">
        <v>3044</v>
      </c>
      <c r="G989" t="s">
        <v>1192</v>
      </c>
      <c r="I989">
        <v>9782</v>
      </c>
      <c r="J989" t="s">
        <v>3044</v>
      </c>
      <c r="K989" t="s">
        <v>3044</v>
      </c>
      <c r="L989" t="s">
        <v>386</v>
      </c>
      <c r="M989" t="s">
        <v>1193</v>
      </c>
      <c r="N989">
        <v>9782</v>
      </c>
      <c r="O989">
        <v>37</v>
      </c>
      <c r="R989" t="s">
        <v>398</v>
      </c>
      <c r="T989">
        <v>220</v>
      </c>
      <c r="V989" t="s">
        <v>1194</v>
      </c>
      <c r="W989" t="s">
        <v>1194</v>
      </c>
      <c r="X989">
        <v>220</v>
      </c>
      <c r="Z989" t="s">
        <v>998</v>
      </c>
      <c r="AA989" t="s">
        <v>387</v>
      </c>
      <c r="AB989">
        <v>29000</v>
      </c>
      <c r="AC989">
        <v>3884</v>
      </c>
      <c r="AD989" t="s">
        <v>3045</v>
      </c>
      <c r="AE989">
        <v>1797</v>
      </c>
      <c r="AF989" t="s">
        <v>3046</v>
      </c>
      <c r="AG989" t="s">
        <v>3047</v>
      </c>
    </row>
    <row r="990" spans="1:34" x14ac:dyDescent="0.25">
      <c r="A990">
        <v>32</v>
      </c>
      <c r="C990" s="185"/>
      <c r="E990" t="s">
        <v>386</v>
      </c>
      <c r="F990" t="s">
        <v>733</v>
      </c>
      <c r="G990" t="s">
        <v>1192</v>
      </c>
      <c r="H990" t="s">
        <v>3048</v>
      </c>
      <c r="I990">
        <v>9830</v>
      </c>
      <c r="J990" t="s">
        <v>733</v>
      </c>
      <c r="K990" t="s">
        <v>733</v>
      </c>
      <c r="L990" t="s">
        <v>386</v>
      </c>
      <c r="M990" t="s">
        <v>1184</v>
      </c>
      <c r="N990">
        <v>9830</v>
      </c>
      <c r="O990">
        <v>0</v>
      </c>
      <c r="R990" t="s">
        <v>1208</v>
      </c>
      <c r="T990">
        <v>372</v>
      </c>
      <c r="V990" t="s">
        <v>2073</v>
      </c>
      <c r="W990" t="s">
        <v>1216</v>
      </c>
      <c r="X990">
        <v>260</v>
      </c>
      <c r="Z990" t="s">
        <v>874</v>
      </c>
      <c r="AA990" t="s">
        <v>387</v>
      </c>
      <c r="AB990">
        <v>0</v>
      </c>
      <c r="AC990">
        <v>5786</v>
      </c>
      <c r="AD990" t="s">
        <v>3049</v>
      </c>
      <c r="AE990">
        <v>2665</v>
      </c>
      <c r="AF990" t="s">
        <v>3050</v>
      </c>
      <c r="AG990" t="s">
        <v>3051</v>
      </c>
    </row>
    <row r="991" spans="1:34" x14ac:dyDescent="0.25">
      <c r="A991">
        <v>1</v>
      </c>
      <c r="C991" s="185"/>
      <c r="E991" t="s">
        <v>386</v>
      </c>
      <c r="F991" t="s">
        <v>3052</v>
      </c>
      <c r="G991" t="s">
        <v>1192</v>
      </c>
      <c r="H991" t="s">
        <v>3053</v>
      </c>
      <c r="I991">
        <v>9900</v>
      </c>
      <c r="J991" t="s">
        <v>3052</v>
      </c>
      <c r="K991" t="s">
        <v>3054</v>
      </c>
      <c r="L991" t="s">
        <v>386</v>
      </c>
      <c r="M991" t="s">
        <v>1184</v>
      </c>
      <c r="N991">
        <v>9900</v>
      </c>
      <c r="O991">
        <v>0</v>
      </c>
      <c r="R991" t="s">
        <v>1208</v>
      </c>
      <c r="T991">
        <v>260</v>
      </c>
      <c r="V991" t="s">
        <v>1216</v>
      </c>
      <c r="W991" t="s">
        <v>1216</v>
      </c>
      <c r="X991">
        <v>260</v>
      </c>
      <c r="Z991" t="s">
        <v>865</v>
      </c>
      <c r="AA991" t="s">
        <v>387</v>
      </c>
      <c r="AB991">
        <v>0</v>
      </c>
      <c r="AC991">
        <v>5557</v>
      </c>
      <c r="AD991" t="s">
        <v>3055</v>
      </c>
      <c r="AE991">
        <v>2407</v>
      </c>
      <c r="AF991" t="s">
        <v>3056</v>
      </c>
      <c r="AG991" t="s">
        <v>3057</v>
      </c>
    </row>
    <row r="992" spans="1:34" x14ac:dyDescent="0.25">
      <c r="A992">
        <v>1</v>
      </c>
      <c r="C992" s="185"/>
      <c r="E992" t="s">
        <v>386</v>
      </c>
      <c r="F992" t="s">
        <v>134</v>
      </c>
      <c r="G992" t="s">
        <v>1192</v>
      </c>
      <c r="H992" t="s">
        <v>3058</v>
      </c>
      <c r="I992">
        <v>9950</v>
      </c>
      <c r="J992" t="s">
        <v>134</v>
      </c>
      <c r="K992" t="s">
        <v>3059</v>
      </c>
      <c r="L992" t="s">
        <v>386</v>
      </c>
      <c r="M992" t="s">
        <v>1184</v>
      </c>
      <c r="N992">
        <v>9950</v>
      </c>
      <c r="O992">
        <v>0</v>
      </c>
      <c r="R992" t="s">
        <v>1208</v>
      </c>
      <c r="T992">
        <v>260</v>
      </c>
      <c r="V992" t="s">
        <v>1216</v>
      </c>
      <c r="W992" t="s">
        <v>1216</v>
      </c>
      <c r="X992">
        <v>260</v>
      </c>
      <c r="Z992" t="s">
        <v>865</v>
      </c>
      <c r="AA992" t="s">
        <v>387</v>
      </c>
      <c r="AB992">
        <v>0</v>
      </c>
      <c r="AC992">
        <v>5309</v>
      </c>
      <c r="AD992" t="s">
        <v>3060</v>
      </c>
      <c r="AE992">
        <v>78</v>
      </c>
      <c r="AF992" t="s">
        <v>3061</v>
      </c>
      <c r="AG992" t="s">
        <v>3062</v>
      </c>
      <c r="AH992" t="s">
        <v>3063</v>
      </c>
    </row>
    <row r="993" spans="1:34" x14ac:dyDescent="0.25">
      <c r="A993">
        <v>1</v>
      </c>
      <c r="C993" s="185"/>
      <c r="E993" t="s">
        <v>386</v>
      </c>
      <c r="F993" t="s">
        <v>624</v>
      </c>
      <c r="G993" t="s">
        <v>1192</v>
      </c>
      <c r="H993" t="s">
        <v>3064</v>
      </c>
      <c r="I993">
        <v>9952</v>
      </c>
      <c r="J993" t="s">
        <v>624</v>
      </c>
      <c r="K993" t="s">
        <v>3065</v>
      </c>
      <c r="L993" t="s">
        <v>386</v>
      </c>
      <c r="M993" t="s">
        <v>1184</v>
      </c>
      <c r="N993">
        <v>9952</v>
      </c>
      <c r="O993">
        <v>0</v>
      </c>
      <c r="R993" t="s">
        <v>1208</v>
      </c>
      <c r="T993">
        <v>260</v>
      </c>
      <c r="V993" t="s">
        <v>1216</v>
      </c>
      <c r="W993" t="s">
        <v>1216</v>
      </c>
      <c r="X993">
        <v>260</v>
      </c>
      <c r="Z993" t="s">
        <v>865</v>
      </c>
      <c r="AA993" t="s">
        <v>387</v>
      </c>
      <c r="AB993">
        <v>0</v>
      </c>
      <c r="AC993">
        <v>6413</v>
      </c>
      <c r="AD993" t="s">
        <v>3066</v>
      </c>
      <c r="AE993">
        <v>217</v>
      </c>
      <c r="AF993" t="s">
        <v>3067</v>
      </c>
      <c r="AG993" t="s">
        <v>3068</v>
      </c>
    </row>
    <row r="994" spans="1:34" x14ac:dyDescent="0.25">
      <c r="A994">
        <v>1</v>
      </c>
      <c r="C994" s="185"/>
      <c r="E994" t="s">
        <v>386</v>
      </c>
      <c r="F994" t="s">
        <v>3069</v>
      </c>
      <c r="G994" t="s">
        <v>1192</v>
      </c>
      <c r="H994" t="s">
        <v>3070</v>
      </c>
      <c r="I994">
        <v>10004</v>
      </c>
      <c r="J994" t="s">
        <v>3069</v>
      </c>
      <c r="K994" t="s">
        <v>3071</v>
      </c>
      <c r="L994" t="s">
        <v>386</v>
      </c>
      <c r="M994" t="s">
        <v>1193</v>
      </c>
      <c r="N994">
        <v>10004</v>
      </c>
      <c r="O994">
        <v>0</v>
      </c>
      <c r="T994">
        <v>340</v>
      </c>
      <c r="V994" t="s">
        <v>1200</v>
      </c>
      <c r="W994" t="s">
        <v>2024</v>
      </c>
      <c r="X994">
        <v>52</v>
      </c>
      <c r="Z994" t="s">
        <v>865</v>
      </c>
      <c r="AA994" t="s">
        <v>387</v>
      </c>
      <c r="AB994">
        <v>0</v>
      </c>
      <c r="AC994">
        <v>3937</v>
      </c>
      <c r="AD994" t="s">
        <v>3072</v>
      </c>
      <c r="AE994">
        <v>198</v>
      </c>
      <c r="AF994" t="s">
        <v>2011</v>
      </c>
      <c r="AG994" t="s">
        <v>3073</v>
      </c>
      <c r="AH994" t="s">
        <v>3074</v>
      </c>
    </row>
    <row r="995" spans="1:34" x14ac:dyDescent="0.25">
      <c r="A995">
        <v>1</v>
      </c>
      <c r="C995" s="185"/>
      <c r="E995" t="s">
        <v>386</v>
      </c>
      <c r="F995" t="s">
        <v>3075</v>
      </c>
      <c r="G995" t="s">
        <v>1192</v>
      </c>
      <c r="H995" t="s">
        <v>3076</v>
      </c>
      <c r="I995">
        <v>10005</v>
      </c>
      <c r="J995" t="s">
        <v>3075</v>
      </c>
      <c r="K995" t="s">
        <v>3075</v>
      </c>
      <c r="L995" t="s">
        <v>386</v>
      </c>
      <c r="M995" t="s">
        <v>1193</v>
      </c>
      <c r="N995">
        <v>10005</v>
      </c>
      <c r="O995">
        <v>0</v>
      </c>
      <c r="T995">
        <v>260</v>
      </c>
      <c r="V995" t="s">
        <v>1216</v>
      </c>
      <c r="Z995" t="s">
        <v>865</v>
      </c>
      <c r="AA995" t="s">
        <v>387</v>
      </c>
      <c r="AB995">
        <v>0</v>
      </c>
      <c r="AC995">
        <v>2525</v>
      </c>
      <c r="AD995" t="s">
        <v>3077</v>
      </c>
      <c r="AE995">
        <v>150</v>
      </c>
      <c r="AF995" t="s">
        <v>2587</v>
      </c>
      <c r="AG995" t="s">
        <v>3078</v>
      </c>
    </row>
    <row r="996" spans="1:34" x14ac:dyDescent="0.25">
      <c r="A996">
        <v>1275</v>
      </c>
      <c r="C996" s="185"/>
      <c r="E996" t="s">
        <v>386</v>
      </c>
      <c r="F996" t="s">
        <v>3079</v>
      </c>
      <c r="G996" t="s">
        <v>1192</v>
      </c>
      <c r="H996" t="s">
        <v>3080</v>
      </c>
      <c r="I996">
        <v>10016</v>
      </c>
      <c r="J996" t="s">
        <v>3079</v>
      </c>
      <c r="K996" t="s">
        <v>3081</v>
      </c>
      <c r="L996" t="s">
        <v>386</v>
      </c>
      <c r="M996" t="s">
        <v>1193</v>
      </c>
      <c r="N996">
        <v>10016</v>
      </c>
      <c r="O996">
        <v>0</v>
      </c>
      <c r="T996">
        <v>571</v>
      </c>
      <c r="V996" t="s">
        <v>2003</v>
      </c>
      <c r="W996" t="s">
        <v>1200</v>
      </c>
      <c r="X996">
        <v>340</v>
      </c>
      <c r="Z996" t="s">
        <v>2124</v>
      </c>
      <c r="AA996" t="s">
        <v>387</v>
      </c>
      <c r="AB996">
        <v>0</v>
      </c>
      <c r="AC996">
        <v>3942</v>
      </c>
      <c r="AD996" t="s">
        <v>3082</v>
      </c>
      <c r="AE996">
        <v>106</v>
      </c>
      <c r="AF996" t="s">
        <v>3083</v>
      </c>
      <c r="AG996" t="s">
        <v>3084</v>
      </c>
    </row>
    <row r="997" spans="1:34" x14ac:dyDescent="0.25">
      <c r="A997">
        <v>1384</v>
      </c>
      <c r="C997" s="185"/>
      <c r="E997" t="s">
        <v>386</v>
      </c>
      <c r="F997" t="s">
        <v>3085</v>
      </c>
      <c r="G997" t="s">
        <v>1192</v>
      </c>
      <c r="H997" t="s">
        <v>3086</v>
      </c>
      <c r="I997">
        <v>10017</v>
      </c>
      <c r="J997" t="s">
        <v>3085</v>
      </c>
      <c r="K997" t="s">
        <v>3085</v>
      </c>
      <c r="L997" t="s">
        <v>386</v>
      </c>
      <c r="M997" t="s">
        <v>1193</v>
      </c>
      <c r="N997">
        <v>10017</v>
      </c>
      <c r="O997">
        <v>0</v>
      </c>
      <c r="T997">
        <v>260</v>
      </c>
      <c r="V997" t="s">
        <v>1216</v>
      </c>
      <c r="Z997" t="s">
        <v>3087</v>
      </c>
      <c r="AA997" t="s">
        <v>387</v>
      </c>
      <c r="AB997">
        <v>0</v>
      </c>
      <c r="AC997">
        <v>3943</v>
      </c>
      <c r="AD997" t="s">
        <v>3088</v>
      </c>
      <c r="AE997">
        <v>1818</v>
      </c>
      <c r="AF997" t="s">
        <v>3089</v>
      </c>
      <c r="AG997" t="s">
        <v>3090</v>
      </c>
    </row>
    <row r="998" spans="1:34" x14ac:dyDescent="0.25">
      <c r="A998">
        <v>1342</v>
      </c>
      <c r="C998" s="185"/>
      <c r="E998" t="s">
        <v>386</v>
      </c>
      <c r="F998" t="s">
        <v>3091</v>
      </c>
      <c r="G998" t="s">
        <v>1192</v>
      </c>
      <c r="H998" t="s">
        <v>3092</v>
      </c>
      <c r="I998">
        <v>10063</v>
      </c>
      <c r="J998" t="s">
        <v>3091</v>
      </c>
      <c r="K998" t="s">
        <v>3093</v>
      </c>
      <c r="L998" t="s">
        <v>386</v>
      </c>
      <c r="M998" t="s">
        <v>1193</v>
      </c>
      <c r="N998">
        <v>10063</v>
      </c>
      <c r="O998">
        <v>0</v>
      </c>
      <c r="T998">
        <v>260</v>
      </c>
      <c r="V998" t="s">
        <v>1216</v>
      </c>
      <c r="Z998" t="s">
        <v>2156</v>
      </c>
      <c r="AA998" t="s">
        <v>387</v>
      </c>
      <c r="AB998">
        <v>0</v>
      </c>
      <c r="AC998">
        <v>3507</v>
      </c>
      <c r="AD998" t="s">
        <v>3094</v>
      </c>
      <c r="AE998">
        <v>251</v>
      </c>
      <c r="AF998" t="s">
        <v>3095</v>
      </c>
      <c r="AG998" t="s">
        <v>3096</v>
      </c>
    </row>
    <row r="999" spans="1:34" x14ac:dyDescent="0.25">
      <c r="A999">
        <v>1</v>
      </c>
      <c r="C999" s="185"/>
      <c r="E999" t="s">
        <v>386</v>
      </c>
      <c r="F999" t="s">
        <v>3097</v>
      </c>
      <c r="G999" t="s">
        <v>1192</v>
      </c>
      <c r="H999" t="s">
        <v>1710</v>
      </c>
      <c r="I999">
        <v>10162</v>
      </c>
      <c r="J999" t="s">
        <v>3097</v>
      </c>
      <c r="K999" t="s">
        <v>3097</v>
      </c>
      <c r="L999" t="s">
        <v>386</v>
      </c>
      <c r="M999" t="s">
        <v>1193</v>
      </c>
      <c r="N999">
        <v>10162</v>
      </c>
      <c r="O999">
        <v>0</v>
      </c>
      <c r="T999">
        <v>260</v>
      </c>
      <c r="V999" t="s">
        <v>1216</v>
      </c>
      <c r="Z999" t="s">
        <v>865</v>
      </c>
      <c r="AA999" t="s">
        <v>387</v>
      </c>
      <c r="AB999">
        <v>0</v>
      </c>
      <c r="AC999">
        <v>131</v>
      </c>
      <c r="AD999" t="s">
        <v>3098</v>
      </c>
      <c r="AE999">
        <v>1</v>
      </c>
      <c r="AF999" t="s">
        <v>1922</v>
      </c>
      <c r="AG999" t="s">
        <v>3099</v>
      </c>
    </row>
    <row r="1000" spans="1:34" x14ac:dyDescent="0.25">
      <c r="A1000">
        <v>1</v>
      </c>
      <c r="C1000" s="185"/>
      <c r="E1000" t="s">
        <v>386</v>
      </c>
      <c r="F1000" t="s">
        <v>3100</v>
      </c>
      <c r="G1000" t="s">
        <v>1192</v>
      </c>
      <c r="H1000" t="s">
        <v>3101</v>
      </c>
      <c r="I1000">
        <v>10174</v>
      </c>
      <c r="J1000" t="s">
        <v>3100</v>
      </c>
      <c r="K1000" t="s">
        <v>3100</v>
      </c>
      <c r="L1000" t="s">
        <v>386</v>
      </c>
      <c r="M1000" t="s">
        <v>1193</v>
      </c>
      <c r="N1000">
        <v>10174</v>
      </c>
      <c r="O1000">
        <v>0</v>
      </c>
      <c r="T1000">
        <v>146</v>
      </c>
      <c r="V1000" t="s">
        <v>2727</v>
      </c>
      <c r="Z1000" t="s">
        <v>865</v>
      </c>
      <c r="AA1000" t="s">
        <v>387</v>
      </c>
      <c r="AB1000">
        <v>0</v>
      </c>
      <c r="AC1000">
        <v>41</v>
      </c>
      <c r="AD1000" t="s">
        <v>3102</v>
      </c>
      <c r="AE1000">
        <v>940</v>
      </c>
      <c r="AF1000" t="s">
        <v>3103</v>
      </c>
      <c r="AG1000" t="s">
        <v>3104</v>
      </c>
    </row>
    <row r="1001" spans="1:34" x14ac:dyDescent="0.25">
      <c r="A1001">
        <v>1</v>
      </c>
      <c r="C1001" s="185"/>
      <c r="E1001" t="s">
        <v>386</v>
      </c>
      <c r="F1001" t="s">
        <v>3105</v>
      </c>
      <c r="G1001" t="s">
        <v>1192</v>
      </c>
      <c r="H1001" t="s">
        <v>3106</v>
      </c>
      <c r="I1001">
        <v>10313</v>
      </c>
      <c r="J1001" t="s">
        <v>3105</v>
      </c>
      <c r="K1001" t="s">
        <v>3105</v>
      </c>
      <c r="L1001" t="s">
        <v>386</v>
      </c>
      <c r="M1001" t="s">
        <v>1193</v>
      </c>
      <c r="N1001">
        <v>10313</v>
      </c>
      <c r="O1001">
        <v>0</v>
      </c>
      <c r="R1001" t="s">
        <v>1208</v>
      </c>
      <c r="T1001">
        <v>146</v>
      </c>
      <c r="V1001" t="s">
        <v>2727</v>
      </c>
      <c r="Z1001" t="s">
        <v>865</v>
      </c>
      <c r="AA1001" t="s">
        <v>387</v>
      </c>
      <c r="AB1001">
        <v>0</v>
      </c>
      <c r="AC1001">
        <v>2128</v>
      </c>
      <c r="AD1001" t="s">
        <v>3107</v>
      </c>
      <c r="AE1001">
        <v>1224</v>
      </c>
      <c r="AF1001" t="s">
        <v>3108</v>
      </c>
      <c r="AG1001" t="s">
        <v>3109</v>
      </c>
    </row>
    <row r="1002" spans="1:34" x14ac:dyDescent="0.25">
      <c r="A1002">
        <v>1901</v>
      </c>
      <c r="C1002" s="185"/>
      <c r="E1002" t="s">
        <v>386</v>
      </c>
      <c r="F1002" t="s">
        <v>3110</v>
      </c>
      <c r="G1002" t="s">
        <v>1197</v>
      </c>
      <c r="H1002" t="s">
        <v>2830</v>
      </c>
      <c r="I1002">
        <v>10511</v>
      </c>
      <c r="J1002" t="s">
        <v>3110</v>
      </c>
      <c r="K1002" t="s">
        <v>3110</v>
      </c>
      <c r="L1002" t="s">
        <v>386</v>
      </c>
      <c r="M1002" t="s">
        <v>1193</v>
      </c>
      <c r="N1002">
        <v>10511</v>
      </c>
      <c r="O1002">
        <v>0</v>
      </c>
      <c r="R1002" t="s">
        <v>398</v>
      </c>
      <c r="T1002">
        <v>287</v>
      </c>
      <c r="V1002" t="s">
        <v>1233</v>
      </c>
      <c r="Z1002" t="s">
        <v>3111</v>
      </c>
      <c r="AA1002" t="s">
        <v>387</v>
      </c>
      <c r="AB1002">
        <v>0</v>
      </c>
      <c r="AC1002">
        <v>4063</v>
      </c>
      <c r="AD1002" t="s">
        <v>3112</v>
      </c>
      <c r="AE1002">
        <v>1869</v>
      </c>
      <c r="AF1002" t="s">
        <v>3113</v>
      </c>
      <c r="AG1002" t="s">
        <v>3114</v>
      </c>
      <c r="AH1002" t="s">
        <v>3115</v>
      </c>
    </row>
    <row r="1003" spans="1:34" x14ac:dyDescent="0.25">
      <c r="A1003">
        <v>9</v>
      </c>
      <c r="C1003" s="185"/>
      <c r="E1003" t="s">
        <v>386</v>
      </c>
      <c r="F1003" t="s">
        <v>3116</v>
      </c>
      <c r="G1003" t="s">
        <v>1192</v>
      </c>
      <c r="H1003" t="s">
        <v>3117</v>
      </c>
      <c r="I1003">
        <v>10520</v>
      </c>
      <c r="J1003" t="s">
        <v>3116</v>
      </c>
      <c r="K1003" t="s">
        <v>3116</v>
      </c>
      <c r="L1003" t="s">
        <v>386</v>
      </c>
      <c r="M1003" t="s">
        <v>1184</v>
      </c>
      <c r="N1003">
        <v>10520</v>
      </c>
      <c r="O1003">
        <v>0</v>
      </c>
      <c r="R1003" t="s">
        <v>1208</v>
      </c>
      <c r="T1003">
        <v>372</v>
      </c>
      <c r="V1003" t="s">
        <v>2073</v>
      </c>
      <c r="W1003" t="s">
        <v>1216</v>
      </c>
      <c r="X1003">
        <v>260</v>
      </c>
      <c r="Z1003" t="s">
        <v>864</v>
      </c>
      <c r="AA1003" t="s">
        <v>387</v>
      </c>
      <c r="AB1003">
        <v>0</v>
      </c>
      <c r="AC1003">
        <v>5780</v>
      </c>
      <c r="AD1003" t="s">
        <v>3118</v>
      </c>
      <c r="AE1003">
        <v>2663</v>
      </c>
      <c r="AF1003" t="s">
        <v>3119</v>
      </c>
      <c r="AG1003" t="s">
        <v>3120</v>
      </c>
    </row>
    <row r="1004" spans="1:34" x14ac:dyDescent="0.25">
      <c r="A1004">
        <v>153</v>
      </c>
      <c r="C1004" s="185"/>
      <c r="E1004" t="s">
        <v>386</v>
      </c>
      <c r="F1004" t="s">
        <v>3121</v>
      </c>
      <c r="G1004" t="s">
        <v>1192</v>
      </c>
      <c r="H1004" t="s">
        <v>3122</v>
      </c>
      <c r="I1004">
        <v>10587</v>
      </c>
      <c r="J1004" t="s">
        <v>3121</v>
      </c>
      <c r="K1004" t="s">
        <v>3121</v>
      </c>
      <c r="L1004" t="s">
        <v>386</v>
      </c>
      <c r="M1004" t="s">
        <v>1193</v>
      </c>
      <c r="N1004">
        <v>10587</v>
      </c>
      <c r="O1004">
        <v>0</v>
      </c>
      <c r="T1004">
        <v>199</v>
      </c>
      <c r="V1004" t="s">
        <v>3123</v>
      </c>
      <c r="Z1004" t="s">
        <v>969</v>
      </c>
      <c r="AA1004" t="s">
        <v>387</v>
      </c>
      <c r="AB1004">
        <v>0</v>
      </c>
      <c r="AC1004">
        <v>1837</v>
      </c>
      <c r="AD1004" t="s">
        <v>3124</v>
      </c>
      <c r="AE1004">
        <v>260</v>
      </c>
      <c r="AF1004" t="s">
        <v>3125</v>
      </c>
      <c r="AG1004" t="s">
        <v>3126</v>
      </c>
    </row>
    <row r="1005" spans="1:34" x14ac:dyDescent="0.25">
      <c r="A1005">
        <v>1</v>
      </c>
      <c r="C1005" s="185"/>
      <c r="E1005" t="s">
        <v>386</v>
      </c>
      <c r="F1005" t="s">
        <v>3127</v>
      </c>
      <c r="G1005" t="s">
        <v>1192</v>
      </c>
      <c r="H1005" t="s">
        <v>3128</v>
      </c>
      <c r="I1005">
        <v>10619</v>
      </c>
      <c r="J1005" t="s">
        <v>3127</v>
      </c>
      <c r="K1005" t="s">
        <v>3127</v>
      </c>
      <c r="L1005" t="s">
        <v>386</v>
      </c>
      <c r="M1005" t="s">
        <v>1184</v>
      </c>
      <c r="N1005">
        <v>10619</v>
      </c>
      <c r="O1005">
        <v>0</v>
      </c>
      <c r="R1005" t="s">
        <v>1208</v>
      </c>
      <c r="T1005">
        <v>200</v>
      </c>
      <c r="V1005" t="s">
        <v>1199</v>
      </c>
      <c r="W1005" t="s">
        <v>3129</v>
      </c>
      <c r="X1005">
        <v>435</v>
      </c>
      <c r="Z1005" t="s">
        <v>865</v>
      </c>
      <c r="AA1005" t="s">
        <v>387</v>
      </c>
      <c r="AB1005">
        <v>0</v>
      </c>
      <c r="AC1005">
        <v>5428</v>
      </c>
      <c r="AD1005" t="s">
        <v>3130</v>
      </c>
      <c r="AE1005">
        <v>409</v>
      </c>
      <c r="AF1005" t="s">
        <v>3131</v>
      </c>
      <c r="AG1005" t="s">
        <v>3132</v>
      </c>
      <c r="AH1005" t="s">
        <v>3133</v>
      </c>
    </row>
    <row r="1006" spans="1:34" x14ac:dyDescent="0.25">
      <c r="A1006">
        <v>1907</v>
      </c>
      <c r="C1006" s="185"/>
      <c r="D1006" t="s">
        <v>24</v>
      </c>
      <c r="E1006" t="s">
        <v>386</v>
      </c>
      <c r="F1006" t="s">
        <v>120</v>
      </c>
      <c r="G1006" t="s">
        <v>1197</v>
      </c>
      <c r="H1006" t="s">
        <v>3134</v>
      </c>
      <c r="I1006">
        <v>10676</v>
      </c>
      <c r="J1006" t="s">
        <v>120</v>
      </c>
      <c r="K1006" t="s">
        <v>3135</v>
      </c>
      <c r="L1006" t="s">
        <v>386</v>
      </c>
      <c r="M1006" t="s">
        <v>1193</v>
      </c>
      <c r="N1006">
        <v>10676</v>
      </c>
      <c r="O1006">
        <v>37</v>
      </c>
      <c r="R1006" t="s">
        <v>398</v>
      </c>
      <c r="T1006">
        <v>473</v>
      </c>
      <c r="V1006" t="s">
        <v>1964</v>
      </c>
      <c r="W1006" t="s">
        <v>1216</v>
      </c>
      <c r="X1006">
        <v>260</v>
      </c>
      <c r="Z1006" t="s">
        <v>1082</v>
      </c>
      <c r="AA1006" t="s">
        <v>387</v>
      </c>
      <c r="AB1006">
        <v>29000</v>
      </c>
      <c r="AC1006">
        <v>4106</v>
      </c>
      <c r="AD1006" t="s">
        <v>3136</v>
      </c>
      <c r="AE1006">
        <v>1894</v>
      </c>
      <c r="AF1006" t="s">
        <v>3137</v>
      </c>
      <c r="AG1006" t="s">
        <v>2914</v>
      </c>
      <c r="AH1006" t="s">
        <v>3138</v>
      </c>
    </row>
    <row r="1007" spans="1:34" x14ac:dyDescent="0.25">
      <c r="A1007">
        <v>1</v>
      </c>
      <c r="C1007" s="185"/>
      <c r="E1007" t="s">
        <v>386</v>
      </c>
      <c r="F1007" t="s">
        <v>770</v>
      </c>
      <c r="G1007" t="s">
        <v>1192</v>
      </c>
      <c r="H1007" t="s">
        <v>3139</v>
      </c>
      <c r="I1007">
        <v>10677</v>
      </c>
      <c r="J1007" t="s">
        <v>770</v>
      </c>
      <c r="K1007" t="s">
        <v>770</v>
      </c>
      <c r="L1007" t="s">
        <v>386</v>
      </c>
      <c r="M1007" t="s">
        <v>1184</v>
      </c>
      <c r="N1007">
        <v>10677</v>
      </c>
      <c r="O1007">
        <v>0</v>
      </c>
      <c r="R1007" t="s">
        <v>1208</v>
      </c>
      <c r="T1007">
        <v>103</v>
      </c>
      <c r="V1007" t="s">
        <v>1530</v>
      </c>
      <c r="W1007" t="s">
        <v>1988</v>
      </c>
      <c r="X1007">
        <v>122</v>
      </c>
      <c r="Z1007" t="s">
        <v>865</v>
      </c>
      <c r="AA1007" t="s">
        <v>387</v>
      </c>
      <c r="AB1007">
        <v>0</v>
      </c>
      <c r="AC1007">
        <v>4700</v>
      </c>
      <c r="AD1007" t="s">
        <v>3140</v>
      </c>
      <c r="AE1007">
        <v>154</v>
      </c>
      <c r="AF1007" t="s">
        <v>3141</v>
      </c>
      <c r="AG1007" t="s">
        <v>2599</v>
      </c>
    </row>
    <row r="1008" spans="1:34" x14ac:dyDescent="0.25">
      <c r="A1008">
        <v>1910</v>
      </c>
      <c r="C1008" s="185"/>
      <c r="D1008" t="s">
        <v>24</v>
      </c>
      <c r="E1008" t="s">
        <v>386</v>
      </c>
      <c r="F1008" t="s">
        <v>3142</v>
      </c>
      <c r="G1008" t="s">
        <v>1192</v>
      </c>
      <c r="H1008" t="s">
        <v>2830</v>
      </c>
      <c r="I1008">
        <v>10724</v>
      </c>
      <c r="J1008" t="s">
        <v>3142</v>
      </c>
      <c r="K1008" t="s">
        <v>3143</v>
      </c>
      <c r="L1008" t="s">
        <v>386</v>
      </c>
      <c r="M1008" t="s">
        <v>1193</v>
      </c>
      <c r="N1008">
        <v>10724</v>
      </c>
      <c r="O1008">
        <v>0</v>
      </c>
      <c r="T1008">
        <v>199</v>
      </c>
      <c r="V1008" t="s">
        <v>3123</v>
      </c>
      <c r="Z1008" t="s">
        <v>3144</v>
      </c>
      <c r="AA1008" t="s">
        <v>386</v>
      </c>
      <c r="AB1008">
        <v>0</v>
      </c>
      <c r="AC1008">
        <v>4117</v>
      </c>
      <c r="AD1008" t="s">
        <v>3145</v>
      </c>
      <c r="AE1008">
        <v>0</v>
      </c>
      <c r="AF1008" t="s">
        <v>1188</v>
      </c>
      <c r="AG1008" t="s">
        <v>3146</v>
      </c>
    </row>
    <row r="1009" spans="1:34" x14ac:dyDescent="0.25">
      <c r="A1009">
        <v>207</v>
      </c>
      <c r="C1009" s="185"/>
      <c r="E1009" t="s">
        <v>386</v>
      </c>
      <c r="F1009" t="s">
        <v>3147</v>
      </c>
      <c r="G1009" t="s">
        <v>1192</v>
      </c>
      <c r="H1009" t="s">
        <v>2830</v>
      </c>
      <c r="I1009">
        <v>10742</v>
      </c>
      <c r="J1009" t="s">
        <v>3147</v>
      </c>
      <c r="K1009" t="s">
        <v>3148</v>
      </c>
      <c r="L1009" t="s">
        <v>386</v>
      </c>
      <c r="M1009" t="s">
        <v>1193</v>
      </c>
      <c r="N1009">
        <v>10742</v>
      </c>
      <c r="O1009">
        <v>56</v>
      </c>
      <c r="R1009" t="s">
        <v>398</v>
      </c>
      <c r="T1009">
        <v>220</v>
      </c>
      <c r="V1009" t="s">
        <v>1194</v>
      </c>
      <c r="W1009" t="s">
        <v>1194</v>
      </c>
      <c r="X1009">
        <v>220</v>
      </c>
      <c r="Z1009" t="s">
        <v>954</v>
      </c>
      <c r="AA1009" t="s">
        <v>387</v>
      </c>
      <c r="AB1009">
        <v>48000</v>
      </c>
      <c r="AC1009">
        <v>4125</v>
      </c>
      <c r="AD1009" t="s">
        <v>3149</v>
      </c>
      <c r="AE1009">
        <v>0</v>
      </c>
      <c r="AF1009" t="s">
        <v>1188</v>
      </c>
      <c r="AG1009" t="s">
        <v>3150</v>
      </c>
      <c r="AH1009" t="s">
        <v>3151</v>
      </c>
    </row>
    <row r="1010" spans="1:34" x14ac:dyDescent="0.25">
      <c r="A1010">
        <v>31</v>
      </c>
      <c r="C1010" s="185"/>
      <c r="E1010" t="s">
        <v>386</v>
      </c>
      <c r="F1010" t="s">
        <v>3152</v>
      </c>
      <c r="G1010" t="s">
        <v>1192</v>
      </c>
      <c r="H1010" t="s">
        <v>3153</v>
      </c>
      <c r="I1010">
        <v>10762</v>
      </c>
      <c r="J1010" t="s">
        <v>3152</v>
      </c>
      <c r="K1010" t="s">
        <v>3152</v>
      </c>
      <c r="L1010" t="s">
        <v>386</v>
      </c>
      <c r="M1010" t="s">
        <v>1193</v>
      </c>
      <c r="N1010">
        <v>10762</v>
      </c>
      <c r="O1010">
        <v>0</v>
      </c>
      <c r="T1010">
        <v>287</v>
      </c>
      <c r="V1010" t="s">
        <v>1233</v>
      </c>
      <c r="Z1010" t="s">
        <v>1132</v>
      </c>
      <c r="AA1010" t="s">
        <v>387</v>
      </c>
      <c r="AB1010">
        <v>0</v>
      </c>
      <c r="AC1010">
        <v>4131</v>
      </c>
      <c r="AD1010" t="s">
        <v>3154</v>
      </c>
      <c r="AE1010">
        <v>574</v>
      </c>
      <c r="AF1010" t="s">
        <v>3155</v>
      </c>
      <c r="AG1010" t="s">
        <v>3156</v>
      </c>
    </row>
    <row r="1011" spans="1:34" x14ac:dyDescent="0.25">
      <c r="A1011">
        <v>1919</v>
      </c>
      <c r="C1011" s="185"/>
      <c r="E1011" t="s">
        <v>386</v>
      </c>
      <c r="F1011" t="s">
        <v>3157</v>
      </c>
      <c r="G1011" t="s">
        <v>1192</v>
      </c>
      <c r="H1011" t="s">
        <v>2830</v>
      </c>
      <c r="I1011">
        <v>10845</v>
      </c>
      <c r="J1011" t="s">
        <v>3157</v>
      </c>
      <c r="K1011" t="s">
        <v>3158</v>
      </c>
      <c r="L1011" t="s">
        <v>386</v>
      </c>
      <c r="M1011" t="s">
        <v>1193</v>
      </c>
      <c r="N1011">
        <v>10845</v>
      </c>
      <c r="O1011">
        <v>37</v>
      </c>
      <c r="R1011" t="s">
        <v>398</v>
      </c>
      <c r="T1011">
        <v>287</v>
      </c>
      <c r="V1011" t="s">
        <v>1233</v>
      </c>
      <c r="Z1011" t="s">
        <v>2987</v>
      </c>
      <c r="AA1011" t="s">
        <v>387</v>
      </c>
      <c r="AB1011">
        <v>29000</v>
      </c>
      <c r="AC1011">
        <v>4160</v>
      </c>
      <c r="AD1011" t="s">
        <v>3159</v>
      </c>
      <c r="AE1011">
        <v>1920</v>
      </c>
      <c r="AF1011" t="s">
        <v>3160</v>
      </c>
      <c r="AG1011" t="s">
        <v>3161</v>
      </c>
    </row>
    <row r="1012" spans="1:34" x14ac:dyDescent="0.25">
      <c r="A1012">
        <v>33</v>
      </c>
      <c r="C1012" s="185"/>
      <c r="E1012" t="s">
        <v>386</v>
      </c>
      <c r="F1012" t="s">
        <v>3162</v>
      </c>
      <c r="G1012" t="s">
        <v>1192</v>
      </c>
      <c r="H1012" t="s">
        <v>3163</v>
      </c>
      <c r="I1012">
        <v>10892</v>
      </c>
      <c r="J1012" t="s">
        <v>3162</v>
      </c>
      <c r="K1012" t="s">
        <v>3164</v>
      </c>
      <c r="L1012" t="s">
        <v>386</v>
      </c>
      <c r="M1012" t="s">
        <v>1193</v>
      </c>
      <c r="N1012">
        <v>10892</v>
      </c>
      <c r="O1012">
        <v>0</v>
      </c>
      <c r="T1012">
        <v>287</v>
      </c>
      <c r="V1012" t="s">
        <v>1233</v>
      </c>
      <c r="Z1012" t="s">
        <v>1115</v>
      </c>
      <c r="AA1012" t="s">
        <v>387</v>
      </c>
      <c r="AB1012">
        <v>0</v>
      </c>
      <c r="AC1012">
        <v>1388</v>
      </c>
      <c r="AD1012" t="s">
        <v>3165</v>
      </c>
      <c r="AE1012">
        <v>1</v>
      </c>
      <c r="AF1012" t="s">
        <v>1922</v>
      </c>
      <c r="AG1012" t="s">
        <v>3166</v>
      </c>
      <c r="AH1012" t="s">
        <v>3167</v>
      </c>
    </row>
    <row r="1013" spans="1:34" x14ac:dyDescent="0.25">
      <c r="A1013">
        <v>1</v>
      </c>
      <c r="C1013" s="185"/>
      <c r="E1013" t="s">
        <v>386</v>
      </c>
      <c r="F1013" t="s">
        <v>3168</v>
      </c>
      <c r="G1013" t="s">
        <v>1197</v>
      </c>
      <c r="H1013" t="s">
        <v>3169</v>
      </c>
      <c r="I1013">
        <v>11092</v>
      </c>
      <c r="J1013" t="s">
        <v>3168</v>
      </c>
      <c r="K1013" t="s">
        <v>3168</v>
      </c>
      <c r="L1013" t="s">
        <v>386</v>
      </c>
      <c r="M1013" t="s">
        <v>1193</v>
      </c>
      <c r="N1013">
        <v>11092</v>
      </c>
      <c r="O1013">
        <v>0</v>
      </c>
      <c r="R1013" t="s">
        <v>1208</v>
      </c>
      <c r="T1013">
        <v>571</v>
      </c>
      <c r="V1013" t="s">
        <v>2003</v>
      </c>
      <c r="W1013" t="s">
        <v>2003</v>
      </c>
      <c r="X1013">
        <v>571</v>
      </c>
      <c r="Z1013" t="s">
        <v>865</v>
      </c>
      <c r="AA1013" t="s">
        <v>387</v>
      </c>
      <c r="AB1013">
        <v>0</v>
      </c>
      <c r="AC1013">
        <v>4353</v>
      </c>
      <c r="AD1013" t="s">
        <v>3170</v>
      </c>
      <c r="AE1013">
        <v>394</v>
      </c>
      <c r="AF1013" t="s">
        <v>3171</v>
      </c>
      <c r="AG1013" t="s">
        <v>3172</v>
      </c>
      <c r="AH1013" t="s">
        <v>3173</v>
      </c>
    </row>
    <row r="1014" spans="1:34" x14ac:dyDescent="0.25">
      <c r="A1014">
        <v>1936</v>
      </c>
      <c r="B1014" t="s">
        <v>1313</v>
      </c>
      <c r="C1014" s="185"/>
      <c r="E1014" t="s">
        <v>386</v>
      </c>
      <c r="F1014" t="s">
        <v>3174</v>
      </c>
      <c r="I1014">
        <v>11163</v>
      </c>
      <c r="J1014" t="s">
        <v>3174</v>
      </c>
      <c r="K1014" t="s">
        <v>3175</v>
      </c>
      <c r="L1014" t="s">
        <v>386</v>
      </c>
      <c r="M1014" t="s">
        <v>1193</v>
      </c>
      <c r="N1014">
        <v>11163</v>
      </c>
      <c r="O1014">
        <v>56</v>
      </c>
      <c r="R1014" t="s">
        <v>398</v>
      </c>
      <c r="S1014" t="s">
        <v>1315</v>
      </c>
      <c r="T1014">
        <v>220</v>
      </c>
      <c r="U1014">
        <v>0</v>
      </c>
      <c r="V1014" t="s">
        <v>1194</v>
      </c>
      <c r="W1014" t="s">
        <v>1194</v>
      </c>
      <c r="X1014">
        <v>220</v>
      </c>
      <c r="Y1014" t="s">
        <v>1317</v>
      </c>
      <c r="Z1014" t="s">
        <v>3176</v>
      </c>
      <c r="AA1014" t="s">
        <v>387</v>
      </c>
      <c r="AB1014">
        <v>48000</v>
      </c>
      <c r="AC1014">
        <v>4267</v>
      </c>
      <c r="AD1014" t="s">
        <v>3177</v>
      </c>
      <c r="AE1014">
        <v>0</v>
      </c>
      <c r="AF1014" t="s">
        <v>1188</v>
      </c>
      <c r="AG1014" t="s">
        <v>3178</v>
      </c>
    </row>
    <row r="1015" spans="1:34" x14ac:dyDescent="0.25">
      <c r="A1015">
        <v>1937</v>
      </c>
      <c r="B1015" t="s">
        <v>1313</v>
      </c>
      <c r="C1015" s="185"/>
      <c r="E1015" t="s">
        <v>386</v>
      </c>
      <c r="F1015" t="s">
        <v>3179</v>
      </c>
      <c r="I1015">
        <v>11164</v>
      </c>
      <c r="J1015" t="s">
        <v>3179</v>
      </c>
      <c r="K1015" t="s">
        <v>3179</v>
      </c>
      <c r="L1015" t="s">
        <v>386</v>
      </c>
      <c r="M1015" t="s">
        <v>1193</v>
      </c>
      <c r="N1015">
        <v>11164</v>
      </c>
      <c r="O1015">
        <v>37</v>
      </c>
      <c r="R1015" t="s">
        <v>398</v>
      </c>
      <c r="S1015" t="s">
        <v>1315</v>
      </c>
      <c r="T1015">
        <v>220</v>
      </c>
      <c r="U1015">
        <v>0</v>
      </c>
      <c r="V1015" t="s">
        <v>1194</v>
      </c>
      <c r="W1015" t="s">
        <v>1194</v>
      </c>
      <c r="X1015">
        <v>220</v>
      </c>
      <c r="Y1015" t="s">
        <v>1317</v>
      </c>
      <c r="Z1015" t="s">
        <v>3180</v>
      </c>
      <c r="AA1015" t="s">
        <v>387</v>
      </c>
      <c r="AB1015">
        <v>29000</v>
      </c>
      <c r="AC1015">
        <v>4268</v>
      </c>
      <c r="AD1015" t="s">
        <v>3181</v>
      </c>
      <c r="AE1015">
        <v>0</v>
      </c>
      <c r="AF1015" t="s">
        <v>1188</v>
      </c>
      <c r="AG1015" t="s">
        <v>1244</v>
      </c>
    </row>
    <row r="1016" spans="1:34" x14ac:dyDescent="0.25">
      <c r="A1016">
        <v>1938</v>
      </c>
      <c r="B1016" t="s">
        <v>1313</v>
      </c>
      <c r="C1016" s="185"/>
      <c r="E1016" t="s">
        <v>386</v>
      </c>
      <c r="F1016" t="s">
        <v>3182</v>
      </c>
      <c r="I1016">
        <v>11165</v>
      </c>
      <c r="J1016" t="s">
        <v>3182</v>
      </c>
      <c r="K1016" t="s">
        <v>3182</v>
      </c>
      <c r="L1016" t="s">
        <v>386</v>
      </c>
      <c r="M1016" t="s">
        <v>1193</v>
      </c>
      <c r="N1016">
        <v>11165</v>
      </c>
      <c r="O1016">
        <v>37</v>
      </c>
      <c r="R1016" t="s">
        <v>398</v>
      </c>
      <c r="S1016" t="s">
        <v>1315</v>
      </c>
      <c r="T1016">
        <v>220</v>
      </c>
      <c r="U1016">
        <v>0</v>
      </c>
      <c r="V1016" t="s">
        <v>1194</v>
      </c>
      <c r="W1016" t="s">
        <v>1194</v>
      </c>
      <c r="X1016">
        <v>220</v>
      </c>
      <c r="Y1016" t="s">
        <v>1317</v>
      </c>
      <c r="Z1016" t="s">
        <v>3183</v>
      </c>
      <c r="AA1016" t="s">
        <v>387</v>
      </c>
      <c r="AB1016">
        <v>29000</v>
      </c>
      <c r="AC1016">
        <v>4269</v>
      </c>
      <c r="AD1016" t="s">
        <v>3184</v>
      </c>
      <c r="AE1016">
        <v>0</v>
      </c>
      <c r="AF1016" t="s">
        <v>1188</v>
      </c>
      <c r="AG1016" t="s">
        <v>1244</v>
      </c>
    </row>
    <row r="1017" spans="1:34" x14ac:dyDescent="0.25">
      <c r="A1017">
        <v>1275</v>
      </c>
      <c r="C1017" s="185"/>
      <c r="E1017" t="s">
        <v>386</v>
      </c>
      <c r="F1017" t="s">
        <v>734</v>
      </c>
      <c r="G1017" t="s">
        <v>1192</v>
      </c>
      <c r="H1017" t="s">
        <v>3185</v>
      </c>
      <c r="I1017">
        <v>11252</v>
      </c>
      <c r="J1017" t="s">
        <v>734</v>
      </c>
      <c r="K1017" t="s">
        <v>3186</v>
      </c>
      <c r="L1017" t="s">
        <v>386</v>
      </c>
      <c r="M1017" t="s">
        <v>1184</v>
      </c>
      <c r="N1017">
        <v>11252</v>
      </c>
      <c r="O1017">
        <v>0</v>
      </c>
      <c r="R1017" t="s">
        <v>398</v>
      </c>
      <c r="T1017">
        <v>372</v>
      </c>
      <c r="V1017" t="s">
        <v>2073</v>
      </c>
      <c r="W1017" t="s">
        <v>2024</v>
      </c>
      <c r="X1017">
        <v>52</v>
      </c>
      <c r="Z1017" t="s">
        <v>2124</v>
      </c>
      <c r="AA1017" t="s">
        <v>387</v>
      </c>
      <c r="AB1017">
        <v>0</v>
      </c>
      <c r="AC1017">
        <v>5785</v>
      </c>
      <c r="AD1017" t="s">
        <v>3187</v>
      </c>
      <c r="AE1017">
        <v>398</v>
      </c>
      <c r="AF1017" t="s">
        <v>3188</v>
      </c>
      <c r="AG1017" t="s">
        <v>3189</v>
      </c>
    </row>
    <row r="1018" spans="1:34" x14ac:dyDescent="0.25">
      <c r="A1018">
        <v>1</v>
      </c>
      <c r="C1018" s="185"/>
      <c r="E1018" t="s">
        <v>386</v>
      </c>
      <c r="F1018" t="s">
        <v>3190</v>
      </c>
      <c r="G1018" t="s">
        <v>1192</v>
      </c>
      <c r="H1018" t="s">
        <v>1710</v>
      </c>
      <c r="I1018">
        <v>12725</v>
      </c>
      <c r="J1018" t="s">
        <v>3191</v>
      </c>
      <c r="K1018" t="s">
        <v>3191</v>
      </c>
      <c r="L1018" t="s">
        <v>386</v>
      </c>
      <c r="M1018" t="s">
        <v>1193</v>
      </c>
      <c r="N1018">
        <v>11388</v>
      </c>
      <c r="O1018">
        <v>0</v>
      </c>
      <c r="R1018" t="s">
        <v>1208</v>
      </c>
      <c r="T1018">
        <v>52</v>
      </c>
      <c r="V1018" t="s">
        <v>2024</v>
      </c>
      <c r="Z1018" t="s">
        <v>865</v>
      </c>
      <c r="AA1018" t="s">
        <v>386</v>
      </c>
      <c r="AB1018">
        <v>0</v>
      </c>
      <c r="AC1018">
        <v>0</v>
      </c>
      <c r="AD1018" t="s">
        <v>1187</v>
      </c>
      <c r="AE1018">
        <v>1</v>
      </c>
      <c r="AF1018" t="s">
        <v>1922</v>
      </c>
      <c r="AG1018" t="s">
        <v>1923</v>
      </c>
    </row>
    <row r="1019" spans="1:34" x14ac:dyDescent="0.25">
      <c r="A1019">
        <v>133</v>
      </c>
      <c r="C1019" s="185"/>
      <c r="E1019" t="s">
        <v>386</v>
      </c>
      <c r="F1019" t="s">
        <v>3190</v>
      </c>
      <c r="G1019" t="s">
        <v>1192</v>
      </c>
      <c r="H1019" t="s">
        <v>3192</v>
      </c>
      <c r="I1019">
        <v>11671</v>
      </c>
      <c r="J1019" t="s">
        <v>3193</v>
      </c>
      <c r="K1019" t="s">
        <v>3194</v>
      </c>
      <c r="L1019" t="s">
        <v>386</v>
      </c>
      <c r="M1019" t="s">
        <v>1193</v>
      </c>
      <c r="N1019">
        <v>11388</v>
      </c>
      <c r="O1019">
        <v>0</v>
      </c>
      <c r="T1019">
        <v>260</v>
      </c>
      <c r="V1019" t="s">
        <v>1216</v>
      </c>
      <c r="W1019" t="s">
        <v>1988</v>
      </c>
      <c r="X1019">
        <v>122</v>
      </c>
      <c r="Z1019" t="s">
        <v>3195</v>
      </c>
      <c r="AA1019" t="s">
        <v>387</v>
      </c>
      <c r="AB1019">
        <v>0</v>
      </c>
      <c r="AC1019">
        <v>4452</v>
      </c>
      <c r="AD1019" t="s">
        <v>3196</v>
      </c>
      <c r="AE1019">
        <v>2059</v>
      </c>
      <c r="AF1019" t="s">
        <v>3197</v>
      </c>
      <c r="AG1019" t="s">
        <v>3198</v>
      </c>
    </row>
    <row r="1020" spans="1:34" x14ac:dyDescent="0.25">
      <c r="A1020">
        <v>93</v>
      </c>
      <c r="C1020" s="185"/>
      <c r="E1020" t="s">
        <v>386</v>
      </c>
      <c r="F1020" t="s">
        <v>3199</v>
      </c>
      <c r="G1020" t="s">
        <v>1238</v>
      </c>
      <c r="H1020" t="s">
        <v>3200</v>
      </c>
      <c r="I1020">
        <v>11394</v>
      </c>
      <c r="J1020" t="s">
        <v>3199</v>
      </c>
      <c r="K1020" t="s">
        <v>3201</v>
      </c>
      <c r="L1020" t="s">
        <v>386</v>
      </c>
      <c r="M1020" t="s">
        <v>1193</v>
      </c>
      <c r="N1020">
        <v>11394</v>
      </c>
      <c r="O1020">
        <v>0</v>
      </c>
      <c r="T1020">
        <v>280</v>
      </c>
      <c r="V1020" t="s">
        <v>3202</v>
      </c>
      <c r="Z1020" t="s">
        <v>1092</v>
      </c>
      <c r="AA1020" t="s">
        <v>387</v>
      </c>
      <c r="AB1020">
        <v>0</v>
      </c>
      <c r="AC1020">
        <v>4355</v>
      </c>
      <c r="AD1020" t="s">
        <v>3203</v>
      </c>
      <c r="AE1020">
        <v>2016</v>
      </c>
      <c r="AF1020" t="s">
        <v>3204</v>
      </c>
      <c r="AG1020" t="s">
        <v>3205</v>
      </c>
      <c r="AH1020" t="s">
        <v>3206</v>
      </c>
    </row>
    <row r="1021" spans="1:34" x14ac:dyDescent="0.25">
      <c r="A1021">
        <v>1</v>
      </c>
      <c r="C1021" s="185"/>
      <c r="E1021" t="s">
        <v>386</v>
      </c>
      <c r="F1021" t="s">
        <v>3207</v>
      </c>
      <c r="G1021" t="s">
        <v>1192</v>
      </c>
      <c r="H1021" t="s">
        <v>3208</v>
      </c>
      <c r="I1021">
        <v>11417</v>
      </c>
      <c r="J1021" t="s">
        <v>3207</v>
      </c>
      <c r="K1021" t="s">
        <v>3207</v>
      </c>
      <c r="L1021" t="s">
        <v>386</v>
      </c>
      <c r="M1021" t="s">
        <v>1184</v>
      </c>
      <c r="N1021">
        <v>11417</v>
      </c>
      <c r="O1021">
        <v>0</v>
      </c>
      <c r="R1021" t="s">
        <v>1208</v>
      </c>
      <c r="T1021">
        <v>260</v>
      </c>
      <c r="V1021" t="s">
        <v>1216</v>
      </c>
      <c r="W1021" t="s">
        <v>3209</v>
      </c>
      <c r="X1021">
        <v>219</v>
      </c>
      <c r="Z1021" t="s">
        <v>865</v>
      </c>
      <c r="AA1021" t="s">
        <v>387</v>
      </c>
      <c r="AB1021">
        <v>0</v>
      </c>
      <c r="AC1021">
        <v>3348</v>
      </c>
      <c r="AD1021" t="s">
        <v>3210</v>
      </c>
      <c r="AE1021">
        <v>184</v>
      </c>
      <c r="AF1021" t="s">
        <v>3211</v>
      </c>
      <c r="AG1021" t="s">
        <v>3212</v>
      </c>
      <c r="AH1021" t="s">
        <v>3213</v>
      </c>
    </row>
    <row r="1022" spans="1:34" x14ac:dyDescent="0.25">
      <c r="A1022">
        <v>1962</v>
      </c>
      <c r="C1022" s="185"/>
      <c r="E1022" t="s">
        <v>386</v>
      </c>
      <c r="F1022" t="s">
        <v>3214</v>
      </c>
      <c r="G1022" t="s">
        <v>1192</v>
      </c>
      <c r="H1022" t="s">
        <v>3215</v>
      </c>
      <c r="I1022">
        <v>11546</v>
      </c>
      <c r="J1022" t="s">
        <v>3214</v>
      </c>
      <c r="K1022" t="s">
        <v>3216</v>
      </c>
      <c r="L1022" t="s">
        <v>386</v>
      </c>
      <c r="M1022" t="s">
        <v>1193</v>
      </c>
      <c r="N1022">
        <v>11546</v>
      </c>
      <c r="O1022">
        <v>0</v>
      </c>
      <c r="T1022">
        <v>260</v>
      </c>
      <c r="V1022" t="s">
        <v>1216</v>
      </c>
      <c r="Z1022" t="s">
        <v>3217</v>
      </c>
      <c r="AA1022" t="s">
        <v>387</v>
      </c>
      <c r="AB1022">
        <v>0</v>
      </c>
      <c r="AC1022">
        <v>4407</v>
      </c>
      <c r="AD1022" t="s">
        <v>3218</v>
      </c>
      <c r="AE1022">
        <v>2038</v>
      </c>
      <c r="AF1022" t="s">
        <v>3219</v>
      </c>
      <c r="AH1022" t="s">
        <v>3220</v>
      </c>
    </row>
    <row r="1023" spans="1:34" x14ac:dyDescent="0.25">
      <c r="A1023">
        <v>49</v>
      </c>
      <c r="C1023" s="185"/>
      <c r="E1023" t="s">
        <v>386</v>
      </c>
      <c r="F1023" t="s">
        <v>3221</v>
      </c>
      <c r="G1023" t="s">
        <v>1192</v>
      </c>
      <c r="H1023" t="s">
        <v>3222</v>
      </c>
      <c r="I1023">
        <v>11571</v>
      </c>
      <c r="J1023" t="s">
        <v>3221</v>
      </c>
      <c r="K1023" t="s">
        <v>3221</v>
      </c>
      <c r="L1023" t="s">
        <v>386</v>
      </c>
      <c r="M1023" t="s">
        <v>1184</v>
      </c>
      <c r="N1023">
        <v>11571</v>
      </c>
      <c r="O1023">
        <v>0</v>
      </c>
      <c r="R1023" t="s">
        <v>1208</v>
      </c>
      <c r="T1023">
        <v>200</v>
      </c>
      <c r="V1023" t="s">
        <v>1199</v>
      </c>
      <c r="W1023" t="s">
        <v>1199</v>
      </c>
      <c r="X1023">
        <v>200</v>
      </c>
      <c r="Z1023" t="s">
        <v>3223</v>
      </c>
      <c r="AA1023" t="s">
        <v>387</v>
      </c>
      <c r="AB1023">
        <v>0</v>
      </c>
      <c r="AC1023">
        <v>5788</v>
      </c>
      <c r="AD1023" t="s">
        <v>3224</v>
      </c>
      <c r="AE1023">
        <v>2668</v>
      </c>
      <c r="AF1023" t="s">
        <v>3225</v>
      </c>
      <c r="AG1023" t="s">
        <v>2012</v>
      </c>
    </row>
    <row r="1024" spans="1:34" x14ac:dyDescent="0.25">
      <c r="A1024">
        <v>1965</v>
      </c>
      <c r="C1024" s="185"/>
      <c r="D1024" t="s">
        <v>24</v>
      </c>
      <c r="E1024" t="s">
        <v>386</v>
      </c>
      <c r="F1024" t="s">
        <v>424</v>
      </c>
      <c r="G1024" t="s">
        <v>1192</v>
      </c>
      <c r="H1024" t="s">
        <v>3226</v>
      </c>
      <c r="I1024">
        <v>11580</v>
      </c>
      <c r="J1024" t="s">
        <v>424</v>
      </c>
      <c r="K1024" t="s">
        <v>295</v>
      </c>
      <c r="L1024" t="s">
        <v>386</v>
      </c>
      <c r="M1024" t="s">
        <v>1193</v>
      </c>
      <c r="N1024">
        <v>11580</v>
      </c>
      <c r="O1024">
        <v>37</v>
      </c>
      <c r="R1024" t="s">
        <v>398</v>
      </c>
      <c r="T1024">
        <v>220</v>
      </c>
      <c r="V1024" t="s">
        <v>1194</v>
      </c>
      <c r="W1024" t="s">
        <v>1200</v>
      </c>
      <c r="X1024">
        <v>340</v>
      </c>
      <c r="Z1024" t="s">
        <v>1032</v>
      </c>
      <c r="AA1024" t="s">
        <v>387</v>
      </c>
      <c r="AB1024">
        <v>29000</v>
      </c>
      <c r="AC1024">
        <v>4424</v>
      </c>
      <c r="AD1024" t="s">
        <v>3227</v>
      </c>
      <c r="AE1024">
        <v>0</v>
      </c>
      <c r="AF1024" t="s">
        <v>1188</v>
      </c>
      <c r="AG1024" t="s">
        <v>2914</v>
      </c>
      <c r="AH1024" t="s">
        <v>3228</v>
      </c>
    </row>
    <row r="1025" spans="1:34" x14ac:dyDescent="0.25">
      <c r="A1025">
        <v>1</v>
      </c>
      <c r="C1025" s="185"/>
      <c r="D1025" t="s">
        <v>157</v>
      </c>
      <c r="E1025" t="s">
        <v>386</v>
      </c>
      <c r="F1025" t="s">
        <v>3229</v>
      </c>
      <c r="G1025" t="s">
        <v>1192</v>
      </c>
      <c r="H1025" t="s">
        <v>3230</v>
      </c>
      <c r="I1025">
        <v>11588</v>
      </c>
      <c r="J1025" t="s">
        <v>3229</v>
      </c>
      <c r="K1025" t="s">
        <v>3229</v>
      </c>
      <c r="L1025" t="s">
        <v>386</v>
      </c>
      <c r="M1025" t="s">
        <v>1193</v>
      </c>
      <c r="N1025">
        <v>11588</v>
      </c>
      <c r="O1025">
        <v>0</v>
      </c>
      <c r="R1025" t="s">
        <v>398</v>
      </c>
      <c r="T1025">
        <v>372</v>
      </c>
      <c r="V1025" t="s">
        <v>2073</v>
      </c>
      <c r="W1025" t="s">
        <v>2073</v>
      </c>
      <c r="X1025">
        <v>372</v>
      </c>
      <c r="Z1025" t="s">
        <v>865</v>
      </c>
      <c r="AA1025" t="s">
        <v>387</v>
      </c>
      <c r="AB1025">
        <v>0</v>
      </c>
      <c r="AC1025">
        <v>4427</v>
      </c>
      <c r="AD1025" t="s">
        <v>3231</v>
      </c>
      <c r="AE1025">
        <v>164</v>
      </c>
      <c r="AF1025" t="s">
        <v>2743</v>
      </c>
      <c r="AG1025" t="s">
        <v>3232</v>
      </c>
      <c r="AH1025" t="s">
        <v>3233</v>
      </c>
    </row>
    <row r="1026" spans="1:34" x14ac:dyDescent="0.25">
      <c r="A1026">
        <v>1974</v>
      </c>
      <c r="C1026" s="185"/>
      <c r="D1026" t="s">
        <v>24</v>
      </c>
      <c r="E1026" t="s">
        <v>386</v>
      </c>
      <c r="F1026" t="s">
        <v>274</v>
      </c>
      <c r="G1026" t="s">
        <v>1192</v>
      </c>
      <c r="H1026" t="s">
        <v>2830</v>
      </c>
      <c r="I1026">
        <v>11768</v>
      </c>
      <c r="J1026" t="s">
        <v>274</v>
      </c>
      <c r="K1026" t="s">
        <v>274</v>
      </c>
      <c r="L1026" t="s">
        <v>386</v>
      </c>
      <c r="M1026" t="s">
        <v>1193</v>
      </c>
      <c r="N1026">
        <v>11768</v>
      </c>
      <c r="O1026">
        <v>37</v>
      </c>
      <c r="R1026" t="s">
        <v>398</v>
      </c>
      <c r="T1026">
        <v>396</v>
      </c>
      <c r="V1026" t="s">
        <v>2186</v>
      </c>
      <c r="W1026" t="s">
        <v>1216</v>
      </c>
      <c r="X1026">
        <v>260</v>
      </c>
      <c r="Z1026" t="s">
        <v>1078</v>
      </c>
      <c r="AA1026" t="s">
        <v>387</v>
      </c>
      <c r="AB1026">
        <v>29000</v>
      </c>
      <c r="AC1026">
        <v>4485</v>
      </c>
      <c r="AD1026" t="s">
        <v>3234</v>
      </c>
      <c r="AE1026">
        <v>875</v>
      </c>
      <c r="AF1026" t="s">
        <v>3235</v>
      </c>
      <c r="AG1026" t="s">
        <v>3236</v>
      </c>
      <c r="AH1026" t="s">
        <v>3237</v>
      </c>
    </row>
    <row r="1027" spans="1:34" x14ac:dyDescent="0.25">
      <c r="A1027">
        <v>1975</v>
      </c>
      <c r="C1027" s="185"/>
      <c r="D1027" t="s">
        <v>24</v>
      </c>
      <c r="E1027" t="s">
        <v>386</v>
      </c>
      <c r="F1027" t="s">
        <v>376</v>
      </c>
      <c r="G1027" t="s">
        <v>1192</v>
      </c>
      <c r="H1027" t="s">
        <v>2830</v>
      </c>
      <c r="I1027">
        <v>11770</v>
      </c>
      <c r="J1027" t="s">
        <v>376</v>
      </c>
      <c r="K1027" t="s">
        <v>3238</v>
      </c>
      <c r="L1027" t="s">
        <v>386</v>
      </c>
      <c r="M1027" t="s">
        <v>1193</v>
      </c>
      <c r="N1027">
        <v>11770</v>
      </c>
      <c r="O1027">
        <v>37</v>
      </c>
      <c r="R1027" t="s">
        <v>398</v>
      </c>
      <c r="T1027">
        <v>340</v>
      </c>
      <c r="V1027" t="s">
        <v>1200</v>
      </c>
      <c r="W1027" t="s">
        <v>1194</v>
      </c>
      <c r="X1027">
        <v>220</v>
      </c>
      <c r="Z1027" t="s">
        <v>1110</v>
      </c>
      <c r="AA1027" t="s">
        <v>387</v>
      </c>
      <c r="AB1027">
        <v>29000</v>
      </c>
      <c r="AC1027">
        <v>4487</v>
      </c>
      <c r="AD1027" t="s">
        <v>3239</v>
      </c>
      <c r="AE1027">
        <v>2079</v>
      </c>
      <c r="AF1027" t="s">
        <v>3240</v>
      </c>
      <c r="AG1027" t="s">
        <v>1244</v>
      </c>
      <c r="AH1027" t="s">
        <v>3241</v>
      </c>
    </row>
    <row r="1028" spans="1:34" x14ac:dyDescent="0.25">
      <c r="A1028">
        <v>1</v>
      </c>
      <c r="C1028" s="185"/>
      <c r="E1028" t="s">
        <v>386</v>
      </c>
      <c r="F1028" t="s">
        <v>3242</v>
      </c>
      <c r="G1028" t="s">
        <v>1192</v>
      </c>
      <c r="H1028" t="s">
        <v>3243</v>
      </c>
      <c r="I1028">
        <v>11803</v>
      </c>
      <c r="J1028" t="s">
        <v>3242</v>
      </c>
      <c r="K1028" t="s">
        <v>3244</v>
      </c>
      <c r="L1028" t="s">
        <v>386</v>
      </c>
      <c r="M1028" t="s">
        <v>1184</v>
      </c>
      <c r="N1028">
        <v>11803</v>
      </c>
      <c r="O1028">
        <v>0</v>
      </c>
      <c r="R1028" t="s">
        <v>398</v>
      </c>
      <c r="T1028">
        <v>152</v>
      </c>
      <c r="V1028" t="s">
        <v>1265</v>
      </c>
      <c r="W1028" t="s">
        <v>2073</v>
      </c>
      <c r="X1028">
        <v>372</v>
      </c>
      <c r="Z1028" t="s">
        <v>865</v>
      </c>
      <c r="AA1028" t="s">
        <v>386</v>
      </c>
      <c r="AB1028">
        <v>0</v>
      </c>
      <c r="AC1028">
        <v>5386</v>
      </c>
      <c r="AD1028" t="s">
        <v>3245</v>
      </c>
      <c r="AE1028">
        <v>184</v>
      </c>
      <c r="AF1028" t="s">
        <v>3211</v>
      </c>
      <c r="AG1028" t="s">
        <v>2572</v>
      </c>
    </row>
    <row r="1029" spans="1:34" x14ac:dyDescent="0.25">
      <c r="A1029">
        <v>1</v>
      </c>
      <c r="C1029" s="185"/>
      <c r="E1029" t="s">
        <v>386</v>
      </c>
      <c r="F1029" t="s">
        <v>3246</v>
      </c>
      <c r="G1029" t="s">
        <v>1192</v>
      </c>
      <c r="H1029" t="s">
        <v>3247</v>
      </c>
      <c r="I1029">
        <v>11804</v>
      </c>
      <c r="J1029" t="s">
        <v>3246</v>
      </c>
      <c r="K1029" t="s">
        <v>3248</v>
      </c>
      <c r="L1029" t="s">
        <v>386</v>
      </c>
      <c r="M1029" t="s">
        <v>1184</v>
      </c>
      <c r="N1029">
        <v>11804</v>
      </c>
      <c r="O1029">
        <v>0</v>
      </c>
      <c r="R1029" t="s">
        <v>1208</v>
      </c>
      <c r="T1029">
        <v>260</v>
      </c>
      <c r="V1029" t="s">
        <v>1216</v>
      </c>
      <c r="W1029" t="s">
        <v>1216</v>
      </c>
      <c r="X1029">
        <v>260</v>
      </c>
      <c r="Z1029" t="s">
        <v>865</v>
      </c>
      <c r="AA1029" t="s">
        <v>387</v>
      </c>
      <c r="AB1029">
        <v>0</v>
      </c>
      <c r="AC1029">
        <v>6578</v>
      </c>
      <c r="AD1029" t="s">
        <v>3249</v>
      </c>
      <c r="AE1029">
        <v>54</v>
      </c>
      <c r="AF1029" t="s">
        <v>3250</v>
      </c>
      <c r="AG1029" t="s">
        <v>3251</v>
      </c>
    </row>
    <row r="1030" spans="1:34" x14ac:dyDescent="0.25">
      <c r="A1030">
        <v>1463</v>
      </c>
      <c r="C1030" s="185"/>
      <c r="D1030" t="s">
        <v>24</v>
      </c>
      <c r="E1030" t="s">
        <v>386</v>
      </c>
      <c r="F1030" t="s">
        <v>3252</v>
      </c>
      <c r="G1030" t="s">
        <v>1197</v>
      </c>
      <c r="I1030">
        <v>11961</v>
      </c>
      <c r="J1030" t="s">
        <v>3252</v>
      </c>
      <c r="K1030" t="s">
        <v>3253</v>
      </c>
      <c r="L1030" t="s">
        <v>386</v>
      </c>
      <c r="M1030" t="s">
        <v>1193</v>
      </c>
      <c r="N1030">
        <v>11961</v>
      </c>
      <c r="O1030">
        <v>56</v>
      </c>
      <c r="R1030" t="s">
        <v>398</v>
      </c>
      <c r="T1030">
        <v>220</v>
      </c>
      <c r="V1030" t="s">
        <v>1194</v>
      </c>
      <c r="W1030" t="s">
        <v>1194</v>
      </c>
      <c r="X1030">
        <v>220</v>
      </c>
      <c r="Z1030" t="s">
        <v>1070</v>
      </c>
      <c r="AA1030" t="s">
        <v>387</v>
      </c>
      <c r="AB1030">
        <v>48000</v>
      </c>
      <c r="AC1030">
        <v>4448</v>
      </c>
      <c r="AD1030" t="s">
        <v>2216</v>
      </c>
      <c r="AE1030">
        <v>0</v>
      </c>
      <c r="AF1030" t="s">
        <v>1188</v>
      </c>
      <c r="AH1030" t="s">
        <v>3254</v>
      </c>
    </row>
    <row r="1031" spans="1:34" x14ac:dyDescent="0.25">
      <c r="A1031">
        <v>207</v>
      </c>
      <c r="C1031" s="185"/>
      <c r="D1031" t="s">
        <v>24</v>
      </c>
      <c r="E1031" t="s">
        <v>386</v>
      </c>
      <c r="F1031" t="s">
        <v>277</v>
      </c>
      <c r="G1031" t="s">
        <v>1192</v>
      </c>
      <c r="H1031" t="s">
        <v>2830</v>
      </c>
      <c r="I1031">
        <v>11978</v>
      </c>
      <c r="J1031" t="s">
        <v>277</v>
      </c>
      <c r="K1031" t="s">
        <v>277</v>
      </c>
      <c r="L1031" t="s">
        <v>386</v>
      </c>
      <c r="M1031" t="s">
        <v>1193</v>
      </c>
      <c r="N1031">
        <v>11978</v>
      </c>
      <c r="O1031">
        <v>56</v>
      </c>
      <c r="R1031" t="s">
        <v>398</v>
      </c>
      <c r="T1031">
        <v>220</v>
      </c>
      <c r="V1031" t="s">
        <v>1194</v>
      </c>
      <c r="W1031" t="s">
        <v>1194</v>
      </c>
      <c r="X1031">
        <v>220</v>
      </c>
      <c r="Z1031" t="s">
        <v>954</v>
      </c>
      <c r="AA1031" t="s">
        <v>387</v>
      </c>
      <c r="AB1031">
        <v>48000</v>
      </c>
      <c r="AC1031">
        <v>4554</v>
      </c>
      <c r="AD1031" t="s">
        <v>3255</v>
      </c>
      <c r="AE1031">
        <v>0</v>
      </c>
      <c r="AF1031" t="s">
        <v>1188</v>
      </c>
      <c r="AG1031" t="s">
        <v>3104</v>
      </c>
      <c r="AH1031" t="s">
        <v>3256</v>
      </c>
    </row>
    <row r="1032" spans="1:34" x14ac:dyDescent="0.25">
      <c r="A1032">
        <v>1462</v>
      </c>
      <c r="C1032" s="185"/>
      <c r="D1032" t="s">
        <v>24</v>
      </c>
      <c r="E1032" t="s">
        <v>386</v>
      </c>
      <c r="F1032" t="s">
        <v>296</v>
      </c>
      <c r="G1032" t="s">
        <v>1197</v>
      </c>
      <c r="H1032" t="s">
        <v>3257</v>
      </c>
      <c r="I1032">
        <v>12031</v>
      </c>
      <c r="J1032" t="s">
        <v>296</v>
      </c>
      <c r="K1032" t="s">
        <v>296</v>
      </c>
      <c r="L1032" t="s">
        <v>386</v>
      </c>
      <c r="M1032" t="s">
        <v>1193</v>
      </c>
      <c r="N1032">
        <v>12031</v>
      </c>
      <c r="O1032">
        <v>37</v>
      </c>
      <c r="R1032" t="s">
        <v>398</v>
      </c>
      <c r="T1032">
        <v>340</v>
      </c>
      <c r="V1032" t="s">
        <v>1200</v>
      </c>
      <c r="W1032" t="s">
        <v>1199</v>
      </c>
      <c r="X1032">
        <v>200</v>
      </c>
      <c r="Z1032" t="s">
        <v>998</v>
      </c>
      <c r="AA1032" t="s">
        <v>387</v>
      </c>
      <c r="AB1032">
        <v>29000</v>
      </c>
      <c r="AC1032">
        <v>4570</v>
      </c>
      <c r="AD1032" t="s">
        <v>3258</v>
      </c>
      <c r="AE1032">
        <v>0</v>
      </c>
      <c r="AF1032" t="s">
        <v>1188</v>
      </c>
      <c r="AH1032" t="s">
        <v>3259</v>
      </c>
    </row>
    <row r="1033" spans="1:34" x14ac:dyDescent="0.25">
      <c r="A1033">
        <v>1989</v>
      </c>
      <c r="C1033" s="185"/>
      <c r="E1033" t="s">
        <v>386</v>
      </c>
      <c r="F1033" t="s">
        <v>3260</v>
      </c>
      <c r="G1033" t="s">
        <v>1192</v>
      </c>
      <c r="I1033">
        <v>12052</v>
      </c>
      <c r="J1033" t="s">
        <v>3260</v>
      </c>
      <c r="K1033" t="s">
        <v>3261</v>
      </c>
      <c r="L1033" t="s">
        <v>386</v>
      </c>
      <c r="M1033" t="s">
        <v>1193</v>
      </c>
      <c r="N1033">
        <v>12052</v>
      </c>
      <c r="O1033">
        <v>0</v>
      </c>
      <c r="T1033">
        <v>52</v>
      </c>
      <c r="V1033" t="s">
        <v>2024</v>
      </c>
      <c r="W1033" t="s">
        <v>1988</v>
      </c>
      <c r="X1033">
        <v>122</v>
      </c>
      <c r="Z1033" t="s">
        <v>3262</v>
      </c>
      <c r="AA1033" t="s">
        <v>387</v>
      </c>
      <c r="AB1033">
        <v>0</v>
      </c>
      <c r="AC1033">
        <v>4575</v>
      </c>
      <c r="AD1033" t="s">
        <v>3263</v>
      </c>
      <c r="AE1033">
        <v>2127</v>
      </c>
      <c r="AF1033" t="s">
        <v>3264</v>
      </c>
      <c r="AG1033" t="s">
        <v>1931</v>
      </c>
      <c r="AH1033" t="s">
        <v>3265</v>
      </c>
    </row>
    <row r="1034" spans="1:34" x14ac:dyDescent="0.25">
      <c r="A1034">
        <v>1991</v>
      </c>
      <c r="C1034" s="185"/>
      <c r="E1034" t="s">
        <v>386</v>
      </c>
      <c r="F1034" t="s">
        <v>681</v>
      </c>
      <c r="G1034" t="s">
        <v>1192</v>
      </c>
      <c r="H1034" t="s">
        <v>2830</v>
      </c>
      <c r="I1034">
        <v>12249</v>
      </c>
      <c r="J1034" t="s">
        <v>681</v>
      </c>
      <c r="K1034" t="s">
        <v>3266</v>
      </c>
      <c r="L1034" t="s">
        <v>386</v>
      </c>
      <c r="M1034" t="s">
        <v>1193</v>
      </c>
      <c r="N1034">
        <v>12249</v>
      </c>
      <c r="O1034">
        <v>37</v>
      </c>
      <c r="T1034">
        <v>340</v>
      </c>
      <c r="V1034" t="s">
        <v>1200</v>
      </c>
      <c r="W1034" t="s">
        <v>1981</v>
      </c>
      <c r="X1034">
        <v>23</v>
      </c>
      <c r="Z1034" t="s">
        <v>1105</v>
      </c>
      <c r="AA1034" t="s">
        <v>387</v>
      </c>
      <c r="AB1034">
        <v>29000</v>
      </c>
      <c r="AC1034">
        <v>4626</v>
      </c>
      <c r="AD1034" t="s">
        <v>3267</v>
      </c>
      <c r="AE1034">
        <v>875</v>
      </c>
      <c r="AF1034" t="s">
        <v>3235</v>
      </c>
      <c r="AH1034" t="s">
        <v>3268</v>
      </c>
    </row>
    <row r="1035" spans="1:34" x14ac:dyDescent="0.25">
      <c r="A1035">
        <v>2197</v>
      </c>
      <c r="C1035" s="185"/>
      <c r="E1035" t="s">
        <v>386</v>
      </c>
      <c r="F1035" t="s">
        <v>3269</v>
      </c>
      <c r="G1035" t="s">
        <v>1903</v>
      </c>
      <c r="H1035" t="s">
        <v>2830</v>
      </c>
      <c r="I1035">
        <v>12294</v>
      </c>
      <c r="J1035" t="s">
        <v>3269</v>
      </c>
      <c r="K1035" t="s">
        <v>3270</v>
      </c>
      <c r="L1035" t="s">
        <v>386</v>
      </c>
      <c r="M1035" t="s">
        <v>1193</v>
      </c>
      <c r="N1035">
        <v>12294</v>
      </c>
      <c r="O1035">
        <v>37</v>
      </c>
      <c r="R1035" t="s">
        <v>398</v>
      </c>
      <c r="T1035">
        <v>220</v>
      </c>
      <c r="V1035" t="s">
        <v>1194</v>
      </c>
      <c r="W1035" t="s">
        <v>1530</v>
      </c>
      <c r="X1035">
        <v>103</v>
      </c>
      <c r="Z1035" t="s">
        <v>2706</v>
      </c>
      <c r="AA1035" t="s">
        <v>387</v>
      </c>
      <c r="AB1035">
        <v>29000</v>
      </c>
      <c r="AC1035">
        <v>6286</v>
      </c>
      <c r="AD1035" t="s">
        <v>3271</v>
      </c>
      <c r="AE1035">
        <v>0</v>
      </c>
      <c r="AF1035" t="s">
        <v>1188</v>
      </c>
      <c r="AH1035" t="s">
        <v>3272</v>
      </c>
    </row>
    <row r="1036" spans="1:34" x14ac:dyDescent="0.25">
      <c r="A1036">
        <v>1724</v>
      </c>
      <c r="C1036" s="185"/>
      <c r="E1036" t="s">
        <v>386</v>
      </c>
      <c r="F1036" t="s">
        <v>3273</v>
      </c>
      <c r="G1036" t="s">
        <v>1192</v>
      </c>
      <c r="H1036" t="s">
        <v>3274</v>
      </c>
      <c r="I1036">
        <v>12317</v>
      </c>
      <c r="J1036" t="s">
        <v>3273</v>
      </c>
      <c r="K1036" t="s">
        <v>3273</v>
      </c>
      <c r="L1036" t="s">
        <v>386</v>
      </c>
      <c r="M1036" t="s">
        <v>1184</v>
      </c>
      <c r="N1036">
        <v>12317</v>
      </c>
      <c r="O1036">
        <v>0</v>
      </c>
      <c r="T1036">
        <v>122</v>
      </c>
      <c r="V1036" t="s">
        <v>1988</v>
      </c>
      <c r="W1036" t="s">
        <v>2015</v>
      </c>
      <c r="X1036">
        <v>35</v>
      </c>
      <c r="Z1036" t="s">
        <v>929</v>
      </c>
      <c r="AA1036" t="s">
        <v>387</v>
      </c>
      <c r="AB1036">
        <v>0</v>
      </c>
      <c r="AC1036">
        <v>4646</v>
      </c>
      <c r="AD1036" t="s">
        <v>3275</v>
      </c>
      <c r="AE1036">
        <v>216</v>
      </c>
      <c r="AF1036" t="s">
        <v>3276</v>
      </c>
      <c r="AG1036" t="s">
        <v>3277</v>
      </c>
    </row>
    <row r="1037" spans="1:34" x14ac:dyDescent="0.25">
      <c r="A1037">
        <v>1997</v>
      </c>
      <c r="C1037" s="185"/>
      <c r="E1037" t="s">
        <v>386</v>
      </c>
      <c r="F1037" t="s">
        <v>566</v>
      </c>
      <c r="G1037" t="s">
        <v>1197</v>
      </c>
      <c r="H1037" t="s">
        <v>2830</v>
      </c>
      <c r="I1037">
        <v>12337</v>
      </c>
      <c r="J1037" t="s">
        <v>566</v>
      </c>
      <c r="K1037" t="s">
        <v>3278</v>
      </c>
      <c r="L1037" t="s">
        <v>386</v>
      </c>
      <c r="M1037" t="s">
        <v>1193</v>
      </c>
      <c r="N1037">
        <v>12337</v>
      </c>
      <c r="O1037">
        <v>37</v>
      </c>
      <c r="R1037" t="s">
        <v>398</v>
      </c>
      <c r="T1037">
        <v>52</v>
      </c>
      <c r="V1037" t="s">
        <v>2024</v>
      </c>
      <c r="W1037" t="s">
        <v>1194</v>
      </c>
      <c r="X1037">
        <v>220</v>
      </c>
      <c r="Z1037" t="s">
        <v>945</v>
      </c>
      <c r="AA1037" t="s">
        <v>387</v>
      </c>
      <c r="AB1037">
        <v>29000</v>
      </c>
      <c r="AC1037">
        <v>4650</v>
      </c>
      <c r="AD1037" t="s">
        <v>3279</v>
      </c>
      <c r="AE1037">
        <v>138</v>
      </c>
      <c r="AF1037" t="s">
        <v>2509</v>
      </c>
      <c r="AG1037" t="s">
        <v>1244</v>
      </c>
      <c r="AH1037" t="s">
        <v>3280</v>
      </c>
    </row>
    <row r="1038" spans="1:34" x14ac:dyDescent="0.25">
      <c r="A1038">
        <v>1408</v>
      </c>
      <c r="C1038" s="185"/>
      <c r="E1038" t="s">
        <v>386</v>
      </c>
      <c r="F1038" t="s">
        <v>2992</v>
      </c>
      <c r="G1038" t="s">
        <v>1197</v>
      </c>
      <c r="H1038" t="s">
        <v>2830</v>
      </c>
      <c r="I1038">
        <v>12338</v>
      </c>
      <c r="J1038" t="s">
        <v>2992</v>
      </c>
      <c r="K1038" t="s">
        <v>3281</v>
      </c>
      <c r="L1038" t="s">
        <v>386</v>
      </c>
      <c r="M1038" t="s">
        <v>1193</v>
      </c>
      <c r="N1038">
        <v>12338</v>
      </c>
      <c r="O1038">
        <v>0</v>
      </c>
      <c r="R1038" t="s">
        <v>398</v>
      </c>
      <c r="T1038">
        <v>260</v>
      </c>
      <c r="V1038" t="s">
        <v>1216</v>
      </c>
      <c r="Z1038" t="s">
        <v>1036</v>
      </c>
      <c r="AA1038" t="s">
        <v>387</v>
      </c>
      <c r="AB1038">
        <v>0</v>
      </c>
      <c r="AC1038">
        <v>3258</v>
      </c>
      <c r="AD1038" t="s">
        <v>2994</v>
      </c>
      <c r="AE1038">
        <v>2155</v>
      </c>
      <c r="AF1038" t="s">
        <v>3282</v>
      </c>
      <c r="AG1038" t="s">
        <v>3283</v>
      </c>
      <c r="AH1038" t="s">
        <v>3284</v>
      </c>
    </row>
    <row r="1039" spans="1:34" x14ac:dyDescent="0.25">
      <c r="A1039">
        <v>54</v>
      </c>
      <c r="C1039" s="185"/>
      <c r="D1039" t="s">
        <v>24</v>
      </c>
      <c r="E1039" t="s">
        <v>386</v>
      </c>
      <c r="F1039" t="s">
        <v>319</v>
      </c>
      <c r="G1039" t="s">
        <v>1197</v>
      </c>
      <c r="I1039">
        <v>12365</v>
      </c>
      <c r="J1039" t="s">
        <v>319</v>
      </c>
      <c r="K1039" t="s">
        <v>3285</v>
      </c>
      <c r="L1039" t="s">
        <v>386</v>
      </c>
      <c r="M1039" t="s">
        <v>1193</v>
      </c>
      <c r="N1039">
        <v>12365</v>
      </c>
      <c r="O1039">
        <v>37</v>
      </c>
      <c r="R1039" t="s">
        <v>398</v>
      </c>
      <c r="T1039">
        <v>220</v>
      </c>
      <c r="V1039" t="s">
        <v>1194</v>
      </c>
      <c r="W1039" t="s">
        <v>1200</v>
      </c>
      <c r="X1039">
        <v>340</v>
      </c>
      <c r="Z1039" t="s">
        <v>1149</v>
      </c>
      <c r="AA1039" t="s">
        <v>387</v>
      </c>
      <c r="AB1039">
        <v>29000</v>
      </c>
      <c r="AC1039">
        <v>4657</v>
      </c>
      <c r="AD1039" t="s">
        <v>3286</v>
      </c>
      <c r="AE1039">
        <v>0</v>
      </c>
      <c r="AF1039" t="s">
        <v>1188</v>
      </c>
      <c r="AG1039" t="s">
        <v>1244</v>
      </c>
      <c r="AH1039" t="s">
        <v>3287</v>
      </c>
    </row>
    <row r="1040" spans="1:34" x14ac:dyDescent="0.25">
      <c r="A1040">
        <v>2006</v>
      </c>
      <c r="C1040" s="185"/>
      <c r="D1040" t="s">
        <v>24</v>
      </c>
      <c r="E1040" t="s">
        <v>386</v>
      </c>
      <c r="F1040" t="s">
        <v>3288</v>
      </c>
      <c r="G1040" t="s">
        <v>1192</v>
      </c>
      <c r="H1040" t="s">
        <v>3289</v>
      </c>
      <c r="I1040">
        <v>12488</v>
      </c>
      <c r="J1040" t="s">
        <v>3288</v>
      </c>
      <c r="K1040" t="s">
        <v>3288</v>
      </c>
      <c r="L1040" t="s">
        <v>386</v>
      </c>
      <c r="M1040" t="s">
        <v>1193</v>
      </c>
      <c r="N1040">
        <v>12488</v>
      </c>
      <c r="O1040">
        <v>0</v>
      </c>
      <c r="T1040">
        <v>304</v>
      </c>
      <c r="V1040" t="s">
        <v>2067</v>
      </c>
      <c r="Z1040" t="s">
        <v>3290</v>
      </c>
      <c r="AA1040" t="s">
        <v>387</v>
      </c>
      <c r="AB1040">
        <v>0</v>
      </c>
      <c r="AC1040">
        <v>4688</v>
      </c>
      <c r="AD1040" t="s">
        <v>3291</v>
      </c>
      <c r="AE1040">
        <v>0</v>
      </c>
      <c r="AF1040" t="s">
        <v>1188</v>
      </c>
      <c r="AG1040" t="s">
        <v>1244</v>
      </c>
      <c r="AH1040" t="s">
        <v>3292</v>
      </c>
    </row>
    <row r="1041" spans="1:34" x14ac:dyDescent="0.25">
      <c r="A1041">
        <v>1</v>
      </c>
      <c r="C1041" s="185"/>
      <c r="E1041" t="s">
        <v>386</v>
      </c>
      <c r="F1041" t="s">
        <v>127</v>
      </c>
      <c r="G1041" t="s">
        <v>1192</v>
      </c>
      <c r="H1041" t="s">
        <v>3293</v>
      </c>
      <c r="I1041">
        <v>12588</v>
      </c>
      <c r="J1041" t="s">
        <v>127</v>
      </c>
      <c r="K1041" t="s">
        <v>127</v>
      </c>
      <c r="L1041" t="s">
        <v>386</v>
      </c>
      <c r="M1041" t="s">
        <v>1184</v>
      </c>
      <c r="N1041">
        <v>12588</v>
      </c>
      <c r="O1041">
        <v>0</v>
      </c>
      <c r="R1041" t="s">
        <v>1208</v>
      </c>
      <c r="T1041">
        <v>52</v>
      </c>
      <c r="V1041" t="s">
        <v>2024</v>
      </c>
      <c r="W1041" t="s">
        <v>1216</v>
      </c>
      <c r="X1041">
        <v>260</v>
      </c>
      <c r="Z1041" t="s">
        <v>865</v>
      </c>
      <c r="AA1041" t="s">
        <v>387</v>
      </c>
      <c r="AB1041">
        <v>0</v>
      </c>
      <c r="AC1041">
        <v>5270</v>
      </c>
      <c r="AD1041" t="s">
        <v>3294</v>
      </c>
      <c r="AE1041">
        <v>54</v>
      </c>
      <c r="AF1041" t="s">
        <v>3250</v>
      </c>
      <c r="AG1041" t="s">
        <v>2779</v>
      </c>
      <c r="AH1041" t="s">
        <v>3295</v>
      </c>
    </row>
    <row r="1042" spans="1:34" x14ac:dyDescent="0.25">
      <c r="A1042">
        <v>2009</v>
      </c>
      <c r="C1042" s="185"/>
      <c r="D1042" t="s">
        <v>24</v>
      </c>
      <c r="E1042" t="s">
        <v>386</v>
      </c>
      <c r="F1042" t="s">
        <v>234</v>
      </c>
      <c r="G1042" t="s">
        <v>1197</v>
      </c>
      <c r="H1042" t="s">
        <v>3296</v>
      </c>
      <c r="I1042">
        <v>12596</v>
      </c>
      <c r="J1042" t="s">
        <v>234</v>
      </c>
      <c r="K1042" t="s">
        <v>3297</v>
      </c>
      <c r="L1042" t="s">
        <v>386</v>
      </c>
      <c r="M1042" t="s">
        <v>1193</v>
      </c>
      <c r="N1042">
        <v>12596</v>
      </c>
      <c r="O1042">
        <v>37</v>
      </c>
      <c r="R1042" t="s">
        <v>398</v>
      </c>
      <c r="T1042">
        <v>260</v>
      </c>
      <c r="V1042" t="s">
        <v>1216</v>
      </c>
      <c r="W1042" t="s">
        <v>1216</v>
      </c>
      <c r="X1042">
        <v>260</v>
      </c>
      <c r="Z1042" t="s">
        <v>1085</v>
      </c>
      <c r="AA1042" t="s">
        <v>387</v>
      </c>
      <c r="AB1042">
        <v>29000</v>
      </c>
      <c r="AC1042">
        <v>4708</v>
      </c>
      <c r="AD1042" t="s">
        <v>3298</v>
      </c>
      <c r="AE1042">
        <v>2172</v>
      </c>
      <c r="AF1042" t="s">
        <v>3299</v>
      </c>
      <c r="AG1042" t="s">
        <v>3300</v>
      </c>
      <c r="AH1042" t="s">
        <v>3301</v>
      </c>
    </row>
    <row r="1043" spans="1:34" x14ac:dyDescent="0.25">
      <c r="A1043">
        <v>1462</v>
      </c>
      <c r="C1043" s="185"/>
      <c r="E1043" t="s">
        <v>386</v>
      </c>
      <c r="F1043" t="s">
        <v>3302</v>
      </c>
      <c r="G1043" t="s">
        <v>1197</v>
      </c>
      <c r="I1043">
        <v>12614</v>
      </c>
      <c r="J1043" t="s">
        <v>3302</v>
      </c>
      <c r="K1043" t="s">
        <v>3303</v>
      </c>
      <c r="L1043" t="s">
        <v>386</v>
      </c>
      <c r="M1043" t="s">
        <v>1193</v>
      </c>
      <c r="N1043">
        <v>12614</v>
      </c>
      <c r="O1043">
        <v>0</v>
      </c>
      <c r="R1043" t="s">
        <v>398</v>
      </c>
      <c r="T1043">
        <v>200</v>
      </c>
      <c r="V1043" t="s">
        <v>1199</v>
      </c>
      <c r="Z1043" t="s">
        <v>998</v>
      </c>
      <c r="AA1043" t="s">
        <v>387</v>
      </c>
      <c r="AB1043">
        <v>0</v>
      </c>
      <c r="AC1043">
        <v>4712</v>
      </c>
      <c r="AD1043" t="s">
        <v>3304</v>
      </c>
      <c r="AE1043">
        <v>0</v>
      </c>
      <c r="AF1043" t="s">
        <v>1188</v>
      </c>
      <c r="AG1043" t="s">
        <v>3305</v>
      </c>
      <c r="AH1043" t="s">
        <v>3306</v>
      </c>
    </row>
    <row r="1044" spans="1:34" x14ac:dyDescent="0.25">
      <c r="A1044">
        <v>2011</v>
      </c>
      <c r="C1044" s="185"/>
      <c r="E1044" t="s">
        <v>386</v>
      </c>
      <c r="F1044" t="s">
        <v>529</v>
      </c>
      <c r="G1044" t="s">
        <v>1192</v>
      </c>
      <c r="H1044" t="s">
        <v>3307</v>
      </c>
      <c r="I1044">
        <v>12616</v>
      </c>
      <c r="J1044" t="s">
        <v>529</v>
      </c>
      <c r="K1044" t="s">
        <v>529</v>
      </c>
      <c r="L1044" t="s">
        <v>386</v>
      </c>
      <c r="M1044" t="s">
        <v>1193</v>
      </c>
      <c r="N1044">
        <v>12616</v>
      </c>
      <c r="O1044">
        <v>37</v>
      </c>
      <c r="R1044" t="s">
        <v>398</v>
      </c>
      <c r="T1044">
        <v>103</v>
      </c>
      <c r="V1044" t="s">
        <v>1530</v>
      </c>
      <c r="W1044" t="s">
        <v>1186</v>
      </c>
      <c r="X1044">
        <v>0</v>
      </c>
      <c r="Z1044" t="s">
        <v>3308</v>
      </c>
      <c r="AA1044" t="s">
        <v>387</v>
      </c>
      <c r="AB1044">
        <v>29000</v>
      </c>
      <c r="AC1044">
        <v>4714</v>
      </c>
      <c r="AD1044" t="s">
        <v>3309</v>
      </c>
      <c r="AE1044">
        <v>2174</v>
      </c>
      <c r="AF1044" t="s">
        <v>3310</v>
      </c>
      <c r="AG1044" t="s">
        <v>3311</v>
      </c>
      <c r="AH1044" t="s">
        <v>3312</v>
      </c>
    </row>
    <row r="1045" spans="1:34" x14ac:dyDescent="0.25">
      <c r="A1045">
        <v>128</v>
      </c>
      <c r="C1045" s="185"/>
      <c r="E1045" t="s">
        <v>386</v>
      </c>
      <c r="F1045" t="s">
        <v>3313</v>
      </c>
      <c r="G1045" t="s">
        <v>1197</v>
      </c>
      <c r="H1045" t="s">
        <v>3314</v>
      </c>
      <c r="I1045">
        <v>12668</v>
      </c>
      <c r="J1045" t="s">
        <v>3313</v>
      </c>
      <c r="K1045" t="s">
        <v>3315</v>
      </c>
      <c r="L1045" t="s">
        <v>386</v>
      </c>
      <c r="M1045" t="s">
        <v>1193</v>
      </c>
      <c r="N1045">
        <v>12668</v>
      </c>
      <c r="O1045">
        <v>0</v>
      </c>
      <c r="R1045" t="s">
        <v>1208</v>
      </c>
      <c r="T1045">
        <v>571</v>
      </c>
      <c r="V1045" t="s">
        <v>2003</v>
      </c>
      <c r="W1045" t="s">
        <v>2067</v>
      </c>
      <c r="X1045">
        <v>304</v>
      </c>
      <c r="Z1045" t="s">
        <v>991</v>
      </c>
      <c r="AA1045" t="s">
        <v>387</v>
      </c>
      <c r="AB1045">
        <v>0</v>
      </c>
      <c r="AC1045">
        <v>4730</v>
      </c>
      <c r="AD1045" t="s">
        <v>3316</v>
      </c>
      <c r="AE1045">
        <v>1</v>
      </c>
      <c r="AF1045" t="s">
        <v>1922</v>
      </c>
      <c r="AG1045" t="s">
        <v>3317</v>
      </c>
      <c r="AH1045" t="s">
        <v>3318</v>
      </c>
    </row>
    <row r="1046" spans="1:34" x14ac:dyDescent="0.25">
      <c r="A1046">
        <v>2032</v>
      </c>
      <c r="C1046" s="185"/>
      <c r="D1046" t="s">
        <v>157</v>
      </c>
      <c r="E1046" t="s">
        <v>386</v>
      </c>
      <c r="F1046" t="s">
        <v>3319</v>
      </c>
      <c r="G1046" t="s">
        <v>1192</v>
      </c>
      <c r="H1046" t="s">
        <v>3320</v>
      </c>
      <c r="I1046">
        <v>12670</v>
      </c>
      <c r="J1046" t="s">
        <v>3319</v>
      </c>
      <c r="K1046" t="s">
        <v>3319</v>
      </c>
      <c r="L1046" t="s">
        <v>386</v>
      </c>
      <c r="M1046" t="s">
        <v>1184</v>
      </c>
      <c r="N1046">
        <v>12670</v>
      </c>
      <c r="O1046">
        <v>0</v>
      </c>
      <c r="R1046" t="s">
        <v>1208</v>
      </c>
      <c r="T1046">
        <v>246</v>
      </c>
      <c r="V1046" t="s">
        <v>3321</v>
      </c>
      <c r="W1046" t="s">
        <v>1216</v>
      </c>
      <c r="X1046">
        <v>260</v>
      </c>
      <c r="Z1046" t="s">
        <v>3322</v>
      </c>
      <c r="AA1046" t="s">
        <v>387</v>
      </c>
      <c r="AB1046">
        <v>0</v>
      </c>
      <c r="AC1046">
        <v>5940</v>
      </c>
      <c r="AD1046" t="s">
        <v>3323</v>
      </c>
      <c r="AE1046">
        <v>1</v>
      </c>
      <c r="AF1046" t="s">
        <v>1922</v>
      </c>
      <c r="AG1046" t="s">
        <v>3324</v>
      </c>
    </row>
    <row r="1047" spans="1:34" x14ac:dyDescent="0.25">
      <c r="A1047">
        <v>1293</v>
      </c>
      <c r="C1047" s="185"/>
      <c r="E1047" t="s">
        <v>386</v>
      </c>
      <c r="F1047" t="s">
        <v>3325</v>
      </c>
      <c r="H1047" t="s">
        <v>3326</v>
      </c>
      <c r="I1047">
        <v>12681</v>
      </c>
      <c r="J1047" t="s">
        <v>3325</v>
      </c>
      <c r="K1047" t="s">
        <v>3325</v>
      </c>
      <c r="L1047" t="s">
        <v>386</v>
      </c>
      <c r="M1047" t="s">
        <v>1184</v>
      </c>
      <c r="N1047">
        <v>12681</v>
      </c>
      <c r="O1047">
        <v>0</v>
      </c>
      <c r="R1047" t="s">
        <v>1208</v>
      </c>
      <c r="T1047">
        <v>388</v>
      </c>
      <c r="V1047" t="s">
        <v>1712</v>
      </c>
      <c r="W1047" t="s">
        <v>1215</v>
      </c>
      <c r="X1047">
        <v>259</v>
      </c>
      <c r="Z1047" t="s">
        <v>3327</v>
      </c>
      <c r="AA1047" t="s">
        <v>387</v>
      </c>
      <c r="AB1047">
        <v>18000</v>
      </c>
      <c r="AC1047">
        <v>4733</v>
      </c>
      <c r="AD1047" t="s">
        <v>3328</v>
      </c>
      <c r="AE1047">
        <v>1</v>
      </c>
      <c r="AF1047" t="s">
        <v>1922</v>
      </c>
      <c r="AG1047" t="s">
        <v>3329</v>
      </c>
    </row>
    <row r="1048" spans="1:34" x14ac:dyDescent="0.25">
      <c r="A1048">
        <v>1293</v>
      </c>
      <c r="C1048" s="185"/>
      <c r="E1048" t="s">
        <v>386</v>
      </c>
      <c r="F1048" t="s">
        <v>3330</v>
      </c>
      <c r="H1048" t="s">
        <v>3331</v>
      </c>
      <c r="I1048">
        <v>12682</v>
      </c>
      <c r="J1048" t="s">
        <v>3330</v>
      </c>
      <c r="K1048" t="s">
        <v>3330</v>
      </c>
      <c r="L1048" t="s">
        <v>386</v>
      </c>
      <c r="M1048" t="s">
        <v>1184</v>
      </c>
      <c r="N1048">
        <v>12682</v>
      </c>
      <c r="O1048">
        <v>0</v>
      </c>
      <c r="R1048" t="s">
        <v>1208</v>
      </c>
      <c r="T1048">
        <v>388</v>
      </c>
      <c r="V1048" t="s">
        <v>1712</v>
      </c>
      <c r="W1048" t="s">
        <v>1215</v>
      </c>
      <c r="X1048">
        <v>259</v>
      </c>
      <c r="Z1048" t="s">
        <v>3327</v>
      </c>
      <c r="AA1048" t="s">
        <v>387</v>
      </c>
      <c r="AB1048">
        <v>18000</v>
      </c>
      <c r="AC1048">
        <v>4734</v>
      </c>
      <c r="AD1048" t="s">
        <v>3332</v>
      </c>
      <c r="AE1048">
        <v>2185</v>
      </c>
      <c r="AF1048" t="s">
        <v>3333</v>
      </c>
      <c r="AG1048" t="s">
        <v>3334</v>
      </c>
    </row>
    <row r="1049" spans="1:34" x14ac:dyDescent="0.25">
      <c r="A1049">
        <v>2020</v>
      </c>
      <c r="C1049" s="185"/>
      <c r="E1049" t="s">
        <v>386</v>
      </c>
      <c r="F1049" t="s">
        <v>3335</v>
      </c>
      <c r="G1049" t="s">
        <v>1197</v>
      </c>
      <c r="I1049">
        <v>12774</v>
      </c>
      <c r="J1049" t="s">
        <v>3335</v>
      </c>
      <c r="K1049" t="s">
        <v>3336</v>
      </c>
      <c r="L1049" t="s">
        <v>386</v>
      </c>
      <c r="M1049" t="s">
        <v>1193</v>
      </c>
      <c r="N1049">
        <v>12774</v>
      </c>
      <c r="O1049">
        <v>0</v>
      </c>
      <c r="R1049" t="s">
        <v>1208</v>
      </c>
      <c r="T1049">
        <v>340</v>
      </c>
      <c r="V1049" t="s">
        <v>1200</v>
      </c>
      <c r="W1049" t="s">
        <v>1200</v>
      </c>
      <c r="X1049">
        <v>340</v>
      </c>
      <c r="Z1049" t="s">
        <v>3337</v>
      </c>
      <c r="AA1049" t="s">
        <v>387</v>
      </c>
      <c r="AB1049">
        <v>0</v>
      </c>
      <c r="AC1049">
        <v>4772</v>
      </c>
      <c r="AD1049" t="s">
        <v>3338</v>
      </c>
      <c r="AE1049">
        <v>0</v>
      </c>
      <c r="AF1049" t="s">
        <v>1188</v>
      </c>
      <c r="AG1049" t="s">
        <v>3161</v>
      </c>
    </row>
    <row r="1050" spans="1:34" x14ac:dyDescent="0.25">
      <c r="A1050">
        <v>39</v>
      </c>
      <c r="C1050" s="185"/>
      <c r="E1050" t="s">
        <v>386</v>
      </c>
      <c r="F1050" t="s">
        <v>3339</v>
      </c>
      <c r="G1050" t="s">
        <v>1192</v>
      </c>
      <c r="H1050" t="s">
        <v>3340</v>
      </c>
      <c r="I1050">
        <v>12777</v>
      </c>
      <c r="J1050" t="s">
        <v>3339</v>
      </c>
      <c r="K1050" t="s">
        <v>3341</v>
      </c>
      <c r="L1050" t="s">
        <v>386</v>
      </c>
      <c r="M1050" t="s">
        <v>1184</v>
      </c>
      <c r="N1050">
        <v>12777</v>
      </c>
      <c r="O1050">
        <v>0</v>
      </c>
      <c r="R1050" t="s">
        <v>1208</v>
      </c>
      <c r="T1050">
        <v>560</v>
      </c>
      <c r="V1050" t="s">
        <v>2602</v>
      </c>
      <c r="W1050" t="s">
        <v>1216</v>
      </c>
      <c r="X1050">
        <v>260</v>
      </c>
      <c r="Z1050" t="s">
        <v>2303</v>
      </c>
      <c r="AA1050" t="s">
        <v>387</v>
      </c>
      <c r="AB1050">
        <v>0</v>
      </c>
      <c r="AC1050">
        <v>5784</v>
      </c>
      <c r="AD1050" t="s">
        <v>3342</v>
      </c>
      <c r="AE1050">
        <v>303</v>
      </c>
      <c r="AF1050" t="s">
        <v>3343</v>
      </c>
      <c r="AG1050" t="s">
        <v>3344</v>
      </c>
    </row>
    <row r="1051" spans="1:34" x14ac:dyDescent="0.25">
      <c r="A1051">
        <v>39</v>
      </c>
      <c r="C1051" s="185"/>
      <c r="E1051" t="s">
        <v>386</v>
      </c>
      <c r="F1051" t="s">
        <v>3345</v>
      </c>
      <c r="G1051" t="s">
        <v>1192</v>
      </c>
      <c r="H1051" t="s">
        <v>3346</v>
      </c>
      <c r="I1051">
        <v>12778</v>
      </c>
      <c r="J1051" t="s">
        <v>3345</v>
      </c>
      <c r="K1051" t="s">
        <v>3345</v>
      </c>
      <c r="L1051" t="s">
        <v>386</v>
      </c>
      <c r="M1051" t="s">
        <v>1184</v>
      </c>
      <c r="N1051">
        <v>12778</v>
      </c>
      <c r="O1051">
        <v>0</v>
      </c>
      <c r="R1051" t="s">
        <v>1208</v>
      </c>
      <c r="T1051">
        <v>260</v>
      </c>
      <c r="V1051" t="s">
        <v>1216</v>
      </c>
      <c r="W1051" t="s">
        <v>1199</v>
      </c>
      <c r="X1051">
        <v>200</v>
      </c>
      <c r="Z1051" t="s">
        <v>2303</v>
      </c>
      <c r="AA1051" t="s">
        <v>387</v>
      </c>
      <c r="AB1051">
        <v>0</v>
      </c>
      <c r="AC1051">
        <v>5996</v>
      </c>
      <c r="AD1051" t="s">
        <v>3347</v>
      </c>
      <c r="AE1051">
        <v>260</v>
      </c>
      <c r="AF1051" t="s">
        <v>3125</v>
      </c>
      <c r="AG1051" t="s">
        <v>3348</v>
      </c>
      <c r="AH1051" t="s">
        <v>3349</v>
      </c>
    </row>
    <row r="1052" spans="1:34" x14ac:dyDescent="0.25">
      <c r="A1052">
        <v>1</v>
      </c>
      <c r="C1052" s="185"/>
      <c r="E1052" t="s">
        <v>386</v>
      </c>
      <c r="F1052" t="s">
        <v>3350</v>
      </c>
      <c r="G1052" t="s">
        <v>1192</v>
      </c>
      <c r="I1052">
        <v>12779</v>
      </c>
      <c r="J1052" t="s">
        <v>3350</v>
      </c>
      <c r="K1052" t="s">
        <v>3350</v>
      </c>
      <c r="L1052" t="s">
        <v>386</v>
      </c>
      <c r="M1052" t="s">
        <v>1184</v>
      </c>
      <c r="N1052">
        <v>12779</v>
      </c>
      <c r="O1052">
        <v>0</v>
      </c>
      <c r="R1052" t="s">
        <v>1208</v>
      </c>
      <c r="T1052">
        <v>260</v>
      </c>
      <c r="V1052" t="s">
        <v>1216</v>
      </c>
      <c r="W1052" t="s">
        <v>3351</v>
      </c>
      <c r="X1052">
        <v>494</v>
      </c>
      <c r="Z1052" t="s">
        <v>865</v>
      </c>
      <c r="AA1052" t="s">
        <v>387</v>
      </c>
      <c r="AB1052">
        <v>0</v>
      </c>
      <c r="AC1052">
        <v>0</v>
      </c>
      <c r="AD1052" t="s">
        <v>1187</v>
      </c>
      <c r="AE1052">
        <v>0</v>
      </c>
      <c r="AF1052" t="s">
        <v>1188</v>
      </c>
    </row>
    <row r="1053" spans="1:34" x14ac:dyDescent="0.25">
      <c r="A1053">
        <v>2021</v>
      </c>
      <c r="C1053" s="185"/>
      <c r="E1053" t="s">
        <v>386</v>
      </c>
      <c r="F1053" t="s">
        <v>3352</v>
      </c>
      <c r="G1053" t="s">
        <v>1197</v>
      </c>
      <c r="I1053">
        <v>12782</v>
      </c>
      <c r="J1053" t="s">
        <v>3352</v>
      </c>
      <c r="K1053" t="s">
        <v>3352</v>
      </c>
      <c r="L1053" t="s">
        <v>386</v>
      </c>
      <c r="M1053" t="s">
        <v>1193</v>
      </c>
      <c r="N1053">
        <v>12782</v>
      </c>
      <c r="O1053">
        <v>0</v>
      </c>
      <c r="R1053" t="s">
        <v>1208</v>
      </c>
      <c r="T1053">
        <v>200</v>
      </c>
      <c r="V1053" t="s">
        <v>1199</v>
      </c>
      <c r="Z1053" t="s">
        <v>3353</v>
      </c>
      <c r="AA1053" t="s">
        <v>387</v>
      </c>
      <c r="AB1053">
        <v>0</v>
      </c>
      <c r="AC1053">
        <v>4774</v>
      </c>
      <c r="AD1053" t="s">
        <v>3354</v>
      </c>
      <c r="AE1053">
        <v>2200</v>
      </c>
      <c r="AF1053" t="s">
        <v>3355</v>
      </c>
      <c r="AG1053" t="s">
        <v>3356</v>
      </c>
      <c r="AH1053" t="s">
        <v>3357</v>
      </c>
    </row>
    <row r="1054" spans="1:34" x14ac:dyDescent="0.25">
      <c r="A1054">
        <v>2022</v>
      </c>
      <c r="C1054" s="185"/>
      <c r="E1054" t="s">
        <v>386</v>
      </c>
      <c r="F1054" t="s">
        <v>930</v>
      </c>
      <c r="G1054" t="s">
        <v>1192</v>
      </c>
      <c r="I1054">
        <v>12792</v>
      </c>
      <c r="J1054" t="s">
        <v>930</v>
      </c>
      <c r="K1054" t="s">
        <v>3358</v>
      </c>
      <c r="L1054" t="s">
        <v>386</v>
      </c>
      <c r="M1054" t="s">
        <v>1193</v>
      </c>
      <c r="N1054">
        <v>12792</v>
      </c>
      <c r="O1054">
        <v>0</v>
      </c>
      <c r="T1054">
        <v>220</v>
      </c>
      <c r="V1054" t="s">
        <v>1194</v>
      </c>
      <c r="W1054" t="s">
        <v>1194</v>
      </c>
      <c r="X1054">
        <v>220</v>
      </c>
      <c r="Z1054" t="s">
        <v>932</v>
      </c>
      <c r="AA1054" t="s">
        <v>387</v>
      </c>
      <c r="AB1054">
        <v>0</v>
      </c>
      <c r="AC1054">
        <v>4778</v>
      </c>
      <c r="AD1054" t="s">
        <v>3359</v>
      </c>
      <c r="AE1054">
        <v>0</v>
      </c>
      <c r="AF1054" t="s">
        <v>1188</v>
      </c>
      <c r="AG1054" t="s">
        <v>3084</v>
      </c>
      <c r="AH1054" t="s">
        <v>3360</v>
      </c>
    </row>
    <row r="1055" spans="1:34" x14ac:dyDescent="0.25">
      <c r="A1055">
        <v>1390</v>
      </c>
      <c r="C1055" s="185"/>
      <c r="E1055" t="s">
        <v>386</v>
      </c>
      <c r="F1055" t="s">
        <v>3361</v>
      </c>
      <c r="G1055" t="s">
        <v>1197</v>
      </c>
      <c r="I1055">
        <v>12807</v>
      </c>
      <c r="J1055" t="s">
        <v>3361</v>
      </c>
      <c r="K1055" t="s">
        <v>3361</v>
      </c>
      <c r="L1055" t="s">
        <v>386</v>
      </c>
      <c r="M1055" t="s">
        <v>1193</v>
      </c>
      <c r="N1055">
        <v>12807</v>
      </c>
      <c r="O1055">
        <v>0</v>
      </c>
      <c r="R1055" t="s">
        <v>1208</v>
      </c>
      <c r="T1055">
        <v>304</v>
      </c>
      <c r="V1055" t="s">
        <v>2067</v>
      </c>
      <c r="Z1055" t="s">
        <v>3362</v>
      </c>
      <c r="AA1055" t="s">
        <v>387</v>
      </c>
      <c r="AB1055">
        <v>7000</v>
      </c>
      <c r="AC1055">
        <v>4785</v>
      </c>
      <c r="AD1055" t="s">
        <v>3363</v>
      </c>
      <c r="AE1055">
        <v>2204</v>
      </c>
      <c r="AF1055" t="s">
        <v>3364</v>
      </c>
      <c r="AG1055" t="s">
        <v>1244</v>
      </c>
      <c r="AH1055" t="s">
        <v>3365</v>
      </c>
    </row>
    <row r="1056" spans="1:34" x14ac:dyDescent="0.25">
      <c r="A1056">
        <v>69</v>
      </c>
      <c r="C1056" s="185"/>
      <c r="E1056" t="s">
        <v>386</v>
      </c>
      <c r="F1056" t="s">
        <v>3366</v>
      </c>
      <c r="G1056" t="s">
        <v>1192</v>
      </c>
      <c r="H1056" t="s">
        <v>3367</v>
      </c>
      <c r="I1056">
        <v>12846</v>
      </c>
      <c r="J1056" t="s">
        <v>3366</v>
      </c>
      <c r="K1056" t="s">
        <v>3366</v>
      </c>
      <c r="L1056" t="s">
        <v>386</v>
      </c>
      <c r="M1056" t="s">
        <v>1184</v>
      </c>
      <c r="N1056">
        <v>12846</v>
      </c>
      <c r="O1056">
        <v>0</v>
      </c>
      <c r="T1056">
        <v>388</v>
      </c>
      <c r="V1056" t="s">
        <v>1712</v>
      </c>
      <c r="W1056" t="s">
        <v>1216</v>
      </c>
      <c r="X1056">
        <v>260</v>
      </c>
      <c r="Z1056" t="s">
        <v>2437</v>
      </c>
      <c r="AA1056" t="s">
        <v>387</v>
      </c>
      <c r="AB1056">
        <v>0</v>
      </c>
      <c r="AC1056">
        <v>4795</v>
      </c>
      <c r="AD1056" t="s">
        <v>3368</v>
      </c>
      <c r="AE1056">
        <v>1</v>
      </c>
      <c r="AF1056" t="s">
        <v>1922</v>
      </c>
      <c r="AG1056" t="s">
        <v>3369</v>
      </c>
    </row>
    <row r="1057" spans="1:34" x14ac:dyDescent="0.25">
      <c r="A1057">
        <v>1</v>
      </c>
      <c r="C1057" s="185"/>
      <c r="E1057" t="s">
        <v>386</v>
      </c>
      <c r="F1057" t="s">
        <v>3370</v>
      </c>
      <c r="G1057" t="s">
        <v>1197</v>
      </c>
      <c r="H1057" t="s">
        <v>3371</v>
      </c>
      <c r="I1057">
        <v>12884</v>
      </c>
      <c r="J1057" t="s">
        <v>3370</v>
      </c>
      <c r="K1057" t="s">
        <v>3372</v>
      </c>
      <c r="L1057" t="s">
        <v>386</v>
      </c>
      <c r="M1057" t="s">
        <v>1193</v>
      </c>
      <c r="N1057">
        <v>12884</v>
      </c>
      <c r="O1057">
        <v>0</v>
      </c>
      <c r="R1057" t="s">
        <v>1208</v>
      </c>
      <c r="T1057">
        <v>571</v>
      </c>
      <c r="V1057" t="s">
        <v>2003</v>
      </c>
      <c r="W1057" t="s">
        <v>2067</v>
      </c>
      <c r="X1057">
        <v>304</v>
      </c>
      <c r="Z1057" t="s">
        <v>865</v>
      </c>
      <c r="AA1057" t="s">
        <v>387</v>
      </c>
      <c r="AB1057">
        <v>0</v>
      </c>
      <c r="AC1057">
        <v>3028</v>
      </c>
      <c r="AD1057" t="s">
        <v>3373</v>
      </c>
      <c r="AE1057">
        <v>25</v>
      </c>
      <c r="AF1057" t="s">
        <v>2017</v>
      </c>
      <c r="AG1057" t="s">
        <v>3374</v>
      </c>
      <c r="AH1057" t="s">
        <v>3375</v>
      </c>
    </row>
    <row r="1058" spans="1:34" x14ac:dyDescent="0.25">
      <c r="A1058">
        <v>1488</v>
      </c>
      <c r="C1058" s="185"/>
      <c r="E1058" t="s">
        <v>386</v>
      </c>
      <c r="F1058" t="s">
        <v>3376</v>
      </c>
      <c r="G1058" t="s">
        <v>1192</v>
      </c>
      <c r="I1058">
        <v>12896</v>
      </c>
      <c r="J1058" t="s">
        <v>3376</v>
      </c>
      <c r="K1058" t="s">
        <v>3377</v>
      </c>
      <c r="L1058" t="s">
        <v>386</v>
      </c>
      <c r="M1058" t="s">
        <v>1193</v>
      </c>
      <c r="N1058">
        <v>12896</v>
      </c>
      <c r="O1058">
        <v>0</v>
      </c>
      <c r="T1058">
        <v>260</v>
      </c>
      <c r="V1058" t="s">
        <v>1216</v>
      </c>
      <c r="Z1058" t="s">
        <v>2366</v>
      </c>
      <c r="AA1058" t="s">
        <v>387</v>
      </c>
      <c r="AB1058">
        <v>0</v>
      </c>
      <c r="AC1058">
        <v>4810</v>
      </c>
      <c r="AD1058" t="s">
        <v>3378</v>
      </c>
      <c r="AE1058">
        <v>0</v>
      </c>
      <c r="AF1058" t="s">
        <v>1188</v>
      </c>
      <c r="AH1058" t="s">
        <v>3379</v>
      </c>
    </row>
    <row r="1059" spans="1:34" x14ac:dyDescent="0.25">
      <c r="A1059">
        <v>1463</v>
      </c>
      <c r="C1059" s="185"/>
      <c r="E1059" t="s">
        <v>386</v>
      </c>
      <c r="F1059" t="s">
        <v>3380</v>
      </c>
      <c r="G1059" t="s">
        <v>1192</v>
      </c>
      <c r="I1059">
        <v>12909</v>
      </c>
      <c r="J1059" t="s">
        <v>3380</v>
      </c>
      <c r="K1059" t="s">
        <v>3380</v>
      </c>
      <c r="L1059" t="s">
        <v>386</v>
      </c>
      <c r="M1059" t="s">
        <v>1193</v>
      </c>
      <c r="N1059">
        <v>12909</v>
      </c>
      <c r="O1059">
        <v>0</v>
      </c>
      <c r="T1059">
        <v>260</v>
      </c>
      <c r="V1059" t="s">
        <v>1216</v>
      </c>
      <c r="Z1059" t="s">
        <v>1070</v>
      </c>
      <c r="AA1059" t="s">
        <v>387</v>
      </c>
      <c r="AB1059">
        <v>0</v>
      </c>
      <c r="AC1059">
        <v>4812</v>
      </c>
      <c r="AD1059" t="s">
        <v>3381</v>
      </c>
      <c r="AE1059">
        <v>0</v>
      </c>
      <c r="AF1059" t="s">
        <v>1188</v>
      </c>
    </row>
    <row r="1060" spans="1:34" x14ac:dyDescent="0.25">
      <c r="A1060">
        <v>2030</v>
      </c>
      <c r="C1060" s="185"/>
      <c r="E1060" t="s">
        <v>386</v>
      </c>
      <c r="F1060" t="s">
        <v>3382</v>
      </c>
      <c r="G1060" t="s">
        <v>1192</v>
      </c>
      <c r="I1060">
        <v>12910</v>
      </c>
      <c r="J1060" t="s">
        <v>3382</v>
      </c>
      <c r="K1060" t="s">
        <v>3383</v>
      </c>
      <c r="L1060" t="s">
        <v>386</v>
      </c>
      <c r="M1060" t="s">
        <v>1193</v>
      </c>
      <c r="N1060">
        <v>12910</v>
      </c>
      <c r="O1060">
        <v>0</v>
      </c>
      <c r="T1060">
        <v>260</v>
      </c>
      <c r="V1060" t="s">
        <v>1216</v>
      </c>
      <c r="Z1060" t="s">
        <v>3384</v>
      </c>
      <c r="AA1060" t="s">
        <v>387</v>
      </c>
      <c r="AB1060">
        <v>0</v>
      </c>
      <c r="AC1060">
        <v>4813</v>
      </c>
      <c r="AD1060" t="s">
        <v>3385</v>
      </c>
      <c r="AE1060">
        <v>0</v>
      </c>
      <c r="AF1060" t="s">
        <v>1188</v>
      </c>
      <c r="AH1060" t="s">
        <v>3386</v>
      </c>
    </row>
    <row r="1061" spans="1:34" x14ac:dyDescent="0.25">
      <c r="A1061">
        <v>2031</v>
      </c>
      <c r="C1061" s="185"/>
      <c r="E1061" t="s">
        <v>386</v>
      </c>
      <c r="F1061" t="s">
        <v>3387</v>
      </c>
      <c r="G1061" t="s">
        <v>1197</v>
      </c>
      <c r="I1061">
        <v>12920</v>
      </c>
      <c r="J1061" t="s">
        <v>3387</v>
      </c>
      <c r="K1061" t="s">
        <v>3388</v>
      </c>
      <c r="L1061" t="s">
        <v>386</v>
      </c>
      <c r="M1061" t="s">
        <v>1193</v>
      </c>
      <c r="N1061">
        <v>12920</v>
      </c>
      <c r="O1061">
        <v>0</v>
      </c>
      <c r="R1061" t="s">
        <v>398</v>
      </c>
      <c r="T1061">
        <v>304</v>
      </c>
      <c r="V1061" t="s">
        <v>2067</v>
      </c>
      <c r="Z1061" t="s">
        <v>3389</v>
      </c>
      <c r="AA1061" t="s">
        <v>387</v>
      </c>
      <c r="AB1061">
        <v>13000</v>
      </c>
      <c r="AC1061">
        <v>4815</v>
      </c>
      <c r="AD1061" t="s">
        <v>3390</v>
      </c>
      <c r="AE1061">
        <v>2221</v>
      </c>
      <c r="AF1061" t="s">
        <v>3391</v>
      </c>
      <c r="AG1061" t="s">
        <v>1244</v>
      </c>
      <c r="AH1061" t="s">
        <v>3392</v>
      </c>
    </row>
    <row r="1062" spans="1:34" x14ac:dyDescent="0.25">
      <c r="A1062">
        <v>69</v>
      </c>
      <c r="C1062" s="185"/>
      <c r="E1062" t="s">
        <v>386</v>
      </c>
      <c r="F1062" t="s">
        <v>3393</v>
      </c>
      <c r="G1062" t="s">
        <v>1192</v>
      </c>
      <c r="H1062" t="s">
        <v>3394</v>
      </c>
      <c r="I1062">
        <v>12994</v>
      </c>
      <c r="J1062" t="s">
        <v>3393</v>
      </c>
      <c r="K1062" t="s">
        <v>3395</v>
      </c>
      <c r="L1062" t="s">
        <v>386</v>
      </c>
      <c r="M1062" t="s">
        <v>1184</v>
      </c>
      <c r="N1062">
        <v>12994</v>
      </c>
      <c r="O1062">
        <v>0</v>
      </c>
      <c r="T1062">
        <v>220</v>
      </c>
      <c r="V1062" t="s">
        <v>1194</v>
      </c>
      <c r="W1062" t="s">
        <v>1257</v>
      </c>
      <c r="X1062">
        <v>426</v>
      </c>
      <c r="Z1062" t="s">
        <v>2437</v>
      </c>
      <c r="AA1062" t="s">
        <v>387</v>
      </c>
      <c r="AB1062">
        <v>0</v>
      </c>
      <c r="AC1062">
        <v>5944</v>
      </c>
      <c r="AD1062" t="s">
        <v>3396</v>
      </c>
      <c r="AE1062">
        <v>2734</v>
      </c>
      <c r="AF1062" t="s">
        <v>3397</v>
      </c>
      <c r="AG1062" t="s">
        <v>3398</v>
      </c>
      <c r="AH1062" t="s">
        <v>3399</v>
      </c>
    </row>
    <row r="1063" spans="1:34" x14ac:dyDescent="0.25">
      <c r="A1063">
        <v>1</v>
      </c>
      <c r="C1063" s="185"/>
      <c r="E1063" t="s">
        <v>386</v>
      </c>
      <c r="F1063" t="s">
        <v>454</v>
      </c>
      <c r="G1063" t="s">
        <v>1192</v>
      </c>
      <c r="H1063" t="s">
        <v>3400</v>
      </c>
      <c r="I1063">
        <v>13069</v>
      </c>
      <c r="J1063" t="s">
        <v>454</v>
      </c>
      <c r="K1063" t="s">
        <v>454</v>
      </c>
      <c r="L1063" t="s">
        <v>386</v>
      </c>
      <c r="M1063" t="s">
        <v>1184</v>
      </c>
      <c r="N1063">
        <v>13069</v>
      </c>
      <c r="O1063">
        <v>0</v>
      </c>
      <c r="R1063" t="s">
        <v>398</v>
      </c>
      <c r="T1063">
        <v>260</v>
      </c>
      <c r="V1063" t="s">
        <v>1216</v>
      </c>
      <c r="W1063" t="s">
        <v>1530</v>
      </c>
      <c r="X1063">
        <v>103</v>
      </c>
      <c r="Z1063" t="s">
        <v>865</v>
      </c>
      <c r="AA1063" t="s">
        <v>387</v>
      </c>
      <c r="AB1063">
        <v>0</v>
      </c>
      <c r="AC1063">
        <v>1966</v>
      </c>
      <c r="AD1063" t="s">
        <v>3401</v>
      </c>
      <c r="AE1063">
        <v>270</v>
      </c>
      <c r="AF1063" t="s">
        <v>1030</v>
      </c>
      <c r="AG1063" t="s">
        <v>2456</v>
      </c>
    </row>
    <row r="1064" spans="1:34" x14ac:dyDescent="0.25">
      <c r="A1064">
        <v>1</v>
      </c>
      <c r="C1064" s="185"/>
      <c r="E1064" t="s">
        <v>386</v>
      </c>
      <c r="F1064" t="s">
        <v>3402</v>
      </c>
      <c r="G1064" t="s">
        <v>1192</v>
      </c>
      <c r="H1064" t="s">
        <v>2141</v>
      </c>
      <c r="I1064">
        <v>13087</v>
      </c>
      <c r="J1064" t="s">
        <v>3402</v>
      </c>
      <c r="K1064" t="s">
        <v>3402</v>
      </c>
      <c r="L1064" t="s">
        <v>386</v>
      </c>
      <c r="M1064" t="s">
        <v>1184</v>
      </c>
      <c r="N1064">
        <v>13087</v>
      </c>
      <c r="O1064">
        <v>0</v>
      </c>
      <c r="R1064" t="s">
        <v>1208</v>
      </c>
      <c r="T1064">
        <v>52</v>
      </c>
      <c r="V1064" t="s">
        <v>2024</v>
      </c>
      <c r="W1064" t="s">
        <v>1216</v>
      </c>
      <c r="X1064">
        <v>260</v>
      </c>
      <c r="Z1064" t="s">
        <v>865</v>
      </c>
      <c r="AA1064" t="s">
        <v>387</v>
      </c>
      <c r="AB1064">
        <v>0</v>
      </c>
      <c r="AC1064">
        <v>1975</v>
      </c>
      <c r="AD1064" t="s">
        <v>3403</v>
      </c>
      <c r="AE1064">
        <v>652</v>
      </c>
      <c r="AF1064" t="s">
        <v>2859</v>
      </c>
      <c r="AG1064" t="s">
        <v>3404</v>
      </c>
      <c r="AH1064" t="s">
        <v>3405</v>
      </c>
    </row>
    <row r="1065" spans="1:34" x14ac:dyDescent="0.25">
      <c r="A1065">
        <v>9</v>
      </c>
      <c r="C1065" s="185"/>
      <c r="E1065" t="s">
        <v>386</v>
      </c>
      <c r="F1065" t="s">
        <v>3406</v>
      </c>
      <c r="G1065" t="s">
        <v>1192</v>
      </c>
      <c r="H1065" t="s">
        <v>3407</v>
      </c>
      <c r="I1065">
        <v>13115</v>
      </c>
      <c r="J1065" t="s">
        <v>3406</v>
      </c>
      <c r="K1065" t="s">
        <v>3406</v>
      </c>
      <c r="L1065" t="s">
        <v>386</v>
      </c>
      <c r="M1065" t="s">
        <v>1193</v>
      </c>
      <c r="N1065">
        <v>13115</v>
      </c>
      <c r="O1065">
        <v>0</v>
      </c>
      <c r="R1065" t="s">
        <v>398</v>
      </c>
      <c r="T1065">
        <v>372</v>
      </c>
      <c r="V1065" t="s">
        <v>2073</v>
      </c>
      <c r="W1065" t="s">
        <v>1199</v>
      </c>
      <c r="X1065">
        <v>200</v>
      </c>
      <c r="Z1065" t="s">
        <v>864</v>
      </c>
      <c r="AA1065" t="s">
        <v>387</v>
      </c>
      <c r="AB1065">
        <v>0</v>
      </c>
      <c r="AC1065">
        <v>114</v>
      </c>
      <c r="AD1065" t="s">
        <v>3408</v>
      </c>
      <c r="AE1065">
        <v>1496</v>
      </c>
      <c r="AF1065" t="s">
        <v>3409</v>
      </c>
      <c r="AG1065" t="s">
        <v>3410</v>
      </c>
      <c r="AH1065" t="s">
        <v>3411</v>
      </c>
    </row>
    <row r="1066" spans="1:34" x14ac:dyDescent="0.25">
      <c r="A1066">
        <v>2040</v>
      </c>
      <c r="C1066" s="185"/>
      <c r="E1066" t="s">
        <v>386</v>
      </c>
      <c r="F1066" t="s">
        <v>3412</v>
      </c>
      <c r="G1066" t="s">
        <v>1192</v>
      </c>
      <c r="H1066" t="s">
        <v>3413</v>
      </c>
      <c r="I1066">
        <v>13121</v>
      </c>
      <c r="J1066" t="s">
        <v>3412</v>
      </c>
      <c r="K1066" t="s">
        <v>3412</v>
      </c>
      <c r="L1066" t="s">
        <v>386</v>
      </c>
      <c r="M1066" t="s">
        <v>1193</v>
      </c>
      <c r="N1066">
        <v>13121</v>
      </c>
      <c r="O1066">
        <v>0</v>
      </c>
      <c r="R1066" t="s">
        <v>1208</v>
      </c>
      <c r="T1066">
        <v>39</v>
      </c>
      <c r="V1066" t="s">
        <v>2144</v>
      </c>
      <c r="W1066" t="s">
        <v>2144</v>
      </c>
      <c r="X1066">
        <v>39</v>
      </c>
      <c r="Z1066" t="s">
        <v>3414</v>
      </c>
      <c r="AA1066" t="s">
        <v>387</v>
      </c>
      <c r="AB1066">
        <v>0</v>
      </c>
      <c r="AC1066">
        <v>4899</v>
      </c>
      <c r="AD1066" t="s">
        <v>3415</v>
      </c>
      <c r="AE1066">
        <v>0</v>
      </c>
      <c r="AF1066" t="s">
        <v>1188</v>
      </c>
      <c r="AG1066" t="s">
        <v>3416</v>
      </c>
      <c r="AH1066" t="s">
        <v>3417</v>
      </c>
    </row>
    <row r="1067" spans="1:34" x14ac:dyDescent="0.25">
      <c r="A1067">
        <v>1553</v>
      </c>
      <c r="C1067" s="185"/>
      <c r="D1067" t="s">
        <v>157</v>
      </c>
      <c r="E1067" t="s">
        <v>386</v>
      </c>
      <c r="F1067" t="s">
        <v>285</v>
      </c>
      <c r="G1067" t="s">
        <v>1192</v>
      </c>
      <c r="H1067" t="s">
        <v>1239</v>
      </c>
      <c r="I1067">
        <v>15214</v>
      </c>
      <c r="J1067" t="s">
        <v>3418</v>
      </c>
      <c r="K1067" t="s">
        <v>3418</v>
      </c>
      <c r="L1067" t="s">
        <v>386</v>
      </c>
      <c r="M1067" t="s">
        <v>1184</v>
      </c>
      <c r="N1067">
        <v>13181</v>
      </c>
      <c r="O1067">
        <v>59</v>
      </c>
      <c r="R1067" t="s">
        <v>1208</v>
      </c>
      <c r="T1067">
        <v>260</v>
      </c>
      <c r="V1067" t="s">
        <v>1216</v>
      </c>
      <c r="W1067" t="s">
        <v>1199</v>
      </c>
      <c r="X1067">
        <v>200</v>
      </c>
      <c r="Z1067" t="s">
        <v>968</v>
      </c>
      <c r="AA1067" t="s">
        <v>387</v>
      </c>
      <c r="AB1067">
        <v>51000</v>
      </c>
      <c r="AC1067">
        <v>5261</v>
      </c>
      <c r="AD1067" t="s">
        <v>3419</v>
      </c>
      <c r="AE1067">
        <v>1</v>
      </c>
      <c r="AF1067" t="s">
        <v>1922</v>
      </c>
      <c r="AG1067" t="s">
        <v>3420</v>
      </c>
    </row>
    <row r="1068" spans="1:34" x14ac:dyDescent="0.25">
      <c r="A1068">
        <v>49</v>
      </c>
      <c r="C1068" s="185"/>
      <c r="E1068" t="s">
        <v>386</v>
      </c>
      <c r="F1068" t="s">
        <v>3421</v>
      </c>
      <c r="G1068" t="s">
        <v>1192</v>
      </c>
      <c r="H1068" t="s">
        <v>3422</v>
      </c>
      <c r="I1068">
        <v>13211</v>
      </c>
      <c r="J1068" t="s">
        <v>3421</v>
      </c>
      <c r="K1068" t="s">
        <v>3423</v>
      </c>
      <c r="L1068" t="s">
        <v>386</v>
      </c>
      <c r="M1068" t="s">
        <v>1193</v>
      </c>
      <c r="N1068">
        <v>13211</v>
      </c>
      <c r="O1068">
        <v>0</v>
      </c>
      <c r="R1068" t="s">
        <v>1208</v>
      </c>
      <c r="T1068">
        <v>571</v>
      </c>
      <c r="V1068" t="s">
        <v>2003</v>
      </c>
      <c r="W1068" t="s">
        <v>1216</v>
      </c>
      <c r="X1068">
        <v>260</v>
      </c>
      <c r="Z1068" t="s">
        <v>3223</v>
      </c>
      <c r="AA1068" t="s">
        <v>387</v>
      </c>
      <c r="AB1068">
        <v>0</v>
      </c>
      <c r="AC1068">
        <v>4945</v>
      </c>
      <c r="AD1068" t="s">
        <v>3424</v>
      </c>
      <c r="AE1068">
        <v>2282</v>
      </c>
      <c r="AF1068" t="s">
        <v>3425</v>
      </c>
      <c r="AG1068" t="s">
        <v>2051</v>
      </c>
      <c r="AH1068" t="s">
        <v>3426</v>
      </c>
    </row>
    <row r="1069" spans="1:34" x14ac:dyDescent="0.25">
      <c r="A1069">
        <v>1</v>
      </c>
      <c r="C1069" s="185"/>
      <c r="E1069" t="s">
        <v>386</v>
      </c>
      <c r="F1069" t="s">
        <v>596</v>
      </c>
      <c r="G1069" t="s">
        <v>1192</v>
      </c>
      <c r="H1069" t="s">
        <v>3427</v>
      </c>
      <c r="I1069">
        <v>13234</v>
      </c>
      <c r="J1069" t="s">
        <v>596</v>
      </c>
      <c r="K1069" t="s">
        <v>596</v>
      </c>
      <c r="L1069" t="s">
        <v>386</v>
      </c>
      <c r="M1069" t="s">
        <v>1184</v>
      </c>
      <c r="N1069">
        <v>13234</v>
      </c>
      <c r="O1069">
        <v>0</v>
      </c>
      <c r="R1069" t="s">
        <v>1208</v>
      </c>
      <c r="T1069">
        <v>496</v>
      </c>
      <c r="V1069" t="s">
        <v>2246</v>
      </c>
      <c r="W1069" t="s">
        <v>2246</v>
      </c>
      <c r="X1069">
        <v>496</v>
      </c>
      <c r="Z1069" t="s">
        <v>865</v>
      </c>
      <c r="AA1069" t="s">
        <v>387</v>
      </c>
      <c r="AB1069">
        <v>0</v>
      </c>
      <c r="AC1069">
        <v>6266</v>
      </c>
      <c r="AD1069" t="s">
        <v>3428</v>
      </c>
      <c r="AE1069">
        <v>184</v>
      </c>
      <c r="AF1069" t="s">
        <v>3211</v>
      </c>
      <c r="AG1069" t="s">
        <v>3429</v>
      </c>
    </row>
    <row r="1070" spans="1:34" x14ac:dyDescent="0.25">
      <c r="A1070">
        <v>2020</v>
      </c>
      <c r="C1070" s="185"/>
      <c r="D1070" t="s">
        <v>24</v>
      </c>
      <c r="E1070" t="s">
        <v>386</v>
      </c>
      <c r="F1070" t="s">
        <v>3430</v>
      </c>
      <c r="H1070" t="s">
        <v>3431</v>
      </c>
      <c r="I1070">
        <v>13238</v>
      </c>
      <c r="J1070" t="s">
        <v>3430</v>
      </c>
      <c r="K1070" t="s">
        <v>3432</v>
      </c>
      <c r="L1070" t="s">
        <v>386</v>
      </c>
      <c r="M1070" t="s">
        <v>1193</v>
      </c>
      <c r="N1070">
        <v>13238</v>
      </c>
      <c r="O1070">
        <v>56</v>
      </c>
      <c r="R1070" t="s">
        <v>398</v>
      </c>
      <c r="T1070">
        <v>220</v>
      </c>
      <c r="V1070" t="s">
        <v>1194</v>
      </c>
      <c r="W1070" t="s">
        <v>2067</v>
      </c>
      <c r="X1070">
        <v>304</v>
      </c>
      <c r="Z1070" t="s">
        <v>3337</v>
      </c>
      <c r="AA1070" t="s">
        <v>387</v>
      </c>
      <c r="AB1070">
        <v>48000</v>
      </c>
      <c r="AC1070">
        <v>4956</v>
      </c>
      <c r="AD1070" t="s">
        <v>3433</v>
      </c>
      <c r="AE1070">
        <v>1</v>
      </c>
      <c r="AF1070" t="s">
        <v>1922</v>
      </c>
      <c r="AG1070" t="s">
        <v>3434</v>
      </c>
    </row>
    <row r="1071" spans="1:34" x14ac:dyDescent="0.25">
      <c r="A1071">
        <v>207</v>
      </c>
      <c r="C1071" s="185"/>
      <c r="D1071" t="s">
        <v>24</v>
      </c>
      <c r="E1071" t="s">
        <v>386</v>
      </c>
      <c r="F1071" t="s">
        <v>121</v>
      </c>
      <c r="G1071" t="s">
        <v>1197</v>
      </c>
      <c r="I1071">
        <v>13256</v>
      </c>
      <c r="J1071" t="s">
        <v>121</v>
      </c>
      <c r="K1071" t="s">
        <v>3435</v>
      </c>
      <c r="L1071" t="s">
        <v>386</v>
      </c>
      <c r="M1071" t="s">
        <v>1193</v>
      </c>
      <c r="N1071">
        <v>13256</v>
      </c>
      <c r="O1071">
        <v>56</v>
      </c>
      <c r="R1071" t="s">
        <v>398</v>
      </c>
      <c r="T1071">
        <v>220</v>
      </c>
      <c r="V1071" t="s">
        <v>1194</v>
      </c>
      <c r="W1071" t="s">
        <v>1216</v>
      </c>
      <c r="X1071">
        <v>260</v>
      </c>
      <c r="Z1071" t="s">
        <v>954</v>
      </c>
      <c r="AA1071" t="s">
        <v>387</v>
      </c>
      <c r="AB1071">
        <v>48000</v>
      </c>
      <c r="AC1071">
        <v>4965</v>
      </c>
      <c r="AD1071" t="s">
        <v>3436</v>
      </c>
      <c r="AE1071">
        <v>2293</v>
      </c>
      <c r="AF1071" t="s">
        <v>2261</v>
      </c>
      <c r="AG1071" t="s">
        <v>3437</v>
      </c>
      <c r="AH1071" t="s">
        <v>3438</v>
      </c>
    </row>
    <row r="1072" spans="1:34" x14ac:dyDescent="0.25">
      <c r="A1072">
        <v>1793</v>
      </c>
      <c r="C1072" s="185"/>
      <c r="E1072" t="s">
        <v>386</v>
      </c>
      <c r="F1072" t="s">
        <v>3439</v>
      </c>
      <c r="G1072" t="s">
        <v>1192</v>
      </c>
      <c r="H1072" t="s">
        <v>3440</v>
      </c>
      <c r="I1072">
        <v>13311</v>
      </c>
      <c r="J1072" t="s">
        <v>3439</v>
      </c>
      <c r="K1072" t="s">
        <v>3441</v>
      </c>
      <c r="L1072" t="s">
        <v>386</v>
      </c>
      <c r="M1072" t="s">
        <v>1193</v>
      </c>
      <c r="N1072">
        <v>13311</v>
      </c>
      <c r="O1072">
        <v>0</v>
      </c>
      <c r="R1072" t="s">
        <v>398</v>
      </c>
      <c r="T1072">
        <v>35</v>
      </c>
      <c r="V1072" t="s">
        <v>2015</v>
      </c>
      <c r="W1072" t="s">
        <v>2015</v>
      </c>
      <c r="X1072">
        <v>35</v>
      </c>
      <c r="Z1072" t="s">
        <v>3442</v>
      </c>
      <c r="AA1072" t="s">
        <v>387</v>
      </c>
      <c r="AB1072">
        <v>19000</v>
      </c>
      <c r="AC1072">
        <v>513</v>
      </c>
      <c r="AD1072" t="s">
        <v>3443</v>
      </c>
      <c r="AE1072">
        <v>2305</v>
      </c>
      <c r="AF1072" t="s">
        <v>3444</v>
      </c>
      <c r="AG1072" t="s">
        <v>1244</v>
      </c>
      <c r="AH1072" t="s">
        <v>3445</v>
      </c>
    </row>
    <row r="1073" spans="1:34" x14ac:dyDescent="0.25">
      <c r="A1073">
        <v>1009</v>
      </c>
      <c r="C1073" s="185"/>
      <c r="E1073" t="s">
        <v>386</v>
      </c>
      <c r="F1073" t="s">
        <v>3446</v>
      </c>
      <c r="G1073" t="s">
        <v>1197</v>
      </c>
      <c r="H1073" t="s">
        <v>3447</v>
      </c>
      <c r="I1073">
        <v>13324</v>
      </c>
      <c r="J1073" t="s">
        <v>3446</v>
      </c>
      <c r="K1073" t="s">
        <v>3446</v>
      </c>
      <c r="L1073" t="s">
        <v>386</v>
      </c>
      <c r="M1073" t="s">
        <v>1193</v>
      </c>
      <c r="N1073">
        <v>13324</v>
      </c>
      <c r="O1073">
        <v>0</v>
      </c>
      <c r="R1073" t="s">
        <v>1208</v>
      </c>
      <c r="T1073">
        <v>571</v>
      </c>
      <c r="V1073" t="s">
        <v>2003</v>
      </c>
      <c r="W1073" t="s">
        <v>2067</v>
      </c>
      <c r="X1073">
        <v>304</v>
      </c>
      <c r="Z1073" t="s">
        <v>3448</v>
      </c>
      <c r="AA1073" t="s">
        <v>387</v>
      </c>
      <c r="AB1073">
        <v>0</v>
      </c>
      <c r="AC1073">
        <v>4994</v>
      </c>
      <c r="AD1073" t="s">
        <v>3449</v>
      </c>
      <c r="AE1073">
        <v>1</v>
      </c>
      <c r="AF1073" t="s">
        <v>1922</v>
      </c>
      <c r="AG1073" t="s">
        <v>3450</v>
      </c>
      <c r="AH1073" t="s">
        <v>3451</v>
      </c>
    </row>
    <row r="1074" spans="1:34" x14ac:dyDescent="0.25">
      <c r="A1074">
        <v>1</v>
      </c>
      <c r="C1074" s="185"/>
      <c r="E1074" t="s">
        <v>386</v>
      </c>
      <c r="F1074" t="s">
        <v>3452</v>
      </c>
      <c r="G1074" t="s">
        <v>1192</v>
      </c>
      <c r="H1074" t="s">
        <v>2830</v>
      </c>
      <c r="I1074">
        <v>13328</v>
      </c>
      <c r="J1074" t="s">
        <v>3452</v>
      </c>
      <c r="K1074" t="s">
        <v>3452</v>
      </c>
      <c r="L1074" t="s">
        <v>386</v>
      </c>
      <c r="M1074" t="s">
        <v>1184</v>
      </c>
      <c r="N1074">
        <v>13328</v>
      </c>
      <c r="O1074">
        <v>0</v>
      </c>
      <c r="R1074" t="s">
        <v>1208</v>
      </c>
      <c r="T1074">
        <v>259</v>
      </c>
      <c r="V1074" t="s">
        <v>1215</v>
      </c>
      <c r="W1074" t="s">
        <v>1712</v>
      </c>
      <c r="X1074">
        <v>388</v>
      </c>
      <c r="Z1074" t="s">
        <v>865</v>
      </c>
      <c r="AA1074" t="s">
        <v>387</v>
      </c>
      <c r="AB1074">
        <v>0</v>
      </c>
      <c r="AC1074">
        <v>0</v>
      </c>
      <c r="AD1074" t="s">
        <v>1187</v>
      </c>
      <c r="AE1074">
        <v>0</v>
      </c>
      <c r="AF1074" t="s">
        <v>1188</v>
      </c>
    </row>
    <row r="1075" spans="1:34" x14ac:dyDescent="0.25">
      <c r="A1075">
        <v>1467</v>
      </c>
      <c r="C1075" s="185"/>
      <c r="D1075" t="s">
        <v>24</v>
      </c>
      <c r="E1075" t="s">
        <v>386</v>
      </c>
      <c r="F1075" t="s">
        <v>346</v>
      </c>
      <c r="G1075" t="s">
        <v>1903</v>
      </c>
      <c r="I1075">
        <v>13329</v>
      </c>
      <c r="J1075" t="s">
        <v>346</v>
      </c>
      <c r="K1075" t="s">
        <v>3453</v>
      </c>
      <c r="L1075" t="s">
        <v>386</v>
      </c>
      <c r="M1075" t="s">
        <v>1193</v>
      </c>
      <c r="N1075">
        <v>13329</v>
      </c>
      <c r="O1075">
        <v>56</v>
      </c>
      <c r="T1075">
        <v>496</v>
      </c>
      <c r="V1075" t="s">
        <v>2246</v>
      </c>
      <c r="W1075" t="s">
        <v>1199</v>
      </c>
      <c r="X1075">
        <v>200</v>
      </c>
      <c r="Z1075" t="s">
        <v>1102</v>
      </c>
      <c r="AA1075" t="s">
        <v>387</v>
      </c>
      <c r="AB1075">
        <v>48000</v>
      </c>
      <c r="AC1075">
        <v>4997</v>
      </c>
      <c r="AD1075" t="s">
        <v>3454</v>
      </c>
      <c r="AE1075">
        <v>2313</v>
      </c>
      <c r="AF1075" t="s">
        <v>3455</v>
      </c>
      <c r="AH1075" t="s">
        <v>3456</v>
      </c>
    </row>
    <row r="1076" spans="1:34" x14ac:dyDescent="0.25">
      <c r="A1076">
        <v>1463</v>
      </c>
      <c r="C1076" s="185"/>
      <c r="E1076" t="s">
        <v>386</v>
      </c>
      <c r="F1076" t="s">
        <v>579</v>
      </c>
      <c r="G1076" t="s">
        <v>1903</v>
      </c>
      <c r="H1076" t="s">
        <v>3457</v>
      </c>
      <c r="I1076">
        <v>13330</v>
      </c>
      <c r="J1076" t="s">
        <v>579</v>
      </c>
      <c r="K1076" t="s">
        <v>3458</v>
      </c>
      <c r="L1076" t="s">
        <v>386</v>
      </c>
      <c r="M1076" t="s">
        <v>1193</v>
      </c>
      <c r="N1076">
        <v>13330</v>
      </c>
      <c r="O1076">
        <v>56</v>
      </c>
      <c r="R1076" t="s">
        <v>398</v>
      </c>
      <c r="T1076">
        <v>220</v>
      </c>
      <c r="V1076" t="s">
        <v>1194</v>
      </c>
      <c r="W1076" t="s">
        <v>2073</v>
      </c>
      <c r="X1076">
        <v>372</v>
      </c>
      <c r="Z1076" t="s">
        <v>1070</v>
      </c>
      <c r="AA1076" t="s">
        <v>387</v>
      </c>
      <c r="AB1076">
        <v>48000</v>
      </c>
      <c r="AC1076">
        <v>4998</v>
      </c>
      <c r="AD1076" t="s">
        <v>3459</v>
      </c>
      <c r="AE1076">
        <v>2314</v>
      </c>
      <c r="AF1076" t="s">
        <v>3460</v>
      </c>
      <c r="AG1076" t="s">
        <v>1244</v>
      </c>
      <c r="AH1076" t="s">
        <v>3461</v>
      </c>
    </row>
    <row r="1077" spans="1:34" x14ac:dyDescent="0.25">
      <c r="A1077">
        <v>1</v>
      </c>
      <c r="C1077" s="185"/>
      <c r="E1077" t="s">
        <v>386</v>
      </c>
      <c r="F1077" t="s">
        <v>3462</v>
      </c>
      <c r="G1077" t="s">
        <v>1192</v>
      </c>
      <c r="H1077" t="s">
        <v>3463</v>
      </c>
      <c r="I1077">
        <v>13354</v>
      </c>
      <c r="J1077" t="s">
        <v>3462</v>
      </c>
      <c r="K1077" t="s">
        <v>3464</v>
      </c>
      <c r="L1077" t="s">
        <v>386</v>
      </c>
      <c r="M1077" t="s">
        <v>1193</v>
      </c>
      <c r="N1077">
        <v>13354</v>
      </c>
      <c r="O1077">
        <v>0</v>
      </c>
      <c r="R1077" t="s">
        <v>1208</v>
      </c>
      <c r="T1077">
        <v>571</v>
      </c>
      <c r="V1077" t="s">
        <v>2003</v>
      </c>
      <c r="W1077" t="s">
        <v>2073</v>
      </c>
      <c r="X1077">
        <v>372</v>
      </c>
      <c r="Z1077" t="s">
        <v>865</v>
      </c>
      <c r="AA1077" t="s">
        <v>387</v>
      </c>
      <c r="AB1077">
        <v>0</v>
      </c>
      <c r="AC1077">
        <v>5005</v>
      </c>
      <c r="AD1077" t="s">
        <v>3465</v>
      </c>
      <c r="AE1077">
        <v>54</v>
      </c>
      <c r="AF1077" t="s">
        <v>3250</v>
      </c>
      <c r="AG1077" t="s">
        <v>3466</v>
      </c>
      <c r="AH1077" t="s">
        <v>3467</v>
      </c>
    </row>
    <row r="1078" spans="1:34" x14ac:dyDescent="0.25">
      <c r="A1078">
        <v>1</v>
      </c>
      <c r="C1078" s="185"/>
      <c r="E1078" t="s">
        <v>386</v>
      </c>
      <c r="F1078" t="s">
        <v>3468</v>
      </c>
      <c r="G1078" t="s">
        <v>1192</v>
      </c>
      <c r="H1078" t="s">
        <v>3469</v>
      </c>
      <c r="I1078">
        <v>13356</v>
      </c>
      <c r="J1078" t="s">
        <v>3468</v>
      </c>
      <c r="K1078" t="s">
        <v>3468</v>
      </c>
      <c r="L1078" t="s">
        <v>386</v>
      </c>
      <c r="M1078" t="s">
        <v>1193</v>
      </c>
      <c r="N1078">
        <v>13356</v>
      </c>
      <c r="O1078">
        <v>0</v>
      </c>
      <c r="R1078" t="s">
        <v>1208</v>
      </c>
      <c r="T1078">
        <v>340</v>
      </c>
      <c r="V1078" t="s">
        <v>1200</v>
      </c>
      <c r="W1078" t="s">
        <v>2073</v>
      </c>
      <c r="X1078">
        <v>372</v>
      </c>
      <c r="Z1078" t="s">
        <v>865</v>
      </c>
      <c r="AA1078" t="s">
        <v>387</v>
      </c>
      <c r="AB1078">
        <v>0</v>
      </c>
      <c r="AC1078">
        <v>5003</v>
      </c>
      <c r="AD1078" t="s">
        <v>3470</v>
      </c>
      <c r="AE1078">
        <v>1358</v>
      </c>
      <c r="AF1078" t="s">
        <v>3471</v>
      </c>
      <c r="AG1078" t="s">
        <v>3472</v>
      </c>
      <c r="AH1078" t="s">
        <v>3473</v>
      </c>
    </row>
    <row r="1079" spans="1:34" x14ac:dyDescent="0.25">
      <c r="A1079">
        <v>1342</v>
      </c>
      <c r="C1079" s="185"/>
      <c r="E1079" t="s">
        <v>386</v>
      </c>
      <c r="F1079" t="s">
        <v>3474</v>
      </c>
      <c r="G1079" t="s">
        <v>1197</v>
      </c>
      <c r="H1079" t="s">
        <v>3475</v>
      </c>
      <c r="I1079">
        <v>13371</v>
      </c>
      <c r="J1079" t="s">
        <v>3474</v>
      </c>
      <c r="K1079" t="s">
        <v>3474</v>
      </c>
      <c r="L1079" t="s">
        <v>386</v>
      </c>
      <c r="M1079" t="s">
        <v>1193</v>
      </c>
      <c r="N1079">
        <v>13371</v>
      </c>
      <c r="O1079">
        <v>0</v>
      </c>
      <c r="R1079" t="s">
        <v>1208</v>
      </c>
      <c r="T1079">
        <v>571</v>
      </c>
      <c r="V1079" t="s">
        <v>2003</v>
      </c>
      <c r="W1079" t="s">
        <v>2067</v>
      </c>
      <c r="X1079">
        <v>304</v>
      </c>
      <c r="Z1079" t="s">
        <v>2156</v>
      </c>
      <c r="AA1079" t="s">
        <v>387</v>
      </c>
      <c r="AB1079">
        <v>0</v>
      </c>
      <c r="AC1079">
        <v>3053</v>
      </c>
      <c r="AD1079" t="s">
        <v>3476</v>
      </c>
      <c r="AE1079">
        <v>138</v>
      </c>
      <c r="AF1079" t="s">
        <v>2509</v>
      </c>
      <c r="AG1079" t="s">
        <v>3477</v>
      </c>
      <c r="AH1079" t="s">
        <v>3478</v>
      </c>
    </row>
    <row r="1080" spans="1:34" x14ac:dyDescent="0.25">
      <c r="A1080">
        <v>32</v>
      </c>
      <c r="C1080" s="185"/>
      <c r="E1080" t="s">
        <v>386</v>
      </c>
      <c r="F1080" t="s">
        <v>3479</v>
      </c>
      <c r="G1080" t="s">
        <v>1197</v>
      </c>
      <c r="H1080" t="s">
        <v>3480</v>
      </c>
      <c r="I1080">
        <v>13380</v>
      </c>
      <c r="J1080" t="s">
        <v>3479</v>
      </c>
      <c r="K1080" t="s">
        <v>3479</v>
      </c>
      <c r="L1080" t="s">
        <v>386</v>
      </c>
      <c r="M1080" t="s">
        <v>1193</v>
      </c>
      <c r="N1080">
        <v>13380</v>
      </c>
      <c r="O1080">
        <v>0</v>
      </c>
      <c r="R1080" t="s">
        <v>1208</v>
      </c>
      <c r="T1080">
        <v>571</v>
      </c>
      <c r="V1080" t="s">
        <v>2003</v>
      </c>
      <c r="W1080" t="s">
        <v>2067</v>
      </c>
      <c r="X1080">
        <v>304</v>
      </c>
      <c r="Z1080" t="s">
        <v>874</v>
      </c>
      <c r="AA1080" t="s">
        <v>387</v>
      </c>
      <c r="AB1080">
        <v>0</v>
      </c>
      <c r="AC1080">
        <v>4334</v>
      </c>
      <c r="AD1080" t="s">
        <v>3481</v>
      </c>
      <c r="AE1080">
        <v>1854</v>
      </c>
      <c r="AF1080" t="s">
        <v>3482</v>
      </c>
      <c r="AG1080" t="s">
        <v>3483</v>
      </c>
      <c r="AH1080" t="s">
        <v>3484</v>
      </c>
    </row>
    <row r="1081" spans="1:34" x14ac:dyDescent="0.25">
      <c r="A1081">
        <v>337</v>
      </c>
      <c r="C1081" s="185"/>
      <c r="E1081" t="s">
        <v>386</v>
      </c>
      <c r="F1081" t="s">
        <v>3485</v>
      </c>
      <c r="G1081" t="s">
        <v>1197</v>
      </c>
      <c r="H1081" t="s">
        <v>3486</v>
      </c>
      <c r="I1081">
        <v>13381</v>
      </c>
      <c r="J1081" t="s">
        <v>3485</v>
      </c>
      <c r="K1081" t="s">
        <v>3485</v>
      </c>
      <c r="L1081" t="s">
        <v>386</v>
      </c>
      <c r="M1081" t="s">
        <v>1193</v>
      </c>
      <c r="N1081">
        <v>13381</v>
      </c>
      <c r="O1081">
        <v>0</v>
      </c>
      <c r="R1081" t="s">
        <v>1208</v>
      </c>
      <c r="T1081">
        <v>571</v>
      </c>
      <c r="V1081" t="s">
        <v>2003</v>
      </c>
      <c r="W1081" t="s">
        <v>2067</v>
      </c>
      <c r="X1081">
        <v>304</v>
      </c>
      <c r="Z1081" t="s">
        <v>3487</v>
      </c>
      <c r="AA1081" t="s">
        <v>387</v>
      </c>
      <c r="AB1081">
        <v>0</v>
      </c>
      <c r="AC1081">
        <v>5014</v>
      </c>
      <c r="AD1081" t="s">
        <v>3488</v>
      </c>
      <c r="AE1081">
        <v>414</v>
      </c>
      <c r="AF1081" t="s">
        <v>3489</v>
      </c>
      <c r="AG1081" t="s">
        <v>3490</v>
      </c>
      <c r="AH1081" t="s">
        <v>3491</v>
      </c>
    </row>
    <row r="1082" spans="1:34" x14ac:dyDescent="0.25">
      <c r="A1082">
        <v>1414</v>
      </c>
      <c r="C1082" s="185"/>
      <c r="E1082" t="s">
        <v>386</v>
      </c>
      <c r="F1082" t="s">
        <v>3492</v>
      </c>
      <c r="G1082" t="s">
        <v>1192</v>
      </c>
      <c r="H1082" t="s">
        <v>3493</v>
      </c>
      <c r="I1082">
        <v>13385</v>
      </c>
      <c r="J1082" t="s">
        <v>3492</v>
      </c>
      <c r="K1082" t="s">
        <v>3492</v>
      </c>
      <c r="L1082" t="s">
        <v>386</v>
      </c>
      <c r="M1082" t="s">
        <v>1193</v>
      </c>
      <c r="N1082">
        <v>13385</v>
      </c>
      <c r="O1082">
        <v>0</v>
      </c>
      <c r="R1082" t="s">
        <v>1208</v>
      </c>
      <c r="T1082">
        <v>571</v>
      </c>
      <c r="V1082" t="s">
        <v>2003</v>
      </c>
      <c r="W1082" t="s">
        <v>2073</v>
      </c>
      <c r="X1082">
        <v>372</v>
      </c>
      <c r="Z1082" t="s">
        <v>3034</v>
      </c>
      <c r="AA1082" t="s">
        <v>387</v>
      </c>
      <c r="AB1082">
        <v>0</v>
      </c>
      <c r="AC1082">
        <v>5017</v>
      </c>
      <c r="AD1082" t="s">
        <v>3494</v>
      </c>
      <c r="AE1082">
        <v>775</v>
      </c>
      <c r="AF1082" t="s">
        <v>3495</v>
      </c>
      <c r="AG1082" t="s">
        <v>3496</v>
      </c>
      <c r="AH1082" t="s">
        <v>3497</v>
      </c>
    </row>
    <row r="1083" spans="1:34" x14ac:dyDescent="0.25">
      <c r="A1083">
        <v>1448</v>
      </c>
      <c r="C1083" s="185"/>
      <c r="E1083" t="s">
        <v>386</v>
      </c>
      <c r="F1083" t="s">
        <v>3498</v>
      </c>
      <c r="G1083" t="s">
        <v>1192</v>
      </c>
      <c r="H1083" t="s">
        <v>3499</v>
      </c>
      <c r="I1083">
        <v>13415</v>
      </c>
      <c r="J1083" t="s">
        <v>3498</v>
      </c>
      <c r="K1083" t="s">
        <v>3498</v>
      </c>
      <c r="L1083" t="s">
        <v>386</v>
      </c>
      <c r="M1083" t="s">
        <v>1193</v>
      </c>
      <c r="N1083">
        <v>13415</v>
      </c>
      <c r="O1083">
        <v>0</v>
      </c>
      <c r="R1083" t="s">
        <v>1208</v>
      </c>
      <c r="T1083">
        <v>372</v>
      </c>
      <c r="V1083" t="s">
        <v>2073</v>
      </c>
      <c r="W1083" t="s">
        <v>2073</v>
      </c>
      <c r="X1083">
        <v>372</v>
      </c>
      <c r="Z1083" t="s">
        <v>2115</v>
      </c>
      <c r="AA1083" t="s">
        <v>387</v>
      </c>
      <c r="AB1083">
        <v>0</v>
      </c>
      <c r="AC1083">
        <v>5027</v>
      </c>
      <c r="AD1083" t="s">
        <v>3500</v>
      </c>
      <c r="AE1083">
        <v>2327</v>
      </c>
      <c r="AF1083" t="s">
        <v>3500</v>
      </c>
      <c r="AG1083" t="s">
        <v>3501</v>
      </c>
      <c r="AH1083" t="s">
        <v>3502</v>
      </c>
    </row>
    <row r="1084" spans="1:34" x14ac:dyDescent="0.25">
      <c r="A1084">
        <v>95</v>
      </c>
      <c r="C1084" s="185"/>
      <c r="E1084" t="s">
        <v>386</v>
      </c>
      <c r="F1084" t="s">
        <v>3503</v>
      </c>
      <c r="G1084" t="s">
        <v>1192</v>
      </c>
      <c r="H1084" t="s">
        <v>3504</v>
      </c>
      <c r="I1084">
        <v>13442</v>
      </c>
      <c r="J1084" t="s">
        <v>3503</v>
      </c>
      <c r="K1084" t="s">
        <v>3505</v>
      </c>
      <c r="L1084" t="s">
        <v>386</v>
      </c>
      <c r="M1084" t="s">
        <v>1193</v>
      </c>
      <c r="N1084">
        <v>13442</v>
      </c>
      <c r="O1084">
        <v>0</v>
      </c>
      <c r="R1084" t="s">
        <v>1208</v>
      </c>
      <c r="T1084">
        <v>571</v>
      </c>
      <c r="V1084" t="s">
        <v>2003</v>
      </c>
      <c r="W1084" t="s">
        <v>1199</v>
      </c>
      <c r="X1084">
        <v>200</v>
      </c>
      <c r="Z1084" t="s">
        <v>952</v>
      </c>
      <c r="AA1084" t="s">
        <v>387</v>
      </c>
      <c r="AB1084">
        <v>0</v>
      </c>
      <c r="AC1084">
        <v>5041</v>
      </c>
      <c r="AD1084" t="s">
        <v>3506</v>
      </c>
      <c r="AE1084">
        <v>1527</v>
      </c>
      <c r="AF1084" t="s">
        <v>3507</v>
      </c>
      <c r="AG1084" t="s">
        <v>3508</v>
      </c>
      <c r="AH1084" t="s">
        <v>3509</v>
      </c>
    </row>
    <row r="1085" spans="1:34" x14ac:dyDescent="0.25">
      <c r="A1085">
        <v>2055</v>
      </c>
      <c r="C1085" s="185"/>
      <c r="E1085" t="s">
        <v>386</v>
      </c>
      <c r="F1085" t="s">
        <v>3510</v>
      </c>
      <c r="G1085" t="s">
        <v>1192</v>
      </c>
      <c r="H1085" t="s">
        <v>3511</v>
      </c>
      <c r="I1085">
        <v>13449</v>
      </c>
      <c r="J1085" t="s">
        <v>3510</v>
      </c>
      <c r="K1085" t="s">
        <v>3510</v>
      </c>
      <c r="L1085" t="s">
        <v>386</v>
      </c>
      <c r="M1085" t="s">
        <v>1193</v>
      </c>
      <c r="N1085">
        <v>13449</v>
      </c>
      <c r="O1085">
        <v>0</v>
      </c>
      <c r="T1085">
        <v>372</v>
      </c>
      <c r="V1085" t="s">
        <v>2073</v>
      </c>
      <c r="W1085" t="s">
        <v>2246</v>
      </c>
      <c r="X1085">
        <v>496</v>
      </c>
      <c r="Z1085" t="s">
        <v>3512</v>
      </c>
      <c r="AA1085" t="s">
        <v>387</v>
      </c>
      <c r="AB1085">
        <v>44000</v>
      </c>
      <c r="AC1085">
        <v>5045</v>
      </c>
      <c r="AD1085" t="s">
        <v>3513</v>
      </c>
      <c r="AE1085">
        <v>2882</v>
      </c>
      <c r="AF1085" t="s">
        <v>3514</v>
      </c>
      <c r="AG1085" t="s">
        <v>1244</v>
      </c>
      <c r="AH1085" t="s">
        <v>3515</v>
      </c>
    </row>
    <row r="1086" spans="1:34" x14ac:dyDescent="0.25">
      <c r="A1086">
        <v>1492</v>
      </c>
      <c r="C1086" s="185"/>
      <c r="E1086" t="s">
        <v>386</v>
      </c>
      <c r="F1086" t="s">
        <v>3516</v>
      </c>
      <c r="G1086" t="s">
        <v>1192</v>
      </c>
      <c r="H1086" t="s">
        <v>2830</v>
      </c>
      <c r="I1086">
        <v>13456</v>
      </c>
      <c r="J1086" t="s">
        <v>3516</v>
      </c>
      <c r="K1086" t="s">
        <v>3517</v>
      </c>
      <c r="L1086" t="s">
        <v>386</v>
      </c>
      <c r="M1086" t="s">
        <v>1193</v>
      </c>
      <c r="N1086">
        <v>13456</v>
      </c>
      <c r="O1086">
        <v>0</v>
      </c>
      <c r="T1086">
        <v>260</v>
      </c>
      <c r="V1086" t="s">
        <v>1216</v>
      </c>
      <c r="W1086" t="s">
        <v>1216</v>
      </c>
      <c r="X1086">
        <v>260</v>
      </c>
      <c r="Z1086" t="s">
        <v>2377</v>
      </c>
      <c r="AA1086" t="s">
        <v>387</v>
      </c>
      <c r="AB1086">
        <v>29000</v>
      </c>
      <c r="AC1086">
        <v>5048</v>
      </c>
      <c r="AD1086" t="s">
        <v>3518</v>
      </c>
      <c r="AE1086">
        <v>2337</v>
      </c>
      <c r="AF1086" t="s">
        <v>3519</v>
      </c>
      <c r="AG1086" t="s">
        <v>2379</v>
      </c>
      <c r="AH1086" t="s">
        <v>3520</v>
      </c>
    </row>
    <row r="1087" spans="1:34" x14ac:dyDescent="0.25">
      <c r="A1087">
        <v>31</v>
      </c>
      <c r="C1087" s="185"/>
      <c r="E1087" t="s">
        <v>386</v>
      </c>
      <c r="F1087" t="s">
        <v>3521</v>
      </c>
      <c r="G1087" t="s">
        <v>1192</v>
      </c>
      <c r="H1087" t="s">
        <v>2949</v>
      </c>
      <c r="I1087">
        <v>13475</v>
      </c>
      <c r="J1087" t="s">
        <v>3521</v>
      </c>
      <c r="K1087" t="s">
        <v>3521</v>
      </c>
      <c r="L1087" t="s">
        <v>386</v>
      </c>
      <c r="M1087" t="s">
        <v>1193</v>
      </c>
      <c r="N1087">
        <v>13475</v>
      </c>
      <c r="O1087">
        <v>0</v>
      </c>
      <c r="R1087" t="s">
        <v>1208</v>
      </c>
      <c r="T1087">
        <v>52</v>
      </c>
      <c r="V1087" t="s">
        <v>2024</v>
      </c>
      <c r="W1087" t="s">
        <v>2073</v>
      </c>
      <c r="X1087">
        <v>372</v>
      </c>
      <c r="Z1087" t="s">
        <v>1132</v>
      </c>
      <c r="AA1087" t="s">
        <v>387</v>
      </c>
      <c r="AB1087">
        <v>0</v>
      </c>
      <c r="AC1087">
        <v>4137</v>
      </c>
      <c r="AD1087" t="s">
        <v>2950</v>
      </c>
      <c r="AE1087">
        <v>980</v>
      </c>
      <c r="AF1087" t="s">
        <v>2951</v>
      </c>
      <c r="AG1087" t="s">
        <v>2952</v>
      </c>
      <c r="AH1087" t="s">
        <v>3522</v>
      </c>
    </row>
    <row r="1088" spans="1:34" x14ac:dyDescent="0.25">
      <c r="A1088">
        <v>1</v>
      </c>
      <c r="C1088" s="185"/>
      <c r="E1088" t="s">
        <v>386</v>
      </c>
      <c r="F1088" t="s">
        <v>3523</v>
      </c>
      <c r="G1088" t="s">
        <v>1192</v>
      </c>
      <c r="H1088" t="s">
        <v>3524</v>
      </c>
      <c r="I1088">
        <v>13477</v>
      </c>
      <c r="J1088" t="s">
        <v>3523</v>
      </c>
      <c r="K1088" t="s">
        <v>3525</v>
      </c>
      <c r="L1088" t="s">
        <v>386</v>
      </c>
      <c r="M1088" t="s">
        <v>1193</v>
      </c>
      <c r="N1088">
        <v>13477</v>
      </c>
      <c r="O1088">
        <v>0</v>
      </c>
      <c r="R1088" t="s">
        <v>1208</v>
      </c>
      <c r="T1088">
        <v>571</v>
      </c>
      <c r="V1088" t="s">
        <v>2003</v>
      </c>
      <c r="W1088" t="s">
        <v>2073</v>
      </c>
      <c r="X1088">
        <v>372</v>
      </c>
      <c r="Z1088" t="s">
        <v>865</v>
      </c>
      <c r="AA1088" t="s">
        <v>387</v>
      </c>
      <c r="AB1088">
        <v>0</v>
      </c>
      <c r="AC1088">
        <v>2045</v>
      </c>
      <c r="AD1088" t="s">
        <v>2675</v>
      </c>
      <c r="AE1088">
        <v>1</v>
      </c>
      <c r="AF1088" t="s">
        <v>1922</v>
      </c>
      <c r="AG1088" t="s">
        <v>3526</v>
      </c>
      <c r="AH1088" t="s">
        <v>3527</v>
      </c>
    </row>
    <row r="1089" spans="1:34" x14ac:dyDescent="0.25">
      <c r="A1089">
        <v>2058</v>
      </c>
      <c r="C1089" s="185"/>
      <c r="E1089" t="s">
        <v>386</v>
      </c>
      <c r="F1089" t="s">
        <v>3528</v>
      </c>
      <c r="G1089" t="s">
        <v>1192</v>
      </c>
      <c r="H1089" t="s">
        <v>3529</v>
      </c>
      <c r="I1089">
        <v>13517</v>
      </c>
      <c r="J1089" t="s">
        <v>3528</v>
      </c>
      <c r="K1089" t="s">
        <v>3528</v>
      </c>
      <c r="L1089" t="s">
        <v>386</v>
      </c>
      <c r="M1089" t="s">
        <v>1193</v>
      </c>
      <c r="N1089">
        <v>13517</v>
      </c>
      <c r="O1089">
        <v>0</v>
      </c>
      <c r="R1089" t="s">
        <v>1208</v>
      </c>
      <c r="T1089">
        <v>372</v>
      </c>
      <c r="V1089" t="s">
        <v>2073</v>
      </c>
      <c r="W1089" t="s">
        <v>2073</v>
      </c>
      <c r="X1089">
        <v>372</v>
      </c>
      <c r="Z1089" t="s">
        <v>3530</v>
      </c>
      <c r="AA1089" t="s">
        <v>387</v>
      </c>
      <c r="AB1089">
        <v>0</v>
      </c>
      <c r="AC1089">
        <v>5081</v>
      </c>
      <c r="AD1089" t="s">
        <v>3531</v>
      </c>
      <c r="AE1089">
        <v>194</v>
      </c>
      <c r="AF1089" t="s">
        <v>3532</v>
      </c>
      <c r="AG1089" t="s">
        <v>3533</v>
      </c>
      <c r="AH1089" t="s">
        <v>3534</v>
      </c>
    </row>
    <row r="1090" spans="1:34" x14ac:dyDescent="0.25">
      <c r="A1090">
        <v>50</v>
      </c>
      <c r="C1090" s="185"/>
      <c r="E1090" t="s">
        <v>386</v>
      </c>
      <c r="F1090" t="s">
        <v>3535</v>
      </c>
      <c r="G1090" t="s">
        <v>1192</v>
      </c>
      <c r="H1090" t="s">
        <v>3536</v>
      </c>
      <c r="I1090">
        <v>13518</v>
      </c>
      <c r="J1090" t="s">
        <v>3535</v>
      </c>
      <c r="K1090" t="s">
        <v>3535</v>
      </c>
      <c r="L1090" t="s">
        <v>386</v>
      </c>
      <c r="M1090" t="s">
        <v>1193</v>
      </c>
      <c r="N1090">
        <v>13518</v>
      </c>
      <c r="O1090">
        <v>0</v>
      </c>
      <c r="R1090" t="s">
        <v>1208</v>
      </c>
      <c r="T1090">
        <v>571</v>
      </c>
      <c r="V1090" t="s">
        <v>2003</v>
      </c>
      <c r="W1090" t="s">
        <v>2073</v>
      </c>
      <c r="X1090">
        <v>372</v>
      </c>
      <c r="Z1090" t="s">
        <v>878</v>
      </c>
      <c r="AA1090" t="s">
        <v>387</v>
      </c>
      <c r="AB1090">
        <v>0</v>
      </c>
      <c r="AC1090">
        <v>5082</v>
      </c>
      <c r="AD1090" t="s">
        <v>3537</v>
      </c>
      <c r="AE1090">
        <v>2280</v>
      </c>
      <c r="AF1090" t="s">
        <v>3538</v>
      </c>
      <c r="AG1090" t="s">
        <v>3539</v>
      </c>
      <c r="AH1090" t="s">
        <v>3540</v>
      </c>
    </row>
    <row r="1091" spans="1:34" x14ac:dyDescent="0.25">
      <c r="A1091">
        <v>1162</v>
      </c>
      <c r="C1091" s="185"/>
      <c r="E1091" t="s">
        <v>386</v>
      </c>
      <c r="F1091" t="s">
        <v>3541</v>
      </c>
      <c r="G1091" t="s">
        <v>1192</v>
      </c>
      <c r="H1091" t="s">
        <v>3542</v>
      </c>
      <c r="I1091">
        <v>13520</v>
      </c>
      <c r="J1091" t="s">
        <v>3541</v>
      </c>
      <c r="K1091" t="s">
        <v>3541</v>
      </c>
      <c r="L1091" t="s">
        <v>386</v>
      </c>
      <c r="M1091" t="s">
        <v>1193</v>
      </c>
      <c r="N1091">
        <v>13520</v>
      </c>
      <c r="O1091">
        <v>0</v>
      </c>
      <c r="R1091" t="s">
        <v>1208</v>
      </c>
      <c r="T1091">
        <v>571</v>
      </c>
      <c r="V1091" t="s">
        <v>2003</v>
      </c>
      <c r="W1091" t="s">
        <v>2073</v>
      </c>
      <c r="X1091">
        <v>372</v>
      </c>
      <c r="Z1091" t="s">
        <v>3543</v>
      </c>
      <c r="AA1091" t="s">
        <v>387</v>
      </c>
      <c r="AB1091">
        <v>0</v>
      </c>
      <c r="AC1091">
        <v>5084</v>
      </c>
      <c r="AD1091" t="s">
        <v>3544</v>
      </c>
      <c r="AE1091">
        <v>1</v>
      </c>
      <c r="AF1091" t="s">
        <v>1922</v>
      </c>
      <c r="AG1091" t="s">
        <v>3051</v>
      </c>
      <c r="AH1091" t="s">
        <v>3545</v>
      </c>
    </row>
    <row r="1092" spans="1:34" x14ac:dyDescent="0.25">
      <c r="A1092">
        <v>28</v>
      </c>
      <c r="C1092" s="185"/>
      <c r="E1092" t="s">
        <v>386</v>
      </c>
      <c r="F1092" t="s">
        <v>3546</v>
      </c>
      <c r="G1092" t="s">
        <v>1192</v>
      </c>
      <c r="H1092" t="s">
        <v>3547</v>
      </c>
      <c r="I1092">
        <v>13521</v>
      </c>
      <c r="J1092" t="s">
        <v>3546</v>
      </c>
      <c r="K1092" t="s">
        <v>3548</v>
      </c>
      <c r="L1092" t="s">
        <v>386</v>
      </c>
      <c r="M1092" t="s">
        <v>1193</v>
      </c>
      <c r="N1092">
        <v>13521</v>
      </c>
      <c r="O1092">
        <v>0</v>
      </c>
      <c r="R1092" t="s">
        <v>1208</v>
      </c>
      <c r="T1092">
        <v>571</v>
      </c>
      <c r="V1092" t="s">
        <v>2003</v>
      </c>
      <c r="W1092" t="s">
        <v>2073</v>
      </c>
      <c r="X1092">
        <v>372</v>
      </c>
      <c r="Z1092" t="s">
        <v>3549</v>
      </c>
      <c r="AA1092" t="s">
        <v>387</v>
      </c>
      <c r="AB1092">
        <v>0</v>
      </c>
      <c r="AC1092">
        <v>5085</v>
      </c>
      <c r="AD1092" t="s">
        <v>3550</v>
      </c>
      <c r="AE1092">
        <v>2356</v>
      </c>
      <c r="AF1092" t="s">
        <v>3551</v>
      </c>
      <c r="AG1092" t="s">
        <v>3552</v>
      </c>
      <c r="AH1092" t="s">
        <v>3553</v>
      </c>
    </row>
    <row r="1093" spans="1:34" x14ac:dyDescent="0.25">
      <c r="A1093">
        <v>1</v>
      </c>
      <c r="C1093" s="185"/>
      <c r="E1093" t="s">
        <v>386</v>
      </c>
      <c r="F1093" t="s">
        <v>3554</v>
      </c>
      <c r="G1093" t="s">
        <v>1192</v>
      </c>
      <c r="H1093" t="s">
        <v>3555</v>
      </c>
      <c r="I1093">
        <v>13523</v>
      </c>
      <c r="J1093" t="s">
        <v>3554</v>
      </c>
      <c r="K1093" t="s">
        <v>3556</v>
      </c>
      <c r="L1093" t="s">
        <v>386</v>
      </c>
      <c r="M1093" t="s">
        <v>1193</v>
      </c>
      <c r="N1093">
        <v>13523</v>
      </c>
      <c r="O1093">
        <v>0</v>
      </c>
      <c r="R1093" t="s">
        <v>1208</v>
      </c>
      <c r="T1093">
        <v>571</v>
      </c>
      <c r="V1093" t="s">
        <v>2003</v>
      </c>
      <c r="W1093" t="s">
        <v>1215</v>
      </c>
      <c r="X1093">
        <v>259</v>
      </c>
      <c r="Z1093" t="s">
        <v>865</v>
      </c>
      <c r="AA1093" t="s">
        <v>387</v>
      </c>
      <c r="AB1093">
        <v>0</v>
      </c>
      <c r="AC1093">
        <v>3124</v>
      </c>
      <c r="AD1093" t="s">
        <v>3557</v>
      </c>
      <c r="AE1093">
        <v>2357</v>
      </c>
      <c r="AF1093" t="s">
        <v>3558</v>
      </c>
      <c r="AG1093" t="s">
        <v>3559</v>
      </c>
      <c r="AH1093" t="s">
        <v>3560</v>
      </c>
    </row>
    <row r="1094" spans="1:34" x14ac:dyDescent="0.25">
      <c r="A1094">
        <v>1</v>
      </c>
      <c r="C1094" s="185"/>
      <c r="E1094" t="s">
        <v>386</v>
      </c>
      <c r="F1094" t="s">
        <v>3561</v>
      </c>
      <c r="G1094" t="s">
        <v>1192</v>
      </c>
      <c r="H1094" t="s">
        <v>3562</v>
      </c>
      <c r="I1094">
        <v>13535</v>
      </c>
      <c r="J1094" t="s">
        <v>3561</v>
      </c>
      <c r="K1094" t="s">
        <v>3561</v>
      </c>
      <c r="L1094" t="s">
        <v>386</v>
      </c>
      <c r="M1094" t="s">
        <v>1193</v>
      </c>
      <c r="N1094">
        <v>13535</v>
      </c>
      <c r="O1094">
        <v>0</v>
      </c>
      <c r="R1094" t="s">
        <v>1208</v>
      </c>
      <c r="T1094">
        <v>52</v>
      </c>
      <c r="V1094" t="s">
        <v>2024</v>
      </c>
      <c r="W1094" t="s">
        <v>2073</v>
      </c>
      <c r="X1094">
        <v>372</v>
      </c>
      <c r="Z1094" t="s">
        <v>865</v>
      </c>
      <c r="AA1094" t="s">
        <v>387</v>
      </c>
      <c r="AB1094">
        <v>0</v>
      </c>
      <c r="AC1094">
        <v>82</v>
      </c>
      <c r="AD1094" t="s">
        <v>2692</v>
      </c>
      <c r="AE1094">
        <v>2360</v>
      </c>
      <c r="AF1094" t="s">
        <v>3563</v>
      </c>
      <c r="AG1094" t="s">
        <v>3564</v>
      </c>
      <c r="AH1094" t="s">
        <v>3565</v>
      </c>
    </row>
    <row r="1095" spans="1:34" x14ac:dyDescent="0.25">
      <c r="A1095">
        <v>1</v>
      </c>
      <c r="C1095" s="185"/>
      <c r="E1095" t="s">
        <v>386</v>
      </c>
      <c r="F1095" t="s">
        <v>3566</v>
      </c>
      <c r="G1095" t="s">
        <v>1192</v>
      </c>
      <c r="H1095" t="s">
        <v>3567</v>
      </c>
      <c r="I1095">
        <v>13594</v>
      </c>
      <c r="J1095" t="s">
        <v>3566</v>
      </c>
      <c r="K1095" t="s">
        <v>3566</v>
      </c>
      <c r="L1095" t="s">
        <v>386</v>
      </c>
      <c r="M1095" t="s">
        <v>1193</v>
      </c>
      <c r="N1095">
        <v>13594</v>
      </c>
      <c r="O1095">
        <v>0</v>
      </c>
      <c r="R1095" t="s">
        <v>1208</v>
      </c>
      <c r="T1095">
        <v>571</v>
      </c>
      <c r="V1095" t="s">
        <v>2003</v>
      </c>
      <c r="W1095" t="s">
        <v>1199</v>
      </c>
      <c r="X1095">
        <v>200</v>
      </c>
      <c r="Z1095" t="s">
        <v>865</v>
      </c>
      <c r="AA1095" t="s">
        <v>387</v>
      </c>
      <c r="AB1095">
        <v>0</v>
      </c>
      <c r="AC1095">
        <v>5117</v>
      </c>
      <c r="AD1095" t="s">
        <v>3568</v>
      </c>
      <c r="AE1095">
        <v>53</v>
      </c>
      <c r="AF1095" t="s">
        <v>2455</v>
      </c>
      <c r="AG1095" t="s">
        <v>3161</v>
      </c>
      <c r="AH1095" t="s">
        <v>3569</v>
      </c>
    </row>
    <row r="1096" spans="1:34" x14ac:dyDescent="0.25">
      <c r="A1096">
        <v>1</v>
      </c>
      <c r="C1096" s="185"/>
      <c r="E1096" t="s">
        <v>386</v>
      </c>
      <c r="F1096" t="s">
        <v>197</v>
      </c>
      <c r="G1096" t="s">
        <v>1192</v>
      </c>
      <c r="H1096" t="s">
        <v>3570</v>
      </c>
      <c r="I1096">
        <v>13617</v>
      </c>
      <c r="J1096" t="s">
        <v>197</v>
      </c>
      <c r="K1096" t="s">
        <v>197</v>
      </c>
      <c r="L1096" t="s">
        <v>386</v>
      </c>
      <c r="M1096" t="s">
        <v>1184</v>
      </c>
      <c r="N1096">
        <v>13617</v>
      </c>
      <c r="O1096">
        <v>0</v>
      </c>
      <c r="R1096" t="s">
        <v>1208</v>
      </c>
      <c r="T1096">
        <v>260</v>
      </c>
      <c r="V1096" t="s">
        <v>1216</v>
      </c>
      <c r="W1096" t="s">
        <v>1988</v>
      </c>
      <c r="X1096">
        <v>122</v>
      </c>
      <c r="Z1096" t="s">
        <v>865</v>
      </c>
      <c r="AA1096" t="s">
        <v>387</v>
      </c>
      <c r="AB1096">
        <v>0</v>
      </c>
      <c r="AC1096">
        <v>5396</v>
      </c>
      <c r="AD1096" t="s">
        <v>3571</v>
      </c>
      <c r="AE1096">
        <v>2239</v>
      </c>
      <c r="AF1096" t="s">
        <v>3572</v>
      </c>
      <c r="AG1096" t="s">
        <v>3573</v>
      </c>
      <c r="AH1096" t="s">
        <v>3574</v>
      </c>
    </row>
    <row r="1097" spans="1:34" x14ac:dyDescent="0.25">
      <c r="A1097">
        <v>1479</v>
      </c>
      <c r="C1097" s="185"/>
      <c r="E1097" t="s">
        <v>386</v>
      </c>
      <c r="F1097" t="s">
        <v>3575</v>
      </c>
      <c r="G1097" t="s">
        <v>1192</v>
      </c>
      <c r="H1097" t="s">
        <v>3576</v>
      </c>
      <c r="I1097">
        <v>13624</v>
      </c>
      <c r="J1097" t="s">
        <v>3575</v>
      </c>
      <c r="K1097" t="s">
        <v>3575</v>
      </c>
      <c r="L1097" t="s">
        <v>386</v>
      </c>
      <c r="M1097" t="s">
        <v>1193</v>
      </c>
      <c r="N1097">
        <v>13624</v>
      </c>
      <c r="O1097">
        <v>0</v>
      </c>
      <c r="R1097" t="s">
        <v>1208</v>
      </c>
      <c r="T1097">
        <v>200</v>
      </c>
      <c r="V1097" t="s">
        <v>1199</v>
      </c>
      <c r="W1097" t="s">
        <v>1215</v>
      </c>
      <c r="X1097">
        <v>259</v>
      </c>
      <c r="Z1097" t="s">
        <v>2665</v>
      </c>
      <c r="AA1097" t="s">
        <v>387</v>
      </c>
      <c r="AB1097">
        <v>0</v>
      </c>
      <c r="AC1097">
        <v>4680</v>
      </c>
      <c r="AD1097" t="s">
        <v>3577</v>
      </c>
      <c r="AE1097">
        <v>2257</v>
      </c>
      <c r="AF1097" t="s">
        <v>3578</v>
      </c>
      <c r="AG1097" t="s">
        <v>1244</v>
      </c>
      <c r="AH1097" t="s">
        <v>3579</v>
      </c>
    </row>
    <row r="1098" spans="1:34" x14ac:dyDescent="0.25">
      <c r="A1098">
        <v>205</v>
      </c>
      <c r="C1098" s="185"/>
      <c r="D1098" t="s">
        <v>24</v>
      </c>
      <c r="E1098" t="s">
        <v>386</v>
      </c>
      <c r="F1098" t="s">
        <v>3580</v>
      </c>
      <c r="G1098" t="s">
        <v>1197</v>
      </c>
      <c r="H1098" t="s">
        <v>2830</v>
      </c>
      <c r="I1098">
        <v>13671</v>
      </c>
      <c r="J1098" t="s">
        <v>3580</v>
      </c>
      <c r="K1098" t="s">
        <v>3581</v>
      </c>
      <c r="L1098" t="s">
        <v>386</v>
      </c>
      <c r="M1098" t="s">
        <v>1193</v>
      </c>
      <c r="N1098">
        <v>13671</v>
      </c>
      <c r="O1098">
        <v>56</v>
      </c>
      <c r="R1098" t="s">
        <v>398</v>
      </c>
      <c r="T1098">
        <v>220</v>
      </c>
      <c r="V1098" t="s">
        <v>1194</v>
      </c>
      <c r="W1098" t="s">
        <v>2107</v>
      </c>
      <c r="X1098">
        <v>272</v>
      </c>
      <c r="Z1098" t="s">
        <v>1012</v>
      </c>
      <c r="AA1098" t="s">
        <v>387</v>
      </c>
      <c r="AB1098">
        <v>48000</v>
      </c>
      <c r="AC1098">
        <v>5142</v>
      </c>
      <c r="AD1098" t="s">
        <v>3582</v>
      </c>
      <c r="AE1098">
        <v>0</v>
      </c>
      <c r="AF1098" t="s">
        <v>1188</v>
      </c>
      <c r="AG1098" t="s">
        <v>1244</v>
      </c>
      <c r="AH1098" t="s">
        <v>3583</v>
      </c>
    </row>
    <row r="1099" spans="1:34" x14ac:dyDescent="0.25">
      <c r="A1099">
        <v>1464</v>
      </c>
      <c r="C1099" s="185"/>
      <c r="D1099" t="s">
        <v>24</v>
      </c>
      <c r="E1099" t="s">
        <v>386</v>
      </c>
      <c r="F1099" t="s">
        <v>343</v>
      </c>
      <c r="G1099" t="s">
        <v>1197</v>
      </c>
      <c r="H1099" t="s">
        <v>2830</v>
      </c>
      <c r="I1099">
        <v>13678</v>
      </c>
      <c r="J1099" t="s">
        <v>343</v>
      </c>
      <c r="K1099" t="s">
        <v>3584</v>
      </c>
      <c r="L1099" t="s">
        <v>386</v>
      </c>
      <c r="M1099" t="s">
        <v>1193</v>
      </c>
      <c r="N1099">
        <v>13678</v>
      </c>
      <c r="O1099">
        <v>37</v>
      </c>
      <c r="R1099" t="s">
        <v>398</v>
      </c>
      <c r="T1099">
        <v>340</v>
      </c>
      <c r="V1099" t="s">
        <v>1200</v>
      </c>
      <c r="W1099" t="s">
        <v>2024</v>
      </c>
      <c r="X1099">
        <v>52</v>
      </c>
      <c r="Z1099" t="s">
        <v>872</v>
      </c>
      <c r="AA1099" t="s">
        <v>387</v>
      </c>
      <c r="AB1099">
        <v>29000</v>
      </c>
      <c r="AC1099">
        <v>5147</v>
      </c>
      <c r="AD1099" t="s">
        <v>3585</v>
      </c>
      <c r="AE1099">
        <v>2382</v>
      </c>
      <c r="AF1099" t="s">
        <v>3586</v>
      </c>
      <c r="AG1099" t="s">
        <v>3587</v>
      </c>
      <c r="AH1099" t="s">
        <v>3588</v>
      </c>
    </row>
    <row r="1100" spans="1:34" x14ac:dyDescent="0.25">
      <c r="A1100">
        <v>1</v>
      </c>
      <c r="C1100" s="185"/>
      <c r="E1100" t="s">
        <v>386</v>
      </c>
      <c r="F1100" t="s">
        <v>3589</v>
      </c>
      <c r="G1100" t="s">
        <v>1197</v>
      </c>
      <c r="H1100" t="s">
        <v>3590</v>
      </c>
      <c r="I1100">
        <v>13793</v>
      </c>
      <c r="J1100" t="s">
        <v>3589</v>
      </c>
      <c r="K1100" t="s">
        <v>3589</v>
      </c>
      <c r="L1100" t="s">
        <v>386</v>
      </c>
      <c r="M1100" t="s">
        <v>1193</v>
      </c>
      <c r="N1100">
        <v>13793</v>
      </c>
      <c r="O1100">
        <v>0</v>
      </c>
      <c r="R1100" t="s">
        <v>1208</v>
      </c>
      <c r="T1100">
        <v>571</v>
      </c>
      <c r="V1100" t="s">
        <v>2003</v>
      </c>
      <c r="W1100" t="s">
        <v>2073</v>
      </c>
      <c r="X1100">
        <v>372</v>
      </c>
      <c r="Z1100" t="s">
        <v>865</v>
      </c>
      <c r="AA1100" t="s">
        <v>387</v>
      </c>
      <c r="AB1100">
        <v>0</v>
      </c>
      <c r="AC1100">
        <v>128</v>
      </c>
      <c r="AD1100" t="s">
        <v>857</v>
      </c>
      <c r="AE1100">
        <v>515</v>
      </c>
      <c r="AF1100" t="s">
        <v>3591</v>
      </c>
      <c r="AG1100" t="s">
        <v>3592</v>
      </c>
      <c r="AH1100" t="s">
        <v>3593</v>
      </c>
    </row>
    <row r="1101" spans="1:34" x14ac:dyDescent="0.25">
      <c r="A1101">
        <v>2068</v>
      </c>
      <c r="C1101" s="185"/>
      <c r="E1101" t="s">
        <v>386</v>
      </c>
      <c r="F1101" t="s">
        <v>3594</v>
      </c>
      <c r="G1101" t="s">
        <v>1197</v>
      </c>
      <c r="H1101" t="s">
        <v>3595</v>
      </c>
      <c r="I1101">
        <v>13807</v>
      </c>
      <c r="J1101" t="s">
        <v>3594</v>
      </c>
      <c r="K1101" t="s">
        <v>3596</v>
      </c>
      <c r="L1101" t="s">
        <v>386</v>
      </c>
      <c r="M1101" t="s">
        <v>1193</v>
      </c>
      <c r="N1101">
        <v>13807</v>
      </c>
      <c r="O1101">
        <v>0</v>
      </c>
      <c r="T1101">
        <v>220</v>
      </c>
      <c r="V1101" t="s">
        <v>1194</v>
      </c>
      <c r="W1101" t="s">
        <v>1216</v>
      </c>
      <c r="X1101">
        <v>260</v>
      </c>
      <c r="Z1101" t="s">
        <v>3597</v>
      </c>
      <c r="AA1101" t="s">
        <v>387</v>
      </c>
      <c r="AB1101">
        <v>0</v>
      </c>
      <c r="AC1101">
        <v>5205</v>
      </c>
      <c r="AD1101" t="s">
        <v>3598</v>
      </c>
      <c r="AE1101">
        <v>0</v>
      </c>
      <c r="AF1101" t="s">
        <v>1188</v>
      </c>
      <c r="AG1101" t="s">
        <v>3599</v>
      </c>
      <c r="AH1101" t="s">
        <v>3600</v>
      </c>
    </row>
    <row r="1102" spans="1:34" x14ac:dyDescent="0.25">
      <c r="A1102">
        <v>1</v>
      </c>
      <c r="C1102" s="185"/>
      <c r="E1102" t="s">
        <v>386</v>
      </c>
      <c r="F1102" t="s">
        <v>278</v>
      </c>
      <c r="G1102" t="s">
        <v>1192</v>
      </c>
      <c r="H1102" t="s">
        <v>3601</v>
      </c>
      <c r="I1102">
        <v>13873</v>
      </c>
      <c r="J1102" t="s">
        <v>278</v>
      </c>
      <c r="K1102" t="s">
        <v>278</v>
      </c>
      <c r="L1102" t="s">
        <v>386</v>
      </c>
      <c r="M1102" t="s">
        <v>1184</v>
      </c>
      <c r="N1102">
        <v>13873</v>
      </c>
      <c r="O1102">
        <v>0</v>
      </c>
      <c r="R1102" t="s">
        <v>1223</v>
      </c>
      <c r="T1102">
        <v>260</v>
      </c>
      <c r="V1102" t="s">
        <v>1216</v>
      </c>
      <c r="W1102" t="s">
        <v>2024</v>
      </c>
      <c r="X1102">
        <v>52</v>
      </c>
      <c r="Z1102" t="s">
        <v>865</v>
      </c>
      <c r="AA1102" t="s">
        <v>387</v>
      </c>
      <c r="AB1102">
        <v>0</v>
      </c>
      <c r="AC1102">
        <v>5547</v>
      </c>
      <c r="AD1102" t="s">
        <v>3602</v>
      </c>
      <c r="AE1102">
        <v>273</v>
      </c>
      <c r="AF1102" t="s">
        <v>2505</v>
      </c>
      <c r="AG1102" t="s">
        <v>3603</v>
      </c>
      <c r="AH1102" t="s">
        <v>3604</v>
      </c>
    </row>
    <row r="1103" spans="1:34" x14ac:dyDescent="0.25">
      <c r="A1103">
        <v>6</v>
      </c>
      <c r="C1103" s="185"/>
      <c r="E1103" t="s">
        <v>386</v>
      </c>
      <c r="F1103" t="s">
        <v>3605</v>
      </c>
      <c r="G1103" t="s">
        <v>1197</v>
      </c>
      <c r="H1103" t="s">
        <v>3606</v>
      </c>
      <c r="I1103">
        <v>13877</v>
      </c>
      <c r="J1103" t="s">
        <v>3605</v>
      </c>
      <c r="K1103" t="s">
        <v>3605</v>
      </c>
      <c r="L1103" t="s">
        <v>386</v>
      </c>
      <c r="M1103" t="s">
        <v>1193</v>
      </c>
      <c r="N1103">
        <v>13877</v>
      </c>
      <c r="O1103">
        <v>0</v>
      </c>
      <c r="R1103" t="s">
        <v>1208</v>
      </c>
      <c r="T1103">
        <v>571</v>
      </c>
      <c r="V1103" t="s">
        <v>2003</v>
      </c>
      <c r="W1103" t="s">
        <v>2067</v>
      </c>
      <c r="X1103">
        <v>304</v>
      </c>
      <c r="Z1103" t="s">
        <v>892</v>
      </c>
      <c r="AA1103" t="s">
        <v>387</v>
      </c>
      <c r="AB1103">
        <v>0</v>
      </c>
      <c r="AC1103">
        <v>5239</v>
      </c>
      <c r="AD1103" t="s">
        <v>3607</v>
      </c>
      <c r="AE1103">
        <v>2434</v>
      </c>
      <c r="AF1103" t="s">
        <v>3608</v>
      </c>
      <c r="AG1103" t="s">
        <v>3609</v>
      </c>
      <c r="AH1103" t="s">
        <v>3610</v>
      </c>
    </row>
    <row r="1104" spans="1:34" x14ac:dyDescent="0.25">
      <c r="A1104">
        <v>138</v>
      </c>
      <c r="C1104" s="185"/>
      <c r="E1104" t="s">
        <v>386</v>
      </c>
      <c r="F1104" t="s">
        <v>3611</v>
      </c>
      <c r="G1104" t="s">
        <v>1192</v>
      </c>
      <c r="H1104" t="s">
        <v>3612</v>
      </c>
      <c r="I1104">
        <v>13923</v>
      </c>
      <c r="J1104" t="s">
        <v>3611</v>
      </c>
      <c r="K1104" t="s">
        <v>3611</v>
      </c>
      <c r="L1104" t="s">
        <v>386</v>
      </c>
      <c r="M1104" t="s">
        <v>1184</v>
      </c>
      <c r="N1104">
        <v>13923</v>
      </c>
      <c r="O1104">
        <v>0</v>
      </c>
      <c r="R1104" t="s">
        <v>1208</v>
      </c>
      <c r="T1104">
        <v>260</v>
      </c>
      <c r="V1104" t="s">
        <v>1216</v>
      </c>
      <c r="W1104" t="s">
        <v>2024</v>
      </c>
      <c r="X1104">
        <v>52</v>
      </c>
      <c r="Z1104" t="s">
        <v>3613</v>
      </c>
      <c r="AA1104" t="s">
        <v>387</v>
      </c>
      <c r="AB1104">
        <v>0</v>
      </c>
      <c r="AC1104">
        <v>5787</v>
      </c>
      <c r="AD1104" t="s">
        <v>3614</v>
      </c>
      <c r="AE1104">
        <v>2667</v>
      </c>
      <c r="AF1104" t="s">
        <v>3615</v>
      </c>
      <c r="AG1104" t="s">
        <v>1938</v>
      </c>
    </row>
    <row r="1105" spans="1:34" x14ac:dyDescent="0.25">
      <c r="A1105">
        <v>1464</v>
      </c>
      <c r="C1105" s="185"/>
      <c r="E1105" t="s">
        <v>386</v>
      </c>
      <c r="F1105" t="s">
        <v>3616</v>
      </c>
      <c r="G1105" t="s">
        <v>1192</v>
      </c>
      <c r="I1105">
        <v>13967</v>
      </c>
      <c r="J1105" t="s">
        <v>3616</v>
      </c>
      <c r="K1105" t="s">
        <v>3617</v>
      </c>
      <c r="L1105" t="s">
        <v>386</v>
      </c>
      <c r="M1105" t="s">
        <v>1193</v>
      </c>
      <c r="N1105">
        <v>13967</v>
      </c>
      <c r="O1105">
        <v>37</v>
      </c>
      <c r="T1105">
        <v>260</v>
      </c>
      <c r="V1105" t="s">
        <v>1216</v>
      </c>
      <c r="W1105" t="s">
        <v>1216</v>
      </c>
      <c r="X1105">
        <v>260</v>
      </c>
      <c r="Z1105" t="s">
        <v>872</v>
      </c>
      <c r="AA1105" t="s">
        <v>387</v>
      </c>
      <c r="AB1105">
        <v>29000</v>
      </c>
      <c r="AC1105">
        <v>5278</v>
      </c>
      <c r="AD1105" t="s">
        <v>3618</v>
      </c>
      <c r="AE1105">
        <v>2382</v>
      </c>
      <c r="AF1105" t="s">
        <v>3586</v>
      </c>
      <c r="AG1105" t="s">
        <v>3587</v>
      </c>
      <c r="AH1105" t="s">
        <v>3619</v>
      </c>
    </row>
    <row r="1106" spans="1:34" x14ac:dyDescent="0.25">
      <c r="A1106">
        <v>1468</v>
      </c>
      <c r="C1106" s="185"/>
      <c r="E1106" t="s">
        <v>386</v>
      </c>
      <c r="F1106" t="s">
        <v>3620</v>
      </c>
      <c r="G1106" t="s">
        <v>1192</v>
      </c>
      <c r="I1106">
        <v>13968</v>
      </c>
      <c r="J1106" t="s">
        <v>3620</v>
      </c>
      <c r="K1106" t="s">
        <v>3621</v>
      </c>
      <c r="L1106" t="s">
        <v>386</v>
      </c>
      <c r="M1106" t="s">
        <v>1193</v>
      </c>
      <c r="N1106">
        <v>13968</v>
      </c>
      <c r="O1106">
        <v>0</v>
      </c>
      <c r="T1106">
        <v>138</v>
      </c>
      <c r="V1106" t="s">
        <v>2223</v>
      </c>
      <c r="W1106" t="s">
        <v>1216</v>
      </c>
      <c r="X1106">
        <v>260</v>
      </c>
      <c r="Z1106" t="s">
        <v>946</v>
      </c>
      <c r="AA1106" t="s">
        <v>387</v>
      </c>
      <c r="AB1106">
        <v>29000</v>
      </c>
      <c r="AC1106">
        <v>5279</v>
      </c>
      <c r="AD1106" t="s">
        <v>3622</v>
      </c>
      <c r="AE1106">
        <v>2452</v>
      </c>
      <c r="AF1106" t="s">
        <v>3623</v>
      </c>
      <c r="AG1106" t="s">
        <v>3624</v>
      </c>
      <c r="AH1106" t="s">
        <v>3619</v>
      </c>
    </row>
    <row r="1107" spans="1:34" x14ac:dyDescent="0.25">
      <c r="A1107">
        <v>2075</v>
      </c>
      <c r="C1107" s="185"/>
      <c r="E1107" t="s">
        <v>386</v>
      </c>
      <c r="F1107" t="s">
        <v>3625</v>
      </c>
      <c r="G1107" t="s">
        <v>1903</v>
      </c>
      <c r="I1107">
        <v>13975</v>
      </c>
      <c r="J1107" t="s">
        <v>3625</v>
      </c>
      <c r="K1107" t="s">
        <v>3625</v>
      </c>
      <c r="L1107" t="s">
        <v>386</v>
      </c>
      <c r="M1107" t="s">
        <v>1193</v>
      </c>
      <c r="N1107">
        <v>13975</v>
      </c>
      <c r="O1107">
        <v>0</v>
      </c>
      <c r="T1107">
        <v>396</v>
      </c>
      <c r="V1107" t="s">
        <v>2186</v>
      </c>
      <c r="W1107" t="s">
        <v>2015</v>
      </c>
      <c r="X1107">
        <v>35</v>
      </c>
      <c r="Z1107" t="s">
        <v>3626</v>
      </c>
      <c r="AA1107" t="s">
        <v>387</v>
      </c>
      <c r="AB1107">
        <v>0</v>
      </c>
      <c r="AC1107">
        <v>5284</v>
      </c>
      <c r="AD1107" t="s">
        <v>3627</v>
      </c>
      <c r="AE1107">
        <v>0</v>
      </c>
      <c r="AF1107" t="s">
        <v>1188</v>
      </c>
      <c r="AG1107" t="s">
        <v>706</v>
      </c>
      <c r="AH1107" t="s">
        <v>3628</v>
      </c>
    </row>
    <row r="1108" spans="1:34" x14ac:dyDescent="0.25">
      <c r="A1108">
        <v>1468</v>
      </c>
      <c r="C1108" s="185"/>
      <c r="E1108" t="s">
        <v>386</v>
      </c>
      <c r="F1108" t="s">
        <v>668</v>
      </c>
      <c r="G1108" t="s">
        <v>1197</v>
      </c>
      <c r="H1108" t="s">
        <v>2830</v>
      </c>
      <c r="I1108">
        <v>14011</v>
      </c>
      <c r="J1108" t="s">
        <v>668</v>
      </c>
      <c r="K1108" t="s">
        <v>3629</v>
      </c>
      <c r="L1108" t="s">
        <v>386</v>
      </c>
      <c r="M1108" t="s">
        <v>1193</v>
      </c>
      <c r="N1108">
        <v>14011</v>
      </c>
      <c r="O1108">
        <v>0</v>
      </c>
      <c r="R1108" t="s">
        <v>398</v>
      </c>
      <c r="T1108">
        <v>220</v>
      </c>
      <c r="V1108" t="s">
        <v>1194</v>
      </c>
      <c r="W1108" t="s">
        <v>2067</v>
      </c>
      <c r="X1108">
        <v>304</v>
      </c>
      <c r="Z1108" t="s">
        <v>946</v>
      </c>
      <c r="AA1108" t="s">
        <v>387</v>
      </c>
      <c r="AB1108">
        <v>29000</v>
      </c>
      <c r="AC1108">
        <v>2622</v>
      </c>
      <c r="AD1108" t="s">
        <v>2757</v>
      </c>
      <c r="AE1108">
        <v>2457</v>
      </c>
      <c r="AF1108" t="s">
        <v>3630</v>
      </c>
      <c r="AG1108" t="s">
        <v>3624</v>
      </c>
      <c r="AH1108" t="s">
        <v>3631</v>
      </c>
    </row>
    <row r="1109" spans="1:34" x14ac:dyDescent="0.25">
      <c r="A1109">
        <v>1</v>
      </c>
      <c r="C1109" s="185"/>
      <c r="E1109" t="s">
        <v>386</v>
      </c>
      <c r="F1109" t="s">
        <v>3632</v>
      </c>
      <c r="G1109" t="s">
        <v>1192</v>
      </c>
      <c r="H1109" t="s">
        <v>3633</v>
      </c>
      <c r="I1109">
        <v>14024</v>
      </c>
      <c r="J1109" t="s">
        <v>3632</v>
      </c>
      <c r="K1109" t="s">
        <v>3634</v>
      </c>
      <c r="L1109" t="s">
        <v>386</v>
      </c>
      <c r="M1109" t="s">
        <v>1193</v>
      </c>
      <c r="N1109">
        <v>14024</v>
      </c>
      <c r="O1109">
        <v>0</v>
      </c>
      <c r="R1109" t="s">
        <v>1208</v>
      </c>
      <c r="T1109">
        <v>52</v>
      </c>
      <c r="V1109" t="s">
        <v>2024</v>
      </c>
      <c r="W1109" t="s">
        <v>1530</v>
      </c>
      <c r="X1109">
        <v>103</v>
      </c>
      <c r="Z1109" t="s">
        <v>865</v>
      </c>
      <c r="AA1109" t="s">
        <v>387</v>
      </c>
      <c r="AB1109">
        <v>0</v>
      </c>
      <c r="AC1109">
        <v>5301</v>
      </c>
      <c r="AD1109" t="s">
        <v>3635</v>
      </c>
      <c r="AE1109">
        <v>186</v>
      </c>
      <c r="AF1109" t="s">
        <v>3636</v>
      </c>
      <c r="AG1109" t="s">
        <v>2006</v>
      </c>
      <c r="AH1109" t="s">
        <v>3637</v>
      </c>
    </row>
    <row r="1110" spans="1:34" x14ac:dyDescent="0.25">
      <c r="A1110">
        <v>1991</v>
      </c>
      <c r="C1110" s="185"/>
      <c r="E1110" t="s">
        <v>386</v>
      </c>
      <c r="F1110" t="s">
        <v>3638</v>
      </c>
      <c r="G1110" t="s">
        <v>1197</v>
      </c>
      <c r="I1110">
        <v>14041</v>
      </c>
      <c r="J1110" t="s">
        <v>3638</v>
      </c>
      <c r="K1110" t="s">
        <v>3639</v>
      </c>
      <c r="L1110" t="s">
        <v>386</v>
      </c>
      <c r="M1110" t="s">
        <v>1193</v>
      </c>
      <c r="N1110">
        <v>14041</v>
      </c>
      <c r="O1110">
        <v>0</v>
      </c>
      <c r="T1110">
        <v>138</v>
      </c>
      <c r="V1110" t="s">
        <v>2223</v>
      </c>
      <c r="W1110" t="s">
        <v>2223</v>
      </c>
      <c r="X1110">
        <v>138</v>
      </c>
      <c r="Z1110" t="s">
        <v>1105</v>
      </c>
      <c r="AA1110" t="s">
        <v>387</v>
      </c>
      <c r="AB1110">
        <v>29000</v>
      </c>
      <c r="AC1110">
        <v>5307</v>
      </c>
      <c r="AD1110" t="s">
        <v>3640</v>
      </c>
      <c r="AE1110">
        <v>0</v>
      </c>
      <c r="AF1110" t="s">
        <v>1188</v>
      </c>
      <c r="AG1110" t="s">
        <v>3641</v>
      </c>
      <c r="AH1110" t="s">
        <v>3360</v>
      </c>
    </row>
    <row r="1111" spans="1:34" x14ac:dyDescent="0.25">
      <c r="A1111">
        <v>1724</v>
      </c>
      <c r="C1111" s="185"/>
      <c r="E1111" t="s">
        <v>386</v>
      </c>
      <c r="F1111" t="s">
        <v>3642</v>
      </c>
      <c r="G1111" t="s">
        <v>1192</v>
      </c>
      <c r="H1111" t="s">
        <v>3643</v>
      </c>
      <c r="I1111">
        <v>14052</v>
      </c>
      <c r="J1111" t="s">
        <v>3642</v>
      </c>
      <c r="K1111" t="s">
        <v>3644</v>
      </c>
      <c r="L1111" t="s">
        <v>386</v>
      </c>
      <c r="M1111" t="s">
        <v>1184</v>
      </c>
      <c r="N1111">
        <v>14052</v>
      </c>
      <c r="O1111">
        <v>0</v>
      </c>
      <c r="R1111" t="s">
        <v>398</v>
      </c>
      <c r="T1111">
        <v>52</v>
      </c>
      <c r="V1111" t="s">
        <v>2024</v>
      </c>
      <c r="W1111" t="s">
        <v>1215</v>
      </c>
      <c r="X1111">
        <v>259</v>
      </c>
      <c r="Z1111" t="s">
        <v>929</v>
      </c>
      <c r="AA1111" t="s">
        <v>387</v>
      </c>
      <c r="AB1111">
        <v>0</v>
      </c>
      <c r="AC1111">
        <v>703</v>
      </c>
      <c r="AD1111" t="s">
        <v>3645</v>
      </c>
      <c r="AE1111">
        <v>1</v>
      </c>
      <c r="AF1111" t="s">
        <v>1922</v>
      </c>
      <c r="AG1111" t="s">
        <v>3646</v>
      </c>
    </row>
    <row r="1112" spans="1:34" x14ac:dyDescent="0.25">
      <c r="A1112">
        <v>63</v>
      </c>
      <c r="C1112" s="185"/>
      <c r="E1112" t="s">
        <v>386</v>
      </c>
      <c r="F1112" t="s">
        <v>3647</v>
      </c>
      <c r="G1112" t="s">
        <v>1192</v>
      </c>
      <c r="H1112" t="s">
        <v>3648</v>
      </c>
      <c r="I1112">
        <v>14080</v>
      </c>
      <c r="J1112" t="s">
        <v>3647</v>
      </c>
      <c r="K1112" t="s">
        <v>3647</v>
      </c>
      <c r="L1112" t="s">
        <v>386</v>
      </c>
      <c r="M1112" t="s">
        <v>1193</v>
      </c>
      <c r="N1112">
        <v>14080</v>
      </c>
      <c r="O1112">
        <v>0</v>
      </c>
      <c r="R1112" t="s">
        <v>1208</v>
      </c>
      <c r="T1112">
        <v>200</v>
      </c>
      <c r="V1112" t="s">
        <v>1199</v>
      </c>
      <c r="W1112" t="s">
        <v>1215</v>
      </c>
      <c r="X1112">
        <v>259</v>
      </c>
      <c r="Z1112" t="s">
        <v>3649</v>
      </c>
      <c r="AA1112" t="s">
        <v>387</v>
      </c>
      <c r="AB1112">
        <v>0</v>
      </c>
      <c r="AC1112">
        <v>5324</v>
      </c>
      <c r="AD1112" t="s">
        <v>3650</v>
      </c>
      <c r="AE1112">
        <v>2304</v>
      </c>
      <c r="AF1112" t="s">
        <v>2701</v>
      </c>
      <c r="AG1112" t="s">
        <v>3651</v>
      </c>
      <c r="AH1112" t="s">
        <v>3652</v>
      </c>
    </row>
    <row r="1113" spans="1:34" x14ac:dyDescent="0.25">
      <c r="A1113">
        <v>39</v>
      </c>
      <c r="C1113" s="185"/>
      <c r="E1113" t="s">
        <v>386</v>
      </c>
      <c r="F1113" t="s">
        <v>3653</v>
      </c>
      <c r="G1113" t="s">
        <v>1192</v>
      </c>
      <c r="H1113" t="s">
        <v>3654</v>
      </c>
      <c r="I1113">
        <v>14082</v>
      </c>
      <c r="J1113" t="s">
        <v>3653</v>
      </c>
      <c r="K1113" t="s">
        <v>3655</v>
      </c>
      <c r="L1113" t="s">
        <v>386</v>
      </c>
      <c r="M1113" t="s">
        <v>1193</v>
      </c>
      <c r="N1113">
        <v>14082</v>
      </c>
      <c r="O1113">
        <v>0</v>
      </c>
      <c r="R1113" t="s">
        <v>1208</v>
      </c>
      <c r="T1113">
        <v>571</v>
      </c>
      <c r="V1113" t="s">
        <v>2003</v>
      </c>
      <c r="W1113" t="s">
        <v>2073</v>
      </c>
      <c r="X1113">
        <v>372</v>
      </c>
      <c r="Z1113" t="s">
        <v>2303</v>
      </c>
      <c r="AA1113" t="s">
        <v>387</v>
      </c>
      <c r="AB1113">
        <v>0</v>
      </c>
      <c r="AC1113">
        <v>5325</v>
      </c>
      <c r="AD1113" t="s">
        <v>3656</v>
      </c>
      <c r="AE1113">
        <v>2471</v>
      </c>
      <c r="AF1113" t="s">
        <v>3657</v>
      </c>
      <c r="AG1113" t="s">
        <v>3658</v>
      </c>
      <c r="AH1113" t="s">
        <v>3659</v>
      </c>
    </row>
    <row r="1114" spans="1:34" x14ac:dyDescent="0.25">
      <c r="A1114">
        <v>1</v>
      </c>
      <c r="C1114" s="185"/>
      <c r="E1114" t="s">
        <v>386</v>
      </c>
      <c r="F1114" t="s">
        <v>598</v>
      </c>
      <c r="G1114" t="s">
        <v>1192</v>
      </c>
      <c r="H1114" t="s">
        <v>3660</v>
      </c>
      <c r="I1114">
        <v>14090</v>
      </c>
      <c r="J1114" t="s">
        <v>598</v>
      </c>
      <c r="K1114" t="s">
        <v>598</v>
      </c>
      <c r="L1114" t="s">
        <v>386</v>
      </c>
      <c r="M1114" t="s">
        <v>1184</v>
      </c>
      <c r="N1114">
        <v>14090</v>
      </c>
      <c r="O1114">
        <v>0</v>
      </c>
      <c r="R1114" t="s">
        <v>1208</v>
      </c>
      <c r="T1114">
        <v>496</v>
      </c>
      <c r="V1114" t="s">
        <v>2246</v>
      </c>
      <c r="W1114" t="s">
        <v>2246</v>
      </c>
      <c r="X1114">
        <v>496</v>
      </c>
      <c r="Z1114" t="s">
        <v>865</v>
      </c>
      <c r="AA1114" t="s">
        <v>387</v>
      </c>
      <c r="AB1114">
        <v>0</v>
      </c>
      <c r="AC1114">
        <v>891</v>
      </c>
      <c r="AD1114" t="s">
        <v>3661</v>
      </c>
      <c r="AE1114">
        <v>409</v>
      </c>
      <c r="AF1114" t="s">
        <v>3131</v>
      </c>
      <c r="AG1114" t="s">
        <v>2526</v>
      </c>
    </row>
    <row r="1115" spans="1:34" x14ac:dyDescent="0.25">
      <c r="A1115">
        <v>1</v>
      </c>
      <c r="C1115" s="185"/>
      <c r="E1115" t="s">
        <v>386</v>
      </c>
      <c r="F1115" t="s">
        <v>237</v>
      </c>
      <c r="G1115" t="s">
        <v>1192</v>
      </c>
      <c r="H1115" t="s">
        <v>3662</v>
      </c>
      <c r="I1115">
        <v>14094</v>
      </c>
      <c r="J1115" t="s">
        <v>237</v>
      </c>
      <c r="K1115" t="s">
        <v>237</v>
      </c>
      <c r="L1115" t="s">
        <v>386</v>
      </c>
      <c r="M1115" t="s">
        <v>1184</v>
      </c>
      <c r="N1115">
        <v>14094</v>
      </c>
      <c r="O1115">
        <v>0</v>
      </c>
      <c r="R1115" t="s">
        <v>1208</v>
      </c>
      <c r="T1115">
        <v>52</v>
      </c>
      <c r="V1115" t="s">
        <v>2024</v>
      </c>
      <c r="W1115" t="s">
        <v>1257</v>
      </c>
      <c r="X1115">
        <v>426</v>
      </c>
      <c r="Z1115" t="s">
        <v>865</v>
      </c>
      <c r="AA1115" t="s">
        <v>387</v>
      </c>
      <c r="AB1115">
        <v>0</v>
      </c>
      <c r="AC1115">
        <v>5405</v>
      </c>
      <c r="AD1115" t="s">
        <v>3663</v>
      </c>
      <c r="AE1115">
        <v>36</v>
      </c>
      <c r="AF1115" t="s">
        <v>3664</v>
      </c>
      <c r="AG1115" t="s">
        <v>2288</v>
      </c>
      <c r="AH1115" t="s">
        <v>3665</v>
      </c>
    </row>
    <row r="1116" spans="1:34" x14ac:dyDescent="0.25">
      <c r="A1116">
        <v>749</v>
      </c>
      <c r="C1116" s="185"/>
      <c r="E1116" t="s">
        <v>386</v>
      </c>
      <c r="F1116" t="s">
        <v>3666</v>
      </c>
      <c r="G1116" t="s">
        <v>1192</v>
      </c>
      <c r="H1116" t="s">
        <v>3667</v>
      </c>
      <c r="I1116">
        <v>14115</v>
      </c>
      <c r="J1116" t="s">
        <v>3666</v>
      </c>
      <c r="K1116" t="s">
        <v>3668</v>
      </c>
      <c r="L1116" t="s">
        <v>386</v>
      </c>
      <c r="M1116" t="s">
        <v>1193</v>
      </c>
      <c r="N1116">
        <v>14115</v>
      </c>
      <c r="O1116">
        <v>0</v>
      </c>
      <c r="R1116" t="s">
        <v>1208</v>
      </c>
      <c r="T1116">
        <v>571</v>
      </c>
      <c r="V1116" t="s">
        <v>2003</v>
      </c>
      <c r="W1116" t="s">
        <v>2073</v>
      </c>
      <c r="X1116">
        <v>372</v>
      </c>
      <c r="Z1116" t="s">
        <v>3669</v>
      </c>
      <c r="AA1116" t="s">
        <v>387</v>
      </c>
      <c r="AB1116">
        <v>0</v>
      </c>
      <c r="AC1116">
        <v>2231</v>
      </c>
      <c r="AD1116" t="s">
        <v>3670</v>
      </c>
      <c r="AE1116">
        <v>1</v>
      </c>
      <c r="AF1116" t="s">
        <v>1922</v>
      </c>
      <c r="AG1116" t="s">
        <v>3671</v>
      </c>
      <c r="AH1116" t="s">
        <v>3672</v>
      </c>
    </row>
    <row r="1117" spans="1:34" x14ac:dyDescent="0.25">
      <c r="A1117">
        <v>2030</v>
      </c>
      <c r="C1117" s="185"/>
      <c r="E1117" t="s">
        <v>386</v>
      </c>
      <c r="F1117" t="s">
        <v>557</v>
      </c>
      <c r="G1117" t="s">
        <v>1197</v>
      </c>
      <c r="I1117">
        <v>14116</v>
      </c>
      <c r="J1117" t="s">
        <v>557</v>
      </c>
      <c r="K1117" t="s">
        <v>3673</v>
      </c>
      <c r="L1117" t="s">
        <v>386</v>
      </c>
      <c r="M1117" t="s">
        <v>1193</v>
      </c>
      <c r="N1117">
        <v>14116</v>
      </c>
      <c r="O1117">
        <v>56</v>
      </c>
      <c r="R1117" t="s">
        <v>398</v>
      </c>
      <c r="T1117">
        <v>473</v>
      </c>
      <c r="V1117" t="s">
        <v>1964</v>
      </c>
      <c r="W1117" t="s">
        <v>2186</v>
      </c>
      <c r="X1117">
        <v>396</v>
      </c>
      <c r="Z1117" t="s">
        <v>3384</v>
      </c>
      <c r="AA1117" t="s">
        <v>387</v>
      </c>
      <c r="AB1117">
        <v>48000</v>
      </c>
      <c r="AC1117">
        <v>5437</v>
      </c>
      <c r="AD1117" t="s">
        <v>3674</v>
      </c>
      <c r="AE1117">
        <v>0</v>
      </c>
      <c r="AF1117" t="s">
        <v>1188</v>
      </c>
      <c r="AG1117" t="s">
        <v>3675</v>
      </c>
      <c r="AH1117" t="s">
        <v>3676</v>
      </c>
    </row>
    <row r="1118" spans="1:34" x14ac:dyDescent="0.25">
      <c r="A1118">
        <v>44</v>
      </c>
      <c r="C1118" s="185"/>
      <c r="E1118" t="s">
        <v>386</v>
      </c>
      <c r="F1118" t="s">
        <v>3677</v>
      </c>
      <c r="G1118" t="s">
        <v>1192</v>
      </c>
      <c r="H1118" t="s">
        <v>3678</v>
      </c>
      <c r="I1118">
        <v>14155</v>
      </c>
      <c r="J1118" t="s">
        <v>3677</v>
      </c>
      <c r="K1118" t="s">
        <v>3679</v>
      </c>
      <c r="L1118" t="s">
        <v>386</v>
      </c>
      <c r="M1118" t="s">
        <v>1193</v>
      </c>
      <c r="N1118">
        <v>14155</v>
      </c>
      <c r="O1118">
        <v>0</v>
      </c>
      <c r="R1118" t="s">
        <v>1208</v>
      </c>
      <c r="T1118">
        <v>571</v>
      </c>
      <c r="V1118" t="s">
        <v>2003</v>
      </c>
      <c r="W1118" t="s">
        <v>2073</v>
      </c>
      <c r="X1118">
        <v>372</v>
      </c>
      <c r="Z1118" t="s">
        <v>1052</v>
      </c>
      <c r="AA1118" t="s">
        <v>387</v>
      </c>
      <c r="AB1118">
        <v>0</v>
      </c>
      <c r="AC1118">
        <v>5354</v>
      </c>
      <c r="AD1118" t="s">
        <v>3680</v>
      </c>
      <c r="AE1118">
        <v>1</v>
      </c>
      <c r="AF1118" t="s">
        <v>1922</v>
      </c>
      <c r="AG1118" t="s">
        <v>3681</v>
      </c>
      <c r="AH1118" t="s">
        <v>3682</v>
      </c>
    </row>
    <row r="1119" spans="1:34" x14ac:dyDescent="0.25">
      <c r="A1119">
        <v>1</v>
      </c>
      <c r="C1119" s="185"/>
      <c r="E1119" t="s">
        <v>386</v>
      </c>
      <c r="F1119" t="s">
        <v>687</v>
      </c>
      <c r="G1119" t="s">
        <v>1192</v>
      </c>
      <c r="H1119" t="s">
        <v>3683</v>
      </c>
      <c r="I1119">
        <v>14179</v>
      </c>
      <c r="J1119" t="s">
        <v>687</v>
      </c>
      <c r="K1119" t="s">
        <v>687</v>
      </c>
      <c r="L1119" t="s">
        <v>386</v>
      </c>
      <c r="M1119" t="s">
        <v>1184</v>
      </c>
      <c r="N1119">
        <v>14179</v>
      </c>
      <c r="O1119">
        <v>0</v>
      </c>
      <c r="R1119" t="s">
        <v>1208</v>
      </c>
      <c r="T1119">
        <v>260</v>
      </c>
      <c r="V1119" t="s">
        <v>1216</v>
      </c>
      <c r="W1119" t="s">
        <v>1988</v>
      </c>
      <c r="X1119">
        <v>122</v>
      </c>
      <c r="Z1119" t="s">
        <v>865</v>
      </c>
      <c r="AA1119" t="s">
        <v>387</v>
      </c>
      <c r="AB1119">
        <v>0</v>
      </c>
      <c r="AC1119">
        <v>6512</v>
      </c>
      <c r="AD1119" t="s">
        <v>3684</v>
      </c>
      <c r="AE1119">
        <v>802</v>
      </c>
      <c r="AF1119" t="s">
        <v>2620</v>
      </c>
      <c r="AG1119" t="s">
        <v>3685</v>
      </c>
    </row>
    <row r="1120" spans="1:34" x14ac:dyDescent="0.25">
      <c r="A1120">
        <v>1</v>
      </c>
      <c r="C1120" s="185"/>
      <c r="E1120" t="s">
        <v>386</v>
      </c>
      <c r="F1120" t="s">
        <v>3686</v>
      </c>
      <c r="G1120" t="s">
        <v>1192</v>
      </c>
      <c r="H1120" t="s">
        <v>3687</v>
      </c>
      <c r="I1120">
        <v>14230</v>
      </c>
      <c r="J1120" t="s">
        <v>3686</v>
      </c>
      <c r="K1120" t="s">
        <v>3688</v>
      </c>
      <c r="L1120" t="s">
        <v>386</v>
      </c>
      <c r="M1120" t="s">
        <v>1193</v>
      </c>
      <c r="N1120">
        <v>14230</v>
      </c>
      <c r="O1120">
        <v>0</v>
      </c>
      <c r="R1120" t="s">
        <v>1208</v>
      </c>
      <c r="T1120">
        <v>571</v>
      </c>
      <c r="V1120" t="s">
        <v>2003</v>
      </c>
      <c r="W1120" t="s">
        <v>2073</v>
      </c>
      <c r="X1120">
        <v>372</v>
      </c>
      <c r="Z1120" t="s">
        <v>865</v>
      </c>
      <c r="AA1120" t="s">
        <v>387</v>
      </c>
      <c r="AB1120">
        <v>0</v>
      </c>
      <c r="AC1120">
        <v>274</v>
      </c>
      <c r="AD1120" t="s">
        <v>3689</v>
      </c>
      <c r="AE1120">
        <v>84</v>
      </c>
      <c r="AF1120" t="s">
        <v>1034</v>
      </c>
      <c r="AG1120" t="s">
        <v>3690</v>
      </c>
      <c r="AH1120" t="s">
        <v>3691</v>
      </c>
    </row>
    <row r="1121" spans="1:34" x14ac:dyDescent="0.25">
      <c r="A1121">
        <v>1</v>
      </c>
      <c r="B1121" t="s">
        <v>1313</v>
      </c>
      <c r="C1121" s="185"/>
      <c r="E1121" t="s">
        <v>386</v>
      </c>
      <c r="F1121" t="s">
        <v>3692</v>
      </c>
      <c r="G1121" t="s">
        <v>1192</v>
      </c>
      <c r="H1121" t="s">
        <v>3693</v>
      </c>
      <c r="I1121">
        <v>14248</v>
      </c>
      <c r="J1121" t="s">
        <v>3692</v>
      </c>
      <c r="K1121" t="s">
        <v>3692</v>
      </c>
      <c r="L1121" t="s">
        <v>386</v>
      </c>
      <c r="M1121" t="s">
        <v>1184</v>
      </c>
      <c r="N1121">
        <v>14248</v>
      </c>
      <c r="O1121">
        <v>0</v>
      </c>
      <c r="R1121" t="s">
        <v>1208</v>
      </c>
      <c r="S1121" t="s">
        <v>1315</v>
      </c>
      <c r="T1121">
        <v>434</v>
      </c>
      <c r="U1121">
        <v>0</v>
      </c>
      <c r="V1121" t="s">
        <v>3694</v>
      </c>
      <c r="W1121" t="s">
        <v>3694</v>
      </c>
      <c r="X1121">
        <v>434</v>
      </c>
      <c r="Y1121" t="s">
        <v>1317</v>
      </c>
      <c r="Z1121" t="s">
        <v>865</v>
      </c>
      <c r="AA1121" t="s">
        <v>386</v>
      </c>
      <c r="AB1121">
        <v>0</v>
      </c>
      <c r="AC1121">
        <v>6441</v>
      </c>
      <c r="AD1121" t="s">
        <v>3695</v>
      </c>
      <c r="AE1121">
        <v>26</v>
      </c>
      <c r="AF1121" t="s">
        <v>2075</v>
      </c>
      <c r="AG1121" t="s">
        <v>3696</v>
      </c>
      <c r="AH1121" t="s">
        <v>3697</v>
      </c>
    </row>
    <row r="1122" spans="1:34" x14ac:dyDescent="0.25">
      <c r="A1122">
        <v>1872</v>
      </c>
      <c r="C1122" s="185"/>
      <c r="E1122" t="s">
        <v>386</v>
      </c>
      <c r="F1122" t="s">
        <v>3698</v>
      </c>
      <c r="G1122" t="s">
        <v>1192</v>
      </c>
      <c r="H1122" t="s">
        <v>3699</v>
      </c>
      <c r="I1122">
        <v>14261</v>
      </c>
      <c r="J1122" t="s">
        <v>3698</v>
      </c>
      <c r="K1122" t="s">
        <v>3700</v>
      </c>
      <c r="L1122" t="s">
        <v>386</v>
      </c>
      <c r="M1122" t="s">
        <v>1193</v>
      </c>
      <c r="N1122">
        <v>14261</v>
      </c>
      <c r="O1122">
        <v>0</v>
      </c>
      <c r="R1122" t="s">
        <v>1208</v>
      </c>
      <c r="T1122">
        <v>372</v>
      </c>
      <c r="V1122" t="s">
        <v>2073</v>
      </c>
      <c r="W1122" t="s">
        <v>2073</v>
      </c>
      <c r="X1122">
        <v>372</v>
      </c>
      <c r="Z1122" t="s">
        <v>1267</v>
      </c>
      <c r="AA1122" t="s">
        <v>387</v>
      </c>
      <c r="AB1122">
        <v>0</v>
      </c>
      <c r="AC1122">
        <v>5403</v>
      </c>
      <c r="AD1122" t="s">
        <v>3701</v>
      </c>
      <c r="AE1122">
        <v>1</v>
      </c>
      <c r="AF1122" t="s">
        <v>1922</v>
      </c>
      <c r="AG1122" t="s">
        <v>3702</v>
      </c>
    </row>
    <row r="1123" spans="1:34" x14ac:dyDescent="0.25">
      <c r="A1123">
        <v>1</v>
      </c>
      <c r="C1123" s="185"/>
      <c r="E1123" t="s">
        <v>386</v>
      </c>
      <c r="F1123" t="s">
        <v>3703</v>
      </c>
      <c r="G1123" t="s">
        <v>1192</v>
      </c>
      <c r="H1123" t="s">
        <v>3704</v>
      </c>
      <c r="I1123">
        <v>14265</v>
      </c>
      <c r="J1123" t="s">
        <v>3703</v>
      </c>
      <c r="K1123" t="s">
        <v>3703</v>
      </c>
      <c r="L1123" t="s">
        <v>386</v>
      </c>
      <c r="M1123" t="s">
        <v>1193</v>
      </c>
      <c r="N1123">
        <v>14265</v>
      </c>
      <c r="O1123">
        <v>0</v>
      </c>
      <c r="R1123" t="s">
        <v>1208</v>
      </c>
      <c r="T1123">
        <v>571</v>
      </c>
      <c r="V1123" t="s">
        <v>2003</v>
      </c>
      <c r="W1123" t="s">
        <v>1199</v>
      </c>
      <c r="X1123">
        <v>200</v>
      </c>
      <c r="Z1123" t="s">
        <v>865</v>
      </c>
      <c r="AA1123" t="s">
        <v>387</v>
      </c>
      <c r="AB1123">
        <v>0</v>
      </c>
      <c r="AC1123">
        <v>5406</v>
      </c>
      <c r="AD1123" t="s">
        <v>3705</v>
      </c>
      <c r="AE1123">
        <v>994</v>
      </c>
      <c r="AF1123" t="s">
        <v>3706</v>
      </c>
      <c r="AG1123" t="s">
        <v>3707</v>
      </c>
      <c r="AH1123" t="s">
        <v>3708</v>
      </c>
    </row>
    <row r="1124" spans="1:34" x14ac:dyDescent="0.25">
      <c r="A1124">
        <v>95</v>
      </c>
      <c r="C1124" s="185"/>
      <c r="E1124" t="s">
        <v>386</v>
      </c>
      <c r="F1124" t="s">
        <v>3709</v>
      </c>
      <c r="G1124" t="s">
        <v>1192</v>
      </c>
      <c r="H1124" t="s">
        <v>3710</v>
      </c>
      <c r="I1124">
        <v>14274</v>
      </c>
      <c r="J1124" t="s">
        <v>3709</v>
      </c>
      <c r="K1124" t="s">
        <v>3711</v>
      </c>
      <c r="L1124" t="s">
        <v>386</v>
      </c>
      <c r="M1124" t="s">
        <v>1193</v>
      </c>
      <c r="N1124">
        <v>14274</v>
      </c>
      <c r="O1124">
        <v>0</v>
      </c>
      <c r="R1124" t="s">
        <v>1208</v>
      </c>
      <c r="T1124">
        <v>571</v>
      </c>
      <c r="V1124" t="s">
        <v>2003</v>
      </c>
      <c r="W1124" t="s">
        <v>2073</v>
      </c>
      <c r="X1124">
        <v>372</v>
      </c>
      <c r="Z1124" t="s">
        <v>952</v>
      </c>
      <c r="AA1124" t="s">
        <v>387</v>
      </c>
      <c r="AB1124">
        <v>0</v>
      </c>
      <c r="AC1124">
        <v>5412</v>
      </c>
      <c r="AD1124" t="s">
        <v>3712</v>
      </c>
      <c r="AE1124">
        <v>1827</v>
      </c>
      <c r="AF1124" t="s">
        <v>3713</v>
      </c>
      <c r="AG1124" t="s">
        <v>3714</v>
      </c>
      <c r="AH1124" t="s">
        <v>3715</v>
      </c>
    </row>
    <row r="1125" spans="1:34" x14ac:dyDescent="0.25">
      <c r="A1125">
        <v>138</v>
      </c>
      <c r="C1125" s="185"/>
      <c r="E1125" t="s">
        <v>386</v>
      </c>
      <c r="F1125" t="s">
        <v>3716</v>
      </c>
      <c r="G1125" t="s">
        <v>1192</v>
      </c>
      <c r="H1125" t="s">
        <v>3717</v>
      </c>
      <c r="I1125">
        <v>14279</v>
      </c>
      <c r="J1125" t="s">
        <v>3716</v>
      </c>
      <c r="K1125" t="s">
        <v>3716</v>
      </c>
      <c r="L1125" t="s">
        <v>386</v>
      </c>
      <c r="M1125" t="s">
        <v>1193</v>
      </c>
      <c r="N1125">
        <v>14279</v>
      </c>
      <c r="O1125">
        <v>0</v>
      </c>
      <c r="R1125" t="s">
        <v>1208</v>
      </c>
      <c r="T1125">
        <v>571</v>
      </c>
      <c r="V1125" t="s">
        <v>2003</v>
      </c>
      <c r="W1125" t="s">
        <v>1530</v>
      </c>
      <c r="X1125">
        <v>103</v>
      </c>
      <c r="Z1125" t="s">
        <v>3613</v>
      </c>
      <c r="AA1125" t="s">
        <v>387</v>
      </c>
      <c r="AB1125">
        <v>0</v>
      </c>
      <c r="AC1125">
        <v>5413</v>
      </c>
      <c r="AD1125" t="s">
        <v>3718</v>
      </c>
      <c r="AE1125">
        <v>474</v>
      </c>
      <c r="AF1125" t="s">
        <v>3719</v>
      </c>
      <c r="AG1125" t="s">
        <v>3720</v>
      </c>
      <c r="AH1125" t="s">
        <v>3721</v>
      </c>
    </row>
    <row r="1126" spans="1:34" x14ac:dyDescent="0.25">
      <c r="A1126">
        <v>50</v>
      </c>
      <c r="C1126" s="185"/>
      <c r="E1126" t="s">
        <v>386</v>
      </c>
      <c r="F1126" t="s">
        <v>3722</v>
      </c>
      <c r="G1126" t="s">
        <v>1192</v>
      </c>
      <c r="H1126" t="s">
        <v>3723</v>
      </c>
      <c r="I1126">
        <v>14336</v>
      </c>
      <c r="J1126" t="s">
        <v>3722</v>
      </c>
      <c r="K1126" t="s">
        <v>3722</v>
      </c>
      <c r="L1126" t="s">
        <v>386</v>
      </c>
      <c r="M1126" t="s">
        <v>1184</v>
      </c>
      <c r="N1126">
        <v>14336</v>
      </c>
      <c r="O1126">
        <v>0</v>
      </c>
      <c r="T1126">
        <v>103</v>
      </c>
      <c r="V1126" t="s">
        <v>1530</v>
      </c>
      <c r="W1126" t="s">
        <v>1530</v>
      </c>
      <c r="X1126">
        <v>103</v>
      </c>
      <c r="Z1126" t="s">
        <v>878</v>
      </c>
      <c r="AA1126" t="s">
        <v>387</v>
      </c>
      <c r="AB1126">
        <v>0</v>
      </c>
      <c r="AC1126">
        <v>5434</v>
      </c>
      <c r="AD1126" t="s">
        <v>3724</v>
      </c>
      <c r="AE1126">
        <v>1556</v>
      </c>
      <c r="AF1126" t="s">
        <v>3725</v>
      </c>
      <c r="AG1126" t="s">
        <v>3726</v>
      </c>
      <c r="AH1126" t="s">
        <v>3727</v>
      </c>
    </row>
    <row r="1127" spans="1:34" x14ac:dyDescent="0.25">
      <c r="A1127">
        <v>1488</v>
      </c>
      <c r="C1127" s="185"/>
      <c r="E1127" t="s">
        <v>386</v>
      </c>
      <c r="F1127" t="s">
        <v>3728</v>
      </c>
      <c r="G1127" t="s">
        <v>1197</v>
      </c>
      <c r="I1127">
        <v>14360</v>
      </c>
      <c r="J1127" t="s">
        <v>3728</v>
      </c>
      <c r="K1127" t="s">
        <v>3728</v>
      </c>
      <c r="L1127" t="s">
        <v>386</v>
      </c>
      <c r="M1127" t="s">
        <v>1193</v>
      </c>
      <c r="N1127">
        <v>14360</v>
      </c>
      <c r="O1127">
        <v>0</v>
      </c>
      <c r="T1127">
        <v>220</v>
      </c>
      <c r="V1127" t="s">
        <v>1194</v>
      </c>
      <c r="W1127" t="s">
        <v>1216</v>
      </c>
      <c r="X1127">
        <v>260</v>
      </c>
      <c r="Z1127" t="s">
        <v>2366</v>
      </c>
      <c r="AA1127" t="s">
        <v>387</v>
      </c>
      <c r="AB1127">
        <v>0</v>
      </c>
      <c r="AC1127">
        <v>5452</v>
      </c>
      <c r="AD1127" t="s">
        <v>3729</v>
      </c>
      <c r="AE1127">
        <v>0</v>
      </c>
      <c r="AF1127" t="s">
        <v>1188</v>
      </c>
      <c r="AG1127" t="s">
        <v>3730</v>
      </c>
    </row>
    <row r="1128" spans="1:34" x14ac:dyDescent="0.25">
      <c r="A1128">
        <v>1</v>
      </c>
      <c r="C1128" s="185"/>
      <c r="E1128" t="s">
        <v>386</v>
      </c>
      <c r="F1128" t="s">
        <v>373</v>
      </c>
      <c r="G1128" t="s">
        <v>1192</v>
      </c>
      <c r="H1128" t="s">
        <v>3731</v>
      </c>
      <c r="I1128">
        <v>14371</v>
      </c>
      <c r="J1128" t="s">
        <v>373</v>
      </c>
      <c r="K1128" t="s">
        <v>373</v>
      </c>
      <c r="L1128" t="s">
        <v>386</v>
      </c>
      <c r="M1128" t="s">
        <v>1184</v>
      </c>
      <c r="N1128">
        <v>14371</v>
      </c>
      <c r="O1128">
        <v>0</v>
      </c>
      <c r="R1128" t="s">
        <v>1208</v>
      </c>
      <c r="T1128">
        <v>122</v>
      </c>
      <c r="V1128" t="s">
        <v>1988</v>
      </c>
      <c r="W1128" t="s">
        <v>1988</v>
      </c>
      <c r="X1128">
        <v>122</v>
      </c>
      <c r="Z1128" t="s">
        <v>865</v>
      </c>
      <c r="AA1128" t="s">
        <v>387</v>
      </c>
      <c r="AB1128">
        <v>0</v>
      </c>
      <c r="AC1128">
        <v>3844</v>
      </c>
      <c r="AD1128" t="s">
        <v>3732</v>
      </c>
      <c r="AE1128">
        <v>652</v>
      </c>
      <c r="AF1128" t="s">
        <v>2859</v>
      </c>
      <c r="AG1128" t="s">
        <v>3733</v>
      </c>
    </row>
    <row r="1129" spans="1:34" x14ac:dyDescent="0.25">
      <c r="A1129">
        <v>1</v>
      </c>
      <c r="C1129" s="185"/>
      <c r="E1129" t="s">
        <v>386</v>
      </c>
      <c r="F1129" t="s">
        <v>245</v>
      </c>
      <c r="G1129" t="s">
        <v>1192</v>
      </c>
      <c r="H1129" t="s">
        <v>3734</v>
      </c>
      <c r="I1129">
        <v>14447</v>
      </c>
      <c r="J1129" t="s">
        <v>245</v>
      </c>
      <c r="K1129" t="s">
        <v>245</v>
      </c>
      <c r="L1129" t="s">
        <v>386</v>
      </c>
      <c r="M1129" t="s">
        <v>1184</v>
      </c>
      <c r="N1129">
        <v>14447</v>
      </c>
      <c r="O1129">
        <v>0</v>
      </c>
      <c r="T1129">
        <v>260</v>
      </c>
      <c r="V1129" t="s">
        <v>1216</v>
      </c>
      <c r="W1129" t="s">
        <v>1216</v>
      </c>
      <c r="X1129">
        <v>260</v>
      </c>
      <c r="Z1129" t="s">
        <v>865</v>
      </c>
      <c r="AA1129" t="s">
        <v>387</v>
      </c>
      <c r="AB1129">
        <v>0</v>
      </c>
      <c r="AC1129">
        <v>5493</v>
      </c>
      <c r="AD1129" t="s">
        <v>3735</v>
      </c>
      <c r="AE1129">
        <v>409</v>
      </c>
      <c r="AF1129" t="s">
        <v>3131</v>
      </c>
      <c r="AG1129" t="s">
        <v>3736</v>
      </c>
      <c r="AH1129" t="s">
        <v>3737</v>
      </c>
    </row>
    <row r="1130" spans="1:34" x14ac:dyDescent="0.25">
      <c r="A1130">
        <v>2103</v>
      </c>
      <c r="C1130" s="185"/>
      <c r="E1130" t="s">
        <v>386</v>
      </c>
      <c r="F1130" t="s">
        <v>3738</v>
      </c>
      <c r="G1130" t="s">
        <v>1238</v>
      </c>
      <c r="H1130" t="s">
        <v>3739</v>
      </c>
      <c r="I1130">
        <v>14497</v>
      </c>
      <c r="J1130" t="s">
        <v>3738</v>
      </c>
      <c r="K1130" t="s">
        <v>3740</v>
      </c>
      <c r="L1130" t="s">
        <v>386</v>
      </c>
      <c r="M1130" t="s">
        <v>1193</v>
      </c>
      <c r="N1130">
        <v>14497</v>
      </c>
      <c r="O1130">
        <v>0</v>
      </c>
      <c r="T1130">
        <v>571</v>
      </c>
      <c r="V1130" t="s">
        <v>2003</v>
      </c>
      <c r="W1130" t="s">
        <v>2024</v>
      </c>
      <c r="X1130">
        <v>52</v>
      </c>
      <c r="Z1130" t="s">
        <v>3741</v>
      </c>
      <c r="AA1130" t="s">
        <v>387</v>
      </c>
      <c r="AB1130">
        <v>0</v>
      </c>
      <c r="AC1130">
        <v>791</v>
      </c>
      <c r="AD1130" t="s">
        <v>3742</v>
      </c>
      <c r="AE1130">
        <v>2552</v>
      </c>
      <c r="AF1130" t="s">
        <v>3743</v>
      </c>
      <c r="AG1130" t="s">
        <v>2044</v>
      </c>
      <c r="AH1130" t="s">
        <v>3744</v>
      </c>
    </row>
    <row r="1131" spans="1:34" x14ac:dyDescent="0.25">
      <c r="A1131">
        <v>1934</v>
      </c>
      <c r="C1131" s="185"/>
      <c r="E1131" t="s">
        <v>386</v>
      </c>
      <c r="F1131" t="s">
        <v>3745</v>
      </c>
      <c r="G1131" t="s">
        <v>1197</v>
      </c>
      <c r="H1131" t="s">
        <v>3746</v>
      </c>
      <c r="I1131">
        <v>14514</v>
      </c>
      <c r="J1131" t="s">
        <v>3745</v>
      </c>
      <c r="K1131" t="s">
        <v>3747</v>
      </c>
      <c r="L1131" t="s">
        <v>386</v>
      </c>
      <c r="M1131" t="s">
        <v>1193</v>
      </c>
      <c r="N1131">
        <v>14514</v>
      </c>
      <c r="O1131">
        <v>0</v>
      </c>
      <c r="T1131">
        <v>571</v>
      </c>
      <c r="V1131" t="s">
        <v>2003</v>
      </c>
      <c r="W1131" t="s">
        <v>3129</v>
      </c>
      <c r="X1131">
        <v>435</v>
      </c>
      <c r="Z1131" t="s">
        <v>3748</v>
      </c>
      <c r="AA1131" t="s">
        <v>387</v>
      </c>
      <c r="AB1131">
        <v>0</v>
      </c>
      <c r="AC1131">
        <v>5518</v>
      </c>
      <c r="AD1131" t="s">
        <v>3749</v>
      </c>
      <c r="AE1131">
        <v>1</v>
      </c>
      <c r="AF1131" t="s">
        <v>1922</v>
      </c>
      <c r="AG1131" t="s">
        <v>3750</v>
      </c>
      <c r="AH1131" t="s">
        <v>3751</v>
      </c>
    </row>
    <row r="1132" spans="1:34" x14ac:dyDescent="0.25">
      <c r="A1132">
        <v>2105</v>
      </c>
      <c r="C1132" s="185"/>
      <c r="E1132" t="s">
        <v>386</v>
      </c>
      <c r="F1132" t="s">
        <v>3752</v>
      </c>
      <c r="G1132" t="s">
        <v>1197</v>
      </c>
      <c r="I1132">
        <v>14559</v>
      </c>
      <c r="J1132" t="s">
        <v>3752</v>
      </c>
      <c r="K1132" t="s">
        <v>3753</v>
      </c>
      <c r="L1132" t="s">
        <v>386</v>
      </c>
      <c r="M1132" t="s">
        <v>1193</v>
      </c>
      <c r="N1132">
        <v>14559</v>
      </c>
      <c r="O1132">
        <v>0</v>
      </c>
      <c r="T1132">
        <v>260</v>
      </c>
      <c r="V1132" t="s">
        <v>1216</v>
      </c>
      <c r="W1132" t="s">
        <v>1216</v>
      </c>
      <c r="X1132">
        <v>260</v>
      </c>
      <c r="Z1132" t="s">
        <v>3754</v>
      </c>
      <c r="AA1132" t="s">
        <v>387</v>
      </c>
      <c r="AB1132">
        <v>0</v>
      </c>
      <c r="AC1132">
        <v>5535</v>
      </c>
      <c r="AD1132" t="s">
        <v>3755</v>
      </c>
      <c r="AE1132">
        <v>2568</v>
      </c>
      <c r="AF1132" t="s">
        <v>3756</v>
      </c>
    </row>
    <row r="1133" spans="1:34" x14ac:dyDescent="0.25">
      <c r="A1133">
        <v>1</v>
      </c>
      <c r="C1133" s="185"/>
      <c r="E1133" t="s">
        <v>386</v>
      </c>
      <c r="F1133" t="s">
        <v>3757</v>
      </c>
      <c r="G1133" t="s">
        <v>1197</v>
      </c>
      <c r="H1133" t="s">
        <v>3758</v>
      </c>
      <c r="I1133">
        <v>14572</v>
      </c>
      <c r="J1133" t="s">
        <v>3757</v>
      </c>
      <c r="K1133" t="s">
        <v>3759</v>
      </c>
      <c r="L1133" t="s">
        <v>386</v>
      </c>
      <c r="M1133" t="s">
        <v>1193</v>
      </c>
      <c r="N1133">
        <v>14572</v>
      </c>
      <c r="O1133">
        <v>0</v>
      </c>
      <c r="R1133" t="s">
        <v>1208</v>
      </c>
      <c r="T1133">
        <v>571</v>
      </c>
      <c r="V1133" t="s">
        <v>2003</v>
      </c>
      <c r="W1133" t="s">
        <v>2003</v>
      </c>
      <c r="X1133">
        <v>571</v>
      </c>
      <c r="Z1133" t="s">
        <v>865</v>
      </c>
      <c r="AA1133" t="s">
        <v>387</v>
      </c>
      <c r="AB1133">
        <v>0</v>
      </c>
      <c r="AC1133">
        <v>5539</v>
      </c>
      <c r="AD1133" t="s">
        <v>3760</v>
      </c>
      <c r="AE1133">
        <v>409</v>
      </c>
      <c r="AF1133" t="s">
        <v>3131</v>
      </c>
      <c r="AG1133" t="s">
        <v>3761</v>
      </c>
      <c r="AH1133" t="s">
        <v>3762</v>
      </c>
    </row>
    <row r="1134" spans="1:34" x14ac:dyDescent="0.25">
      <c r="A1134">
        <v>1</v>
      </c>
      <c r="C1134" s="185"/>
      <c r="E1134" t="s">
        <v>386</v>
      </c>
      <c r="F1134" t="s">
        <v>3763</v>
      </c>
      <c r="G1134" t="s">
        <v>1192</v>
      </c>
      <c r="H1134" t="s">
        <v>3764</v>
      </c>
      <c r="I1134">
        <v>14659</v>
      </c>
      <c r="J1134" t="s">
        <v>3763</v>
      </c>
      <c r="K1134" t="s">
        <v>3765</v>
      </c>
      <c r="L1134" t="s">
        <v>386</v>
      </c>
      <c r="M1134" t="s">
        <v>1193</v>
      </c>
      <c r="N1134">
        <v>14659</v>
      </c>
      <c r="O1134">
        <v>0</v>
      </c>
      <c r="T1134">
        <v>571</v>
      </c>
      <c r="V1134" t="s">
        <v>2003</v>
      </c>
      <c r="W1134" t="s">
        <v>2073</v>
      </c>
      <c r="X1134">
        <v>372</v>
      </c>
      <c r="Z1134" t="s">
        <v>865</v>
      </c>
      <c r="AA1134" t="s">
        <v>387</v>
      </c>
      <c r="AB1134">
        <v>0</v>
      </c>
      <c r="AC1134">
        <v>5569</v>
      </c>
      <c r="AD1134" t="s">
        <v>3766</v>
      </c>
      <c r="AE1134">
        <v>78</v>
      </c>
      <c r="AF1134" t="s">
        <v>3061</v>
      </c>
      <c r="AG1134" t="s">
        <v>3236</v>
      </c>
      <c r="AH1134" t="s">
        <v>3767</v>
      </c>
    </row>
    <row r="1135" spans="1:34" x14ac:dyDescent="0.25">
      <c r="A1135">
        <v>51</v>
      </c>
      <c r="C1135" s="185"/>
      <c r="E1135" t="s">
        <v>386</v>
      </c>
      <c r="F1135" t="s">
        <v>3768</v>
      </c>
      <c r="G1135" t="s">
        <v>1192</v>
      </c>
      <c r="H1135" t="s">
        <v>3769</v>
      </c>
      <c r="I1135">
        <v>14671</v>
      </c>
      <c r="J1135" t="s">
        <v>3768</v>
      </c>
      <c r="K1135" t="s">
        <v>3768</v>
      </c>
      <c r="L1135" t="s">
        <v>386</v>
      </c>
      <c r="M1135" t="s">
        <v>1193</v>
      </c>
      <c r="N1135">
        <v>14671</v>
      </c>
      <c r="O1135">
        <v>0</v>
      </c>
      <c r="T1135">
        <v>340</v>
      </c>
      <c r="V1135" t="s">
        <v>1200</v>
      </c>
      <c r="W1135" t="s">
        <v>3129</v>
      </c>
      <c r="X1135">
        <v>435</v>
      </c>
      <c r="Z1135" t="s">
        <v>1109</v>
      </c>
      <c r="AA1135" t="s">
        <v>387</v>
      </c>
      <c r="AB1135">
        <v>0</v>
      </c>
      <c r="AC1135">
        <v>5572</v>
      </c>
      <c r="AD1135" t="s">
        <v>3770</v>
      </c>
      <c r="AE1135">
        <v>1</v>
      </c>
      <c r="AF1135" t="s">
        <v>1922</v>
      </c>
      <c r="AG1135" t="s">
        <v>3771</v>
      </c>
      <c r="AH1135" t="s">
        <v>3772</v>
      </c>
    </row>
    <row r="1136" spans="1:34" x14ac:dyDescent="0.25">
      <c r="A1136">
        <v>2112</v>
      </c>
      <c r="C1136" s="185"/>
      <c r="E1136" t="s">
        <v>386</v>
      </c>
      <c r="F1136" t="s">
        <v>3773</v>
      </c>
      <c r="G1136" t="s">
        <v>1192</v>
      </c>
      <c r="I1136">
        <v>14730</v>
      </c>
      <c r="J1136" t="s">
        <v>3773</v>
      </c>
      <c r="K1136" t="s">
        <v>3774</v>
      </c>
      <c r="L1136" t="s">
        <v>386</v>
      </c>
      <c r="M1136" t="s">
        <v>1193</v>
      </c>
      <c r="N1136">
        <v>14730</v>
      </c>
      <c r="O1136">
        <v>0</v>
      </c>
      <c r="R1136" t="s">
        <v>398</v>
      </c>
      <c r="T1136">
        <v>103</v>
      </c>
      <c r="V1136" t="s">
        <v>1530</v>
      </c>
      <c r="W1136" t="s">
        <v>1530</v>
      </c>
      <c r="X1136">
        <v>103</v>
      </c>
      <c r="Z1136" t="s">
        <v>3775</v>
      </c>
      <c r="AA1136" t="s">
        <v>387</v>
      </c>
      <c r="AB1136">
        <v>0</v>
      </c>
      <c r="AC1136">
        <v>5598</v>
      </c>
      <c r="AD1136" t="s">
        <v>3776</v>
      </c>
      <c r="AE1136">
        <v>0</v>
      </c>
      <c r="AF1136" t="s">
        <v>1188</v>
      </c>
      <c r="AG1136" t="s">
        <v>3777</v>
      </c>
    </row>
    <row r="1137" spans="1:34" x14ac:dyDescent="0.25">
      <c r="A1137">
        <v>1</v>
      </c>
      <c r="C1137" s="185"/>
      <c r="E1137" t="s">
        <v>386</v>
      </c>
      <c r="F1137" t="s">
        <v>3778</v>
      </c>
      <c r="G1137" t="s">
        <v>1192</v>
      </c>
      <c r="H1137" t="s">
        <v>3779</v>
      </c>
      <c r="I1137">
        <v>14737</v>
      </c>
      <c r="J1137" t="s">
        <v>3778</v>
      </c>
      <c r="K1137" t="s">
        <v>3778</v>
      </c>
      <c r="L1137" t="s">
        <v>386</v>
      </c>
      <c r="M1137" t="s">
        <v>1193</v>
      </c>
      <c r="N1137">
        <v>14737</v>
      </c>
      <c r="O1137">
        <v>0</v>
      </c>
      <c r="T1137">
        <v>372</v>
      </c>
      <c r="V1137" t="s">
        <v>2073</v>
      </c>
      <c r="W1137" t="s">
        <v>3129</v>
      </c>
      <c r="X1137">
        <v>435</v>
      </c>
      <c r="Z1137" t="s">
        <v>865</v>
      </c>
      <c r="AA1137" t="s">
        <v>387</v>
      </c>
      <c r="AB1137">
        <v>0</v>
      </c>
      <c r="AC1137">
        <v>5602</v>
      </c>
      <c r="AD1137" t="s">
        <v>3780</v>
      </c>
      <c r="AE1137">
        <v>396</v>
      </c>
      <c r="AF1137" t="s">
        <v>3781</v>
      </c>
      <c r="AG1137" t="s">
        <v>3782</v>
      </c>
      <c r="AH1137" t="s">
        <v>3783</v>
      </c>
    </row>
    <row r="1138" spans="1:34" x14ac:dyDescent="0.25">
      <c r="A1138">
        <v>2116</v>
      </c>
      <c r="C1138" s="185"/>
      <c r="E1138" t="s">
        <v>386</v>
      </c>
      <c r="F1138" t="s">
        <v>3784</v>
      </c>
      <c r="G1138" t="s">
        <v>1197</v>
      </c>
      <c r="H1138" t="s">
        <v>3785</v>
      </c>
      <c r="I1138">
        <v>14778</v>
      </c>
      <c r="J1138" t="s">
        <v>3784</v>
      </c>
      <c r="K1138" t="s">
        <v>3786</v>
      </c>
      <c r="L1138" t="s">
        <v>386</v>
      </c>
      <c r="M1138" t="s">
        <v>1193</v>
      </c>
      <c r="N1138">
        <v>14778</v>
      </c>
      <c r="O1138">
        <v>56</v>
      </c>
      <c r="R1138" t="s">
        <v>398</v>
      </c>
      <c r="T1138">
        <v>220</v>
      </c>
      <c r="V1138" t="s">
        <v>1194</v>
      </c>
      <c r="W1138" t="s">
        <v>1194</v>
      </c>
      <c r="X1138">
        <v>220</v>
      </c>
      <c r="Z1138" t="s">
        <v>3787</v>
      </c>
      <c r="AA1138" t="s">
        <v>387</v>
      </c>
      <c r="AB1138">
        <v>48000</v>
      </c>
      <c r="AC1138">
        <v>5619</v>
      </c>
      <c r="AD1138" t="s">
        <v>3788</v>
      </c>
      <c r="AE1138">
        <v>2598</v>
      </c>
      <c r="AF1138" t="s">
        <v>3789</v>
      </c>
      <c r="AG1138" t="s">
        <v>3790</v>
      </c>
      <c r="AH1138" t="s">
        <v>3791</v>
      </c>
    </row>
    <row r="1139" spans="1:34" x14ac:dyDescent="0.25">
      <c r="A1139">
        <v>1</v>
      </c>
      <c r="C1139" s="185"/>
      <c r="E1139" t="s">
        <v>386</v>
      </c>
      <c r="F1139" t="s">
        <v>3792</v>
      </c>
      <c r="G1139" t="s">
        <v>1192</v>
      </c>
      <c r="H1139" t="s">
        <v>3793</v>
      </c>
      <c r="I1139">
        <v>14827</v>
      </c>
      <c r="J1139" t="s">
        <v>3792</v>
      </c>
      <c r="K1139" t="s">
        <v>3794</v>
      </c>
      <c r="L1139" t="s">
        <v>386</v>
      </c>
      <c r="M1139" t="s">
        <v>1193</v>
      </c>
      <c r="N1139">
        <v>14827</v>
      </c>
      <c r="O1139">
        <v>0</v>
      </c>
      <c r="R1139" t="s">
        <v>1208</v>
      </c>
      <c r="T1139">
        <v>260</v>
      </c>
      <c r="V1139" t="s">
        <v>1216</v>
      </c>
      <c r="W1139" t="s">
        <v>1216</v>
      </c>
      <c r="X1139">
        <v>260</v>
      </c>
      <c r="Z1139" t="s">
        <v>865</v>
      </c>
      <c r="AA1139" t="s">
        <v>387</v>
      </c>
      <c r="AB1139">
        <v>0</v>
      </c>
      <c r="AC1139">
        <v>5646</v>
      </c>
      <c r="AD1139" t="s">
        <v>3795</v>
      </c>
      <c r="AE1139">
        <v>1358</v>
      </c>
      <c r="AF1139" t="s">
        <v>3471</v>
      </c>
      <c r="AG1139" t="s">
        <v>3796</v>
      </c>
      <c r="AH1139" t="s">
        <v>3797</v>
      </c>
    </row>
    <row r="1140" spans="1:34" x14ac:dyDescent="0.25">
      <c r="A1140">
        <v>1408</v>
      </c>
      <c r="C1140" s="185"/>
      <c r="E1140" t="s">
        <v>386</v>
      </c>
      <c r="F1140" t="s">
        <v>3798</v>
      </c>
      <c r="G1140" t="s">
        <v>1197</v>
      </c>
      <c r="H1140" t="s">
        <v>3799</v>
      </c>
      <c r="I1140">
        <v>14888</v>
      </c>
      <c r="J1140" t="s">
        <v>3798</v>
      </c>
      <c r="K1140" t="s">
        <v>3800</v>
      </c>
      <c r="L1140" t="s">
        <v>386</v>
      </c>
      <c r="M1140" t="s">
        <v>1193</v>
      </c>
      <c r="N1140">
        <v>14888</v>
      </c>
      <c r="O1140">
        <v>37</v>
      </c>
      <c r="T1140">
        <v>220</v>
      </c>
      <c r="V1140" t="s">
        <v>1194</v>
      </c>
      <c r="W1140" t="s">
        <v>1194</v>
      </c>
      <c r="X1140">
        <v>220</v>
      </c>
      <c r="Z1140" t="s">
        <v>1036</v>
      </c>
      <c r="AA1140" t="s">
        <v>387</v>
      </c>
      <c r="AB1140">
        <v>29000</v>
      </c>
      <c r="AC1140">
        <v>5663</v>
      </c>
      <c r="AD1140" t="s">
        <v>3801</v>
      </c>
      <c r="AE1140">
        <v>2616</v>
      </c>
      <c r="AF1140" t="s">
        <v>3802</v>
      </c>
      <c r="AG1140" t="s">
        <v>3803</v>
      </c>
      <c r="AH1140" t="s">
        <v>3804</v>
      </c>
    </row>
    <row r="1141" spans="1:34" x14ac:dyDescent="0.25">
      <c r="A1141">
        <v>2118</v>
      </c>
      <c r="C1141" s="185"/>
      <c r="E1141" t="s">
        <v>386</v>
      </c>
      <c r="F1141" t="s">
        <v>3805</v>
      </c>
      <c r="G1141" t="s">
        <v>1197</v>
      </c>
      <c r="H1141" t="s">
        <v>3806</v>
      </c>
      <c r="I1141">
        <v>14890</v>
      </c>
      <c r="J1141" t="s">
        <v>3805</v>
      </c>
      <c r="K1141" t="s">
        <v>3807</v>
      </c>
      <c r="L1141" t="s">
        <v>386</v>
      </c>
      <c r="M1141" t="s">
        <v>1193</v>
      </c>
      <c r="N1141">
        <v>14890</v>
      </c>
      <c r="O1141">
        <v>0</v>
      </c>
      <c r="T1141">
        <v>571</v>
      </c>
      <c r="V1141" t="s">
        <v>2003</v>
      </c>
      <c r="W1141" t="s">
        <v>3129</v>
      </c>
      <c r="X1141">
        <v>435</v>
      </c>
      <c r="Z1141" t="s">
        <v>3808</v>
      </c>
      <c r="AA1141" t="s">
        <v>387</v>
      </c>
      <c r="AB1141">
        <v>0</v>
      </c>
      <c r="AC1141">
        <v>2601</v>
      </c>
      <c r="AD1141" t="s">
        <v>3809</v>
      </c>
      <c r="AE1141">
        <v>18</v>
      </c>
      <c r="AF1141" t="s">
        <v>1259</v>
      </c>
      <c r="AG1141" t="s">
        <v>1244</v>
      </c>
      <c r="AH1141" t="s">
        <v>3810</v>
      </c>
    </row>
    <row r="1142" spans="1:34" x14ac:dyDescent="0.25">
      <c r="A1142">
        <v>2084</v>
      </c>
      <c r="C1142" s="185"/>
      <c r="E1142" t="s">
        <v>386</v>
      </c>
      <c r="F1142" t="s">
        <v>3811</v>
      </c>
      <c r="G1142" t="s">
        <v>1192</v>
      </c>
      <c r="H1142" t="s">
        <v>3812</v>
      </c>
      <c r="I1142">
        <v>14897</v>
      </c>
      <c r="J1142" t="s">
        <v>3811</v>
      </c>
      <c r="K1142" t="s">
        <v>3813</v>
      </c>
      <c r="L1142" t="s">
        <v>386</v>
      </c>
      <c r="M1142" t="s">
        <v>1193</v>
      </c>
      <c r="N1142">
        <v>14897</v>
      </c>
      <c r="O1142">
        <v>0</v>
      </c>
      <c r="T1142">
        <v>571</v>
      </c>
      <c r="V1142" t="s">
        <v>2003</v>
      </c>
      <c r="W1142" t="s">
        <v>3129</v>
      </c>
      <c r="X1142">
        <v>435</v>
      </c>
      <c r="Z1142" t="s">
        <v>3814</v>
      </c>
      <c r="AA1142" t="s">
        <v>387</v>
      </c>
      <c r="AB1142">
        <v>0</v>
      </c>
      <c r="AC1142">
        <v>210</v>
      </c>
      <c r="AD1142" t="s">
        <v>2615</v>
      </c>
      <c r="AE1142">
        <v>1</v>
      </c>
      <c r="AF1142" t="s">
        <v>1922</v>
      </c>
      <c r="AG1142" t="s">
        <v>3815</v>
      </c>
      <c r="AH1142" t="s">
        <v>3816</v>
      </c>
    </row>
    <row r="1143" spans="1:34" x14ac:dyDescent="0.25">
      <c r="A1143">
        <v>1425</v>
      </c>
      <c r="C1143" s="185"/>
      <c r="E1143" t="s">
        <v>386</v>
      </c>
      <c r="F1143" t="s">
        <v>3817</v>
      </c>
      <c r="G1143" t="s">
        <v>1192</v>
      </c>
      <c r="H1143" t="s">
        <v>3818</v>
      </c>
      <c r="I1143">
        <v>14898</v>
      </c>
      <c r="J1143" t="s">
        <v>3817</v>
      </c>
      <c r="K1143" t="s">
        <v>3819</v>
      </c>
      <c r="L1143" t="s">
        <v>386</v>
      </c>
      <c r="M1143" t="s">
        <v>1193</v>
      </c>
      <c r="N1143">
        <v>14898</v>
      </c>
      <c r="O1143">
        <v>0</v>
      </c>
      <c r="T1143">
        <v>571</v>
      </c>
      <c r="V1143" t="s">
        <v>2003</v>
      </c>
      <c r="W1143" t="s">
        <v>3129</v>
      </c>
      <c r="X1143">
        <v>435</v>
      </c>
      <c r="Z1143" t="s">
        <v>3820</v>
      </c>
      <c r="AA1143" t="s">
        <v>387</v>
      </c>
      <c r="AB1143">
        <v>0</v>
      </c>
      <c r="AC1143">
        <v>4748</v>
      </c>
      <c r="AD1143" t="s">
        <v>3821</v>
      </c>
      <c r="AE1143">
        <v>1</v>
      </c>
      <c r="AF1143" t="s">
        <v>1922</v>
      </c>
      <c r="AG1143" t="s">
        <v>3822</v>
      </c>
      <c r="AH1143" t="s">
        <v>3823</v>
      </c>
    </row>
    <row r="1144" spans="1:34" x14ac:dyDescent="0.25">
      <c r="A1144">
        <v>1425</v>
      </c>
      <c r="C1144" s="185"/>
      <c r="E1144" t="s">
        <v>386</v>
      </c>
      <c r="F1144" t="s">
        <v>3824</v>
      </c>
      <c r="G1144" t="s">
        <v>1192</v>
      </c>
      <c r="H1144" t="s">
        <v>3818</v>
      </c>
      <c r="I1144">
        <v>14899</v>
      </c>
      <c r="J1144" t="s">
        <v>3824</v>
      </c>
      <c r="K1144" t="s">
        <v>3824</v>
      </c>
      <c r="L1144" t="s">
        <v>386</v>
      </c>
      <c r="M1144" t="s">
        <v>1193</v>
      </c>
      <c r="N1144">
        <v>14899</v>
      </c>
      <c r="O1144">
        <v>0</v>
      </c>
      <c r="T1144">
        <v>571</v>
      </c>
      <c r="V1144" t="s">
        <v>2003</v>
      </c>
      <c r="W1144" t="s">
        <v>3129</v>
      </c>
      <c r="X1144">
        <v>435</v>
      </c>
      <c r="Z1144" t="s">
        <v>3820</v>
      </c>
      <c r="AA1144" t="s">
        <v>387</v>
      </c>
      <c r="AB1144">
        <v>0</v>
      </c>
      <c r="AC1144">
        <v>5666</v>
      </c>
      <c r="AD1144" t="s">
        <v>3825</v>
      </c>
      <c r="AE1144">
        <v>1</v>
      </c>
      <c r="AF1144" t="s">
        <v>1922</v>
      </c>
      <c r="AG1144" t="s">
        <v>3826</v>
      </c>
      <c r="AH1144" t="s">
        <v>3827</v>
      </c>
    </row>
    <row r="1145" spans="1:34" x14ac:dyDescent="0.25">
      <c r="A1145">
        <v>669</v>
      </c>
      <c r="C1145" s="185"/>
      <c r="E1145" t="s">
        <v>386</v>
      </c>
      <c r="F1145" t="s">
        <v>3828</v>
      </c>
      <c r="G1145" t="s">
        <v>1192</v>
      </c>
      <c r="H1145" t="s">
        <v>3829</v>
      </c>
      <c r="I1145">
        <v>14900</v>
      </c>
      <c r="J1145" t="s">
        <v>3828</v>
      </c>
      <c r="K1145" t="s">
        <v>3830</v>
      </c>
      <c r="L1145" t="s">
        <v>386</v>
      </c>
      <c r="M1145" t="s">
        <v>1193</v>
      </c>
      <c r="N1145">
        <v>14900</v>
      </c>
      <c r="O1145">
        <v>0</v>
      </c>
      <c r="T1145">
        <v>435</v>
      </c>
      <c r="V1145" t="s">
        <v>3129</v>
      </c>
      <c r="W1145" t="s">
        <v>3129</v>
      </c>
      <c r="X1145">
        <v>435</v>
      </c>
      <c r="Z1145" t="s">
        <v>3831</v>
      </c>
      <c r="AA1145" t="s">
        <v>387</v>
      </c>
      <c r="AB1145">
        <v>0</v>
      </c>
      <c r="AC1145">
        <v>5119</v>
      </c>
      <c r="AD1145" t="s">
        <v>3832</v>
      </c>
      <c r="AE1145">
        <v>355</v>
      </c>
      <c r="AF1145" t="s">
        <v>3833</v>
      </c>
      <c r="AG1145" t="s">
        <v>3834</v>
      </c>
      <c r="AH1145" t="s">
        <v>3835</v>
      </c>
    </row>
    <row r="1146" spans="1:34" x14ac:dyDescent="0.25">
      <c r="A1146">
        <v>2119</v>
      </c>
      <c r="C1146" s="185"/>
      <c r="E1146" t="s">
        <v>386</v>
      </c>
      <c r="F1146" t="s">
        <v>336</v>
      </c>
      <c r="G1146" t="s">
        <v>1197</v>
      </c>
      <c r="H1146" t="s">
        <v>3836</v>
      </c>
      <c r="I1146">
        <v>14901</v>
      </c>
      <c r="J1146" t="s">
        <v>336</v>
      </c>
      <c r="K1146" t="s">
        <v>3837</v>
      </c>
      <c r="L1146" t="s">
        <v>386</v>
      </c>
      <c r="M1146" t="s">
        <v>1193</v>
      </c>
      <c r="N1146">
        <v>14901</v>
      </c>
      <c r="O1146">
        <v>37</v>
      </c>
      <c r="T1146">
        <v>260</v>
      </c>
      <c r="V1146" t="s">
        <v>1216</v>
      </c>
      <c r="W1146" t="s">
        <v>1530</v>
      </c>
      <c r="X1146">
        <v>103</v>
      </c>
      <c r="Z1146" t="s">
        <v>3838</v>
      </c>
      <c r="AA1146" t="s">
        <v>387</v>
      </c>
      <c r="AB1146">
        <v>29000</v>
      </c>
      <c r="AC1146">
        <v>5667</v>
      </c>
      <c r="AD1146" t="s">
        <v>3839</v>
      </c>
      <c r="AE1146">
        <v>2617</v>
      </c>
      <c r="AF1146" t="s">
        <v>3840</v>
      </c>
      <c r="AG1146" t="s">
        <v>23</v>
      </c>
      <c r="AH1146" t="s">
        <v>3841</v>
      </c>
    </row>
    <row r="1147" spans="1:34" x14ac:dyDescent="0.25">
      <c r="A1147">
        <v>32</v>
      </c>
      <c r="C1147" s="185"/>
      <c r="E1147" t="s">
        <v>386</v>
      </c>
      <c r="F1147" t="s">
        <v>3842</v>
      </c>
      <c r="G1147" t="s">
        <v>1192</v>
      </c>
      <c r="H1147" t="s">
        <v>3843</v>
      </c>
      <c r="I1147">
        <v>14911</v>
      </c>
      <c r="J1147" t="s">
        <v>3842</v>
      </c>
      <c r="K1147" t="s">
        <v>3844</v>
      </c>
      <c r="L1147" t="s">
        <v>386</v>
      </c>
      <c r="M1147" t="s">
        <v>1193</v>
      </c>
      <c r="N1147">
        <v>14911</v>
      </c>
      <c r="O1147">
        <v>0</v>
      </c>
      <c r="T1147">
        <v>435</v>
      </c>
      <c r="V1147" t="s">
        <v>3129</v>
      </c>
      <c r="W1147" t="s">
        <v>3129</v>
      </c>
      <c r="X1147">
        <v>435</v>
      </c>
      <c r="Z1147" t="s">
        <v>874</v>
      </c>
      <c r="AA1147" t="s">
        <v>387</v>
      </c>
      <c r="AB1147">
        <v>0</v>
      </c>
      <c r="AC1147">
        <v>4334</v>
      </c>
      <c r="AD1147" t="s">
        <v>3481</v>
      </c>
      <c r="AE1147">
        <v>1195</v>
      </c>
      <c r="AF1147" t="s">
        <v>3845</v>
      </c>
      <c r="AG1147" t="s">
        <v>3846</v>
      </c>
      <c r="AH1147" t="s">
        <v>3847</v>
      </c>
    </row>
    <row r="1148" spans="1:34" x14ac:dyDescent="0.25">
      <c r="A1148">
        <v>1</v>
      </c>
      <c r="C1148" s="185"/>
      <c r="E1148" t="s">
        <v>386</v>
      </c>
      <c r="F1148" t="s">
        <v>3848</v>
      </c>
      <c r="G1148" t="s">
        <v>1192</v>
      </c>
      <c r="H1148" t="s">
        <v>3849</v>
      </c>
      <c r="I1148">
        <v>15031</v>
      </c>
      <c r="J1148" t="s">
        <v>3848</v>
      </c>
      <c r="K1148" t="s">
        <v>3848</v>
      </c>
      <c r="L1148" t="s">
        <v>386</v>
      </c>
      <c r="M1148" t="s">
        <v>1184</v>
      </c>
      <c r="N1148">
        <v>15031</v>
      </c>
      <c r="O1148">
        <v>0</v>
      </c>
      <c r="R1148" t="s">
        <v>1208</v>
      </c>
      <c r="T1148">
        <v>260</v>
      </c>
      <c r="V1148" t="s">
        <v>1216</v>
      </c>
      <c r="W1148" t="s">
        <v>2024</v>
      </c>
      <c r="X1148">
        <v>52</v>
      </c>
      <c r="Z1148" t="s">
        <v>865</v>
      </c>
      <c r="AA1148" t="s">
        <v>387</v>
      </c>
      <c r="AB1148">
        <v>0</v>
      </c>
      <c r="AC1148">
        <v>6589</v>
      </c>
      <c r="AD1148" t="s">
        <v>3850</v>
      </c>
      <c r="AE1148">
        <v>652</v>
      </c>
      <c r="AF1148" t="s">
        <v>2859</v>
      </c>
      <c r="AG1148" t="s">
        <v>3851</v>
      </c>
      <c r="AH1148" t="s">
        <v>3852</v>
      </c>
    </row>
    <row r="1149" spans="1:34" x14ac:dyDescent="0.25">
      <c r="A1149">
        <v>39</v>
      </c>
      <c r="C1149" s="185"/>
      <c r="E1149" t="s">
        <v>386</v>
      </c>
      <c r="F1149" t="s">
        <v>3853</v>
      </c>
      <c r="G1149" t="s">
        <v>1192</v>
      </c>
      <c r="H1149" t="s">
        <v>3854</v>
      </c>
      <c r="I1149">
        <v>15083</v>
      </c>
      <c r="J1149" t="s">
        <v>3853</v>
      </c>
      <c r="K1149" t="s">
        <v>3853</v>
      </c>
      <c r="L1149" t="s">
        <v>386</v>
      </c>
      <c r="M1149" t="s">
        <v>1184</v>
      </c>
      <c r="N1149">
        <v>15083</v>
      </c>
      <c r="O1149">
        <v>0</v>
      </c>
      <c r="R1149" t="s">
        <v>1208</v>
      </c>
      <c r="T1149">
        <v>52</v>
      </c>
      <c r="V1149" t="s">
        <v>2024</v>
      </c>
      <c r="W1149" t="s">
        <v>2073</v>
      </c>
      <c r="X1149">
        <v>372</v>
      </c>
      <c r="Z1149" t="s">
        <v>2303</v>
      </c>
      <c r="AA1149" t="s">
        <v>387</v>
      </c>
      <c r="AB1149">
        <v>0</v>
      </c>
      <c r="AC1149">
        <v>5678</v>
      </c>
      <c r="AD1149" t="s">
        <v>3855</v>
      </c>
      <c r="AE1149">
        <v>0</v>
      </c>
      <c r="AF1149" t="s">
        <v>1188</v>
      </c>
      <c r="AG1149" t="s">
        <v>3856</v>
      </c>
    </row>
    <row r="1150" spans="1:34" x14ac:dyDescent="0.25">
      <c r="A1150">
        <v>201</v>
      </c>
      <c r="C1150" s="185"/>
      <c r="E1150" t="s">
        <v>386</v>
      </c>
      <c r="F1150" t="s">
        <v>3857</v>
      </c>
      <c r="G1150" t="s">
        <v>1192</v>
      </c>
      <c r="H1150" t="s">
        <v>3858</v>
      </c>
      <c r="I1150">
        <v>15090</v>
      </c>
      <c r="J1150" t="s">
        <v>3857</v>
      </c>
      <c r="K1150" t="s">
        <v>3857</v>
      </c>
      <c r="L1150" t="s">
        <v>386</v>
      </c>
      <c r="M1150" t="s">
        <v>1193</v>
      </c>
      <c r="N1150">
        <v>15090</v>
      </c>
      <c r="O1150">
        <v>0</v>
      </c>
      <c r="T1150">
        <v>340</v>
      </c>
      <c r="V1150" t="s">
        <v>1200</v>
      </c>
      <c r="W1150" t="s">
        <v>1215</v>
      </c>
      <c r="X1150">
        <v>259</v>
      </c>
      <c r="Z1150" t="s">
        <v>3859</v>
      </c>
      <c r="AA1150" t="s">
        <v>387</v>
      </c>
      <c r="AB1150">
        <v>0</v>
      </c>
      <c r="AC1150">
        <v>6357</v>
      </c>
      <c r="AD1150" t="s">
        <v>3860</v>
      </c>
      <c r="AE1150">
        <v>1</v>
      </c>
      <c r="AF1150" t="s">
        <v>1922</v>
      </c>
      <c r="AG1150" t="s">
        <v>3861</v>
      </c>
      <c r="AH1150" t="s">
        <v>3862</v>
      </c>
    </row>
    <row r="1151" spans="1:34" x14ac:dyDescent="0.25">
      <c r="A1151">
        <v>1464</v>
      </c>
      <c r="C1151" s="185"/>
      <c r="E1151" t="s">
        <v>386</v>
      </c>
      <c r="F1151" t="s">
        <v>3863</v>
      </c>
      <c r="G1151" t="s">
        <v>1197</v>
      </c>
      <c r="I1151">
        <v>15165</v>
      </c>
      <c r="J1151" t="s">
        <v>3863</v>
      </c>
      <c r="K1151" t="s">
        <v>3863</v>
      </c>
      <c r="L1151" t="s">
        <v>386</v>
      </c>
      <c r="M1151" t="s">
        <v>1193</v>
      </c>
      <c r="N1151">
        <v>15165</v>
      </c>
      <c r="O1151">
        <v>37</v>
      </c>
      <c r="T1151">
        <v>220</v>
      </c>
      <c r="V1151" t="s">
        <v>1194</v>
      </c>
      <c r="W1151" t="s">
        <v>2223</v>
      </c>
      <c r="X1151">
        <v>138</v>
      </c>
      <c r="Z1151" t="s">
        <v>872</v>
      </c>
      <c r="AA1151" t="s">
        <v>387</v>
      </c>
      <c r="AB1151">
        <v>29000</v>
      </c>
      <c r="AC1151">
        <v>5752</v>
      </c>
      <c r="AD1151" t="s">
        <v>3864</v>
      </c>
      <c r="AE1151">
        <v>2651</v>
      </c>
      <c r="AF1151" t="s">
        <v>3865</v>
      </c>
      <c r="AG1151" t="s">
        <v>3603</v>
      </c>
      <c r="AH1151" t="s">
        <v>3866</v>
      </c>
    </row>
    <row r="1152" spans="1:34" x14ac:dyDescent="0.25">
      <c r="A1152">
        <v>2130</v>
      </c>
      <c r="C1152" s="185"/>
      <c r="E1152" t="s">
        <v>386</v>
      </c>
      <c r="F1152" t="s">
        <v>939</v>
      </c>
      <c r="G1152" t="s">
        <v>1197</v>
      </c>
      <c r="H1152" t="s">
        <v>2830</v>
      </c>
      <c r="I1152">
        <v>15167</v>
      </c>
      <c r="J1152" t="s">
        <v>939</v>
      </c>
      <c r="K1152" t="s">
        <v>3867</v>
      </c>
      <c r="L1152" t="s">
        <v>386</v>
      </c>
      <c r="M1152" t="s">
        <v>1193</v>
      </c>
      <c r="N1152">
        <v>15167</v>
      </c>
      <c r="O1152">
        <v>37</v>
      </c>
      <c r="R1152" t="s">
        <v>398</v>
      </c>
      <c r="T1152">
        <v>220</v>
      </c>
      <c r="V1152" t="s">
        <v>1194</v>
      </c>
      <c r="W1152" t="s">
        <v>1194</v>
      </c>
      <c r="X1152">
        <v>220</v>
      </c>
      <c r="Z1152" t="s">
        <v>940</v>
      </c>
      <c r="AA1152" t="s">
        <v>387</v>
      </c>
      <c r="AB1152">
        <v>29000</v>
      </c>
      <c r="AC1152">
        <v>5753</v>
      </c>
      <c r="AD1152" t="s">
        <v>3868</v>
      </c>
      <c r="AE1152">
        <v>0</v>
      </c>
      <c r="AF1152" t="s">
        <v>1188</v>
      </c>
      <c r="AG1152" t="s">
        <v>1244</v>
      </c>
    </row>
    <row r="1153" spans="1:34" x14ac:dyDescent="0.25">
      <c r="A1153">
        <v>1</v>
      </c>
      <c r="C1153" s="185"/>
      <c r="E1153" t="s">
        <v>386</v>
      </c>
      <c r="F1153" t="s">
        <v>3869</v>
      </c>
      <c r="G1153" t="s">
        <v>1197</v>
      </c>
      <c r="H1153" t="s">
        <v>3870</v>
      </c>
      <c r="I1153">
        <v>15225</v>
      </c>
      <c r="J1153" t="s">
        <v>3869</v>
      </c>
      <c r="K1153" t="s">
        <v>3869</v>
      </c>
      <c r="L1153" t="s">
        <v>386</v>
      </c>
      <c r="M1153" t="s">
        <v>1193</v>
      </c>
      <c r="N1153">
        <v>15225</v>
      </c>
      <c r="O1153">
        <v>0</v>
      </c>
      <c r="R1153" t="s">
        <v>1208</v>
      </c>
      <c r="T1153">
        <v>571</v>
      </c>
      <c r="V1153" t="s">
        <v>2003</v>
      </c>
      <c r="W1153" t="s">
        <v>1216</v>
      </c>
      <c r="X1153">
        <v>260</v>
      </c>
      <c r="Z1153" t="s">
        <v>865</v>
      </c>
      <c r="AA1153" t="s">
        <v>387</v>
      </c>
      <c r="AB1153">
        <v>0</v>
      </c>
      <c r="AC1153">
        <v>2562</v>
      </c>
      <c r="AD1153" t="s">
        <v>3871</v>
      </c>
      <c r="AE1153">
        <v>652</v>
      </c>
      <c r="AF1153" t="s">
        <v>2859</v>
      </c>
      <c r="AG1153" t="s">
        <v>3251</v>
      </c>
      <c r="AH1153" t="s">
        <v>3872</v>
      </c>
    </row>
    <row r="1154" spans="1:34" x14ac:dyDescent="0.25">
      <c r="A1154">
        <v>1</v>
      </c>
      <c r="C1154" s="185"/>
      <c r="E1154" t="s">
        <v>386</v>
      </c>
      <c r="F1154" t="s">
        <v>3873</v>
      </c>
      <c r="G1154" t="s">
        <v>1192</v>
      </c>
      <c r="H1154" t="s">
        <v>3874</v>
      </c>
      <c r="I1154">
        <v>15228</v>
      </c>
      <c r="J1154" t="s">
        <v>3873</v>
      </c>
      <c r="K1154" t="s">
        <v>3873</v>
      </c>
      <c r="L1154" t="s">
        <v>386</v>
      </c>
      <c r="M1154" t="s">
        <v>1193</v>
      </c>
      <c r="N1154">
        <v>15228</v>
      </c>
      <c r="O1154">
        <v>0</v>
      </c>
      <c r="T1154">
        <v>200</v>
      </c>
      <c r="V1154" t="s">
        <v>1199</v>
      </c>
      <c r="W1154" t="s">
        <v>1216</v>
      </c>
      <c r="X1154">
        <v>260</v>
      </c>
      <c r="Z1154" t="s">
        <v>865</v>
      </c>
      <c r="AA1154" t="s">
        <v>387</v>
      </c>
      <c r="AB1154">
        <v>0</v>
      </c>
      <c r="AC1154">
        <v>5772</v>
      </c>
      <c r="AD1154" t="s">
        <v>3875</v>
      </c>
      <c r="AE1154">
        <v>2658</v>
      </c>
      <c r="AF1154" t="s">
        <v>3876</v>
      </c>
      <c r="AG1154" t="s">
        <v>2191</v>
      </c>
      <c r="AH1154" t="s">
        <v>3877</v>
      </c>
    </row>
    <row r="1155" spans="1:34" x14ac:dyDescent="0.25">
      <c r="A1155">
        <v>1724</v>
      </c>
      <c r="C1155" s="185"/>
      <c r="E1155" t="s">
        <v>386</v>
      </c>
      <c r="F1155" t="s">
        <v>3878</v>
      </c>
      <c r="G1155" t="s">
        <v>1192</v>
      </c>
      <c r="H1155" t="s">
        <v>3879</v>
      </c>
      <c r="I1155">
        <v>15244</v>
      </c>
      <c r="J1155" t="s">
        <v>3878</v>
      </c>
      <c r="K1155" t="s">
        <v>3880</v>
      </c>
      <c r="L1155" t="s">
        <v>386</v>
      </c>
      <c r="M1155" t="s">
        <v>1184</v>
      </c>
      <c r="N1155">
        <v>15244</v>
      </c>
      <c r="O1155">
        <v>0</v>
      </c>
      <c r="T1155">
        <v>52</v>
      </c>
      <c r="V1155" t="s">
        <v>2024</v>
      </c>
      <c r="W1155" t="s">
        <v>1257</v>
      </c>
      <c r="X1155">
        <v>426</v>
      </c>
      <c r="Z1155" t="s">
        <v>929</v>
      </c>
      <c r="AA1155" t="s">
        <v>387</v>
      </c>
      <c r="AB1155">
        <v>0</v>
      </c>
      <c r="AC1155">
        <v>2031</v>
      </c>
      <c r="AD1155" t="s">
        <v>3881</v>
      </c>
      <c r="AE1155">
        <v>2660</v>
      </c>
      <c r="AF1155" t="s">
        <v>3882</v>
      </c>
      <c r="AG1155" t="s">
        <v>2486</v>
      </c>
    </row>
    <row r="1156" spans="1:34" x14ac:dyDescent="0.25">
      <c r="A1156">
        <v>1</v>
      </c>
      <c r="C1156" s="185"/>
      <c r="E1156" t="s">
        <v>386</v>
      </c>
      <c r="F1156" t="s">
        <v>3883</v>
      </c>
      <c r="G1156" t="s">
        <v>1192</v>
      </c>
      <c r="H1156" t="s">
        <v>3884</v>
      </c>
      <c r="I1156">
        <v>15246</v>
      </c>
      <c r="J1156" t="s">
        <v>3883</v>
      </c>
      <c r="K1156" t="s">
        <v>3883</v>
      </c>
      <c r="L1156" t="s">
        <v>386</v>
      </c>
      <c r="M1156" t="s">
        <v>1193</v>
      </c>
      <c r="N1156">
        <v>15246</v>
      </c>
      <c r="O1156">
        <v>0</v>
      </c>
      <c r="R1156" t="s">
        <v>1208</v>
      </c>
      <c r="T1156">
        <v>260</v>
      </c>
      <c r="V1156" t="s">
        <v>1216</v>
      </c>
      <c r="W1156" t="s">
        <v>1215</v>
      </c>
      <c r="X1156">
        <v>259</v>
      </c>
      <c r="Z1156" t="s">
        <v>865</v>
      </c>
      <c r="AA1156" t="s">
        <v>387</v>
      </c>
      <c r="AB1156">
        <v>0</v>
      </c>
      <c r="AC1156">
        <v>2428</v>
      </c>
      <c r="AD1156" t="s">
        <v>3885</v>
      </c>
      <c r="AE1156">
        <v>78</v>
      </c>
      <c r="AF1156" t="s">
        <v>3061</v>
      </c>
      <c r="AG1156" t="s">
        <v>3886</v>
      </c>
    </row>
    <row r="1157" spans="1:34" x14ac:dyDescent="0.25">
      <c r="A1157">
        <v>69</v>
      </c>
      <c r="C1157" s="185"/>
      <c r="E1157" t="s">
        <v>386</v>
      </c>
      <c r="F1157" t="s">
        <v>3887</v>
      </c>
      <c r="G1157" t="s">
        <v>1192</v>
      </c>
      <c r="H1157" t="s">
        <v>3888</v>
      </c>
      <c r="I1157">
        <v>15287</v>
      </c>
      <c r="J1157" t="s">
        <v>3887</v>
      </c>
      <c r="K1157" t="s">
        <v>3887</v>
      </c>
      <c r="L1157" t="s">
        <v>386</v>
      </c>
      <c r="M1157" t="s">
        <v>1184</v>
      </c>
      <c r="N1157">
        <v>15287</v>
      </c>
      <c r="O1157">
        <v>0</v>
      </c>
      <c r="T1157">
        <v>260</v>
      </c>
      <c r="V1157" t="s">
        <v>1216</v>
      </c>
      <c r="W1157" t="s">
        <v>1216</v>
      </c>
      <c r="X1157">
        <v>260</v>
      </c>
      <c r="Z1157" t="s">
        <v>2437</v>
      </c>
      <c r="AA1157" t="s">
        <v>387</v>
      </c>
      <c r="AB1157">
        <v>0</v>
      </c>
      <c r="AC1157">
        <v>5795</v>
      </c>
      <c r="AD1157" t="s">
        <v>3889</v>
      </c>
      <c r="AE1157">
        <v>841</v>
      </c>
      <c r="AF1157" t="s">
        <v>3890</v>
      </c>
      <c r="AG1157" t="s">
        <v>3891</v>
      </c>
      <c r="AH1157" t="s">
        <v>3892</v>
      </c>
    </row>
    <row r="1158" spans="1:34" x14ac:dyDescent="0.25">
      <c r="A1158">
        <v>1991</v>
      </c>
      <c r="C1158" s="185"/>
      <c r="E1158" t="s">
        <v>386</v>
      </c>
      <c r="F1158" t="s">
        <v>3893</v>
      </c>
      <c r="G1158" t="s">
        <v>1197</v>
      </c>
      <c r="I1158">
        <v>15305</v>
      </c>
      <c r="J1158" t="s">
        <v>3893</v>
      </c>
      <c r="K1158" t="s">
        <v>3894</v>
      </c>
      <c r="L1158" t="s">
        <v>386</v>
      </c>
      <c r="M1158" t="s">
        <v>1193</v>
      </c>
      <c r="N1158">
        <v>15305</v>
      </c>
      <c r="O1158">
        <v>37</v>
      </c>
      <c r="R1158" t="s">
        <v>398</v>
      </c>
      <c r="T1158">
        <v>138</v>
      </c>
      <c r="V1158" t="s">
        <v>2223</v>
      </c>
      <c r="W1158" t="s">
        <v>2024</v>
      </c>
      <c r="X1158">
        <v>52</v>
      </c>
      <c r="Z1158" t="s">
        <v>1105</v>
      </c>
      <c r="AA1158" t="s">
        <v>387</v>
      </c>
      <c r="AB1158">
        <v>29000</v>
      </c>
      <c r="AC1158">
        <v>5804</v>
      </c>
      <c r="AD1158" t="s">
        <v>3895</v>
      </c>
      <c r="AE1158">
        <v>63</v>
      </c>
      <c r="AF1158" t="s">
        <v>3896</v>
      </c>
      <c r="AG1158" t="s">
        <v>3897</v>
      </c>
      <c r="AH1158" t="s">
        <v>3898</v>
      </c>
    </row>
    <row r="1159" spans="1:34" x14ac:dyDescent="0.25">
      <c r="A1159">
        <v>207</v>
      </c>
      <c r="C1159" s="185"/>
      <c r="D1159" t="s">
        <v>24</v>
      </c>
      <c r="E1159" t="s">
        <v>386</v>
      </c>
      <c r="F1159" t="s">
        <v>362</v>
      </c>
      <c r="G1159" t="s">
        <v>1197</v>
      </c>
      <c r="I1159">
        <v>2769</v>
      </c>
      <c r="J1159" t="s">
        <v>3899</v>
      </c>
      <c r="K1159" t="s">
        <v>3900</v>
      </c>
      <c r="L1159" t="s">
        <v>386</v>
      </c>
      <c r="M1159" t="s">
        <v>1193</v>
      </c>
      <c r="N1159">
        <v>15321</v>
      </c>
      <c r="O1159">
        <v>56</v>
      </c>
      <c r="T1159">
        <v>220</v>
      </c>
      <c r="V1159" t="s">
        <v>1194</v>
      </c>
      <c r="W1159" t="s">
        <v>2107</v>
      </c>
      <c r="X1159">
        <v>272</v>
      </c>
      <c r="Z1159" t="s">
        <v>954</v>
      </c>
      <c r="AA1159" t="s">
        <v>387</v>
      </c>
      <c r="AB1159">
        <v>48000</v>
      </c>
      <c r="AC1159">
        <v>1875</v>
      </c>
      <c r="AD1159" t="s">
        <v>3901</v>
      </c>
      <c r="AE1159">
        <v>0</v>
      </c>
      <c r="AF1159" t="s">
        <v>1188</v>
      </c>
      <c r="AG1159" t="s">
        <v>3902</v>
      </c>
      <c r="AH1159" t="s">
        <v>3903</v>
      </c>
    </row>
    <row r="1160" spans="1:34" x14ac:dyDescent="0.25">
      <c r="A1160">
        <v>1455</v>
      </c>
      <c r="C1160" s="185"/>
      <c r="E1160" t="s">
        <v>386</v>
      </c>
      <c r="F1160" t="s">
        <v>592</v>
      </c>
      <c r="G1160" t="s">
        <v>1192</v>
      </c>
      <c r="I1160">
        <v>2586</v>
      </c>
      <c r="J1160" t="s">
        <v>3904</v>
      </c>
      <c r="K1160" t="s">
        <v>3904</v>
      </c>
      <c r="L1160" t="s">
        <v>386</v>
      </c>
      <c r="M1160" t="s">
        <v>1193</v>
      </c>
      <c r="N1160">
        <v>15323</v>
      </c>
      <c r="O1160">
        <v>20</v>
      </c>
      <c r="R1160" t="s">
        <v>398</v>
      </c>
      <c r="T1160">
        <v>272</v>
      </c>
      <c r="V1160" t="s">
        <v>2107</v>
      </c>
      <c r="W1160" t="s">
        <v>1186</v>
      </c>
      <c r="X1160">
        <v>0</v>
      </c>
      <c r="Z1160" t="s">
        <v>3905</v>
      </c>
      <c r="AA1160" t="s">
        <v>387</v>
      </c>
      <c r="AB1160">
        <v>14000</v>
      </c>
      <c r="AC1160">
        <v>0</v>
      </c>
      <c r="AD1160" t="s">
        <v>1187</v>
      </c>
      <c r="AE1160">
        <v>0</v>
      </c>
      <c r="AF1160" t="s">
        <v>1188</v>
      </c>
    </row>
    <row r="1161" spans="1:34" x14ac:dyDescent="0.25">
      <c r="A1161">
        <v>207</v>
      </c>
      <c r="C1161" s="185"/>
      <c r="E1161" t="s">
        <v>386</v>
      </c>
      <c r="F1161" t="s">
        <v>357</v>
      </c>
      <c r="G1161" t="s">
        <v>1903</v>
      </c>
      <c r="I1161">
        <v>6268</v>
      </c>
      <c r="J1161" t="s">
        <v>3906</v>
      </c>
      <c r="K1161" t="s">
        <v>3906</v>
      </c>
      <c r="L1161" t="s">
        <v>386</v>
      </c>
      <c r="M1161" t="s">
        <v>1193</v>
      </c>
      <c r="N1161">
        <v>15324</v>
      </c>
      <c r="O1161">
        <v>0</v>
      </c>
      <c r="R1161" t="s">
        <v>398</v>
      </c>
      <c r="T1161">
        <v>272</v>
      </c>
      <c r="V1161" t="s">
        <v>2107</v>
      </c>
      <c r="W1161" t="s">
        <v>1194</v>
      </c>
      <c r="X1161">
        <v>220</v>
      </c>
      <c r="Z1161" t="s">
        <v>954</v>
      </c>
      <c r="AA1161" t="s">
        <v>387</v>
      </c>
      <c r="AB1161">
        <v>15000</v>
      </c>
      <c r="AC1161">
        <v>2859</v>
      </c>
      <c r="AD1161" t="s">
        <v>3907</v>
      </c>
      <c r="AE1161">
        <v>0</v>
      </c>
      <c r="AF1161" t="s">
        <v>1188</v>
      </c>
      <c r="AG1161" t="s">
        <v>3908</v>
      </c>
      <c r="AH1161" t="s">
        <v>3909</v>
      </c>
    </row>
    <row r="1162" spans="1:34" x14ac:dyDescent="0.25">
      <c r="A1162">
        <v>1278</v>
      </c>
      <c r="C1162" s="185"/>
      <c r="E1162" t="s">
        <v>386</v>
      </c>
      <c r="F1162" t="s">
        <v>364</v>
      </c>
      <c r="G1162" t="s">
        <v>1192</v>
      </c>
      <c r="I1162">
        <v>2587</v>
      </c>
      <c r="J1162" t="s">
        <v>3910</v>
      </c>
      <c r="K1162" t="s">
        <v>3910</v>
      </c>
      <c r="L1162" t="s">
        <v>386</v>
      </c>
      <c r="M1162" t="s">
        <v>1193</v>
      </c>
      <c r="N1162">
        <v>15327</v>
      </c>
      <c r="O1162">
        <v>20</v>
      </c>
      <c r="R1162" t="s">
        <v>398</v>
      </c>
      <c r="T1162">
        <v>272</v>
      </c>
      <c r="V1162" t="s">
        <v>2107</v>
      </c>
      <c r="W1162" t="s">
        <v>1186</v>
      </c>
      <c r="X1162">
        <v>0</v>
      </c>
      <c r="Z1162" t="s">
        <v>1128</v>
      </c>
      <c r="AA1162" t="s">
        <v>387</v>
      </c>
      <c r="AB1162">
        <v>14000</v>
      </c>
      <c r="AC1162">
        <v>0</v>
      </c>
      <c r="AD1162" t="s">
        <v>1187</v>
      </c>
      <c r="AE1162">
        <v>0</v>
      </c>
      <c r="AF1162" t="s">
        <v>1188</v>
      </c>
    </row>
    <row r="1163" spans="1:34" x14ac:dyDescent="0.25">
      <c r="A1163">
        <v>17</v>
      </c>
      <c r="C1163" s="185"/>
      <c r="E1163" t="s">
        <v>386</v>
      </c>
      <c r="F1163" t="s">
        <v>489</v>
      </c>
      <c r="G1163" t="s">
        <v>1192</v>
      </c>
      <c r="I1163">
        <v>2589</v>
      </c>
      <c r="J1163" t="s">
        <v>3911</v>
      </c>
      <c r="K1163" t="s">
        <v>3911</v>
      </c>
      <c r="L1163" t="s">
        <v>386</v>
      </c>
      <c r="M1163" t="s">
        <v>1193</v>
      </c>
      <c r="N1163">
        <v>15332</v>
      </c>
      <c r="O1163">
        <v>20</v>
      </c>
      <c r="R1163" t="s">
        <v>398</v>
      </c>
      <c r="T1163">
        <v>272</v>
      </c>
      <c r="V1163" t="s">
        <v>2107</v>
      </c>
      <c r="W1163" t="s">
        <v>1186</v>
      </c>
      <c r="X1163">
        <v>0</v>
      </c>
      <c r="Z1163" t="s">
        <v>1042</v>
      </c>
      <c r="AA1163" t="s">
        <v>387</v>
      </c>
      <c r="AB1163">
        <v>14000</v>
      </c>
      <c r="AC1163">
        <v>0</v>
      </c>
      <c r="AD1163" t="s">
        <v>1187</v>
      </c>
      <c r="AE1163">
        <v>0</v>
      </c>
      <c r="AF1163" t="s">
        <v>1188</v>
      </c>
    </row>
    <row r="1164" spans="1:34" x14ac:dyDescent="0.25">
      <c r="A1164">
        <v>1454</v>
      </c>
      <c r="C1164" s="185"/>
      <c r="E1164" t="s">
        <v>386</v>
      </c>
      <c r="F1164" t="s">
        <v>489</v>
      </c>
      <c r="G1164" t="s">
        <v>1192</v>
      </c>
      <c r="I1164">
        <v>2579</v>
      </c>
      <c r="J1164" t="s">
        <v>3912</v>
      </c>
      <c r="K1164" t="s">
        <v>3912</v>
      </c>
      <c r="L1164" t="s">
        <v>386</v>
      </c>
      <c r="M1164" t="s">
        <v>1193</v>
      </c>
      <c r="N1164">
        <v>15332</v>
      </c>
      <c r="O1164">
        <v>10</v>
      </c>
      <c r="R1164" t="s">
        <v>398</v>
      </c>
      <c r="T1164">
        <v>272</v>
      </c>
      <c r="V1164" t="s">
        <v>2107</v>
      </c>
      <c r="W1164" t="s">
        <v>1186</v>
      </c>
      <c r="X1164">
        <v>0</v>
      </c>
      <c r="Z1164" t="s">
        <v>3913</v>
      </c>
      <c r="AA1164" t="s">
        <v>387</v>
      </c>
      <c r="AB1164">
        <v>6000</v>
      </c>
      <c r="AC1164">
        <v>0</v>
      </c>
      <c r="AD1164" t="s">
        <v>1187</v>
      </c>
      <c r="AE1164">
        <v>0</v>
      </c>
      <c r="AF1164" t="s">
        <v>1188</v>
      </c>
    </row>
    <row r="1165" spans="1:34" x14ac:dyDescent="0.25">
      <c r="A1165">
        <v>1</v>
      </c>
      <c r="C1165" s="185"/>
      <c r="E1165" t="s">
        <v>386</v>
      </c>
      <c r="F1165" t="s">
        <v>3914</v>
      </c>
      <c r="G1165" t="s">
        <v>1192</v>
      </c>
      <c r="H1165" t="s">
        <v>3915</v>
      </c>
      <c r="I1165">
        <v>15375</v>
      </c>
      <c r="J1165" t="s">
        <v>3914</v>
      </c>
      <c r="K1165" t="s">
        <v>3914</v>
      </c>
      <c r="L1165" t="s">
        <v>386</v>
      </c>
      <c r="M1165" t="s">
        <v>1193</v>
      </c>
      <c r="N1165">
        <v>15375</v>
      </c>
      <c r="O1165">
        <v>0</v>
      </c>
      <c r="T1165">
        <v>571</v>
      </c>
      <c r="V1165" t="s">
        <v>2003</v>
      </c>
      <c r="W1165" t="s">
        <v>2073</v>
      </c>
      <c r="X1165">
        <v>372</v>
      </c>
      <c r="Z1165" t="s">
        <v>865</v>
      </c>
      <c r="AA1165" t="s">
        <v>387</v>
      </c>
      <c r="AB1165">
        <v>0</v>
      </c>
      <c r="AC1165">
        <v>290</v>
      </c>
      <c r="AD1165" t="s">
        <v>3916</v>
      </c>
      <c r="AE1165">
        <v>154</v>
      </c>
      <c r="AF1165" t="s">
        <v>3141</v>
      </c>
      <c r="AG1165" t="s">
        <v>3917</v>
      </c>
      <c r="AH1165" t="s">
        <v>3918</v>
      </c>
    </row>
    <row r="1166" spans="1:34" x14ac:dyDescent="0.25">
      <c r="A1166">
        <v>1414</v>
      </c>
      <c r="C1166" s="185"/>
      <c r="E1166" t="s">
        <v>386</v>
      </c>
      <c r="F1166" t="s">
        <v>3919</v>
      </c>
      <c r="G1166" t="s">
        <v>1192</v>
      </c>
      <c r="H1166" t="s">
        <v>3920</v>
      </c>
      <c r="I1166">
        <v>15412</v>
      </c>
      <c r="J1166" t="s">
        <v>3919</v>
      </c>
      <c r="K1166" t="s">
        <v>3919</v>
      </c>
      <c r="L1166" t="s">
        <v>386</v>
      </c>
      <c r="M1166" t="s">
        <v>1193</v>
      </c>
      <c r="N1166">
        <v>15412</v>
      </c>
      <c r="O1166">
        <v>0</v>
      </c>
      <c r="R1166" t="s">
        <v>1208</v>
      </c>
      <c r="T1166">
        <v>52</v>
      </c>
      <c r="V1166" t="s">
        <v>2024</v>
      </c>
      <c r="W1166" t="s">
        <v>1530</v>
      </c>
      <c r="X1166">
        <v>103</v>
      </c>
      <c r="Z1166" t="s">
        <v>3034</v>
      </c>
      <c r="AA1166" t="s">
        <v>387</v>
      </c>
      <c r="AB1166">
        <v>0</v>
      </c>
      <c r="AC1166">
        <v>5827</v>
      </c>
      <c r="AD1166" t="s">
        <v>3921</v>
      </c>
      <c r="AE1166">
        <v>1482</v>
      </c>
      <c r="AF1166" t="s">
        <v>3922</v>
      </c>
      <c r="AG1166" t="s">
        <v>3923</v>
      </c>
      <c r="AH1166" t="s">
        <v>3924</v>
      </c>
    </row>
    <row r="1167" spans="1:34" x14ac:dyDescent="0.25">
      <c r="A1167">
        <v>2138</v>
      </c>
      <c r="C1167" s="185"/>
      <c r="E1167" t="s">
        <v>386</v>
      </c>
      <c r="F1167" t="s">
        <v>3925</v>
      </c>
      <c r="G1167" t="s">
        <v>1192</v>
      </c>
      <c r="H1167" t="s">
        <v>3926</v>
      </c>
      <c r="I1167">
        <v>15413</v>
      </c>
      <c r="J1167" t="s">
        <v>3925</v>
      </c>
      <c r="K1167" t="s">
        <v>3927</v>
      </c>
      <c r="L1167" t="s">
        <v>386</v>
      </c>
      <c r="M1167" t="s">
        <v>1193</v>
      </c>
      <c r="N1167">
        <v>15413</v>
      </c>
      <c r="O1167">
        <v>0</v>
      </c>
      <c r="T1167">
        <v>200</v>
      </c>
      <c r="V1167" t="s">
        <v>1199</v>
      </c>
      <c r="W1167" t="s">
        <v>3129</v>
      </c>
      <c r="X1167">
        <v>435</v>
      </c>
      <c r="Z1167" t="s">
        <v>3928</v>
      </c>
      <c r="AA1167" t="s">
        <v>387</v>
      </c>
      <c r="AB1167">
        <v>0</v>
      </c>
      <c r="AC1167">
        <v>5828</v>
      </c>
      <c r="AD1167" t="s">
        <v>3929</v>
      </c>
      <c r="AE1167">
        <v>2685</v>
      </c>
      <c r="AF1167" t="s">
        <v>3930</v>
      </c>
      <c r="AG1167" t="s">
        <v>2044</v>
      </c>
      <c r="AH1167" t="s">
        <v>3931</v>
      </c>
    </row>
    <row r="1168" spans="1:34" x14ac:dyDescent="0.25">
      <c r="A1168">
        <v>2140</v>
      </c>
      <c r="C1168" s="185"/>
      <c r="E1168" t="s">
        <v>386</v>
      </c>
      <c r="F1168" t="s">
        <v>666</v>
      </c>
      <c r="G1168" t="s">
        <v>1197</v>
      </c>
      <c r="I1168">
        <v>15435</v>
      </c>
      <c r="J1168" t="s">
        <v>666</v>
      </c>
      <c r="K1168" t="s">
        <v>3932</v>
      </c>
      <c r="L1168" t="s">
        <v>386</v>
      </c>
      <c r="M1168" t="s">
        <v>1193</v>
      </c>
      <c r="N1168">
        <v>15435</v>
      </c>
      <c r="O1168">
        <v>56</v>
      </c>
      <c r="T1168">
        <v>220</v>
      </c>
      <c r="V1168" t="s">
        <v>1194</v>
      </c>
      <c r="W1168" t="s">
        <v>2223</v>
      </c>
      <c r="X1168">
        <v>138</v>
      </c>
      <c r="Z1168" t="s">
        <v>934</v>
      </c>
      <c r="AA1168" t="s">
        <v>387</v>
      </c>
      <c r="AB1168">
        <v>48000</v>
      </c>
      <c r="AC1168">
        <v>5834</v>
      </c>
      <c r="AD1168" t="s">
        <v>3933</v>
      </c>
      <c r="AE1168">
        <v>0</v>
      </c>
      <c r="AF1168" t="s">
        <v>1188</v>
      </c>
      <c r="AG1168" t="s">
        <v>3934</v>
      </c>
      <c r="AH1168" t="s">
        <v>3935</v>
      </c>
    </row>
    <row r="1169" spans="1:34" x14ac:dyDescent="0.25">
      <c r="A1169">
        <v>133</v>
      </c>
      <c r="C1169" s="185"/>
      <c r="E1169" t="s">
        <v>386</v>
      </c>
      <c r="F1169" t="s">
        <v>3936</v>
      </c>
      <c r="G1169" t="s">
        <v>1192</v>
      </c>
      <c r="H1169" t="s">
        <v>3937</v>
      </c>
      <c r="I1169">
        <v>15442</v>
      </c>
      <c r="J1169" t="s">
        <v>3936</v>
      </c>
      <c r="K1169" t="s">
        <v>3936</v>
      </c>
      <c r="L1169" t="s">
        <v>386</v>
      </c>
      <c r="M1169" t="s">
        <v>1193</v>
      </c>
      <c r="N1169">
        <v>15442</v>
      </c>
      <c r="O1169">
        <v>0</v>
      </c>
      <c r="T1169">
        <v>435</v>
      </c>
      <c r="V1169" t="s">
        <v>3129</v>
      </c>
      <c r="W1169" t="s">
        <v>3129</v>
      </c>
      <c r="X1169">
        <v>435</v>
      </c>
      <c r="Z1169" t="s">
        <v>3195</v>
      </c>
      <c r="AA1169" t="s">
        <v>387</v>
      </c>
      <c r="AB1169">
        <v>0</v>
      </c>
      <c r="AC1169">
        <v>5837</v>
      </c>
      <c r="AD1169" t="s">
        <v>3938</v>
      </c>
      <c r="AE1169">
        <v>2689</v>
      </c>
      <c r="AF1169" t="s">
        <v>3939</v>
      </c>
      <c r="AG1169" t="s">
        <v>3714</v>
      </c>
      <c r="AH1169" t="s">
        <v>3940</v>
      </c>
    </row>
    <row r="1170" spans="1:34" x14ac:dyDescent="0.25">
      <c r="A1170">
        <v>39</v>
      </c>
      <c r="C1170" s="185"/>
      <c r="E1170" t="s">
        <v>386</v>
      </c>
      <c r="F1170" t="s">
        <v>3941</v>
      </c>
      <c r="G1170" t="s">
        <v>1192</v>
      </c>
      <c r="H1170" t="s">
        <v>3942</v>
      </c>
      <c r="I1170">
        <v>15453</v>
      </c>
      <c r="J1170" t="s">
        <v>3941</v>
      </c>
      <c r="K1170" t="s">
        <v>3943</v>
      </c>
      <c r="L1170" t="s">
        <v>386</v>
      </c>
      <c r="M1170" t="s">
        <v>1193</v>
      </c>
      <c r="N1170">
        <v>15453</v>
      </c>
      <c r="O1170">
        <v>0</v>
      </c>
      <c r="T1170">
        <v>571</v>
      </c>
      <c r="V1170" t="s">
        <v>2003</v>
      </c>
      <c r="W1170" t="s">
        <v>2024</v>
      </c>
      <c r="X1170">
        <v>52</v>
      </c>
      <c r="Z1170" t="s">
        <v>2303</v>
      </c>
      <c r="AA1170" t="s">
        <v>387</v>
      </c>
      <c r="AB1170">
        <v>0</v>
      </c>
      <c r="AC1170">
        <v>3652</v>
      </c>
      <c r="AD1170" t="s">
        <v>3944</v>
      </c>
      <c r="AE1170">
        <v>123</v>
      </c>
      <c r="AF1170" t="s">
        <v>3945</v>
      </c>
      <c r="AG1170" t="s">
        <v>3946</v>
      </c>
      <c r="AH1170" t="s">
        <v>3947</v>
      </c>
    </row>
    <row r="1171" spans="1:34" x14ac:dyDescent="0.25">
      <c r="A1171">
        <v>55</v>
      </c>
      <c r="C1171" s="185"/>
      <c r="E1171" t="s">
        <v>386</v>
      </c>
      <c r="F1171" t="s">
        <v>3948</v>
      </c>
      <c r="G1171" t="s">
        <v>1192</v>
      </c>
      <c r="H1171" t="s">
        <v>3949</v>
      </c>
      <c r="I1171">
        <v>15464</v>
      </c>
      <c r="J1171" t="s">
        <v>3948</v>
      </c>
      <c r="K1171" t="s">
        <v>3950</v>
      </c>
      <c r="L1171" t="s">
        <v>386</v>
      </c>
      <c r="M1171" t="s">
        <v>1193</v>
      </c>
      <c r="N1171">
        <v>15464</v>
      </c>
      <c r="O1171">
        <v>0</v>
      </c>
      <c r="T1171">
        <v>435</v>
      </c>
      <c r="V1171" t="s">
        <v>3129</v>
      </c>
      <c r="W1171" t="s">
        <v>3129</v>
      </c>
      <c r="X1171">
        <v>435</v>
      </c>
      <c r="Z1171" t="s">
        <v>957</v>
      </c>
      <c r="AA1171" t="s">
        <v>387</v>
      </c>
      <c r="AB1171">
        <v>0</v>
      </c>
      <c r="AC1171">
        <v>139</v>
      </c>
      <c r="AD1171" t="s">
        <v>3951</v>
      </c>
      <c r="AE1171">
        <v>96</v>
      </c>
      <c r="AF1171" t="s">
        <v>3952</v>
      </c>
      <c r="AG1171" t="s">
        <v>1244</v>
      </c>
      <c r="AH1171" t="s">
        <v>3953</v>
      </c>
    </row>
    <row r="1172" spans="1:34" x14ac:dyDescent="0.25">
      <c r="A1172">
        <v>1456</v>
      </c>
      <c r="C1172" s="185"/>
      <c r="E1172" t="s">
        <v>386</v>
      </c>
      <c r="F1172" t="s">
        <v>3954</v>
      </c>
      <c r="G1172" t="s">
        <v>1192</v>
      </c>
      <c r="H1172" t="s">
        <v>3955</v>
      </c>
      <c r="I1172">
        <v>15498</v>
      </c>
      <c r="J1172" t="s">
        <v>3954</v>
      </c>
      <c r="K1172" t="s">
        <v>3956</v>
      </c>
      <c r="L1172" t="s">
        <v>386</v>
      </c>
      <c r="M1172" t="s">
        <v>1193</v>
      </c>
      <c r="N1172">
        <v>15498</v>
      </c>
      <c r="O1172">
        <v>0</v>
      </c>
      <c r="T1172">
        <v>571</v>
      </c>
      <c r="V1172" t="s">
        <v>2003</v>
      </c>
      <c r="W1172" t="s">
        <v>3321</v>
      </c>
      <c r="X1172">
        <v>246</v>
      </c>
      <c r="Z1172" t="s">
        <v>915</v>
      </c>
      <c r="AA1172" t="s">
        <v>387</v>
      </c>
      <c r="AB1172">
        <v>0</v>
      </c>
      <c r="AC1172">
        <v>5850</v>
      </c>
      <c r="AD1172" t="s">
        <v>3957</v>
      </c>
      <c r="AE1172">
        <v>2693</v>
      </c>
      <c r="AF1172" t="s">
        <v>3958</v>
      </c>
      <c r="AG1172" t="s">
        <v>2044</v>
      </c>
      <c r="AH1172" t="s">
        <v>3959</v>
      </c>
    </row>
    <row r="1173" spans="1:34" x14ac:dyDescent="0.25">
      <c r="A1173">
        <v>1417</v>
      </c>
      <c r="C1173" s="185"/>
      <c r="D1173" t="s">
        <v>24</v>
      </c>
      <c r="E1173" t="s">
        <v>386</v>
      </c>
      <c r="F1173" t="s">
        <v>484</v>
      </c>
      <c r="G1173" t="s">
        <v>1197</v>
      </c>
      <c r="I1173">
        <v>15508</v>
      </c>
      <c r="J1173" t="s">
        <v>484</v>
      </c>
      <c r="K1173" t="s">
        <v>3960</v>
      </c>
      <c r="L1173" t="s">
        <v>386</v>
      </c>
      <c r="M1173" t="s">
        <v>1193</v>
      </c>
      <c r="N1173">
        <v>15508</v>
      </c>
      <c r="O1173">
        <v>56</v>
      </c>
      <c r="T1173">
        <v>272</v>
      </c>
      <c r="V1173" t="s">
        <v>2107</v>
      </c>
      <c r="W1173" t="s">
        <v>2223</v>
      </c>
      <c r="X1173">
        <v>138</v>
      </c>
      <c r="Z1173" t="s">
        <v>3961</v>
      </c>
      <c r="AA1173" t="s">
        <v>387</v>
      </c>
      <c r="AB1173">
        <v>48000</v>
      </c>
      <c r="AC1173">
        <v>5852</v>
      </c>
      <c r="AD1173" t="s">
        <v>3962</v>
      </c>
      <c r="AE1173">
        <v>2694</v>
      </c>
      <c r="AF1173" t="s">
        <v>3963</v>
      </c>
      <c r="AG1173" t="s">
        <v>1244</v>
      </c>
      <c r="AH1173" t="s">
        <v>3964</v>
      </c>
    </row>
    <row r="1174" spans="1:34" x14ac:dyDescent="0.25">
      <c r="A1174">
        <v>142</v>
      </c>
      <c r="C1174" s="185"/>
      <c r="D1174" t="s">
        <v>24</v>
      </c>
      <c r="E1174" t="s">
        <v>386</v>
      </c>
      <c r="F1174" t="s">
        <v>493</v>
      </c>
      <c r="G1174" t="s">
        <v>1192</v>
      </c>
      <c r="H1174" t="s">
        <v>3965</v>
      </c>
      <c r="I1174">
        <v>15509</v>
      </c>
      <c r="J1174" t="s">
        <v>493</v>
      </c>
      <c r="K1174" t="s">
        <v>3966</v>
      </c>
      <c r="L1174" t="s">
        <v>386</v>
      </c>
      <c r="M1174" t="s">
        <v>1193</v>
      </c>
      <c r="N1174">
        <v>15509</v>
      </c>
      <c r="O1174">
        <v>76</v>
      </c>
      <c r="R1174" t="s">
        <v>398</v>
      </c>
      <c r="T1174">
        <v>220</v>
      </c>
      <c r="V1174" t="s">
        <v>1194</v>
      </c>
      <c r="W1174" t="s">
        <v>1199</v>
      </c>
      <c r="X1174">
        <v>200</v>
      </c>
      <c r="Z1174" t="s">
        <v>3967</v>
      </c>
      <c r="AA1174" t="s">
        <v>387</v>
      </c>
      <c r="AB1174">
        <v>0</v>
      </c>
      <c r="AC1174">
        <v>5853</v>
      </c>
      <c r="AD1174" t="s">
        <v>3968</v>
      </c>
      <c r="AE1174">
        <v>1891</v>
      </c>
      <c r="AF1174" t="s">
        <v>3969</v>
      </c>
      <c r="AG1174" t="s">
        <v>2930</v>
      </c>
      <c r="AH1174" t="s">
        <v>3970</v>
      </c>
    </row>
    <row r="1175" spans="1:34" x14ac:dyDescent="0.25">
      <c r="A1175">
        <v>2130</v>
      </c>
      <c r="C1175" s="185"/>
      <c r="E1175" t="s">
        <v>386</v>
      </c>
      <c r="F1175" t="s">
        <v>3971</v>
      </c>
      <c r="G1175" t="s">
        <v>1197</v>
      </c>
      <c r="H1175" t="s">
        <v>3972</v>
      </c>
      <c r="I1175">
        <v>15532</v>
      </c>
      <c r="J1175" t="s">
        <v>3971</v>
      </c>
      <c r="K1175" t="s">
        <v>3973</v>
      </c>
      <c r="L1175" t="s">
        <v>386</v>
      </c>
      <c r="M1175" t="s">
        <v>1193</v>
      </c>
      <c r="N1175">
        <v>15532</v>
      </c>
      <c r="O1175">
        <v>37</v>
      </c>
      <c r="R1175" t="s">
        <v>398</v>
      </c>
      <c r="T1175">
        <v>52</v>
      </c>
      <c r="V1175" t="s">
        <v>2024</v>
      </c>
      <c r="W1175" t="s">
        <v>1194</v>
      </c>
      <c r="X1175">
        <v>220</v>
      </c>
      <c r="Z1175" t="s">
        <v>940</v>
      </c>
      <c r="AA1175" t="s">
        <v>387</v>
      </c>
      <c r="AB1175">
        <v>29000</v>
      </c>
      <c r="AC1175">
        <v>5859</v>
      </c>
      <c r="AD1175" t="s">
        <v>3974</v>
      </c>
      <c r="AE1175">
        <v>138</v>
      </c>
      <c r="AF1175" t="s">
        <v>2509</v>
      </c>
      <c r="AH1175" t="s">
        <v>3975</v>
      </c>
    </row>
    <row r="1176" spans="1:34" x14ac:dyDescent="0.25">
      <c r="A1176">
        <v>1</v>
      </c>
      <c r="C1176" s="185"/>
      <c r="E1176" t="s">
        <v>386</v>
      </c>
      <c r="F1176" t="s">
        <v>3976</v>
      </c>
      <c r="G1176" t="s">
        <v>1197</v>
      </c>
      <c r="H1176" t="s">
        <v>3977</v>
      </c>
      <c r="I1176">
        <v>15540</v>
      </c>
      <c r="J1176" t="s">
        <v>3976</v>
      </c>
      <c r="K1176" t="s">
        <v>3976</v>
      </c>
      <c r="L1176" t="s">
        <v>386</v>
      </c>
      <c r="M1176" t="s">
        <v>1193</v>
      </c>
      <c r="N1176">
        <v>15540</v>
      </c>
      <c r="O1176">
        <v>0</v>
      </c>
      <c r="R1176" t="s">
        <v>1208</v>
      </c>
      <c r="T1176">
        <v>571</v>
      </c>
      <c r="V1176" t="s">
        <v>2003</v>
      </c>
      <c r="W1176" t="s">
        <v>1199</v>
      </c>
      <c r="X1176">
        <v>200</v>
      </c>
      <c r="Z1176" t="s">
        <v>865</v>
      </c>
      <c r="AA1176" t="s">
        <v>387</v>
      </c>
      <c r="AB1176">
        <v>0</v>
      </c>
      <c r="AC1176">
        <v>4484</v>
      </c>
      <c r="AD1176" t="s">
        <v>3978</v>
      </c>
      <c r="AE1176">
        <v>604</v>
      </c>
      <c r="AF1176" t="s">
        <v>3979</v>
      </c>
      <c r="AG1176" t="s">
        <v>3980</v>
      </c>
    </row>
    <row r="1177" spans="1:34" x14ac:dyDescent="0.25">
      <c r="A1177">
        <v>1</v>
      </c>
      <c r="C1177" s="185"/>
      <c r="E1177" t="s">
        <v>386</v>
      </c>
      <c r="F1177" t="s">
        <v>3981</v>
      </c>
      <c r="G1177" t="s">
        <v>1197</v>
      </c>
      <c r="H1177" t="s">
        <v>3982</v>
      </c>
      <c r="I1177">
        <v>15542</v>
      </c>
      <c r="J1177" t="s">
        <v>3981</v>
      </c>
      <c r="K1177" t="s">
        <v>3981</v>
      </c>
      <c r="L1177" t="s">
        <v>386</v>
      </c>
      <c r="M1177" t="s">
        <v>1193</v>
      </c>
      <c r="N1177">
        <v>15542</v>
      </c>
      <c r="O1177">
        <v>0</v>
      </c>
      <c r="R1177" t="s">
        <v>1208</v>
      </c>
      <c r="T1177">
        <v>560</v>
      </c>
      <c r="V1177" t="s">
        <v>2602</v>
      </c>
      <c r="W1177" t="s">
        <v>2003</v>
      </c>
      <c r="X1177">
        <v>571</v>
      </c>
      <c r="Z1177" t="s">
        <v>865</v>
      </c>
      <c r="AA1177" t="s">
        <v>387</v>
      </c>
      <c r="AB1177">
        <v>0</v>
      </c>
      <c r="AC1177">
        <v>5528</v>
      </c>
      <c r="AD1177" t="s">
        <v>3983</v>
      </c>
      <c r="AE1177">
        <v>1812</v>
      </c>
      <c r="AF1177" t="s">
        <v>3984</v>
      </c>
      <c r="AG1177" t="s">
        <v>2499</v>
      </c>
    </row>
    <row r="1178" spans="1:34" x14ac:dyDescent="0.25">
      <c r="A1178">
        <v>1748</v>
      </c>
      <c r="C1178" s="185"/>
      <c r="D1178" t="s">
        <v>24</v>
      </c>
      <c r="E1178" t="s">
        <v>386</v>
      </c>
      <c r="F1178" t="s">
        <v>716</v>
      </c>
      <c r="G1178" t="s">
        <v>1197</v>
      </c>
      <c r="H1178" t="s">
        <v>2830</v>
      </c>
      <c r="I1178">
        <v>15543</v>
      </c>
      <c r="J1178" t="s">
        <v>716</v>
      </c>
      <c r="K1178" t="s">
        <v>3985</v>
      </c>
      <c r="L1178" t="s">
        <v>386</v>
      </c>
      <c r="M1178" t="s">
        <v>1193</v>
      </c>
      <c r="N1178">
        <v>15543</v>
      </c>
      <c r="O1178">
        <v>37</v>
      </c>
      <c r="T1178">
        <v>200</v>
      </c>
      <c r="V1178" t="s">
        <v>1199</v>
      </c>
      <c r="W1178" t="s">
        <v>1199</v>
      </c>
      <c r="X1178">
        <v>200</v>
      </c>
      <c r="Z1178" t="s">
        <v>1014</v>
      </c>
      <c r="AA1178" t="s">
        <v>387</v>
      </c>
      <c r="AB1178">
        <v>29000</v>
      </c>
      <c r="AC1178">
        <v>0</v>
      </c>
      <c r="AD1178" t="s">
        <v>1187</v>
      </c>
      <c r="AE1178">
        <v>2697</v>
      </c>
      <c r="AF1178" t="s">
        <v>3986</v>
      </c>
      <c r="AG1178" t="s">
        <v>1244</v>
      </c>
      <c r="AH1178" t="s">
        <v>3987</v>
      </c>
    </row>
    <row r="1179" spans="1:34" x14ac:dyDescent="0.25">
      <c r="A1179">
        <v>2145</v>
      </c>
      <c r="C1179" s="185"/>
      <c r="E1179" t="s">
        <v>386</v>
      </c>
      <c r="F1179" t="s">
        <v>3988</v>
      </c>
      <c r="G1179" t="s">
        <v>1197</v>
      </c>
      <c r="I1179">
        <v>15602</v>
      </c>
      <c r="J1179" t="s">
        <v>3988</v>
      </c>
      <c r="K1179" t="s">
        <v>3989</v>
      </c>
      <c r="L1179" t="s">
        <v>386</v>
      </c>
      <c r="M1179" t="s">
        <v>1193</v>
      </c>
      <c r="N1179">
        <v>15602</v>
      </c>
      <c r="O1179">
        <v>0</v>
      </c>
      <c r="T1179">
        <v>220</v>
      </c>
      <c r="V1179" t="s">
        <v>1194</v>
      </c>
      <c r="W1179" t="s">
        <v>1257</v>
      </c>
      <c r="X1179">
        <v>426</v>
      </c>
      <c r="Z1179" t="s">
        <v>3990</v>
      </c>
      <c r="AA1179" t="s">
        <v>387</v>
      </c>
      <c r="AB1179">
        <v>0</v>
      </c>
      <c r="AC1179">
        <v>5882</v>
      </c>
      <c r="AD1179" t="s">
        <v>3991</v>
      </c>
      <c r="AE1179">
        <v>0</v>
      </c>
      <c r="AF1179" t="s">
        <v>1188</v>
      </c>
      <c r="AG1179" t="s">
        <v>3992</v>
      </c>
      <c r="AH1179" t="s">
        <v>3993</v>
      </c>
    </row>
    <row r="1180" spans="1:34" x14ac:dyDescent="0.25">
      <c r="A1180">
        <v>60</v>
      </c>
      <c r="C1180" s="185"/>
      <c r="E1180" t="s">
        <v>386</v>
      </c>
      <c r="F1180" t="s">
        <v>3994</v>
      </c>
      <c r="G1180" t="s">
        <v>1192</v>
      </c>
      <c r="H1180" t="s">
        <v>3995</v>
      </c>
      <c r="I1180">
        <v>15612</v>
      </c>
      <c r="J1180" t="s">
        <v>3994</v>
      </c>
      <c r="K1180" t="s">
        <v>3996</v>
      </c>
      <c r="L1180" t="s">
        <v>386</v>
      </c>
      <c r="M1180" t="s">
        <v>1193</v>
      </c>
      <c r="N1180">
        <v>15612</v>
      </c>
      <c r="O1180">
        <v>0</v>
      </c>
      <c r="T1180">
        <v>571</v>
      </c>
      <c r="V1180" t="s">
        <v>2003</v>
      </c>
      <c r="W1180" t="s">
        <v>2073</v>
      </c>
      <c r="X1180">
        <v>372</v>
      </c>
      <c r="Z1180" t="s">
        <v>3997</v>
      </c>
      <c r="AA1180" t="s">
        <v>387</v>
      </c>
      <c r="AB1180">
        <v>0</v>
      </c>
      <c r="AC1180">
        <v>5886</v>
      </c>
      <c r="AD1180" t="s">
        <v>3998</v>
      </c>
      <c r="AE1180">
        <v>2706</v>
      </c>
      <c r="AF1180" t="s">
        <v>3999</v>
      </c>
      <c r="AG1180" t="s">
        <v>4000</v>
      </c>
      <c r="AH1180" t="s">
        <v>4001</v>
      </c>
    </row>
    <row r="1181" spans="1:34" x14ac:dyDescent="0.25">
      <c r="A1181">
        <v>2146</v>
      </c>
      <c r="C1181" s="185"/>
      <c r="E1181" t="s">
        <v>386</v>
      </c>
      <c r="F1181" t="s">
        <v>4002</v>
      </c>
      <c r="G1181" t="s">
        <v>1192</v>
      </c>
      <c r="H1181" t="s">
        <v>4003</v>
      </c>
      <c r="I1181">
        <v>15621</v>
      </c>
      <c r="J1181" t="s">
        <v>4002</v>
      </c>
      <c r="K1181" t="s">
        <v>4002</v>
      </c>
      <c r="L1181" t="s">
        <v>386</v>
      </c>
      <c r="M1181" t="s">
        <v>1184</v>
      </c>
      <c r="N1181">
        <v>15621</v>
      </c>
      <c r="O1181">
        <v>0</v>
      </c>
      <c r="R1181" t="s">
        <v>398</v>
      </c>
      <c r="T1181">
        <v>103</v>
      </c>
      <c r="V1181" t="s">
        <v>1530</v>
      </c>
      <c r="W1181" t="s">
        <v>1530</v>
      </c>
      <c r="X1181">
        <v>103</v>
      </c>
      <c r="Z1181" t="s">
        <v>4004</v>
      </c>
      <c r="AA1181" t="s">
        <v>387</v>
      </c>
      <c r="AB1181">
        <v>0</v>
      </c>
      <c r="AC1181">
        <v>5889</v>
      </c>
      <c r="AD1181" t="s">
        <v>4005</v>
      </c>
      <c r="AE1181">
        <v>1</v>
      </c>
      <c r="AF1181" t="s">
        <v>1922</v>
      </c>
      <c r="AG1181" t="s">
        <v>4006</v>
      </c>
      <c r="AH1181" t="s">
        <v>4007</v>
      </c>
    </row>
    <row r="1182" spans="1:34" x14ac:dyDescent="0.25">
      <c r="A1182">
        <v>2097</v>
      </c>
      <c r="C1182" s="185"/>
      <c r="E1182" t="s">
        <v>386</v>
      </c>
      <c r="F1182" t="s">
        <v>4008</v>
      </c>
      <c r="G1182" t="s">
        <v>1192</v>
      </c>
      <c r="H1182" t="s">
        <v>4009</v>
      </c>
      <c r="I1182">
        <v>15642</v>
      </c>
      <c r="J1182" t="s">
        <v>4008</v>
      </c>
      <c r="K1182" t="s">
        <v>4010</v>
      </c>
      <c r="L1182" t="s">
        <v>386</v>
      </c>
      <c r="M1182" t="s">
        <v>1193</v>
      </c>
      <c r="N1182">
        <v>15642</v>
      </c>
      <c r="O1182">
        <v>0</v>
      </c>
      <c r="T1182">
        <v>571</v>
      </c>
      <c r="V1182" t="s">
        <v>2003</v>
      </c>
      <c r="W1182" t="s">
        <v>3129</v>
      </c>
      <c r="X1182">
        <v>435</v>
      </c>
      <c r="Z1182" t="s">
        <v>4011</v>
      </c>
      <c r="AA1182" t="s">
        <v>387</v>
      </c>
      <c r="AB1182">
        <v>0</v>
      </c>
      <c r="AC1182">
        <v>5401</v>
      </c>
      <c r="AD1182" t="s">
        <v>4012</v>
      </c>
      <c r="AE1182">
        <v>1</v>
      </c>
      <c r="AF1182" t="s">
        <v>1922</v>
      </c>
      <c r="AG1182" t="s">
        <v>3490</v>
      </c>
    </row>
    <row r="1183" spans="1:34" x14ac:dyDescent="0.25">
      <c r="A1183">
        <v>138</v>
      </c>
      <c r="C1183" s="185"/>
      <c r="E1183" t="s">
        <v>386</v>
      </c>
      <c r="F1183" t="s">
        <v>4013</v>
      </c>
      <c r="G1183" t="s">
        <v>1197</v>
      </c>
      <c r="H1183" t="s">
        <v>3717</v>
      </c>
      <c r="I1183">
        <v>15649</v>
      </c>
      <c r="J1183" t="s">
        <v>4013</v>
      </c>
      <c r="K1183" t="s">
        <v>4014</v>
      </c>
      <c r="L1183" t="s">
        <v>386</v>
      </c>
      <c r="M1183" t="s">
        <v>1193</v>
      </c>
      <c r="N1183">
        <v>15649</v>
      </c>
      <c r="O1183">
        <v>0</v>
      </c>
      <c r="R1183" t="s">
        <v>1208</v>
      </c>
      <c r="T1183">
        <v>571</v>
      </c>
      <c r="V1183" t="s">
        <v>2003</v>
      </c>
      <c r="W1183" t="s">
        <v>1216</v>
      </c>
      <c r="X1183">
        <v>260</v>
      </c>
      <c r="Z1183" t="s">
        <v>3613</v>
      </c>
      <c r="AA1183" t="s">
        <v>387</v>
      </c>
      <c r="AB1183">
        <v>0</v>
      </c>
      <c r="AC1183">
        <v>5904</v>
      </c>
      <c r="AD1183" t="s">
        <v>4015</v>
      </c>
      <c r="AE1183">
        <v>2717</v>
      </c>
      <c r="AF1183" t="s">
        <v>4016</v>
      </c>
      <c r="AG1183" t="s">
        <v>3356</v>
      </c>
      <c r="AH1183" t="s">
        <v>4017</v>
      </c>
    </row>
    <row r="1184" spans="1:34" x14ac:dyDescent="0.25">
      <c r="A1184">
        <v>1</v>
      </c>
      <c r="C1184" s="185"/>
      <c r="E1184" t="s">
        <v>386</v>
      </c>
      <c r="F1184" t="s">
        <v>4018</v>
      </c>
      <c r="G1184" t="s">
        <v>1192</v>
      </c>
      <c r="H1184" t="s">
        <v>4019</v>
      </c>
      <c r="I1184">
        <v>15663</v>
      </c>
      <c r="J1184" t="s">
        <v>4018</v>
      </c>
      <c r="K1184" t="s">
        <v>4018</v>
      </c>
      <c r="L1184" t="s">
        <v>386</v>
      </c>
      <c r="M1184" t="s">
        <v>1184</v>
      </c>
      <c r="N1184">
        <v>15663</v>
      </c>
      <c r="O1184">
        <v>0</v>
      </c>
      <c r="R1184" t="s">
        <v>1208</v>
      </c>
      <c r="T1184">
        <v>260</v>
      </c>
      <c r="V1184" t="s">
        <v>1216</v>
      </c>
      <c r="W1184" t="s">
        <v>2024</v>
      </c>
      <c r="X1184">
        <v>52</v>
      </c>
      <c r="Z1184" t="s">
        <v>865</v>
      </c>
      <c r="AA1184" t="s">
        <v>387</v>
      </c>
      <c r="AB1184">
        <v>0</v>
      </c>
      <c r="AC1184">
        <v>5994</v>
      </c>
      <c r="AD1184" t="s">
        <v>4020</v>
      </c>
      <c r="AE1184">
        <v>217</v>
      </c>
      <c r="AF1184" t="s">
        <v>3067</v>
      </c>
      <c r="AG1184" t="s">
        <v>4021</v>
      </c>
      <c r="AH1184" t="s">
        <v>4022</v>
      </c>
    </row>
    <row r="1185" spans="1:34" x14ac:dyDescent="0.25">
      <c r="A1185">
        <v>1</v>
      </c>
      <c r="C1185" s="185"/>
      <c r="E1185" t="s">
        <v>386</v>
      </c>
      <c r="F1185" t="s">
        <v>4023</v>
      </c>
      <c r="G1185" t="s">
        <v>1192</v>
      </c>
      <c r="H1185" t="s">
        <v>4024</v>
      </c>
      <c r="I1185">
        <v>15692</v>
      </c>
      <c r="J1185" t="s">
        <v>4023</v>
      </c>
      <c r="K1185" t="s">
        <v>4025</v>
      </c>
      <c r="L1185" t="s">
        <v>386</v>
      </c>
      <c r="M1185" t="s">
        <v>1193</v>
      </c>
      <c r="N1185">
        <v>15692</v>
      </c>
      <c r="O1185">
        <v>0</v>
      </c>
      <c r="R1185" t="s">
        <v>1208</v>
      </c>
      <c r="T1185">
        <v>571</v>
      </c>
      <c r="V1185" t="s">
        <v>2003</v>
      </c>
      <c r="W1185" t="s">
        <v>1200</v>
      </c>
      <c r="X1185">
        <v>340</v>
      </c>
      <c r="Z1185" t="s">
        <v>865</v>
      </c>
      <c r="AA1185" t="s">
        <v>387</v>
      </c>
      <c r="AB1185">
        <v>0</v>
      </c>
      <c r="AC1185">
        <v>5494</v>
      </c>
      <c r="AD1185" t="s">
        <v>4026</v>
      </c>
      <c r="AE1185">
        <v>198</v>
      </c>
      <c r="AF1185" t="s">
        <v>2011</v>
      </c>
      <c r="AG1185" t="s">
        <v>4027</v>
      </c>
      <c r="AH1185" t="s">
        <v>4028</v>
      </c>
    </row>
    <row r="1186" spans="1:34" x14ac:dyDescent="0.25">
      <c r="A1186">
        <v>1408</v>
      </c>
      <c r="C1186" s="185"/>
      <c r="E1186" t="s">
        <v>386</v>
      </c>
      <c r="F1186" t="s">
        <v>594</v>
      </c>
      <c r="G1186" t="s">
        <v>1197</v>
      </c>
      <c r="I1186">
        <v>15699</v>
      </c>
      <c r="J1186" t="s">
        <v>594</v>
      </c>
      <c r="K1186" t="s">
        <v>594</v>
      </c>
      <c r="L1186" t="s">
        <v>386</v>
      </c>
      <c r="M1186" t="s">
        <v>1193</v>
      </c>
      <c r="N1186">
        <v>15699</v>
      </c>
      <c r="O1186">
        <v>37</v>
      </c>
      <c r="R1186" t="s">
        <v>398</v>
      </c>
      <c r="T1186">
        <v>220</v>
      </c>
      <c r="V1186" t="s">
        <v>1194</v>
      </c>
      <c r="W1186" t="s">
        <v>2223</v>
      </c>
      <c r="X1186">
        <v>138</v>
      </c>
      <c r="Z1186" t="s">
        <v>1036</v>
      </c>
      <c r="AA1186" t="s">
        <v>387</v>
      </c>
      <c r="AB1186">
        <v>29000</v>
      </c>
      <c r="AC1186">
        <v>6260</v>
      </c>
      <c r="AD1186" t="s">
        <v>4029</v>
      </c>
      <c r="AE1186">
        <v>2866</v>
      </c>
      <c r="AF1186" t="s">
        <v>4030</v>
      </c>
      <c r="AG1186" t="s">
        <v>4031</v>
      </c>
      <c r="AH1186" t="s">
        <v>4032</v>
      </c>
    </row>
    <row r="1187" spans="1:34" x14ac:dyDescent="0.25">
      <c r="A1187">
        <v>2124</v>
      </c>
      <c r="C1187" s="185"/>
      <c r="E1187" t="s">
        <v>386</v>
      </c>
      <c r="F1187" t="s">
        <v>4033</v>
      </c>
      <c r="G1187" t="s">
        <v>1192</v>
      </c>
      <c r="H1187" t="s">
        <v>4034</v>
      </c>
      <c r="I1187">
        <v>15726</v>
      </c>
      <c r="J1187" t="s">
        <v>4033</v>
      </c>
      <c r="K1187" t="s">
        <v>4035</v>
      </c>
      <c r="L1187" t="s">
        <v>386</v>
      </c>
      <c r="M1187" t="s">
        <v>1193</v>
      </c>
      <c r="N1187">
        <v>15726</v>
      </c>
      <c r="O1187">
        <v>0</v>
      </c>
      <c r="T1187">
        <v>571</v>
      </c>
      <c r="V1187" t="s">
        <v>2003</v>
      </c>
      <c r="W1187" t="s">
        <v>1257</v>
      </c>
      <c r="X1187">
        <v>426</v>
      </c>
      <c r="Z1187" t="s">
        <v>4036</v>
      </c>
      <c r="AA1187" t="s">
        <v>387</v>
      </c>
      <c r="AB1187">
        <v>0</v>
      </c>
      <c r="AC1187">
        <v>123</v>
      </c>
      <c r="AD1187" t="s">
        <v>4037</v>
      </c>
      <c r="AE1187">
        <v>2729</v>
      </c>
      <c r="AF1187" t="s">
        <v>4038</v>
      </c>
      <c r="AG1187" t="s">
        <v>4039</v>
      </c>
      <c r="AH1187" t="s">
        <v>4040</v>
      </c>
    </row>
    <row r="1188" spans="1:34" x14ac:dyDescent="0.25">
      <c r="A1188">
        <v>1</v>
      </c>
      <c r="C1188" s="185"/>
      <c r="E1188" t="s">
        <v>386</v>
      </c>
      <c r="F1188" t="s">
        <v>4041</v>
      </c>
      <c r="G1188" t="s">
        <v>1197</v>
      </c>
      <c r="H1188" t="s">
        <v>4042</v>
      </c>
      <c r="I1188">
        <v>15757</v>
      </c>
      <c r="J1188" t="s">
        <v>4041</v>
      </c>
      <c r="K1188" t="s">
        <v>4041</v>
      </c>
      <c r="L1188" t="s">
        <v>386</v>
      </c>
      <c r="M1188" t="s">
        <v>1193</v>
      </c>
      <c r="N1188">
        <v>15757</v>
      </c>
      <c r="O1188">
        <v>0</v>
      </c>
      <c r="R1188" t="s">
        <v>1208</v>
      </c>
      <c r="T1188">
        <v>571</v>
      </c>
      <c r="V1188" t="s">
        <v>2003</v>
      </c>
      <c r="W1188" t="s">
        <v>2073</v>
      </c>
      <c r="X1188">
        <v>372</v>
      </c>
      <c r="Z1188" t="s">
        <v>865</v>
      </c>
      <c r="AA1188" t="s">
        <v>387</v>
      </c>
      <c r="AB1188">
        <v>0</v>
      </c>
      <c r="AC1188">
        <v>607</v>
      </c>
      <c r="AD1188" t="s">
        <v>4043</v>
      </c>
      <c r="AE1188">
        <v>150</v>
      </c>
      <c r="AF1188" t="s">
        <v>2587</v>
      </c>
      <c r="AG1188" t="s">
        <v>4044</v>
      </c>
    </row>
    <row r="1189" spans="1:34" x14ac:dyDescent="0.25">
      <c r="A1189">
        <v>1</v>
      </c>
      <c r="C1189" s="185"/>
      <c r="E1189" t="s">
        <v>386</v>
      </c>
      <c r="F1189" t="s">
        <v>688</v>
      </c>
      <c r="G1189" t="s">
        <v>1192</v>
      </c>
      <c r="H1189" t="s">
        <v>4045</v>
      </c>
      <c r="I1189">
        <v>15759</v>
      </c>
      <c r="J1189" t="s">
        <v>688</v>
      </c>
      <c r="K1189" t="s">
        <v>688</v>
      </c>
      <c r="L1189" t="s">
        <v>386</v>
      </c>
      <c r="M1189" t="s">
        <v>1184</v>
      </c>
      <c r="N1189">
        <v>15759</v>
      </c>
      <c r="O1189">
        <v>0</v>
      </c>
      <c r="R1189" t="s">
        <v>1208</v>
      </c>
      <c r="T1189">
        <v>260</v>
      </c>
      <c r="V1189" t="s">
        <v>1216</v>
      </c>
      <c r="W1189" t="s">
        <v>1988</v>
      </c>
      <c r="X1189">
        <v>122</v>
      </c>
      <c r="Z1189" t="s">
        <v>865</v>
      </c>
      <c r="AA1189" t="s">
        <v>387</v>
      </c>
      <c r="AB1189">
        <v>0</v>
      </c>
      <c r="AC1189">
        <v>6513</v>
      </c>
      <c r="AD1189" t="s">
        <v>4046</v>
      </c>
      <c r="AE1189">
        <v>652</v>
      </c>
      <c r="AF1189" t="s">
        <v>2859</v>
      </c>
      <c r="AG1189" t="s">
        <v>4047</v>
      </c>
    </row>
    <row r="1190" spans="1:34" x14ac:dyDescent="0.25">
      <c r="A1190">
        <v>31</v>
      </c>
      <c r="C1190" s="185"/>
      <c r="E1190" t="s">
        <v>386</v>
      </c>
      <c r="F1190" t="s">
        <v>4048</v>
      </c>
      <c r="G1190" t="s">
        <v>1192</v>
      </c>
      <c r="I1190">
        <v>15790</v>
      </c>
      <c r="J1190" t="s">
        <v>4048</v>
      </c>
      <c r="K1190" t="s">
        <v>4048</v>
      </c>
      <c r="L1190" t="s">
        <v>386</v>
      </c>
      <c r="M1190" t="s">
        <v>1184</v>
      </c>
      <c r="N1190">
        <v>15790</v>
      </c>
      <c r="O1190">
        <v>0</v>
      </c>
      <c r="T1190">
        <v>260</v>
      </c>
      <c r="V1190" t="s">
        <v>1216</v>
      </c>
      <c r="W1190" t="s">
        <v>2024</v>
      </c>
      <c r="X1190">
        <v>52</v>
      </c>
      <c r="Z1190" t="s">
        <v>1132</v>
      </c>
      <c r="AA1190" t="s">
        <v>387</v>
      </c>
      <c r="AB1190">
        <v>0</v>
      </c>
      <c r="AC1190">
        <v>0</v>
      </c>
      <c r="AD1190" t="s">
        <v>1187</v>
      </c>
      <c r="AE1190">
        <v>0</v>
      </c>
      <c r="AF1190" t="s">
        <v>1188</v>
      </c>
    </row>
    <row r="1191" spans="1:34" x14ac:dyDescent="0.25">
      <c r="A1191">
        <v>1</v>
      </c>
      <c r="C1191" s="185"/>
      <c r="E1191" t="s">
        <v>386</v>
      </c>
      <c r="F1191" t="s">
        <v>4049</v>
      </c>
      <c r="G1191" t="s">
        <v>1192</v>
      </c>
      <c r="H1191" t="s">
        <v>4050</v>
      </c>
      <c r="I1191">
        <v>15805</v>
      </c>
      <c r="J1191" t="s">
        <v>4049</v>
      </c>
      <c r="K1191" t="s">
        <v>4051</v>
      </c>
      <c r="L1191" t="s">
        <v>386</v>
      </c>
      <c r="M1191" t="s">
        <v>1193</v>
      </c>
      <c r="N1191">
        <v>15805</v>
      </c>
      <c r="O1191">
        <v>0</v>
      </c>
      <c r="T1191">
        <v>259</v>
      </c>
      <c r="V1191" t="s">
        <v>1215</v>
      </c>
      <c r="W1191" t="s">
        <v>1215</v>
      </c>
      <c r="X1191">
        <v>259</v>
      </c>
      <c r="Z1191" t="s">
        <v>865</v>
      </c>
      <c r="AA1191" t="s">
        <v>387</v>
      </c>
      <c r="AB1191">
        <v>0</v>
      </c>
      <c r="AC1191">
        <v>5952</v>
      </c>
      <c r="AD1191" t="s">
        <v>4052</v>
      </c>
      <c r="AE1191">
        <v>25</v>
      </c>
      <c r="AF1191" t="s">
        <v>2017</v>
      </c>
      <c r="AG1191" t="s">
        <v>3685</v>
      </c>
      <c r="AH1191" t="s">
        <v>4053</v>
      </c>
    </row>
    <row r="1192" spans="1:34" x14ac:dyDescent="0.25">
      <c r="A1192">
        <v>1724</v>
      </c>
      <c r="C1192" s="185"/>
      <c r="E1192" t="s">
        <v>386</v>
      </c>
      <c r="F1192" t="s">
        <v>4054</v>
      </c>
      <c r="G1192" t="s">
        <v>1192</v>
      </c>
      <c r="H1192" t="s">
        <v>4055</v>
      </c>
      <c r="I1192">
        <v>15820</v>
      </c>
      <c r="J1192" t="s">
        <v>4054</v>
      </c>
      <c r="K1192" t="s">
        <v>4056</v>
      </c>
      <c r="L1192" t="s">
        <v>386</v>
      </c>
      <c r="M1192" t="s">
        <v>1184</v>
      </c>
      <c r="N1192">
        <v>15820</v>
      </c>
      <c r="O1192">
        <v>37</v>
      </c>
      <c r="T1192">
        <v>220</v>
      </c>
      <c r="V1192" t="s">
        <v>1194</v>
      </c>
      <c r="W1192" t="s">
        <v>1257</v>
      </c>
      <c r="X1192">
        <v>426</v>
      </c>
      <c r="Z1192" t="s">
        <v>929</v>
      </c>
      <c r="AA1192" t="s">
        <v>387</v>
      </c>
      <c r="AB1192">
        <v>29000</v>
      </c>
      <c r="AC1192">
        <v>5955</v>
      </c>
      <c r="AD1192" t="s">
        <v>4057</v>
      </c>
      <c r="AE1192">
        <v>1</v>
      </c>
      <c r="AF1192" t="s">
        <v>1922</v>
      </c>
      <c r="AG1192" t="s">
        <v>4058</v>
      </c>
      <c r="AH1192" t="s">
        <v>4059</v>
      </c>
    </row>
    <row r="1193" spans="1:34" x14ac:dyDescent="0.25">
      <c r="A1193">
        <v>1724</v>
      </c>
      <c r="C1193" s="185"/>
      <c r="E1193" t="s">
        <v>386</v>
      </c>
      <c r="F1193" t="s">
        <v>4060</v>
      </c>
      <c r="G1193" t="s">
        <v>1192</v>
      </c>
      <c r="H1193" t="s">
        <v>4061</v>
      </c>
      <c r="I1193">
        <v>15825</v>
      </c>
      <c r="J1193" t="s">
        <v>4060</v>
      </c>
      <c r="K1193" t="s">
        <v>4060</v>
      </c>
      <c r="L1193" t="s">
        <v>386</v>
      </c>
      <c r="M1193" t="s">
        <v>1184</v>
      </c>
      <c r="N1193">
        <v>15825</v>
      </c>
      <c r="O1193">
        <v>0</v>
      </c>
      <c r="T1193">
        <v>426</v>
      </c>
      <c r="V1193" t="s">
        <v>1257</v>
      </c>
      <c r="W1193" t="s">
        <v>1257</v>
      </c>
      <c r="X1193">
        <v>426</v>
      </c>
      <c r="Z1193" t="s">
        <v>929</v>
      </c>
      <c r="AA1193" t="s">
        <v>387</v>
      </c>
      <c r="AB1193">
        <v>0</v>
      </c>
      <c r="AC1193">
        <v>5959</v>
      </c>
      <c r="AD1193" t="s">
        <v>4062</v>
      </c>
      <c r="AE1193">
        <v>988</v>
      </c>
      <c r="AF1193" t="s">
        <v>4063</v>
      </c>
      <c r="AG1193" t="s">
        <v>4064</v>
      </c>
      <c r="AH1193" t="s">
        <v>4065</v>
      </c>
    </row>
    <row r="1194" spans="1:34" x14ac:dyDescent="0.25">
      <c r="A1194">
        <v>1342</v>
      </c>
      <c r="C1194" s="185"/>
      <c r="E1194" t="s">
        <v>386</v>
      </c>
      <c r="F1194" t="s">
        <v>4066</v>
      </c>
      <c r="G1194" t="s">
        <v>1192</v>
      </c>
      <c r="H1194" t="s">
        <v>3092</v>
      </c>
      <c r="I1194">
        <v>15827</v>
      </c>
      <c r="J1194" t="s">
        <v>4066</v>
      </c>
      <c r="K1194" t="s">
        <v>4067</v>
      </c>
      <c r="L1194" t="s">
        <v>386</v>
      </c>
      <c r="M1194" t="s">
        <v>1193</v>
      </c>
      <c r="N1194">
        <v>15827</v>
      </c>
      <c r="O1194">
        <v>0</v>
      </c>
      <c r="R1194" t="s">
        <v>1208</v>
      </c>
      <c r="T1194">
        <v>571</v>
      </c>
      <c r="V1194" t="s">
        <v>2003</v>
      </c>
      <c r="W1194" t="s">
        <v>1530</v>
      </c>
      <c r="X1194">
        <v>103</v>
      </c>
      <c r="Z1194" t="s">
        <v>2156</v>
      </c>
      <c r="AA1194" t="s">
        <v>387</v>
      </c>
      <c r="AB1194">
        <v>0</v>
      </c>
      <c r="AC1194">
        <v>5960</v>
      </c>
      <c r="AD1194" t="s">
        <v>4068</v>
      </c>
      <c r="AE1194">
        <v>57</v>
      </c>
      <c r="AF1194" t="s">
        <v>4069</v>
      </c>
      <c r="AG1194" t="s">
        <v>4070</v>
      </c>
      <c r="AH1194" t="s">
        <v>4071</v>
      </c>
    </row>
    <row r="1195" spans="1:34" x14ac:dyDescent="0.25">
      <c r="A1195">
        <v>1453</v>
      </c>
      <c r="C1195" s="185"/>
      <c r="E1195" t="s">
        <v>386</v>
      </c>
      <c r="F1195" t="s">
        <v>4072</v>
      </c>
      <c r="G1195" t="s">
        <v>1192</v>
      </c>
      <c r="H1195" t="s">
        <v>4073</v>
      </c>
      <c r="I1195">
        <v>15832</v>
      </c>
      <c r="J1195" t="s">
        <v>4072</v>
      </c>
      <c r="K1195" t="s">
        <v>4074</v>
      </c>
      <c r="L1195" t="s">
        <v>386</v>
      </c>
      <c r="M1195" t="s">
        <v>1193</v>
      </c>
      <c r="N1195">
        <v>15832</v>
      </c>
      <c r="O1195">
        <v>0</v>
      </c>
      <c r="R1195" t="s">
        <v>1208</v>
      </c>
      <c r="T1195">
        <v>103</v>
      </c>
      <c r="V1195" t="s">
        <v>1530</v>
      </c>
      <c r="W1195" t="s">
        <v>1530</v>
      </c>
      <c r="X1195">
        <v>103</v>
      </c>
      <c r="Z1195" t="s">
        <v>1195</v>
      </c>
      <c r="AA1195" t="s">
        <v>387</v>
      </c>
      <c r="AB1195">
        <v>0</v>
      </c>
      <c r="AC1195">
        <v>5964</v>
      </c>
      <c r="AD1195" t="s">
        <v>4075</v>
      </c>
      <c r="AE1195">
        <v>319</v>
      </c>
      <c r="AF1195" t="s">
        <v>4076</v>
      </c>
      <c r="AG1195" t="s">
        <v>1244</v>
      </c>
    </row>
    <row r="1196" spans="1:34" x14ac:dyDescent="0.25">
      <c r="A1196">
        <v>1</v>
      </c>
      <c r="C1196" s="185"/>
      <c r="E1196" t="s">
        <v>386</v>
      </c>
      <c r="F1196" t="s">
        <v>4077</v>
      </c>
      <c r="G1196" t="s">
        <v>1192</v>
      </c>
      <c r="H1196" t="s">
        <v>4078</v>
      </c>
      <c r="I1196">
        <v>15853</v>
      </c>
      <c r="J1196" t="s">
        <v>4077</v>
      </c>
      <c r="K1196" t="s">
        <v>4077</v>
      </c>
      <c r="L1196" t="s">
        <v>386</v>
      </c>
      <c r="M1196" t="s">
        <v>1193</v>
      </c>
      <c r="N1196">
        <v>15853</v>
      </c>
      <c r="O1196">
        <v>0</v>
      </c>
      <c r="R1196" t="s">
        <v>1208</v>
      </c>
      <c r="T1196">
        <v>571</v>
      </c>
      <c r="V1196" t="s">
        <v>2003</v>
      </c>
      <c r="W1196" t="s">
        <v>1199</v>
      </c>
      <c r="X1196">
        <v>200</v>
      </c>
      <c r="Z1196" t="s">
        <v>865</v>
      </c>
      <c r="AA1196" t="s">
        <v>387</v>
      </c>
      <c r="AB1196">
        <v>0</v>
      </c>
      <c r="AC1196">
        <v>408</v>
      </c>
      <c r="AD1196" t="s">
        <v>4079</v>
      </c>
      <c r="AE1196">
        <v>49</v>
      </c>
      <c r="AF1196" t="s">
        <v>4080</v>
      </c>
      <c r="AG1196" t="s">
        <v>4081</v>
      </c>
      <c r="AH1196" t="s">
        <v>4082</v>
      </c>
    </row>
    <row r="1197" spans="1:34" x14ac:dyDescent="0.25">
      <c r="A1197">
        <v>1414</v>
      </c>
      <c r="C1197" s="185"/>
      <c r="E1197" t="s">
        <v>386</v>
      </c>
      <c r="F1197" t="s">
        <v>4083</v>
      </c>
      <c r="G1197" t="s">
        <v>1197</v>
      </c>
      <c r="H1197" t="s">
        <v>4084</v>
      </c>
      <c r="I1197">
        <v>15863</v>
      </c>
      <c r="J1197" t="s">
        <v>4083</v>
      </c>
      <c r="K1197" t="s">
        <v>4083</v>
      </c>
      <c r="L1197" t="s">
        <v>386</v>
      </c>
      <c r="M1197" t="s">
        <v>1193</v>
      </c>
      <c r="N1197">
        <v>15863</v>
      </c>
      <c r="O1197">
        <v>0</v>
      </c>
      <c r="R1197" t="s">
        <v>1208</v>
      </c>
      <c r="T1197">
        <v>571</v>
      </c>
      <c r="V1197" t="s">
        <v>2003</v>
      </c>
      <c r="W1197" t="s">
        <v>2073</v>
      </c>
      <c r="X1197">
        <v>372</v>
      </c>
      <c r="Z1197" t="s">
        <v>3034</v>
      </c>
      <c r="AA1197" t="s">
        <v>387</v>
      </c>
      <c r="AB1197">
        <v>0</v>
      </c>
      <c r="AC1197">
        <v>5980</v>
      </c>
      <c r="AD1197" t="s">
        <v>4085</v>
      </c>
      <c r="AE1197">
        <v>2752</v>
      </c>
      <c r="AF1197" t="s">
        <v>4086</v>
      </c>
      <c r="AG1197" t="s">
        <v>4087</v>
      </c>
      <c r="AH1197" t="s">
        <v>4088</v>
      </c>
    </row>
    <row r="1198" spans="1:34" x14ac:dyDescent="0.25">
      <c r="A1198">
        <v>1</v>
      </c>
      <c r="C1198" s="185"/>
      <c r="E1198" t="s">
        <v>386</v>
      </c>
      <c r="F1198" t="s">
        <v>4089</v>
      </c>
      <c r="G1198" t="s">
        <v>1192</v>
      </c>
      <c r="H1198" t="s">
        <v>4090</v>
      </c>
      <c r="I1198">
        <v>15897</v>
      </c>
      <c r="J1198" t="s">
        <v>4089</v>
      </c>
      <c r="K1198" t="s">
        <v>4089</v>
      </c>
      <c r="L1198" t="s">
        <v>386</v>
      </c>
      <c r="M1198" t="s">
        <v>1184</v>
      </c>
      <c r="N1198">
        <v>15897</v>
      </c>
      <c r="O1198">
        <v>0</v>
      </c>
      <c r="R1198" t="s">
        <v>1208</v>
      </c>
      <c r="T1198">
        <v>260</v>
      </c>
      <c r="V1198" t="s">
        <v>1216</v>
      </c>
      <c r="W1198" t="s">
        <v>2073</v>
      </c>
      <c r="X1198">
        <v>372</v>
      </c>
      <c r="Z1198" t="s">
        <v>865</v>
      </c>
      <c r="AA1198" t="s">
        <v>387</v>
      </c>
      <c r="AB1198">
        <v>0</v>
      </c>
      <c r="AC1198">
        <v>6592</v>
      </c>
      <c r="AD1198" t="s">
        <v>4091</v>
      </c>
      <c r="AE1198">
        <v>147</v>
      </c>
      <c r="AF1198" t="s">
        <v>4092</v>
      </c>
      <c r="AG1198" t="s">
        <v>4093</v>
      </c>
      <c r="AH1198" t="s">
        <v>4094</v>
      </c>
    </row>
    <row r="1199" spans="1:34" x14ac:dyDescent="0.25">
      <c r="A1199">
        <v>119</v>
      </c>
      <c r="B1199" t="s">
        <v>1313</v>
      </c>
      <c r="C1199" s="185"/>
      <c r="D1199" t="s">
        <v>24</v>
      </c>
      <c r="E1199" t="s">
        <v>386</v>
      </c>
      <c r="F1199" t="s">
        <v>508</v>
      </c>
      <c r="G1199" t="s">
        <v>1192</v>
      </c>
      <c r="H1199" t="s">
        <v>4095</v>
      </c>
      <c r="I1199">
        <v>15945</v>
      </c>
      <c r="J1199" t="s">
        <v>508</v>
      </c>
      <c r="K1199" t="s">
        <v>508</v>
      </c>
      <c r="L1199" t="s">
        <v>386</v>
      </c>
      <c r="M1199" t="s">
        <v>1193</v>
      </c>
      <c r="N1199">
        <v>15945</v>
      </c>
      <c r="O1199">
        <v>65</v>
      </c>
      <c r="R1199" t="s">
        <v>398</v>
      </c>
      <c r="S1199" t="s">
        <v>1909</v>
      </c>
      <c r="T1199">
        <v>220</v>
      </c>
      <c r="U1199">
        <v>0</v>
      </c>
      <c r="V1199" t="s">
        <v>1194</v>
      </c>
      <c r="W1199" t="s">
        <v>1199</v>
      </c>
      <c r="X1199">
        <v>200</v>
      </c>
      <c r="Y1199" t="s">
        <v>1317</v>
      </c>
      <c r="Z1199" t="s">
        <v>1009</v>
      </c>
      <c r="AA1199" t="s">
        <v>387</v>
      </c>
      <c r="AB1199">
        <v>57000</v>
      </c>
      <c r="AC1199">
        <v>503</v>
      </c>
      <c r="AD1199" t="s">
        <v>4096</v>
      </c>
      <c r="AE1199">
        <v>3</v>
      </c>
      <c r="AF1199" t="s">
        <v>1235</v>
      </c>
      <c r="AG1199" t="s">
        <v>4097</v>
      </c>
    </row>
    <row r="1200" spans="1:34" x14ac:dyDescent="0.25">
      <c r="A1200">
        <v>2130</v>
      </c>
      <c r="C1200" s="185"/>
      <c r="E1200" t="s">
        <v>386</v>
      </c>
      <c r="F1200" t="s">
        <v>4098</v>
      </c>
      <c r="G1200" t="s">
        <v>1197</v>
      </c>
      <c r="I1200">
        <v>15974</v>
      </c>
      <c r="J1200" t="s">
        <v>4098</v>
      </c>
      <c r="K1200" t="s">
        <v>4099</v>
      </c>
      <c r="L1200" t="s">
        <v>386</v>
      </c>
      <c r="M1200" t="s">
        <v>1193</v>
      </c>
      <c r="N1200">
        <v>15974</v>
      </c>
      <c r="O1200">
        <v>37</v>
      </c>
      <c r="T1200">
        <v>220</v>
      </c>
      <c r="V1200" t="s">
        <v>1194</v>
      </c>
      <c r="W1200" t="s">
        <v>1194</v>
      </c>
      <c r="X1200">
        <v>220</v>
      </c>
      <c r="Z1200" t="s">
        <v>940</v>
      </c>
      <c r="AA1200" t="s">
        <v>387</v>
      </c>
      <c r="AB1200">
        <v>29000</v>
      </c>
      <c r="AC1200">
        <v>6012</v>
      </c>
      <c r="AD1200" t="s">
        <v>4100</v>
      </c>
      <c r="AE1200">
        <v>138</v>
      </c>
      <c r="AF1200" t="s">
        <v>2509</v>
      </c>
      <c r="AG1200" t="s">
        <v>4101</v>
      </c>
      <c r="AH1200" t="s">
        <v>4102</v>
      </c>
    </row>
    <row r="1201" spans="1:34" x14ac:dyDescent="0.25">
      <c r="A1201">
        <v>2162</v>
      </c>
      <c r="C1201" s="185"/>
      <c r="E1201" t="s">
        <v>386</v>
      </c>
      <c r="F1201" t="s">
        <v>4103</v>
      </c>
      <c r="G1201" t="s">
        <v>1192</v>
      </c>
      <c r="H1201" t="s">
        <v>4104</v>
      </c>
      <c r="I1201">
        <v>15975</v>
      </c>
      <c r="J1201" t="s">
        <v>4103</v>
      </c>
      <c r="K1201" t="s">
        <v>4105</v>
      </c>
      <c r="L1201" t="s">
        <v>386</v>
      </c>
      <c r="M1201" t="s">
        <v>1184</v>
      </c>
      <c r="N1201">
        <v>15975</v>
      </c>
      <c r="O1201">
        <v>0</v>
      </c>
      <c r="T1201">
        <v>496</v>
      </c>
      <c r="V1201" t="s">
        <v>2246</v>
      </c>
      <c r="W1201" t="s">
        <v>1216</v>
      </c>
      <c r="X1201">
        <v>260</v>
      </c>
      <c r="Z1201" t="s">
        <v>4106</v>
      </c>
      <c r="AA1201" t="s">
        <v>387</v>
      </c>
      <c r="AB1201">
        <v>0</v>
      </c>
      <c r="AC1201">
        <v>6013</v>
      </c>
      <c r="AD1201" t="s">
        <v>4107</v>
      </c>
      <c r="AE1201">
        <v>2766</v>
      </c>
      <c r="AF1201" t="s">
        <v>4108</v>
      </c>
      <c r="AG1201" t="s">
        <v>4109</v>
      </c>
      <c r="AH1201" t="s">
        <v>4102</v>
      </c>
    </row>
    <row r="1202" spans="1:34" x14ac:dyDescent="0.25">
      <c r="A1202">
        <v>108</v>
      </c>
      <c r="C1202" s="185"/>
      <c r="E1202" t="s">
        <v>386</v>
      </c>
      <c r="F1202" t="s">
        <v>4110</v>
      </c>
      <c r="G1202" t="s">
        <v>1192</v>
      </c>
      <c r="H1202" t="s">
        <v>4111</v>
      </c>
      <c r="I1202">
        <v>15976</v>
      </c>
      <c r="J1202" t="s">
        <v>4110</v>
      </c>
      <c r="K1202" t="s">
        <v>4110</v>
      </c>
      <c r="L1202" t="s">
        <v>386</v>
      </c>
      <c r="M1202" t="s">
        <v>1184</v>
      </c>
      <c r="N1202">
        <v>15976</v>
      </c>
      <c r="O1202">
        <v>0</v>
      </c>
      <c r="R1202" t="s">
        <v>1208</v>
      </c>
      <c r="T1202">
        <v>260</v>
      </c>
      <c r="V1202" t="s">
        <v>1216</v>
      </c>
      <c r="W1202" t="s">
        <v>2073</v>
      </c>
      <c r="X1202">
        <v>372</v>
      </c>
      <c r="Z1202" t="s">
        <v>899</v>
      </c>
      <c r="AA1202" t="s">
        <v>387</v>
      </c>
      <c r="AB1202">
        <v>0</v>
      </c>
      <c r="AC1202">
        <v>6489</v>
      </c>
      <c r="AD1202" t="s">
        <v>4112</v>
      </c>
      <c r="AE1202">
        <v>2993</v>
      </c>
      <c r="AF1202" t="s">
        <v>4113</v>
      </c>
    </row>
    <row r="1203" spans="1:34" x14ac:dyDescent="0.25">
      <c r="A1203">
        <v>1</v>
      </c>
      <c r="C1203" s="185"/>
      <c r="E1203" t="s">
        <v>386</v>
      </c>
      <c r="F1203" t="s">
        <v>4114</v>
      </c>
      <c r="G1203" t="s">
        <v>1192</v>
      </c>
      <c r="I1203">
        <v>15977</v>
      </c>
      <c r="J1203" t="s">
        <v>4114</v>
      </c>
      <c r="K1203" t="s">
        <v>4114</v>
      </c>
      <c r="L1203" t="s">
        <v>386</v>
      </c>
      <c r="M1203" t="s">
        <v>1184</v>
      </c>
      <c r="N1203">
        <v>15977</v>
      </c>
      <c r="O1203">
        <v>0</v>
      </c>
      <c r="R1203" t="s">
        <v>1208</v>
      </c>
      <c r="T1203">
        <v>494</v>
      </c>
      <c r="V1203" t="s">
        <v>3351</v>
      </c>
      <c r="W1203" t="s">
        <v>2073</v>
      </c>
      <c r="X1203">
        <v>372</v>
      </c>
      <c r="Z1203" t="s">
        <v>865</v>
      </c>
      <c r="AA1203" t="s">
        <v>387</v>
      </c>
      <c r="AB1203">
        <v>0</v>
      </c>
      <c r="AC1203">
        <v>0</v>
      </c>
      <c r="AD1203" t="s">
        <v>1187</v>
      </c>
      <c r="AE1203">
        <v>0</v>
      </c>
      <c r="AF1203" t="s">
        <v>1188</v>
      </c>
    </row>
    <row r="1204" spans="1:34" x14ac:dyDescent="0.25">
      <c r="A1204">
        <v>1479</v>
      </c>
      <c r="C1204" s="185"/>
      <c r="E1204" t="s">
        <v>386</v>
      </c>
      <c r="F1204" t="s">
        <v>4115</v>
      </c>
      <c r="G1204" t="s">
        <v>1192</v>
      </c>
      <c r="H1204" t="s">
        <v>4116</v>
      </c>
      <c r="I1204">
        <v>16023</v>
      </c>
      <c r="J1204" t="s">
        <v>4115</v>
      </c>
      <c r="K1204" t="s">
        <v>4117</v>
      </c>
      <c r="L1204" t="s">
        <v>386</v>
      </c>
      <c r="M1204" t="s">
        <v>1193</v>
      </c>
      <c r="N1204">
        <v>16023</v>
      </c>
      <c r="O1204">
        <v>0</v>
      </c>
      <c r="T1204">
        <v>496</v>
      </c>
      <c r="V1204" t="s">
        <v>2246</v>
      </c>
      <c r="W1204" t="s">
        <v>2246</v>
      </c>
      <c r="X1204">
        <v>496</v>
      </c>
      <c r="Z1204" t="s">
        <v>2665</v>
      </c>
      <c r="AA1204" t="s">
        <v>387</v>
      </c>
      <c r="AB1204">
        <v>0</v>
      </c>
      <c r="AC1204">
        <v>5053</v>
      </c>
      <c r="AD1204" t="s">
        <v>4118</v>
      </c>
      <c r="AE1204">
        <v>1098</v>
      </c>
      <c r="AF1204" t="s">
        <v>4119</v>
      </c>
      <c r="AG1204" t="s">
        <v>4120</v>
      </c>
      <c r="AH1204" t="s">
        <v>4121</v>
      </c>
    </row>
    <row r="1205" spans="1:34" x14ac:dyDescent="0.25">
      <c r="A1205">
        <v>1479</v>
      </c>
      <c r="C1205" s="185"/>
      <c r="E1205" t="s">
        <v>386</v>
      </c>
      <c r="F1205" t="s">
        <v>4122</v>
      </c>
      <c r="G1205" t="s">
        <v>1192</v>
      </c>
      <c r="H1205" t="s">
        <v>4123</v>
      </c>
      <c r="I1205">
        <v>16026</v>
      </c>
      <c r="J1205" t="s">
        <v>4122</v>
      </c>
      <c r="K1205" t="s">
        <v>4124</v>
      </c>
      <c r="L1205" t="s">
        <v>386</v>
      </c>
      <c r="M1205" t="s">
        <v>1193</v>
      </c>
      <c r="N1205">
        <v>16026</v>
      </c>
      <c r="O1205">
        <v>0</v>
      </c>
      <c r="T1205">
        <v>496</v>
      </c>
      <c r="V1205" t="s">
        <v>2246</v>
      </c>
      <c r="W1205" t="s">
        <v>2246</v>
      </c>
      <c r="X1205">
        <v>496</v>
      </c>
      <c r="Z1205" t="s">
        <v>2665</v>
      </c>
      <c r="AA1205" t="s">
        <v>387</v>
      </c>
      <c r="AB1205">
        <v>0</v>
      </c>
      <c r="AC1205">
        <v>6032</v>
      </c>
      <c r="AD1205" t="s">
        <v>4125</v>
      </c>
      <c r="AE1205">
        <v>311</v>
      </c>
      <c r="AF1205" t="s">
        <v>4126</v>
      </c>
      <c r="AG1205" t="s">
        <v>1533</v>
      </c>
      <c r="AH1205" t="s">
        <v>4127</v>
      </c>
    </row>
    <row r="1206" spans="1:34" x14ac:dyDescent="0.25">
      <c r="A1206">
        <v>1324</v>
      </c>
      <c r="C1206" s="185"/>
      <c r="E1206" t="s">
        <v>386</v>
      </c>
      <c r="F1206" t="s">
        <v>4128</v>
      </c>
      <c r="G1206" t="s">
        <v>1192</v>
      </c>
      <c r="H1206" t="s">
        <v>4129</v>
      </c>
      <c r="I1206">
        <v>16070</v>
      </c>
      <c r="J1206" t="s">
        <v>4128</v>
      </c>
      <c r="K1206" t="s">
        <v>4130</v>
      </c>
      <c r="L1206" t="s">
        <v>386</v>
      </c>
      <c r="M1206" t="s">
        <v>1193</v>
      </c>
      <c r="N1206">
        <v>16070</v>
      </c>
      <c r="O1206">
        <v>0</v>
      </c>
      <c r="T1206">
        <v>501</v>
      </c>
      <c r="V1206" t="s">
        <v>4131</v>
      </c>
      <c r="W1206" t="s">
        <v>1215</v>
      </c>
      <c r="X1206">
        <v>259</v>
      </c>
      <c r="Z1206" t="s">
        <v>4132</v>
      </c>
      <c r="AA1206" t="s">
        <v>387</v>
      </c>
      <c r="AB1206">
        <v>0</v>
      </c>
      <c r="AC1206">
        <v>1927</v>
      </c>
      <c r="AD1206" t="s">
        <v>4133</v>
      </c>
      <c r="AE1206">
        <v>2219</v>
      </c>
      <c r="AF1206" t="s">
        <v>4134</v>
      </c>
      <c r="AG1206" t="s">
        <v>4135</v>
      </c>
      <c r="AH1206" t="s">
        <v>4136</v>
      </c>
    </row>
    <row r="1207" spans="1:34" x14ac:dyDescent="0.25">
      <c r="A1207">
        <v>177</v>
      </c>
      <c r="C1207" s="185"/>
      <c r="E1207" t="s">
        <v>386</v>
      </c>
      <c r="F1207" t="s">
        <v>4137</v>
      </c>
      <c r="G1207" t="s">
        <v>1192</v>
      </c>
      <c r="H1207" t="s">
        <v>4138</v>
      </c>
      <c r="I1207">
        <v>16079</v>
      </c>
      <c r="J1207" t="s">
        <v>4137</v>
      </c>
      <c r="K1207" t="s">
        <v>4139</v>
      </c>
      <c r="L1207" t="s">
        <v>386</v>
      </c>
      <c r="M1207" t="s">
        <v>1184</v>
      </c>
      <c r="N1207">
        <v>16079</v>
      </c>
      <c r="O1207">
        <v>0</v>
      </c>
      <c r="R1207" t="s">
        <v>1208</v>
      </c>
      <c r="T1207">
        <v>372</v>
      </c>
      <c r="V1207" t="s">
        <v>2073</v>
      </c>
      <c r="W1207" t="s">
        <v>1215</v>
      </c>
      <c r="X1207">
        <v>259</v>
      </c>
      <c r="Z1207" t="s">
        <v>1054</v>
      </c>
      <c r="AA1207" t="s">
        <v>387</v>
      </c>
      <c r="AB1207">
        <v>0</v>
      </c>
      <c r="AC1207">
        <v>6049</v>
      </c>
      <c r="AD1207" t="s">
        <v>4140</v>
      </c>
      <c r="AE1207">
        <v>1093</v>
      </c>
      <c r="AF1207" t="s">
        <v>4141</v>
      </c>
      <c r="AG1207" t="s">
        <v>4142</v>
      </c>
      <c r="AH1207" t="s">
        <v>4143</v>
      </c>
    </row>
    <row r="1208" spans="1:34" x14ac:dyDescent="0.25">
      <c r="A1208">
        <v>2031</v>
      </c>
      <c r="C1208" s="185"/>
      <c r="E1208" t="s">
        <v>386</v>
      </c>
      <c r="F1208" t="s">
        <v>4144</v>
      </c>
      <c r="G1208" t="s">
        <v>1197</v>
      </c>
      <c r="I1208">
        <v>16098</v>
      </c>
      <c r="J1208" t="s">
        <v>4144</v>
      </c>
      <c r="K1208" t="s">
        <v>4145</v>
      </c>
      <c r="L1208" t="s">
        <v>386</v>
      </c>
      <c r="M1208" t="s">
        <v>1193</v>
      </c>
      <c r="N1208">
        <v>16098</v>
      </c>
      <c r="O1208">
        <v>37</v>
      </c>
      <c r="T1208">
        <v>220</v>
      </c>
      <c r="V1208" t="s">
        <v>1194</v>
      </c>
      <c r="W1208" t="s">
        <v>1194</v>
      </c>
      <c r="X1208">
        <v>220</v>
      </c>
      <c r="Z1208" t="s">
        <v>3389</v>
      </c>
      <c r="AA1208" t="s">
        <v>387</v>
      </c>
      <c r="AB1208">
        <v>29000</v>
      </c>
      <c r="AC1208">
        <v>6057</v>
      </c>
      <c r="AD1208" t="s">
        <v>4146</v>
      </c>
      <c r="AE1208">
        <v>0</v>
      </c>
      <c r="AF1208" t="s">
        <v>1188</v>
      </c>
      <c r="AG1208" t="s">
        <v>1244</v>
      </c>
      <c r="AH1208" t="s">
        <v>4147</v>
      </c>
    </row>
    <row r="1209" spans="1:34" x14ac:dyDescent="0.25">
      <c r="A1209">
        <v>2168</v>
      </c>
      <c r="C1209" s="185"/>
      <c r="E1209" t="s">
        <v>386</v>
      </c>
      <c r="F1209" t="s">
        <v>4148</v>
      </c>
      <c r="G1209" t="s">
        <v>1192</v>
      </c>
      <c r="H1209" t="s">
        <v>4149</v>
      </c>
      <c r="I1209">
        <v>16102</v>
      </c>
      <c r="J1209" t="s">
        <v>4148</v>
      </c>
      <c r="K1209" t="s">
        <v>75</v>
      </c>
      <c r="L1209" t="s">
        <v>386</v>
      </c>
      <c r="M1209" t="s">
        <v>1193</v>
      </c>
      <c r="N1209">
        <v>16102</v>
      </c>
      <c r="O1209">
        <v>64</v>
      </c>
      <c r="R1209" t="s">
        <v>398</v>
      </c>
      <c r="T1209">
        <v>220</v>
      </c>
      <c r="V1209" t="s">
        <v>1194</v>
      </c>
      <c r="W1209" t="s">
        <v>1194</v>
      </c>
      <c r="X1209">
        <v>220</v>
      </c>
      <c r="Z1209" t="s">
        <v>1119</v>
      </c>
      <c r="AA1209" t="s">
        <v>387</v>
      </c>
      <c r="AB1209">
        <v>56000</v>
      </c>
      <c r="AC1209">
        <v>6059</v>
      </c>
      <c r="AD1209" t="s">
        <v>4150</v>
      </c>
      <c r="AE1209">
        <v>2785</v>
      </c>
      <c r="AF1209" t="s">
        <v>4151</v>
      </c>
      <c r="AG1209" t="s">
        <v>1244</v>
      </c>
      <c r="AH1209" t="s">
        <v>4152</v>
      </c>
    </row>
    <row r="1210" spans="1:34" x14ac:dyDescent="0.25">
      <c r="A1210">
        <v>2149</v>
      </c>
      <c r="C1210" s="185"/>
      <c r="E1210" t="s">
        <v>386</v>
      </c>
      <c r="F1210" t="s">
        <v>4153</v>
      </c>
      <c r="G1210" t="s">
        <v>1192</v>
      </c>
      <c r="H1210" t="s">
        <v>4154</v>
      </c>
      <c r="I1210">
        <v>16139</v>
      </c>
      <c r="J1210" t="s">
        <v>4153</v>
      </c>
      <c r="K1210" t="s">
        <v>4155</v>
      </c>
      <c r="L1210" t="s">
        <v>386</v>
      </c>
      <c r="M1210" t="s">
        <v>1193</v>
      </c>
      <c r="N1210">
        <v>16139</v>
      </c>
      <c r="O1210">
        <v>0</v>
      </c>
      <c r="T1210">
        <v>260</v>
      </c>
      <c r="V1210" t="s">
        <v>1216</v>
      </c>
      <c r="W1210" t="s">
        <v>4156</v>
      </c>
      <c r="X1210">
        <v>502</v>
      </c>
      <c r="Z1210" t="s">
        <v>4157</v>
      </c>
      <c r="AA1210" t="s">
        <v>387</v>
      </c>
      <c r="AB1210">
        <v>0</v>
      </c>
      <c r="AC1210">
        <v>1061</v>
      </c>
      <c r="AD1210" t="s">
        <v>1195</v>
      </c>
      <c r="AE1210">
        <v>1</v>
      </c>
      <c r="AF1210" t="s">
        <v>1922</v>
      </c>
      <c r="AG1210" t="s">
        <v>1244</v>
      </c>
      <c r="AH1210" t="s">
        <v>4158</v>
      </c>
    </row>
    <row r="1211" spans="1:34" x14ac:dyDescent="0.25">
      <c r="A1211">
        <v>1</v>
      </c>
      <c r="C1211" s="185"/>
      <c r="E1211" t="s">
        <v>386</v>
      </c>
      <c r="F1211" t="s">
        <v>4159</v>
      </c>
      <c r="G1211" t="s">
        <v>1192</v>
      </c>
      <c r="H1211" t="s">
        <v>4160</v>
      </c>
      <c r="I1211">
        <v>16164</v>
      </c>
      <c r="J1211" t="s">
        <v>4159</v>
      </c>
      <c r="K1211" t="s">
        <v>4159</v>
      </c>
      <c r="L1211" t="s">
        <v>386</v>
      </c>
      <c r="M1211" t="s">
        <v>1193</v>
      </c>
      <c r="N1211">
        <v>16164</v>
      </c>
      <c r="O1211">
        <v>0</v>
      </c>
      <c r="T1211">
        <v>372</v>
      </c>
      <c r="V1211" t="s">
        <v>2073</v>
      </c>
      <c r="W1211" t="s">
        <v>2246</v>
      </c>
      <c r="X1211">
        <v>496</v>
      </c>
      <c r="Z1211" t="s">
        <v>865</v>
      </c>
      <c r="AA1211" t="s">
        <v>387</v>
      </c>
      <c r="AB1211">
        <v>0</v>
      </c>
      <c r="AC1211">
        <v>2735</v>
      </c>
      <c r="AD1211" t="s">
        <v>4161</v>
      </c>
      <c r="AE1211">
        <v>557</v>
      </c>
      <c r="AF1211" t="s">
        <v>2598</v>
      </c>
      <c r="AG1211" t="s">
        <v>4162</v>
      </c>
      <c r="AH1211" t="s">
        <v>4163</v>
      </c>
    </row>
    <row r="1212" spans="1:34" x14ac:dyDescent="0.25">
      <c r="A1212">
        <v>69</v>
      </c>
      <c r="C1212" s="185"/>
      <c r="E1212" t="s">
        <v>386</v>
      </c>
      <c r="F1212" t="s">
        <v>4164</v>
      </c>
      <c r="G1212" t="s">
        <v>1192</v>
      </c>
      <c r="H1212" t="s">
        <v>4165</v>
      </c>
      <c r="I1212">
        <v>16192</v>
      </c>
      <c r="J1212" t="s">
        <v>4164</v>
      </c>
      <c r="K1212" t="s">
        <v>4166</v>
      </c>
      <c r="L1212" t="s">
        <v>386</v>
      </c>
      <c r="M1212" t="s">
        <v>1193</v>
      </c>
      <c r="N1212">
        <v>16192</v>
      </c>
      <c r="O1212">
        <v>0</v>
      </c>
      <c r="R1212" t="s">
        <v>1223</v>
      </c>
      <c r="T1212">
        <v>517</v>
      </c>
      <c r="V1212" t="s">
        <v>4167</v>
      </c>
      <c r="W1212" t="s">
        <v>1530</v>
      </c>
      <c r="X1212">
        <v>103</v>
      </c>
      <c r="Z1212" t="s">
        <v>2437</v>
      </c>
      <c r="AA1212" t="s">
        <v>387</v>
      </c>
      <c r="AB1212">
        <v>0</v>
      </c>
      <c r="AC1212">
        <v>6089</v>
      </c>
      <c r="AD1212" t="s">
        <v>4168</v>
      </c>
      <c r="AE1212">
        <v>0</v>
      </c>
      <c r="AF1212" t="s">
        <v>1188</v>
      </c>
      <c r="AG1212" t="s">
        <v>4169</v>
      </c>
      <c r="AH1212" t="s">
        <v>4170</v>
      </c>
    </row>
    <row r="1213" spans="1:34" x14ac:dyDescent="0.25">
      <c r="A1213">
        <v>2171</v>
      </c>
      <c r="C1213" s="185"/>
      <c r="E1213" t="s">
        <v>386</v>
      </c>
      <c r="F1213" t="s">
        <v>4171</v>
      </c>
      <c r="G1213" t="s">
        <v>1197</v>
      </c>
      <c r="H1213" t="s">
        <v>4172</v>
      </c>
      <c r="I1213">
        <v>16219</v>
      </c>
      <c r="J1213" t="s">
        <v>4171</v>
      </c>
      <c r="K1213" t="s">
        <v>4173</v>
      </c>
      <c r="L1213" t="s">
        <v>386</v>
      </c>
      <c r="M1213" t="s">
        <v>1193</v>
      </c>
      <c r="N1213">
        <v>16219</v>
      </c>
      <c r="O1213">
        <v>37</v>
      </c>
      <c r="T1213">
        <v>220</v>
      </c>
      <c r="V1213" t="s">
        <v>1194</v>
      </c>
      <c r="W1213" t="s">
        <v>2223</v>
      </c>
      <c r="X1213">
        <v>138</v>
      </c>
      <c r="Z1213" t="s">
        <v>4174</v>
      </c>
      <c r="AA1213" t="s">
        <v>387</v>
      </c>
      <c r="AB1213">
        <v>29000</v>
      </c>
      <c r="AC1213">
        <v>0</v>
      </c>
      <c r="AD1213" t="s">
        <v>1187</v>
      </c>
      <c r="AE1213">
        <v>0</v>
      </c>
      <c r="AF1213" t="s">
        <v>1188</v>
      </c>
      <c r="AG1213" t="s">
        <v>4175</v>
      </c>
    </row>
    <row r="1214" spans="1:34" x14ac:dyDescent="0.25">
      <c r="A1214">
        <v>1</v>
      </c>
      <c r="C1214" s="185"/>
      <c r="E1214" t="s">
        <v>386</v>
      </c>
      <c r="F1214" t="s">
        <v>4176</v>
      </c>
      <c r="G1214" t="s">
        <v>1192</v>
      </c>
      <c r="H1214" t="s">
        <v>4177</v>
      </c>
      <c r="I1214">
        <v>16233</v>
      </c>
      <c r="J1214" t="s">
        <v>4176</v>
      </c>
      <c r="K1214" t="s">
        <v>4178</v>
      </c>
      <c r="L1214" t="s">
        <v>386</v>
      </c>
      <c r="M1214" t="s">
        <v>1193</v>
      </c>
      <c r="N1214">
        <v>16233</v>
      </c>
      <c r="O1214">
        <v>0</v>
      </c>
      <c r="T1214">
        <v>560</v>
      </c>
      <c r="V1214" t="s">
        <v>2602</v>
      </c>
      <c r="W1214" t="s">
        <v>2003</v>
      </c>
      <c r="X1214">
        <v>571</v>
      </c>
      <c r="Z1214" t="s">
        <v>865</v>
      </c>
      <c r="AA1214" t="s">
        <v>387</v>
      </c>
      <c r="AB1214">
        <v>0</v>
      </c>
      <c r="AC1214">
        <v>2363</v>
      </c>
      <c r="AD1214" t="s">
        <v>4179</v>
      </c>
      <c r="AE1214">
        <v>59</v>
      </c>
      <c r="AF1214" t="s">
        <v>4180</v>
      </c>
      <c r="AG1214" t="s">
        <v>4181</v>
      </c>
      <c r="AH1214" t="s">
        <v>4182</v>
      </c>
    </row>
    <row r="1215" spans="1:34" x14ac:dyDescent="0.25">
      <c r="A1215">
        <v>1</v>
      </c>
      <c r="C1215" s="185"/>
      <c r="E1215" t="s">
        <v>386</v>
      </c>
      <c r="F1215" t="s">
        <v>4183</v>
      </c>
      <c r="G1215" t="s">
        <v>4184</v>
      </c>
      <c r="H1215" t="s">
        <v>4185</v>
      </c>
      <c r="I1215">
        <v>16258</v>
      </c>
      <c r="J1215" t="s">
        <v>4183</v>
      </c>
      <c r="K1215" t="s">
        <v>4183</v>
      </c>
      <c r="L1215" t="s">
        <v>386</v>
      </c>
      <c r="M1215" t="s">
        <v>1193</v>
      </c>
      <c r="N1215">
        <v>16258</v>
      </c>
      <c r="O1215">
        <v>0</v>
      </c>
      <c r="T1215">
        <v>571</v>
      </c>
      <c r="V1215" t="s">
        <v>2003</v>
      </c>
      <c r="W1215" t="s">
        <v>2073</v>
      </c>
      <c r="X1215">
        <v>372</v>
      </c>
      <c r="Z1215" t="s">
        <v>865</v>
      </c>
      <c r="AA1215" t="s">
        <v>387</v>
      </c>
      <c r="AB1215">
        <v>0</v>
      </c>
      <c r="AC1215">
        <v>102</v>
      </c>
      <c r="AD1215" t="s">
        <v>4186</v>
      </c>
      <c r="AE1215">
        <v>1812</v>
      </c>
      <c r="AF1215" t="s">
        <v>3984</v>
      </c>
      <c r="AG1215" t="s">
        <v>3420</v>
      </c>
      <c r="AH1215" t="s">
        <v>4187</v>
      </c>
    </row>
    <row r="1216" spans="1:34" x14ac:dyDescent="0.25">
      <c r="A1216">
        <v>2173</v>
      </c>
      <c r="C1216" s="185"/>
      <c r="E1216" t="s">
        <v>386</v>
      </c>
      <c r="F1216" t="s">
        <v>4188</v>
      </c>
      <c r="G1216" t="s">
        <v>1197</v>
      </c>
      <c r="H1216" t="s">
        <v>4189</v>
      </c>
      <c r="I1216">
        <v>16275</v>
      </c>
      <c r="J1216" t="s">
        <v>4188</v>
      </c>
      <c r="K1216" t="s">
        <v>4188</v>
      </c>
      <c r="L1216" t="s">
        <v>386</v>
      </c>
      <c r="M1216" t="s">
        <v>1193</v>
      </c>
      <c r="N1216">
        <v>16275</v>
      </c>
      <c r="O1216">
        <v>0</v>
      </c>
      <c r="T1216">
        <v>260</v>
      </c>
      <c r="V1216" t="s">
        <v>1216</v>
      </c>
      <c r="W1216" t="s">
        <v>1216</v>
      </c>
      <c r="X1216">
        <v>260</v>
      </c>
      <c r="Z1216" t="s">
        <v>4190</v>
      </c>
      <c r="AA1216" t="s">
        <v>387</v>
      </c>
      <c r="AB1216">
        <v>0</v>
      </c>
      <c r="AC1216">
        <v>6109</v>
      </c>
      <c r="AD1216" t="s">
        <v>4191</v>
      </c>
      <c r="AE1216">
        <v>0</v>
      </c>
      <c r="AF1216" t="s">
        <v>1188</v>
      </c>
      <c r="AG1216" t="s">
        <v>1244</v>
      </c>
      <c r="AH1216" t="s">
        <v>3151</v>
      </c>
    </row>
    <row r="1217" spans="1:34" x14ac:dyDescent="0.25">
      <c r="A1217">
        <v>201</v>
      </c>
      <c r="C1217" s="185"/>
      <c r="E1217" t="s">
        <v>386</v>
      </c>
      <c r="F1217" t="s">
        <v>4192</v>
      </c>
      <c r="G1217" t="s">
        <v>1192</v>
      </c>
      <c r="H1217" t="s">
        <v>4193</v>
      </c>
      <c r="I1217">
        <v>16329</v>
      </c>
      <c r="J1217" t="s">
        <v>4192</v>
      </c>
      <c r="K1217" t="s">
        <v>4194</v>
      </c>
      <c r="L1217" t="s">
        <v>386</v>
      </c>
      <c r="M1217" t="s">
        <v>1193</v>
      </c>
      <c r="N1217">
        <v>16329</v>
      </c>
      <c r="O1217">
        <v>0</v>
      </c>
      <c r="T1217">
        <v>52</v>
      </c>
      <c r="V1217" t="s">
        <v>2024</v>
      </c>
      <c r="W1217" t="s">
        <v>2246</v>
      </c>
      <c r="X1217">
        <v>496</v>
      </c>
      <c r="Z1217" t="s">
        <v>3859</v>
      </c>
      <c r="AA1217" t="s">
        <v>387</v>
      </c>
      <c r="AB1217">
        <v>0</v>
      </c>
      <c r="AC1217">
        <v>6119</v>
      </c>
      <c r="AD1217" t="s">
        <v>4195</v>
      </c>
      <c r="AE1217">
        <v>2805</v>
      </c>
      <c r="AF1217" t="s">
        <v>4196</v>
      </c>
      <c r="AG1217" t="s">
        <v>4197</v>
      </c>
      <c r="AH1217" t="s">
        <v>4198</v>
      </c>
    </row>
    <row r="1218" spans="1:34" x14ac:dyDescent="0.25">
      <c r="A1218">
        <v>197</v>
      </c>
      <c r="C1218" s="185"/>
      <c r="E1218" t="s">
        <v>386</v>
      </c>
      <c r="F1218" t="s">
        <v>4199</v>
      </c>
      <c r="G1218" t="s">
        <v>1192</v>
      </c>
      <c r="H1218" t="s">
        <v>4200</v>
      </c>
      <c r="I1218">
        <v>16330</v>
      </c>
      <c r="J1218" t="s">
        <v>4199</v>
      </c>
      <c r="K1218" t="s">
        <v>4201</v>
      </c>
      <c r="L1218" t="s">
        <v>386</v>
      </c>
      <c r="M1218" t="s">
        <v>1193</v>
      </c>
      <c r="N1218">
        <v>16330</v>
      </c>
      <c r="O1218">
        <v>0</v>
      </c>
      <c r="T1218">
        <v>496</v>
      </c>
      <c r="V1218" t="s">
        <v>2246</v>
      </c>
      <c r="W1218" t="s">
        <v>2246</v>
      </c>
      <c r="X1218">
        <v>496</v>
      </c>
      <c r="Z1218" t="s">
        <v>1006</v>
      </c>
      <c r="AA1218" t="s">
        <v>387</v>
      </c>
      <c r="AB1218">
        <v>0</v>
      </c>
      <c r="AC1218">
        <v>6120</v>
      </c>
      <c r="AD1218" t="s">
        <v>4202</v>
      </c>
      <c r="AE1218">
        <v>1581</v>
      </c>
      <c r="AF1218" t="s">
        <v>4203</v>
      </c>
      <c r="AG1218" t="s">
        <v>4204</v>
      </c>
      <c r="AH1218" t="s">
        <v>4205</v>
      </c>
    </row>
    <row r="1219" spans="1:34" x14ac:dyDescent="0.25">
      <c r="A1219">
        <v>1</v>
      </c>
      <c r="C1219" s="185"/>
      <c r="E1219" t="s">
        <v>386</v>
      </c>
      <c r="F1219" t="s">
        <v>4206</v>
      </c>
      <c r="G1219" t="s">
        <v>1192</v>
      </c>
      <c r="H1219" t="s">
        <v>4207</v>
      </c>
      <c r="I1219">
        <v>16339</v>
      </c>
      <c r="J1219" t="s">
        <v>4206</v>
      </c>
      <c r="K1219" t="s">
        <v>4208</v>
      </c>
      <c r="L1219" t="s">
        <v>386</v>
      </c>
      <c r="M1219" t="s">
        <v>1193</v>
      </c>
      <c r="N1219">
        <v>16339</v>
      </c>
      <c r="O1219">
        <v>0</v>
      </c>
      <c r="T1219">
        <v>571</v>
      </c>
      <c r="V1219" t="s">
        <v>2003</v>
      </c>
      <c r="W1219" t="s">
        <v>2602</v>
      </c>
      <c r="X1219">
        <v>560</v>
      </c>
      <c r="Z1219" t="s">
        <v>865</v>
      </c>
      <c r="AA1219" t="s">
        <v>387</v>
      </c>
      <c r="AB1219">
        <v>0</v>
      </c>
      <c r="AC1219">
        <v>1609</v>
      </c>
      <c r="AD1219" t="s">
        <v>2035</v>
      </c>
      <c r="AE1219">
        <v>26</v>
      </c>
      <c r="AF1219" t="s">
        <v>2075</v>
      </c>
      <c r="AG1219" t="s">
        <v>4209</v>
      </c>
      <c r="AH1219" t="s">
        <v>4210</v>
      </c>
    </row>
    <row r="1220" spans="1:34" x14ac:dyDescent="0.25">
      <c r="A1220">
        <v>2180</v>
      </c>
      <c r="C1220" s="185"/>
      <c r="E1220" t="s">
        <v>386</v>
      </c>
      <c r="F1220" t="s">
        <v>4211</v>
      </c>
      <c r="G1220" t="s">
        <v>1197</v>
      </c>
      <c r="I1220">
        <v>16407</v>
      </c>
      <c r="J1220" t="s">
        <v>4211</v>
      </c>
      <c r="K1220" t="s">
        <v>4212</v>
      </c>
      <c r="L1220" t="s">
        <v>386</v>
      </c>
      <c r="M1220" t="s">
        <v>1193</v>
      </c>
      <c r="N1220">
        <v>16407</v>
      </c>
      <c r="O1220">
        <v>56</v>
      </c>
      <c r="R1220" t="s">
        <v>398</v>
      </c>
      <c r="T1220">
        <v>220</v>
      </c>
      <c r="V1220" t="s">
        <v>1194</v>
      </c>
      <c r="W1220" t="s">
        <v>1194</v>
      </c>
      <c r="X1220">
        <v>220</v>
      </c>
      <c r="Z1220" t="s">
        <v>4213</v>
      </c>
      <c r="AA1220" t="s">
        <v>387</v>
      </c>
      <c r="AB1220">
        <v>48000</v>
      </c>
      <c r="AC1220">
        <v>6142</v>
      </c>
      <c r="AD1220" t="s">
        <v>4214</v>
      </c>
      <c r="AE1220">
        <v>2819</v>
      </c>
      <c r="AF1220" t="s">
        <v>4213</v>
      </c>
      <c r="AG1220" t="s">
        <v>2044</v>
      </c>
      <c r="AH1220" t="s">
        <v>4215</v>
      </c>
    </row>
    <row r="1221" spans="1:34" x14ac:dyDescent="0.25">
      <c r="A1221">
        <v>1479</v>
      </c>
      <c r="C1221" s="185"/>
      <c r="E1221" t="s">
        <v>386</v>
      </c>
      <c r="F1221" t="s">
        <v>4216</v>
      </c>
      <c r="G1221" t="s">
        <v>1192</v>
      </c>
      <c r="H1221" t="s">
        <v>4217</v>
      </c>
      <c r="I1221">
        <v>16411</v>
      </c>
      <c r="J1221" t="s">
        <v>4216</v>
      </c>
      <c r="K1221" t="s">
        <v>4216</v>
      </c>
      <c r="L1221" t="s">
        <v>386</v>
      </c>
      <c r="M1221" t="s">
        <v>1193</v>
      </c>
      <c r="N1221">
        <v>16411</v>
      </c>
      <c r="O1221">
        <v>0</v>
      </c>
      <c r="T1221">
        <v>259</v>
      </c>
      <c r="V1221" t="s">
        <v>1215</v>
      </c>
      <c r="W1221" t="s">
        <v>4131</v>
      </c>
      <c r="X1221">
        <v>501</v>
      </c>
      <c r="Z1221" t="s">
        <v>2665</v>
      </c>
      <c r="AA1221" t="s">
        <v>387</v>
      </c>
      <c r="AB1221">
        <v>0</v>
      </c>
      <c r="AC1221">
        <v>5921</v>
      </c>
      <c r="AD1221" t="s">
        <v>4218</v>
      </c>
      <c r="AE1221">
        <v>327</v>
      </c>
      <c r="AF1221" t="s">
        <v>4219</v>
      </c>
      <c r="AG1221" t="s">
        <v>4220</v>
      </c>
    </row>
    <row r="1222" spans="1:34" x14ac:dyDescent="0.25">
      <c r="A1222">
        <v>1437</v>
      </c>
      <c r="C1222" s="185"/>
      <c r="E1222" t="s">
        <v>386</v>
      </c>
      <c r="F1222" t="s">
        <v>4221</v>
      </c>
      <c r="G1222" t="s">
        <v>1192</v>
      </c>
      <c r="H1222" t="s">
        <v>4222</v>
      </c>
      <c r="I1222">
        <v>16438</v>
      </c>
      <c r="J1222" t="s">
        <v>4221</v>
      </c>
      <c r="K1222" t="s">
        <v>4223</v>
      </c>
      <c r="L1222" t="s">
        <v>386</v>
      </c>
      <c r="M1222" t="s">
        <v>1193</v>
      </c>
      <c r="N1222">
        <v>16438</v>
      </c>
      <c r="O1222">
        <v>0</v>
      </c>
      <c r="T1222">
        <v>571</v>
      </c>
      <c r="V1222" t="s">
        <v>2003</v>
      </c>
      <c r="W1222" t="s">
        <v>2073</v>
      </c>
      <c r="X1222">
        <v>372</v>
      </c>
      <c r="Z1222" t="s">
        <v>1144</v>
      </c>
      <c r="AA1222" t="s">
        <v>387</v>
      </c>
      <c r="AB1222">
        <v>0</v>
      </c>
      <c r="AC1222">
        <v>6146</v>
      </c>
      <c r="AD1222" t="s">
        <v>4224</v>
      </c>
      <c r="AE1222">
        <v>517</v>
      </c>
      <c r="AF1222" t="s">
        <v>4225</v>
      </c>
      <c r="AG1222" t="s">
        <v>4226</v>
      </c>
      <c r="AH1222" t="s">
        <v>4227</v>
      </c>
    </row>
    <row r="1223" spans="1:34" x14ac:dyDescent="0.25">
      <c r="A1223">
        <v>1464</v>
      </c>
      <c r="C1223" s="185"/>
      <c r="E1223" t="s">
        <v>386</v>
      </c>
      <c r="F1223" t="s">
        <v>4228</v>
      </c>
      <c r="G1223" t="s">
        <v>1197</v>
      </c>
      <c r="H1223" t="s">
        <v>4229</v>
      </c>
      <c r="I1223">
        <v>16449</v>
      </c>
      <c r="J1223" t="s">
        <v>4228</v>
      </c>
      <c r="K1223" t="s">
        <v>4230</v>
      </c>
      <c r="L1223" t="s">
        <v>386</v>
      </c>
      <c r="M1223" t="s">
        <v>1193</v>
      </c>
      <c r="N1223">
        <v>16449</v>
      </c>
      <c r="O1223">
        <v>37</v>
      </c>
      <c r="T1223">
        <v>496</v>
      </c>
      <c r="V1223" t="s">
        <v>2246</v>
      </c>
      <c r="W1223" t="s">
        <v>1194</v>
      </c>
      <c r="X1223">
        <v>220</v>
      </c>
      <c r="Z1223" t="s">
        <v>872</v>
      </c>
      <c r="AA1223" t="s">
        <v>387</v>
      </c>
      <c r="AB1223">
        <v>29000</v>
      </c>
      <c r="AC1223">
        <v>6151</v>
      </c>
      <c r="AD1223" t="s">
        <v>4231</v>
      </c>
      <c r="AE1223">
        <v>2823</v>
      </c>
      <c r="AF1223" t="s">
        <v>4232</v>
      </c>
      <c r="AG1223" t="s">
        <v>4233</v>
      </c>
      <c r="AH1223" t="s">
        <v>4234</v>
      </c>
    </row>
    <row r="1224" spans="1:34" x14ac:dyDescent="0.25">
      <c r="A1224">
        <v>1</v>
      </c>
      <c r="C1224" s="185"/>
      <c r="E1224" t="s">
        <v>386</v>
      </c>
      <c r="F1224" t="s">
        <v>4235</v>
      </c>
      <c r="G1224" t="s">
        <v>1192</v>
      </c>
      <c r="I1224">
        <v>16456</v>
      </c>
      <c r="J1224" t="s">
        <v>4235</v>
      </c>
      <c r="K1224" t="s">
        <v>4236</v>
      </c>
      <c r="L1224" t="s">
        <v>386</v>
      </c>
      <c r="M1224" t="s">
        <v>1184</v>
      </c>
      <c r="N1224">
        <v>16456</v>
      </c>
      <c r="O1224">
        <v>0</v>
      </c>
      <c r="R1224" t="s">
        <v>1208</v>
      </c>
      <c r="T1224">
        <v>496</v>
      </c>
      <c r="V1224" t="s">
        <v>2246</v>
      </c>
      <c r="W1224" t="s">
        <v>3321</v>
      </c>
      <c r="X1224">
        <v>246</v>
      </c>
      <c r="Z1224" t="s">
        <v>865</v>
      </c>
      <c r="AA1224" t="s">
        <v>387</v>
      </c>
      <c r="AB1224">
        <v>0</v>
      </c>
      <c r="AC1224">
        <v>0</v>
      </c>
      <c r="AD1224" t="s">
        <v>1187</v>
      </c>
      <c r="AE1224">
        <v>0</v>
      </c>
      <c r="AF1224" t="s">
        <v>1188</v>
      </c>
    </row>
    <row r="1225" spans="1:34" x14ac:dyDescent="0.25">
      <c r="A1225">
        <v>2181</v>
      </c>
      <c r="C1225" s="185"/>
      <c r="E1225" t="s">
        <v>386</v>
      </c>
      <c r="F1225" t="s">
        <v>685</v>
      </c>
      <c r="G1225" t="s">
        <v>1197</v>
      </c>
      <c r="I1225">
        <v>16465</v>
      </c>
      <c r="J1225" t="s">
        <v>685</v>
      </c>
      <c r="K1225" t="s">
        <v>685</v>
      </c>
      <c r="L1225" t="s">
        <v>386</v>
      </c>
      <c r="M1225" t="s">
        <v>1193</v>
      </c>
      <c r="N1225">
        <v>16465</v>
      </c>
      <c r="O1225">
        <v>56</v>
      </c>
      <c r="T1225">
        <v>220</v>
      </c>
      <c r="V1225" t="s">
        <v>1194</v>
      </c>
      <c r="W1225" t="s">
        <v>1216</v>
      </c>
      <c r="X1225">
        <v>260</v>
      </c>
      <c r="Z1225" t="s">
        <v>4237</v>
      </c>
      <c r="AA1225" t="s">
        <v>387</v>
      </c>
      <c r="AB1225">
        <v>48000</v>
      </c>
      <c r="AC1225">
        <v>6156</v>
      </c>
      <c r="AD1225" t="s">
        <v>4238</v>
      </c>
      <c r="AE1225">
        <v>1</v>
      </c>
      <c r="AF1225" t="s">
        <v>1922</v>
      </c>
      <c r="AH1225" t="s">
        <v>4239</v>
      </c>
    </row>
    <row r="1226" spans="1:34" x14ac:dyDescent="0.25">
      <c r="A1226">
        <v>33</v>
      </c>
      <c r="C1226" s="185"/>
      <c r="E1226" t="s">
        <v>386</v>
      </c>
      <c r="F1226" t="s">
        <v>4240</v>
      </c>
      <c r="G1226" t="s">
        <v>1192</v>
      </c>
      <c r="H1226" t="s">
        <v>4241</v>
      </c>
      <c r="I1226">
        <v>16512</v>
      </c>
      <c r="J1226" t="s">
        <v>4240</v>
      </c>
      <c r="K1226" t="s">
        <v>4242</v>
      </c>
      <c r="L1226" t="s">
        <v>386</v>
      </c>
      <c r="M1226" t="s">
        <v>1193</v>
      </c>
      <c r="N1226">
        <v>16512</v>
      </c>
      <c r="O1226">
        <v>0</v>
      </c>
      <c r="T1226">
        <v>259</v>
      </c>
      <c r="V1226" t="s">
        <v>1215</v>
      </c>
      <c r="W1226" t="s">
        <v>2246</v>
      </c>
      <c r="X1226">
        <v>496</v>
      </c>
      <c r="Z1226" t="s">
        <v>1115</v>
      </c>
      <c r="AA1226" t="s">
        <v>387</v>
      </c>
      <c r="AB1226">
        <v>0</v>
      </c>
      <c r="AC1226">
        <v>792</v>
      </c>
      <c r="AD1226" t="s">
        <v>4243</v>
      </c>
      <c r="AE1226">
        <v>1</v>
      </c>
      <c r="AF1226" t="s">
        <v>1922</v>
      </c>
      <c r="AG1226" t="s">
        <v>4244</v>
      </c>
      <c r="AH1226" t="s">
        <v>4245</v>
      </c>
    </row>
    <row r="1227" spans="1:34" x14ac:dyDescent="0.25">
      <c r="A1227">
        <v>1479</v>
      </c>
      <c r="C1227" s="185"/>
      <c r="E1227" t="s">
        <v>386</v>
      </c>
      <c r="F1227" t="s">
        <v>4246</v>
      </c>
      <c r="G1227" t="s">
        <v>1192</v>
      </c>
      <c r="H1227" t="s">
        <v>4247</v>
      </c>
      <c r="I1227">
        <v>16568</v>
      </c>
      <c r="J1227" t="s">
        <v>4246</v>
      </c>
      <c r="K1227" t="s">
        <v>4246</v>
      </c>
      <c r="L1227" t="s">
        <v>386</v>
      </c>
      <c r="M1227" t="s">
        <v>1193</v>
      </c>
      <c r="N1227">
        <v>16568</v>
      </c>
      <c r="O1227">
        <v>0</v>
      </c>
      <c r="T1227">
        <v>502</v>
      </c>
      <c r="V1227" t="s">
        <v>4156</v>
      </c>
      <c r="W1227" t="s">
        <v>4156</v>
      </c>
      <c r="X1227">
        <v>502</v>
      </c>
      <c r="Z1227" t="s">
        <v>2665</v>
      </c>
      <c r="AA1227" t="s">
        <v>387</v>
      </c>
      <c r="AB1227">
        <v>0</v>
      </c>
      <c r="AC1227">
        <v>6191</v>
      </c>
      <c r="AD1227" t="s">
        <v>4248</v>
      </c>
      <c r="AE1227">
        <v>1339</v>
      </c>
      <c r="AF1227" t="s">
        <v>4249</v>
      </c>
      <c r="AG1227" t="s">
        <v>4250</v>
      </c>
      <c r="AH1227" t="s">
        <v>4251</v>
      </c>
    </row>
    <row r="1228" spans="1:34" x14ac:dyDescent="0.25">
      <c r="A1228">
        <v>2182</v>
      </c>
      <c r="C1228" s="185"/>
      <c r="E1228" t="s">
        <v>386</v>
      </c>
      <c r="F1228" t="s">
        <v>4252</v>
      </c>
      <c r="G1228" t="s">
        <v>1197</v>
      </c>
      <c r="I1228">
        <v>16571</v>
      </c>
      <c r="J1228" t="s">
        <v>4252</v>
      </c>
      <c r="K1228" t="s">
        <v>4253</v>
      </c>
      <c r="L1228" t="s">
        <v>386</v>
      </c>
      <c r="M1228" t="s">
        <v>1193</v>
      </c>
      <c r="N1228">
        <v>16571</v>
      </c>
      <c r="O1228">
        <v>37</v>
      </c>
      <c r="T1228">
        <v>496</v>
      </c>
      <c r="V1228" t="s">
        <v>2246</v>
      </c>
      <c r="W1228" t="s">
        <v>1194</v>
      </c>
      <c r="X1228">
        <v>220</v>
      </c>
      <c r="Z1228" t="s">
        <v>951</v>
      </c>
      <c r="AA1228" t="s">
        <v>387</v>
      </c>
      <c r="AB1228">
        <v>29000</v>
      </c>
      <c r="AC1228">
        <v>6194</v>
      </c>
      <c r="AD1228" t="s">
        <v>4254</v>
      </c>
      <c r="AE1228">
        <v>2839</v>
      </c>
      <c r="AF1228" t="s">
        <v>4255</v>
      </c>
      <c r="AG1228" t="s">
        <v>1244</v>
      </c>
      <c r="AH1228" t="s">
        <v>4256</v>
      </c>
    </row>
    <row r="1229" spans="1:34" x14ac:dyDescent="0.25">
      <c r="A1229">
        <v>2183</v>
      </c>
      <c r="C1229" s="185"/>
      <c r="E1229" t="s">
        <v>386</v>
      </c>
      <c r="F1229" t="s">
        <v>4257</v>
      </c>
      <c r="G1229" t="s">
        <v>1197</v>
      </c>
      <c r="I1229">
        <v>16577</v>
      </c>
      <c r="J1229" t="s">
        <v>4257</v>
      </c>
      <c r="K1229" t="s">
        <v>4258</v>
      </c>
      <c r="L1229" t="s">
        <v>386</v>
      </c>
      <c r="M1229" t="s">
        <v>1193</v>
      </c>
      <c r="N1229">
        <v>16577</v>
      </c>
      <c r="O1229">
        <v>37</v>
      </c>
      <c r="T1229">
        <v>220</v>
      </c>
      <c r="V1229" t="s">
        <v>1194</v>
      </c>
      <c r="W1229" t="s">
        <v>1194</v>
      </c>
      <c r="X1229">
        <v>220</v>
      </c>
      <c r="Z1229" t="s">
        <v>4259</v>
      </c>
      <c r="AA1229" t="s">
        <v>387</v>
      </c>
      <c r="AB1229">
        <v>29000</v>
      </c>
      <c r="AC1229">
        <v>6196</v>
      </c>
      <c r="AD1229" t="s">
        <v>4260</v>
      </c>
      <c r="AE1229">
        <v>2841</v>
      </c>
      <c r="AF1229" t="s">
        <v>4261</v>
      </c>
      <c r="AG1229" t="s">
        <v>4262</v>
      </c>
      <c r="AH1229" t="s">
        <v>4263</v>
      </c>
    </row>
    <row r="1230" spans="1:34" x14ac:dyDescent="0.25">
      <c r="A1230">
        <v>1453</v>
      </c>
      <c r="C1230" s="185"/>
      <c r="E1230" t="s">
        <v>386</v>
      </c>
      <c r="F1230" t="s">
        <v>4264</v>
      </c>
      <c r="G1230" t="s">
        <v>1192</v>
      </c>
      <c r="H1230" t="s">
        <v>4265</v>
      </c>
      <c r="I1230">
        <v>16618</v>
      </c>
      <c r="J1230" t="s">
        <v>4264</v>
      </c>
      <c r="K1230" t="s">
        <v>4264</v>
      </c>
      <c r="L1230" t="s">
        <v>386</v>
      </c>
      <c r="M1230" t="s">
        <v>1193</v>
      </c>
      <c r="N1230">
        <v>16618</v>
      </c>
      <c r="O1230">
        <v>0</v>
      </c>
      <c r="T1230">
        <v>259</v>
      </c>
      <c r="V1230" t="s">
        <v>1215</v>
      </c>
      <c r="W1230" t="s">
        <v>1215</v>
      </c>
      <c r="X1230">
        <v>259</v>
      </c>
      <c r="Z1230" t="s">
        <v>1195</v>
      </c>
      <c r="AA1230" t="s">
        <v>387</v>
      </c>
      <c r="AB1230">
        <v>0</v>
      </c>
      <c r="AC1230">
        <v>6209</v>
      </c>
      <c r="AD1230" t="s">
        <v>4266</v>
      </c>
      <c r="AE1230">
        <v>2847</v>
      </c>
      <c r="AF1230" t="s">
        <v>4267</v>
      </c>
      <c r="AG1230" t="s">
        <v>1244</v>
      </c>
      <c r="AH1230" t="s">
        <v>4268</v>
      </c>
    </row>
    <row r="1231" spans="1:34" x14ac:dyDescent="0.25">
      <c r="A1231">
        <v>1453</v>
      </c>
      <c r="C1231" s="185"/>
      <c r="E1231" t="s">
        <v>386</v>
      </c>
      <c r="F1231" t="s">
        <v>4269</v>
      </c>
      <c r="G1231" t="s">
        <v>1192</v>
      </c>
      <c r="H1231" t="s">
        <v>4265</v>
      </c>
      <c r="I1231">
        <v>16629</v>
      </c>
      <c r="J1231" t="s">
        <v>4269</v>
      </c>
      <c r="K1231" t="s">
        <v>4269</v>
      </c>
      <c r="L1231" t="s">
        <v>386</v>
      </c>
      <c r="M1231" t="s">
        <v>1193</v>
      </c>
      <c r="N1231">
        <v>16629</v>
      </c>
      <c r="O1231">
        <v>0</v>
      </c>
      <c r="T1231">
        <v>259</v>
      </c>
      <c r="V1231" t="s">
        <v>1215</v>
      </c>
      <c r="W1231" t="s">
        <v>1215</v>
      </c>
      <c r="X1231">
        <v>259</v>
      </c>
      <c r="Z1231" t="s">
        <v>1195</v>
      </c>
      <c r="AA1231" t="s">
        <v>387</v>
      </c>
      <c r="AB1231">
        <v>0</v>
      </c>
      <c r="AC1231">
        <v>6209</v>
      </c>
      <c r="AD1231" t="s">
        <v>4266</v>
      </c>
      <c r="AE1231">
        <v>2847</v>
      </c>
      <c r="AF1231" t="s">
        <v>4267</v>
      </c>
      <c r="AG1231" t="s">
        <v>1244</v>
      </c>
      <c r="AH1231" t="s">
        <v>4268</v>
      </c>
    </row>
    <row r="1232" spans="1:34" x14ac:dyDescent="0.25">
      <c r="A1232">
        <v>1</v>
      </c>
      <c r="C1232" s="185"/>
      <c r="E1232" t="s">
        <v>386</v>
      </c>
      <c r="F1232" t="s">
        <v>4270</v>
      </c>
      <c r="G1232" t="s">
        <v>1192</v>
      </c>
      <c r="I1232">
        <v>16631</v>
      </c>
      <c r="J1232" t="s">
        <v>4270</v>
      </c>
      <c r="K1232" t="s">
        <v>4270</v>
      </c>
      <c r="L1232" t="s">
        <v>386</v>
      </c>
      <c r="M1232" t="s">
        <v>1184</v>
      </c>
      <c r="N1232">
        <v>16631</v>
      </c>
      <c r="O1232">
        <v>0</v>
      </c>
      <c r="R1232" t="s">
        <v>1208</v>
      </c>
      <c r="T1232">
        <v>246</v>
      </c>
      <c r="V1232" t="s">
        <v>3321</v>
      </c>
      <c r="W1232" t="s">
        <v>4167</v>
      </c>
      <c r="X1232">
        <v>517</v>
      </c>
      <c r="Z1232" t="s">
        <v>865</v>
      </c>
      <c r="AA1232" t="s">
        <v>387</v>
      </c>
      <c r="AB1232">
        <v>0</v>
      </c>
      <c r="AC1232">
        <v>0</v>
      </c>
      <c r="AD1232" t="s">
        <v>1187</v>
      </c>
      <c r="AE1232">
        <v>0</v>
      </c>
      <c r="AF1232" t="s">
        <v>1188</v>
      </c>
    </row>
    <row r="1233" spans="1:34" x14ac:dyDescent="0.25">
      <c r="A1233">
        <v>1</v>
      </c>
      <c r="C1233" s="185"/>
      <c r="E1233" t="s">
        <v>386</v>
      </c>
      <c r="F1233" t="s">
        <v>4271</v>
      </c>
      <c r="G1233" t="s">
        <v>1192</v>
      </c>
      <c r="H1233" t="s">
        <v>4272</v>
      </c>
      <c r="I1233">
        <v>16633</v>
      </c>
      <c r="J1233" t="s">
        <v>4271</v>
      </c>
      <c r="K1233" t="s">
        <v>4271</v>
      </c>
      <c r="L1233" t="s">
        <v>386</v>
      </c>
      <c r="M1233" t="s">
        <v>1184</v>
      </c>
      <c r="N1233">
        <v>16633</v>
      </c>
      <c r="O1233">
        <v>0</v>
      </c>
      <c r="R1233" t="s">
        <v>1208</v>
      </c>
      <c r="T1233">
        <v>103</v>
      </c>
      <c r="V1233" t="s">
        <v>1530</v>
      </c>
      <c r="W1233" t="s">
        <v>1530</v>
      </c>
      <c r="X1233">
        <v>103</v>
      </c>
      <c r="Z1233" t="s">
        <v>865</v>
      </c>
      <c r="AA1233" t="s">
        <v>387</v>
      </c>
      <c r="AB1233">
        <v>0</v>
      </c>
      <c r="AC1233">
        <v>6510</v>
      </c>
      <c r="AD1233" t="s">
        <v>4273</v>
      </c>
      <c r="AE1233">
        <v>1636</v>
      </c>
      <c r="AF1233" t="s">
        <v>4274</v>
      </c>
      <c r="AG1233" t="s">
        <v>3277</v>
      </c>
    </row>
    <row r="1234" spans="1:34" x14ac:dyDescent="0.25">
      <c r="A1234">
        <v>2184</v>
      </c>
      <c r="C1234" s="185"/>
      <c r="E1234" t="s">
        <v>386</v>
      </c>
      <c r="F1234" t="s">
        <v>4275</v>
      </c>
      <c r="G1234" t="s">
        <v>1197</v>
      </c>
      <c r="I1234">
        <v>16634</v>
      </c>
      <c r="J1234" t="s">
        <v>4275</v>
      </c>
      <c r="K1234" t="s">
        <v>4276</v>
      </c>
      <c r="L1234" t="s">
        <v>386</v>
      </c>
      <c r="M1234" t="s">
        <v>1193</v>
      </c>
      <c r="N1234">
        <v>16634</v>
      </c>
      <c r="O1234">
        <v>37</v>
      </c>
      <c r="T1234">
        <v>138</v>
      </c>
      <c r="V1234" t="s">
        <v>2223</v>
      </c>
      <c r="W1234" t="s">
        <v>1194</v>
      </c>
      <c r="X1234">
        <v>220</v>
      </c>
      <c r="Z1234" t="s">
        <v>4277</v>
      </c>
      <c r="AA1234" t="s">
        <v>387</v>
      </c>
      <c r="AB1234">
        <v>29000</v>
      </c>
      <c r="AC1234">
        <v>6213</v>
      </c>
      <c r="AD1234" t="s">
        <v>4278</v>
      </c>
      <c r="AE1234">
        <v>0</v>
      </c>
      <c r="AF1234" t="s">
        <v>1188</v>
      </c>
      <c r="AG1234" t="s">
        <v>4279</v>
      </c>
      <c r="AH1234" t="s">
        <v>4280</v>
      </c>
    </row>
    <row r="1235" spans="1:34" x14ac:dyDescent="0.25">
      <c r="A1235">
        <v>31</v>
      </c>
      <c r="C1235" s="185"/>
      <c r="E1235" t="s">
        <v>386</v>
      </c>
      <c r="F1235" t="s">
        <v>4281</v>
      </c>
      <c r="G1235" t="s">
        <v>1192</v>
      </c>
      <c r="H1235" t="s">
        <v>4282</v>
      </c>
      <c r="I1235">
        <v>16693</v>
      </c>
      <c r="J1235" t="s">
        <v>4281</v>
      </c>
      <c r="K1235" t="s">
        <v>4281</v>
      </c>
      <c r="L1235" t="s">
        <v>386</v>
      </c>
      <c r="M1235" t="s">
        <v>1193</v>
      </c>
      <c r="N1235">
        <v>16693</v>
      </c>
      <c r="O1235">
        <v>0</v>
      </c>
      <c r="T1235">
        <v>52</v>
      </c>
      <c r="V1235" t="s">
        <v>2024</v>
      </c>
      <c r="W1235" t="s">
        <v>1215</v>
      </c>
      <c r="X1235">
        <v>259</v>
      </c>
      <c r="Z1235" t="s">
        <v>1132</v>
      </c>
      <c r="AA1235" t="s">
        <v>387</v>
      </c>
      <c r="AB1235">
        <v>0</v>
      </c>
      <c r="AC1235">
        <v>6227</v>
      </c>
      <c r="AD1235" t="s">
        <v>4283</v>
      </c>
      <c r="AE1235">
        <v>574</v>
      </c>
      <c r="AF1235" t="s">
        <v>3155</v>
      </c>
      <c r="AG1235" t="s">
        <v>4284</v>
      </c>
      <c r="AH1235" t="s">
        <v>4285</v>
      </c>
    </row>
    <row r="1236" spans="1:34" x14ac:dyDescent="0.25">
      <c r="A1236">
        <v>1898</v>
      </c>
      <c r="C1236" s="185"/>
      <c r="E1236" t="s">
        <v>386</v>
      </c>
      <c r="F1236" t="s">
        <v>4286</v>
      </c>
      <c r="G1236" t="s">
        <v>1192</v>
      </c>
      <c r="H1236" t="s">
        <v>4287</v>
      </c>
      <c r="I1236">
        <v>16760</v>
      </c>
      <c r="J1236" t="s">
        <v>4286</v>
      </c>
      <c r="K1236" t="s">
        <v>4288</v>
      </c>
      <c r="L1236" t="s">
        <v>386</v>
      </c>
      <c r="M1236" t="s">
        <v>1193</v>
      </c>
      <c r="N1236">
        <v>16760</v>
      </c>
      <c r="O1236">
        <v>0</v>
      </c>
      <c r="T1236">
        <v>560</v>
      </c>
      <c r="V1236" t="s">
        <v>2602</v>
      </c>
      <c r="W1236" t="s">
        <v>1215</v>
      </c>
      <c r="X1236">
        <v>259</v>
      </c>
      <c r="Z1236" t="s">
        <v>4289</v>
      </c>
      <c r="AA1236" t="s">
        <v>387</v>
      </c>
      <c r="AB1236">
        <v>0</v>
      </c>
      <c r="AC1236">
        <v>6238</v>
      </c>
      <c r="AD1236" t="s">
        <v>4290</v>
      </c>
      <c r="AE1236">
        <v>18</v>
      </c>
      <c r="AF1236" t="s">
        <v>1259</v>
      </c>
      <c r="AG1236" t="s">
        <v>2044</v>
      </c>
      <c r="AH1236" t="s">
        <v>4291</v>
      </c>
    </row>
    <row r="1237" spans="1:34" x14ac:dyDescent="0.25">
      <c r="A1237">
        <v>1</v>
      </c>
      <c r="C1237" s="185"/>
      <c r="E1237" t="s">
        <v>386</v>
      </c>
      <c r="F1237" t="s">
        <v>4292</v>
      </c>
      <c r="G1237" t="s">
        <v>1192</v>
      </c>
      <c r="H1237" t="s">
        <v>4293</v>
      </c>
      <c r="I1237">
        <v>16800</v>
      </c>
      <c r="J1237" t="s">
        <v>4292</v>
      </c>
      <c r="K1237" t="s">
        <v>4292</v>
      </c>
      <c r="L1237" t="s">
        <v>386</v>
      </c>
      <c r="M1237" t="s">
        <v>1184</v>
      </c>
      <c r="N1237">
        <v>16800</v>
      </c>
      <c r="O1237">
        <v>0</v>
      </c>
      <c r="R1237" t="s">
        <v>1208</v>
      </c>
      <c r="T1237">
        <v>260</v>
      </c>
      <c r="V1237" t="s">
        <v>1216</v>
      </c>
      <c r="W1237" t="s">
        <v>2024</v>
      </c>
      <c r="X1237">
        <v>52</v>
      </c>
      <c r="Z1237" t="s">
        <v>865</v>
      </c>
      <c r="AA1237" t="s">
        <v>387</v>
      </c>
      <c r="AB1237">
        <v>0</v>
      </c>
      <c r="AC1237">
        <v>6591</v>
      </c>
      <c r="AD1237" t="s">
        <v>4294</v>
      </c>
      <c r="AE1237">
        <v>276</v>
      </c>
      <c r="AF1237" t="s">
        <v>4295</v>
      </c>
      <c r="AG1237" t="s">
        <v>2730</v>
      </c>
      <c r="AH1237" t="s">
        <v>4296</v>
      </c>
    </row>
    <row r="1238" spans="1:34" x14ac:dyDescent="0.25">
      <c r="A1238">
        <v>1</v>
      </c>
      <c r="C1238" s="185"/>
      <c r="E1238" t="s">
        <v>386</v>
      </c>
      <c r="F1238" t="s">
        <v>675</v>
      </c>
      <c r="G1238" t="s">
        <v>1192</v>
      </c>
      <c r="H1238" t="s">
        <v>4297</v>
      </c>
      <c r="I1238">
        <v>16802</v>
      </c>
      <c r="J1238" t="s">
        <v>675</v>
      </c>
      <c r="K1238" t="s">
        <v>675</v>
      </c>
      <c r="L1238" t="s">
        <v>386</v>
      </c>
      <c r="M1238" t="s">
        <v>1184</v>
      </c>
      <c r="N1238">
        <v>16802</v>
      </c>
      <c r="O1238">
        <v>0</v>
      </c>
      <c r="R1238" t="s">
        <v>1208</v>
      </c>
      <c r="T1238">
        <v>560</v>
      </c>
      <c r="V1238" t="s">
        <v>2602</v>
      </c>
      <c r="W1238" t="s">
        <v>2602</v>
      </c>
      <c r="X1238">
        <v>560</v>
      </c>
      <c r="Z1238" t="s">
        <v>865</v>
      </c>
      <c r="AA1238" t="s">
        <v>387</v>
      </c>
      <c r="AB1238">
        <v>0</v>
      </c>
      <c r="AC1238">
        <v>1081</v>
      </c>
      <c r="AD1238" t="s">
        <v>4298</v>
      </c>
      <c r="AE1238">
        <v>377</v>
      </c>
      <c r="AF1238" t="s">
        <v>2358</v>
      </c>
      <c r="AG1238" t="s">
        <v>4299</v>
      </c>
      <c r="AH1238" t="s">
        <v>4300</v>
      </c>
    </row>
    <row r="1239" spans="1:34" x14ac:dyDescent="0.25">
      <c r="A1239">
        <v>1</v>
      </c>
      <c r="C1239" s="185"/>
      <c r="E1239" t="s">
        <v>386</v>
      </c>
      <c r="F1239" t="s">
        <v>4301</v>
      </c>
      <c r="G1239" t="s">
        <v>1197</v>
      </c>
      <c r="H1239" t="s">
        <v>4302</v>
      </c>
      <c r="I1239">
        <v>16807</v>
      </c>
      <c r="J1239" t="s">
        <v>4301</v>
      </c>
      <c r="K1239" t="s">
        <v>4303</v>
      </c>
      <c r="L1239" t="s">
        <v>386</v>
      </c>
      <c r="M1239" t="s">
        <v>1193</v>
      </c>
      <c r="N1239">
        <v>16807</v>
      </c>
      <c r="O1239">
        <v>0</v>
      </c>
      <c r="T1239">
        <v>571</v>
      </c>
      <c r="V1239" t="s">
        <v>2003</v>
      </c>
      <c r="W1239" t="s">
        <v>2602</v>
      </c>
      <c r="X1239">
        <v>560</v>
      </c>
      <c r="Z1239" t="s">
        <v>865</v>
      </c>
      <c r="AA1239" t="s">
        <v>387</v>
      </c>
      <c r="AB1239">
        <v>0</v>
      </c>
      <c r="AC1239">
        <v>6240</v>
      </c>
      <c r="AD1239" t="s">
        <v>4304</v>
      </c>
      <c r="AE1239">
        <v>325</v>
      </c>
      <c r="AF1239" t="s">
        <v>4305</v>
      </c>
      <c r="AG1239" t="s">
        <v>3404</v>
      </c>
    </row>
    <row r="1240" spans="1:34" x14ac:dyDescent="0.25">
      <c r="A1240">
        <v>2191</v>
      </c>
      <c r="C1240" s="185"/>
      <c r="E1240" t="s">
        <v>386</v>
      </c>
      <c r="F1240" t="s">
        <v>4306</v>
      </c>
      <c r="G1240" t="s">
        <v>1197</v>
      </c>
      <c r="I1240">
        <v>16825</v>
      </c>
      <c r="J1240" t="s">
        <v>4306</v>
      </c>
      <c r="K1240" t="s">
        <v>4307</v>
      </c>
      <c r="L1240" t="s">
        <v>386</v>
      </c>
      <c r="M1240" t="s">
        <v>1193</v>
      </c>
      <c r="N1240">
        <v>16825</v>
      </c>
      <c r="O1240">
        <v>37</v>
      </c>
      <c r="T1240">
        <v>220</v>
      </c>
      <c r="V1240" t="s">
        <v>1194</v>
      </c>
      <c r="W1240" t="s">
        <v>1216</v>
      </c>
      <c r="X1240">
        <v>260</v>
      </c>
      <c r="Z1240" t="s">
        <v>4308</v>
      </c>
      <c r="AA1240" t="s">
        <v>387</v>
      </c>
      <c r="AB1240">
        <v>29000</v>
      </c>
      <c r="AC1240">
        <v>6256</v>
      </c>
      <c r="AD1240" t="s">
        <v>4309</v>
      </c>
      <c r="AE1240">
        <v>0</v>
      </c>
      <c r="AF1240" t="s">
        <v>1188</v>
      </c>
      <c r="AH1240" t="s">
        <v>4310</v>
      </c>
    </row>
    <row r="1241" spans="1:34" x14ac:dyDescent="0.25">
      <c r="A1241">
        <v>32</v>
      </c>
      <c r="C1241" s="185"/>
      <c r="E1241" t="s">
        <v>386</v>
      </c>
      <c r="F1241" t="s">
        <v>4311</v>
      </c>
      <c r="G1241" t="s">
        <v>1197</v>
      </c>
      <c r="H1241" t="s">
        <v>4312</v>
      </c>
      <c r="I1241">
        <v>16849</v>
      </c>
      <c r="J1241" t="s">
        <v>4311</v>
      </c>
      <c r="K1241" t="s">
        <v>4311</v>
      </c>
      <c r="L1241" t="s">
        <v>386</v>
      </c>
      <c r="M1241" t="s">
        <v>1193</v>
      </c>
      <c r="N1241">
        <v>16849</v>
      </c>
      <c r="O1241">
        <v>0</v>
      </c>
      <c r="T1241">
        <v>571</v>
      </c>
      <c r="V1241" t="s">
        <v>2003</v>
      </c>
      <c r="W1241" t="s">
        <v>2246</v>
      </c>
      <c r="X1241">
        <v>496</v>
      </c>
      <c r="Z1241" t="s">
        <v>874</v>
      </c>
      <c r="AA1241" t="s">
        <v>387</v>
      </c>
      <c r="AB1241">
        <v>0</v>
      </c>
      <c r="AC1241">
        <v>4644</v>
      </c>
      <c r="AD1241" t="s">
        <v>4313</v>
      </c>
      <c r="AE1241">
        <v>1308</v>
      </c>
      <c r="AF1241" t="s">
        <v>4314</v>
      </c>
      <c r="AG1241" t="s">
        <v>4315</v>
      </c>
      <c r="AH1241" t="s">
        <v>4316</v>
      </c>
    </row>
    <row r="1242" spans="1:34" x14ac:dyDescent="0.25">
      <c r="A1242">
        <v>1</v>
      </c>
      <c r="C1242" s="185"/>
      <c r="E1242" t="s">
        <v>386</v>
      </c>
      <c r="F1242" t="s">
        <v>4317</v>
      </c>
      <c r="G1242" t="s">
        <v>1192</v>
      </c>
      <c r="H1242" t="s">
        <v>4318</v>
      </c>
      <c r="I1242">
        <v>16901</v>
      </c>
      <c r="J1242" t="s">
        <v>4317</v>
      </c>
      <c r="K1242" t="s">
        <v>4317</v>
      </c>
      <c r="L1242" t="s">
        <v>386</v>
      </c>
      <c r="M1242" t="s">
        <v>1184</v>
      </c>
      <c r="N1242">
        <v>16901</v>
      </c>
      <c r="O1242">
        <v>0</v>
      </c>
      <c r="R1242" t="s">
        <v>1208</v>
      </c>
      <c r="T1242">
        <v>260</v>
      </c>
      <c r="V1242" t="s">
        <v>1216</v>
      </c>
      <c r="W1242" t="s">
        <v>2024</v>
      </c>
      <c r="X1242">
        <v>52</v>
      </c>
      <c r="Z1242" t="s">
        <v>865</v>
      </c>
      <c r="AA1242" t="s">
        <v>387</v>
      </c>
      <c r="AB1242">
        <v>0</v>
      </c>
      <c r="AC1242">
        <v>6590</v>
      </c>
      <c r="AD1242" t="s">
        <v>4319</v>
      </c>
      <c r="AE1242">
        <v>434</v>
      </c>
      <c r="AF1242" t="s">
        <v>4320</v>
      </c>
      <c r="AG1242" t="s">
        <v>4321</v>
      </c>
      <c r="AH1242" t="s">
        <v>4322</v>
      </c>
    </row>
    <row r="1243" spans="1:34" x14ac:dyDescent="0.25">
      <c r="A1243">
        <v>1582</v>
      </c>
      <c r="C1243" s="185"/>
      <c r="E1243" t="s">
        <v>386</v>
      </c>
      <c r="F1243" t="s">
        <v>593</v>
      </c>
      <c r="G1243" t="s">
        <v>1197</v>
      </c>
      <c r="I1243">
        <v>16910</v>
      </c>
      <c r="J1243" t="s">
        <v>593</v>
      </c>
      <c r="K1243" t="s">
        <v>4323</v>
      </c>
      <c r="L1243" t="s">
        <v>386</v>
      </c>
      <c r="M1243" t="s">
        <v>1193</v>
      </c>
      <c r="N1243">
        <v>16910</v>
      </c>
      <c r="O1243">
        <v>37</v>
      </c>
      <c r="R1243" t="s">
        <v>398</v>
      </c>
      <c r="T1243">
        <v>260</v>
      </c>
      <c r="V1243" t="s">
        <v>1216</v>
      </c>
      <c r="W1243" t="s">
        <v>2223</v>
      </c>
      <c r="X1243">
        <v>138</v>
      </c>
      <c r="Z1243" t="s">
        <v>2716</v>
      </c>
      <c r="AA1243" t="s">
        <v>387</v>
      </c>
      <c r="AB1243">
        <v>29000</v>
      </c>
      <c r="AC1243">
        <v>6291</v>
      </c>
      <c r="AD1243" t="s">
        <v>4324</v>
      </c>
      <c r="AE1243">
        <v>0</v>
      </c>
      <c r="AF1243" t="s">
        <v>1188</v>
      </c>
      <c r="AH1243" t="s">
        <v>4325</v>
      </c>
    </row>
    <row r="1244" spans="1:34" x14ac:dyDescent="0.25">
      <c r="A1244">
        <v>1</v>
      </c>
      <c r="C1244" s="185"/>
      <c r="E1244" t="s">
        <v>386</v>
      </c>
      <c r="F1244" t="s">
        <v>4326</v>
      </c>
      <c r="G1244" t="s">
        <v>1192</v>
      </c>
      <c r="H1244" t="s">
        <v>4327</v>
      </c>
      <c r="I1244">
        <v>16920</v>
      </c>
      <c r="J1244" t="s">
        <v>4326</v>
      </c>
      <c r="K1244" t="s">
        <v>4326</v>
      </c>
      <c r="L1244" t="s">
        <v>386</v>
      </c>
      <c r="M1244" t="s">
        <v>1184</v>
      </c>
      <c r="N1244">
        <v>16920</v>
      </c>
      <c r="O1244">
        <v>0</v>
      </c>
      <c r="T1244">
        <v>473</v>
      </c>
      <c r="V1244" t="s">
        <v>1964</v>
      </c>
      <c r="W1244" t="s">
        <v>1964</v>
      </c>
      <c r="X1244">
        <v>473</v>
      </c>
      <c r="Z1244" t="s">
        <v>865</v>
      </c>
      <c r="AA1244" t="s">
        <v>387</v>
      </c>
      <c r="AB1244">
        <v>0</v>
      </c>
      <c r="AC1244">
        <v>0</v>
      </c>
      <c r="AD1244" t="s">
        <v>1187</v>
      </c>
      <c r="AE1244">
        <v>802</v>
      </c>
      <c r="AF1244" t="s">
        <v>2620</v>
      </c>
    </row>
    <row r="1245" spans="1:34" x14ac:dyDescent="0.25">
      <c r="A1245">
        <v>1464</v>
      </c>
      <c r="C1245" s="185"/>
      <c r="E1245" t="s">
        <v>386</v>
      </c>
      <c r="F1245" t="s">
        <v>4328</v>
      </c>
      <c r="G1245" t="s">
        <v>1192</v>
      </c>
      <c r="H1245" t="s">
        <v>4229</v>
      </c>
      <c r="I1245">
        <v>16962</v>
      </c>
      <c r="J1245" t="s">
        <v>4328</v>
      </c>
      <c r="K1245" t="s">
        <v>4329</v>
      </c>
      <c r="L1245" t="s">
        <v>386</v>
      </c>
      <c r="M1245" t="s">
        <v>1193</v>
      </c>
      <c r="N1245">
        <v>16962</v>
      </c>
      <c r="O1245">
        <v>37</v>
      </c>
      <c r="R1245" t="s">
        <v>398</v>
      </c>
      <c r="T1245">
        <v>220</v>
      </c>
      <c r="V1245" t="s">
        <v>1194</v>
      </c>
      <c r="W1245" t="s">
        <v>1194</v>
      </c>
      <c r="X1245">
        <v>220</v>
      </c>
      <c r="Z1245" t="s">
        <v>872</v>
      </c>
      <c r="AA1245" t="s">
        <v>387</v>
      </c>
      <c r="AB1245">
        <v>29000</v>
      </c>
      <c r="AC1245">
        <v>6151</v>
      </c>
      <c r="AD1245" t="s">
        <v>4231</v>
      </c>
      <c r="AE1245">
        <v>2913</v>
      </c>
      <c r="AF1245" t="s">
        <v>4330</v>
      </c>
      <c r="AG1245" t="s">
        <v>4233</v>
      </c>
      <c r="AH1245" t="s">
        <v>4331</v>
      </c>
    </row>
    <row r="1246" spans="1:34" x14ac:dyDescent="0.25">
      <c r="A1246">
        <v>1479</v>
      </c>
      <c r="C1246" s="185"/>
      <c r="E1246" t="s">
        <v>386</v>
      </c>
      <c r="F1246" t="s">
        <v>4332</v>
      </c>
      <c r="G1246" t="s">
        <v>1192</v>
      </c>
      <c r="H1246" t="s">
        <v>4333</v>
      </c>
      <c r="I1246">
        <v>16965</v>
      </c>
      <c r="J1246" t="s">
        <v>4332</v>
      </c>
      <c r="K1246" t="s">
        <v>4332</v>
      </c>
      <c r="L1246" t="s">
        <v>386</v>
      </c>
      <c r="M1246" t="s">
        <v>1193</v>
      </c>
      <c r="N1246">
        <v>16965</v>
      </c>
      <c r="O1246">
        <v>0</v>
      </c>
      <c r="R1246" t="s">
        <v>1208</v>
      </c>
      <c r="T1246">
        <v>372</v>
      </c>
      <c r="V1246" t="s">
        <v>2073</v>
      </c>
      <c r="W1246" t="s">
        <v>2073</v>
      </c>
      <c r="X1246">
        <v>372</v>
      </c>
      <c r="Z1246" t="s">
        <v>2665</v>
      </c>
      <c r="AA1246" t="s">
        <v>387</v>
      </c>
      <c r="AB1246">
        <v>0</v>
      </c>
      <c r="AC1246">
        <v>1026</v>
      </c>
      <c r="AD1246" t="s">
        <v>4334</v>
      </c>
      <c r="AE1246">
        <v>1274</v>
      </c>
      <c r="AF1246" t="s">
        <v>4335</v>
      </c>
      <c r="AG1246" t="s">
        <v>4336</v>
      </c>
      <c r="AH1246" t="s">
        <v>4337</v>
      </c>
    </row>
    <row r="1247" spans="1:34" x14ac:dyDescent="0.25">
      <c r="A1247">
        <v>2201</v>
      </c>
      <c r="C1247" s="185"/>
      <c r="E1247" t="s">
        <v>386</v>
      </c>
      <c r="F1247" t="s">
        <v>4338</v>
      </c>
      <c r="G1247" t="s">
        <v>1192</v>
      </c>
      <c r="H1247" t="s">
        <v>4339</v>
      </c>
      <c r="I1247">
        <v>16968</v>
      </c>
      <c r="J1247" t="s">
        <v>4338</v>
      </c>
      <c r="K1247" t="s">
        <v>4340</v>
      </c>
      <c r="L1247" t="s">
        <v>386</v>
      </c>
      <c r="M1247" t="s">
        <v>1193</v>
      </c>
      <c r="N1247">
        <v>16968</v>
      </c>
      <c r="O1247">
        <v>37</v>
      </c>
      <c r="R1247" t="s">
        <v>398</v>
      </c>
      <c r="T1247">
        <v>103</v>
      </c>
      <c r="V1247" t="s">
        <v>1530</v>
      </c>
      <c r="W1247" t="s">
        <v>1530</v>
      </c>
      <c r="X1247">
        <v>103</v>
      </c>
      <c r="Z1247" t="s">
        <v>4341</v>
      </c>
      <c r="AA1247" t="s">
        <v>387</v>
      </c>
      <c r="AB1247">
        <v>29000</v>
      </c>
      <c r="AC1247">
        <v>6353</v>
      </c>
      <c r="AD1247" t="s">
        <v>4342</v>
      </c>
      <c r="AE1247">
        <v>0</v>
      </c>
      <c r="AF1247" t="s">
        <v>1188</v>
      </c>
      <c r="AG1247" t="s">
        <v>4343</v>
      </c>
      <c r="AH1247" t="s">
        <v>4344</v>
      </c>
    </row>
    <row r="1248" spans="1:34" x14ac:dyDescent="0.25">
      <c r="A1248">
        <v>1</v>
      </c>
      <c r="C1248" s="185"/>
      <c r="E1248" t="s">
        <v>386</v>
      </c>
      <c r="F1248" t="s">
        <v>4345</v>
      </c>
      <c r="G1248" t="s">
        <v>1192</v>
      </c>
      <c r="H1248" t="s">
        <v>4346</v>
      </c>
      <c r="I1248">
        <v>16991</v>
      </c>
      <c r="J1248" t="s">
        <v>4345</v>
      </c>
      <c r="K1248" t="s">
        <v>4345</v>
      </c>
      <c r="L1248" t="s">
        <v>386</v>
      </c>
      <c r="M1248" t="s">
        <v>1184</v>
      </c>
      <c r="N1248">
        <v>16991</v>
      </c>
      <c r="O1248">
        <v>0</v>
      </c>
      <c r="T1248">
        <v>473</v>
      </c>
      <c r="V1248" t="s">
        <v>1964</v>
      </c>
      <c r="W1248" t="s">
        <v>1964</v>
      </c>
      <c r="X1248">
        <v>473</v>
      </c>
      <c r="Z1248" t="s">
        <v>865</v>
      </c>
      <c r="AA1248" t="s">
        <v>387</v>
      </c>
      <c r="AB1248">
        <v>0</v>
      </c>
      <c r="AC1248">
        <v>50</v>
      </c>
      <c r="AD1248" t="s">
        <v>4347</v>
      </c>
      <c r="AE1248">
        <v>3</v>
      </c>
      <c r="AF1248" t="s">
        <v>1235</v>
      </c>
      <c r="AG1248" t="s">
        <v>4348</v>
      </c>
    </row>
    <row r="1249" spans="1:34" x14ac:dyDescent="0.25">
      <c r="A1249">
        <v>2047</v>
      </c>
      <c r="C1249" s="185"/>
      <c r="E1249" t="s">
        <v>386</v>
      </c>
      <c r="F1249" t="s">
        <v>4349</v>
      </c>
      <c r="G1249" t="s">
        <v>1192</v>
      </c>
      <c r="H1249" t="s">
        <v>4350</v>
      </c>
      <c r="I1249">
        <v>17027</v>
      </c>
      <c r="J1249" t="s">
        <v>4349</v>
      </c>
      <c r="K1249" t="s">
        <v>4349</v>
      </c>
      <c r="L1249" t="s">
        <v>386</v>
      </c>
      <c r="M1249" t="s">
        <v>1193</v>
      </c>
      <c r="N1249">
        <v>17027</v>
      </c>
      <c r="O1249">
        <v>0</v>
      </c>
      <c r="T1249">
        <v>372</v>
      </c>
      <c r="V1249" t="s">
        <v>2073</v>
      </c>
      <c r="W1249" t="s">
        <v>2246</v>
      </c>
      <c r="X1249">
        <v>496</v>
      </c>
      <c r="Z1249" t="s">
        <v>4351</v>
      </c>
      <c r="AA1249" t="s">
        <v>387</v>
      </c>
      <c r="AB1249">
        <v>0</v>
      </c>
      <c r="AC1249">
        <v>6415</v>
      </c>
      <c r="AD1249" t="s">
        <v>4352</v>
      </c>
      <c r="AE1249">
        <v>2953</v>
      </c>
      <c r="AF1249" t="s">
        <v>4353</v>
      </c>
      <c r="AG1249" t="s">
        <v>4354</v>
      </c>
      <c r="AH1249" t="s">
        <v>4355</v>
      </c>
    </row>
    <row r="1250" spans="1:34" x14ac:dyDescent="0.25">
      <c r="A1250">
        <v>1463</v>
      </c>
      <c r="C1250" s="185"/>
      <c r="E1250" t="s">
        <v>386</v>
      </c>
      <c r="F1250" t="s">
        <v>4356</v>
      </c>
      <c r="G1250" t="s">
        <v>1197</v>
      </c>
      <c r="H1250" t="s">
        <v>2830</v>
      </c>
      <c r="I1250">
        <v>17033</v>
      </c>
      <c r="J1250" t="s">
        <v>4356</v>
      </c>
      <c r="K1250" t="s">
        <v>4357</v>
      </c>
      <c r="L1250" t="s">
        <v>386</v>
      </c>
      <c r="M1250" t="s">
        <v>1193</v>
      </c>
      <c r="N1250">
        <v>17033</v>
      </c>
      <c r="O1250">
        <v>37</v>
      </c>
      <c r="R1250" t="s">
        <v>398</v>
      </c>
      <c r="T1250">
        <v>220</v>
      </c>
      <c r="V1250" t="s">
        <v>1194</v>
      </c>
      <c r="W1250" t="s">
        <v>1194</v>
      </c>
      <c r="X1250">
        <v>220</v>
      </c>
      <c r="Z1250" t="s">
        <v>1070</v>
      </c>
      <c r="AA1250" t="s">
        <v>387</v>
      </c>
      <c r="AB1250">
        <v>29000</v>
      </c>
      <c r="AC1250">
        <v>6416</v>
      </c>
      <c r="AD1250" t="s">
        <v>4358</v>
      </c>
      <c r="AE1250">
        <v>0</v>
      </c>
      <c r="AF1250" t="s">
        <v>1188</v>
      </c>
      <c r="AG1250" t="s">
        <v>1244</v>
      </c>
      <c r="AH1250" t="s">
        <v>4359</v>
      </c>
    </row>
    <row r="1251" spans="1:34" x14ac:dyDescent="0.25">
      <c r="A1251">
        <v>1479</v>
      </c>
      <c r="C1251" s="185"/>
      <c r="E1251" t="s">
        <v>386</v>
      </c>
      <c r="F1251" t="s">
        <v>4360</v>
      </c>
      <c r="G1251" t="s">
        <v>1192</v>
      </c>
      <c r="H1251" t="s">
        <v>4361</v>
      </c>
      <c r="I1251">
        <v>17034</v>
      </c>
      <c r="J1251" t="s">
        <v>4360</v>
      </c>
      <c r="K1251" t="s">
        <v>4360</v>
      </c>
      <c r="L1251" t="s">
        <v>386</v>
      </c>
      <c r="M1251" t="s">
        <v>1193</v>
      </c>
      <c r="N1251">
        <v>17034</v>
      </c>
      <c r="O1251">
        <v>0</v>
      </c>
      <c r="T1251">
        <v>52</v>
      </c>
      <c r="V1251" t="s">
        <v>2024</v>
      </c>
      <c r="W1251" t="s">
        <v>1215</v>
      </c>
      <c r="X1251">
        <v>259</v>
      </c>
      <c r="Z1251" t="s">
        <v>2665</v>
      </c>
      <c r="AA1251" t="s">
        <v>387</v>
      </c>
      <c r="AB1251">
        <v>0</v>
      </c>
      <c r="AC1251">
        <v>380</v>
      </c>
      <c r="AD1251" t="s">
        <v>4362</v>
      </c>
      <c r="AE1251">
        <v>1813</v>
      </c>
      <c r="AF1251" t="s">
        <v>4363</v>
      </c>
      <c r="AG1251" t="s">
        <v>4364</v>
      </c>
      <c r="AH1251" t="s">
        <v>4365</v>
      </c>
    </row>
    <row r="1252" spans="1:34" x14ac:dyDescent="0.25">
      <c r="A1252">
        <v>1802</v>
      </c>
      <c r="C1252" s="185"/>
      <c r="E1252" t="s">
        <v>386</v>
      </c>
      <c r="F1252" t="s">
        <v>4366</v>
      </c>
      <c r="G1252" t="s">
        <v>1192</v>
      </c>
      <c r="H1252" t="s">
        <v>4367</v>
      </c>
      <c r="I1252">
        <v>17039</v>
      </c>
      <c r="J1252" t="s">
        <v>4366</v>
      </c>
      <c r="K1252" t="s">
        <v>4368</v>
      </c>
      <c r="L1252" t="s">
        <v>386</v>
      </c>
      <c r="M1252" t="s">
        <v>1193</v>
      </c>
      <c r="N1252">
        <v>17039</v>
      </c>
      <c r="O1252">
        <v>0</v>
      </c>
      <c r="T1252">
        <v>260</v>
      </c>
      <c r="V1252" t="s">
        <v>1216</v>
      </c>
      <c r="W1252" t="s">
        <v>1216</v>
      </c>
      <c r="X1252">
        <v>260</v>
      </c>
      <c r="Z1252" t="s">
        <v>4369</v>
      </c>
      <c r="AA1252" t="s">
        <v>387</v>
      </c>
      <c r="AB1252">
        <v>0</v>
      </c>
      <c r="AC1252">
        <v>6419</v>
      </c>
      <c r="AD1252" t="s">
        <v>4370</v>
      </c>
      <c r="AE1252">
        <v>2955</v>
      </c>
      <c r="AF1252" t="s">
        <v>4371</v>
      </c>
      <c r="AG1252" t="s">
        <v>4372</v>
      </c>
      <c r="AH1252" t="s">
        <v>4373</v>
      </c>
    </row>
    <row r="1253" spans="1:34" x14ac:dyDescent="0.25">
      <c r="A1253">
        <v>1686</v>
      </c>
      <c r="C1253" s="185"/>
      <c r="E1253" t="s">
        <v>386</v>
      </c>
      <c r="F1253" t="s">
        <v>4374</v>
      </c>
      <c r="G1253" t="s">
        <v>1197</v>
      </c>
      <c r="H1253" t="s">
        <v>4375</v>
      </c>
      <c r="I1253">
        <v>17046</v>
      </c>
      <c r="J1253" t="s">
        <v>4374</v>
      </c>
      <c r="K1253" t="s">
        <v>4374</v>
      </c>
      <c r="L1253" t="s">
        <v>386</v>
      </c>
      <c r="M1253" t="s">
        <v>1193</v>
      </c>
      <c r="N1253">
        <v>17046</v>
      </c>
      <c r="O1253">
        <v>0</v>
      </c>
      <c r="R1253" t="s">
        <v>1208</v>
      </c>
      <c r="T1253">
        <v>52</v>
      </c>
      <c r="V1253" t="s">
        <v>2024</v>
      </c>
      <c r="W1253" t="s">
        <v>1530</v>
      </c>
      <c r="X1253">
        <v>103</v>
      </c>
      <c r="Z1253" t="s">
        <v>2733</v>
      </c>
      <c r="AA1253" t="s">
        <v>387</v>
      </c>
      <c r="AB1253">
        <v>0</v>
      </c>
      <c r="AC1253">
        <v>6422</v>
      </c>
      <c r="AD1253" t="s">
        <v>4376</v>
      </c>
      <c r="AE1253">
        <v>0</v>
      </c>
      <c r="AF1253" t="s">
        <v>1188</v>
      </c>
      <c r="AG1253" t="s">
        <v>1244</v>
      </c>
      <c r="AH1253" t="s">
        <v>4377</v>
      </c>
    </row>
    <row r="1254" spans="1:34" x14ac:dyDescent="0.25">
      <c r="A1254">
        <v>2209</v>
      </c>
      <c r="C1254" s="185"/>
      <c r="E1254" t="s">
        <v>386</v>
      </c>
      <c r="F1254" t="s">
        <v>4378</v>
      </c>
      <c r="G1254" t="s">
        <v>1192</v>
      </c>
      <c r="H1254" t="s">
        <v>4379</v>
      </c>
      <c r="I1254">
        <v>17057</v>
      </c>
      <c r="J1254" t="s">
        <v>4378</v>
      </c>
      <c r="K1254" t="s">
        <v>4380</v>
      </c>
      <c r="L1254" t="s">
        <v>386</v>
      </c>
      <c r="M1254" t="s">
        <v>1193</v>
      </c>
      <c r="N1254">
        <v>17057</v>
      </c>
      <c r="O1254">
        <v>37</v>
      </c>
      <c r="R1254" t="s">
        <v>398</v>
      </c>
      <c r="T1254">
        <v>396</v>
      </c>
      <c r="V1254" t="s">
        <v>2186</v>
      </c>
      <c r="W1254" t="s">
        <v>1530</v>
      </c>
      <c r="X1254">
        <v>103</v>
      </c>
      <c r="Z1254" t="s">
        <v>4381</v>
      </c>
      <c r="AA1254" t="s">
        <v>387</v>
      </c>
      <c r="AB1254">
        <v>29000</v>
      </c>
      <c r="AC1254">
        <v>6426</v>
      </c>
      <c r="AD1254" t="s">
        <v>4382</v>
      </c>
      <c r="AE1254">
        <v>0</v>
      </c>
      <c r="AF1254" t="s">
        <v>1188</v>
      </c>
      <c r="AG1254" t="s">
        <v>4383</v>
      </c>
      <c r="AH1254" t="s">
        <v>4384</v>
      </c>
    </row>
    <row r="1255" spans="1:34" x14ac:dyDescent="0.25">
      <c r="A1255">
        <v>1</v>
      </c>
      <c r="C1255" s="185"/>
      <c r="E1255" t="s">
        <v>386</v>
      </c>
      <c r="F1255" t="s">
        <v>4385</v>
      </c>
      <c r="G1255" t="s">
        <v>1192</v>
      </c>
      <c r="H1255" t="s">
        <v>3562</v>
      </c>
      <c r="I1255">
        <v>17069</v>
      </c>
      <c r="J1255" t="s">
        <v>4385</v>
      </c>
      <c r="K1255" t="s">
        <v>4386</v>
      </c>
      <c r="L1255" t="s">
        <v>386</v>
      </c>
      <c r="M1255" t="s">
        <v>1193</v>
      </c>
      <c r="N1255">
        <v>17069</v>
      </c>
      <c r="O1255">
        <v>0</v>
      </c>
      <c r="T1255">
        <v>560</v>
      </c>
      <c r="V1255" t="s">
        <v>2602</v>
      </c>
      <c r="W1255" t="s">
        <v>1215</v>
      </c>
      <c r="X1255">
        <v>259</v>
      </c>
      <c r="Z1255" t="s">
        <v>865</v>
      </c>
      <c r="AA1255" t="s">
        <v>387</v>
      </c>
      <c r="AB1255">
        <v>0</v>
      </c>
      <c r="AC1255">
        <v>82</v>
      </c>
      <c r="AD1255" t="s">
        <v>2692</v>
      </c>
      <c r="AE1255">
        <v>49</v>
      </c>
      <c r="AF1255" t="s">
        <v>4080</v>
      </c>
      <c r="AG1255" t="s">
        <v>4387</v>
      </c>
      <c r="AH1255" t="s">
        <v>4388</v>
      </c>
    </row>
    <row r="1256" spans="1:34" x14ac:dyDescent="0.25">
      <c r="A1256">
        <v>2210</v>
      </c>
      <c r="C1256" s="185"/>
      <c r="E1256" t="s">
        <v>386</v>
      </c>
      <c r="F1256" t="s">
        <v>4389</v>
      </c>
      <c r="G1256" t="s">
        <v>1192</v>
      </c>
      <c r="H1256" t="s">
        <v>2830</v>
      </c>
      <c r="I1256">
        <v>17097</v>
      </c>
      <c r="J1256" t="s">
        <v>4389</v>
      </c>
      <c r="K1256" t="s">
        <v>4390</v>
      </c>
      <c r="L1256" t="s">
        <v>386</v>
      </c>
      <c r="M1256" t="s">
        <v>1193</v>
      </c>
      <c r="N1256">
        <v>17097</v>
      </c>
      <c r="O1256">
        <v>0</v>
      </c>
      <c r="R1256" t="s">
        <v>398</v>
      </c>
      <c r="T1256">
        <v>103</v>
      </c>
      <c r="V1256" t="s">
        <v>1530</v>
      </c>
      <c r="W1256" t="s">
        <v>1530</v>
      </c>
      <c r="X1256">
        <v>103</v>
      </c>
      <c r="Z1256" t="s">
        <v>4391</v>
      </c>
      <c r="AA1256" t="s">
        <v>387</v>
      </c>
      <c r="AB1256">
        <v>0</v>
      </c>
      <c r="AC1256">
        <v>6440</v>
      </c>
      <c r="AD1256" t="s">
        <v>4392</v>
      </c>
      <c r="AE1256">
        <v>0</v>
      </c>
      <c r="AF1256" t="s">
        <v>1188</v>
      </c>
      <c r="AG1256" t="s">
        <v>4393</v>
      </c>
      <c r="AH1256" t="s">
        <v>4394</v>
      </c>
    </row>
    <row r="1257" spans="1:34" x14ac:dyDescent="0.25">
      <c r="A1257">
        <v>1</v>
      </c>
      <c r="C1257" s="185"/>
      <c r="E1257" t="s">
        <v>386</v>
      </c>
      <c r="F1257" t="s">
        <v>4395</v>
      </c>
      <c r="G1257" t="s">
        <v>1192</v>
      </c>
      <c r="H1257" t="s">
        <v>4396</v>
      </c>
      <c r="I1257">
        <v>17127</v>
      </c>
      <c r="J1257" t="s">
        <v>4395</v>
      </c>
      <c r="K1257" t="s">
        <v>4395</v>
      </c>
      <c r="L1257" t="s">
        <v>386</v>
      </c>
      <c r="M1257" t="s">
        <v>1193</v>
      </c>
      <c r="N1257">
        <v>17127</v>
      </c>
      <c r="O1257">
        <v>0</v>
      </c>
      <c r="T1257">
        <v>560</v>
      </c>
      <c r="V1257" t="s">
        <v>2602</v>
      </c>
      <c r="W1257" t="s">
        <v>1215</v>
      </c>
      <c r="X1257">
        <v>259</v>
      </c>
      <c r="Z1257" t="s">
        <v>865</v>
      </c>
      <c r="AA1257" t="s">
        <v>387</v>
      </c>
      <c r="AB1257">
        <v>0</v>
      </c>
      <c r="AC1257">
        <v>6456</v>
      </c>
      <c r="AD1257" t="s">
        <v>4397</v>
      </c>
      <c r="AE1257">
        <v>38</v>
      </c>
      <c r="AF1257" t="s">
        <v>4398</v>
      </c>
      <c r="AG1257" t="s">
        <v>4399</v>
      </c>
      <c r="AH1257" t="s">
        <v>4400</v>
      </c>
    </row>
    <row r="1258" spans="1:34" x14ac:dyDescent="0.25">
      <c r="A1258">
        <v>1</v>
      </c>
      <c r="C1258" s="185"/>
      <c r="E1258" t="s">
        <v>386</v>
      </c>
      <c r="F1258" t="s">
        <v>4401</v>
      </c>
      <c r="G1258" t="s">
        <v>1197</v>
      </c>
      <c r="H1258" t="s">
        <v>4402</v>
      </c>
      <c r="I1258">
        <v>17143</v>
      </c>
      <c r="J1258" t="s">
        <v>4401</v>
      </c>
      <c r="K1258" t="s">
        <v>4401</v>
      </c>
      <c r="L1258" t="s">
        <v>386</v>
      </c>
      <c r="M1258" t="s">
        <v>1193</v>
      </c>
      <c r="N1258">
        <v>17143</v>
      </c>
      <c r="O1258">
        <v>0</v>
      </c>
      <c r="T1258">
        <v>259</v>
      </c>
      <c r="V1258" t="s">
        <v>1215</v>
      </c>
      <c r="W1258" t="s">
        <v>1215</v>
      </c>
      <c r="X1258">
        <v>259</v>
      </c>
      <c r="Z1258" t="s">
        <v>865</v>
      </c>
      <c r="AA1258" t="s">
        <v>387</v>
      </c>
      <c r="AB1258">
        <v>0</v>
      </c>
      <c r="AC1258">
        <v>6461</v>
      </c>
      <c r="AD1258" t="s">
        <v>4403</v>
      </c>
      <c r="AE1258">
        <v>25</v>
      </c>
      <c r="AF1258" t="s">
        <v>2017</v>
      </c>
      <c r="AG1258" t="s">
        <v>3707</v>
      </c>
    </row>
    <row r="1259" spans="1:34" x14ac:dyDescent="0.25">
      <c r="A1259">
        <v>1686</v>
      </c>
      <c r="C1259" s="185"/>
      <c r="E1259" t="s">
        <v>386</v>
      </c>
      <c r="F1259" t="s">
        <v>646</v>
      </c>
      <c r="G1259" t="s">
        <v>1197</v>
      </c>
      <c r="I1259">
        <v>17145</v>
      </c>
      <c r="J1259" t="s">
        <v>646</v>
      </c>
      <c r="K1259" t="s">
        <v>4404</v>
      </c>
      <c r="L1259" t="s">
        <v>386</v>
      </c>
      <c r="M1259" t="s">
        <v>1193</v>
      </c>
      <c r="N1259">
        <v>17145</v>
      </c>
      <c r="O1259">
        <v>37</v>
      </c>
      <c r="R1259" t="s">
        <v>398</v>
      </c>
      <c r="T1259">
        <v>220</v>
      </c>
      <c r="V1259" t="s">
        <v>1194</v>
      </c>
      <c r="W1259" t="s">
        <v>1216</v>
      </c>
      <c r="X1259">
        <v>260</v>
      </c>
      <c r="Z1259" t="s">
        <v>2733</v>
      </c>
      <c r="AA1259" t="s">
        <v>387</v>
      </c>
      <c r="AB1259">
        <v>29000</v>
      </c>
      <c r="AC1259">
        <v>6462</v>
      </c>
      <c r="AD1259" t="s">
        <v>4405</v>
      </c>
      <c r="AE1259">
        <v>0</v>
      </c>
      <c r="AF1259" t="s">
        <v>1188</v>
      </c>
    </row>
    <row r="1260" spans="1:34" x14ac:dyDescent="0.25">
      <c r="A1260">
        <v>53</v>
      </c>
      <c r="C1260" s="185"/>
      <c r="E1260" t="s">
        <v>386</v>
      </c>
      <c r="F1260" t="s">
        <v>4406</v>
      </c>
      <c r="G1260" t="s">
        <v>1192</v>
      </c>
      <c r="H1260" t="s">
        <v>4407</v>
      </c>
      <c r="I1260">
        <v>17193</v>
      </c>
      <c r="J1260" t="s">
        <v>4406</v>
      </c>
      <c r="K1260" t="s">
        <v>4408</v>
      </c>
      <c r="L1260" t="s">
        <v>386</v>
      </c>
      <c r="M1260" t="s">
        <v>1193</v>
      </c>
      <c r="N1260">
        <v>17193</v>
      </c>
      <c r="O1260">
        <v>0</v>
      </c>
      <c r="T1260">
        <v>560</v>
      </c>
      <c r="V1260" t="s">
        <v>2602</v>
      </c>
      <c r="W1260" t="s">
        <v>2024</v>
      </c>
      <c r="X1260">
        <v>52</v>
      </c>
      <c r="Z1260" t="s">
        <v>943</v>
      </c>
      <c r="AA1260" t="s">
        <v>387</v>
      </c>
      <c r="AB1260">
        <v>0</v>
      </c>
      <c r="AC1260">
        <v>6478</v>
      </c>
      <c r="AD1260" t="s">
        <v>4409</v>
      </c>
      <c r="AE1260">
        <v>1</v>
      </c>
      <c r="AF1260" t="s">
        <v>1922</v>
      </c>
      <c r="AG1260" t="s">
        <v>4410</v>
      </c>
      <c r="AH1260" t="s">
        <v>4411</v>
      </c>
    </row>
    <row r="1261" spans="1:34" x14ac:dyDescent="0.25">
      <c r="A1261">
        <v>2216</v>
      </c>
      <c r="C1261" s="185"/>
      <c r="E1261" t="s">
        <v>386</v>
      </c>
      <c r="F1261" t="s">
        <v>712</v>
      </c>
      <c r="G1261" t="s">
        <v>1197</v>
      </c>
      <c r="H1261" t="s">
        <v>4412</v>
      </c>
      <c r="I1261">
        <v>17232</v>
      </c>
      <c r="J1261" t="s">
        <v>712</v>
      </c>
      <c r="K1261" t="s">
        <v>4413</v>
      </c>
      <c r="L1261" t="s">
        <v>386</v>
      </c>
      <c r="M1261" t="s">
        <v>1184</v>
      </c>
      <c r="N1261">
        <v>17232</v>
      </c>
      <c r="O1261">
        <v>56</v>
      </c>
      <c r="R1261" t="s">
        <v>398</v>
      </c>
      <c r="T1261">
        <v>396</v>
      </c>
      <c r="V1261" t="s">
        <v>2186</v>
      </c>
      <c r="W1261" t="s">
        <v>1194</v>
      </c>
      <c r="X1261">
        <v>220</v>
      </c>
      <c r="Z1261" t="s">
        <v>4414</v>
      </c>
      <c r="AA1261" t="s">
        <v>387</v>
      </c>
      <c r="AB1261">
        <v>48000</v>
      </c>
      <c r="AC1261">
        <v>6490</v>
      </c>
      <c r="AD1261" t="s">
        <v>4415</v>
      </c>
      <c r="AE1261">
        <v>2994</v>
      </c>
      <c r="AF1261" t="s">
        <v>4416</v>
      </c>
      <c r="AG1261" t="s">
        <v>4417</v>
      </c>
      <c r="AH1261" t="s">
        <v>4418</v>
      </c>
    </row>
    <row r="1262" spans="1:34" x14ac:dyDescent="0.25">
      <c r="A1262">
        <v>1479</v>
      </c>
      <c r="C1262" s="185"/>
      <c r="E1262" t="s">
        <v>386</v>
      </c>
      <c r="F1262" t="s">
        <v>4419</v>
      </c>
      <c r="G1262" t="s">
        <v>1192</v>
      </c>
      <c r="H1262" t="s">
        <v>4420</v>
      </c>
      <c r="I1262">
        <v>17263</v>
      </c>
      <c r="J1262" t="s">
        <v>4419</v>
      </c>
      <c r="K1262" t="s">
        <v>4421</v>
      </c>
      <c r="L1262" t="s">
        <v>386</v>
      </c>
      <c r="M1262" t="s">
        <v>1193</v>
      </c>
      <c r="N1262">
        <v>17263</v>
      </c>
      <c r="O1262">
        <v>0</v>
      </c>
      <c r="T1262">
        <v>501</v>
      </c>
      <c r="V1262" t="s">
        <v>4131</v>
      </c>
      <c r="W1262" t="s">
        <v>2246</v>
      </c>
      <c r="X1262">
        <v>496</v>
      </c>
      <c r="Z1262" t="s">
        <v>2665</v>
      </c>
      <c r="AA1262" t="s">
        <v>387</v>
      </c>
      <c r="AB1262">
        <v>0</v>
      </c>
      <c r="AC1262">
        <v>5855</v>
      </c>
      <c r="AD1262" t="s">
        <v>4422</v>
      </c>
      <c r="AE1262">
        <v>2009</v>
      </c>
      <c r="AF1262" t="s">
        <v>4423</v>
      </c>
      <c r="AG1262" t="s">
        <v>4424</v>
      </c>
      <c r="AH1262" t="s">
        <v>4425</v>
      </c>
    </row>
    <row r="1263" spans="1:34" x14ac:dyDescent="0.25">
      <c r="A1263">
        <v>2209</v>
      </c>
      <c r="C1263" s="185"/>
      <c r="E1263" t="s">
        <v>386</v>
      </c>
      <c r="F1263" t="s">
        <v>4426</v>
      </c>
      <c r="G1263" t="s">
        <v>1197</v>
      </c>
      <c r="H1263" t="s">
        <v>4427</v>
      </c>
      <c r="I1263">
        <v>17270</v>
      </c>
      <c r="J1263" t="s">
        <v>4426</v>
      </c>
      <c r="K1263" t="s">
        <v>4428</v>
      </c>
      <c r="L1263" t="s">
        <v>386</v>
      </c>
      <c r="M1263" t="s">
        <v>1193</v>
      </c>
      <c r="N1263">
        <v>17270</v>
      </c>
      <c r="O1263">
        <v>37</v>
      </c>
      <c r="R1263" t="s">
        <v>398</v>
      </c>
      <c r="T1263">
        <v>220</v>
      </c>
      <c r="V1263" t="s">
        <v>1194</v>
      </c>
      <c r="W1263" t="s">
        <v>1530</v>
      </c>
      <c r="X1263">
        <v>103</v>
      </c>
      <c r="Z1263" t="s">
        <v>4381</v>
      </c>
      <c r="AA1263" t="s">
        <v>387</v>
      </c>
      <c r="AB1263">
        <v>29000</v>
      </c>
      <c r="AC1263">
        <v>6500</v>
      </c>
      <c r="AD1263" t="s">
        <v>4429</v>
      </c>
      <c r="AE1263">
        <v>2999</v>
      </c>
      <c r="AF1263" t="s">
        <v>4430</v>
      </c>
      <c r="AG1263" t="s">
        <v>4431</v>
      </c>
      <c r="AH1263" t="s">
        <v>4432</v>
      </c>
    </row>
    <row r="1264" spans="1:34" x14ac:dyDescent="0.25">
      <c r="A1264">
        <v>2218</v>
      </c>
      <c r="C1264" s="185"/>
      <c r="E1264" t="s">
        <v>386</v>
      </c>
      <c r="F1264" t="s">
        <v>4433</v>
      </c>
      <c r="G1264" t="s">
        <v>1197</v>
      </c>
      <c r="I1264">
        <v>17298</v>
      </c>
      <c r="J1264" t="s">
        <v>4433</v>
      </c>
      <c r="K1264" t="s">
        <v>4434</v>
      </c>
      <c r="L1264" t="s">
        <v>386</v>
      </c>
      <c r="M1264" t="s">
        <v>1193</v>
      </c>
      <c r="N1264">
        <v>17298</v>
      </c>
      <c r="O1264">
        <v>0</v>
      </c>
      <c r="R1264" t="s">
        <v>1208</v>
      </c>
      <c r="T1264">
        <v>260</v>
      </c>
      <c r="V1264" t="s">
        <v>1216</v>
      </c>
      <c r="W1264" t="s">
        <v>1530</v>
      </c>
      <c r="X1264">
        <v>103</v>
      </c>
      <c r="Z1264" t="s">
        <v>4435</v>
      </c>
      <c r="AA1264" t="s">
        <v>387</v>
      </c>
      <c r="AB1264">
        <v>0</v>
      </c>
      <c r="AC1264">
        <v>6504</v>
      </c>
      <c r="AD1264" t="s">
        <v>4436</v>
      </c>
      <c r="AE1264">
        <v>3001</v>
      </c>
      <c r="AF1264" t="s">
        <v>4437</v>
      </c>
      <c r="AG1264" t="s">
        <v>4438</v>
      </c>
    </row>
    <row r="1265" spans="1:34" x14ac:dyDescent="0.25">
      <c r="A1265">
        <v>28</v>
      </c>
      <c r="C1265" s="185"/>
      <c r="E1265" t="s">
        <v>386</v>
      </c>
      <c r="F1265" t="s">
        <v>4439</v>
      </c>
      <c r="G1265" t="s">
        <v>1192</v>
      </c>
      <c r="H1265" t="s">
        <v>4440</v>
      </c>
      <c r="I1265">
        <v>17303</v>
      </c>
      <c r="J1265" t="s">
        <v>4439</v>
      </c>
      <c r="K1265" t="s">
        <v>4439</v>
      </c>
      <c r="L1265" t="s">
        <v>386</v>
      </c>
      <c r="M1265" t="s">
        <v>1193</v>
      </c>
      <c r="N1265">
        <v>17303</v>
      </c>
      <c r="O1265">
        <v>0</v>
      </c>
      <c r="R1265" t="s">
        <v>1208</v>
      </c>
      <c r="T1265">
        <v>103</v>
      </c>
      <c r="V1265" t="s">
        <v>1530</v>
      </c>
      <c r="W1265" t="s">
        <v>1530</v>
      </c>
      <c r="X1265">
        <v>103</v>
      </c>
      <c r="Z1265" t="s">
        <v>3549</v>
      </c>
      <c r="AA1265" t="s">
        <v>387</v>
      </c>
      <c r="AB1265">
        <v>0</v>
      </c>
      <c r="AC1265">
        <v>2651</v>
      </c>
      <c r="AD1265" t="s">
        <v>4441</v>
      </c>
      <c r="AE1265">
        <v>2005</v>
      </c>
      <c r="AF1265" t="s">
        <v>4442</v>
      </c>
      <c r="AG1265" t="s">
        <v>4443</v>
      </c>
      <c r="AH1265" t="s">
        <v>4444</v>
      </c>
    </row>
    <row r="1266" spans="1:34" x14ac:dyDescent="0.25">
      <c r="A1266">
        <v>1</v>
      </c>
      <c r="C1266" s="185"/>
      <c r="E1266" t="s">
        <v>386</v>
      </c>
      <c r="F1266" t="s">
        <v>4445</v>
      </c>
      <c r="G1266" t="s">
        <v>1192</v>
      </c>
      <c r="I1266">
        <v>17343</v>
      </c>
      <c r="J1266" t="s">
        <v>4445</v>
      </c>
      <c r="K1266" t="s">
        <v>4445</v>
      </c>
      <c r="L1266" t="s">
        <v>386</v>
      </c>
      <c r="M1266" t="s">
        <v>1184</v>
      </c>
      <c r="N1266">
        <v>17343</v>
      </c>
      <c r="O1266">
        <v>0</v>
      </c>
      <c r="R1266" t="s">
        <v>1208</v>
      </c>
      <c r="T1266">
        <v>260</v>
      </c>
      <c r="V1266" t="s">
        <v>1216</v>
      </c>
      <c r="W1266" t="s">
        <v>2024</v>
      </c>
      <c r="X1266">
        <v>52</v>
      </c>
      <c r="Z1266" t="s">
        <v>865</v>
      </c>
      <c r="AA1266" t="s">
        <v>387</v>
      </c>
      <c r="AB1266">
        <v>0</v>
      </c>
      <c r="AC1266">
        <v>0</v>
      </c>
      <c r="AD1266" t="s">
        <v>1187</v>
      </c>
      <c r="AE1266">
        <v>0</v>
      </c>
      <c r="AF1266" t="s">
        <v>1188</v>
      </c>
    </row>
    <row r="1267" spans="1:34" x14ac:dyDescent="0.25">
      <c r="A1267">
        <v>1</v>
      </c>
      <c r="C1267" s="185"/>
      <c r="E1267" t="s">
        <v>386</v>
      </c>
      <c r="F1267" t="s">
        <v>4446</v>
      </c>
      <c r="G1267" t="s">
        <v>1192</v>
      </c>
      <c r="H1267" t="s">
        <v>4447</v>
      </c>
      <c r="I1267">
        <v>17359</v>
      </c>
      <c r="J1267" t="s">
        <v>4446</v>
      </c>
      <c r="K1267" t="s">
        <v>4448</v>
      </c>
      <c r="L1267" t="s">
        <v>386</v>
      </c>
      <c r="M1267" t="s">
        <v>1193</v>
      </c>
      <c r="N1267">
        <v>17359</v>
      </c>
      <c r="O1267">
        <v>0</v>
      </c>
      <c r="T1267">
        <v>52</v>
      </c>
      <c r="V1267" t="s">
        <v>2024</v>
      </c>
      <c r="W1267" t="s">
        <v>1964</v>
      </c>
      <c r="X1267">
        <v>473</v>
      </c>
      <c r="Z1267" t="s">
        <v>865</v>
      </c>
      <c r="AA1267" t="s">
        <v>387</v>
      </c>
      <c r="AB1267">
        <v>0</v>
      </c>
      <c r="AC1267">
        <v>6519</v>
      </c>
      <c r="AD1267" t="s">
        <v>4449</v>
      </c>
      <c r="AE1267">
        <v>826</v>
      </c>
      <c r="AF1267" t="s">
        <v>2592</v>
      </c>
      <c r="AG1267" t="s">
        <v>3624</v>
      </c>
      <c r="AH1267" t="s">
        <v>4450</v>
      </c>
    </row>
    <row r="1268" spans="1:34" x14ac:dyDescent="0.25">
      <c r="A1268">
        <v>1</v>
      </c>
      <c r="C1268" s="185"/>
      <c r="E1268" t="s">
        <v>386</v>
      </c>
      <c r="F1268" t="s">
        <v>4451</v>
      </c>
      <c r="G1268" t="s">
        <v>1192</v>
      </c>
      <c r="H1268" t="s">
        <v>4452</v>
      </c>
      <c r="I1268">
        <v>17448</v>
      </c>
      <c r="J1268" t="s">
        <v>4451</v>
      </c>
      <c r="K1268" t="s">
        <v>4451</v>
      </c>
      <c r="L1268" t="s">
        <v>386</v>
      </c>
      <c r="M1268" t="s">
        <v>1184</v>
      </c>
      <c r="N1268">
        <v>17448</v>
      </c>
      <c r="O1268">
        <v>0</v>
      </c>
      <c r="T1268">
        <v>560</v>
      </c>
      <c r="V1268" t="s">
        <v>2602</v>
      </c>
      <c r="W1268" t="s">
        <v>1215</v>
      </c>
      <c r="X1268">
        <v>259</v>
      </c>
      <c r="Z1268" t="s">
        <v>865</v>
      </c>
      <c r="AA1268" t="s">
        <v>387</v>
      </c>
      <c r="AB1268">
        <v>0</v>
      </c>
      <c r="AC1268">
        <v>5771</v>
      </c>
      <c r="AD1268" t="s">
        <v>4453</v>
      </c>
      <c r="AE1268">
        <v>1748</v>
      </c>
      <c r="AF1268" t="s">
        <v>4454</v>
      </c>
      <c r="AG1268" t="s">
        <v>4455</v>
      </c>
      <c r="AH1268" t="s">
        <v>4456</v>
      </c>
    </row>
    <row r="1269" spans="1:34" x14ac:dyDescent="0.25">
      <c r="A1269">
        <v>2180</v>
      </c>
      <c r="C1269" s="185"/>
      <c r="E1269" t="s">
        <v>386</v>
      </c>
      <c r="F1269" t="s">
        <v>4457</v>
      </c>
      <c r="G1269" t="s">
        <v>1197</v>
      </c>
      <c r="I1269">
        <v>17456</v>
      </c>
      <c r="J1269" t="s">
        <v>4457</v>
      </c>
      <c r="K1269" t="s">
        <v>4457</v>
      </c>
      <c r="L1269" t="s">
        <v>386</v>
      </c>
      <c r="M1269" t="s">
        <v>1193</v>
      </c>
      <c r="N1269">
        <v>17456</v>
      </c>
      <c r="O1269">
        <v>0</v>
      </c>
      <c r="R1269" t="s">
        <v>398</v>
      </c>
      <c r="T1269">
        <v>260</v>
      </c>
      <c r="V1269" t="s">
        <v>1216</v>
      </c>
      <c r="W1269" t="s">
        <v>1216</v>
      </c>
      <c r="X1269">
        <v>260</v>
      </c>
      <c r="Z1269" t="s">
        <v>4213</v>
      </c>
      <c r="AA1269" t="s">
        <v>387</v>
      </c>
      <c r="AB1269">
        <v>0</v>
      </c>
      <c r="AC1269">
        <v>6548</v>
      </c>
      <c r="AD1269" t="s">
        <v>4458</v>
      </c>
      <c r="AE1269">
        <v>3022</v>
      </c>
      <c r="AF1269" t="s">
        <v>4459</v>
      </c>
    </row>
    <row r="1270" spans="1:34" x14ac:dyDescent="0.25">
      <c r="A1270">
        <v>2224</v>
      </c>
      <c r="C1270" s="185"/>
      <c r="E1270" t="s">
        <v>386</v>
      </c>
      <c r="F1270" t="s">
        <v>4460</v>
      </c>
      <c r="G1270" t="s">
        <v>1197</v>
      </c>
      <c r="I1270">
        <v>17486</v>
      </c>
      <c r="J1270" t="s">
        <v>4460</v>
      </c>
      <c r="K1270" t="s">
        <v>4460</v>
      </c>
      <c r="L1270" t="s">
        <v>386</v>
      </c>
      <c r="M1270" t="s">
        <v>1193</v>
      </c>
      <c r="N1270">
        <v>17486</v>
      </c>
      <c r="O1270">
        <v>37</v>
      </c>
      <c r="R1270" t="s">
        <v>398</v>
      </c>
      <c r="T1270">
        <v>220</v>
      </c>
      <c r="V1270" t="s">
        <v>1194</v>
      </c>
      <c r="W1270" t="s">
        <v>1194</v>
      </c>
      <c r="X1270">
        <v>220</v>
      </c>
      <c r="Z1270" t="s">
        <v>4461</v>
      </c>
      <c r="AA1270" t="s">
        <v>387</v>
      </c>
      <c r="AB1270">
        <v>29000</v>
      </c>
      <c r="AC1270">
        <v>6557</v>
      </c>
      <c r="AD1270" t="s">
        <v>4462</v>
      </c>
      <c r="AE1270">
        <v>3028</v>
      </c>
      <c r="AF1270" t="s">
        <v>4463</v>
      </c>
      <c r="AG1270" t="s">
        <v>4464</v>
      </c>
    </row>
    <row r="1271" spans="1:34" x14ac:dyDescent="0.25">
      <c r="A1271">
        <v>63</v>
      </c>
      <c r="C1271" s="185"/>
      <c r="E1271" t="s">
        <v>386</v>
      </c>
      <c r="F1271" t="s">
        <v>4465</v>
      </c>
      <c r="G1271" t="s">
        <v>1192</v>
      </c>
      <c r="H1271" t="s">
        <v>4466</v>
      </c>
      <c r="I1271">
        <v>17495</v>
      </c>
      <c r="J1271" t="s">
        <v>4465</v>
      </c>
      <c r="K1271" t="s">
        <v>4467</v>
      </c>
      <c r="L1271" t="s">
        <v>386</v>
      </c>
      <c r="M1271" t="s">
        <v>1193</v>
      </c>
      <c r="N1271">
        <v>17495</v>
      </c>
      <c r="O1271">
        <v>0</v>
      </c>
      <c r="R1271" t="s">
        <v>398</v>
      </c>
      <c r="T1271">
        <v>52</v>
      </c>
      <c r="V1271" t="s">
        <v>2024</v>
      </c>
      <c r="W1271" t="s">
        <v>4468</v>
      </c>
      <c r="X1271">
        <v>470</v>
      </c>
      <c r="Z1271" t="s">
        <v>3649</v>
      </c>
      <c r="AA1271" t="s">
        <v>387</v>
      </c>
      <c r="AB1271">
        <v>0</v>
      </c>
      <c r="AC1271">
        <v>6561</v>
      </c>
      <c r="AD1271" t="s">
        <v>4469</v>
      </c>
      <c r="AE1271">
        <v>1</v>
      </c>
      <c r="AF1271" t="s">
        <v>1922</v>
      </c>
      <c r="AG1271" t="s">
        <v>1938</v>
      </c>
      <c r="AH1271" t="s">
        <v>4470</v>
      </c>
    </row>
    <row r="1272" spans="1:34" x14ac:dyDescent="0.25">
      <c r="A1272">
        <v>2216</v>
      </c>
      <c r="C1272" s="185"/>
      <c r="E1272" t="s">
        <v>386</v>
      </c>
      <c r="F1272" t="s">
        <v>4471</v>
      </c>
      <c r="G1272" t="s">
        <v>1197</v>
      </c>
      <c r="I1272">
        <v>17513</v>
      </c>
      <c r="J1272" t="s">
        <v>4471</v>
      </c>
      <c r="K1272" t="s">
        <v>4472</v>
      </c>
      <c r="L1272" t="s">
        <v>386</v>
      </c>
      <c r="M1272" t="s">
        <v>1193</v>
      </c>
      <c r="N1272">
        <v>17513</v>
      </c>
      <c r="O1272">
        <v>0</v>
      </c>
      <c r="R1272" t="s">
        <v>398</v>
      </c>
      <c r="T1272">
        <v>220</v>
      </c>
      <c r="V1272" t="s">
        <v>1194</v>
      </c>
      <c r="W1272" t="s">
        <v>2024</v>
      </c>
      <c r="X1272">
        <v>52</v>
      </c>
      <c r="Z1272" t="s">
        <v>4414</v>
      </c>
      <c r="AA1272" t="s">
        <v>387</v>
      </c>
      <c r="AB1272">
        <v>0</v>
      </c>
      <c r="AC1272">
        <v>6568</v>
      </c>
      <c r="AD1272" t="s">
        <v>4473</v>
      </c>
      <c r="AE1272">
        <v>0</v>
      </c>
      <c r="AF1272" t="s">
        <v>1188</v>
      </c>
      <c r="AG1272" t="s">
        <v>4474</v>
      </c>
      <c r="AH1272" t="s">
        <v>4475</v>
      </c>
    </row>
    <row r="1273" spans="1:34" x14ac:dyDescent="0.25">
      <c r="A1273">
        <v>1246</v>
      </c>
      <c r="C1273" s="185"/>
      <c r="E1273" t="s">
        <v>386</v>
      </c>
      <c r="F1273" t="s">
        <v>4476</v>
      </c>
      <c r="G1273" t="s">
        <v>1192</v>
      </c>
      <c r="H1273" t="s">
        <v>4477</v>
      </c>
      <c r="I1273">
        <v>17554</v>
      </c>
      <c r="J1273" t="s">
        <v>4476</v>
      </c>
      <c r="K1273" t="s">
        <v>4478</v>
      </c>
      <c r="L1273" t="s">
        <v>386</v>
      </c>
      <c r="M1273" t="s">
        <v>1193</v>
      </c>
      <c r="N1273">
        <v>17554</v>
      </c>
      <c r="O1273">
        <v>0</v>
      </c>
      <c r="R1273" t="s">
        <v>1208</v>
      </c>
      <c r="T1273">
        <v>560</v>
      </c>
      <c r="V1273" t="s">
        <v>2602</v>
      </c>
      <c r="W1273" t="s">
        <v>2602</v>
      </c>
      <c r="X1273">
        <v>560</v>
      </c>
      <c r="Z1273" t="s">
        <v>961</v>
      </c>
      <c r="AA1273" t="s">
        <v>387</v>
      </c>
      <c r="AB1273">
        <v>0</v>
      </c>
      <c r="AC1273">
        <v>6573</v>
      </c>
      <c r="AD1273" t="s">
        <v>4479</v>
      </c>
      <c r="AE1273">
        <v>18</v>
      </c>
      <c r="AF1273" t="s">
        <v>1259</v>
      </c>
      <c r="AG1273" t="s">
        <v>1244</v>
      </c>
      <c r="AH1273" t="s">
        <v>4480</v>
      </c>
    </row>
    <row r="1274" spans="1:34" x14ac:dyDescent="0.25">
      <c r="A1274">
        <v>1</v>
      </c>
      <c r="C1274" s="185"/>
      <c r="E1274" t="s">
        <v>386</v>
      </c>
      <c r="F1274" t="s">
        <v>1213</v>
      </c>
      <c r="G1274" t="s">
        <v>1192</v>
      </c>
      <c r="I1274">
        <v>17570</v>
      </c>
      <c r="J1274" t="s">
        <v>1213</v>
      </c>
      <c r="K1274" t="s">
        <v>1213</v>
      </c>
      <c r="L1274" t="s">
        <v>386</v>
      </c>
      <c r="M1274" t="s">
        <v>1184</v>
      </c>
      <c r="N1274">
        <v>17570</v>
      </c>
      <c r="O1274">
        <v>0</v>
      </c>
      <c r="T1274">
        <v>260</v>
      </c>
      <c r="V1274" t="s">
        <v>1216</v>
      </c>
      <c r="W1274" t="s">
        <v>2024</v>
      </c>
      <c r="X1274">
        <v>52</v>
      </c>
      <c r="Z1274" t="s">
        <v>865</v>
      </c>
      <c r="AA1274" t="s">
        <v>387</v>
      </c>
      <c r="AB1274">
        <v>0</v>
      </c>
      <c r="AC1274">
        <v>0</v>
      </c>
      <c r="AD1274" t="s">
        <v>1187</v>
      </c>
      <c r="AE1274">
        <v>0</v>
      </c>
      <c r="AF1274" t="s">
        <v>1188</v>
      </c>
    </row>
    <row r="1275" spans="1:34" x14ac:dyDescent="0.25">
      <c r="A1275">
        <v>1853</v>
      </c>
      <c r="C1275" s="185"/>
      <c r="E1275" t="s">
        <v>386</v>
      </c>
      <c r="F1275" t="s">
        <v>4481</v>
      </c>
      <c r="G1275" t="s">
        <v>1903</v>
      </c>
      <c r="H1275" t="s">
        <v>2830</v>
      </c>
      <c r="I1275">
        <v>17580</v>
      </c>
      <c r="J1275" t="s">
        <v>4481</v>
      </c>
      <c r="K1275" t="s">
        <v>4482</v>
      </c>
      <c r="L1275" t="s">
        <v>386</v>
      </c>
      <c r="M1275" t="s">
        <v>1193</v>
      </c>
      <c r="N1275">
        <v>17580</v>
      </c>
      <c r="O1275">
        <v>37</v>
      </c>
      <c r="R1275" t="s">
        <v>398</v>
      </c>
      <c r="T1275">
        <v>220</v>
      </c>
      <c r="V1275" t="s">
        <v>1194</v>
      </c>
      <c r="W1275" t="s">
        <v>1530</v>
      </c>
      <c r="X1275">
        <v>103</v>
      </c>
      <c r="Z1275" t="s">
        <v>1100</v>
      </c>
      <c r="AA1275" t="s">
        <v>387</v>
      </c>
      <c r="AB1275">
        <v>0</v>
      </c>
      <c r="AC1275">
        <v>6579</v>
      </c>
      <c r="AD1275" t="s">
        <v>4483</v>
      </c>
      <c r="AE1275">
        <v>0</v>
      </c>
      <c r="AF1275" t="s">
        <v>1188</v>
      </c>
      <c r="AG1275" t="s">
        <v>4484</v>
      </c>
      <c r="AH1275" t="s">
        <v>4485</v>
      </c>
    </row>
    <row r="1276" spans="1:34" x14ac:dyDescent="0.25">
      <c r="A1276">
        <v>2230</v>
      </c>
      <c r="C1276" s="185"/>
      <c r="E1276" t="s">
        <v>386</v>
      </c>
      <c r="F1276" t="s">
        <v>4486</v>
      </c>
      <c r="G1276" t="s">
        <v>1197</v>
      </c>
      <c r="H1276" t="s">
        <v>4487</v>
      </c>
      <c r="I1276">
        <v>17586</v>
      </c>
      <c r="J1276" t="s">
        <v>4486</v>
      </c>
      <c r="K1276" t="s">
        <v>4488</v>
      </c>
      <c r="L1276" t="s">
        <v>386</v>
      </c>
      <c r="M1276" t="s">
        <v>1193</v>
      </c>
      <c r="N1276">
        <v>17586</v>
      </c>
      <c r="O1276">
        <v>37</v>
      </c>
      <c r="R1276" t="s">
        <v>398</v>
      </c>
      <c r="T1276">
        <v>220</v>
      </c>
      <c r="V1276" t="s">
        <v>1194</v>
      </c>
      <c r="W1276" t="s">
        <v>1216</v>
      </c>
      <c r="X1276">
        <v>260</v>
      </c>
      <c r="Z1276" t="s">
        <v>4489</v>
      </c>
      <c r="AA1276" t="s">
        <v>387</v>
      </c>
      <c r="AB1276">
        <v>0</v>
      </c>
      <c r="AC1276">
        <v>6580</v>
      </c>
      <c r="AD1276" t="s">
        <v>4490</v>
      </c>
      <c r="AE1276">
        <v>3042</v>
      </c>
      <c r="AF1276" t="s">
        <v>4491</v>
      </c>
      <c r="AG1276" t="s">
        <v>4492</v>
      </c>
    </row>
    <row r="1277" spans="1:34" x14ac:dyDescent="0.25">
      <c r="A1277">
        <v>1288</v>
      </c>
      <c r="C1277" s="185"/>
      <c r="E1277" t="s">
        <v>386</v>
      </c>
      <c r="F1277" t="s">
        <v>4493</v>
      </c>
      <c r="G1277" t="s">
        <v>1192</v>
      </c>
      <c r="H1277" t="s">
        <v>4494</v>
      </c>
      <c r="I1277">
        <v>17587</v>
      </c>
      <c r="J1277" t="s">
        <v>4493</v>
      </c>
      <c r="K1277" t="s">
        <v>4493</v>
      </c>
      <c r="L1277" t="s">
        <v>386</v>
      </c>
      <c r="M1277" t="s">
        <v>1184</v>
      </c>
      <c r="N1277">
        <v>17587</v>
      </c>
      <c r="O1277">
        <v>0</v>
      </c>
      <c r="R1277" t="s">
        <v>1208</v>
      </c>
      <c r="T1277">
        <v>372</v>
      </c>
      <c r="V1277" t="s">
        <v>2073</v>
      </c>
      <c r="W1277" t="s">
        <v>1216</v>
      </c>
      <c r="X1277">
        <v>260</v>
      </c>
      <c r="Z1277" t="s">
        <v>4495</v>
      </c>
      <c r="AA1277" t="s">
        <v>387</v>
      </c>
      <c r="AB1277">
        <v>0</v>
      </c>
      <c r="AC1277">
        <v>6593</v>
      </c>
      <c r="AD1277" t="s">
        <v>4496</v>
      </c>
      <c r="AE1277">
        <v>1767</v>
      </c>
      <c r="AF1277" t="s">
        <v>4497</v>
      </c>
      <c r="AG1277" t="s">
        <v>4498</v>
      </c>
      <c r="AH1277" t="s">
        <v>4499</v>
      </c>
    </row>
    <row r="1278" spans="1:34" x14ac:dyDescent="0.25">
      <c r="A1278">
        <v>2231</v>
      </c>
      <c r="C1278" s="185"/>
      <c r="E1278" t="s">
        <v>386</v>
      </c>
      <c r="F1278" t="s">
        <v>4500</v>
      </c>
      <c r="G1278" t="s">
        <v>1197</v>
      </c>
      <c r="H1278" t="s">
        <v>4501</v>
      </c>
      <c r="I1278">
        <v>17596</v>
      </c>
      <c r="J1278" t="s">
        <v>4500</v>
      </c>
      <c r="K1278" t="s">
        <v>4500</v>
      </c>
      <c r="L1278" t="s">
        <v>386</v>
      </c>
      <c r="M1278" t="s">
        <v>1193</v>
      </c>
      <c r="N1278">
        <v>17596</v>
      </c>
      <c r="O1278">
        <v>0</v>
      </c>
      <c r="R1278" t="s">
        <v>1208</v>
      </c>
      <c r="T1278">
        <v>259</v>
      </c>
      <c r="V1278" t="s">
        <v>1215</v>
      </c>
      <c r="W1278" t="s">
        <v>4502</v>
      </c>
      <c r="X1278">
        <v>556</v>
      </c>
      <c r="Z1278" t="s">
        <v>4503</v>
      </c>
      <c r="AA1278" t="s">
        <v>387</v>
      </c>
      <c r="AB1278">
        <v>0</v>
      </c>
      <c r="AC1278">
        <v>6581</v>
      </c>
      <c r="AD1278" t="s">
        <v>4504</v>
      </c>
      <c r="AE1278">
        <v>0</v>
      </c>
      <c r="AF1278" t="s">
        <v>1188</v>
      </c>
      <c r="AG1278" t="s">
        <v>3559</v>
      </c>
      <c r="AH1278" t="s">
        <v>4505</v>
      </c>
    </row>
    <row r="1279" spans="1:34" x14ac:dyDescent="0.25">
      <c r="A1279">
        <v>1479</v>
      </c>
      <c r="C1279" s="185"/>
      <c r="E1279" t="s">
        <v>386</v>
      </c>
      <c r="F1279" t="s">
        <v>4506</v>
      </c>
      <c r="G1279" t="s">
        <v>1192</v>
      </c>
      <c r="H1279" t="s">
        <v>4507</v>
      </c>
      <c r="I1279">
        <v>17604</v>
      </c>
      <c r="J1279" t="s">
        <v>4506</v>
      </c>
      <c r="K1279" t="s">
        <v>4506</v>
      </c>
      <c r="L1279" t="s">
        <v>386</v>
      </c>
      <c r="M1279" t="s">
        <v>1193</v>
      </c>
      <c r="N1279">
        <v>17604</v>
      </c>
      <c r="O1279">
        <v>0</v>
      </c>
      <c r="T1279">
        <v>496</v>
      </c>
      <c r="V1279" t="s">
        <v>2246</v>
      </c>
      <c r="W1279" t="s">
        <v>2246</v>
      </c>
      <c r="X1279">
        <v>496</v>
      </c>
      <c r="Z1279" t="s">
        <v>2665</v>
      </c>
      <c r="AA1279" t="s">
        <v>387</v>
      </c>
      <c r="AB1279">
        <v>0</v>
      </c>
      <c r="AC1279">
        <v>5053</v>
      </c>
      <c r="AD1279" t="s">
        <v>4118</v>
      </c>
      <c r="AE1279">
        <v>1098</v>
      </c>
      <c r="AF1279" t="s">
        <v>4119</v>
      </c>
      <c r="AG1279" t="s">
        <v>4508</v>
      </c>
      <c r="AH1279" t="s">
        <v>4509</v>
      </c>
    </row>
    <row r="1280" spans="1:34" x14ac:dyDescent="0.25">
      <c r="A1280">
        <v>1246</v>
      </c>
      <c r="C1280" s="185"/>
      <c r="E1280" t="s">
        <v>386</v>
      </c>
      <c r="F1280" t="s">
        <v>4510</v>
      </c>
      <c r="G1280" t="s">
        <v>1192</v>
      </c>
      <c r="H1280" t="s">
        <v>4477</v>
      </c>
      <c r="I1280">
        <v>17617</v>
      </c>
      <c r="J1280" t="s">
        <v>4510</v>
      </c>
      <c r="K1280" t="s">
        <v>4511</v>
      </c>
      <c r="L1280" t="s">
        <v>386</v>
      </c>
      <c r="M1280" t="s">
        <v>1193</v>
      </c>
      <c r="N1280">
        <v>17617</v>
      </c>
      <c r="O1280">
        <v>0</v>
      </c>
      <c r="T1280">
        <v>496</v>
      </c>
      <c r="V1280" t="s">
        <v>2246</v>
      </c>
      <c r="W1280" t="s">
        <v>2246</v>
      </c>
      <c r="X1280">
        <v>496</v>
      </c>
      <c r="Z1280" t="s">
        <v>961</v>
      </c>
      <c r="AA1280" t="s">
        <v>387</v>
      </c>
      <c r="AB1280">
        <v>0</v>
      </c>
      <c r="AC1280">
        <v>6583</v>
      </c>
      <c r="AD1280" t="s">
        <v>4512</v>
      </c>
      <c r="AE1280">
        <v>1858</v>
      </c>
      <c r="AF1280" t="s">
        <v>4513</v>
      </c>
      <c r="AG1280" t="s">
        <v>4514</v>
      </c>
      <c r="AH1280" t="s">
        <v>4515</v>
      </c>
    </row>
    <row r="1281" spans="1:34" x14ac:dyDescent="0.25">
      <c r="A1281">
        <v>31</v>
      </c>
      <c r="C1281" s="185"/>
      <c r="E1281" t="s">
        <v>386</v>
      </c>
      <c r="F1281" t="s">
        <v>4516</v>
      </c>
      <c r="G1281" t="s">
        <v>1192</v>
      </c>
      <c r="H1281" t="s">
        <v>4517</v>
      </c>
      <c r="I1281">
        <v>17641</v>
      </c>
      <c r="J1281" t="s">
        <v>4516</v>
      </c>
      <c r="K1281" t="s">
        <v>4518</v>
      </c>
      <c r="L1281" t="s">
        <v>386</v>
      </c>
      <c r="M1281" t="s">
        <v>1193</v>
      </c>
      <c r="N1281">
        <v>17641</v>
      </c>
      <c r="O1281">
        <v>0</v>
      </c>
      <c r="R1281" t="s">
        <v>398</v>
      </c>
      <c r="T1281">
        <v>470</v>
      </c>
      <c r="V1281" t="s">
        <v>4468</v>
      </c>
      <c r="W1281" t="s">
        <v>4468</v>
      </c>
      <c r="X1281">
        <v>470</v>
      </c>
      <c r="Z1281" t="s">
        <v>1132</v>
      </c>
      <c r="AA1281" t="s">
        <v>387</v>
      </c>
      <c r="AB1281">
        <v>0</v>
      </c>
      <c r="AC1281">
        <v>1553</v>
      </c>
      <c r="AD1281" t="s">
        <v>4519</v>
      </c>
      <c r="AE1281">
        <v>892</v>
      </c>
      <c r="AF1281" t="s">
        <v>4520</v>
      </c>
      <c r="AG1281" t="s">
        <v>4521</v>
      </c>
      <c r="AH1281" t="s">
        <v>4522</v>
      </c>
    </row>
    <row r="1282" spans="1:34" x14ac:dyDescent="0.25">
      <c r="A1282">
        <v>1408</v>
      </c>
      <c r="C1282" s="185"/>
      <c r="E1282" t="s">
        <v>386</v>
      </c>
      <c r="F1282" t="s">
        <v>4523</v>
      </c>
      <c r="G1282" t="s">
        <v>1197</v>
      </c>
      <c r="I1282">
        <v>17660</v>
      </c>
      <c r="J1282" t="s">
        <v>4523</v>
      </c>
      <c r="K1282" t="s">
        <v>4524</v>
      </c>
      <c r="L1282" t="s">
        <v>386</v>
      </c>
      <c r="M1282" t="s">
        <v>1193</v>
      </c>
      <c r="N1282">
        <v>17660</v>
      </c>
      <c r="O1282">
        <v>37</v>
      </c>
      <c r="R1282" t="s">
        <v>398</v>
      </c>
      <c r="T1282">
        <v>220</v>
      </c>
      <c r="V1282" t="s">
        <v>1194</v>
      </c>
      <c r="W1282" t="s">
        <v>1216</v>
      </c>
      <c r="X1282">
        <v>260</v>
      </c>
      <c r="Z1282" t="s">
        <v>1036</v>
      </c>
      <c r="AA1282" t="s">
        <v>387</v>
      </c>
      <c r="AB1282">
        <v>0</v>
      </c>
      <c r="AC1282">
        <v>6604</v>
      </c>
      <c r="AD1282" t="s">
        <v>4525</v>
      </c>
      <c r="AE1282">
        <v>2174</v>
      </c>
      <c r="AF1282" t="s">
        <v>3310</v>
      </c>
      <c r="AG1282" t="s">
        <v>4526</v>
      </c>
      <c r="AH1282" t="s">
        <v>4527</v>
      </c>
    </row>
    <row r="1283" spans="1:34" x14ac:dyDescent="0.25">
      <c r="A1283">
        <v>1479</v>
      </c>
      <c r="C1283" s="185"/>
      <c r="E1283" t="s">
        <v>386</v>
      </c>
      <c r="F1283" t="s">
        <v>4528</v>
      </c>
      <c r="G1283" t="s">
        <v>1192</v>
      </c>
      <c r="H1283" t="s">
        <v>4529</v>
      </c>
      <c r="I1283">
        <v>17666</v>
      </c>
      <c r="J1283" t="s">
        <v>4528</v>
      </c>
      <c r="K1283" t="s">
        <v>4530</v>
      </c>
      <c r="L1283" t="s">
        <v>386</v>
      </c>
      <c r="M1283" t="s">
        <v>1193</v>
      </c>
      <c r="N1283">
        <v>17666</v>
      </c>
      <c r="O1283">
        <v>0</v>
      </c>
      <c r="R1283" t="s">
        <v>1208</v>
      </c>
      <c r="T1283">
        <v>560</v>
      </c>
      <c r="V1283" t="s">
        <v>2602</v>
      </c>
      <c r="W1283" t="s">
        <v>4502</v>
      </c>
      <c r="X1283">
        <v>556</v>
      </c>
      <c r="Z1283" t="s">
        <v>2665</v>
      </c>
      <c r="AA1283" t="s">
        <v>387</v>
      </c>
      <c r="AB1283">
        <v>0</v>
      </c>
      <c r="AC1283">
        <v>4680</v>
      </c>
      <c r="AD1283" t="s">
        <v>3577</v>
      </c>
      <c r="AE1283">
        <v>1731</v>
      </c>
      <c r="AF1283" t="s">
        <v>4531</v>
      </c>
      <c r="AG1283" t="s">
        <v>3552</v>
      </c>
      <c r="AH1283" t="s">
        <v>4532</v>
      </c>
    </row>
    <row r="1284" spans="1:34" x14ac:dyDescent="0.25">
      <c r="A1284">
        <v>2119</v>
      </c>
      <c r="C1284" s="185"/>
      <c r="E1284" t="s">
        <v>386</v>
      </c>
      <c r="F1284" t="s">
        <v>4533</v>
      </c>
      <c r="G1284" t="s">
        <v>1903</v>
      </c>
      <c r="H1284" t="s">
        <v>4534</v>
      </c>
      <c r="I1284">
        <v>17667</v>
      </c>
      <c r="J1284" t="s">
        <v>4533</v>
      </c>
      <c r="K1284" t="s">
        <v>4535</v>
      </c>
      <c r="L1284" t="s">
        <v>386</v>
      </c>
      <c r="M1284" t="s">
        <v>1193</v>
      </c>
      <c r="N1284">
        <v>17667</v>
      </c>
      <c r="O1284">
        <v>37</v>
      </c>
      <c r="R1284" t="s">
        <v>398</v>
      </c>
      <c r="T1284">
        <v>220</v>
      </c>
      <c r="V1284" t="s">
        <v>1194</v>
      </c>
      <c r="W1284" t="s">
        <v>1530</v>
      </c>
      <c r="X1284">
        <v>103</v>
      </c>
      <c r="Z1284" t="s">
        <v>3838</v>
      </c>
      <c r="AA1284" t="s">
        <v>387</v>
      </c>
      <c r="AB1284">
        <v>0</v>
      </c>
      <c r="AC1284">
        <v>6607</v>
      </c>
      <c r="AD1284" t="s">
        <v>4536</v>
      </c>
      <c r="AE1284">
        <v>3054</v>
      </c>
      <c r="AF1284" t="s">
        <v>4537</v>
      </c>
    </row>
    <row r="1285" spans="1:34" x14ac:dyDescent="0.25">
      <c r="A1285">
        <v>842</v>
      </c>
      <c r="C1285" s="185"/>
      <c r="E1285" t="s">
        <v>386</v>
      </c>
      <c r="F1285" t="s">
        <v>4538</v>
      </c>
      <c r="G1285" t="s">
        <v>1192</v>
      </c>
      <c r="H1285" t="s">
        <v>4539</v>
      </c>
      <c r="I1285">
        <v>17674</v>
      </c>
      <c r="J1285" t="s">
        <v>4538</v>
      </c>
      <c r="K1285" t="s">
        <v>4540</v>
      </c>
      <c r="L1285" t="s">
        <v>386</v>
      </c>
      <c r="M1285" t="s">
        <v>1193</v>
      </c>
      <c r="N1285">
        <v>17674</v>
      </c>
      <c r="O1285">
        <v>76</v>
      </c>
      <c r="R1285" t="s">
        <v>398</v>
      </c>
      <c r="T1285">
        <v>220</v>
      </c>
      <c r="V1285" t="s">
        <v>1194</v>
      </c>
      <c r="W1285" t="s">
        <v>4502</v>
      </c>
      <c r="X1285">
        <v>556</v>
      </c>
      <c r="Z1285" t="s">
        <v>4541</v>
      </c>
      <c r="AA1285" t="s">
        <v>387</v>
      </c>
      <c r="AB1285">
        <v>0</v>
      </c>
      <c r="AC1285">
        <v>6611</v>
      </c>
      <c r="AD1285" t="s">
        <v>4542</v>
      </c>
      <c r="AE1285">
        <v>474</v>
      </c>
      <c r="AF1285" t="s">
        <v>3719</v>
      </c>
      <c r="AG1285" t="s">
        <v>4543</v>
      </c>
      <c r="AH1285" t="s">
        <v>4544</v>
      </c>
    </row>
    <row r="1286" spans="1:34" x14ac:dyDescent="0.25">
      <c r="A1286">
        <v>61</v>
      </c>
      <c r="C1286" s="185"/>
      <c r="E1286" t="s">
        <v>386</v>
      </c>
      <c r="F1286" t="s">
        <v>4545</v>
      </c>
      <c r="G1286" t="s">
        <v>1192</v>
      </c>
      <c r="H1286" t="s">
        <v>4546</v>
      </c>
      <c r="I1286">
        <v>17688</v>
      </c>
      <c r="J1286" t="s">
        <v>4545</v>
      </c>
      <c r="K1286" t="s">
        <v>4547</v>
      </c>
      <c r="L1286" t="s">
        <v>386</v>
      </c>
      <c r="M1286" t="s">
        <v>1193</v>
      </c>
      <c r="N1286">
        <v>17688</v>
      </c>
      <c r="O1286">
        <v>0</v>
      </c>
      <c r="R1286" t="s">
        <v>398</v>
      </c>
      <c r="T1286">
        <v>470</v>
      </c>
      <c r="V1286" t="s">
        <v>4468</v>
      </c>
      <c r="W1286" t="s">
        <v>4468</v>
      </c>
      <c r="X1286">
        <v>470</v>
      </c>
      <c r="Z1286" t="s">
        <v>4548</v>
      </c>
      <c r="AA1286" t="s">
        <v>387</v>
      </c>
      <c r="AB1286">
        <v>0</v>
      </c>
      <c r="AC1286">
        <v>6615</v>
      </c>
      <c r="AD1286" t="s">
        <v>4549</v>
      </c>
      <c r="AE1286">
        <v>2051</v>
      </c>
      <c r="AF1286" t="s">
        <v>4550</v>
      </c>
      <c r="AG1286" t="s">
        <v>4551</v>
      </c>
      <c r="AH1286" t="s">
        <v>4552</v>
      </c>
    </row>
    <row r="1287" spans="1:34" x14ac:dyDescent="0.25">
      <c r="A1287">
        <v>1779</v>
      </c>
      <c r="C1287" s="185"/>
      <c r="E1287" t="s">
        <v>386</v>
      </c>
      <c r="F1287" t="s">
        <v>4553</v>
      </c>
      <c r="G1287" t="s">
        <v>1197</v>
      </c>
      <c r="I1287">
        <v>17690</v>
      </c>
      <c r="J1287" t="s">
        <v>4553</v>
      </c>
      <c r="K1287" t="s">
        <v>4553</v>
      </c>
      <c r="L1287" t="s">
        <v>386</v>
      </c>
      <c r="M1287" t="s">
        <v>1193</v>
      </c>
      <c r="N1287">
        <v>17690</v>
      </c>
      <c r="O1287">
        <v>0</v>
      </c>
      <c r="R1287" t="s">
        <v>398</v>
      </c>
      <c r="T1287">
        <v>470</v>
      </c>
      <c r="V1287" t="s">
        <v>4468</v>
      </c>
      <c r="W1287" t="s">
        <v>4468</v>
      </c>
      <c r="X1287">
        <v>470</v>
      </c>
      <c r="Z1287" t="s">
        <v>2933</v>
      </c>
      <c r="AA1287" t="s">
        <v>387</v>
      </c>
      <c r="AB1287">
        <v>0</v>
      </c>
      <c r="AC1287">
        <v>6617</v>
      </c>
      <c r="AD1287" t="s">
        <v>4554</v>
      </c>
      <c r="AE1287">
        <v>0</v>
      </c>
      <c r="AF1287" t="s">
        <v>1188</v>
      </c>
      <c r="AG1287" t="s">
        <v>3062</v>
      </c>
      <c r="AH1287" t="s">
        <v>4555</v>
      </c>
    </row>
    <row r="1288" spans="1:34" x14ac:dyDescent="0.25">
      <c r="A1288">
        <v>31</v>
      </c>
      <c r="C1288" s="185"/>
      <c r="E1288" t="s">
        <v>386</v>
      </c>
      <c r="F1288" t="s">
        <v>4556</v>
      </c>
      <c r="G1288" t="s">
        <v>1192</v>
      </c>
      <c r="H1288" t="s">
        <v>4557</v>
      </c>
      <c r="I1288">
        <v>17702</v>
      </c>
      <c r="J1288" t="s">
        <v>4556</v>
      </c>
      <c r="K1288" t="s">
        <v>4556</v>
      </c>
      <c r="L1288" t="s">
        <v>386</v>
      </c>
      <c r="M1288" t="s">
        <v>1193</v>
      </c>
      <c r="N1288">
        <v>17702</v>
      </c>
      <c r="O1288">
        <v>0</v>
      </c>
      <c r="R1288" t="s">
        <v>398</v>
      </c>
      <c r="T1288">
        <v>560</v>
      </c>
      <c r="V1288" t="s">
        <v>2602</v>
      </c>
      <c r="W1288" t="s">
        <v>4468</v>
      </c>
      <c r="X1288">
        <v>470</v>
      </c>
      <c r="Z1288" t="s">
        <v>1132</v>
      </c>
      <c r="AA1288" t="s">
        <v>387</v>
      </c>
      <c r="AB1288">
        <v>0</v>
      </c>
      <c r="AC1288">
        <v>894</v>
      </c>
      <c r="AD1288" t="s">
        <v>4558</v>
      </c>
      <c r="AE1288">
        <v>980</v>
      </c>
      <c r="AF1288" t="s">
        <v>2951</v>
      </c>
      <c r="AG1288" t="s">
        <v>4559</v>
      </c>
      <c r="AH1288" t="s">
        <v>4560</v>
      </c>
    </row>
    <row r="1289" spans="1:34" x14ac:dyDescent="0.25">
      <c r="A1289">
        <v>1479</v>
      </c>
      <c r="C1289" s="185"/>
      <c r="E1289" t="s">
        <v>386</v>
      </c>
      <c r="F1289" t="s">
        <v>15482</v>
      </c>
      <c r="G1289" t="s">
        <v>1192</v>
      </c>
      <c r="H1289" t="s">
        <v>15483</v>
      </c>
      <c r="I1289">
        <v>17726</v>
      </c>
      <c r="J1289" t="s">
        <v>15482</v>
      </c>
      <c r="K1289" t="s">
        <v>15482</v>
      </c>
      <c r="L1289" t="s">
        <v>386</v>
      </c>
      <c r="M1289" t="s">
        <v>1193</v>
      </c>
      <c r="N1289">
        <v>17726</v>
      </c>
      <c r="O1289">
        <v>0</v>
      </c>
      <c r="R1289" t="s">
        <v>1208</v>
      </c>
      <c r="T1289">
        <v>260</v>
      </c>
      <c r="V1289" t="s">
        <v>1216</v>
      </c>
      <c r="W1289" t="s">
        <v>1216</v>
      </c>
      <c r="X1289">
        <v>260</v>
      </c>
      <c r="Z1289" t="s">
        <v>2665</v>
      </c>
      <c r="AA1289" t="s">
        <v>387</v>
      </c>
      <c r="AB1289">
        <v>0</v>
      </c>
      <c r="AC1289">
        <v>5091</v>
      </c>
      <c r="AD1289" t="s">
        <v>15484</v>
      </c>
      <c r="AE1289">
        <v>617</v>
      </c>
      <c r="AF1289" t="s">
        <v>8510</v>
      </c>
      <c r="AG1289" t="s">
        <v>15485</v>
      </c>
      <c r="AH1289" t="s">
        <v>15486</v>
      </c>
    </row>
    <row r="1290" spans="1:34" x14ac:dyDescent="0.25">
      <c r="A1290">
        <v>133</v>
      </c>
      <c r="C1290" s="185"/>
      <c r="E1290" t="s">
        <v>386</v>
      </c>
      <c r="F1290" t="s">
        <v>7440</v>
      </c>
      <c r="G1290" t="s">
        <v>1192</v>
      </c>
      <c r="H1290" t="s">
        <v>15487</v>
      </c>
      <c r="I1290">
        <v>17733</v>
      </c>
      <c r="J1290" t="s">
        <v>7440</v>
      </c>
      <c r="K1290" t="s">
        <v>7440</v>
      </c>
      <c r="L1290" t="s">
        <v>386</v>
      </c>
      <c r="M1290" t="s">
        <v>1193</v>
      </c>
      <c r="N1290">
        <v>17733</v>
      </c>
      <c r="O1290">
        <v>0</v>
      </c>
      <c r="R1290" t="s">
        <v>398</v>
      </c>
      <c r="T1290">
        <v>52</v>
      </c>
      <c r="V1290" t="s">
        <v>2024</v>
      </c>
      <c r="W1290" t="s">
        <v>4468</v>
      </c>
      <c r="X1290">
        <v>470</v>
      </c>
      <c r="Z1290" t="s">
        <v>3195</v>
      </c>
      <c r="AA1290" t="s">
        <v>387</v>
      </c>
      <c r="AB1290">
        <v>0</v>
      </c>
      <c r="AC1290">
        <v>6626</v>
      </c>
      <c r="AD1290" t="s">
        <v>15488</v>
      </c>
      <c r="AE1290">
        <v>2222</v>
      </c>
      <c r="AF1290" t="s">
        <v>10608</v>
      </c>
      <c r="AG1290" t="s">
        <v>2852</v>
      </c>
      <c r="AH1290" t="s">
        <v>15489</v>
      </c>
    </row>
    <row r="1291" spans="1:34" x14ac:dyDescent="0.25">
      <c r="A1291">
        <v>157</v>
      </c>
      <c r="C1291" s="185"/>
      <c r="E1291" t="s">
        <v>386</v>
      </c>
      <c r="F1291" t="s">
        <v>15490</v>
      </c>
      <c r="G1291" t="s">
        <v>1192</v>
      </c>
      <c r="H1291" t="s">
        <v>15491</v>
      </c>
      <c r="I1291">
        <v>17793</v>
      </c>
      <c r="J1291" t="s">
        <v>15490</v>
      </c>
      <c r="K1291" t="s">
        <v>15490</v>
      </c>
      <c r="L1291" t="s">
        <v>386</v>
      </c>
      <c r="M1291" t="s">
        <v>1193</v>
      </c>
      <c r="N1291">
        <v>17793</v>
      </c>
      <c r="O1291">
        <v>0</v>
      </c>
      <c r="T1291">
        <v>556</v>
      </c>
      <c r="V1291" t="s">
        <v>4502</v>
      </c>
      <c r="W1291" t="s">
        <v>5803</v>
      </c>
      <c r="X1291">
        <v>509</v>
      </c>
      <c r="Z1291" t="s">
        <v>11988</v>
      </c>
      <c r="AA1291" t="s">
        <v>387</v>
      </c>
      <c r="AB1291">
        <v>0</v>
      </c>
      <c r="AC1291">
        <v>6642</v>
      </c>
      <c r="AD1291" t="s">
        <v>15492</v>
      </c>
      <c r="AE1291">
        <v>3063</v>
      </c>
      <c r="AF1291" t="s">
        <v>15493</v>
      </c>
      <c r="AG1291" t="s">
        <v>15494</v>
      </c>
      <c r="AH1291" t="s">
        <v>15495</v>
      </c>
    </row>
    <row r="1292" spans="1:34" x14ac:dyDescent="0.25">
      <c r="A1292">
        <v>108</v>
      </c>
      <c r="B1292" t="s">
        <v>1313</v>
      </c>
      <c r="C1292" s="185"/>
      <c r="D1292" t="s">
        <v>24</v>
      </c>
      <c r="E1292" t="s">
        <v>386</v>
      </c>
      <c r="F1292" t="s">
        <v>15465</v>
      </c>
      <c r="G1292" t="s">
        <v>1192</v>
      </c>
      <c r="H1292" t="s">
        <v>8827</v>
      </c>
      <c r="I1292">
        <v>17798</v>
      </c>
      <c r="J1292" t="s">
        <v>15465</v>
      </c>
      <c r="K1292" t="s">
        <v>6577</v>
      </c>
      <c r="L1292" t="s">
        <v>386</v>
      </c>
      <c r="M1292" t="s">
        <v>1193</v>
      </c>
      <c r="N1292">
        <v>17798</v>
      </c>
      <c r="O1292">
        <v>64</v>
      </c>
      <c r="R1292" t="s">
        <v>398</v>
      </c>
      <c r="S1292" t="s">
        <v>1909</v>
      </c>
      <c r="T1292">
        <v>200</v>
      </c>
      <c r="U1292">
        <v>0</v>
      </c>
      <c r="V1292" t="s">
        <v>1199</v>
      </c>
      <c r="W1292" t="s">
        <v>1199</v>
      </c>
      <c r="X1292">
        <v>200</v>
      </c>
      <c r="Y1292" t="s">
        <v>1317</v>
      </c>
      <c r="Z1292" t="s">
        <v>899</v>
      </c>
      <c r="AA1292" t="s">
        <v>387</v>
      </c>
      <c r="AB1292">
        <v>56000</v>
      </c>
      <c r="AC1292">
        <v>3699</v>
      </c>
      <c r="AD1292" t="s">
        <v>8829</v>
      </c>
      <c r="AE1292">
        <v>2176</v>
      </c>
      <c r="AF1292" t="s">
        <v>8830</v>
      </c>
      <c r="AG1292" t="s">
        <v>7702</v>
      </c>
    </row>
    <row r="1293" spans="1:34" x14ac:dyDescent="0.25">
      <c r="A1293">
        <v>1</v>
      </c>
      <c r="C1293" s="185"/>
      <c r="E1293" t="s">
        <v>386</v>
      </c>
      <c r="F1293" t="s">
        <v>15496</v>
      </c>
      <c r="G1293" t="s">
        <v>1192</v>
      </c>
      <c r="H1293" t="s">
        <v>9687</v>
      </c>
      <c r="I1293">
        <v>17803</v>
      </c>
      <c r="J1293" t="s">
        <v>15496</v>
      </c>
      <c r="K1293" t="s">
        <v>15496</v>
      </c>
      <c r="L1293" t="s">
        <v>386</v>
      </c>
      <c r="M1293" t="s">
        <v>1193</v>
      </c>
      <c r="N1293">
        <v>17803</v>
      </c>
      <c r="O1293">
        <v>0</v>
      </c>
      <c r="R1293" t="s">
        <v>398</v>
      </c>
      <c r="T1293">
        <v>52</v>
      </c>
      <c r="V1293" t="s">
        <v>2024</v>
      </c>
      <c r="W1293" t="s">
        <v>4468</v>
      </c>
      <c r="X1293">
        <v>470</v>
      </c>
      <c r="Z1293" t="s">
        <v>865</v>
      </c>
      <c r="AA1293" t="s">
        <v>387</v>
      </c>
      <c r="AB1293">
        <v>0</v>
      </c>
      <c r="AC1293">
        <v>3762</v>
      </c>
      <c r="AD1293" t="s">
        <v>15497</v>
      </c>
      <c r="AE1293">
        <v>453</v>
      </c>
      <c r="AF1293" t="s">
        <v>6286</v>
      </c>
      <c r="AG1293" t="s">
        <v>9664</v>
      </c>
      <c r="AH1293" t="s">
        <v>15498</v>
      </c>
    </row>
    <row r="1294" spans="1:34" x14ac:dyDescent="0.25">
      <c r="A1294">
        <v>44</v>
      </c>
      <c r="C1294" s="185"/>
      <c r="D1294" t="s">
        <v>157</v>
      </c>
      <c r="E1294" t="s">
        <v>386</v>
      </c>
      <c r="F1294" t="s">
        <v>371</v>
      </c>
      <c r="G1294" t="s">
        <v>1197</v>
      </c>
      <c r="H1294" t="s">
        <v>4561</v>
      </c>
      <c r="I1294">
        <v>14166</v>
      </c>
      <c r="J1294" t="s">
        <v>112</v>
      </c>
      <c r="K1294" t="s">
        <v>4562</v>
      </c>
      <c r="L1294" t="s">
        <v>386</v>
      </c>
      <c r="M1294" t="s">
        <v>1193</v>
      </c>
      <c r="N1294">
        <v>15354</v>
      </c>
      <c r="O1294">
        <v>25</v>
      </c>
      <c r="Q1294" t="s">
        <v>4563</v>
      </c>
      <c r="R1294" t="s">
        <v>398</v>
      </c>
      <c r="T1294">
        <v>560</v>
      </c>
      <c r="V1294" t="s">
        <v>2602</v>
      </c>
      <c r="W1294" t="s">
        <v>2602</v>
      </c>
      <c r="X1294">
        <v>560</v>
      </c>
      <c r="Z1294" t="s">
        <v>1052</v>
      </c>
      <c r="AA1294" t="s">
        <v>387</v>
      </c>
      <c r="AB1294">
        <v>19000</v>
      </c>
      <c r="AC1294">
        <v>5358</v>
      </c>
      <c r="AD1294" t="s">
        <v>4564</v>
      </c>
      <c r="AE1294">
        <v>480</v>
      </c>
      <c r="AF1294" t="s">
        <v>2942</v>
      </c>
      <c r="AG1294" t="s">
        <v>4565</v>
      </c>
      <c r="AH1294" t="s">
        <v>4566</v>
      </c>
    </row>
    <row r="1295" spans="1:34" x14ac:dyDescent="0.25">
      <c r="A1295">
        <v>1</v>
      </c>
      <c r="C1295" s="185"/>
      <c r="E1295" t="s">
        <v>386</v>
      </c>
      <c r="F1295" t="s">
        <v>4567</v>
      </c>
      <c r="G1295" t="s">
        <v>1192</v>
      </c>
      <c r="I1295">
        <v>1464</v>
      </c>
      <c r="J1295" t="s">
        <v>4567</v>
      </c>
      <c r="K1295" t="s">
        <v>4567</v>
      </c>
      <c r="L1295" t="s">
        <v>386</v>
      </c>
      <c r="M1295" t="s">
        <v>1184</v>
      </c>
      <c r="N1295">
        <v>1464</v>
      </c>
      <c r="O1295">
        <v>0</v>
      </c>
      <c r="Q1295" t="s">
        <v>4568</v>
      </c>
      <c r="T1295">
        <v>0</v>
      </c>
      <c r="V1295" t="s">
        <v>1186</v>
      </c>
      <c r="Z1295" t="s">
        <v>865</v>
      </c>
      <c r="AA1295" t="s">
        <v>387</v>
      </c>
      <c r="AB1295">
        <v>0</v>
      </c>
      <c r="AC1295">
        <v>0</v>
      </c>
      <c r="AD1295" t="s">
        <v>1187</v>
      </c>
      <c r="AE1295">
        <v>0</v>
      </c>
      <c r="AF1295" t="s">
        <v>1188</v>
      </c>
      <c r="AH1295" t="s">
        <v>4569</v>
      </c>
    </row>
    <row r="1296" spans="1:34" x14ac:dyDescent="0.25">
      <c r="A1296">
        <v>1646</v>
      </c>
      <c r="C1296" s="185"/>
      <c r="E1296" t="s">
        <v>386</v>
      </c>
      <c r="F1296" t="s">
        <v>4570</v>
      </c>
      <c r="G1296" t="s">
        <v>1197</v>
      </c>
      <c r="H1296" t="s">
        <v>4571</v>
      </c>
      <c r="I1296">
        <v>5127</v>
      </c>
      <c r="J1296" t="s">
        <v>4570</v>
      </c>
      <c r="K1296" t="s">
        <v>4570</v>
      </c>
      <c r="L1296" t="s">
        <v>386</v>
      </c>
      <c r="M1296" t="s">
        <v>1193</v>
      </c>
      <c r="N1296">
        <v>5127</v>
      </c>
      <c r="O1296">
        <v>0</v>
      </c>
      <c r="Q1296" t="s">
        <v>2830</v>
      </c>
      <c r="T1296">
        <v>103</v>
      </c>
      <c r="V1296" t="s">
        <v>1530</v>
      </c>
      <c r="Z1296" t="s">
        <v>4572</v>
      </c>
      <c r="AA1296" t="s">
        <v>387</v>
      </c>
      <c r="AB1296">
        <v>0</v>
      </c>
      <c r="AC1296">
        <v>2484</v>
      </c>
      <c r="AD1296" t="s">
        <v>4573</v>
      </c>
      <c r="AE1296">
        <v>1</v>
      </c>
      <c r="AF1296" t="s">
        <v>1922</v>
      </c>
      <c r="AG1296" t="s">
        <v>4574</v>
      </c>
    </row>
    <row r="1297" spans="1:34" x14ac:dyDescent="0.25">
      <c r="A1297">
        <v>1263</v>
      </c>
      <c r="C1297" s="185"/>
      <c r="E1297" t="s">
        <v>386</v>
      </c>
      <c r="F1297" t="s">
        <v>4575</v>
      </c>
      <c r="G1297" t="s">
        <v>1197</v>
      </c>
      <c r="H1297" t="s">
        <v>4576</v>
      </c>
      <c r="I1297">
        <v>5148</v>
      </c>
      <c r="J1297" t="s">
        <v>4575</v>
      </c>
      <c r="K1297" t="s">
        <v>4577</v>
      </c>
      <c r="L1297" t="s">
        <v>386</v>
      </c>
      <c r="M1297" t="s">
        <v>1193</v>
      </c>
      <c r="N1297">
        <v>5148</v>
      </c>
      <c r="O1297">
        <v>0</v>
      </c>
      <c r="Q1297" t="s">
        <v>4578</v>
      </c>
      <c r="T1297">
        <v>103</v>
      </c>
      <c r="V1297" t="s">
        <v>1530</v>
      </c>
      <c r="Z1297" t="s">
        <v>4579</v>
      </c>
      <c r="AA1297" t="s">
        <v>387</v>
      </c>
      <c r="AB1297">
        <v>0</v>
      </c>
      <c r="AC1297">
        <v>2491</v>
      </c>
      <c r="AD1297" t="s">
        <v>4580</v>
      </c>
      <c r="AE1297">
        <v>1</v>
      </c>
      <c r="AF1297" t="s">
        <v>1922</v>
      </c>
      <c r="AG1297" t="s">
        <v>4581</v>
      </c>
    </row>
    <row r="1298" spans="1:34" x14ac:dyDescent="0.25">
      <c r="A1298">
        <v>1</v>
      </c>
      <c r="C1298" s="185"/>
      <c r="E1298" t="s">
        <v>386</v>
      </c>
      <c r="F1298" t="s">
        <v>4582</v>
      </c>
      <c r="G1298" t="s">
        <v>1197</v>
      </c>
      <c r="I1298">
        <v>17501</v>
      </c>
      <c r="J1298" t="s">
        <v>4582</v>
      </c>
      <c r="K1298" t="s">
        <v>4582</v>
      </c>
      <c r="L1298" t="s">
        <v>386</v>
      </c>
      <c r="M1298" t="s">
        <v>1193</v>
      </c>
      <c r="N1298">
        <v>17501</v>
      </c>
      <c r="O1298">
        <v>0</v>
      </c>
      <c r="Q1298" t="s">
        <v>4583</v>
      </c>
      <c r="R1298" t="s">
        <v>1185</v>
      </c>
      <c r="T1298">
        <v>260</v>
      </c>
      <c r="V1298" t="s">
        <v>1216</v>
      </c>
      <c r="W1298" t="s">
        <v>2602</v>
      </c>
      <c r="X1298">
        <v>560</v>
      </c>
      <c r="Z1298" t="s">
        <v>865</v>
      </c>
      <c r="AA1298" t="s">
        <v>387</v>
      </c>
      <c r="AB1298">
        <v>0</v>
      </c>
      <c r="AC1298">
        <v>0</v>
      </c>
      <c r="AD1298" t="s">
        <v>1187</v>
      </c>
      <c r="AE1298">
        <v>0</v>
      </c>
      <c r="AF1298" t="s">
        <v>1188</v>
      </c>
    </row>
    <row r="1299" spans="1:34" x14ac:dyDescent="0.25">
      <c r="A1299">
        <v>3</v>
      </c>
      <c r="C1299" s="185"/>
      <c r="E1299" t="s">
        <v>386</v>
      </c>
      <c r="F1299" t="s">
        <v>4584</v>
      </c>
      <c r="H1299" t="s">
        <v>4585</v>
      </c>
      <c r="I1299">
        <v>17591</v>
      </c>
      <c r="J1299" t="s">
        <v>4584</v>
      </c>
      <c r="K1299" t="s">
        <v>4584</v>
      </c>
      <c r="L1299" t="s">
        <v>386</v>
      </c>
      <c r="M1299" t="s">
        <v>1193</v>
      </c>
      <c r="N1299">
        <v>17591</v>
      </c>
      <c r="O1299">
        <v>0</v>
      </c>
      <c r="Q1299" t="s">
        <v>4583</v>
      </c>
      <c r="R1299" t="s">
        <v>1208</v>
      </c>
      <c r="T1299">
        <v>152</v>
      </c>
      <c r="V1299" t="s">
        <v>1265</v>
      </c>
      <c r="W1299" t="s">
        <v>1265</v>
      </c>
      <c r="X1299">
        <v>152</v>
      </c>
      <c r="Z1299" t="s">
        <v>1935</v>
      </c>
      <c r="AA1299" t="s">
        <v>386</v>
      </c>
      <c r="AB1299">
        <v>0</v>
      </c>
      <c r="AC1299">
        <v>0</v>
      </c>
      <c r="AD1299" t="s">
        <v>1187</v>
      </c>
      <c r="AE1299">
        <v>0</v>
      </c>
      <c r="AF1299" t="s">
        <v>1188</v>
      </c>
    </row>
    <row r="1300" spans="1:34" x14ac:dyDescent="0.25">
      <c r="A1300">
        <v>30</v>
      </c>
      <c r="C1300" s="185"/>
      <c r="E1300" t="s">
        <v>386</v>
      </c>
      <c r="F1300" t="s">
        <v>4586</v>
      </c>
      <c r="H1300" t="s">
        <v>4587</v>
      </c>
      <c r="I1300">
        <v>17592</v>
      </c>
      <c r="J1300" t="s">
        <v>4586</v>
      </c>
      <c r="K1300" t="s">
        <v>4588</v>
      </c>
      <c r="L1300" t="s">
        <v>386</v>
      </c>
      <c r="M1300" t="s">
        <v>1193</v>
      </c>
      <c r="N1300">
        <v>17592</v>
      </c>
      <c r="O1300">
        <v>0</v>
      </c>
      <c r="Q1300" t="s">
        <v>4583</v>
      </c>
      <c r="R1300" t="s">
        <v>1208</v>
      </c>
      <c r="T1300">
        <v>152</v>
      </c>
      <c r="V1300" t="s">
        <v>1265</v>
      </c>
      <c r="W1300" t="s">
        <v>1265</v>
      </c>
      <c r="X1300">
        <v>152</v>
      </c>
      <c r="Z1300" t="s">
        <v>4589</v>
      </c>
      <c r="AA1300" t="s">
        <v>386</v>
      </c>
      <c r="AB1300">
        <v>0</v>
      </c>
      <c r="AC1300">
        <v>2199</v>
      </c>
      <c r="AD1300" t="s">
        <v>4590</v>
      </c>
      <c r="AE1300">
        <v>0</v>
      </c>
      <c r="AF1300" t="s">
        <v>1188</v>
      </c>
      <c r="AG1300" t="s">
        <v>3736</v>
      </c>
    </row>
    <row r="1301" spans="1:34" x14ac:dyDescent="0.25">
      <c r="A1301">
        <v>1823</v>
      </c>
      <c r="B1301" t="s">
        <v>1313</v>
      </c>
      <c r="C1301" s="185"/>
      <c r="D1301" t="s">
        <v>24</v>
      </c>
      <c r="E1301" t="s">
        <v>386</v>
      </c>
      <c r="F1301" t="s">
        <v>353</v>
      </c>
      <c r="G1301" t="s">
        <v>1197</v>
      </c>
      <c r="H1301" t="s">
        <v>4591</v>
      </c>
      <c r="I1301">
        <v>8414</v>
      </c>
      <c r="J1301" t="s">
        <v>98</v>
      </c>
      <c r="K1301" t="s">
        <v>4592</v>
      </c>
      <c r="L1301" t="s">
        <v>386</v>
      </c>
      <c r="M1301" t="s">
        <v>1193</v>
      </c>
      <c r="N1301">
        <v>15320</v>
      </c>
      <c r="O1301">
        <v>39</v>
      </c>
      <c r="Q1301" t="s">
        <v>4593</v>
      </c>
      <c r="R1301" t="s">
        <v>398</v>
      </c>
      <c r="S1301" t="s">
        <v>4594</v>
      </c>
      <c r="T1301">
        <v>372</v>
      </c>
      <c r="U1301">
        <v>0</v>
      </c>
      <c r="V1301" t="s">
        <v>2073</v>
      </c>
      <c r="W1301" t="s">
        <v>1194</v>
      </c>
      <c r="X1301">
        <v>220</v>
      </c>
      <c r="Y1301" t="s">
        <v>1317</v>
      </c>
      <c r="Z1301" t="s">
        <v>1062</v>
      </c>
      <c r="AA1301" t="s">
        <v>387</v>
      </c>
      <c r="AB1301">
        <v>31000</v>
      </c>
      <c r="AC1301">
        <v>3366</v>
      </c>
      <c r="AD1301" t="s">
        <v>4595</v>
      </c>
      <c r="AE1301">
        <v>1572</v>
      </c>
      <c r="AF1301" t="s">
        <v>4596</v>
      </c>
      <c r="AG1301" t="s">
        <v>1244</v>
      </c>
      <c r="AH1301" t="s">
        <v>4597</v>
      </c>
    </row>
    <row r="1302" spans="1:34" x14ac:dyDescent="0.25">
      <c r="A1302">
        <v>475</v>
      </c>
      <c r="C1302" s="185"/>
      <c r="E1302" t="s">
        <v>386</v>
      </c>
      <c r="F1302" t="s">
        <v>4598</v>
      </c>
      <c r="G1302" t="s">
        <v>1197</v>
      </c>
      <c r="H1302" t="s">
        <v>4599</v>
      </c>
      <c r="I1302">
        <v>14477</v>
      </c>
      <c r="J1302" t="s">
        <v>4598</v>
      </c>
      <c r="K1302" t="s">
        <v>4600</v>
      </c>
      <c r="L1302" t="s">
        <v>386</v>
      </c>
      <c r="M1302" t="s">
        <v>1193</v>
      </c>
      <c r="N1302">
        <v>14477</v>
      </c>
      <c r="O1302">
        <v>0</v>
      </c>
      <c r="Q1302" t="s">
        <v>4601</v>
      </c>
      <c r="R1302" t="s">
        <v>1208</v>
      </c>
      <c r="T1302">
        <v>571</v>
      </c>
      <c r="V1302" t="s">
        <v>2003</v>
      </c>
      <c r="W1302" t="s">
        <v>1530</v>
      </c>
      <c r="X1302">
        <v>103</v>
      </c>
      <c r="Z1302" t="s">
        <v>4602</v>
      </c>
      <c r="AA1302" t="s">
        <v>387</v>
      </c>
      <c r="AB1302">
        <v>0</v>
      </c>
      <c r="AC1302">
        <v>5501</v>
      </c>
      <c r="AD1302" t="s">
        <v>4603</v>
      </c>
      <c r="AE1302">
        <v>1</v>
      </c>
      <c r="AF1302" t="s">
        <v>1922</v>
      </c>
      <c r="AG1302" t="s">
        <v>4604</v>
      </c>
      <c r="AH1302" t="s">
        <v>4605</v>
      </c>
    </row>
    <row r="1303" spans="1:34" x14ac:dyDescent="0.25">
      <c r="A1303">
        <v>1</v>
      </c>
      <c r="C1303" s="185"/>
      <c r="E1303" t="s">
        <v>386</v>
      </c>
      <c r="F1303" t="s">
        <v>4606</v>
      </c>
      <c r="G1303" t="s">
        <v>1197</v>
      </c>
      <c r="H1303" t="s">
        <v>4607</v>
      </c>
      <c r="I1303">
        <v>17589</v>
      </c>
      <c r="J1303" t="s">
        <v>4608</v>
      </c>
      <c r="K1303" t="s">
        <v>4609</v>
      </c>
      <c r="L1303" t="s">
        <v>386</v>
      </c>
      <c r="M1303" t="s">
        <v>1193</v>
      </c>
      <c r="N1303">
        <v>17588</v>
      </c>
      <c r="O1303">
        <v>0</v>
      </c>
      <c r="Q1303" t="s">
        <v>4610</v>
      </c>
      <c r="R1303" t="s">
        <v>1208</v>
      </c>
      <c r="T1303">
        <v>259</v>
      </c>
      <c r="V1303" t="s">
        <v>1215</v>
      </c>
      <c r="W1303" t="s">
        <v>2024</v>
      </c>
      <c r="X1303">
        <v>52</v>
      </c>
      <c r="Z1303" t="s">
        <v>865</v>
      </c>
      <c r="AA1303" t="s">
        <v>386</v>
      </c>
      <c r="AB1303">
        <v>0</v>
      </c>
      <c r="AC1303">
        <v>1204</v>
      </c>
      <c r="AD1303" t="s">
        <v>4611</v>
      </c>
      <c r="AE1303">
        <v>0</v>
      </c>
      <c r="AF1303" t="s">
        <v>1188</v>
      </c>
      <c r="AG1303" t="s">
        <v>4612</v>
      </c>
    </row>
    <row r="1304" spans="1:34" x14ac:dyDescent="0.25">
      <c r="A1304">
        <v>1</v>
      </c>
      <c r="C1304" s="185"/>
      <c r="E1304" t="s">
        <v>386</v>
      </c>
      <c r="F1304" t="s">
        <v>4613</v>
      </c>
      <c r="G1304" t="s">
        <v>1197</v>
      </c>
      <c r="H1304" t="s">
        <v>4614</v>
      </c>
      <c r="I1304">
        <v>2213</v>
      </c>
      <c r="J1304" t="s">
        <v>4613</v>
      </c>
      <c r="K1304" t="s">
        <v>4613</v>
      </c>
      <c r="L1304" t="s">
        <v>386</v>
      </c>
      <c r="M1304" t="s">
        <v>1193</v>
      </c>
      <c r="N1304">
        <v>2213</v>
      </c>
      <c r="O1304">
        <v>0</v>
      </c>
      <c r="Q1304" t="s">
        <v>4615</v>
      </c>
      <c r="T1304">
        <v>52</v>
      </c>
      <c r="V1304" t="s">
        <v>2024</v>
      </c>
      <c r="Z1304" t="s">
        <v>865</v>
      </c>
      <c r="AA1304" t="s">
        <v>387</v>
      </c>
      <c r="AB1304">
        <v>0</v>
      </c>
      <c r="AC1304">
        <v>1630</v>
      </c>
      <c r="AD1304" t="s">
        <v>2679</v>
      </c>
      <c r="AE1304">
        <v>114</v>
      </c>
      <c r="AF1304" t="s">
        <v>1218</v>
      </c>
      <c r="AG1304" t="s">
        <v>4101</v>
      </c>
    </row>
    <row r="1305" spans="1:34" x14ac:dyDescent="0.25">
      <c r="A1305">
        <v>133</v>
      </c>
      <c r="C1305" s="185"/>
      <c r="E1305" t="s">
        <v>386</v>
      </c>
      <c r="F1305" t="s">
        <v>15499</v>
      </c>
      <c r="G1305" t="s">
        <v>1197</v>
      </c>
      <c r="H1305" t="s">
        <v>15500</v>
      </c>
      <c r="I1305">
        <v>1193</v>
      </c>
      <c r="J1305" t="s">
        <v>15499</v>
      </c>
      <c r="K1305" t="s">
        <v>15499</v>
      </c>
      <c r="L1305" t="s">
        <v>386</v>
      </c>
      <c r="M1305" t="s">
        <v>1193</v>
      </c>
      <c r="N1305">
        <v>1193</v>
      </c>
      <c r="O1305">
        <v>0</v>
      </c>
      <c r="Q1305" t="s">
        <v>15501</v>
      </c>
      <c r="T1305">
        <v>103</v>
      </c>
      <c r="V1305" t="s">
        <v>1530</v>
      </c>
      <c r="W1305" t="s">
        <v>12668</v>
      </c>
      <c r="X1305">
        <v>21</v>
      </c>
      <c r="Z1305" t="s">
        <v>3195</v>
      </c>
      <c r="AA1305" t="s">
        <v>387</v>
      </c>
      <c r="AB1305">
        <v>0</v>
      </c>
      <c r="AC1305">
        <v>951</v>
      </c>
      <c r="AD1305" t="s">
        <v>15502</v>
      </c>
      <c r="AE1305">
        <v>449</v>
      </c>
      <c r="AF1305" t="s">
        <v>15503</v>
      </c>
      <c r="AG1305" t="s">
        <v>6038</v>
      </c>
      <c r="AH1305" t="s">
        <v>15504</v>
      </c>
    </row>
    <row r="1306" spans="1:34" x14ac:dyDescent="0.25">
      <c r="A1306">
        <v>18</v>
      </c>
      <c r="B1306" t="s">
        <v>1313</v>
      </c>
      <c r="C1306" s="185"/>
      <c r="D1306" t="s">
        <v>24</v>
      </c>
      <c r="E1306" t="s">
        <v>386</v>
      </c>
      <c r="F1306" t="s">
        <v>4616</v>
      </c>
      <c r="G1306" t="s">
        <v>1197</v>
      </c>
      <c r="H1306" t="s">
        <v>4617</v>
      </c>
      <c r="I1306">
        <v>1301</v>
      </c>
      <c r="J1306" t="s">
        <v>4616</v>
      </c>
      <c r="K1306" t="s">
        <v>4618</v>
      </c>
      <c r="L1306" t="s">
        <v>386</v>
      </c>
      <c r="M1306" t="s">
        <v>1193</v>
      </c>
      <c r="N1306">
        <v>1301</v>
      </c>
      <c r="O1306">
        <v>65</v>
      </c>
      <c r="Q1306" t="s">
        <v>4619</v>
      </c>
      <c r="R1306" t="s">
        <v>398</v>
      </c>
      <c r="S1306" t="s">
        <v>1315</v>
      </c>
      <c r="T1306">
        <v>220</v>
      </c>
      <c r="U1306">
        <v>0</v>
      </c>
      <c r="V1306" t="s">
        <v>1194</v>
      </c>
      <c r="W1306" t="s">
        <v>1186</v>
      </c>
      <c r="X1306">
        <v>0</v>
      </c>
      <c r="Y1306" t="s">
        <v>1317</v>
      </c>
      <c r="Z1306" t="s">
        <v>905</v>
      </c>
      <c r="AA1306" t="s">
        <v>387</v>
      </c>
      <c r="AB1306">
        <v>57000</v>
      </c>
      <c r="AC1306">
        <v>1020</v>
      </c>
      <c r="AD1306" t="s">
        <v>4620</v>
      </c>
      <c r="AE1306">
        <v>23</v>
      </c>
      <c r="AF1306" t="s">
        <v>4621</v>
      </c>
      <c r="AG1306" t="s">
        <v>4622</v>
      </c>
      <c r="AH1306" t="s">
        <v>4623</v>
      </c>
    </row>
    <row r="1307" spans="1:34" x14ac:dyDescent="0.25">
      <c r="A1307">
        <v>1</v>
      </c>
      <c r="C1307" s="185"/>
      <c r="E1307" t="s">
        <v>386</v>
      </c>
      <c r="F1307" t="s">
        <v>4624</v>
      </c>
      <c r="G1307" t="s">
        <v>1197</v>
      </c>
      <c r="H1307" t="s">
        <v>4625</v>
      </c>
      <c r="I1307">
        <v>8585</v>
      </c>
      <c r="J1307" t="s">
        <v>4624</v>
      </c>
      <c r="K1307" t="s">
        <v>4624</v>
      </c>
      <c r="L1307" t="s">
        <v>386</v>
      </c>
      <c r="M1307" t="s">
        <v>1193</v>
      </c>
      <c r="N1307">
        <v>8585</v>
      </c>
      <c r="O1307">
        <v>0</v>
      </c>
      <c r="Q1307" t="s">
        <v>4626</v>
      </c>
      <c r="R1307" t="s">
        <v>1208</v>
      </c>
      <c r="T1307">
        <v>560</v>
      </c>
      <c r="V1307" t="s">
        <v>2602</v>
      </c>
      <c r="W1307" t="s">
        <v>2246</v>
      </c>
      <c r="X1307">
        <v>496</v>
      </c>
      <c r="Z1307" t="s">
        <v>865</v>
      </c>
      <c r="AA1307" t="s">
        <v>387</v>
      </c>
      <c r="AB1307">
        <v>0</v>
      </c>
      <c r="AC1307">
        <v>3437</v>
      </c>
      <c r="AD1307" t="s">
        <v>4627</v>
      </c>
      <c r="AE1307">
        <v>122</v>
      </c>
      <c r="AF1307" t="s">
        <v>4628</v>
      </c>
      <c r="AG1307" t="s">
        <v>4629</v>
      </c>
      <c r="AH1307" t="s">
        <v>4630</v>
      </c>
    </row>
    <row r="1308" spans="1:34" x14ac:dyDescent="0.25">
      <c r="A1308">
        <v>1</v>
      </c>
      <c r="C1308" s="185"/>
      <c r="E1308" t="s">
        <v>386</v>
      </c>
      <c r="F1308" t="s">
        <v>4631</v>
      </c>
      <c r="G1308" t="s">
        <v>1197</v>
      </c>
      <c r="H1308" t="s">
        <v>4632</v>
      </c>
      <c r="I1308">
        <v>17669</v>
      </c>
      <c r="J1308" t="s">
        <v>4631</v>
      </c>
      <c r="K1308" t="s">
        <v>4633</v>
      </c>
      <c r="L1308" t="s">
        <v>386</v>
      </c>
      <c r="M1308" t="s">
        <v>1193</v>
      </c>
      <c r="N1308">
        <v>17669</v>
      </c>
      <c r="O1308">
        <v>0</v>
      </c>
      <c r="Q1308" t="s">
        <v>4634</v>
      </c>
      <c r="R1308" t="s">
        <v>1208</v>
      </c>
      <c r="T1308">
        <v>103</v>
      </c>
      <c r="V1308" t="s">
        <v>1530</v>
      </c>
      <c r="W1308" t="s">
        <v>1530</v>
      </c>
      <c r="X1308">
        <v>103</v>
      </c>
      <c r="Z1308" t="s">
        <v>865</v>
      </c>
      <c r="AA1308" t="s">
        <v>387</v>
      </c>
      <c r="AB1308">
        <v>0</v>
      </c>
      <c r="AC1308">
        <v>114</v>
      </c>
      <c r="AD1308" t="s">
        <v>3408</v>
      </c>
      <c r="AE1308">
        <v>270</v>
      </c>
      <c r="AF1308" t="s">
        <v>1030</v>
      </c>
      <c r="AG1308" t="s">
        <v>2191</v>
      </c>
      <c r="AH1308" t="s">
        <v>4635</v>
      </c>
    </row>
    <row r="1309" spans="1:34" x14ac:dyDescent="0.25">
      <c r="A1309">
        <v>1</v>
      </c>
      <c r="C1309" s="185"/>
      <c r="E1309" t="s">
        <v>386</v>
      </c>
      <c r="F1309" t="s">
        <v>4636</v>
      </c>
      <c r="G1309" t="s">
        <v>1197</v>
      </c>
      <c r="H1309" t="s">
        <v>4637</v>
      </c>
      <c r="I1309">
        <v>14120</v>
      </c>
      <c r="J1309" t="s">
        <v>4636</v>
      </c>
      <c r="K1309" t="s">
        <v>4636</v>
      </c>
      <c r="L1309" t="s">
        <v>386</v>
      </c>
      <c r="M1309" t="s">
        <v>1193</v>
      </c>
      <c r="N1309">
        <v>14120</v>
      </c>
      <c r="O1309">
        <v>0</v>
      </c>
      <c r="Q1309" t="s">
        <v>4638</v>
      </c>
      <c r="R1309" t="s">
        <v>1223</v>
      </c>
      <c r="T1309">
        <v>304</v>
      </c>
      <c r="V1309" t="s">
        <v>2067</v>
      </c>
      <c r="W1309" t="s">
        <v>2067</v>
      </c>
      <c r="X1309">
        <v>304</v>
      </c>
      <c r="Z1309" t="s">
        <v>865</v>
      </c>
      <c r="AA1309" t="s">
        <v>387</v>
      </c>
      <c r="AB1309">
        <v>0</v>
      </c>
      <c r="AC1309">
        <v>2395</v>
      </c>
      <c r="AD1309" t="s">
        <v>1611</v>
      </c>
      <c r="AE1309">
        <v>3</v>
      </c>
      <c r="AF1309" t="s">
        <v>1235</v>
      </c>
      <c r="AG1309" t="s">
        <v>3834</v>
      </c>
      <c r="AH1309" t="s">
        <v>4639</v>
      </c>
    </row>
    <row r="1310" spans="1:34" x14ac:dyDescent="0.25">
      <c r="A1310">
        <v>95</v>
      </c>
      <c r="C1310" s="185"/>
      <c r="E1310" t="s">
        <v>386</v>
      </c>
      <c r="F1310" t="s">
        <v>4640</v>
      </c>
      <c r="G1310" t="s">
        <v>1197</v>
      </c>
      <c r="H1310" t="s">
        <v>4641</v>
      </c>
      <c r="I1310">
        <v>2811</v>
      </c>
      <c r="J1310" t="s">
        <v>4640</v>
      </c>
      <c r="K1310" t="s">
        <v>4642</v>
      </c>
      <c r="L1310" t="s">
        <v>386</v>
      </c>
      <c r="M1310" t="s">
        <v>1193</v>
      </c>
      <c r="N1310">
        <v>2811</v>
      </c>
      <c r="O1310">
        <v>10</v>
      </c>
      <c r="Q1310" t="s">
        <v>4643</v>
      </c>
      <c r="R1310" t="s">
        <v>398</v>
      </c>
      <c r="T1310">
        <v>52</v>
      </c>
      <c r="V1310" t="s">
        <v>2024</v>
      </c>
      <c r="Z1310" t="s">
        <v>952</v>
      </c>
      <c r="AA1310" t="s">
        <v>387</v>
      </c>
      <c r="AB1310">
        <v>6000</v>
      </c>
      <c r="AC1310">
        <v>1892</v>
      </c>
      <c r="AD1310" t="s">
        <v>4644</v>
      </c>
      <c r="AE1310">
        <v>18</v>
      </c>
      <c r="AF1310" t="s">
        <v>1259</v>
      </c>
      <c r="AG1310" t="s">
        <v>1244</v>
      </c>
    </row>
    <row r="1311" spans="1:34" x14ac:dyDescent="0.25">
      <c r="A1311">
        <v>1256</v>
      </c>
      <c r="B1311" t="s">
        <v>1313</v>
      </c>
      <c r="C1311" s="185"/>
      <c r="D1311" t="s">
        <v>24</v>
      </c>
      <c r="E1311" t="s">
        <v>386</v>
      </c>
      <c r="F1311" t="s">
        <v>262</v>
      </c>
      <c r="G1311" t="s">
        <v>1197</v>
      </c>
      <c r="H1311" t="s">
        <v>4645</v>
      </c>
      <c r="I1311">
        <v>2422</v>
      </c>
      <c r="J1311" t="s">
        <v>262</v>
      </c>
      <c r="K1311" t="s">
        <v>4646</v>
      </c>
      <c r="L1311" t="s">
        <v>386</v>
      </c>
      <c r="M1311" t="s">
        <v>1193</v>
      </c>
      <c r="N1311">
        <v>2422</v>
      </c>
      <c r="O1311">
        <v>76</v>
      </c>
      <c r="Q1311" t="s">
        <v>4647</v>
      </c>
      <c r="R1311" t="s">
        <v>398</v>
      </c>
      <c r="S1311" t="s">
        <v>1909</v>
      </c>
      <c r="T1311">
        <v>220</v>
      </c>
      <c r="U1311">
        <v>0</v>
      </c>
      <c r="V1311" t="s">
        <v>1194</v>
      </c>
      <c r="W1311" t="s">
        <v>1199</v>
      </c>
      <c r="X1311">
        <v>200</v>
      </c>
      <c r="Y1311" t="s">
        <v>1317</v>
      </c>
      <c r="Z1311" t="s">
        <v>4648</v>
      </c>
      <c r="AA1311" t="s">
        <v>387</v>
      </c>
      <c r="AB1311">
        <v>0</v>
      </c>
      <c r="AC1311">
        <v>1760</v>
      </c>
      <c r="AD1311" t="s">
        <v>4649</v>
      </c>
      <c r="AE1311">
        <v>18</v>
      </c>
      <c r="AF1311" t="s">
        <v>1259</v>
      </c>
      <c r="AG1311" t="s">
        <v>1931</v>
      </c>
      <c r="AH1311" t="s">
        <v>4650</v>
      </c>
    </row>
    <row r="1312" spans="1:34" x14ac:dyDescent="0.25">
      <c r="A1312">
        <v>53</v>
      </c>
      <c r="B1312" t="s">
        <v>1313</v>
      </c>
      <c r="C1312" s="185"/>
      <c r="D1312" t="s">
        <v>24</v>
      </c>
      <c r="E1312" t="s">
        <v>386</v>
      </c>
      <c r="F1312" t="s">
        <v>299</v>
      </c>
      <c r="G1312" t="s">
        <v>1197</v>
      </c>
      <c r="H1312" t="s">
        <v>4651</v>
      </c>
      <c r="I1312">
        <v>210</v>
      </c>
      <c r="J1312" t="s">
        <v>299</v>
      </c>
      <c r="K1312" t="s">
        <v>4652</v>
      </c>
      <c r="L1312" t="s">
        <v>386</v>
      </c>
      <c r="M1312" t="s">
        <v>1193</v>
      </c>
      <c r="N1312">
        <v>210</v>
      </c>
      <c r="O1312">
        <v>35</v>
      </c>
      <c r="Q1312" t="s">
        <v>4653</v>
      </c>
      <c r="R1312" t="s">
        <v>398</v>
      </c>
      <c r="S1312" t="s">
        <v>1909</v>
      </c>
      <c r="T1312">
        <v>372</v>
      </c>
      <c r="U1312">
        <v>0</v>
      </c>
      <c r="V1312" t="s">
        <v>2073</v>
      </c>
      <c r="W1312" t="s">
        <v>3202</v>
      </c>
      <c r="X1312">
        <v>280</v>
      </c>
      <c r="Y1312" t="s">
        <v>1317</v>
      </c>
      <c r="Z1312" t="s">
        <v>943</v>
      </c>
      <c r="AA1312" t="s">
        <v>387</v>
      </c>
      <c r="AB1312">
        <v>27000</v>
      </c>
      <c r="AC1312">
        <v>334</v>
      </c>
      <c r="AD1312" t="s">
        <v>4654</v>
      </c>
      <c r="AE1312">
        <v>18</v>
      </c>
      <c r="AF1312" t="s">
        <v>1259</v>
      </c>
      <c r="AG1312" t="s">
        <v>1931</v>
      </c>
      <c r="AH1312" t="s">
        <v>4655</v>
      </c>
    </row>
    <row r="1313" spans="1:34" x14ac:dyDescent="0.25">
      <c r="A1313">
        <v>153</v>
      </c>
      <c r="C1313" s="185"/>
      <c r="E1313" t="s">
        <v>386</v>
      </c>
      <c r="F1313" t="s">
        <v>4656</v>
      </c>
      <c r="G1313" t="s">
        <v>1197</v>
      </c>
      <c r="H1313" t="s">
        <v>4657</v>
      </c>
      <c r="I1313">
        <v>13125</v>
      </c>
      <c r="J1313" t="s">
        <v>4656</v>
      </c>
      <c r="K1313" t="s">
        <v>4656</v>
      </c>
      <c r="L1313" t="s">
        <v>386</v>
      </c>
      <c r="M1313" t="s">
        <v>1193</v>
      </c>
      <c r="N1313">
        <v>13125</v>
      </c>
      <c r="O1313">
        <v>0</v>
      </c>
      <c r="Q1313" t="s">
        <v>4658</v>
      </c>
      <c r="R1313" t="s">
        <v>1208</v>
      </c>
      <c r="T1313">
        <v>35</v>
      </c>
      <c r="V1313" t="s">
        <v>2015</v>
      </c>
      <c r="W1313" t="s">
        <v>1216</v>
      </c>
      <c r="X1313">
        <v>260</v>
      </c>
      <c r="Z1313" t="s">
        <v>969</v>
      </c>
      <c r="AA1313" t="s">
        <v>387</v>
      </c>
      <c r="AB1313">
        <v>0</v>
      </c>
      <c r="AC1313">
        <v>731</v>
      </c>
      <c r="AD1313" t="s">
        <v>4659</v>
      </c>
      <c r="AE1313">
        <v>2263</v>
      </c>
      <c r="AF1313" t="s">
        <v>4660</v>
      </c>
      <c r="AG1313" t="s">
        <v>4661</v>
      </c>
      <c r="AH1313" t="s">
        <v>4662</v>
      </c>
    </row>
    <row r="1314" spans="1:34" x14ac:dyDescent="0.25">
      <c r="A1314">
        <v>1442</v>
      </c>
      <c r="C1314" s="185"/>
      <c r="E1314" t="s">
        <v>386</v>
      </c>
      <c r="F1314" t="s">
        <v>4663</v>
      </c>
      <c r="G1314" t="s">
        <v>1197</v>
      </c>
      <c r="H1314" t="s">
        <v>4664</v>
      </c>
      <c r="I1314">
        <v>13134</v>
      </c>
      <c r="J1314" t="s">
        <v>4663</v>
      </c>
      <c r="K1314" t="s">
        <v>4665</v>
      </c>
      <c r="L1314" t="s">
        <v>386</v>
      </c>
      <c r="M1314" t="s">
        <v>1193</v>
      </c>
      <c r="N1314">
        <v>13134</v>
      </c>
      <c r="O1314">
        <v>0</v>
      </c>
      <c r="Q1314" t="s">
        <v>4666</v>
      </c>
      <c r="R1314" t="s">
        <v>398</v>
      </c>
      <c r="T1314">
        <v>372</v>
      </c>
      <c r="V1314" t="s">
        <v>2073</v>
      </c>
      <c r="W1314" t="s">
        <v>2073</v>
      </c>
      <c r="X1314">
        <v>372</v>
      </c>
      <c r="Z1314" t="s">
        <v>4667</v>
      </c>
      <c r="AA1314" t="s">
        <v>387</v>
      </c>
      <c r="AB1314">
        <v>0</v>
      </c>
      <c r="AC1314">
        <v>1138</v>
      </c>
      <c r="AD1314" t="s">
        <v>4668</v>
      </c>
      <c r="AE1314">
        <v>2265</v>
      </c>
      <c r="AF1314" t="s">
        <v>4669</v>
      </c>
      <c r="AG1314" t="s">
        <v>1244</v>
      </c>
      <c r="AH1314" t="s">
        <v>4670</v>
      </c>
    </row>
    <row r="1315" spans="1:34" x14ac:dyDescent="0.25">
      <c r="A1315">
        <v>1</v>
      </c>
      <c r="C1315" s="185"/>
      <c r="E1315" t="s">
        <v>386</v>
      </c>
      <c r="F1315" t="s">
        <v>4671</v>
      </c>
      <c r="G1315" t="s">
        <v>1197</v>
      </c>
      <c r="H1315" t="s">
        <v>4672</v>
      </c>
      <c r="I1315">
        <v>5295</v>
      </c>
      <c r="J1315" t="s">
        <v>4671</v>
      </c>
      <c r="K1315" t="s">
        <v>4673</v>
      </c>
      <c r="L1315" t="s">
        <v>386</v>
      </c>
      <c r="M1315" t="s">
        <v>1193</v>
      </c>
      <c r="N1315">
        <v>5295</v>
      </c>
      <c r="O1315">
        <v>0</v>
      </c>
      <c r="Q1315" t="s">
        <v>4674</v>
      </c>
      <c r="T1315">
        <v>372</v>
      </c>
      <c r="V1315" t="s">
        <v>2073</v>
      </c>
      <c r="W1315" t="s">
        <v>1216</v>
      </c>
      <c r="X1315">
        <v>260</v>
      </c>
      <c r="Z1315" t="s">
        <v>865</v>
      </c>
      <c r="AA1315" t="s">
        <v>387</v>
      </c>
      <c r="AB1315">
        <v>0</v>
      </c>
      <c r="AC1315">
        <v>2545</v>
      </c>
      <c r="AD1315" t="s">
        <v>4675</v>
      </c>
      <c r="AE1315">
        <v>1812</v>
      </c>
      <c r="AF1315" t="s">
        <v>3984</v>
      </c>
      <c r="AG1315" t="s">
        <v>4676</v>
      </c>
      <c r="AH1315" t="s">
        <v>4677</v>
      </c>
    </row>
    <row r="1316" spans="1:34" x14ac:dyDescent="0.25">
      <c r="A1316">
        <v>1411</v>
      </c>
      <c r="C1316" s="185"/>
      <c r="E1316" t="s">
        <v>386</v>
      </c>
      <c r="F1316" t="s">
        <v>4678</v>
      </c>
      <c r="G1316" t="s">
        <v>1197</v>
      </c>
      <c r="H1316" t="s">
        <v>4679</v>
      </c>
      <c r="I1316">
        <v>13766</v>
      </c>
      <c r="J1316" t="s">
        <v>4678</v>
      </c>
      <c r="K1316" t="s">
        <v>4680</v>
      </c>
      <c r="L1316" t="s">
        <v>386</v>
      </c>
      <c r="M1316" t="s">
        <v>1193</v>
      </c>
      <c r="N1316">
        <v>13766</v>
      </c>
      <c r="O1316">
        <v>0</v>
      </c>
      <c r="Q1316" t="s">
        <v>4681</v>
      </c>
      <c r="T1316">
        <v>35</v>
      </c>
      <c r="V1316" t="s">
        <v>2015</v>
      </c>
      <c r="W1316" t="s">
        <v>1216</v>
      </c>
      <c r="X1316">
        <v>260</v>
      </c>
      <c r="Z1316" t="s">
        <v>1086</v>
      </c>
      <c r="AA1316" t="s">
        <v>387</v>
      </c>
      <c r="AB1316">
        <v>0</v>
      </c>
      <c r="AC1316">
        <v>5193</v>
      </c>
      <c r="AD1316" t="s">
        <v>4682</v>
      </c>
      <c r="AE1316">
        <v>18</v>
      </c>
      <c r="AF1316" t="s">
        <v>1259</v>
      </c>
      <c r="AG1316" t="s">
        <v>2044</v>
      </c>
      <c r="AH1316" t="s">
        <v>4683</v>
      </c>
    </row>
    <row r="1317" spans="1:34" x14ac:dyDescent="0.25">
      <c r="A1317">
        <v>6</v>
      </c>
      <c r="C1317" s="185"/>
      <c r="E1317" t="s">
        <v>386</v>
      </c>
      <c r="F1317" t="s">
        <v>4684</v>
      </c>
      <c r="G1317" t="s">
        <v>1197</v>
      </c>
      <c r="H1317" t="s">
        <v>4685</v>
      </c>
      <c r="I1317">
        <v>10131</v>
      </c>
      <c r="J1317" t="s">
        <v>4684</v>
      </c>
      <c r="K1317" t="s">
        <v>4684</v>
      </c>
      <c r="L1317" t="s">
        <v>386</v>
      </c>
      <c r="M1317" t="s">
        <v>1193</v>
      </c>
      <c r="N1317">
        <v>10131</v>
      </c>
      <c r="O1317">
        <v>0</v>
      </c>
      <c r="Q1317" t="s">
        <v>4686</v>
      </c>
      <c r="R1317" t="s">
        <v>1208</v>
      </c>
      <c r="T1317">
        <v>103</v>
      </c>
      <c r="V1317" t="s">
        <v>1530</v>
      </c>
      <c r="W1317" t="s">
        <v>1530</v>
      </c>
      <c r="X1317">
        <v>103</v>
      </c>
      <c r="Z1317" t="s">
        <v>892</v>
      </c>
      <c r="AA1317" t="s">
        <v>387</v>
      </c>
      <c r="AB1317">
        <v>0</v>
      </c>
      <c r="AC1317">
        <v>3761</v>
      </c>
      <c r="AD1317" t="s">
        <v>4687</v>
      </c>
      <c r="AE1317">
        <v>1211</v>
      </c>
      <c r="AF1317" t="s">
        <v>4688</v>
      </c>
      <c r="AG1317" t="s">
        <v>1244</v>
      </c>
      <c r="AH1317" t="s">
        <v>4689</v>
      </c>
    </row>
    <row r="1318" spans="1:34" x14ac:dyDescent="0.25">
      <c r="A1318">
        <v>700</v>
      </c>
      <c r="C1318" s="185"/>
      <c r="D1318" t="s">
        <v>157</v>
      </c>
      <c r="E1318" t="s">
        <v>386</v>
      </c>
      <c r="F1318" t="s">
        <v>371</v>
      </c>
      <c r="G1318" t="s">
        <v>4184</v>
      </c>
      <c r="H1318" t="s">
        <v>4690</v>
      </c>
      <c r="I1318">
        <v>14273</v>
      </c>
      <c r="J1318" t="s">
        <v>4691</v>
      </c>
      <c r="K1318" t="s">
        <v>4692</v>
      </c>
      <c r="L1318" t="s">
        <v>386</v>
      </c>
      <c r="M1318" t="s">
        <v>1193</v>
      </c>
      <c r="N1318">
        <v>15354</v>
      </c>
      <c r="O1318">
        <v>25</v>
      </c>
      <c r="Q1318" t="s">
        <v>4693</v>
      </c>
      <c r="R1318" t="s">
        <v>398</v>
      </c>
      <c r="T1318">
        <v>272</v>
      </c>
      <c r="V1318" t="s">
        <v>2107</v>
      </c>
      <c r="W1318" t="s">
        <v>3321</v>
      </c>
      <c r="X1318">
        <v>246</v>
      </c>
      <c r="Z1318" t="s">
        <v>4694</v>
      </c>
      <c r="AA1318" t="s">
        <v>387</v>
      </c>
      <c r="AB1318">
        <v>19000</v>
      </c>
      <c r="AC1318">
        <v>5411</v>
      </c>
      <c r="AD1318" t="s">
        <v>4695</v>
      </c>
      <c r="AE1318">
        <v>2509</v>
      </c>
      <c r="AF1318" t="s">
        <v>4696</v>
      </c>
      <c r="AG1318" t="s">
        <v>4697</v>
      </c>
      <c r="AH1318" t="s">
        <v>4566</v>
      </c>
    </row>
    <row r="1319" spans="1:34" x14ac:dyDescent="0.25">
      <c r="A1319">
        <v>1832</v>
      </c>
      <c r="C1319" s="185"/>
      <c r="E1319" t="s">
        <v>386</v>
      </c>
      <c r="F1319" t="s">
        <v>4698</v>
      </c>
      <c r="G1319" t="s">
        <v>4184</v>
      </c>
      <c r="H1319" t="s">
        <v>4699</v>
      </c>
      <c r="I1319">
        <v>8527</v>
      </c>
      <c r="J1319" t="s">
        <v>4698</v>
      </c>
      <c r="K1319" t="s">
        <v>4698</v>
      </c>
      <c r="L1319" t="s">
        <v>386</v>
      </c>
      <c r="M1319" t="s">
        <v>1193</v>
      </c>
      <c r="N1319">
        <v>8527</v>
      </c>
      <c r="O1319">
        <v>0</v>
      </c>
      <c r="Q1319" t="s">
        <v>4700</v>
      </c>
      <c r="R1319" t="s">
        <v>398</v>
      </c>
      <c r="T1319">
        <v>185</v>
      </c>
      <c r="V1319" t="s">
        <v>1915</v>
      </c>
      <c r="Z1319" t="s">
        <v>4701</v>
      </c>
      <c r="AA1319" t="s">
        <v>387</v>
      </c>
      <c r="AB1319">
        <v>0</v>
      </c>
      <c r="AC1319">
        <v>3426</v>
      </c>
      <c r="AD1319" t="s">
        <v>4702</v>
      </c>
      <c r="AE1319">
        <v>1591</v>
      </c>
      <c r="AF1319" t="s">
        <v>4703</v>
      </c>
      <c r="AG1319" t="s">
        <v>3047</v>
      </c>
    </row>
    <row r="1320" spans="1:34" x14ac:dyDescent="0.25">
      <c r="A1320">
        <v>1</v>
      </c>
      <c r="C1320" s="185"/>
      <c r="E1320" t="s">
        <v>386</v>
      </c>
      <c r="F1320" t="s">
        <v>4704</v>
      </c>
      <c r="G1320" t="s">
        <v>1197</v>
      </c>
      <c r="H1320" t="s">
        <v>4705</v>
      </c>
      <c r="I1320">
        <v>2083</v>
      </c>
      <c r="J1320" t="s">
        <v>4704</v>
      </c>
      <c r="K1320" t="s">
        <v>4706</v>
      </c>
      <c r="L1320" t="s">
        <v>386</v>
      </c>
      <c r="M1320" t="s">
        <v>1193</v>
      </c>
      <c r="N1320">
        <v>2083</v>
      </c>
      <c r="O1320">
        <v>0</v>
      </c>
      <c r="Q1320" t="s">
        <v>4707</v>
      </c>
      <c r="T1320">
        <v>340</v>
      </c>
      <c r="V1320" t="s">
        <v>1200</v>
      </c>
      <c r="W1320" t="s">
        <v>2073</v>
      </c>
      <c r="X1320">
        <v>372</v>
      </c>
      <c r="Z1320" t="s">
        <v>865</v>
      </c>
      <c r="AA1320" t="s">
        <v>387</v>
      </c>
      <c r="AB1320">
        <v>0</v>
      </c>
      <c r="AC1320">
        <v>10</v>
      </c>
      <c r="AD1320" t="s">
        <v>4708</v>
      </c>
      <c r="AE1320">
        <v>515</v>
      </c>
      <c r="AF1320" t="s">
        <v>3591</v>
      </c>
      <c r="AG1320" t="s">
        <v>4709</v>
      </c>
      <c r="AH1320" t="s">
        <v>4710</v>
      </c>
    </row>
    <row r="1321" spans="1:34" x14ac:dyDescent="0.25">
      <c r="A1321">
        <v>1</v>
      </c>
      <c r="C1321" s="185"/>
      <c r="E1321" t="s">
        <v>386</v>
      </c>
      <c r="F1321" t="s">
        <v>4711</v>
      </c>
      <c r="G1321" t="s">
        <v>1197</v>
      </c>
      <c r="H1321" t="s">
        <v>4712</v>
      </c>
      <c r="I1321">
        <v>5742</v>
      </c>
      <c r="J1321" t="s">
        <v>4711</v>
      </c>
      <c r="K1321" t="s">
        <v>4711</v>
      </c>
      <c r="L1321" t="s">
        <v>386</v>
      </c>
      <c r="M1321" t="s">
        <v>1193</v>
      </c>
      <c r="N1321">
        <v>5742</v>
      </c>
      <c r="O1321">
        <v>0</v>
      </c>
      <c r="Q1321" t="s">
        <v>4713</v>
      </c>
      <c r="T1321">
        <v>39</v>
      </c>
      <c r="V1321" t="s">
        <v>2144</v>
      </c>
      <c r="Z1321" t="s">
        <v>865</v>
      </c>
      <c r="AA1321" t="s">
        <v>387</v>
      </c>
      <c r="AB1321">
        <v>0</v>
      </c>
      <c r="AC1321">
        <v>2705</v>
      </c>
      <c r="AD1321" t="s">
        <v>4714</v>
      </c>
      <c r="AE1321">
        <v>2</v>
      </c>
      <c r="AF1321" t="s">
        <v>2919</v>
      </c>
      <c r="AG1321" t="s">
        <v>4715</v>
      </c>
      <c r="AH1321" t="s">
        <v>4716</v>
      </c>
    </row>
    <row r="1322" spans="1:34" x14ac:dyDescent="0.25">
      <c r="A1322">
        <v>1</v>
      </c>
      <c r="C1322" s="185"/>
      <c r="E1322" t="s">
        <v>386</v>
      </c>
      <c r="F1322" t="s">
        <v>4717</v>
      </c>
      <c r="G1322" t="s">
        <v>1197</v>
      </c>
      <c r="H1322" t="s">
        <v>4718</v>
      </c>
      <c r="I1322">
        <v>14627</v>
      </c>
      <c r="J1322" t="s">
        <v>4717</v>
      </c>
      <c r="K1322" t="s">
        <v>4719</v>
      </c>
      <c r="L1322" t="s">
        <v>386</v>
      </c>
      <c r="M1322" t="s">
        <v>1193</v>
      </c>
      <c r="N1322">
        <v>14627</v>
      </c>
      <c r="O1322">
        <v>0</v>
      </c>
      <c r="Q1322" t="s">
        <v>4720</v>
      </c>
      <c r="T1322">
        <v>571</v>
      </c>
      <c r="V1322" t="s">
        <v>2003</v>
      </c>
      <c r="W1322" t="s">
        <v>2602</v>
      </c>
      <c r="X1322">
        <v>560</v>
      </c>
      <c r="Z1322" t="s">
        <v>865</v>
      </c>
      <c r="AA1322" t="s">
        <v>387</v>
      </c>
      <c r="AB1322">
        <v>0</v>
      </c>
      <c r="AC1322">
        <v>3823</v>
      </c>
      <c r="AD1322" t="s">
        <v>4721</v>
      </c>
      <c r="AE1322">
        <v>1224</v>
      </c>
      <c r="AF1322" t="s">
        <v>3108</v>
      </c>
      <c r="AG1322" t="s">
        <v>4722</v>
      </c>
      <c r="AH1322" t="s">
        <v>4723</v>
      </c>
    </row>
    <row r="1323" spans="1:34" x14ac:dyDescent="0.25">
      <c r="A1323">
        <v>1275</v>
      </c>
      <c r="C1323" s="185"/>
      <c r="E1323" t="s">
        <v>386</v>
      </c>
      <c r="F1323" t="s">
        <v>4724</v>
      </c>
      <c r="G1323" t="s">
        <v>1197</v>
      </c>
      <c r="H1323" t="s">
        <v>4725</v>
      </c>
      <c r="I1323">
        <v>11854</v>
      </c>
      <c r="J1323" t="s">
        <v>4724</v>
      </c>
      <c r="K1323" t="s">
        <v>4724</v>
      </c>
      <c r="L1323" t="s">
        <v>386</v>
      </c>
      <c r="M1323" t="s">
        <v>1193</v>
      </c>
      <c r="N1323">
        <v>11854</v>
      </c>
      <c r="O1323">
        <v>0</v>
      </c>
      <c r="Q1323" t="s">
        <v>4726</v>
      </c>
      <c r="R1323" t="s">
        <v>1208</v>
      </c>
      <c r="T1323">
        <v>304</v>
      </c>
      <c r="V1323" t="s">
        <v>2067</v>
      </c>
      <c r="Z1323" t="s">
        <v>2124</v>
      </c>
      <c r="AA1323" t="s">
        <v>387</v>
      </c>
      <c r="AB1323">
        <v>0</v>
      </c>
      <c r="AC1323">
        <v>3642</v>
      </c>
      <c r="AD1323" t="s">
        <v>4727</v>
      </c>
      <c r="AE1323">
        <v>1</v>
      </c>
      <c r="AF1323" t="s">
        <v>1922</v>
      </c>
      <c r="AG1323" t="s">
        <v>4728</v>
      </c>
    </row>
    <row r="1324" spans="1:34" x14ac:dyDescent="0.25">
      <c r="A1324">
        <v>1</v>
      </c>
      <c r="B1324" t="s">
        <v>1313</v>
      </c>
      <c r="C1324" s="185"/>
      <c r="D1324" t="s">
        <v>24</v>
      </c>
      <c r="E1324" t="s">
        <v>386</v>
      </c>
      <c r="F1324" t="s">
        <v>4729</v>
      </c>
      <c r="G1324" t="s">
        <v>1197</v>
      </c>
      <c r="H1324" t="s">
        <v>1221</v>
      </c>
      <c r="I1324">
        <v>674</v>
      </c>
      <c r="J1324" t="s">
        <v>4729</v>
      </c>
      <c r="K1324" t="s">
        <v>4729</v>
      </c>
      <c r="L1324" t="s">
        <v>386</v>
      </c>
      <c r="M1324" t="s">
        <v>1193</v>
      </c>
      <c r="N1324">
        <v>674</v>
      </c>
      <c r="O1324">
        <v>0</v>
      </c>
      <c r="Q1324" t="s">
        <v>4730</v>
      </c>
      <c r="S1324" t="s">
        <v>1315</v>
      </c>
      <c r="T1324">
        <v>0</v>
      </c>
      <c r="U1324">
        <v>0</v>
      </c>
      <c r="V1324" t="s">
        <v>1186</v>
      </c>
      <c r="Y1324" t="s">
        <v>1317</v>
      </c>
      <c r="Z1324" t="s">
        <v>865</v>
      </c>
      <c r="AA1324" t="s">
        <v>387</v>
      </c>
      <c r="AB1324">
        <v>0</v>
      </c>
      <c r="AC1324">
        <v>21</v>
      </c>
      <c r="AD1324" t="s">
        <v>1224</v>
      </c>
      <c r="AE1324">
        <v>10</v>
      </c>
      <c r="AF1324" t="s">
        <v>1225</v>
      </c>
      <c r="AG1324" t="s">
        <v>4731</v>
      </c>
      <c r="AH1324" t="s">
        <v>4732</v>
      </c>
    </row>
    <row r="1325" spans="1:34" x14ac:dyDescent="0.25">
      <c r="A1325">
        <v>1132</v>
      </c>
      <c r="C1325" s="185"/>
      <c r="D1325" t="s">
        <v>157</v>
      </c>
      <c r="E1325" t="s">
        <v>386</v>
      </c>
      <c r="F1325" t="s">
        <v>4733</v>
      </c>
      <c r="G1325" t="s">
        <v>1197</v>
      </c>
      <c r="H1325" t="s">
        <v>4734</v>
      </c>
      <c r="I1325">
        <v>7131</v>
      </c>
      <c r="J1325" t="s">
        <v>4733</v>
      </c>
      <c r="K1325" t="s">
        <v>4733</v>
      </c>
      <c r="L1325" t="s">
        <v>386</v>
      </c>
      <c r="M1325" t="s">
        <v>1193</v>
      </c>
      <c r="N1325">
        <v>7131</v>
      </c>
      <c r="O1325">
        <v>0</v>
      </c>
      <c r="Q1325" t="s">
        <v>4735</v>
      </c>
      <c r="T1325">
        <v>146</v>
      </c>
      <c r="V1325" t="s">
        <v>2727</v>
      </c>
      <c r="Z1325" t="s">
        <v>4736</v>
      </c>
      <c r="AA1325" t="s">
        <v>387</v>
      </c>
      <c r="AB1325">
        <v>0</v>
      </c>
      <c r="AC1325">
        <v>1826</v>
      </c>
      <c r="AD1325" t="s">
        <v>4737</v>
      </c>
      <c r="AE1325">
        <v>18</v>
      </c>
      <c r="AF1325" t="s">
        <v>1259</v>
      </c>
      <c r="AG1325" t="s">
        <v>1244</v>
      </c>
    </row>
    <row r="1326" spans="1:34" x14ac:dyDescent="0.25">
      <c r="A1326">
        <v>1</v>
      </c>
      <c r="C1326" s="185"/>
      <c r="E1326" t="s">
        <v>386</v>
      </c>
      <c r="F1326" t="s">
        <v>4738</v>
      </c>
      <c r="G1326" t="s">
        <v>1197</v>
      </c>
      <c r="H1326" t="s">
        <v>2916</v>
      </c>
      <c r="I1326">
        <v>10738</v>
      </c>
      <c r="J1326" t="s">
        <v>4738</v>
      </c>
      <c r="K1326" t="s">
        <v>4739</v>
      </c>
      <c r="L1326" t="s">
        <v>386</v>
      </c>
      <c r="M1326" t="s">
        <v>1193</v>
      </c>
      <c r="N1326">
        <v>10738</v>
      </c>
      <c r="O1326">
        <v>0</v>
      </c>
      <c r="Q1326" t="s">
        <v>4740</v>
      </c>
      <c r="R1326" t="s">
        <v>1208</v>
      </c>
      <c r="T1326">
        <v>260</v>
      </c>
      <c r="V1326" t="s">
        <v>1216</v>
      </c>
      <c r="W1326" t="s">
        <v>1216</v>
      </c>
      <c r="X1326">
        <v>260</v>
      </c>
      <c r="Z1326" t="s">
        <v>865</v>
      </c>
      <c r="AA1326" t="s">
        <v>387</v>
      </c>
      <c r="AB1326">
        <v>0</v>
      </c>
      <c r="AC1326">
        <v>4122</v>
      </c>
      <c r="AD1326" t="s">
        <v>2918</v>
      </c>
      <c r="AE1326">
        <v>2</v>
      </c>
      <c r="AF1326" t="s">
        <v>2919</v>
      </c>
      <c r="AG1326" t="s">
        <v>4741</v>
      </c>
    </row>
    <row r="1327" spans="1:34" x14ac:dyDescent="0.25">
      <c r="A1327">
        <v>1</v>
      </c>
      <c r="C1327" s="185"/>
      <c r="E1327" t="s">
        <v>386</v>
      </c>
      <c r="F1327" t="s">
        <v>4742</v>
      </c>
      <c r="G1327" t="s">
        <v>1197</v>
      </c>
      <c r="H1327" t="s">
        <v>2023</v>
      </c>
      <c r="I1327">
        <v>2135</v>
      </c>
      <c r="J1327" t="s">
        <v>4742</v>
      </c>
      <c r="K1327" t="s">
        <v>4743</v>
      </c>
      <c r="L1327" t="s">
        <v>386</v>
      </c>
      <c r="M1327" t="s">
        <v>1193</v>
      </c>
      <c r="N1327">
        <v>2135</v>
      </c>
      <c r="O1327">
        <v>0</v>
      </c>
      <c r="Q1327" t="s">
        <v>4744</v>
      </c>
      <c r="T1327">
        <v>52</v>
      </c>
      <c r="V1327" t="s">
        <v>2024</v>
      </c>
      <c r="Z1327" t="s">
        <v>865</v>
      </c>
      <c r="AA1327" t="s">
        <v>387</v>
      </c>
      <c r="AB1327">
        <v>0</v>
      </c>
      <c r="AC1327">
        <v>1547</v>
      </c>
      <c r="AD1327" t="s">
        <v>2025</v>
      </c>
      <c r="AE1327">
        <v>124</v>
      </c>
      <c r="AF1327" t="s">
        <v>4745</v>
      </c>
      <c r="AG1327" t="s">
        <v>4746</v>
      </c>
      <c r="AH1327" t="s">
        <v>4747</v>
      </c>
    </row>
    <row r="1328" spans="1:34" x14ac:dyDescent="0.25">
      <c r="A1328">
        <v>1</v>
      </c>
      <c r="C1328" s="185"/>
      <c r="E1328" t="s">
        <v>386</v>
      </c>
      <c r="F1328" t="s">
        <v>4748</v>
      </c>
      <c r="G1328" t="s">
        <v>1197</v>
      </c>
      <c r="H1328" t="s">
        <v>4749</v>
      </c>
      <c r="I1328">
        <v>4816</v>
      </c>
      <c r="J1328" t="s">
        <v>4748</v>
      </c>
      <c r="K1328" t="s">
        <v>4750</v>
      </c>
      <c r="L1328" t="s">
        <v>386</v>
      </c>
      <c r="M1328" t="s">
        <v>1193</v>
      </c>
      <c r="N1328">
        <v>4816</v>
      </c>
      <c r="O1328">
        <v>0</v>
      </c>
      <c r="Q1328" t="s">
        <v>4751</v>
      </c>
      <c r="T1328">
        <v>52</v>
      </c>
      <c r="V1328" t="s">
        <v>2024</v>
      </c>
      <c r="Z1328" t="s">
        <v>865</v>
      </c>
      <c r="AA1328" t="s">
        <v>387</v>
      </c>
      <c r="AB1328">
        <v>0</v>
      </c>
      <c r="AC1328">
        <v>1826</v>
      </c>
      <c r="AD1328" t="s">
        <v>4737</v>
      </c>
      <c r="AE1328">
        <v>3</v>
      </c>
      <c r="AF1328" t="s">
        <v>1235</v>
      </c>
      <c r="AG1328" t="s">
        <v>1244</v>
      </c>
      <c r="AH1328" t="s">
        <v>4752</v>
      </c>
    </row>
    <row r="1329" spans="1:34" x14ac:dyDescent="0.25">
      <c r="A1329">
        <v>1</v>
      </c>
      <c r="C1329" s="185"/>
      <c r="E1329" t="s">
        <v>386</v>
      </c>
      <c r="F1329" t="s">
        <v>4753</v>
      </c>
      <c r="G1329" t="s">
        <v>1197</v>
      </c>
      <c r="H1329" t="s">
        <v>4754</v>
      </c>
      <c r="I1329">
        <v>14226</v>
      </c>
      <c r="J1329" t="s">
        <v>4753</v>
      </c>
      <c r="K1329" t="s">
        <v>4755</v>
      </c>
      <c r="L1329" t="s">
        <v>386</v>
      </c>
      <c r="M1329" t="s">
        <v>1193</v>
      </c>
      <c r="N1329">
        <v>14226</v>
      </c>
      <c r="O1329">
        <v>0</v>
      </c>
      <c r="Q1329" t="s">
        <v>4756</v>
      </c>
      <c r="R1329" t="s">
        <v>1208</v>
      </c>
      <c r="T1329">
        <v>571</v>
      </c>
      <c r="V1329" t="s">
        <v>2003</v>
      </c>
      <c r="W1329" t="s">
        <v>2073</v>
      </c>
      <c r="X1329">
        <v>372</v>
      </c>
      <c r="Z1329" t="s">
        <v>865</v>
      </c>
      <c r="AA1329" t="s">
        <v>387</v>
      </c>
      <c r="AB1329">
        <v>0</v>
      </c>
      <c r="AC1329">
        <v>4484</v>
      </c>
      <c r="AD1329" t="s">
        <v>3978</v>
      </c>
      <c r="AE1329">
        <v>31</v>
      </c>
      <c r="AF1329" t="s">
        <v>4757</v>
      </c>
      <c r="AG1329" t="s">
        <v>2860</v>
      </c>
      <c r="AH1329" t="s">
        <v>4758</v>
      </c>
    </row>
    <row r="1330" spans="1:34" x14ac:dyDescent="0.25">
      <c r="A1330">
        <v>1538</v>
      </c>
      <c r="B1330" t="s">
        <v>1313</v>
      </c>
      <c r="C1330" s="185"/>
      <c r="E1330" t="s">
        <v>386</v>
      </c>
      <c r="F1330" t="s">
        <v>4759</v>
      </c>
      <c r="G1330" t="s">
        <v>1197</v>
      </c>
      <c r="H1330" t="s">
        <v>4760</v>
      </c>
      <c r="I1330">
        <v>8902</v>
      </c>
      <c r="J1330" t="s">
        <v>4761</v>
      </c>
      <c r="K1330" t="s">
        <v>4762</v>
      </c>
      <c r="L1330" t="s">
        <v>386</v>
      </c>
      <c r="M1330" t="s">
        <v>1193</v>
      </c>
      <c r="N1330">
        <v>216</v>
      </c>
      <c r="O1330">
        <v>0</v>
      </c>
      <c r="Q1330" t="s">
        <v>4763</v>
      </c>
      <c r="R1330" t="s">
        <v>1208</v>
      </c>
      <c r="S1330" t="s">
        <v>1315</v>
      </c>
      <c r="T1330">
        <v>340</v>
      </c>
      <c r="U1330">
        <v>0</v>
      </c>
      <c r="V1330" t="s">
        <v>1200</v>
      </c>
      <c r="W1330" t="s">
        <v>2727</v>
      </c>
      <c r="X1330">
        <v>146</v>
      </c>
      <c r="Y1330" t="s">
        <v>1317</v>
      </c>
      <c r="Z1330" t="s">
        <v>4764</v>
      </c>
      <c r="AA1330" t="s">
        <v>387</v>
      </c>
      <c r="AB1330">
        <v>0</v>
      </c>
      <c r="AC1330">
        <v>2942</v>
      </c>
      <c r="AD1330" t="s">
        <v>4765</v>
      </c>
      <c r="AE1330">
        <v>3</v>
      </c>
      <c r="AF1330" t="s">
        <v>1235</v>
      </c>
      <c r="AG1330" t="s">
        <v>4336</v>
      </c>
      <c r="AH1330" t="s">
        <v>4766</v>
      </c>
    </row>
    <row r="1331" spans="1:34" x14ac:dyDescent="0.25">
      <c r="A1331">
        <v>1</v>
      </c>
      <c r="C1331" s="185"/>
      <c r="E1331" t="s">
        <v>386</v>
      </c>
      <c r="F1331" t="s">
        <v>4767</v>
      </c>
      <c r="G1331" t="s">
        <v>1197</v>
      </c>
      <c r="H1331" t="s">
        <v>4768</v>
      </c>
      <c r="I1331">
        <v>6608</v>
      </c>
      <c r="J1331" t="s">
        <v>4767</v>
      </c>
      <c r="K1331" t="s">
        <v>4767</v>
      </c>
      <c r="L1331" t="s">
        <v>386</v>
      </c>
      <c r="M1331" t="s">
        <v>1193</v>
      </c>
      <c r="N1331">
        <v>6608</v>
      </c>
      <c r="O1331">
        <v>0</v>
      </c>
      <c r="Q1331" t="s">
        <v>4769</v>
      </c>
      <c r="R1331" t="s">
        <v>1208</v>
      </c>
      <c r="T1331">
        <v>571</v>
      </c>
      <c r="V1331" t="s">
        <v>2003</v>
      </c>
      <c r="W1331" t="s">
        <v>4167</v>
      </c>
      <c r="X1331">
        <v>517</v>
      </c>
      <c r="Z1331" t="s">
        <v>865</v>
      </c>
      <c r="AA1331" t="s">
        <v>387</v>
      </c>
      <c r="AB1331">
        <v>0</v>
      </c>
      <c r="AC1331">
        <v>1179</v>
      </c>
      <c r="AD1331" t="s">
        <v>4770</v>
      </c>
      <c r="AE1331">
        <v>743</v>
      </c>
      <c r="AF1331" t="s">
        <v>4771</v>
      </c>
      <c r="AG1331" t="s">
        <v>4772</v>
      </c>
      <c r="AH1331" t="s">
        <v>4773</v>
      </c>
    </row>
    <row r="1332" spans="1:34" x14ac:dyDescent="0.25">
      <c r="A1332">
        <v>1</v>
      </c>
      <c r="C1332" s="185"/>
      <c r="E1332" t="s">
        <v>386</v>
      </c>
      <c r="F1332" t="s">
        <v>4774</v>
      </c>
      <c r="G1332" t="s">
        <v>1197</v>
      </c>
      <c r="H1332" t="s">
        <v>4775</v>
      </c>
      <c r="I1332">
        <v>161</v>
      </c>
      <c r="J1332" t="s">
        <v>4774</v>
      </c>
      <c r="K1332" t="s">
        <v>4776</v>
      </c>
      <c r="L1332" t="s">
        <v>386</v>
      </c>
      <c r="M1332" t="s">
        <v>1193</v>
      </c>
      <c r="N1332">
        <v>161</v>
      </c>
      <c r="O1332">
        <v>0</v>
      </c>
      <c r="Q1332" t="s">
        <v>4777</v>
      </c>
      <c r="T1332">
        <v>103</v>
      </c>
      <c r="V1332" t="s">
        <v>1530</v>
      </c>
      <c r="W1332" t="s">
        <v>1215</v>
      </c>
      <c r="X1332">
        <v>259</v>
      </c>
      <c r="Z1332" t="s">
        <v>865</v>
      </c>
      <c r="AA1332" t="s">
        <v>387</v>
      </c>
      <c r="AB1332">
        <v>0</v>
      </c>
      <c r="AC1332">
        <v>132</v>
      </c>
      <c r="AD1332" t="s">
        <v>4778</v>
      </c>
      <c r="AE1332">
        <v>56</v>
      </c>
      <c r="AF1332" t="s">
        <v>4779</v>
      </c>
      <c r="AG1332" t="s">
        <v>4780</v>
      </c>
      <c r="AH1332" t="s">
        <v>4781</v>
      </c>
    </row>
    <row r="1333" spans="1:34" x14ac:dyDescent="0.25">
      <c r="A1333">
        <v>95</v>
      </c>
      <c r="C1333" s="185"/>
      <c r="E1333" t="s">
        <v>386</v>
      </c>
      <c r="F1333" t="s">
        <v>4782</v>
      </c>
      <c r="G1333" t="s">
        <v>1197</v>
      </c>
      <c r="H1333" t="s">
        <v>4783</v>
      </c>
      <c r="I1333">
        <v>5711</v>
      </c>
      <c r="J1333" t="s">
        <v>4782</v>
      </c>
      <c r="K1333" t="s">
        <v>4784</v>
      </c>
      <c r="L1333" t="s">
        <v>386</v>
      </c>
      <c r="M1333" t="s">
        <v>1193</v>
      </c>
      <c r="N1333">
        <v>5711</v>
      </c>
      <c r="O1333">
        <v>0</v>
      </c>
      <c r="Q1333" t="s">
        <v>4785</v>
      </c>
      <c r="T1333">
        <v>571</v>
      </c>
      <c r="V1333" t="s">
        <v>2003</v>
      </c>
      <c r="W1333" t="s">
        <v>1200</v>
      </c>
      <c r="X1333">
        <v>340</v>
      </c>
      <c r="Z1333" t="s">
        <v>952</v>
      </c>
      <c r="AA1333" t="s">
        <v>387</v>
      </c>
      <c r="AB1333">
        <v>0</v>
      </c>
      <c r="AC1333">
        <v>2055</v>
      </c>
      <c r="AD1333" t="s">
        <v>4786</v>
      </c>
      <c r="AE1333">
        <v>1289</v>
      </c>
      <c r="AF1333" t="s">
        <v>4787</v>
      </c>
      <c r="AG1333" t="s">
        <v>4788</v>
      </c>
      <c r="AH1333" t="s">
        <v>4789</v>
      </c>
    </row>
    <row r="1334" spans="1:34" x14ac:dyDescent="0.25">
      <c r="A1334">
        <v>6</v>
      </c>
      <c r="C1334" s="185"/>
      <c r="E1334" t="s">
        <v>386</v>
      </c>
      <c r="F1334" t="s">
        <v>677</v>
      </c>
      <c r="G1334" t="s">
        <v>1197</v>
      </c>
      <c r="H1334" t="s">
        <v>4790</v>
      </c>
      <c r="I1334">
        <v>11957</v>
      </c>
      <c r="J1334" t="s">
        <v>677</v>
      </c>
      <c r="K1334" t="s">
        <v>677</v>
      </c>
      <c r="L1334" t="s">
        <v>386</v>
      </c>
      <c r="M1334" t="s">
        <v>1193</v>
      </c>
      <c r="N1334">
        <v>11957</v>
      </c>
      <c r="O1334">
        <v>0</v>
      </c>
      <c r="Q1334" t="s">
        <v>4791</v>
      </c>
      <c r="R1334" t="s">
        <v>1208</v>
      </c>
      <c r="T1334">
        <v>52</v>
      </c>
      <c r="V1334" t="s">
        <v>2024</v>
      </c>
      <c r="W1334" t="s">
        <v>1530</v>
      </c>
      <c r="X1334">
        <v>103</v>
      </c>
      <c r="Z1334" t="s">
        <v>892</v>
      </c>
      <c r="AA1334" t="s">
        <v>387</v>
      </c>
      <c r="AB1334">
        <v>0</v>
      </c>
      <c r="AC1334">
        <v>27</v>
      </c>
      <c r="AD1334" t="s">
        <v>4792</v>
      </c>
      <c r="AE1334">
        <v>2114</v>
      </c>
      <c r="AF1334" t="s">
        <v>4793</v>
      </c>
      <c r="AG1334" t="s">
        <v>4794</v>
      </c>
    </row>
    <row r="1335" spans="1:34" x14ac:dyDescent="0.25">
      <c r="A1335">
        <v>6</v>
      </c>
      <c r="C1335" s="185"/>
      <c r="D1335" t="s">
        <v>157</v>
      </c>
      <c r="E1335" t="s">
        <v>386</v>
      </c>
      <c r="F1335" t="s">
        <v>290</v>
      </c>
      <c r="G1335" t="s">
        <v>1197</v>
      </c>
      <c r="H1335" t="s">
        <v>4795</v>
      </c>
      <c r="I1335">
        <v>14667</v>
      </c>
      <c r="J1335" t="s">
        <v>290</v>
      </c>
      <c r="K1335" t="s">
        <v>290</v>
      </c>
      <c r="L1335" t="s">
        <v>386</v>
      </c>
      <c r="M1335" t="s">
        <v>1193</v>
      </c>
      <c r="N1335">
        <v>14667</v>
      </c>
      <c r="O1335">
        <v>54</v>
      </c>
      <c r="Q1335" t="s">
        <v>4796</v>
      </c>
      <c r="R1335" t="s">
        <v>398</v>
      </c>
      <c r="T1335">
        <v>259</v>
      </c>
      <c r="V1335" t="s">
        <v>1215</v>
      </c>
      <c r="W1335" t="s">
        <v>1199</v>
      </c>
      <c r="X1335">
        <v>200</v>
      </c>
      <c r="Z1335" t="s">
        <v>892</v>
      </c>
      <c r="AA1335" t="s">
        <v>387</v>
      </c>
      <c r="AB1335">
        <v>0</v>
      </c>
      <c r="AC1335">
        <v>27</v>
      </c>
      <c r="AD1335" t="s">
        <v>4792</v>
      </c>
      <c r="AE1335">
        <v>1526</v>
      </c>
      <c r="AF1335" t="s">
        <v>4797</v>
      </c>
      <c r="AG1335" t="s">
        <v>4798</v>
      </c>
      <c r="AH1335" t="s">
        <v>4799</v>
      </c>
    </row>
    <row r="1336" spans="1:34" x14ac:dyDescent="0.25">
      <c r="A1336">
        <v>31</v>
      </c>
      <c r="C1336" s="185"/>
      <c r="E1336" t="s">
        <v>386</v>
      </c>
      <c r="F1336" t="s">
        <v>4800</v>
      </c>
      <c r="G1336" t="s">
        <v>1197</v>
      </c>
      <c r="H1336" t="s">
        <v>4801</v>
      </c>
      <c r="I1336">
        <v>9148</v>
      </c>
      <c r="J1336" t="s">
        <v>4800</v>
      </c>
      <c r="K1336" t="s">
        <v>4800</v>
      </c>
      <c r="L1336" t="s">
        <v>386</v>
      </c>
      <c r="M1336" t="s">
        <v>1193</v>
      </c>
      <c r="N1336">
        <v>9148</v>
      </c>
      <c r="O1336">
        <v>0</v>
      </c>
      <c r="Q1336" t="s">
        <v>4802</v>
      </c>
      <c r="R1336" t="s">
        <v>1208</v>
      </c>
      <c r="T1336">
        <v>260</v>
      </c>
      <c r="V1336" t="s">
        <v>1216</v>
      </c>
      <c r="Z1336" t="s">
        <v>1132</v>
      </c>
      <c r="AA1336" t="s">
        <v>387</v>
      </c>
      <c r="AB1336">
        <v>0</v>
      </c>
      <c r="AC1336">
        <v>4434</v>
      </c>
      <c r="AD1336" t="s">
        <v>4803</v>
      </c>
      <c r="AE1336">
        <v>1680</v>
      </c>
      <c r="AF1336" t="s">
        <v>4804</v>
      </c>
      <c r="AG1336" t="s">
        <v>4805</v>
      </c>
      <c r="AH1336" t="s">
        <v>4806</v>
      </c>
    </row>
    <row r="1337" spans="1:34" x14ac:dyDescent="0.25">
      <c r="A1337">
        <v>1</v>
      </c>
      <c r="B1337" t="s">
        <v>1313</v>
      </c>
      <c r="C1337" s="185"/>
      <c r="E1337" t="s">
        <v>386</v>
      </c>
      <c r="F1337" t="s">
        <v>4807</v>
      </c>
      <c r="G1337" t="s">
        <v>1192</v>
      </c>
      <c r="H1337" t="s">
        <v>2141</v>
      </c>
      <c r="I1337">
        <v>228</v>
      </c>
      <c r="J1337" t="s">
        <v>4807</v>
      </c>
      <c r="K1337" t="s">
        <v>4807</v>
      </c>
      <c r="L1337" t="s">
        <v>386</v>
      </c>
      <c r="M1337" t="s">
        <v>1193</v>
      </c>
      <c r="N1337">
        <v>228</v>
      </c>
      <c r="O1337">
        <v>0</v>
      </c>
      <c r="Q1337" t="s">
        <v>4808</v>
      </c>
      <c r="S1337" t="s">
        <v>1315</v>
      </c>
      <c r="T1337">
        <v>39</v>
      </c>
      <c r="U1337">
        <v>0</v>
      </c>
      <c r="V1337" t="s">
        <v>2144</v>
      </c>
      <c r="Y1337" t="s">
        <v>1317</v>
      </c>
      <c r="Z1337" t="s">
        <v>865</v>
      </c>
      <c r="AA1337" t="s">
        <v>386</v>
      </c>
      <c r="AB1337">
        <v>0</v>
      </c>
      <c r="AC1337">
        <v>305</v>
      </c>
      <c r="AD1337" t="s">
        <v>4809</v>
      </c>
      <c r="AE1337">
        <v>103</v>
      </c>
      <c r="AF1337" t="s">
        <v>2676</v>
      </c>
      <c r="AG1337" t="s">
        <v>4810</v>
      </c>
    </row>
    <row r="1338" spans="1:34" x14ac:dyDescent="0.25">
      <c r="A1338">
        <v>153</v>
      </c>
      <c r="C1338" s="185"/>
      <c r="E1338" t="s">
        <v>386</v>
      </c>
      <c r="F1338" t="s">
        <v>4811</v>
      </c>
      <c r="G1338" t="s">
        <v>1197</v>
      </c>
      <c r="H1338" t="s">
        <v>3122</v>
      </c>
      <c r="I1338">
        <v>12886</v>
      </c>
      <c r="J1338" t="s">
        <v>4811</v>
      </c>
      <c r="K1338" t="s">
        <v>4812</v>
      </c>
      <c r="L1338" t="s">
        <v>386</v>
      </c>
      <c r="M1338" t="s">
        <v>1193</v>
      </c>
      <c r="N1338">
        <v>12886</v>
      </c>
      <c r="O1338">
        <v>0</v>
      </c>
      <c r="Q1338" t="s">
        <v>4813</v>
      </c>
      <c r="R1338" t="s">
        <v>1208</v>
      </c>
      <c r="T1338">
        <v>340</v>
      </c>
      <c r="V1338" t="s">
        <v>1200</v>
      </c>
      <c r="W1338" t="s">
        <v>2067</v>
      </c>
      <c r="X1338">
        <v>304</v>
      </c>
      <c r="Z1338" t="s">
        <v>969</v>
      </c>
      <c r="AA1338" t="s">
        <v>387</v>
      </c>
      <c r="AB1338">
        <v>0</v>
      </c>
      <c r="AC1338">
        <v>2500</v>
      </c>
      <c r="AD1338" t="s">
        <v>4814</v>
      </c>
      <c r="AE1338">
        <v>2910</v>
      </c>
      <c r="AF1338" t="s">
        <v>4815</v>
      </c>
      <c r="AG1338" t="s">
        <v>4816</v>
      </c>
      <c r="AH1338" t="s">
        <v>4817</v>
      </c>
    </row>
    <row r="1339" spans="1:34" x14ac:dyDescent="0.25">
      <c r="A1339">
        <v>95</v>
      </c>
      <c r="C1339" s="185"/>
      <c r="D1339" t="s">
        <v>157</v>
      </c>
      <c r="E1339" t="s">
        <v>386</v>
      </c>
      <c r="F1339" t="s">
        <v>179</v>
      </c>
      <c r="G1339" t="s">
        <v>1197</v>
      </c>
      <c r="H1339" t="s">
        <v>4818</v>
      </c>
      <c r="I1339">
        <v>11326</v>
      </c>
      <c r="J1339" t="s">
        <v>179</v>
      </c>
      <c r="K1339" t="s">
        <v>4819</v>
      </c>
      <c r="L1339" t="s">
        <v>386</v>
      </c>
      <c r="M1339" t="s">
        <v>1193</v>
      </c>
      <c r="N1339">
        <v>11326</v>
      </c>
      <c r="O1339">
        <v>25</v>
      </c>
      <c r="Q1339" t="s">
        <v>4820</v>
      </c>
      <c r="R1339" t="s">
        <v>398</v>
      </c>
      <c r="T1339">
        <v>220</v>
      </c>
      <c r="V1339" t="s">
        <v>1194</v>
      </c>
      <c r="W1339" t="s">
        <v>1216</v>
      </c>
      <c r="X1339">
        <v>260</v>
      </c>
      <c r="Z1339" t="s">
        <v>952</v>
      </c>
      <c r="AA1339" t="s">
        <v>387</v>
      </c>
      <c r="AB1339">
        <v>19000</v>
      </c>
      <c r="AC1339">
        <v>4332</v>
      </c>
      <c r="AD1339" t="s">
        <v>4821</v>
      </c>
      <c r="AE1339">
        <v>393</v>
      </c>
      <c r="AF1339" t="s">
        <v>4822</v>
      </c>
      <c r="AG1339" t="s">
        <v>4823</v>
      </c>
      <c r="AH1339" t="s">
        <v>4824</v>
      </c>
    </row>
    <row r="1340" spans="1:34" x14ac:dyDescent="0.25">
      <c r="A1340">
        <v>1808</v>
      </c>
      <c r="C1340" s="185"/>
      <c r="E1340" t="s">
        <v>386</v>
      </c>
      <c r="F1340" t="s">
        <v>4825</v>
      </c>
      <c r="G1340" t="s">
        <v>4184</v>
      </c>
      <c r="H1340" t="s">
        <v>4826</v>
      </c>
      <c r="I1340">
        <v>8530</v>
      </c>
      <c r="J1340" t="s">
        <v>4825</v>
      </c>
      <c r="K1340" t="s">
        <v>4827</v>
      </c>
      <c r="L1340" t="s">
        <v>386</v>
      </c>
      <c r="M1340" t="s">
        <v>1193</v>
      </c>
      <c r="N1340">
        <v>8530</v>
      </c>
      <c r="O1340">
        <v>0</v>
      </c>
      <c r="Q1340" t="s">
        <v>4828</v>
      </c>
      <c r="R1340" t="s">
        <v>398</v>
      </c>
      <c r="T1340">
        <v>23</v>
      </c>
      <c r="V1340" t="s">
        <v>1981</v>
      </c>
      <c r="Z1340" t="s">
        <v>4829</v>
      </c>
      <c r="AA1340" t="s">
        <v>387</v>
      </c>
      <c r="AB1340">
        <v>26000</v>
      </c>
      <c r="AC1340">
        <v>3427</v>
      </c>
      <c r="AD1340" t="s">
        <v>4830</v>
      </c>
      <c r="AE1340">
        <v>1574</v>
      </c>
      <c r="AF1340" t="s">
        <v>4831</v>
      </c>
      <c r="AG1340" t="s">
        <v>4832</v>
      </c>
    </row>
    <row r="1341" spans="1:34" x14ac:dyDescent="0.25">
      <c r="A1341">
        <v>53</v>
      </c>
      <c r="C1341" s="185"/>
      <c r="D1341" t="s">
        <v>157</v>
      </c>
      <c r="E1341" t="s">
        <v>386</v>
      </c>
      <c r="F1341" t="s">
        <v>4833</v>
      </c>
      <c r="G1341" t="s">
        <v>1197</v>
      </c>
      <c r="H1341" t="s">
        <v>4834</v>
      </c>
      <c r="I1341">
        <v>11500</v>
      </c>
      <c r="J1341" t="s">
        <v>4833</v>
      </c>
      <c r="K1341" t="s">
        <v>4827</v>
      </c>
      <c r="L1341" t="s">
        <v>386</v>
      </c>
      <c r="M1341" t="s">
        <v>1193</v>
      </c>
      <c r="N1341">
        <v>11500</v>
      </c>
      <c r="O1341">
        <v>46</v>
      </c>
      <c r="Q1341" t="s">
        <v>4835</v>
      </c>
      <c r="T1341">
        <v>246</v>
      </c>
      <c r="V1341" t="s">
        <v>3321</v>
      </c>
      <c r="W1341" t="s">
        <v>3321</v>
      </c>
      <c r="X1341">
        <v>246</v>
      </c>
      <c r="Z1341" t="s">
        <v>943</v>
      </c>
      <c r="AA1341" t="s">
        <v>387</v>
      </c>
      <c r="AB1341">
        <v>19000</v>
      </c>
      <c r="AC1341">
        <v>2101</v>
      </c>
      <c r="AD1341" t="s">
        <v>4836</v>
      </c>
      <c r="AE1341">
        <v>138</v>
      </c>
      <c r="AF1341" t="s">
        <v>2509</v>
      </c>
      <c r="AG1341" t="s">
        <v>4837</v>
      </c>
      <c r="AH1341" t="s">
        <v>4838</v>
      </c>
    </row>
    <row r="1342" spans="1:34" x14ac:dyDescent="0.25">
      <c r="A1342">
        <v>1</v>
      </c>
      <c r="C1342" s="185"/>
      <c r="E1342" t="s">
        <v>386</v>
      </c>
      <c r="F1342" t="s">
        <v>4825</v>
      </c>
      <c r="G1342" t="s">
        <v>4184</v>
      </c>
      <c r="H1342" t="s">
        <v>4839</v>
      </c>
      <c r="I1342">
        <v>8531</v>
      </c>
      <c r="J1342" t="s">
        <v>4840</v>
      </c>
      <c r="K1342" t="s">
        <v>4827</v>
      </c>
      <c r="L1342" t="s">
        <v>386</v>
      </c>
      <c r="M1342" t="s">
        <v>1193</v>
      </c>
      <c r="N1342">
        <v>8530</v>
      </c>
      <c r="O1342">
        <v>0</v>
      </c>
      <c r="Q1342" t="s">
        <v>4841</v>
      </c>
      <c r="R1342" t="s">
        <v>398</v>
      </c>
      <c r="T1342">
        <v>23</v>
      </c>
      <c r="V1342" t="s">
        <v>1981</v>
      </c>
      <c r="Z1342" t="s">
        <v>865</v>
      </c>
      <c r="AA1342" t="s">
        <v>387</v>
      </c>
      <c r="AB1342">
        <v>26000</v>
      </c>
      <c r="AC1342">
        <v>2733</v>
      </c>
      <c r="AD1342" t="s">
        <v>4842</v>
      </c>
      <c r="AE1342">
        <v>54</v>
      </c>
      <c r="AF1342" t="s">
        <v>3250</v>
      </c>
      <c r="AG1342" t="s">
        <v>4843</v>
      </c>
    </row>
    <row r="1343" spans="1:34" x14ac:dyDescent="0.25">
      <c r="A1343">
        <v>1</v>
      </c>
      <c r="C1343" s="185"/>
      <c r="E1343" t="s">
        <v>386</v>
      </c>
      <c r="F1343" t="s">
        <v>4844</v>
      </c>
      <c r="G1343" t="s">
        <v>1197</v>
      </c>
      <c r="H1343" t="s">
        <v>4845</v>
      </c>
      <c r="I1343">
        <v>15912</v>
      </c>
      <c r="J1343" t="s">
        <v>4844</v>
      </c>
      <c r="K1343" t="s">
        <v>4846</v>
      </c>
      <c r="L1343" t="s">
        <v>386</v>
      </c>
      <c r="M1343" t="s">
        <v>1193</v>
      </c>
      <c r="N1343">
        <v>15912</v>
      </c>
      <c r="O1343">
        <v>0</v>
      </c>
      <c r="Q1343" t="s">
        <v>4847</v>
      </c>
      <c r="T1343">
        <v>571</v>
      </c>
      <c r="V1343" t="s">
        <v>2003</v>
      </c>
      <c r="W1343" t="s">
        <v>1215</v>
      </c>
      <c r="X1343">
        <v>259</v>
      </c>
      <c r="Z1343" t="s">
        <v>865</v>
      </c>
      <c r="AA1343" t="s">
        <v>387</v>
      </c>
      <c r="AB1343">
        <v>0</v>
      </c>
      <c r="AC1343">
        <v>2385</v>
      </c>
      <c r="AD1343" t="s">
        <v>4848</v>
      </c>
      <c r="AE1343">
        <v>14</v>
      </c>
      <c r="AF1343" t="s">
        <v>2615</v>
      </c>
      <c r="AG1343" t="s">
        <v>4849</v>
      </c>
      <c r="AH1343" t="s">
        <v>4850</v>
      </c>
    </row>
    <row r="1344" spans="1:34" x14ac:dyDescent="0.25">
      <c r="A1344">
        <v>1596</v>
      </c>
      <c r="C1344" s="185"/>
      <c r="E1344" t="s">
        <v>386</v>
      </c>
      <c r="F1344" t="s">
        <v>4851</v>
      </c>
      <c r="G1344" t="s">
        <v>1197</v>
      </c>
      <c r="H1344" t="s">
        <v>4852</v>
      </c>
      <c r="I1344">
        <v>4343</v>
      </c>
      <c r="J1344" t="s">
        <v>4851</v>
      </c>
      <c r="K1344" t="s">
        <v>4851</v>
      </c>
      <c r="L1344" t="s">
        <v>386</v>
      </c>
      <c r="M1344" t="s">
        <v>1193</v>
      </c>
      <c r="N1344">
        <v>4343</v>
      </c>
      <c r="O1344">
        <v>0</v>
      </c>
      <c r="Q1344" t="s">
        <v>4853</v>
      </c>
      <c r="T1344">
        <v>35</v>
      </c>
      <c r="V1344" t="s">
        <v>2015</v>
      </c>
      <c r="Z1344" t="s">
        <v>4854</v>
      </c>
      <c r="AA1344" t="s">
        <v>387</v>
      </c>
      <c r="AB1344">
        <v>0</v>
      </c>
      <c r="AC1344">
        <v>2298</v>
      </c>
      <c r="AD1344" t="s">
        <v>4855</v>
      </c>
      <c r="AE1344">
        <v>3</v>
      </c>
      <c r="AF1344" t="s">
        <v>1235</v>
      </c>
      <c r="AG1344" t="s">
        <v>4856</v>
      </c>
    </row>
    <row r="1345" spans="1:34" x14ac:dyDescent="0.25">
      <c r="A1345">
        <v>2078</v>
      </c>
      <c r="C1345" s="185"/>
      <c r="E1345" t="s">
        <v>386</v>
      </c>
      <c r="F1345" t="s">
        <v>4857</v>
      </c>
      <c r="G1345" t="s">
        <v>1197</v>
      </c>
      <c r="H1345" t="s">
        <v>4858</v>
      </c>
      <c r="I1345">
        <v>14036</v>
      </c>
      <c r="J1345" t="s">
        <v>4857</v>
      </c>
      <c r="K1345" t="s">
        <v>4859</v>
      </c>
      <c r="L1345" t="s">
        <v>386</v>
      </c>
      <c r="M1345" t="s">
        <v>1193</v>
      </c>
      <c r="N1345">
        <v>14036</v>
      </c>
      <c r="O1345">
        <v>0</v>
      </c>
      <c r="Q1345" t="s">
        <v>4860</v>
      </c>
      <c r="R1345" t="s">
        <v>1223</v>
      </c>
      <c r="T1345">
        <v>340</v>
      </c>
      <c r="V1345" t="s">
        <v>1200</v>
      </c>
      <c r="W1345" t="s">
        <v>2067</v>
      </c>
      <c r="X1345">
        <v>304</v>
      </c>
      <c r="Z1345" t="s">
        <v>4861</v>
      </c>
      <c r="AA1345" t="s">
        <v>387</v>
      </c>
      <c r="AB1345">
        <v>0</v>
      </c>
      <c r="AC1345">
        <v>697</v>
      </c>
      <c r="AD1345" t="s">
        <v>4862</v>
      </c>
      <c r="AE1345">
        <v>1</v>
      </c>
      <c r="AF1345" t="s">
        <v>1922</v>
      </c>
      <c r="AG1345" t="s">
        <v>4863</v>
      </c>
      <c r="AH1345" t="s">
        <v>4864</v>
      </c>
    </row>
    <row r="1346" spans="1:34" x14ac:dyDescent="0.25">
      <c r="A1346">
        <v>1778</v>
      </c>
      <c r="C1346" s="185"/>
      <c r="D1346" t="s">
        <v>157</v>
      </c>
      <c r="E1346" t="s">
        <v>386</v>
      </c>
      <c r="F1346" t="s">
        <v>374</v>
      </c>
      <c r="G1346" t="s">
        <v>1197</v>
      </c>
      <c r="H1346" t="s">
        <v>4865</v>
      </c>
      <c r="I1346">
        <v>14626</v>
      </c>
      <c r="J1346" t="s">
        <v>269</v>
      </c>
      <c r="K1346" t="s">
        <v>4866</v>
      </c>
      <c r="L1346" t="s">
        <v>386</v>
      </c>
      <c r="M1346" t="s">
        <v>1193</v>
      </c>
      <c r="N1346">
        <v>15360</v>
      </c>
      <c r="O1346">
        <v>61</v>
      </c>
      <c r="Q1346" t="s">
        <v>4867</v>
      </c>
      <c r="R1346" t="s">
        <v>398</v>
      </c>
      <c r="T1346">
        <v>260</v>
      </c>
      <c r="V1346" t="s">
        <v>1216</v>
      </c>
      <c r="W1346" t="s">
        <v>2107</v>
      </c>
      <c r="X1346">
        <v>272</v>
      </c>
      <c r="Z1346" t="s">
        <v>4868</v>
      </c>
      <c r="AA1346" t="s">
        <v>387</v>
      </c>
      <c r="AB1346">
        <v>53000</v>
      </c>
      <c r="AC1346">
        <v>5556</v>
      </c>
      <c r="AD1346" t="s">
        <v>4869</v>
      </c>
      <c r="AE1346">
        <v>398</v>
      </c>
      <c r="AF1346" t="s">
        <v>3188</v>
      </c>
      <c r="AG1346" t="s">
        <v>4870</v>
      </c>
      <c r="AH1346" t="s">
        <v>4871</v>
      </c>
    </row>
    <row r="1347" spans="1:34" x14ac:dyDescent="0.25">
      <c r="A1347">
        <v>440</v>
      </c>
      <c r="C1347" s="185"/>
      <c r="D1347" t="s">
        <v>157</v>
      </c>
      <c r="E1347" t="s">
        <v>386</v>
      </c>
      <c r="F1347" t="s">
        <v>4872</v>
      </c>
      <c r="G1347" t="s">
        <v>1238</v>
      </c>
      <c r="H1347" t="s">
        <v>4873</v>
      </c>
      <c r="I1347">
        <v>7779</v>
      </c>
      <c r="J1347" t="s">
        <v>4872</v>
      </c>
      <c r="K1347" t="s">
        <v>4872</v>
      </c>
      <c r="L1347" t="s">
        <v>386</v>
      </c>
      <c r="M1347" t="s">
        <v>1184</v>
      </c>
      <c r="N1347">
        <v>7779</v>
      </c>
      <c r="O1347">
        <v>42</v>
      </c>
      <c r="Q1347" t="s">
        <v>4874</v>
      </c>
      <c r="T1347">
        <v>260</v>
      </c>
      <c r="V1347" t="s">
        <v>1216</v>
      </c>
      <c r="Z1347" t="s">
        <v>4875</v>
      </c>
      <c r="AA1347" t="s">
        <v>387</v>
      </c>
      <c r="AB1347">
        <v>0</v>
      </c>
      <c r="AC1347">
        <v>3223</v>
      </c>
      <c r="AD1347" t="s">
        <v>4876</v>
      </c>
      <c r="AE1347">
        <v>18</v>
      </c>
      <c r="AF1347" t="s">
        <v>1259</v>
      </c>
      <c r="AG1347" t="s">
        <v>2044</v>
      </c>
      <c r="AH1347" t="s">
        <v>4877</v>
      </c>
    </row>
    <row r="1348" spans="1:34" x14ac:dyDescent="0.25">
      <c r="A1348">
        <v>95</v>
      </c>
      <c r="C1348" s="185"/>
      <c r="D1348" t="s">
        <v>157</v>
      </c>
      <c r="E1348" t="s">
        <v>386</v>
      </c>
      <c r="F1348" t="s">
        <v>4878</v>
      </c>
      <c r="G1348" t="s">
        <v>1192</v>
      </c>
      <c r="H1348" t="s">
        <v>4879</v>
      </c>
      <c r="I1348">
        <v>8336</v>
      </c>
      <c r="J1348" t="s">
        <v>4878</v>
      </c>
      <c r="K1348" t="s">
        <v>4878</v>
      </c>
      <c r="L1348" t="s">
        <v>386</v>
      </c>
      <c r="M1348" t="s">
        <v>1184</v>
      </c>
      <c r="N1348">
        <v>8336</v>
      </c>
      <c r="O1348">
        <v>0</v>
      </c>
      <c r="Q1348" t="s">
        <v>4880</v>
      </c>
      <c r="R1348" t="s">
        <v>398</v>
      </c>
      <c r="T1348">
        <v>189</v>
      </c>
      <c r="V1348" t="s">
        <v>1910</v>
      </c>
      <c r="Z1348" t="s">
        <v>952</v>
      </c>
      <c r="AA1348" t="s">
        <v>387</v>
      </c>
      <c r="AB1348">
        <v>0</v>
      </c>
      <c r="AC1348">
        <v>3341</v>
      </c>
      <c r="AD1348" t="s">
        <v>4881</v>
      </c>
      <c r="AE1348">
        <v>18</v>
      </c>
      <c r="AF1348" t="s">
        <v>1259</v>
      </c>
      <c r="AG1348" t="s">
        <v>1244</v>
      </c>
      <c r="AH1348" t="s">
        <v>4882</v>
      </c>
    </row>
    <row r="1349" spans="1:34" x14ac:dyDescent="0.25">
      <c r="A1349">
        <v>2186</v>
      </c>
      <c r="C1349" s="185"/>
      <c r="E1349" t="s">
        <v>386</v>
      </c>
      <c r="F1349" t="s">
        <v>4883</v>
      </c>
      <c r="G1349" t="s">
        <v>1238</v>
      </c>
      <c r="H1349" t="s">
        <v>4884</v>
      </c>
      <c r="I1349">
        <v>16719</v>
      </c>
      <c r="J1349" t="s">
        <v>4883</v>
      </c>
      <c r="K1349" t="s">
        <v>4885</v>
      </c>
      <c r="L1349" t="s">
        <v>386</v>
      </c>
      <c r="M1349" t="s">
        <v>1184</v>
      </c>
      <c r="N1349">
        <v>16719</v>
      </c>
      <c r="O1349">
        <v>0</v>
      </c>
      <c r="Q1349" t="s">
        <v>4886</v>
      </c>
      <c r="T1349">
        <v>103</v>
      </c>
      <c r="V1349" t="s">
        <v>1530</v>
      </c>
      <c r="W1349" t="s">
        <v>1216</v>
      </c>
      <c r="X1349">
        <v>260</v>
      </c>
      <c r="Z1349" t="s">
        <v>4887</v>
      </c>
      <c r="AA1349" t="s">
        <v>387</v>
      </c>
      <c r="AB1349">
        <v>0</v>
      </c>
      <c r="AC1349">
        <v>6229</v>
      </c>
      <c r="AD1349" t="s">
        <v>4888</v>
      </c>
      <c r="AE1349">
        <v>2857</v>
      </c>
      <c r="AF1349" t="s">
        <v>4889</v>
      </c>
      <c r="AG1349" t="s">
        <v>1244</v>
      </c>
    </row>
    <row r="1350" spans="1:34" x14ac:dyDescent="0.25">
      <c r="A1350">
        <v>1</v>
      </c>
      <c r="C1350" s="185"/>
      <c r="D1350" t="s">
        <v>157</v>
      </c>
      <c r="E1350" t="s">
        <v>386</v>
      </c>
      <c r="F1350" t="s">
        <v>4890</v>
      </c>
      <c r="G1350" t="s">
        <v>1238</v>
      </c>
      <c r="H1350" t="s">
        <v>4891</v>
      </c>
      <c r="I1350">
        <v>6764</v>
      </c>
      <c r="J1350" t="s">
        <v>4890</v>
      </c>
      <c r="K1350" t="s">
        <v>4890</v>
      </c>
      <c r="L1350" t="s">
        <v>386</v>
      </c>
      <c r="M1350" t="s">
        <v>1184</v>
      </c>
      <c r="N1350">
        <v>6764</v>
      </c>
      <c r="O1350">
        <v>0</v>
      </c>
      <c r="Q1350" t="s">
        <v>4892</v>
      </c>
      <c r="T1350">
        <v>39</v>
      </c>
      <c r="V1350" t="s">
        <v>2144</v>
      </c>
      <c r="Z1350" t="s">
        <v>865</v>
      </c>
      <c r="AA1350" t="s">
        <v>387</v>
      </c>
      <c r="AB1350">
        <v>0</v>
      </c>
      <c r="AC1350">
        <v>1826</v>
      </c>
      <c r="AD1350" t="s">
        <v>4737</v>
      </c>
      <c r="AE1350">
        <v>18</v>
      </c>
      <c r="AF1350" t="s">
        <v>1259</v>
      </c>
      <c r="AG1350" t="s">
        <v>1244</v>
      </c>
      <c r="AH1350" t="s">
        <v>4893</v>
      </c>
    </row>
    <row r="1351" spans="1:34" x14ac:dyDescent="0.25">
      <c r="A1351">
        <v>1850</v>
      </c>
      <c r="C1351" s="185"/>
      <c r="D1351" t="s">
        <v>157</v>
      </c>
      <c r="E1351" t="s">
        <v>386</v>
      </c>
      <c r="F1351" t="s">
        <v>4894</v>
      </c>
      <c r="G1351" t="s">
        <v>1238</v>
      </c>
      <c r="H1351" t="s">
        <v>4895</v>
      </c>
      <c r="I1351">
        <v>9284</v>
      </c>
      <c r="J1351" t="s">
        <v>4894</v>
      </c>
      <c r="K1351" t="s">
        <v>4894</v>
      </c>
      <c r="L1351" t="s">
        <v>386</v>
      </c>
      <c r="M1351" t="s">
        <v>1184</v>
      </c>
      <c r="N1351">
        <v>9284</v>
      </c>
      <c r="O1351">
        <v>0</v>
      </c>
      <c r="Q1351" t="s">
        <v>4896</v>
      </c>
      <c r="R1351" t="s">
        <v>398</v>
      </c>
      <c r="T1351">
        <v>388</v>
      </c>
      <c r="V1351" t="s">
        <v>1712</v>
      </c>
      <c r="W1351" t="s">
        <v>1915</v>
      </c>
      <c r="X1351">
        <v>185</v>
      </c>
      <c r="Z1351" t="s">
        <v>4897</v>
      </c>
      <c r="AA1351" t="s">
        <v>387</v>
      </c>
      <c r="AB1351">
        <v>0</v>
      </c>
      <c r="AC1351">
        <v>3701</v>
      </c>
      <c r="AD1351" t="s">
        <v>4898</v>
      </c>
      <c r="AE1351">
        <v>18</v>
      </c>
      <c r="AF1351" t="s">
        <v>1259</v>
      </c>
      <c r="AG1351" t="s">
        <v>1244</v>
      </c>
    </row>
    <row r="1352" spans="1:34" x14ac:dyDescent="0.25">
      <c r="A1352">
        <v>1765</v>
      </c>
      <c r="C1352" s="185"/>
      <c r="D1352" t="s">
        <v>157</v>
      </c>
      <c r="E1352" t="s">
        <v>386</v>
      </c>
      <c r="F1352" t="s">
        <v>4899</v>
      </c>
      <c r="G1352" t="s">
        <v>1238</v>
      </c>
      <c r="H1352" t="s">
        <v>4900</v>
      </c>
      <c r="I1352">
        <v>10898</v>
      </c>
      <c r="J1352" t="s">
        <v>4899</v>
      </c>
      <c r="K1352" t="s">
        <v>4901</v>
      </c>
      <c r="L1352" t="s">
        <v>386</v>
      </c>
      <c r="M1352" t="s">
        <v>1184</v>
      </c>
      <c r="N1352">
        <v>10898</v>
      </c>
      <c r="O1352">
        <v>30</v>
      </c>
      <c r="Q1352" t="s">
        <v>4902</v>
      </c>
      <c r="T1352">
        <v>388</v>
      </c>
      <c r="V1352" t="s">
        <v>1712</v>
      </c>
      <c r="W1352" t="s">
        <v>1215</v>
      </c>
      <c r="X1352">
        <v>259</v>
      </c>
      <c r="Z1352" t="s">
        <v>4903</v>
      </c>
      <c r="AA1352" t="s">
        <v>386</v>
      </c>
      <c r="AB1352">
        <v>0</v>
      </c>
      <c r="AC1352">
        <v>4178</v>
      </c>
      <c r="AD1352" t="s">
        <v>4904</v>
      </c>
      <c r="AE1352">
        <v>18</v>
      </c>
      <c r="AF1352" t="s">
        <v>1259</v>
      </c>
      <c r="AG1352" t="s">
        <v>4905</v>
      </c>
    </row>
    <row r="1353" spans="1:34" x14ac:dyDescent="0.25">
      <c r="A1353">
        <v>2008</v>
      </c>
      <c r="C1353" s="185"/>
      <c r="D1353" t="s">
        <v>157</v>
      </c>
      <c r="E1353" t="s">
        <v>386</v>
      </c>
      <c r="F1353" t="s">
        <v>191</v>
      </c>
      <c r="G1353" t="s">
        <v>1238</v>
      </c>
      <c r="H1353" t="s">
        <v>4906</v>
      </c>
      <c r="I1353">
        <v>12553</v>
      </c>
      <c r="J1353" t="s">
        <v>191</v>
      </c>
      <c r="K1353" t="s">
        <v>191</v>
      </c>
      <c r="L1353" t="s">
        <v>386</v>
      </c>
      <c r="M1353" t="s">
        <v>1184</v>
      </c>
      <c r="N1353">
        <v>12553</v>
      </c>
      <c r="O1353">
        <v>25</v>
      </c>
      <c r="Q1353" t="s">
        <v>4907</v>
      </c>
      <c r="R1353" t="s">
        <v>398</v>
      </c>
      <c r="T1353">
        <v>272</v>
      </c>
      <c r="V1353" t="s">
        <v>2107</v>
      </c>
      <c r="W1353" t="s">
        <v>2107</v>
      </c>
      <c r="X1353">
        <v>272</v>
      </c>
      <c r="Z1353" t="s">
        <v>4908</v>
      </c>
      <c r="AA1353" t="s">
        <v>387</v>
      </c>
      <c r="AB1353">
        <v>0</v>
      </c>
      <c r="AC1353">
        <v>4699</v>
      </c>
      <c r="AD1353" t="s">
        <v>4909</v>
      </c>
      <c r="AE1353">
        <v>18</v>
      </c>
      <c r="AF1353" t="s">
        <v>1259</v>
      </c>
      <c r="AG1353" t="s">
        <v>1244</v>
      </c>
      <c r="AH1353" t="s">
        <v>4910</v>
      </c>
    </row>
    <row r="1354" spans="1:34" x14ac:dyDescent="0.25">
      <c r="A1354">
        <v>1155</v>
      </c>
      <c r="C1354" s="185"/>
      <c r="E1354" t="s">
        <v>386</v>
      </c>
      <c r="F1354" t="s">
        <v>4911</v>
      </c>
      <c r="G1354" t="s">
        <v>1238</v>
      </c>
      <c r="H1354" t="s">
        <v>4912</v>
      </c>
      <c r="I1354">
        <v>14006</v>
      </c>
      <c r="J1354" t="s">
        <v>4911</v>
      </c>
      <c r="K1354" t="s">
        <v>4913</v>
      </c>
      <c r="L1354" t="s">
        <v>386</v>
      </c>
      <c r="M1354" t="s">
        <v>1184</v>
      </c>
      <c r="N1354">
        <v>14006</v>
      </c>
      <c r="O1354">
        <v>25</v>
      </c>
      <c r="Q1354" t="s">
        <v>4914</v>
      </c>
      <c r="T1354">
        <v>35</v>
      </c>
      <c r="V1354" t="s">
        <v>2015</v>
      </c>
      <c r="W1354" t="s">
        <v>3321</v>
      </c>
      <c r="X1354">
        <v>246</v>
      </c>
      <c r="Z1354" t="s">
        <v>4915</v>
      </c>
      <c r="AA1354" t="s">
        <v>387</v>
      </c>
      <c r="AB1354">
        <v>0</v>
      </c>
      <c r="AC1354">
        <v>5291</v>
      </c>
      <c r="AD1354" t="s">
        <v>4916</v>
      </c>
      <c r="AE1354">
        <v>18</v>
      </c>
      <c r="AF1354" t="s">
        <v>1259</v>
      </c>
      <c r="AG1354" t="s">
        <v>1244</v>
      </c>
      <c r="AH1354" t="s">
        <v>4917</v>
      </c>
    </row>
    <row r="1355" spans="1:34" x14ac:dyDescent="0.25">
      <c r="A1355">
        <v>1792</v>
      </c>
      <c r="C1355" s="185"/>
      <c r="E1355" t="s">
        <v>386</v>
      </c>
      <c r="F1355" t="s">
        <v>4918</v>
      </c>
      <c r="G1355" t="s">
        <v>1238</v>
      </c>
      <c r="H1355" t="s">
        <v>4919</v>
      </c>
      <c r="I1355">
        <v>14650</v>
      </c>
      <c r="J1355" t="s">
        <v>4918</v>
      </c>
      <c r="K1355" t="s">
        <v>4920</v>
      </c>
      <c r="L1355" t="s">
        <v>386</v>
      </c>
      <c r="M1355" t="s">
        <v>1184</v>
      </c>
      <c r="N1355">
        <v>14650</v>
      </c>
      <c r="O1355">
        <v>25</v>
      </c>
      <c r="Q1355" t="s">
        <v>4921</v>
      </c>
      <c r="T1355">
        <v>246</v>
      </c>
      <c r="V1355" t="s">
        <v>3321</v>
      </c>
      <c r="W1355" t="s">
        <v>1215</v>
      </c>
      <c r="X1355">
        <v>259</v>
      </c>
      <c r="Z1355" t="s">
        <v>1053</v>
      </c>
      <c r="AA1355" t="s">
        <v>387</v>
      </c>
      <c r="AB1355">
        <v>19000</v>
      </c>
      <c r="AC1355">
        <v>1981</v>
      </c>
      <c r="AD1355" t="s">
        <v>4922</v>
      </c>
      <c r="AE1355">
        <v>18</v>
      </c>
      <c r="AF1355" t="s">
        <v>1259</v>
      </c>
      <c r="AG1355" t="s">
        <v>1244</v>
      </c>
      <c r="AH1355" t="s">
        <v>4923</v>
      </c>
    </row>
    <row r="1356" spans="1:34" x14ac:dyDescent="0.25">
      <c r="A1356">
        <v>1025</v>
      </c>
      <c r="C1356" s="185"/>
      <c r="D1356" t="s">
        <v>157</v>
      </c>
      <c r="E1356" t="s">
        <v>386</v>
      </c>
      <c r="F1356" t="s">
        <v>4924</v>
      </c>
      <c r="G1356" t="s">
        <v>1238</v>
      </c>
      <c r="H1356" t="s">
        <v>4925</v>
      </c>
      <c r="I1356">
        <v>12462</v>
      </c>
      <c r="J1356" t="s">
        <v>4924</v>
      </c>
      <c r="K1356" t="s">
        <v>4926</v>
      </c>
      <c r="L1356" t="s">
        <v>386</v>
      </c>
      <c r="M1356" t="s">
        <v>1184</v>
      </c>
      <c r="N1356">
        <v>12462</v>
      </c>
      <c r="O1356">
        <v>59</v>
      </c>
      <c r="Q1356" t="s">
        <v>4927</v>
      </c>
      <c r="T1356">
        <v>52</v>
      </c>
      <c r="V1356" t="s">
        <v>2024</v>
      </c>
      <c r="W1356" t="s">
        <v>3321</v>
      </c>
      <c r="X1356">
        <v>246</v>
      </c>
      <c r="Z1356" t="s">
        <v>4928</v>
      </c>
      <c r="AA1356" t="s">
        <v>387</v>
      </c>
      <c r="AB1356">
        <v>0</v>
      </c>
      <c r="AC1356">
        <v>4679</v>
      </c>
      <c r="AD1356" t="s">
        <v>4929</v>
      </c>
      <c r="AE1356">
        <v>18</v>
      </c>
      <c r="AF1356" t="s">
        <v>1259</v>
      </c>
      <c r="AG1356" t="s">
        <v>4930</v>
      </c>
    </row>
    <row r="1357" spans="1:34" x14ac:dyDescent="0.25">
      <c r="A1357">
        <v>1275</v>
      </c>
      <c r="C1357" s="185"/>
      <c r="D1357" t="s">
        <v>157</v>
      </c>
      <c r="E1357" t="s">
        <v>386</v>
      </c>
      <c r="F1357" t="s">
        <v>4931</v>
      </c>
      <c r="G1357" t="s">
        <v>1238</v>
      </c>
      <c r="H1357" t="s">
        <v>4725</v>
      </c>
      <c r="I1357">
        <v>6695</v>
      </c>
      <c r="J1357" t="s">
        <v>4931</v>
      </c>
      <c r="K1357" t="s">
        <v>4932</v>
      </c>
      <c r="L1357" t="s">
        <v>386</v>
      </c>
      <c r="M1357" t="s">
        <v>1184</v>
      </c>
      <c r="N1357">
        <v>6695</v>
      </c>
      <c r="O1357">
        <v>0</v>
      </c>
      <c r="Q1357" t="s">
        <v>4933</v>
      </c>
      <c r="T1357">
        <v>39</v>
      </c>
      <c r="V1357" t="s">
        <v>2144</v>
      </c>
      <c r="Z1357" t="s">
        <v>2124</v>
      </c>
      <c r="AA1357" t="s">
        <v>387</v>
      </c>
      <c r="AB1357">
        <v>0</v>
      </c>
      <c r="AC1357">
        <v>2984</v>
      </c>
      <c r="AD1357" t="s">
        <v>4931</v>
      </c>
      <c r="AE1357">
        <v>18</v>
      </c>
      <c r="AF1357" t="s">
        <v>1259</v>
      </c>
      <c r="AG1357" t="s">
        <v>1244</v>
      </c>
    </row>
    <row r="1358" spans="1:34" x14ac:dyDescent="0.25">
      <c r="A1358">
        <v>1155</v>
      </c>
      <c r="C1358" s="185"/>
      <c r="D1358" t="s">
        <v>157</v>
      </c>
      <c r="E1358" t="s">
        <v>386</v>
      </c>
      <c r="F1358" t="s">
        <v>4934</v>
      </c>
      <c r="G1358" t="s">
        <v>1238</v>
      </c>
      <c r="H1358" t="s">
        <v>4912</v>
      </c>
      <c r="I1358">
        <v>14007</v>
      </c>
      <c r="J1358" t="s">
        <v>322</v>
      </c>
      <c r="K1358" t="s">
        <v>4935</v>
      </c>
      <c r="L1358" t="s">
        <v>386</v>
      </c>
      <c r="M1358" t="s">
        <v>1184</v>
      </c>
      <c r="N1358">
        <v>15329</v>
      </c>
      <c r="O1358">
        <v>25</v>
      </c>
      <c r="Q1358" t="s">
        <v>4936</v>
      </c>
      <c r="T1358">
        <v>272</v>
      </c>
      <c r="V1358" t="s">
        <v>2107</v>
      </c>
      <c r="W1358" t="s">
        <v>2107</v>
      </c>
      <c r="X1358">
        <v>272</v>
      </c>
      <c r="Z1358" t="s">
        <v>4915</v>
      </c>
      <c r="AA1358" t="s">
        <v>387</v>
      </c>
      <c r="AB1358">
        <v>0</v>
      </c>
      <c r="AC1358">
        <v>4830</v>
      </c>
      <c r="AD1358" t="s">
        <v>2075</v>
      </c>
      <c r="AE1358">
        <v>18</v>
      </c>
      <c r="AF1358" t="s">
        <v>1259</v>
      </c>
      <c r="AG1358" t="s">
        <v>1244</v>
      </c>
      <c r="AH1358" t="s">
        <v>4937</v>
      </c>
    </row>
    <row r="1359" spans="1:34" x14ac:dyDescent="0.25">
      <c r="A1359">
        <v>95</v>
      </c>
      <c r="C1359" s="185"/>
      <c r="E1359" t="s">
        <v>386</v>
      </c>
      <c r="F1359" t="s">
        <v>4938</v>
      </c>
      <c r="G1359" t="s">
        <v>1197</v>
      </c>
      <c r="H1359" t="s">
        <v>4939</v>
      </c>
      <c r="I1359">
        <v>6797</v>
      </c>
      <c r="J1359" t="s">
        <v>4938</v>
      </c>
      <c r="K1359" t="s">
        <v>4938</v>
      </c>
      <c r="L1359" t="s">
        <v>386</v>
      </c>
      <c r="M1359" t="s">
        <v>1193</v>
      </c>
      <c r="N1359">
        <v>6797</v>
      </c>
      <c r="O1359">
        <v>0</v>
      </c>
      <c r="Q1359" t="s">
        <v>4940</v>
      </c>
      <c r="T1359">
        <v>39</v>
      </c>
      <c r="V1359" t="s">
        <v>2144</v>
      </c>
      <c r="Z1359" t="s">
        <v>952</v>
      </c>
      <c r="AA1359" t="s">
        <v>387</v>
      </c>
      <c r="AB1359">
        <v>0</v>
      </c>
      <c r="AC1359">
        <v>3016</v>
      </c>
      <c r="AD1359" t="s">
        <v>4941</v>
      </c>
      <c r="AE1359">
        <v>311</v>
      </c>
      <c r="AF1359" t="s">
        <v>4126</v>
      </c>
      <c r="AG1359" t="s">
        <v>4942</v>
      </c>
      <c r="AH1359" t="s">
        <v>4943</v>
      </c>
    </row>
    <row r="1360" spans="1:34" x14ac:dyDescent="0.25">
      <c r="A1360">
        <v>1776</v>
      </c>
      <c r="C1360" s="185"/>
      <c r="D1360" t="s">
        <v>157</v>
      </c>
      <c r="E1360" t="s">
        <v>386</v>
      </c>
      <c r="F1360" t="s">
        <v>4944</v>
      </c>
      <c r="G1360" t="s">
        <v>1238</v>
      </c>
      <c r="H1360" t="s">
        <v>4945</v>
      </c>
      <c r="I1360">
        <v>6779</v>
      </c>
      <c r="J1360" t="s">
        <v>4944</v>
      </c>
      <c r="K1360" t="s">
        <v>4946</v>
      </c>
      <c r="L1360" t="s">
        <v>386</v>
      </c>
      <c r="M1360" t="s">
        <v>1184</v>
      </c>
      <c r="N1360">
        <v>6779</v>
      </c>
      <c r="O1360">
        <v>0</v>
      </c>
      <c r="Q1360" t="s">
        <v>4947</v>
      </c>
      <c r="R1360" t="s">
        <v>398</v>
      </c>
      <c r="T1360">
        <v>280</v>
      </c>
      <c r="V1360" t="s">
        <v>3202</v>
      </c>
      <c r="W1360" t="s">
        <v>2458</v>
      </c>
      <c r="X1360">
        <v>44</v>
      </c>
      <c r="Z1360" t="s">
        <v>4948</v>
      </c>
      <c r="AA1360" t="s">
        <v>387</v>
      </c>
      <c r="AB1360">
        <v>0</v>
      </c>
      <c r="AC1360">
        <v>3010</v>
      </c>
      <c r="AD1360" t="s">
        <v>4949</v>
      </c>
      <c r="AE1360">
        <v>18</v>
      </c>
      <c r="AF1360" t="s">
        <v>1259</v>
      </c>
      <c r="AG1360" t="s">
        <v>1244</v>
      </c>
      <c r="AH1360" t="s">
        <v>4950</v>
      </c>
    </row>
    <row r="1361" spans="1:34" x14ac:dyDescent="0.25">
      <c r="A1361">
        <v>1815</v>
      </c>
      <c r="C1361" s="185"/>
      <c r="D1361" t="s">
        <v>157</v>
      </c>
      <c r="E1361" t="s">
        <v>386</v>
      </c>
      <c r="F1361" t="s">
        <v>4944</v>
      </c>
      <c r="G1361" t="s">
        <v>1238</v>
      </c>
      <c r="H1361" t="s">
        <v>4951</v>
      </c>
      <c r="I1361">
        <v>8190</v>
      </c>
      <c r="J1361" t="s">
        <v>4946</v>
      </c>
      <c r="K1361" t="s">
        <v>4946</v>
      </c>
      <c r="L1361" t="s">
        <v>386</v>
      </c>
      <c r="M1361" t="s">
        <v>1184</v>
      </c>
      <c r="N1361">
        <v>6779</v>
      </c>
      <c r="O1361">
        <v>0</v>
      </c>
      <c r="Q1361" t="s">
        <v>4952</v>
      </c>
      <c r="R1361" t="s">
        <v>398</v>
      </c>
      <c r="T1361">
        <v>280</v>
      </c>
      <c r="V1361" t="s">
        <v>3202</v>
      </c>
      <c r="W1361" t="s">
        <v>3202</v>
      </c>
      <c r="X1361">
        <v>280</v>
      </c>
      <c r="Z1361" t="s">
        <v>4953</v>
      </c>
      <c r="AA1361" t="s">
        <v>387</v>
      </c>
      <c r="AB1361">
        <v>7000</v>
      </c>
      <c r="AC1361">
        <v>3298</v>
      </c>
      <c r="AD1361" t="s">
        <v>4954</v>
      </c>
      <c r="AE1361">
        <v>18</v>
      </c>
      <c r="AF1361" t="s">
        <v>1259</v>
      </c>
      <c r="AG1361" t="s">
        <v>1244</v>
      </c>
    </row>
    <row r="1362" spans="1:34" x14ac:dyDescent="0.25">
      <c r="A1362">
        <v>1373</v>
      </c>
      <c r="C1362" s="185"/>
      <c r="D1362" t="s">
        <v>157</v>
      </c>
      <c r="E1362" t="s">
        <v>386</v>
      </c>
      <c r="F1362" t="s">
        <v>4955</v>
      </c>
      <c r="G1362" t="s">
        <v>1192</v>
      </c>
      <c r="H1362" t="s">
        <v>4956</v>
      </c>
      <c r="I1362">
        <v>8203</v>
      </c>
      <c r="J1362" t="s">
        <v>4955</v>
      </c>
      <c r="K1362" t="s">
        <v>4957</v>
      </c>
      <c r="L1362" t="s">
        <v>386</v>
      </c>
      <c r="M1362" t="s">
        <v>1184</v>
      </c>
      <c r="N1362">
        <v>8203</v>
      </c>
      <c r="O1362">
        <v>0</v>
      </c>
      <c r="Q1362" t="s">
        <v>4958</v>
      </c>
      <c r="R1362" t="s">
        <v>398</v>
      </c>
      <c r="T1362">
        <v>185</v>
      </c>
      <c r="V1362" t="s">
        <v>1915</v>
      </c>
      <c r="Z1362" t="s">
        <v>4186</v>
      </c>
      <c r="AA1362" t="s">
        <v>387</v>
      </c>
      <c r="AB1362">
        <v>0</v>
      </c>
      <c r="AC1362">
        <v>3303</v>
      </c>
      <c r="AD1362" t="s">
        <v>4959</v>
      </c>
      <c r="AE1362">
        <v>18</v>
      </c>
      <c r="AF1362" t="s">
        <v>1259</v>
      </c>
      <c r="AG1362" t="s">
        <v>1244</v>
      </c>
    </row>
    <row r="1363" spans="1:34" x14ac:dyDescent="0.25">
      <c r="A1363">
        <v>1674</v>
      </c>
      <c r="C1363" s="185"/>
      <c r="D1363" t="s">
        <v>157</v>
      </c>
      <c r="E1363" t="s">
        <v>386</v>
      </c>
      <c r="F1363" t="s">
        <v>4960</v>
      </c>
      <c r="G1363" t="s">
        <v>1192</v>
      </c>
      <c r="H1363" t="s">
        <v>2684</v>
      </c>
      <c r="I1363">
        <v>8434</v>
      </c>
      <c r="J1363" t="s">
        <v>4960</v>
      </c>
      <c r="K1363" t="s">
        <v>4961</v>
      </c>
      <c r="L1363" t="s">
        <v>386</v>
      </c>
      <c r="M1363" t="s">
        <v>1184</v>
      </c>
      <c r="N1363">
        <v>8434</v>
      </c>
      <c r="O1363">
        <v>0</v>
      </c>
      <c r="Q1363" t="s">
        <v>4962</v>
      </c>
      <c r="R1363" t="s">
        <v>398</v>
      </c>
      <c r="T1363">
        <v>35</v>
      </c>
      <c r="V1363" t="s">
        <v>2015</v>
      </c>
      <c r="Z1363" t="s">
        <v>2685</v>
      </c>
      <c r="AA1363" t="s">
        <v>387</v>
      </c>
      <c r="AB1363">
        <v>0</v>
      </c>
      <c r="AC1363">
        <v>3373</v>
      </c>
      <c r="AD1363" t="s">
        <v>4963</v>
      </c>
      <c r="AE1363">
        <v>18</v>
      </c>
      <c r="AF1363" t="s">
        <v>1259</v>
      </c>
      <c r="AG1363" t="s">
        <v>1244</v>
      </c>
    </row>
    <row r="1364" spans="1:34" x14ac:dyDescent="0.25">
      <c r="A1364">
        <v>1</v>
      </c>
      <c r="C1364" s="185"/>
      <c r="D1364" t="s">
        <v>157</v>
      </c>
      <c r="E1364" t="s">
        <v>386</v>
      </c>
      <c r="F1364" t="s">
        <v>4964</v>
      </c>
      <c r="G1364" t="s">
        <v>1192</v>
      </c>
      <c r="H1364" t="s">
        <v>4891</v>
      </c>
      <c r="I1364">
        <v>8206</v>
      </c>
      <c r="J1364" t="s">
        <v>4964</v>
      </c>
      <c r="K1364" t="s">
        <v>4964</v>
      </c>
      <c r="L1364" t="s">
        <v>386</v>
      </c>
      <c r="M1364" t="s">
        <v>1184</v>
      </c>
      <c r="N1364">
        <v>8206</v>
      </c>
      <c r="O1364">
        <v>0</v>
      </c>
      <c r="Q1364" t="s">
        <v>4965</v>
      </c>
      <c r="R1364" t="s">
        <v>398</v>
      </c>
      <c r="T1364">
        <v>260</v>
      </c>
      <c r="V1364" t="s">
        <v>1216</v>
      </c>
      <c r="Z1364" t="s">
        <v>865</v>
      </c>
      <c r="AA1364" t="s">
        <v>387</v>
      </c>
      <c r="AB1364">
        <v>0</v>
      </c>
      <c r="AC1364">
        <v>3304</v>
      </c>
      <c r="AD1364" t="s">
        <v>4966</v>
      </c>
      <c r="AE1364">
        <v>18</v>
      </c>
      <c r="AF1364" t="s">
        <v>1259</v>
      </c>
      <c r="AG1364" t="s">
        <v>1244</v>
      </c>
    </row>
    <row r="1365" spans="1:34" x14ac:dyDescent="0.25">
      <c r="A1365">
        <v>34</v>
      </c>
      <c r="B1365" t="s">
        <v>1313</v>
      </c>
      <c r="C1365" s="185"/>
      <c r="D1365" t="s">
        <v>157</v>
      </c>
      <c r="E1365" t="s">
        <v>386</v>
      </c>
      <c r="F1365" t="s">
        <v>4967</v>
      </c>
      <c r="G1365" t="s">
        <v>1238</v>
      </c>
      <c r="H1365" t="s">
        <v>4968</v>
      </c>
      <c r="I1365">
        <v>123</v>
      </c>
      <c r="J1365" t="s">
        <v>4967</v>
      </c>
      <c r="K1365" t="s">
        <v>4967</v>
      </c>
      <c r="L1365" t="s">
        <v>386</v>
      </c>
      <c r="M1365" t="s">
        <v>1184</v>
      </c>
      <c r="N1365">
        <v>123</v>
      </c>
      <c r="O1365">
        <v>35</v>
      </c>
      <c r="Q1365" t="s">
        <v>4969</v>
      </c>
      <c r="R1365" t="s">
        <v>398</v>
      </c>
      <c r="S1365" t="s">
        <v>1909</v>
      </c>
      <c r="T1365">
        <v>259</v>
      </c>
      <c r="U1365">
        <v>0</v>
      </c>
      <c r="V1365" t="s">
        <v>1215</v>
      </c>
      <c r="W1365" t="s">
        <v>2458</v>
      </c>
      <c r="X1365">
        <v>44</v>
      </c>
      <c r="Y1365" t="s">
        <v>1317</v>
      </c>
      <c r="Z1365" t="s">
        <v>4970</v>
      </c>
      <c r="AA1365" t="s">
        <v>387</v>
      </c>
      <c r="AB1365">
        <v>27000</v>
      </c>
      <c r="AC1365">
        <v>97</v>
      </c>
      <c r="AD1365" t="s">
        <v>4971</v>
      </c>
      <c r="AE1365">
        <v>18</v>
      </c>
      <c r="AF1365" t="s">
        <v>1259</v>
      </c>
      <c r="AG1365" t="s">
        <v>1931</v>
      </c>
      <c r="AH1365" t="s">
        <v>4972</v>
      </c>
    </row>
    <row r="1366" spans="1:34" x14ac:dyDescent="0.25">
      <c r="A1366">
        <v>1815</v>
      </c>
      <c r="B1366" t="s">
        <v>1313</v>
      </c>
      <c r="C1366" s="185"/>
      <c r="D1366" t="s">
        <v>157</v>
      </c>
      <c r="E1366" t="s">
        <v>386</v>
      </c>
      <c r="F1366" t="s">
        <v>4967</v>
      </c>
      <c r="G1366" t="s">
        <v>1238</v>
      </c>
      <c r="H1366" t="s">
        <v>4951</v>
      </c>
      <c r="I1366">
        <v>8385</v>
      </c>
      <c r="J1366" t="s">
        <v>4973</v>
      </c>
      <c r="K1366" t="s">
        <v>4974</v>
      </c>
      <c r="L1366" t="s">
        <v>386</v>
      </c>
      <c r="M1366" t="s">
        <v>1184</v>
      </c>
      <c r="N1366">
        <v>123</v>
      </c>
      <c r="O1366">
        <v>35</v>
      </c>
      <c r="Q1366" t="s">
        <v>4975</v>
      </c>
      <c r="R1366" t="s">
        <v>398</v>
      </c>
      <c r="S1366" t="s">
        <v>1909</v>
      </c>
      <c r="T1366">
        <v>259</v>
      </c>
      <c r="U1366">
        <v>0</v>
      </c>
      <c r="V1366" t="s">
        <v>1215</v>
      </c>
      <c r="W1366" t="s">
        <v>2458</v>
      </c>
      <c r="X1366">
        <v>44</v>
      </c>
      <c r="Y1366" t="s">
        <v>1317</v>
      </c>
      <c r="Z1366" t="s">
        <v>4953</v>
      </c>
      <c r="AA1366" t="s">
        <v>387</v>
      </c>
      <c r="AB1366">
        <v>7000</v>
      </c>
      <c r="AC1366">
        <v>3356</v>
      </c>
      <c r="AD1366" t="s">
        <v>4976</v>
      </c>
      <c r="AE1366">
        <v>18</v>
      </c>
      <c r="AF1366" t="s">
        <v>1259</v>
      </c>
      <c r="AG1366" t="s">
        <v>1244</v>
      </c>
    </row>
    <row r="1367" spans="1:34" x14ac:dyDescent="0.25">
      <c r="A1367">
        <v>1815</v>
      </c>
      <c r="C1367" s="185">
        <v>44510</v>
      </c>
      <c r="D1367" t="s">
        <v>157</v>
      </c>
      <c r="E1367" t="s">
        <v>386</v>
      </c>
      <c r="F1367" t="s">
        <v>4977</v>
      </c>
      <c r="G1367" t="s">
        <v>1238</v>
      </c>
      <c r="H1367" t="s">
        <v>4951</v>
      </c>
      <c r="I1367">
        <v>8429</v>
      </c>
      <c r="J1367" t="s">
        <v>4977</v>
      </c>
      <c r="K1367" t="s">
        <v>4977</v>
      </c>
      <c r="L1367" t="s">
        <v>386</v>
      </c>
      <c r="M1367" t="s">
        <v>1184</v>
      </c>
      <c r="N1367">
        <v>8429</v>
      </c>
      <c r="O1367">
        <v>0</v>
      </c>
      <c r="Q1367" t="s">
        <v>4978</v>
      </c>
      <c r="R1367" t="s">
        <v>398</v>
      </c>
      <c r="T1367">
        <v>259</v>
      </c>
      <c r="V1367" t="s">
        <v>1215</v>
      </c>
      <c r="W1367" t="s">
        <v>2458</v>
      </c>
      <c r="X1367">
        <v>44</v>
      </c>
      <c r="Z1367" t="s">
        <v>4953</v>
      </c>
      <c r="AA1367" t="s">
        <v>387</v>
      </c>
      <c r="AB1367">
        <v>7000</v>
      </c>
      <c r="AC1367">
        <v>3372</v>
      </c>
      <c r="AD1367" t="s">
        <v>4979</v>
      </c>
      <c r="AE1367">
        <v>18</v>
      </c>
      <c r="AF1367" t="s">
        <v>1259</v>
      </c>
      <c r="AG1367" t="s">
        <v>1244</v>
      </c>
      <c r="AH1367" t="s">
        <v>4972</v>
      </c>
    </row>
    <row r="1368" spans="1:34" x14ac:dyDescent="0.25">
      <c r="A1368">
        <v>1785</v>
      </c>
      <c r="C1368" s="185"/>
      <c r="E1368" t="s">
        <v>386</v>
      </c>
      <c r="F1368" t="s">
        <v>4980</v>
      </c>
      <c r="G1368" t="s">
        <v>1238</v>
      </c>
      <c r="H1368" t="s">
        <v>4981</v>
      </c>
      <c r="I1368">
        <v>9145</v>
      </c>
      <c r="J1368" t="s">
        <v>4980</v>
      </c>
      <c r="K1368" t="s">
        <v>4980</v>
      </c>
      <c r="L1368" t="s">
        <v>386</v>
      </c>
      <c r="M1368" t="s">
        <v>1184</v>
      </c>
      <c r="N1368">
        <v>9145</v>
      </c>
      <c r="O1368">
        <v>0</v>
      </c>
      <c r="Q1368" t="s">
        <v>4982</v>
      </c>
      <c r="R1368" t="s">
        <v>398</v>
      </c>
      <c r="T1368">
        <v>280</v>
      </c>
      <c r="V1368" t="s">
        <v>3202</v>
      </c>
      <c r="W1368" t="s">
        <v>1215</v>
      </c>
      <c r="X1368">
        <v>259</v>
      </c>
      <c r="Z1368" t="s">
        <v>4983</v>
      </c>
      <c r="AA1368" t="s">
        <v>387</v>
      </c>
      <c r="AB1368">
        <v>0</v>
      </c>
      <c r="AC1368">
        <v>3643</v>
      </c>
      <c r="AD1368" t="s">
        <v>4984</v>
      </c>
      <c r="AE1368">
        <v>18</v>
      </c>
      <c r="AF1368" t="s">
        <v>1259</v>
      </c>
      <c r="AG1368" t="s">
        <v>1244</v>
      </c>
    </row>
    <row r="1369" spans="1:34" x14ac:dyDescent="0.25">
      <c r="A1369">
        <v>1697</v>
      </c>
      <c r="C1369" s="185"/>
      <c r="D1369" t="s">
        <v>157</v>
      </c>
      <c r="E1369" t="s">
        <v>386</v>
      </c>
      <c r="F1369" t="s">
        <v>4985</v>
      </c>
      <c r="G1369" t="s">
        <v>1192</v>
      </c>
      <c r="H1369" t="s">
        <v>4986</v>
      </c>
      <c r="I1369">
        <v>6332</v>
      </c>
      <c r="J1369" t="s">
        <v>4985</v>
      </c>
      <c r="K1369" t="s">
        <v>4987</v>
      </c>
      <c r="L1369" t="s">
        <v>386</v>
      </c>
      <c r="M1369" t="s">
        <v>1184</v>
      </c>
      <c r="N1369">
        <v>6332</v>
      </c>
      <c r="O1369">
        <v>0</v>
      </c>
      <c r="Q1369" t="s">
        <v>4988</v>
      </c>
      <c r="T1369">
        <v>39</v>
      </c>
      <c r="V1369" t="s">
        <v>2144</v>
      </c>
      <c r="Z1369" t="s">
        <v>4989</v>
      </c>
      <c r="AA1369" t="s">
        <v>387</v>
      </c>
      <c r="AB1369">
        <v>0</v>
      </c>
      <c r="AC1369">
        <v>2870</v>
      </c>
      <c r="AD1369" t="s">
        <v>4990</v>
      </c>
      <c r="AE1369">
        <v>18</v>
      </c>
      <c r="AF1369" t="s">
        <v>1259</v>
      </c>
      <c r="AG1369" t="s">
        <v>1244</v>
      </c>
      <c r="AH1369" t="s">
        <v>4991</v>
      </c>
    </row>
    <row r="1370" spans="1:34" x14ac:dyDescent="0.25">
      <c r="A1370">
        <v>124</v>
      </c>
      <c r="C1370" s="185"/>
      <c r="D1370" t="s">
        <v>157</v>
      </c>
      <c r="E1370" t="s">
        <v>386</v>
      </c>
      <c r="F1370" t="s">
        <v>4992</v>
      </c>
      <c r="G1370" t="s">
        <v>1238</v>
      </c>
      <c r="H1370" t="s">
        <v>4993</v>
      </c>
      <c r="I1370">
        <v>8658</v>
      </c>
      <c r="J1370" t="s">
        <v>4992</v>
      </c>
      <c r="K1370" t="s">
        <v>4992</v>
      </c>
      <c r="L1370" t="s">
        <v>386</v>
      </c>
      <c r="M1370" t="s">
        <v>1184</v>
      </c>
      <c r="N1370">
        <v>8658</v>
      </c>
      <c r="O1370">
        <v>0</v>
      </c>
      <c r="Q1370" t="s">
        <v>4994</v>
      </c>
      <c r="R1370" t="s">
        <v>398</v>
      </c>
      <c r="T1370">
        <v>388</v>
      </c>
      <c r="V1370" t="s">
        <v>1712</v>
      </c>
      <c r="W1370" t="s">
        <v>1910</v>
      </c>
      <c r="X1370">
        <v>189</v>
      </c>
      <c r="Z1370" t="s">
        <v>2679</v>
      </c>
      <c r="AA1370" t="s">
        <v>387</v>
      </c>
      <c r="AB1370">
        <v>0</v>
      </c>
      <c r="AC1370">
        <v>3461</v>
      </c>
      <c r="AD1370" t="s">
        <v>4995</v>
      </c>
      <c r="AE1370">
        <v>18</v>
      </c>
      <c r="AF1370" t="s">
        <v>1259</v>
      </c>
      <c r="AH1370" t="s">
        <v>4996</v>
      </c>
    </row>
    <row r="1371" spans="1:34" x14ac:dyDescent="0.25">
      <c r="A1371">
        <v>1656</v>
      </c>
      <c r="C1371" s="185"/>
      <c r="E1371" t="s">
        <v>386</v>
      </c>
      <c r="F1371" t="s">
        <v>4997</v>
      </c>
      <c r="G1371" t="s">
        <v>1238</v>
      </c>
      <c r="H1371" t="s">
        <v>4998</v>
      </c>
      <c r="I1371">
        <v>12855</v>
      </c>
      <c r="J1371" t="s">
        <v>4997</v>
      </c>
      <c r="K1371" t="s">
        <v>4999</v>
      </c>
      <c r="L1371" t="s">
        <v>386</v>
      </c>
      <c r="M1371" t="s">
        <v>1184</v>
      </c>
      <c r="N1371">
        <v>12855</v>
      </c>
      <c r="O1371">
        <v>0</v>
      </c>
      <c r="Q1371" t="s">
        <v>5000</v>
      </c>
      <c r="R1371" t="s">
        <v>398</v>
      </c>
      <c r="T1371">
        <v>304</v>
      </c>
      <c r="V1371" t="s">
        <v>2067</v>
      </c>
      <c r="Z1371" t="s">
        <v>5001</v>
      </c>
      <c r="AA1371" t="s">
        <v>387</v>
      </c>
      <c r="AB1371">
        <v>0</v>
      </c>
      <c r="AC1371">
        <v>4799</v>
      </c>
      <c r="AD1371" t="s">
        <v>5002</v>
      </c>
      <c r="AE1371">
        <v>2215</v>
      </c>
      <c r="AF1371" t="s">
        <v>5003</v>
      </c>
      <c r="AG1371" t="s">
        <v>1244</v>
      </c>
    </row>
    <row r="1372" spans="1:34" x14ac:dyDescent="0.25">
      <c r="A1372">
        <v>1149</v>
      </c>
      <c r="C1372" s="185"/>
      <c r="E1372" t="s">
        <v>386</v>
      </c>
      <c r="F1372" t="s">
        <v>337</v>
      </c>
      <c r="G1372" t="s">
        <v>1238</v>
      </c>
      <c r="H1372" t="s">
        <v>5004</v>
      </c>
      <c r="I1372">
        <v>13433</v>
      </c>
      <c r="J1372" t="s">
        <v>337</v>
      </c>
      <c r="K1372" t="s">
        <v>5005</v>
      </c>
      <c r="L1372" t="s">
        <v>386</v>
      </c>
      <c r="M1372" t="s">
        <v>1184</v>
      </c>
      <c r="N1372">
        <v>13433</v>
      </c>
      <c r="O1372">
        <v>0</v>
      </c>
      <c r="Q1372" t="s">
        <v>5006</v>
      </c>
      <c r="R1372" t="s">
        <v>398</v>
      </c>
      <c r="T1372">
        <v>35</v>
      </c>
      <c r="V1372" t="s">
        <v>2015</v>
      </c>
      <c r="W1372" t="s">
        <v>2073</v>
      </c>
      <c r="X1372">
        <v>372</v>
      </c>
      <c r="Z1372" t="s">
        <v>5007</v>
      </c>
      <c r="AA1372" t="s">
        <v>387</v>
      </c>
      <c r="AB1372">
        <v>0</v>
      </c>
      <c r="AC1372">
        <v>5038</v>
      </c>
      <c r="AD1372" t="s">
        <v>5008</v>
      </c>
      <c r="AE1372">
        <v>1974</v>
      </c>
      <c r="AF1372" t="s">
        <v>1243</v>
      </c>
      <c r="AG1372" t="s">
        <v>1244</v>
      </c>
    </row>
    <row r="1373" spans="1:34" x14ac:dyDescent="0.25">
      <c r="A1373">
        <v>2035</v>
      </c>
      <c r="C1373" s="185"/>
      <c r="E1373" t="s">
        <v>386</v>
      </c>
      <c r="F1373" t="s">
        <v>5009</v>
      </c>
      <c r="G1373" t="s">
        <v>1238</v>
      </c>
      <c r="H1373" t="s">
        <v>5010</v>
      </c>
      <c r="I1373">
        <v>12970</v>
      </c>
      <c r="J1373" t="s">
        <v>5009</v>
      </c>
      <c r="K1373" t="s">
        <v>5011</v>
      </c>
      <c r="L1373" t="s">
        <v>386</v>
      </c>
      <c r="M1373" t="s">
        <v>1184</v>
      </c>
      <c r="N1373">
        <v>12970</v>
      </c>
      <c r="O1373">
        <v>0</v>
      </c>
      <c r="Q1373" t="s">
        <v>5012</v>
      </c>
      <c r="R1373" t="s">
        <v>398</v>
      </c>
      <c r="T1373">
        <v>388</v>
      </c>
      <c r="V1373" t="s">
        <v>1712</v>
      </c>
      <c r="W1373" t="s">
        <v>2073</v>
      </c>
      <c r="X1373">
        <v>372</v>
      </c>
      <c r="Z1373" t="s">
        <v>5013</v>
      </c>
      <c r="AA1373" t="s">
        <v>387</v>
      </c>
      <c r="AB1373">
        <v>0</v>
      </c>
      <c r="AC1373">
        <v>4836</v>
      </c>
      <c r="AD1373" t="s">
        <v>5014</v>
      </c>
      <c r="AE1373">
        <v>18</v>
      </c>
      <c r="AF1373" t="s">
        <v>1259</v>
      </c>
      <c r="AG1373" t="s">
        <v>1244</v>
      </c>
    </row>
    <row r="1374" spans="1:34" x14ac:dyDescent="0.25">
      <c r="A1374">
        <v>1586</v>
      </c>
      <c r="C1374" s="185"/>
      <c r="D1374" t="s">
        <v>157</v>
      </c>
      <c r="E1374" t="s">
        <v>386</v>
      </c>
      <c r="F1374" t="s">
        <v>5015</v>
      </c>
      <c r="G1374" t="s">
        <v>1238</v>
      </c>
      <c r="H1374" t="s">
        <v>5016</v>
      </c>
      <c r="I1374">
        <v>8358</v>
      </c>
      <c r="J1374" t="s">
        <v>5015</v>
      </c>
      <c r="K1374" t="s">
        <v>5015</v>
      </c>
      <c r="L1374" t="s">
        <v>386</v>
      </c>
      <c r="M1374" t="s">
        <v>1184</v>
      </c>
      <c r="N1374">
        <v>8358</v>
      </c>
      <c r="O1374">
        <v>25</v>
      </c>
      <c r="Q1374" t="s">
        <v>5017</v>
      </c>
      <c r="R1374" t="s">
        <v>398</v>
      </c>
      <c r="T1374">
        <v>246</v>
      </c>
      <c r="V1374" t="s">
        <v>3321</v>
      </c>
      <c r="W1374" t="s">
        <v>1915</v>
      </c>
      <c r="X1374">
        <v>185</v>
      </c>
      <c r="Z1374" t="s">
        <v>5018</v>
      </c>
      <c r="AA1374" t="s">
        <v>387</v>
      </c>
      <c r="AB1374">
        <v>0</v>
      </c>
      <c r="AC1374">
        <v>3349</v>
      </c>
      <c r="AD1374" t="s">
        <v>5019</v>
      </c>
      <c r="AE1374">
        <v>18</v>
      </c>
      <c r="AF1374" t="s">
        <v>1259</v>
      </c>
      <c r="AG1374" t="s">
        <v>1244</v>
      </c>
      <c r="AH1374" t="s">
        <v>5020</v>
      </c>
    </row>
    <row r="1375" spans="1:34" x14ac:dyDescent="0.25">
      <c r="A1375">
        <v>1275</v>
      </c>
      <c r="C1375" s="185"/>
      <c r="D1375" t="s">
        <v>157</v>
      </c>
      <c r="E1375" t="s">
        <v>386</v>
      </c>
      <c r="F1375" t="s">
        <v>5021</v>
      </c>
      <c r="G1375" t="s">
        <v>1192</v>
      </c>
      <c r="H1375" t="s">
        <v>4725</v>
      </c>
      <c r="I1375">
        <v>9144</v>
      </c>
      <c r="J1375" t="s">
        <v>5021</v>
      </c>
      <c r="K1375" t="s">
        <v>5021</v>
      </c>
      <c r="L1375" t="s">
        <v>386</v>
      </c>
      <c r="M1375" t="s">
        <v>1184</v>
      </c>
      <c r="N1375">
        <v>9144</v>
      </c>
      <c r="O1375">
        <v>0</v>
      </c>
      <c r="Q1375" t="s">
        <v>5022</v>
      </c>
      <c r="R1375" t="s">
        <v>398</v>
      </c>
      <c r="T1375">
        <v>388</v>
      </c>
      <c r="V1375" t="s">
        <v>1712</v>
      </c>
      <c r="W1375" t="s">
        <v>1915</v>
      </c>
      <c r="X1375">
        <v>185</v>
      </c>
      <c r="Z1375" t="s">
        <v>2124</v>
      </c>
      <c r="AA1375" t="s">
        <v>387</v>
      </c>
      <c r="AB1375">
        <v>0</v>
      </c>
      <c r="AC1375">
        <v>3642</v>
      </c>
      <c r="AD1375" t="s">
        <v>4727</v>
      </c>
      <c r="AE1375">
        <v>1423</v>
      </c>
      <c r="AF1375" t="s">
        <v>5023</v>
      </c>
      <c r="AG1375" t="s">
        <v>1244</v>
      </c>
    </row>
    <row r="1376" spans="1:34" x14ac:dyDescent="0.25">
      <c r="A1376">
        <v>1820</v>
      </c>
      <c r="C1376" s="185"/>
      <c r="D1376" t="s">
        <v>157</v>
      </c>
      <c r="E1376" t="s">
        <v>386</v>
      </c>
      <c r="F1376" t="s">
        <v>5024</v>
      </c>
      <c r="G1376" t="s">
        <v>1238</v>
      </c>
      <c r="H1376" t="s">
        <v>5025</v>
      </c>
      <c r="I1376">
        <v>11582</v>
      </c>
      <c r="J1376" t="s">
        <v>5024</v>
      </c>
      <c r="K1376" t="s">
        <v>5026</v>
      </c>
      <c r="L1376" t="s">
        <v>386</v>
      </c>
      <c r="M1376" t="s">
        <v>1184</v>
      </c>
      <c r="N1376">
        <v>11582</v>
      </c>
      <c r="O1376">
        <v>59</v>
      </c>
      <c r="Q1376" t="s">
        <v>5027</v>
      </c>
      <c r="R1376" t="s">
        <v>398</v>
      </c>
      <c r="T1376">
        <v>246</v>
      </c>
      <c r="V1376" t="s">
        <v>3321</v>
      </c>
      <c r="W1376" t="s">
        <v>2067</v>
      </c>
      <c r="X1376">
        <v>304</v>
      </c>
      <c r="Z1376" t="s">
        <v>5028</v>
      </c>
      <c r="AA1376" t="s">
        <v>387</v>
      </c>
      <c r="AB1376">
        <v>51000</v>
      </c>
      <c r="AC1376">
        <v>4426</v>
      </c>
      <c r="AD1376" t="s">
        <v>5029</v>
      </c>
      <c r="AE1376">
        <v>18</v>
      </c>
      <c r="AF1376" t="s">
        <v>1259</v>
      </c>
      <c r="AG1376" t="s">
        <v>1931</v>
      </c>
    </row>
    <row r="1377" spans="1:34" x14ac:dyDescent="0.25">
      <c r="A1377">
        <v>53</v>
      </c>
      <c r="C1377" s="185"/>
      <c r="D1377" t="s">
        <v>157</v>
      </c>
      <c r="E1377" t="s">
        <v>386</v>
      </c>
      <c r="F1377" t="s">
        <v>5030</v>
      </c>
      <c r="G1377" t="s">
        <v>1192</v>
      </c>
      <c r="H1377" t="s">
        <v>5031</v>
      </c>
      <c r="I1377">
        <v>8384</v>
      </c>
      <c r="J1377" t="s">
        <v>5030</v>
      </c>
      <c r="K1377" t="s">
        <v>5030</v>
      </c>
      <c r="L1377" t="s">
        <v>386</v>
      </c>
      <c r="M1377" t="s">
        <v>1184</v>
      </c>
      <c r="N1377">
        <v>8384</v>
      </c>
      <c r="O1377">
        <v>0</v>
      </c>
      <c r="Q1377" t="s">
        <v>5032</v>
      </c>
      <c r="R1377" t="s">
        <v>398</v>
      </c>
      <c r="T1377">
        <v>189</v>
      </c>
      <c r="V1377" t="s">
        <v>1910</v>
      </c>
      <c r="Z1377" t="s">
        <v>943</v>
      </c>
      <c r="AA1377" t="s">
        <v>387</v>
      </c>
      <c r="AB1377">
        <v>0</v>
      </c>
      <c r="AC1377">
        <v>3355</v>
      </c>
      <c r="AD1377" t="s">
        <v>5033</v>
      </c>
      <c r="AE1377">
        <v>18</v>
      </c>
      <c r="AF1377" t="s">
        <v>1259</v>
      </c>
      <c r="AG1377" t="s">
        <v>5034</v>
      </c>
    </row>
    <row r="1378" spans="1:34" x14ac:dyDescent="0.25">
      <c r="A1378">
        <v>1765</v>
      </c>
      <c r="C1378" s="185"/>
      <c r="D1378" t="s">
        <v>157</v>
      </c>
      <c r="E1378" t="s">
        <v>386</v>
      </c>
      <c r="F1378" t="s">
        <v>5035</v>
      </c>
      <c r="G1378" t="s">
        <v>1192</v>
      </c>
      <c r="H1378" t="s">
        <v>4900</v>
      </c>
      <c r="I1378">
        <v>8195</v>
      </c>
      <c r="J1378" t="s">
        <v>5035</v>
      </c>
      <c r="K1378" t="s">
        <v>5036</v>
      </c>
      <c r="L1378" t="s">
        <v>386</v>
      </c>
      <c r="M1378" t="s">
        <v>1184</v>
      </c>
      <c r="N1378">
        <v>8195</v>
      </c>
      <c r="O1378">
        <v>0</v>
      </c>
      <c r="Q1378" t="s">
        <v>5037</v>
      </c>
      <c r="R1378" t="s">
        <v>398</v>
      </c>
      <c r="T1378">
        <v>103</v>
      </c>
      <c r="V1378" t="s">
        <v>1530</v>
      </c>
      <c r="Z1378" t="s">
        <v>4903</v>
      </c>
      <c r="AA1378" t="s">
        <v>387</v>
      </c>
      <c r="AB1378">
        <v>0</v>
      </c>
      <c r="AC1378">
        <v>3301</v>
      </c>
      <c r="AD1378" t="s">
        <v>5038</v>
      </c>
      <c r="AE1378">
        <v>899</v>
      </c>
      <c r="AF1378" t="s">
        <v>5039</v>
      </c>
      <c r="AG1378" t="s">
        <v>5040</v>
      </c>
    </row>
    <row r="1379" spans="1:34" x14ac:dyDescent="0.25">
      <c r="A1379">
        <v>1728</v>
      </c>
      <c r="C1379" s="185"/>
      <c r="D1379" t="s">
        <v>157</v>
      </c>
      <c r="E1379" t="s">
        <v>386</v>
      </c>
      <c r="F1379" t="s">
        <v>5041</v>
      </c>
      <c r="G1379" t="s">
        <v>1238</v>
      </c>
      <c r="H1379" t="s">
        <v>5042</v>
      </c>
      <c r="I1379">
        <v>6894</v>
      </c>
      <c r="J1379" t="s">
        <v>5041</v>
      </c>
      <c r="K1379" t="s">
        <v>5043</v>
      </c>
      <c r="L1379" t="s">
        <v>386</v>
      </c>
      <c r="M1379" t="s">
        <v>1184</v>
      </c>
      <c r="N1379">
        <v>6894</v>
      </c>
      <c r="O1379">
        <v>0</v>
      </c>
      <c r="Q1379" t="s">
        <v>5044</v>
      </c>
      <c r="R1379" t="s">
        <v>398</v>
      </c>
      <c r="T1379">
        <v>388</v>
      </c>
      <c r="V1379" t="s">
        <v>1712</v>
      </c>
      <c r="W1379" t="s">
        <v>1205</v>
      </c>
      <c r="X1379">
        <v>2</v>
      </c>
      <c r="Z1379" t="s">
        <v>5045</v>
      </c>
      <c r="AA1379" t="s">
        <v>387</v>
      </c>
      <c r="AB1379">
        <v>0</v>
      </c>
      <c r="AC1379">
        <v>3048</v>
      </c>
      <c r="AD1379" t="s">
        <v>5046</v>
      </c>
      <c r="AE1379">
        <v>18</v>
      </c>
      <c r="AF1379" t="s">
        <v>1259</v>
      </c>
      <c r="AG1379" t="s">
        <v>1244</v>
      </c>
    </row>
    <row r="1380" spans="1:34" x14ac:dyDescent="0.25">
      <c r="A1380">
        <v>1</v>
      </c>
      <c r="C1380" s="185"/>
      <c r="D1380" t="s">
        <v>157</v>
      </c>
      <c r="E1380" t="s">
        <v>386</v>
      </c>
      <c r="F1380" t="s">
        <v>5047</v>
      </c>
      <c r="G1380" t="s">
        <v>1192</v>
      </c>
      <c r="H1380" t="s">
        <v>4891</v>
      </c>
      <c r="I1380">
        <v>8208</v>
      </c>
      <c r="J1380" t="s">
        <v>5047</v>
      </c>
      <c r="K1380" t="s">
        <v>5047</v>
      </c>
      <c r="L1380" t="s">
        <v>386</v>
      </c>
      <c r="M1380" t="s">
        <v>1184</v>
      </c>
      <c r="N1380">
        <v>8208</v>
      </c>
      <c r="O1380">
        <v>0</v>
      </c>
      <c r="Q1380" t="s">
        <v>5048</v>
      </c>
      <c r="R1380" t="s">
        <v>398</v>
      </c>
      <c r="T1380">
        <v>185</v>
      </c>
      <c r="V1380" t="s">
        <v>1915</v>
      </c>
      <c r="Z1380" t="s">
        <v>865</v>
      </c>
      <c r="AA1380" t="s">
        <v>387</v>
      </c>
      <c r="AB1380">
        <v>0</v>
      </c>
      <c r="AC1380">
        <v>3305</v>
      </c>
      <c r="AD1380" t="s">
        <v>5049</v>
      </c>
      <c r="AE1380">
        <v>18</v>
      </c>
      <c r="AF1380" t="s">
        <v>1259</v>
      </c>
      <c r="AG1380" t="s">
        <v>1244</v>
      </c>
    </row>
    <row r="1381" spans="1:34" x14ac:dyDescent="0.25">
      <c r="A1381">
        <v>1</v>
      </c>
      <c r="C1381" s="185"/>
      <c r="D1381" t="s">
        <v>157</v>
      </c>
      <c r="E1381" t="s">
        <v>386</v>
      </c>
      <c r="F1381" t="s">
        <v>5050</v>
      </c>
      <c r="G1381" t="s">
        <v>1238</v>
      </c>
      <c r="H1381" t="s">
        <v>4891</v>
      </c>
      <c r="I1381">
        <v>5747</v>
      </c>
      <c r="J1381" t="s">
        <v>5050</v>
      </c>
      <c r="K1381" t="s">
        <v>5051</v>
      </c>
      <c r="L1381" t="s">
        <v>386</v>
      </c>
      <c r="M1381" t="s">
        <v>1184</v>
      </c>
      <c r="N1381">
        <v>5747</v>
      </c>
      <c r="O1381">
        <v>0</v>
      </c>
      <c r="Q1381" t="s">
        <v>5052</v>
      </c>
      <c r="R1381" t="s">
        <v>398</v>
      </c>
      <c r="T1381">
        <v>39</v>
      </c>
      <c r="V1381" t="s">
        <v>2144</v>
      </c>
      <c r="Z1381" t="s">
        <v>865</v>
      </c>
      <c r="AA1381" t="s">
        <v>387</v>
      </c>
      <c r="AB1381">
        <v>0</v>
      </c>
      <c r="AC1381">
        <v>2707</v>
      </c>
      <c r="AD1381" t="s">
        <v>5053</v>
      </c>
      <c r="AE1381">
        <v>18</v>
      </c>
      <c r="AF1381" t="s">
        <v>1259</v>
      </c>
      <c r="AG1381" t="s">
        <v>1244</v>
      </c>
    </row>
    <row r="1382" spans="1:34" x14ac:dyDescent="0.25">
      <c r="A1382">
        <v>1279</v>
      </c>
      <c r="C1382" s="185"/>
      <c r="D1382" t="s">
        <v>157</v>
      </c>
      <c r="E1382" t="s">
        <v>386</v>
      </c>
      <c r="F1382" t="s">
        <v>5054</v>
      </c>
      <c r="G1382" t="s">
        <v>1197</v>
      </c>
      <c r="H1382" t="s">
        <v>5055</v>
      </c>
      <c r="I1382">
        <v>5108</v>
      </c>
      <c r="J1382" t="s">
        <v>5054</v>
      </c>
      <c r="K1382" t="s">
        <v>5056</v>
      </c>
      <c r="L1382" t="s">
        <v>386</v>
      </c>
      <c r="M1382" t="s">
        <v>1184</v>
      </c>
      <c r="N1382">
        <v>5108</v>
      </c>
      <c r="O1382">
        <v>10</v>
      </c>
      <c r="Q1382" t="s">
        <v>5057</v>
      </c>
      <c r="R1382" t="s">
        <v>398</v>
      </c>
      <c r="T1382">
        <v>52</v>
      </c>
      <c r="V1382" t="s">
        <v>2024</v>
      </c>
      <c r="Z1382" t="s">
        <v>5058</v>
      </c>
      <c r="AA1382" t="s">
        <v>387</v>
      </c>
      <c r="AB1382">
        <v>6000</v>
      </c>
      <c r="AC1382">
        <v>2475</v>
      </c>
      <c r="AD1382" t="s">
        <v>5059</v>
      </c>
      <c r="AE1382">
        <v>18</v>
      </c>
      <c r="AF1382" t="s">
        <v>1259</v>
      </c>
      <c r="AG1382" t="s">
        <v>1244</v>
      </c>
      <c r="AH1382" t="s">
        <v>5060</v>
      </c>
    </row>
    <row r="1383" spans="1:34" x14ac:dyDescent="0.25">
      <c r="A1383">
        <v>1062</v>
      </c>
      <c r="C1383" s="185"/>
      <c r="D1383" t="s">
        <v>157</v>
      </c>
      <c r="E1383" t="s">
        <v>386</v>
      </c>
      <c r="F1383" t="s">
        <v>5061</v>
      </c>
      <c r="G1383" t="s">
        <v>1238</v>
      </c>
      <c r="H1383" t="s">
        <v>5062</v>
      </c>
      <c r="I1383">
        <v>8771</v>
      </c>
      <c r="J1383" t="s">
        <v>5061</v>
      </c>
      <c r="K1383" t="s">
        <v>5061</v>
      </c>
      <c r="L1383" t="s">
        <v>386</v>
      </c>
      <c r="M1383" t="s">
        <v>1184</v>
      </c>
      <c r="N1383">
        <v>8771</v>
      </c>
      <c r="O1383">
        <v>0</v>
      </c>
      <c r="Q1383" t="s">
        <v>5063</v>
      </c>
      <c r="R1383" t="s">
        <v>398</v>
      </c>
      <c r="T1383">
        <v>388</v>
      </c>
      <c r="V1383" t="s">
        <v>1712</v>
      </c>
      <c r="W1383" t="s">
        <v>1915</v>
      </c>
      <c r="X1383">
        <v>185</v>
      </c>
      <c r="Z1383" t="s">
        <v>5064</v>
      </c>
      <c r="AA1383" t="s">
        <v>387</v>
      </c>
      <c r="AB1383">
        <v>0</v>
      </c>
      <c r="AC1383">
        <v>3518</v>
      </c>
      <c r="AD1383" t="s">
        <v>5065</v>
      </c>
      <c r="AE1383">
        <v>18</v>
      </c>
      <c r="AF1383" t="s">
        <v>1259</v>
      </c>
      <c r="AG1383" t="s">
        <v>1244</v>
      </c>
    </row>
    <row r="1384" spans="1:34" x14ac:dyDescent="0.25">
      <c r="A1384">
        <v>1062</v>
      </c>
      <c r="C1384" s="185"/>
      <c r="D1384" t="s">
        <v>157</v>
      </c>
      <c r="E1384" t="s">
        <v>386</v>
      </c>
      <c r="F1384" t="s">
        <v>5066</v>
      </c>
      <c r="G1384" t="s">
        <v>1238</v>
      </c>
      <c r="H1384" t="s">
        <v>5062</v>
      </c>
      <c r="I1384">
        <v>8772</v>
      </c>
      <c r="J1384" t="s">
        <v>5066</v>
      </c>
      <c r="K1384" t="s">
        <v>5066</v>
      </c>
      <c r="L1384" t="s">
        <v>386</v>
      </c>
      <c r="M1384" t="s">
        <v>1184</v>
      </c>
      <c r="N1384">
        <v>8772</v>
      </c>
      <c r="O1384">
        <v>0</v>
      </c>
      <c r="Q1384" t="s">
        <v>5067</v>
      </c>
      <c r="R1384" t="s">
        <v>398</v>
      </c>
      <c r="T1384">
        <v>388</v>
      </c>
      <c r="V1384" t="s">
        <v>1712</v>
      </c>
      <c r="W1384" t="s">
        <v>5068</v>
      </c>
      <c r="X1384">
        <v>226</v>
      </c>
      <c r="Z1384" t="s">
        <v>5064</v>
      </c>
      <c r="AA1384" t="s">
        <v>387</v>
      </c>
      <c r="AB1384">
        <v>0</v>
      </c>
      <c r="AC1384">
        <v>3518</v>
      </c>
      <c r="AD1384" t="s">
        <v>5065</v>
      </c>
      <c r="AE1384">
        <v>18</v>
      </c>
      <c r="AF1384" t="s">
        <v>1259</v>
      </c>
      <c r="AG1384" t="s">
        <v>1244</v>
      </c>
    </row>
    <row r="1385" spans="1:34" x14ac:dyDescent="0.25">
      <c r="A1385">
        <v>1730</v>
      </c>
      <c r="C1385" s="185"/>
      <c r="D1385" t="s">
        <v>157</v>
      </c>
      <c r="E1385" t="s">
        <v>386</v>
      </c>
      <c r="F1385" t="s">
        <v>5066</v>
      </c>
      <c r="G1385" t="s">
        <v>1238</v>
      </c>
      <c r="H1385" t="s">
        <v>5069</v>
      </c>
      <c r="I1385">
        <v>8773</v>
      </c>
      <c r="J1385" t="s">
        <v>5066</v>
      </c>
      <c r="K1385" t="s">
        <v>5066</v>
      </c>
      <c r="L1385" t="s">
        <v>386</v>
      </c>
      <c r="M1385" t="s">
        <v>1184</v>
      </c>
      <c r="N1385">
        <v>8773</v>
      </c>
      <c r="O1385">
        <v>0</v>
      </c>
      <c r="Q1385" t="s">
        <v>5070</v>
      </c>
      <c r="R1385" t="s">
        <v>398</v>
      </c>
      <c r="T1385">
        <v>388</v>
      </c>
      <c r="V1385" t="s">
        <v>1712</v>
      </c>
      <c r="W1385" t="s">
        <v>5068</v>
      </c>
      <c r="X1385">
        <v>226</v>
      </c>
      <c r="Z1385" t="s">
        <v>5071</v>
      </c>
      <c r="AA1385" t="s">
        <v>387</v>
      </c>
      <c r="AB1385">
        <v>0</v>
      </c>
      <c r="AC1385">
        <v>3517</v>
      </c>
      <c r="AD1385" t="s">
        <v>5072</v>
      </c>
      <c r="AE1385">
        <v>18</v>
      </c>
      <c r="AF1385" t="s">
        <v>1259</v>
      </c>
      <c r="AG1385" t="s">
        <v>1244</v>
      </c>
    </row>
    <row r="1386" spans="1:34" x14ac:dyDescent="0.25">
      <c r="A1386">
        <v>1730</v>
      </c>
      <c r="C1386" s="185"/>
      <c r="D1386" t="s">
        <v>157</v>
      </c>
      <c r="E1386" t="s">
        <v>386</v>
      </c>
      <c r="F1386" t="s">
        <v>5073</v>
      </c>
      <c r="G1386" t="s">
        <v>1192</v>
      </c>
      <c r="H1386" t="s">
        <v>5069</v>
      </c>
      <c r="I1386">
        <v>8770</v>
      </c>
      <c r="J1386" t="s">
        <v>5073</v>
      </c>
      <c r="K1386" t="s">
        <v>5073</v>
      </c>
      <c r="L1386" t="s">
        <v>386</v>
      </c>
      <c r="M1386" t="s">
        <v>1184</v>
      </c>
      <c r="N1386">
        <v>8770</v>
      </c>
      <c r="O1386">
        <v>0</v>
      </c>
      <c r="Q1386" t="s">
        <v>5074</v>
      </c>
      <c r="R1386" t="s">
        <v>398</v>
      </c>
      <c r="T1386">
        <v>388</v>
      </c>
      <c r="V1386" t="s">
        <v>1712</v>
      </c>
      <c r="W1386" t="s">
        <v>1915</v>
      </c>
      <c r="X1386">
        <v>185</v>
      </c>
      <c r="Z1386" t="s">
        <v>5071</v>
      </c>
      <c r="AA1386" t="s">
        <v>387</v>
      </c>
      <c r="AB1386">
        <v>0</v>
      </c>
      <c r="AC1386">
        <v>3517</v>
      </c>
      <c r="AD1386" t="s">
        <v>5072</v>
      </c>
      <c r="AE1386">
        <v>18</v>
      </c>
      <c r="AF1386" t="s">
        <v>1259</v>
      </c>
      <c r="AG1386" t="s">
        <v>1244</v>
      </c>
    </row>
    <row r="1387" spans="1:34" x14ac:dyDescent="0.25">
      <c r="A1387">
        <v>1815</v>
      </c>
      <c r="C1387" s="185"/>
      <c r="D1387" t="s">
        <v>157</v>
      </c>
      <c r="E1387" t="s">
        <v>386</v>
      </c>
      <c r="F1387" t="s">
        <v>337</v>
      </c>
      <c r="G1387" t="s">
        <v>1238</v>
      </c>
      <c r="H1387" t="s">
        <v>4951</v>
      </c>
      <c r="I1387">
        <v>12351</v>
      </c>
      <c r="J1387" t="s">
        <v>337</v>
      </c>
      <c r="K1387" t="s">
        <v>5075</v>
      </c>
      <c r="L1387" t="s">
        <v>386</v>
      </c>
      <c r="M1387" t="s">
        <v>1184</v>
      </c>
      <c r="N1387">
        <v>12351</v>
      </c>
      <c r="O1387">
        <v>59</v>
      </c>
      <c r="Q1387" t="s">
        <v>5076</v>
      </c>
      <c r="T1387">
        <v>52</v>
      </c>
      <c r="V1387" t="s">
        <v>2024</v>
      </c>
      <c r="W1387" t="s">
        <v>3321</v>
      </c>
      <c r="X1387">
        <v>246</v>
      </c>
      <c r="Z1387" t="s">
        <v>4953</v>
      </c>
      <c r="AA1387" t="s">
        <v>387</v>
      </c>
      <c r="AB1387">
        <v>51000</v>
      </c>
      <c r="AC1387">
        <v>4653</v>
      </c>
      <c r="AD1387" t="s">
        <v>5077</v>
      </c>
      <c r="AE1387">
        <v>18</v>
      </c>
      <c r="AF1387" t="s">
        <v>1259</v>
      </c>
      <c r="AH1387" t="s">
        <v>5078</v>
      </c>
    </row>
    <row r="1388" spans="1:34" x14ac:dyDescent="0.25">
      <c r="A1388">
        <v>1</v>
      </c>
      <c r="B1388" t="s">
        <v>1313</v>
      </c>
      <c r="C1388" s="185"/>
      <c r="E1388" t="s">
        <v>386</v>
      </c>
      <c r="F1388" t="s">
        <v>5079</v>
      </c>
      <c r="G1388" t="s">
        <v>1197</v>
      </c>
      <c r="H1388" t="s">
        <v>4705</v>
      </c>
      <c r="I1388">
        <v>380</v>
      </c>
      <c r="J1388" t="s">
        <v>5079</v>
      </c>
      <c r="K1388" t="s">
        <v>5079</v>
      </c>
      <c r="L1388" t="s">
        <v>386</v>
      </c>
      <c r="M1388" t="s">
        <v>1193</v>
      </c>
      <c r="N1388">
        <v>380</v>
      </c>
      <c r="O1388">
        <v>0</v>
      </c>
      <c r="Q1388" t="s">
        <v>5080</v>
      </c>
      <c r="S1388" t="s">
        <v>1315</v>
      </c>
      <c r="T1388">
        <v>571</v>
      </c>
      <c r="U1388">
        <v>0</v>
      </c>
      <c r="V1388" t="s">
        <v>2003</v>
      </c>
      <c r="W1388" t="s">
        <v>1216</v>
      </c>
      <c r="X1388">
        <v>260</v>
      </c>
      <c r="Y1388" t="s">
        <v>1317</v>
      </c>
      <c r="Z1388" t="s">
        <v>865</v>
      </c>
      <c r="AA1388" t="s">
        <v>387</v>
      </c>
      <c r="AB1388">
        <v>0</v>
      </c>
      <c r="AC1388">
        <v>10</v>
      </c>
      <c r="AD1388" t="s">
        <v>4708</v>
      </c>
      <c r="AE1388">
        <v>8</v>
      </c>
      <c r="AF1388" t="s">
        <v>2805</v>
      </c>
      <c r="AG1388" t="s">
        <v>5081</v>
      </c>
      <c r="AH1388" t="s">
        <v>5082</v>
      </c>
    </row>
    <row r="1389" spans="1:34" x14ac:dyDescent="0.25">
      <c r="A1389">
        <v>1275</v>
      </c>
      <c r="C1389" s="185"/>
      <c r="D1389" t="s">
        <v>157</v>
      </c>
      <c r="E1389" t="s">
        <v>386</v>
      </c>
      <c r="F1389" t="s">
        <v>5083</v>
      </c>
      <c r="G1389" t="s">
        <v>1192</v>
      </c>
      <c r="H1389" t="s">
        <v>4725</v>
      </c>
      <c r="I1389">
        <v>9143</v>
      </c>
      <c r="J1389" t="s">
        <v>5083</v>
      </c>
      <c r="K1389" t="s">
        <v>5083</v>
      </c>
      <c r="L1389" t="s">
        <v>386</v>
      </c>
      <c r="M1389" t="s">
        <v>1184</v>
      </c>
      <c r="N1389">
        <v>9143</v>
      </c>
      <c r="O1389">
        <v>0</v>
      </c>
      <c r="Q1389" t="s">
        <v>5084</v>
      </c>
      <c r="R1389" t="s">
        <v>398</v>
      </c>
      <c r="T1389">
        <v>388</v>
      </c>
      <c r="V1389" t="s">
        <v>1712</v>
      </c>
      <c r="W1389" t="s">
        <v>1915</v>
      </c>
      <c r="X1389">
        <v>185</v>
      </c>
      <c r="Z1389" t="s">
        <v>2124</v>
      </c>
      <c r="AA1389" t="s">
        <v>387</v>
      </c>
      <c r="AB1389">
        <v>0</v>
      </c>
      <c r="AC1389">
        <v>3641</v>
      </c>
      <c r="AD1389" t="s">
        <v>5085</v>
      </c>
      <c r="AE1389">
        <v>1694</v>
      </c>
      <c r="AF1389" t="s">
        <v>5086</v>
      </c>
      <c r="AG1389" t="s">
        <v>1244</v>
      </c>
    </row>
    <row r="1390" spans="1:34" x14ac:dyDescent="0.25">
      <c r="A1390">
        <v>1778</v>
      </c>
      <c r="C1390" s="185"/>
      <c r="E1390" t="s">
        <v>386</v>
      </c>
      <c r="F1390" t="s">
        <v>5087</v>
      </c>
      <c r="G1390" t="s">
        <v>1192</v>
      </c>
      <c r="H1390" t="s">
        <v>4865</v>
      </c>
      <c r="I1390">
        <v>11578</v>
      </c>
      <c r="J1390" t="s">
        <v>5087</v>
      </c>
      <c r="K1390" t="s">
        <v>5087</v>
      </c>
      <c r="L1390" t="s">
        <v>386</v>
      </c>
      <c r="M1390" t="s">
        <v>1184</v>
      </c>
      <c r="N1390">
        <v>11578</v>
      </c>
      <c r="O1390">
        <v>0</v>
      </c>
      <c r="Q1390" t="s">
        <v>5088</v>
      </c>
      <c r="T1390">
        <v>388</v>
      </c>
      <c r="V1390" t="s">
        <v>1712</v>
      </c>
      <c r="W1390" t="s">
        <v>1216</v>
      </c>
      <c r="X1390">
        <v>260</v>
      </c>
      <c r="Z1390" t="s">
        <v>4868</v>
      </c>
      <c r="AA1390" t="s">
        <v>387</v>
      </c>
      <c r="AB1390">
        <v>0</v>
      </c>
      <c r="AC1390">
        <v>4423</v>
      </c>
      <c r="AD1390" t="s">
        <v>5089</v>
      </c>
      <c r="AE1390">
        <v>18</v>
      </c>
      <c r="AF1390" t="s">
        <v>1259</v>
      </c>
      <c r="AG1390" t="s">
        <v>1244</v>
      </c>
      <c r="AH1390" t="s">
        <v>5090</v>
      </c>
    </row>
    <row r="1391" spans="1:34" x14ac:dyDescent="0.25">
      <c r="A1391">
        <v>2018</v>
      </c>
      <c r="C1391" s="185"/>
      <c r="E1391" t="s">
        <v>386</v>
      </c>
      <c r="F1391" t="s">
        <v>5091</v>
      </c>
      <c r="G1391" t="s">
        <v>1238</v>
      </c>
      <c r="H1391" t="s">
        <v>5092</v>
      </c>
      <c r="I1391">
        <v>12795</v>
      </c>
      <c r="J1391" t="s">
        <v>5091</v>
      </c>
      <c r="K1391" t="s">
        <v>5093</v>
      </c>
      <c r="L1391" t="s">
        <v>386</v>
      </c>
      <c r="M1391" t="s">
        <v>1184</v>
      </c>
      <c r="N1391">
        <v>12795</v>
      </c>
      <c r="O1391">
        <v>0</v>
      </c>
      <c r="Q1391" t="s">
        <v>5094</v>
      </c>
      <c r="R1391" t="s">
        <v>398</v>
      </c>
      <c r="T1391">
        <v>388</v>
      </c>
      <c r="V1391" t="s">
        <v>1712</v>
      </c>
      <c r="W1391" t="s">
        <v>2067</v>
      </c>
      <c r="X1391">
        <v>304</v>
      </c>
      <c r="Z1391" t="s">
        <v>5095</v>
      </c>
      <c r="AA1391" t="s">
        <v>387</v>
      </c>
      <c r="AB1391">
        <v>0</v>
      </c>
      <c r="AC1391">
        <v>4781</v>
      </c>
      <c r="AD1391" t="s">
        <v>5096</v>
      </c>
      <c r="AE1391">
        <v>18</v>
      </c>
      <c r="AF1391" t="s">
        <v>1259</v>
      </c>
      <c r="AG1391" t="s">
        <v>1244</v>
      </c>
    </row>
    <row r="1392" spans="1:34" x14ac:dyDescent="0.25">
      <c r="A1392">
        <v>1697</v>
      </c>
      <c r="C1392" s="185"/>
      <c r="E1392" t="s">
        <v>386</v>
      </c>
      <c r="F1392" t="s">
        <v>5097</v>
      </c>
      <c r="G1392" t="s">
        <v>1192</v>
      </c>
      <c r="H1392" t="s">
        <v>5098</v>
      </c>
      <c r="I1392">
        <v>6303</v>
      </c>
      <c r="J1392" t="s">
        <v>5097</v>
      </c>
      <c r="K1392" t="s">
        <v>5099</v>
      </c>
      <c r="L1392" t="s">
        <v>386</v>
      </c>
      <c r="M1392" t="s">
        <v>1184</v>
      </c>
      <c r="N1392">
        <v>6303</v>
      </c>
      <c r="O1392">
        <v>0</v>
      </c>
      <c r="Q1392" t="s">
        <v>5100</v>
      </c>
      <c r="T1392">
        <v>39</v>
      </c>
      <c r="V1392" t="s">
        <v>2144</v>
      </c>
      <c r="Z1392" t="s">
        <v>4989</v>
      </c>
      <c r="AA1392" t="s">
        <v>387</v>
      </c>
      <c r="AB1392">
        <v>0</v>
      </c>
      <c r="AC1392">
        <v>513</v>
      </c>
      <c r="AD1392" t="s">
        <v>3443</v>
      </c>
      <c r="AE1392">
        <v>18</v>
      </c>
      <c r="AF1392" t="s">
        <v>1259</v>
      </c>
      <c r="AG1392" t="s">
        <v>1244</v>
      </c>
      <c r="AH1392" t="s">
        <v>5101</v>
      </c>
    </row>
    <row r="1393" spans="1:34" x14ac:dyDescent="0.25">
      <c r="A1393">
        <v>1730</v>
      </c>
      <c r="C1393" s="185"/>
      <c r="D1393" t="s">
        <v>157</v>
      </c>
      <c r="E1393" t="s">
        <v>386</v>
      </c>
      <c r="F1393" t="s">
        <v>5102</v>
      </c>
      <c r="G1393" t="s">
        <v>1192</v>
      </c>
      <c r="H1393" t="s">
        <v>5069</v>
      </c>
      <c r="I1393">
        <v>8776</v>
      </c>
      <c r="J1393" t="s">
        <v>5102</v>
      </c>
      <c r="K1393" t="s">
        <v>5102</v>
      </c>
      <c r="L1393" t="s">
        <v>386</v>
      </c>
      <c r="M1393" t="s">
        <v>1184</v>
      </c>
      <c r="N1393">
        <v>8776</v>
      </c>
      <c r="O1393">
        <v>0</v>
      </c>
      <c r="Q1393" t="s">
        <v>5103</v>
      </c>
      <c r="R1393" t="s">
        <v>398</v>
      </c>
      <c r="T1393">
        <v>388</v>
      </c>
      <c r="V1393" t="s">
        <v>1712</v>
      </c>
      <c r="W1393" t="s">
        <v>1915</v>
      </c>
      <c r="X1393">
        <v>185</v>
      </c>
      <c r="Z1393" t="s">
        <v>5071</v>
      </c>
      <c r="AA1393" t="s">
        <v>387</v>
      </c>
      <c r="AB1393">
        <v>0</v>
      </c>
      <c r="AC1393">
        <v>3392</v>
      </c>
      <c r="AD1393" t="s">
        <v>5104</v>
      </c>
      <c r="AE1393">
        <v>18</v>
      </c>
      <c r="AF1393" t="s">
        <v>1259</v>
      </c>
    </row>
    <row r="1394" spans="1:34" x14ac:dyDescent="0.25">
      <c r="A1394">
        <v>1799</v>
      </c>
      <c r="C1394" s="185"/>
      <c r="D1394" t="s">
        <v>157</v>
      </c>
      <c r="E1394" t="s">
        <v>386</v>
      </c>
      <c r="F1394" t="s">
        <v>5105</v>
      </c>
      <c r="G1394" t="s">
        <v>1238</v>
      </c>
      <c r="H1394" t="s">
        <v>5106</v>
      </c>
      <c r="I1394">
        <v>7403</v>
      </c>
      <c r="J1394" t="s">
        <v>5105</v>
      </c>
      <c r="K1394" t="s">
        <v>5105</v>
      </c>
      <c r="L1394" t="s">
        <v>386</v>
      </c>
      <c r="M1394" t="s">
        <v>1184</v>
      </c>
      <c r="N1394">
        <v>7403</v>
      </c>
      <c r="O1394">
        <v>0</v>
      </c>
      <c r="Q1394" t="s">
        <v>5107</v>
      </c>
      <c r="T1394">
        <v>388</v>
      </c>
      <c r="V1394" t="s">
        <v>1712</v>
      </c>
      <c r="W1394" t="s">
        <v>2144</v>
      </c>
      <c r="X1394">
        <v>39</v>
      </c>
      <c r="Z1394" t="s">
        <v>5108</v>
      </c>
      <c r="AA1394" t="s">
        <v>387</v>
      </c>
      <c r="AB1394">
        <v>0</v>
      </c>
      <c r="AC1394">
        <v>3169</v>
      </c>
      <c r="AD1394" t="s">
        <v>5109</v>
      </c>
      <c r="AE1394">
        <v>18</v>
      </c>
      <c r="AF1394" t="s">
        <v>1259</v>
      </c>
      <c r="AG1394" t="s">
        <v>1244</v>
      </c>
    </row>
    <row r="1395" spans="1:34" x14ac:dyDescent="0.25">
      <c r="A1395">
        <v>53</v>
      </c>
      <c r="C1395" s="185"/>
      <c r="D1395" t="s">
        <v>157</v>
      </c>
      <c r="E1395" t="s">
        <v>386</v>
      </c>
      <c r="F1395" t="s">
        <v>5110</v>
      </c>
      <c r="G1395" t="s">
        <v>1192</v>
      </c>
      <c r="H1395" t="s">
        <v>5031</v>
      </c>
      <c r="I1395">
        <v>8635</v>
      </c>
      <c r="J1395" t="s">
        <v>5110</v>
      </c>
      <c r="K1395" t="s">
        <v>5110</v>
      </c>
      <c r="L1395" t="s">
        <v>386</v>
      </c>
      <c r="M1395" t="s">
        <v>1184</v>
      </c>
      <c r="N1395">
        <v>8635</v>
      </c>
      <c r="O1395">
        <v>0</v>
      </c>
      <c r="Q1395" t="s">
        <v>5111</v>
      </c>
      <c r="R1395" t="s">
        <v>398</v>
      </c>
      <c r="T1395">
        <v>388</v>
      </c>
      <c r="V1395" t="s">
        <v>1712</v>
      </c>
      <c r="W1395" t="s">
        <v>1915</v>
      </c>
      <c r="X1395">
        <v>185</v>
      </c>
      <c r="Z1395" t="s">
        <v>943</v>
      </c>
      <c r="AA1395" t="s">
        <v>387</v>
      </c>
      <c r="AB1395">
        <v>0</v>
      </c>
      <c r="AC1395">
        <v>3456</v>
      </c>
      <c r="AD1395" t="s">
        <v>5112</v>
      </c>
      <c r="AE1395">
        <v>18</v>
      </c>
      <c r="AF1395" t="s">
        <v>1259</v>
      </c>
      <c r="AG1395" t="s">
        <v>1244</v>
      </c>
    </row>
    <row r="1396" spans="1:34" x14ac:dyDescent="0.25">
      <c r="A1396">
        <v>1815</v>
      </c>
      <c r="C1396" s="185"/>
      <c r="D1396" t="s">
        <v>157</v>
      </c>
      <c r="E1396" t="s">
        <v>386</v>
      </c>
      <c r="F1396" t="s">
        <v>5113</v>
      </c>
      <c r="G1396" t="s">
        <v>1238</v>
      </c>
      <c r="H1396" t="s">
        <v>4951</v>
      </c>
      <c r="I1396">
        <v>12136</v>
      </c>
      <c r="J1396" t="s">
        <v>5113</v>
      </c>
      <c r="K1396" t="s">
        <v>5113</v>
      </c>
      <c r="L1396" t="s">
        <v>386</v>
      </c>
      <c r="M1396" t="s">
        <v>1184</v>
      </c>
      <c r="N1396">
        <v>12136</v>
      </c>
      <c r="O1396">
        <v>59</v>
      </c>
      <c r="Q1396" t="s">
        <v>5114</v>
      </c>
      <c r="R1396" t="s">
        <v>398</v>
      </c>
      <c r="T1396">
        <v>246</v>
      </c>
      <c r="V1396" t="s">
        <v>3321</v>
      </c>
      <c r="W1396" t="s">
        <v>1712</v>
      </c>
      <c r="X1396">
        <v>388</v>
      </c>
      <c r="Z1396" t="s">
        <v>4953</v>
      </c>
      <c r="AA1396" t="s">
        <v>387</v>
      </c>
      <c r="AB1396">
        <v>35000</v>
      </c>
      <c r="AC1396">
        <v>4594</v>
      </c>
      <c r="AD1396" t="s">
        <v>5115</v>
      </c>
      <c r="AE1396">
        <v>18</v>
      </c>
      <c r="AF1396" t="s">
        <v>1259</v>
      </c>
      <c r="AG1396" t="s">
        <v>5116</v>
      </c>
    </row>
    <row r="1397" spans="1:34" x14ac:dyDescent="0.25">
      <c r="A1397">
        <v>1815</v>
      </c>
      <c r="C1397" s="185"/>
      <c r="E1397" t="s">
        <v>386</v>
      </c>
      <c r="F1397" t="s">
        <v>5117</v>
      </c>
      <c r="G1397" t="s">
        <v>1238</v>
      </c>
      <c r="H1397" t="s">
        <v>4951</v>
      </c>
      <c r="I1397">
        <v>12808</v>
      </c>
      <c r="J1397" t="s">
        <v>5117</v>
      </c>
      <c r="K1397" t="s">
        <v>5118</v>
      </c>
      <c r="L1397" t="s">
        <v>386</v>
      </c>
      <c r="M1397" t="s">
        <v>1184</v>
      </c>
      <c r="N1397">
        <v>12808</v>
      </c>
      <c r="O1397">
        <v>59</v>
      </c>
      <c r="Q1397" t="s">
        <v>5119</v>
      </c>
      <c r="R1397" t="s">
        <v>398</v>
      </c>
      <c r="T1397">
        <v>246</v>
      </c>
      <c r="V1397" t="s">
        <v>3321</v>
      </c>
      <c r="W1397" t="s">
        <v>3202</v>
      </c>
      <c r="X1397">
        <v>280</v>
      </c>
      <c r="Z1397" t="s">
        <v>4953</v>
      </c>
      <c r="AA1397" t="s">
        <v>387</v>
      </c>
      <c r="AB1397">
        <v>7000</v>
      </c>
      <c r="AC1397">
        <v>4162</v>
      </c>
      <c r="AD1397" t="s">
        <v>5120</v>
      </c>
      <c r="AE1397">
        <v>18</v>
      </c>
      <c r="AF1397" t="s">
        <v>1259</v>
      </c>
      <c r="AG1397" t="s">
        <v>1244</v>
      </c>
    </row>
    <row r="1398" spans="1:34" x14ac:dyDescent="0.25">
      <c r="A1398">
        <v>2063</v>
      </c>
      <c r="C1398" s="185"/>
      <c r="D1398" t="s">
        <v>157</v>
      </c>
      <c r="E1398" t="s">
        <v>386</v>
      </c>
      <c r="F1398" t="s">
        <v>388</v>
      </c>
      <c r="G1398" t="s">
        <v>1238</v>
      </c>
      <c r="H1398" t="s">
        <v>5121</v>
      </c>
      <c r="I1398">
        <v>14348</v>
      </c>
      <c r="J1398" t="s">
        <v>388</v>
      </c>
      <c r="K1398" t="s">
        <v>5122</v>
      </c>
      <c r="L1398" t="s">
        <v>386</v>
      </c>
      <c r="M1398" t="s">
        <v>1184</v>
      </c>
      <c r="N1398">
        <v>14348</v>
      </c>
      <c r="O1398">
        <v>25</v>
      </c>
      <c r="Q1398" t="s">
        <v>5123</v>
      </c>
      <c r="R1398" t="s">
        <v>398</v>
      </c>
      <c r="T1398">
        <v>246</v>
      </c>
      <c r="V1398" t="s">
        <v>3321</v>
      </c>
      <c r="W1398" t="s">
        <v>1215</v>
      </c>
      <c r="X1398">
        <v>259</v>
      </c>
      <c r="Z1398" t="s">
        <v>5124</v>
      </c>
      <c r="AA1398" t="s">
        <v>387</v>
      </c>
      <c r="AB1398">
        <v>0</v>
      </c>
      <c r="AC1398">
        <v>5441</v>
      </c>
      <c r="AD1398" t="s">
        <v>388</v>
      </c>
      <c r="AE1398">
        <v>1974</v>
      </c>
      <c r="AF1398" t="s">
        <v>1243</v>
      </c>
      <c r="AG1398" t="s">
        <v>1244</v>
      </c>
      <c r="AH1398" t="s">
        <v>5125</v>
      </c>
    </row>
    <row r="1399" spans="1:34" x14ac:dyDescent="0.25">
      <c r="A1399">
        <v>1850</v>
      </c>
      <c r="C1399" s="185"/>
      <c r="D1399" t="s">
        <v>157</v>
      </c>
      <c r="E1399" t="s">
        <v>386</v>
      </c>
      <c r="F1399" t="s">
        <v>5126</v>
      </c>
      <c r="G1399" t="s">
        <v>1238</v>
      </c>
      <c r="H1399" t="s">
        <v>4895</v>
      </c>
      <c r="I1399">
        <v>9448</v>
      </c>
      <c r="J1399" t="s">
        <v>5126</v>
      </c>
      <c r="K1399" t="s">
        <v>5126</v>
      </c>
      <c r="L1399" t="s">
        <v>386</v>
      </c>
      <c r="M1399" t="s">
        <v>1184</v>
      </c>
      <c r="N1399">
        <v>9448</v>
      </c>
      <c r="O1399">
        <v>0</v>
      </c>
      <c r="Q1399" t="s">
        <v>5127</v>
      </c>
      <c r="R1399" t="s">
        <v>398</v>
      </c>
      <c r="T1399">
        <v>388</v>
      </c>
      <c r="V1399" t="s">
        <v>1712</v>
      </c>
      <c r="W1399" t="s">
        <v>5068</v>
      </c>
      <c r="X1399">
        <v>226</v>
      </c>
      <c r="Z1399" t="s">
        <v>4897</v>
      </c>
      <c r="AA1399" t="s">
        <v>387</v>
      </c>
      <c r="AB1399">
        <v>0</v>
      </c>
      <c r="AC1399">
        <v>3773</v>
      </c>
      <c r="AD1399" t="s">
        <v>5128</v>
      </c>
      <c r="AE1399">
        <v>18</v>
      </c>
      <c r="AF1399" t="s">
        <v>1259</v>
      </c>
    </row>
    <row r="1400" spans="1:34" x14ac:dyDescent="0.25">
      <c r="A1400">
        <v>2056</v>
      </c>
      <c r="C1400" s="185"/>
      <c r="E1400" t="s">
        <v>386</v>
      </c>
      <c r="F1400" t="s">
        <v>5129</v>
      </c>
      <c r="G1400" t="s">
        <v>1238</v>
      </c>
      <c r="H1400" t="s">
        <v>5130</v>
      </c>
      <c r="I1400">
        <v>13450</v>
      </c>
      <c r="J1400" t="s">
        <v>5129</v>
      </c>
      <c r="K1400" t="s">
        <v>5131</v>
      </c>
      <c r="L1400" t="s">
        <v>386</v>
      </c>
      <c r="M1400" t="s">
        <v>1184</v>
      </c>
      <c r="N1400">
        <v>13450</v>
      </c>
      <c r="O1400">
        <v>59</v>
      </c>
      <c r="Q1400" t="s">
        <v>5132</v>
      </c>
      <c r="R1400" t="s">
        <v>398</v>
      </c>
      <c r="T1400">
        <v>246</v>
      </c>
      <c r="V1400" t="s">
        <v>3321</v>
      </c>
      <c r="W1400" t="s">
        <v>2015</v>
      </c>
      <c r="X1400">
        <v>35</v>
      </c>
      <c r="Z1400" t="s">
        <v>5133</v>
      </c>
      <c r="AA1400" t="s">
        <v>387</v>
      </c>
      <c r="AB1400">
        <v>51000</v>
      </c>
      <c r="AC1400">
        <v>5046</v>
      </c>
      <c r="AD1400" t="s">
        <v>5134</v>
      </c>
      <c r="AE1400">
        <v>18</v>
      </c>
      <c r="AF1400" t="s">
        <v>1259</v>
      </c>
      <c r="AG1400" t="s">
        <v>1244</v>
      </c>
      <c r="AH1400" t="s">
        <v>5135</v>
      </c>
    </row>
    <row r="1401" spans="1:34" x14ac:dyDescent="0.25">
      <c r="A1401">
        <v>917</v>
      </c>
      <c r="C1401" s="185"/>
      <c r="D1401" t="s">
        <v>157</v>
      </c>
      <c r="E1401" t="s">
        <v>386</v>
      </c>
      <c r="F1401" t="s">
        <v>5136</v>
      </c>
      <c r="G1401" t="s">
        <v>1238</v>
      </c>
      <c r="H1401" t="s">
        <v>5137</v>
      </c>
      <c r="I1401">
        <v>6234</v>
      </c>
      <c r="J1401" t="s">
        <v>5136</v>
      </c>
      <c r="K1401" t="s">
        <v>5136</v>
      </c>
      <c r="L1401" t="s">
        <v>386</v>
      </c>
      <c r="M1401" t="s">
        <v>1184</v>
      </c>
      <c r="N1401">
        <v>6234</v>
      </c>
      <c r="O1401">
        <v>0</v>
      </c>
      <c r="Q1401" t="s">
        <v>5138</v>
      </c>
      <c r="T1401">
        <v>388</v>
      </c>
      <c r="V1401" t="s">
        <v>1712</v>
      </c>
      <c r="W1401" t="s">
        <v>1205</v>
      </c>
      <c r="X1401">
        <v>2</v>
      </c>
      <c r="Z1401" t="s">
        <v>5139</v>
      </c>
      <c r="AA1401" t="s">
        <v>387</v>
      </c>
      <c r="AB1401">
        <v>0</v>
      </c>
      <c r="AC1401">
        <v>2854</v>
      </c>
      <c r="AD1401" t="s">
        <v>5140</v>
      </c>
      <c r="AE1401">
        <v>18</v>
      </c>
      <c r="AF1401" t="s">
        <v>1259</v>
      </c>
      <c r="AG1401" t="s">
        <v>1244</v>
      </c>
    </row>
    <row r="1402" spans="1:34" x14ac:dyDescent="0.25">
      <c r="A1402">
        <v>2151</v>
      </c>
      <c r="C1402" s="185"/>
      <c r="E1402" t="s">
        <v>386</v>
      </c>
      <c r="F1402" t="s">
        <v>5141</v>
      </c>
      <c r="G1402" t="s">
        <v>1238</v>
      </c>
      <c r="H1402" t="s">
        <v>5142</v>
      </c>
      <c r="I1402">
        <v>16623</v>
      </c>
      <c r="J1402" t="s">
        <v>5141</v>
      </c>
      <c r="K1402" t="s">
        <v>5143</v>
      </c>
      <c r="L1402" t="s">
        <v>386</v>
      </c>
      <c r="M1402" t="s">
        <v>1184</v>
      </c>
      <c r="N1402">
        <v>16623</v>
      </c>
      <c r="O1402">
        <v>0</v>
      </c>
      <c r="Q1402" t="s">
        <v>5144</v>
      </c>
      <c r="R1402" t="s">
        <v>398</v>
      </c>
      <c r="T1402">
        <v>103</v>
      </c>
      <c r="V1402" t="s">
        <v>1530</v>
      </c>
      <c r="W1402" t="s">
        <v>1530</v>
      </c>
      <c r="X1402">
        <v>103</v>
      </c>
      <c r="Z1402" t="s">
        <v>5145</v>
      </c>
      <c r="AA1402" t="s">
        <v>387</v>
      </c>
      <c r="AB1402">
        <v>0</v>
      </c>
      <c r="AC1402">
        <v>6210</v>
      </c>
      <c r="AD1402" t="s">
        <v>5146</v>
      </c>
      <c r="AE1402">
        <v>18</v>
      </c>
      <c r="AF1402" t="s">
        <v>1259</v>
      </c>
      <c r="AG1402" t="s">
        <v>1244</v>
      </c>
      <c r="AH1402" t="s">
        <v>5147</v>
      </c>
    </row>
    <row r="1403" spans="1:34" x14ac:dyDescent="0.25">
      <c r="A1403">
        <v>153</v>
      </c>
      <c r="C1403" s="185"/>
      <c r="E1403" t="s">
        <v>386</v>
      </c>
      <c r="F1403" t="s">
        <v>5148</v>
      </c>
      <c r="G1403" t="s">
        <v>1238</v>
      </c>
      <c r="H1403" t="s">
        <v>5149</v>
      </c>
      <c r="I1403">
        <v>15591</v>
      </c>
      <c r="J1403" t="s">
        <v>5148</v>
      </c>
      <c r="K1403" t="s">
        <v>5150</v>
      </c>
      <c r="L1403" t="s">
        <v>386</v>
      </c>
      <c r="M1403" t="s">
        <v>1184</v>
      </c>
      <c r="N1403">
        <v>15591</v>
      </c>
      <c r="O1403">
        <v>0</v>
      </c>
      <c r="Q1403" t="s">
        <v>5151</v>
      </c>
      <c r="T1403">
        <v>260</v>
      </c>
      <c r="V1403" t="s">
        <v>1216</v>
      </c>
      <c r="W1403" t="s">
        <v>1216</v>
      </c>
      <c r="X1403">
        <v>260</v>
      </c>
      <c r="Z1403" t="s">
        <v>969</v>
      </c>
      <c r="AA1403" t="s">
        <v>387</v>
      </c>
      <c r="AB1403">
        <v>0</v>
      </c>
      <c r="AC1403">
        <v>5876</v>
      </c>
      <c r="AD1403" t="s">
        <v>5152</v>
      </c>
      <c r="AE1403">
        <v>2703</v>
      </c>
      <c r="AF1403" t="s">
        <v>5153</v>
      </c>
      <c r="AG1403" t="s">
        <v>1244</v>
      </c>
    </row>
    <row r="1404" spans="1:34" x14ac:dyDescent="0.25">
      <c r="A1404">
        <v>1</v>
      </c>
      <c r="C1404" s="185"/>
      <c r="E1404" t="s">
        <v>386</v>
      </c>
      <c r="F1404" t="s">
        <v>15505</v>
      </c>
      <c r="G1404" t="s">
        <v>1197</v>
      </c>
      <c r="H1404" t="s">
        <v>14591</v>
      </c>
      <c r="I1404">
        <v>17770</v>
      </c>
      <c r="J1404" t="s">
        <v>15505</v>
      </c>
      <c r="K1404" t="s">
        <v>15506</v>
      </c>
      <c r="L1404" t="s">
        <v>386</v>
      </c>
      <c r="M1404" t="s">
        <v>1193</v>
      </c>
      <c r="N1404">
        <v>17770</v>
      </c>
      <c r="O1404">
        <v>0</v>
      </c>
      <c r="Q1404" t="s">
        <v>15507</v>
      </c>
      <c r="R1404" t="s">
        <v>398</v>
      </c>
      <c r="T1404">
        <v>52</v>
      </c>
      <c r="V1404" t="s">
        <v>2024</v>
      </c>
      <c r="W1404" t="s">
        <v>4468</v>
      </c>
      <c r="X1404">
        <v>470</v>
      </c>
      <c r="Z1404" t="s">
        <v>865</v>
      </c>
      <c r="AA1404" t="s">
        <v>387</v>
      </c>
      <c r="AB1404">
        <v>0</v>
      </c>
      <c r="AC1404">
        <v>1650</v>
      </c>
      <c r="AD1404" t="s">
        <v>15508</v>
      </c>
      <c r="AE1404">
        <v>1</v>
      </c>
      <c r="AF1404" t="s">
        <v>1922</v>
      </c>
      <c r="AG1404" t="s">
        <v>3090</v>
      </c>
      <c r="AH1404" t="s">
        <v>15509</v>
      </c>
    </row>
    <row r="1405" spans="1:34" x14ac:dyDescent="0.25">
      <c r="A1405">
        <v>1155</v>
      </c>
      <c r="C1405" s="185"/>
      <c r="E1405" t="s">
        <v>386</v>
      </c>
      <c r="F1405" t="s">
        <v>4911</v>
      </c>
      <c r="G1405" t="s">
        <v>1238</v>
      </c>
      <c r="H1405" t="s">
        <v>4912</v>
      </c>
      <c r="I1405">
        <v>14009</v>
      </c>
      <c r="J1405" t="s">
        <v>4911</v>
      </c>
      <c r="K1405" t="s">
        <v>5154</v>
      </c>
      <c r="L1405" t="s">
        <v>386</v>
      </c>
      <c r="M1405" t="s">
        <v>1184</v>
      </c>
      <c r="N1405">
        <v>14009</v>
      </c>
      <c r="O1405">
        <v>25</v>
      </c>
      <c r="Q1405" t="s">
        <v>5155</v>
      </c>
      <c r="R1405" t="s">
        <v>398</v>
      </c>
      <c r="T1405">
        <v>35</v>
      </c>
      <c r="V1405" t="s">
        <v>2015</v>
      </c>
      <c r="W1405" t="s">
        <v>2073</v>
      </c>
      <c r="X1405">
        <v>372</v>
      </c>
      <c r="Z1405" t="s">
        <v>4915</v>
      </c>
      <c r="AA1405" t="s">
        <v>387</v>
      </c>
      <c r="AB1405">
        <v>0</v>
      </c>
      <c r="AC1405">
        <v>5291</v>
      </c>
      <c r="AD1405" t="s">
        <v>4916</v>
      </c>
      <c r="AE1405">
        <v>18</v>
      </c>
      <c r="AF1405" t="s">
        <v>1259</v>
      </c>
      <c r="AG1405" t="s">
        <v>1244</v>
      </c>
      <c r="AH1405" t="s">
        <v>5156</v>
      </c>
    </row>
    <row r="1406" spans="1:34" x14ac:dyDescent="0.25">
      <c r="A1406">
        <v>1765</v>
      </c>
      <c r="C1406" s="185"/>
      <c r="D1406" t="s">
        <v>157</v>
      </c>
      <c r="E1406" t="s">
        <v>386</v>
      </c>
      <c r="F1406" t="s">
        <v>5157</v>
      </c>
      <c r="G1406" t="s">
        <v>1192</v>
      </c>
      <c r="H1406" t="s">
        <v>4900</v>
      </c>
      <c r="I1406">
        <v>9072</v>
      </c>
      <c r="J1406" t="s">
        <v>5157</v>
      </c>
      <c r="K1406" t="s">
        <v>5157</v>
      </c>
      <c r="L1406" t="s">
        <v>386</v>
      </c>
      <c r="M1406" t="s">
        <v>1184</v>
      </c>
      <c r="N1406">
        <v>9072</v>
      </c>
      <c r="O1406">
        <v>0</v>
      </c>
      <c r="Q1406" t="s">
        <v>5158</v>
      </c>
      <c r="R1406" t="s">
        <v>398</v>
      </c>
      <c r="T1406">
        <v>388</v>
      </c>
      <c r="V1406" t="s">
        <v>1712</v>
      </c>
      <c r="W1406" t="s">
        <v>1915</v>
      </c>
      <c r="X1406">
        <v>185</v>
      </c>
      <c r="Z1406" t="s">
        <v>4903</v>
      </c>
      <c r="AA1406" t="s">
        <v>387</v>
      </c>
      <c r="AB1406">
        <v>0</v>
      </c>
      <c r="AC1406">
        <v>421</v>
      </c>
      <c r="AD1406" t="s">
        <v>5159</v>
      </c>
      <c r="AE1406">
        <v>18</v>
      </c>
      <c r="AF1406" t="s">
        <v>1259</v>
      </c>
      <c r="AG1406" t="s">
        <v>1244</v>
      </c>
    </row>
    <row r="1407" spans="1:34" x14ac:dyDescent="0.25">
      <c r="A1407">
        <v>1815</v>
      </c>
      <c r="C1407" s="185"/>
      <c r="D1407" t="s">
        <v>157</v>
      </c>
      <c r="E1407" t="s">
        <v>386</v>
      </c>
      <c r="F1407" t="s">
        <v>5160</v>
      </c>
      <c r="G1407" t="s">
        <v>1238</v>
      </c>
      <c r="H1407" t="s">
        <v>4951</v>
      </c>
      <c r="I1407">
        <v>12132</v>
      </c>
      <c r="J1407" t="s">
        <v>5160</v>
      </c>
      <c r="K1407" t="s">
        <v>5161</v>
      </c>
      <c r="L1407" t="s">
        <v>386</v>
      </c>
      <c r="M1407" t="s">
        <v>1184</v>
      </c>
      <c r="N1407">
        <v>12132</v>
      </c>
      <c r="O1407">
        <v>0</v>
      </c>
      <c r="Q1407" t="s">
        <v>5162</v>
      </c>
      <c r="R1407" t="s">
        <v>398</v>
      </c>
      <c r="T1407">
        <v>388</v>
      </c>
      <c r="V1407" t="s">
        <v>1712</v>
      </c>
      <c r="W1407" t="s">
        <v>1215</v>
      </c>
      <c r="X1407">
        <v>259</v>
      </c>
      <c r="Z1407" t="s">
        <v>4953</v>
      </c>
      <c r="AA1407" t="s">
        <v>387</v>
      </c>
      <c r="AB1407">
        <v>7000</v>
      </c>
      <c r="AC1407">
        <v>4591</v>
      </c>
      <c r="AD1407" t="s">
        <v>5160</v>
      </c>
      <c r="AE1407">
        <v>18</v>
      </c>
      <c r="AF1407" t="s">
        <v>1259</v>
      </c>
      <c r="AG1407" t="s">
        <v>1244</v>
      </c>
    </row>
    <row r="1408" spans="1:34" x14ac:dyDescent="0.25">
      <c r="A1408">
        <v>1815</v>
      </c>
      <c r="C1408" s="185"/>
      <c r="D1408" t="s">
        <v>157</v>
      </c>
      <c r="E1408" t="s">
        <v>386</v>
      </c>
      <c r="F1408" t="s">
        <v>5163</v>
      </c>
      <c r="G1408" t="s">
        <v>1238</v>
      </c>
      <c r="H1408" t="s">
        <v>4951</v>
      </c>
      <c r="I1408">
        <v>12134</v>
      </c>
      <c r="J1408" t="s">
        <v>5163</v>
      </c>
      <c r="K1408" t="s">
        <v>5164</v>
      </c>
      <c r="L1408" t="s">
        <v>386</v>
      </c>
      <c r="M1408" t="s">
        <v>1184</v>
      </c>
      <c r="N1408">
        <v>12134</v>
      </c>
      <c r="O1408">
        <v>0</v>
      </c>
      <c r="Q1408" t="s">
        <v>5165</v>
      </c>
      <c r="R1408" t="s">
        <v>398</v>
      </c>
      <c r="T1408">
        <v>388</v>
      </c>
      <c r="V1408" t="s">
        <v>1712</v>
      </c>
      <c r="W1408" t="s">
        <v>1215</v>
      </c>
      <c r="X1408">
        <v>259</v>
      </c>
      <c r="Z1408" t="s">
        <v>4953</v>
      </c>
      <c r="AA1408" t="s">
        <v>387</v>
      </c>
      <c r="AB1408">
        <v>7000</v>
      </c>
      <c r="AC1408">
        <v>4593</v>
      </c>
      <c r="AD1408" t="s">
        <v>5166</v>
      </c>
      <c r="AE1408">
        <v>18</v>
      </c>
      <c r="AF1408" t="s">
        <v>1259</v>
      </c>
      <c r="AG1408" t="s">
        <v>5167</v>
      </c>
    </row>
    <row r="1409" spans="1:34" x14ac:dyDescent="0.25">
      <c r="A1409">
        <v>1815</v>
      </c>
      <c r="C1409" s="185"/>
      <c r="D1409" t="s">
        <v>157</v>
      </c>
      <c r="E1409" t="s">
        <v>386</v>
      </c>
      <c r="F1409" t="s">
        <v>5168</v>
      </c>
      <c r="G1409" t="s">
        <v>1238</v>
      </c>
      <c r="H1409" t="s">
        <v>4951</v>
      </c>
      <c r="I1409">
        <v>12133</v>
      </c>
      <c r="J1409" t="s">
        <v>5168</v>
      </c>
      <c r="K1409" t="s">
        <v>5168</v>
      </c>
      <c r="L1409" t="s">
        <v>386</v>
      </c>
      <c r="M1409" t="s">
        <v>1184</v>
      </c>
      <c r="N1409">
        <v>12133</v>
      </c>
      <c r="O1409">
        <v>59</v>
      </c>
      <c r="Q1409" t="s">
        <v>5169</v>
      </c>
      <c r="R1409" t="s">
        <v>398</v>
      </c>
      <c r="T1409">
        <v>246</v>
      </c>
      <c r="V1409" t="s">
        <v>3321</v>
      </c>
      <c r="W1409" t="s">
        <v>1712</v>
      </c>
      <c r="X1409">
        <v>388</v>
      </c>
      <c r="Z1409" t="s">
        <v>4953</v>
      </c>
      <c r="AA1409" t="s">
        <v>387</v>
      </c>
      <c r="AB1409">
        <v>7000</v>
      </c>
      <c r="AC1409">
        <v>4594</v>
      </c>
      <c r="AD1409" t="s">
        <v>5115</v>
      </c>
      <c r="AE1409">
        <v>18</v>
      </c>
      <c r="AF1409" t="s">
        <v>1259</v>
      </c>
      <c r="AG1409" t="s">
        <v>5116</v>
      </c>
    </row>
    <row r="1410" spans="1:34" x14ac:dyDescent="0.25">
      <c r="A1410">
        <v>1995</v>
      </c>
      <c r="C1410" s="185"/>
      <c r="E1410" t="s">
        <v>386</v>
      </c>
      <c r="F1410" t="s">
        <v>5170</v>
      </c>
      <c r="G1410" t="s">
        <v>1238</v>
      </c>
      <c r="H1410" t="s">
        <v>5171</v>
      </c>
      <c r="I1410">
        <v>15680</v>
      </c>
      <c r="J1410" t="s">
        <v>5170</v>
      </c>
      <c r="K1410" t="s">
        <v>5172</v>
      </c>
      <c r="L1410" t="s">
        <v>386</v>
      </c>
      <c r="M1410" t="s">
        <v>1184</v>
      </c>
      <c r="N1410">
        <v>15680</v>
      </c>
      <c r="O1410">
        <v>0</v>
      </c>
      <c r="Q1410" t="s">
        <v>5173</v>
      </c>
      <c r="T1410">
        <v>260</v>
      </c>
      <c r="V1410" t="s">
        <v>1216</v>
      </c>
      <c r="W1410" t="s">
        <v>1216</v>
      </c>
      <c r="X1410">
        <v>260</v>
      </c>
      <c r="Z1410" t="s">
        <v>5174</v>
      </c>
      <c r="AA1410" t="s">
        <v>387</v>
      </c>
      <c r="AB1410">
        <v>0</v>
      </c>
      <c r="AC1410">
        <v>5916</v>
      </c>
      <c r="AD1410" t="s">
        <v>5170</v>
      </c>
      <c r="AE1410">
        <v>18</v>
      </c>
      <c r="AF1410" t="s">
        <v>1259</v>
      </c>
      <c r="AG1410" t="s">
        <v>1244</v>
      </c>
      <c r="AH1410" t="s">
        <v>5175</v>
      </c>
    </row>
    <row r="1411" spans="1:34" x14ac:dyDescent="0.25">
      <c r="A1411">
        <v>1</v>
      </c>
      <c r="C1411" s="185"/>
      <c r="E1411" t="s">
        <v>386</v>
      </c>
      <c r="F1411" t="s">
        <v>5176</v>
      </c>
      <c r="H1411" t="s">
        <v>5177</v>
      </c>
      <c r="I1411">
        <v>10654</v>
      </c>
      <c r="J1411" t="s">
        <v>5176</v>
      </c>
      <c r="K1411" t="s">
        <v>5176</v>
      </c>
      <c r="L1411" t="s">
        <v>386</v>
      </c>
      <c r="M1411" t="s">
        <v>1193</v>
      </c>
      <c r="N1411">
        <v>10654</v>
      </c>
      <c r="O1411">
        <v>0</v>
      </c>
      <c r="Q1411" t="s">
        <v>5178</v>
      </c>
      <c r="T1411">
        <v>103</v>
      </c>
      <c r="V1411" t="s">
        <v>1530</v>
      </c>
      <c r="Z1411" t="s">
        <v>865</v>
      </c>
      <c r="AA1411" t="s">
        <v>387</v>
      </c>
      <c r="AB1411">
        <v>0</v>
      </c>
      <c r="AC1411">
        <v>49</v>
      </c>
      <c r="AD1411" t="s">
        <v>5179</v>
      </c>
      <c r="AE1411">
        <v>2</v>
      </c>
      <c r="AF1411" t="s">
        <v>2919</v>
      </c>
      <c r="AG1411" t="s">
        <v>5034</v>
      </c>
      <c r="AH1411" t="s">
        <v>5180</v>
      </c>
    </row>
    <row r="1412" spans="1:34" x14ac:dyDescent="0.25">
      <c r="A1412">
        <v>1</v>
      </c>
      <c r="C1412" s="185">
        <v>40031</v>
      </c>
      <c r="D1412" t="s">
        <v>157</v>
      </c>
      <c r="E1412" t="s">
        <v>386</v>
      </c>
      <c r="F1412" t="s">
        <v>5181</v>
      </c>
      <c r="G1412" t="s">
        <v>1192</v>
      </c>
      <c r="H1412" t="s">
        <v>4891</v>
      </c>
      <c r="I1412">
        <v>8647</v>
      </c>
      <c r="J1412" t="s">
        <v>5181</v>
      </c>
      <c r="K1412" t="s">
        <v>5181</v>
      </c>
      <c r="L1412" t="s">
        <v>386</v>
      </c>
      <c r="M1412" t="s">
        <v>1184</v>
      </c>
      <c r="N1412">
        <v>8647</v>
      </c>
      <c r="O1412">
        <v>0</v>
      </c>
      <c r="Q1412" t="s">
        <v>5182</v>
      </c>
      <c r="R1412" t="s">
        <v>398</v>
      </c>
      <c r="T1412">
        <v>388</v>
      </c>
      <c r="V1412" t="s">
        <v>1712</v>
      </c>
      <c r="W1412" t="s">
        <v>1205</v>
      </c>
      <c r="X1412">
        <v>2</v>
      </c>
      <c r="Z1412" t="s">
        <v>865</v>
      </c>
      <c r="AA1412" t="s">
        <v>387</v>
      </c>
      <c r="AB1412">
        <v>0</v>
      </c>
      <c r="AC1412">
        <v>2385</v>
      </c>
      <c r="AD1412" t="s">
        <v>4848</v>
      </c>
      <c r="AE1412">
        <v>18</v>
      </c>
      <c r="AF1412" t="s">
        <v>1259</v>
      </c>
      <c r="AG1412" t="s">
        <v>1244</v>
      </c>
      <c r="AH1412" t="s">
        <v>5183</v>
      </c>
    </row>
    <row r="1413" spans="1:34" x14ac:dyDescent="0.25">
      <c r="A1413">
        <v>6</v>
      </c>
      <c r="C1413" s="185"/>
      <c r="D1413" t="s">
        <v>24</v>
      </c>
      <c r="E1413" t="s">
        <v>386</v>
      </c>
      <c r="F1413" t="s">
        <v>138</v>
      </c>
      <c r="G1413" t="s">
        <v>1238</v>
      </c>
      <c r="H1413" t="s">
        <v>1941</v>
      </c>
      <c r="I1413">
        <v>6694</v>
      </c>
      <c r="J1413" t="s">
        <v>138</v>
      </c>
      <c r="K1413" t="s">
        <v>5184</v>
      </c>
      <c r="L1413" t="s">
        <v>386</v>
      </c>
      <c r="M1413" t="s">
        <v>1184</v>
      </c>
      <c r="N1413">
        <v>6694</v>
      </c>
      <c r="O1413">
        <v>29</v>
      </c>
      <c r="Q1413" t="s">
        <v>5185</v>
      </c>
      <c r="R1413" t="s">
        <v>398</v>
      </c>
      <c r="T1413">
        <v>24</v>
      </c>
      <c r="V1413" t="s">
        <v>5186</v>
      </c>
      <c r="Z1413" t="s">
        <v>892</v>
      </c>
      <c r="AA1413" t="s">
        <v>387</v>
      </c>
      <c r="AB1413">
        <v>21000</v>
      </c>
      <c r="AC1413">
        <v>421</v>
      </c>
      <c r="AD1413" t="s">
        <v>5159</v>
      </c>
      <c r="AE1413">
        <v>18</v>
      </c>
      <c r="AF1413" t="s">
        <v>1259</v>
      </c>
      <c r="AG1413" t="s">
        <v>1244</v>
      </c>
      <c r="AH1413" t="s">
        <v>5187</v>
      </c>
    </row>
    <row r="1414" spans="1:34" x14ac:dyDescent="0.25">
      <c r="A1414">
        <v>1820</v>
      </c>
      <c r="C1414" s="185"/>
      <c r="E1414" t="s">
        <v>386</v>
      </c>
      <c r="F1414" t="s">
        <v>5188</v>
      </c>
      <c r="G1414" t="s">
        <v>1238</v>
      </c>
      <c r="H1414" t="s">
        <v>5025</v>
      </c>
      <c r="I1414">
        <v>16557</v>
      </c>
      <c r="J1414" t="s">
        <v>5188</v>
      </c>
      <c r="K1414" t="s">
        <v>5189</v>
      </c>
      <c r="L1414" t="s">
        <v>386</v>
      </c>
      <c r="M1414" t="s">
        <v>1184</v>
      </c>
      <c r="N1414">
        <v>16557</v>
      </c>
      <c r="O1414">
        <v>0</v>
      </c>
      <c r="Q1414" t="s">
        <v>5190</v>
      </c>
      <c r="T1414">
        <v>52</v>
      </c>
      <c r="V1414" t="s">
        <v>2024</v>
      </c>
      <c r="W1414" t="s">
        <v>2246</v>
      </c>
      <c r="X1414">
        <v>496</v>
      </c>
      <c r="Z1414" t="s">
        <v>5028</v>
      </c>
      <c r="AA1414" t="s">
        <v>387</v>
      </c>
      <c r="AB1414">
        <v>7000</v>
      </c>
      <c r="AC1414">
        <v>6187</v>
      </c>
      <c r="AD1414" t="s">
        <v>5191</v>
      </c>
      <c r="AE1414">
        <v>18</v>
      </c>
      <c r="AF1414" t="s">
        <v>1259</v>
      </c>
      <c r="AG1414" t="s">
        <v>1244</v>
      </c>
      <c r="AH1414" t="s">
        <v>5192</v>
      </c>
    </row>
    <row r="1415" spans="1:34" x14ac:dyDescent="0.25">
      <c r="A1415">
        <v>1</v>
      </c>
      <c r="C1415" s="185"/>
      <c r="E1415" t="s">
        <v>386</v>
      </c>
      <c r="F1415" t="s">
        <v>5193</v>
      </c>
      <c r="G1415" t="s">
        <v>1197</v>
      </c>
      <c r="H1415" t="s">
        <v>5194</v>
      </c>
      <c r="I1415">
        <v>169</v>
      </c>
      <c r="J1415" t="s">
        <v>5193</v>
      </c>
      <c r="K1415" t="s">
        <v>5195</v>
      </c>
      <c r="L1415" t="s">
        <v>386</v>
      </c>
      <c r="M1415" t="s">
        <v>1193</v>
      </c>
      <c r="N1415">
        <v>169</v>
      </c>
      <c r="O1415">
        <v>0</v>
      </c>
      <c r="Q1415" t="s">
        <v>5196</v>
      </c>
      <c r="R1415" t="s">
        <v>1208</v>
      </c>
      <c r="T1415">
        <v>340</v>
      </c>
      <c r="V1415" t="s">
        <v>1200</v>
      </c>
      <c r="W1415" t="s">
        <v>1216</v>
      </c>
      <c r="X1415">
        <v>260</v>
      </c>
      <c r="Z1415" t="s">
        <v>865</v>
      </c>
      <c r="AA1415" t="s">
        <v>387</v>
      </c>
      <c r="AB1415">
        <v>0</v>
      </c>
      <c r="AC1415">
        <v>2675</v>
      </c>
      <c r="AD1415" t="s">
        <v>5197</v>
      </c>
      <c r="AE1415">
        <v>155</v>
      </c>
      <c r="AF1415" t="s">
        <v>5198</v>
      </c>
      <c r="AG1415" t="s">
        <v>5199</v>
      </c>
      <c r="AH1415" t="s">
        <v>5200</v>
      </c>
    </row>
    <row r="1416" spans="1:34" x14ac:dyDescent="0.25">
      <c r="A1416">
        <v>95</v>
      </c>
      <c r="C1416" s="185"/>
      <c r="D1416" t="s">
        <v>157</v>
      </c>
      <c r="E1416" t="s">
        <v>386</v>
      </c>
      <c r="F1416" t="s">
        <v>298</v>
      </c>
      <c r="G1416" t="s">
        <v>1238</v>
      </c>
      <c r="H1416" t="s">
        <v>4879</v>
      </c>
      <c r="I1416">
        <v>14825</v>
      </c>
      <c r="J1416" t="s">
        <v>298</v>
      </c>
      <c r="K1416" t="s">
        <v>5201</v>
      </c>
      <c r="L1416" t="s">
        <v>386</v>
      </c>
      <c r="M1416" t="s">
        <v>1184</v>
      </c>
      <c r="N1416">
        <v>14825</v>
      </c>
      <c r="O1416">
        <v>59</v>
      </c>
      <c r="Q1416" t="s">
        <v>5202</v>
      </c>
      <c r="R1416" t="s">
        <v>398</v>
      </c>
      <c r="T1416">
        <v>260</v>
      </c>
      <c r="V1416" t="s">
        <v>1216</v>
      </c>
      <c r="W1416" t="s">
        <v>1215</v>
      </c>
      <c r="X1416">
        <v>259</v>
      </c>
      <c r="Z1416" t="s">
        <v>952</v>
      </c>
      <c r="AA1416" t="s">
        <v>387</v>
      </c>
      <c r="AB1416">
        <v>0</v>
      </c>
      <c r="AC1416">
        <v>5645</v>
      </c>
      <c r="AD1416" t="s">
        <v>5203</v>
      </c>
      <c r="AE1416">
        <v>18</v>
      </c>
      <c r="AF1416" t="s">
        <v>1259</v>
      </c>
      <c r="AG1416" t="s">
        <v>1244</v>
      </c>
      <c r="AH1416" t="s">
        <v>5204</v>
      </c>
    </row>
    <row r="1417" spans="1:34" x14ac:dyDescent="0.25">
      <c r="A1417">
        <v>14</v>
      </c>
      <c r="C1417" s="185"/>
      <c r="D1417" t="s">
        <v>157</v>
      </c>
      <c r="E1417" t="s">
        <v>386</v>
      </c>
      <c r="F1417" t="s">
        <v>5205</v>
      </c>
      <c r="G1417" t="s">
        <v>1238</v>
      </c>
      <c r="H1417" t="s">
        <v>5206</v>
      </c>
      <c r="I1417">
        <v>11608</v>
      </c>
      <c r="J1417" t="s">
        <v>5205</v>
      </c>
      <c r="K1417" t="s">
        <v>5207</v>
      </c>
      <c r="L1417" t="s">
        <v>386</v>
      </c>
      <c r="M1417" t="s">
        <v>1184</v>
      </c>
      <c r="N1417">
        <v>11608</v>
      </c>
      <c r="O1417">
        <v>0</v>
      </c>
      <c r="Q1417" t="s">
        <v>5208</v>
      </c>
      <c r="R1417" t="s">
        <v>398</v>
      </c>
      <c r="T1417">
        <v>388</v>
      </c>
      <c r="V1417" t="s">
        <v>1712</v>
      </c>
      <c r="W1417" t="s">
        <v>1199</v>
      </c>
      <c r="X1417">
        <v>200</v>
      </c>
      <c r="Z1417" t="s">
        <v>1130</v>
      </c>
      <c r="AA1417" t="s">
        <v>387</v>
      </c>
      <c r="AB1417">
        <v>0</v>
      </c>
      <c r="AC1417">
        <v>148</v>
      </c>
      <c r="AD1417" t="s">
        <v>5209</v>
      </c>
      <c r="AE1417">
        <v>18</v>
      </c>
      <c r="AF1417" t="s">
        <v>1259</v>
      </c>
      <c r="AG1417" t="s">
        <v>1244</v>
      </c>
    </row>
    <row r="1418" spans="1:34" x14ac:dyDescent="0.25">
      <c r="A1418">
        <v>53</v>
      </c>
      <c r="C1418" s="185"/>
      <c r="D1418" t="s">
        <v>157</v>
      </c>
      <c r="E1418" t="s">
        <v>386</v>
      </c>
      <c r="F1418" t="s">
        <v>315</v>
      </c>
      <c r="G1418" t="s">
        <v>1238</v>
      </c>
      <c r="H1418" t="s">
        <v>5031</v>
      </c>
      <c r="I1418">
        <v>14905</v>
      </c>
      <c r="J1418" t="s">
        <v>315</v>
      </c>
      <c r="K1418" t="s">
        <v>5210</v>
      </c>
      <c r="L1418" t="s">
        <v>386</v>
      </c>
      <c r="M1418" t="s">
        <v>1184</v>
      </c>
      <c r="N1418">
        <v>14905</v>
      </c>
      <c r="O1418">
        <v>59</v>
      </c>
      <c r="Q1418" t="s">
        <v>5211</v>
      </c>
      <c r="R1418" t="s">
        <v>398</v>
      </c>
      <c r="T1418">
        <v>260</v>
      </c>
      <c r="V1418" t="s">
        <v>1216</v>
      </c>
      <c r="W1418" t="s">
        <v>1215</v>
      </c>
      <c r="X1418">
        <v>259</v>
      </c>
      <c r="Z1418" t="s">
        <v>943</v>
      </c>
      <c r="AA1418" t="s">
        <v>387</v>
      </c>
      <c r="AB1418">
        <v>51000</v>
      </c>
      <c r="AC1418">
        <v>5668</v>
      </c>
      <c r="AD1418" t="s">
        <v>315</v>
      </c>
      <c r="AE1418">
        <v>18</v>
      </c>
      <c r="AF1418" t="s">
        <v>1259</v>
      </c>
      <c r="AG1418" t="s">
        <v>1244</v>
      </c>
      <c r="AH1418" t="s">
        <v>5212</v>
      </c>
    </row>
    <row r="1419" spans="1:34" x14ac:dyDescent="0.25">
      <c r="A1419">
        <v>1155</v>
      </c>
      <c r="C1419" s="185"/>
      <c r="E1419" t="s">
        <v>386</v>
      </c>
      <c r="F1419" t="s">
        <v>5213</v>
      </c>
      <c r="G1419" t="s">
        <v>1238</v>
      </c>
      <c r="H1419" t="s">
        <v>4912</v>
      </c>
      <c r="I1419">
        <v>12672</v>
      </c>
      <c r="J1419" t="s">
        <v>5213</v>
      </c>
      <c r="K1419" t="s">
        <v>5214</v>
      </c>
      <c r="L1419" t="s">
        <v>386</v>
      </c>
      <c r="M1419" t="s">
        <v>1184</v>
      </c>
      <c r="N1419">
        <v>12672</v>
      </c>
      <c r="O1419">
        <v>25</v>
      </c>
      <c r="Q1419" t="s">
        <v>5215</v>
      </c>
      <c r="T1419">
        <v>571</v>
      </c>
      <c r="V1419" t="s">
        <v>2003</v>
      </c>
      <c r="W1419" t="s">
        <v>1712</v>
      </c>
      <c r="X1419">
        <v>388</v>
      </c>
      <c r="Z1419" t="s">
        <v>4915</v>
      </c>
      <c r="AA1419" t="s">
        <v>387</v>
      </c>
      <c r="AB1419">
        <v>0</v>
      </c>
      <c r="AC1419">
        <v>4732</v>
      </c>
      <c r="AD1419" t="s">
        <v>5216</v>
      </c>
      <c r="AE1419">
        <v>18</v>
      </c>
      <c r="AF1419" t="s">
        <v>1259</v>
      </c>
      <c r="AG1419" t="s">
        <v>1244</v>
      </c>
    </row>
    <row r="1420" spans="1:34" x14ac:dyDescent="0.25">
      <c r="A1420">
        <v>1155</v>
      </c>
      <c r="C1420" s="185"/>
      <c r="E1420" t="s">
        <v>386</v>
      </c>
      <c r="F1420" t="s">
        <v>5217</v>
      </c>
      <c r="G1420" t="s">
        <v>1238</v>
      </c>
      <c r="H1420" t="s">
        <v>4912</v>
      </c>
      <c r="I1420">
        <v>14005</v>
      </c>
      <c r="J1420" t="s">
        <v>5217</v>
      </c>
      <c r="K1420" t="s">
        <v>5218</v>
      </c>
      <c r="L1420" t="s">
        <v>386</v>
      </c>
      <c r="M1420" t="s">
        <v>1184</v>
      </c>
      <c r="N1420">
        <v>14005</v>
      </c>
      <c r="O1420">
        <v>25</v>
      </c>
      <c r="Q1420" t="s">
        <v>5219</v>
      </c>
      <c r="T1420">
        <v>35</v>
      </c>
      <c r="V1420" t="s">
        <v>2015</v>
      </c>
      <c r="W1420" t="s">
        <v>3321</v>
      </c>
      <c r="X1420">
        <v>246</v>
      </c>
      <c r="Z1420" t="s">
        <v>4915</v>
      </c>
      <c r="AA1420" t="s">
        <v>387</v>
      </c>
      <c r="AB1420">
        <v>19000</v>
      </c>
      <c r="AC1420">
        <v>5290</v>
      </c>
      <c r="AD1420" t="s">
        <v>5217</v>
      </c>
      <c r="AE1420">
        <v>18</v>
      </c>
      <c r="AF1420" t="s">
        <v>1259</v>
      </c>
      <c r="AG1420" t="s">
        <v>1244</v>
      </c>
    </row>
    <row r="1421" spans="1:34" x14ac:dyDescent="0.25">
      <c r="A1421">
        <v>1792</v>
      </c>
      <c r="C1421" s="185"/>
      <c r="E1421" t="s">
        <v>386</v>
      </c>
      <c r="F1421" t="s">
        <v>5220</v>
      </c>
      <c r="G1421" t="s">
        <v>1238</v>
      </c>
      <c r="H1421" t="s">
        <v>4919</v>
      </c>
      <c r="I1421">
        <v>15563</v>
      </c>
      <c r="J1421" t="s">
        <v>5220</v>
      </c>
      <c r="K1421" t="s">
        <v>5221</v>
      </c>
      <c r="L1421" t="s">
        <v>386</v>
      </c>
      <c r="M1421" t="s">
        <v>1184</v>
      </c>
      <c r="N1421">
        <v>15563</v>
      </c>
      <c r="O1421">
        <v>0</v>
      </c>
      <c r="Q1421" t="s">
        <v>5222</v>
      </c>
      <c r="T1421">
        <v>435</v>
      </c>
      <c r="V1421" t="s">
        <v>3129</v>
      </c>
      <c r="W1421" t="s">
        <v>1216</v>
      </c>
      <c r="X1421">
        <v>260</v>
      </c>
      <c r="Z1421" t="s">
        <v>1053</v>
      </c>
      <c r="AA1421" t="s">
        <v>387</v>
      </c>
      <c r="AB1421">
        <v>0</v>
      </c>
      <c r="AC1421">
        <v>5868</v>
      </c>
      <c r="AD1421" t="s">
        <v>5223</v>
      </c>
      <c r="AE1421">
        <v>18</v>
      </c>
      <c r="AF1421" t="s">
        <v>1259</v>
      </c>
      <c r="AG1421" t="s">
        <v>1244</v>
      </c>
      <c r="AH1421" t="s">
        <v>5224</v>
      </c>
    </row>
    <row r="1422" spans="1:34" x14ac:dyDescent="0.25">
      <c r="A1422">
        <v>1361</v>
      </c>
      <c r="C1422" s="185"/>
      <c r="E1422" t="s">
        <v>386</v>
      </c>
      <c r="F1422" t="s">
        <v>5225</v>
      </c>
      <c r="G1422" t="s">
        <v>1238</v>
      </c>
      <c r="H1422" t="s">
        <v>5226</v>
      </c>
      <c r="I1422">
        <v>15750</v>
      </c>
      <c r="J1422" t="s">
        <v>5225</v>
      </c>
      <c r="K1422" t="s">
        <v>5227</v>
      </c>
      <c r="L1422" t="s">
        <v>386</v>
      </c>
      <c r="M1422" t="s">
        <v>1184</v>
      </c>
      <c r="N1422">
        <v>15750</v>
      </c>
      <c r="O1422">
        <v>0</v>
      </c>
      <c r="Q1422" t="s">
        <v>5228</v>
      </c>
      <c r="T1422">
        <v>260</v>
      </c>
      <c r="V1422" t="s">
        <v>1216</v>
      </c>
      <c r="W1422" t="s">
        <v>1216</v>
      </c>
      <c r="X1422">
        <v>260</v>
      </c>
      <c r="Z1422" t="s">
        <v>1113</v>
      </c>
      <c r="AA1422" t="s">
        <v>387</v>
      </c>
      <c r="AB1422">
        <v>0</v>
      </c>
      <c r="AC1422">
        <v>5935</v>
      </c>
      <c r="AD1422" t="s">
        <v>5229</v>
      </c>
      <c r="AE1422">
        <v>2732</v>
      </c>
      <c r="AF1422" t="s">
        <v>5230</v>
      </c>
      <c r="AG1422" t="s">
        <v>1244</v>
      </c>
    </row>
    <row r="1423" spans="1:34" x14ac:dyDescent="0.25">
      <c r="A1423">
        <v>1820</v>
      </c>
      <c r="C1423" s="185"/>
      <c r="E1423" t="s">
        <v>386</v>
      </c>
      <c r="F1423" t="s">
        <v>5231</v>
      </c>
      <c r="G1423" t="s">
        <v>1238</v>
      </c>
      <c r="H1423" t="s">
        <v>5025</v>
      </c>
      <c r="I1423">
        <v>13587</v>
      </c>
      <c r="J1423" t="s">
        <v>5231</v>
      </c>
      <c r="K1423" t="s">
        <v>5232</v>
      </c>
      <c r="L1423" t="s">
        <v>386</v>
      </c>
      <c r="M1423" t="s">
        <v>1184</v>
      </c>
      <c r="N1423">
        <v>13587</v>
      </c>
      <c r="O1423">
        <v>0</v>
      </c>
      <c r="Q1423" t="s">
        <v>5233</v>
      </c>
      <c r="T1423">
        <v>35</v>
      </c>
      <c r="V1423" t="s">
        <v>2015</v>
      </c>
      <c r="W1423" t="s">
        <v>1216</v>
      </c>
      <c r="X1423">
        <v>260</v>
      </c>
      <c r="Z1423" t="s">
        <v>5028</v>
      </c>
      <c r="AA1423" t="s">
        <v>387</v>
      </c>
      <c r="AB1423">
        <v>0</v>
      </c>
      <c r="AC1423">
        <v>5111</v>
      </c>
      <c r="AD1423" t="s">
        <v>5234</v>
      </c>
      <c r="AE1423">
        <v>18</v>
      </c>
      <c r="AF1423" t="s">
        <v>1259</v>
      </c>
      <c r="AG1423" t="s">
        <v>1244</v>
      </c>
      <c r="AH1423" t="s">
        <v>5235</v>
      </c>
    </row>
    <row r="1424" spans="1:34" x14ac:dyDescent="0.25">
      <c r="A1424">
        <v>1811</v>
      </c>
      <c r="C1424" s="185"/>
      <c r="E1424" t="s">
        <v>386</v>
      </c>
      <c r="F1424" t="s">
        <v>5236</v>
      </c>
      <c r="G1424" t="s">
        <v>1238</v>
      </c>
      <c r="H1424" t="s">
        <v>5237</v>
      </c>
      <c r="I1424">
        <v>13054</v>
      </c>
      <c r="J1424" t="s">
        <v>5236</v>
      </c>
      <c r="K1424" t="s">
        <v>5238</v>
      </c>
      <c r="L1424" t="s">
        <v>386</v>
      </c>
      <c r="M1424" t="s">
        <v>1184</v>
      </c>
      <c r="N1424">
        <v>13054</v>
      </c>
      <c r="O1424">
        <v>0</v>
      </c>
      <c r="Q1424" t="s">
        <v>5239</v>
      </c>
      <c r="R1424" t="s">
        <v>398</v>
      </c>
      <c r="T1424">
        <v>388</v>
      </c>
      <c r="V1424" t="s">
        <v>1712</v>
      </c>
      <c r="W1424" t="s">
        <v>1215</v>
      </c>
      <c r="X1424">
        <v>259</v>
      </c>
      <c r="Z1424" t="s">
        <v>5159</v>
      </c>
      <c r="AA1424" t="s">
        <v>387</v>
      </c>
      <c r="AB1424">
        <v>0</v>
      </c>
      <c r="AC1424">
        <v>3421</v>
      </c>
      <c r="AD1424" t="s">
        <v>5240</v>
      </c>
      <c r="AE1424">
        <v>18</v>
      </c>
      <c r="AF1424" t="s">
        <v>1259</v>
      </c>
      <c r="AG1424" t="s">
        <v>1244</v>
      </c>
    </row>
    <row r="1425" spans="1:34" x14ac:dyDescent="0.25">
      <c r="A1425">
        <v>2062</v>
      </c>
      <c r="C1425" s="185"/>
      <c r="E1425" t="s">
        <v>386</v>
      </c>
      <c r="F1425" t="s">
        <v>5241</v>
      </c>
      <c r="G1425" t="s">
        <v>1238</v>
      </c>
      <c r="H1425" t="s">
        <v>5242</v>
      </c>
      <c r="I1425">
        <v>13673</v>
      </c>
      <c r="J1425" t="s">
        <v>5241</v>
      </c>
      <c r="K1425" t="s">
        <v>5243</v>
      </c>
      <c r="L1425" t="s">
        <v>386</v>
      </c>
      <c r="M1425" t="s">
        <v>1184</v>
      </c>
      <c r="N1425">
        <v>13673</v>
      </c>
      <c r="O1425">
        <v>59</v>
      </c>
      <c r="Q1425" t="s">
        <v>5244</v>
      </c>
      <c r="T1425">
        <v>246</v>
      </c>
      <c r="V1425" t="s">
        <v>3321</v>
      </c>
      <c r="W1425" t="s">
        <v>2015</v>
      </c>
      <c r="X1425">
        <v>35</v>
      </c>
      <c r="Z1425" t="s">
        <v>5245</v>
      </c>
      <c r="AA1425" t="s">
        <v>387</v>
      </c>
      <c r="AB1425">
        <v>0</v>
      </c>
      <c r="AC1425">
        <v>5143</v>
      </c>
      <c r="AD1425" t="s">
        <v>5246</v>
      </c>
      <c r="AE1425">
        <v>18</v>
      </c>
      <c r="AF1425" t="s">
        <v>1259</v>
      </c>
      <c r="AG1425" t="s">
        <v>1244</v>
      </c>
      <c r="AH1425" t="s">
        <v>5247</v>
      </c>
    </row>
    <row r="1426" spans="1:34" x14ac:dyDescent="0.25">
      <c r="A1426">
        <v>1</v>
      </c>
      <c r="C1426" s="185"/>
      <c r="E1426" t="s">
        <v>386</v>
      </c>
      <c r="F1426" t="s">
        <v>5248</v>
      </c>
      <c r="G1426" t="s">
        <v>1197</v>
      </c>
      <c r="H1426" t="s">
        <v>5249</v>
      </c>
      <c r="I1426">
        <v>2283</v>
      </c>
      <c r="J1426" t="s">
        <v>5248</v>
      </c>
      <c r="K1426" t="s">
        <v>5250</v>
      </c>
      <c r="L1426" t="s">
        <v>386</v>
      </c>
      <c r="M1426" t="s">
        <v>1193</v>
      </c>
      <c r="N1426">
        <v>2283</v>
      </c>
      <c r="O1426">
        <v>0</v>
      </c>
      <c r="Q1426" t="s">
        <v>5251</v>
      </c>
      <c r="T1426">
        <v>52</v>
      </c>
      <c r="V1426" t="s">
        <v>2024</v>
      </c>
      <c r="Z1426" t="s">
        <v>865</v>
      </c>
      <c r="AA1426" t="s">
        <v>387</v>
      </c>
      <c r="AB1426">
        <v>0</v>
      </c>
      <c r="AC1426">
        <v>1680</v>
      </c>
      <c r="AD1426" t="s">
        <v>5252</v>
      </c>
      <c r="AE1426">
        <v>10</v>
      </c>
      <c r="AF1426" t="s">
        <v>1225</v>
      </c>
      <c r="AG1426" t="s">
        <v>5253</v>
      </c>
    </row>
    <row r="1427" spans="1:34" x14ac:dyDescent="0.25">
      <c r="A1427">
        <v>1</v>
      </c>
      <c r="B1427" t="s">
        <v>1313</v>
      </c>
      <c r="C1427" s="185"/>
      <c r="E1427" t="s">
        <v>386</v>
      </c>
      <c r="F1427" t="s">
        <v>1228</v>
      </c>
      <c r="H1427" t="s">
        <v>1710</v>
      </c>
      <c r="I1427">
        <v>11047</v>
      </c>
      <c r="J1427" t="s">
        <v>5254</v>
      </c>
      <c r="K1427" t="s">
        <v>5255</v>
      </c>
      <c r="L1427" t="s">
        <v>386</v>
      </c>
      <c r="M1427" t="s">
        <v>1193</v>
      </c>
      <c r="N1427">
        <v>1</v>
      </c>
      <c r="O1427">
        <v>30</v>
      </c>
      <c r="Q1427" t="s">
        <v>5256</v>
      </c>
      <c r="R1427" t="s">
        <v>398</v>
      </c>
      <c r="S1427" t="s">
        <v>1909</v>
      </c>
      <c r="T1427">
        <v>260</v>
      </c>
      <c r="U1427">
        <v>0</v>
      </c>
      <c r="V1427" t="s">
        <v>1216</v>
      </c>
      <c r="Y1427" t="s">
        <v>1317</v>
      </c>
      <c r="Z1427" t="s">
        <v>865</v>
      </c>
      <c r="AA1427" t="s">
        <v>386</v>
      </c>
      <c r="AB1427">
        <v>7000</v>
      </c>
      <c r="AC1427">
        <v>937</v>
      </c>
      <c r="AD1427" t="s">
        <v>2508</v>
      </c>
      <c r="AE1427">
        <v>258</v>
      </c>
      <c r="AF1427" t="s">
        <v>5257</v>
      </c>
      <c r="AG1427" t="s">
        <v>2510</v>
      </c>
    </row>
    <row r="1428" spans="1:34" x14ac:dyDescent="0.25">
      <c r="A1428">
        <v>1</v>
      </c>
      <c r="B1428" t="s">
        <v>1313</v>
      </c>
      <c r="C1428" s="185">
        <v>40864</v>
      </c>
      <c r="D1428" t="s">
        <v>24</v>
      </c>
      <c r="E1428" t="s">
        <v>386</v>
      </c>
      <c r="F1428" t="s">
        <v>1228</v>
      </c>
      <c r="G1428" t="s">
        <v>1197</v>
      </c>
      <c r="H1428" t="s">
        <v>1710</v>
      </c>
      <c r="I1428">
        <v>1</v>
      </c>
      <c r="J1428" t="s">
        <v>1228</v>
      </c>
      <c r="K1428" t="s">
        <v>1228</v>
      </c>
      <c r="L1428" t="s">
        <v>386</v>
      </c>
      <c r="M1428" t="s">
        <v>1193</v>
      </c>
      <c r="N1428">
        <v>1</v>
      </c>
      <c r="O1428">
        <v>0</v>
      </c>
      <c r="Q1428" t="s">
        <v>5256</v>
      </c>
      <c r="R1428" t="s">
        <v>398</v>
      </c>
      <c r="S1428" t="s">
        <v>1909</v>
      </c>
      <c r="T1428">
        <v>396</v>
      </c>
      <c r="U1428">
        <v>0</v>
      </c>
      <c r="V1428" t="s">
        <v>2186</v>
      </c>
      <c r="W1428" t="s">
        <v>2186</v>
      </c>
      <c r="X1428">
        <v>396</v>
      </c>
      <c r="Y1428" t="s">
        <v>1317</v>
      </c>
      <c r="Z1428" t="s">
        <v>865</v>
      </c>
      <c r="AA1428" t="s">
        <v>386</v>
      </c>
      <c r="AB1428">
        <v>0</v>
      </c>
      <c r="AC1428">
        <v>937</v>
      </c>
      <c r="AD1428" t="s">
        <v>2508</v>
      </c>
      <c r="AE1428">
        <v>258</v>
      </c>
      <c r="AF1428" t="s">
        <v>5257</v>
      </c>
      <c r="AG1428" t="s">
        <v>2510</v>
      </c>
      <c r="AH1428" t="s">
        <v>2953</v>
      </c>
    </row>
    <row r="1429" spans="1:34" x14ac:dyDescent="0.25">
      <c r="A1429">
        <v>1718</v>
      </c>
      <c r="C1429" s="185"/>
      <c r="E1429" t="s">
        <v>386</v>
      </c>
      <c r="F1429" t="s">
        <v>2820</v>
      </c>
      <c r="G1429" t="s">
        <v>1197</v>
      </c>
      <c r="I1429">
        <v>5803</v>
      </c>
      <c r="J1429" t="s">
        <v>2820</v>
      </c>
      <c r="K1429" t="s">
        <v>2820</v>
      </c>
      <c r="L1429" t="s">
        <v>386</v>
      </c>
      <c r="M1429" t="s">
        <v>1193</v>
      </c>
      <c r="N1429">
        <v>5803</v>
      </c>
      <c r="O1429">
        <v>0</v>
      </c>
      <c r="Q1429" t="s">
        <v>5256</v>
      </c>
      <c r="T1429">
        <v>0</v>
      </c>
      <c r="V1429" t="s">
        <v>1186</v>
      </c>
      <c r="Z1429" t="s">
        <v>5258</v>
      </c>
      <c r="AA1429" t="s">
        <v>387</v>
      </c>
      <c r="AB1429">
        <v>0</v>
      </c>
      <c r="AC1429">
        <v>2732</v>
      </c>
      <c r="AD1429" t="s">
        <v>5259</v>
      </c>
      <c r="AE1429">
        <v>0</v>
      </c>
      <c r="AF1429" t="s">
        <v>1188</v>
      </c>
      <c r="AG1429" t="s">
        <v>5260</v>
      </c>
    </row>
    <row r="1430" spans="1:34" x14ac:dyDescent="0.25">
      <c r="A1430">
        <v>1735</v>
      </c>
      <c r="C1430" s="185"/>
      <c r="E1430" t="s">
        <v>386</v>
      </c>
      <c r="F1430" t="s">
        <v>5261</v>
      </c>
      <c r="G1430" t="s">
        <v>1192</v>
      </c>
      <c r="I1430">
        <v>6109</v>
      </c>
      <c r="J1430" t="s">
        <v>5261</v>
      </c>
      <c r="K1430" t="s">
        <v>5261</v>
      </c>
      <c r="L1430" t="s">
        <v>386</v>
      </c>
      <c r="M1430" t="s">
        <v>1193</v>
      </c>
      <c r="N1430">
        <v>6109</v>
      </c>
      <c r="O1430">
        <v>0</v>
      </c>
      <c r="Q1430" t="s">
        <v>5256</v>
      </c>
      <c r="T1430">
        <v>122</v>
      </c>
      <c r="V1430" t="s">
        <v>1988</v>
      </c>
      <c r="Z1430" t="s">
        <v>5262</v>
      </c>
      <c r="AA1430" t="s">
        <v>387</v>
      </c>
      <c r="AB1430">
        <v>0</v>
      </c>
      <c r="AC1430">
        <v>2820</v>
      </c>
      <c r="AD1430" t="s">
        <v>5263</v>
      </c>
      <c r="AE1430">
        <v>0</v>
      </c>
      <c r="AF1430" t="s">
        <v>1188</v>
      </c>
      <c r="AG1430" t="s">
        <v>1244</v>
      </c>
    </row>
    <row r="1431" spans="1:34" x14ac:dyDescent="0.25">
      <c r="A1431">
        <v>1</v>
      </c>
      <c r="C1431" s="185">
        <v>40864</v>
      </c>
      <c r="D1431" t="s">
        <v>157</v>
      </c>
      <c r="E1431" t="s">
        <v>386</v>
      </c>
      <c r="F1431" t="s">
        <v>1228</v>
      </c>
      <c r="G1431" t="s">
        <v>1197</v>
      </c>
      <c r="H1431" t="s">
        <v>4607</v>
      </c>
      <c r="I1431">
        <v>6316</v>
      </c>
      <c r="J1431" t="s">
        <v>5264</v>
      </c>
      <c r="K1431" t="s">
        <v>1231</v>
      </c>
      <c r="L1431" t="s">
        <v>386</v>
      </c>
      <c r="M1431" t="s">
        <v>1193</v>
      </c>
      <c r="N1431">
        <v>1</v>
      </c>
      <c r="O1431">
        <v>0</v>
      </c>
      <c r="Q1431" t="s">
        <v>5265</v>
      </c>
      <c r="T1431">
        <v>287</v>
      </c>
      <c r="V1431" t="s">
        <v>1233</v>
      </c>
      <c r="Z1431" t="s">
        <v>865</v>
      </c>
      <c r="AA1431" t="s">
        <v>386</v>
      </c>
      <c r="AB1431">
        <v>0</v>
      </c>
      <c r="AC1431">
        <v>1204</v>
      </c>
      <c r="AD1431" t="s">
        <v>4611</v>
      </c>
      <c r="AE1431">
        <v>3</v>
      </c>
      <c r="AF1431" t="s">
        <v>1235</v>
      </c>
      <c r="AG1431" t="s">
        <v>5266</v>
      </c>
      <c r="AH1431" t="s">
        <v>5267</v>
      </c>
    </row>
    <row r="1432" spans="1:34" x14ac:dyDescent="0.25">
      <c r="A1432">
        <v>1697</v>
      </c>
      <c r="C1432" s="185"/>
      <c r="D1432" t="s">
        <v>157</v>
      </c>
      <c r="E1432" t="s">
        <v>386</v>
      </c>
      <c r="F1432" t="s">
        <v>5268</v>
      </c>
      <c r="G1432" t="s">
        <v>1238</v>
      </c>
      <c r="H1432" t="s">
        <v>4986</v>
      </c>
      <c r="I1432">
        <v>6176</v>
      </c>
      <c r="J1432" t="s">
        <v>5268</v>
      </c>
      <c r="K1432" t="s">
        <v>5269</v>
      </c>
      <c r="L1432" t="s">
        <v>386</v>
      </c>
      <c r="M1432" t="s">
        <v>1184</v>
      </c>
      <c r="N1432">
        <v>6176</v>
      </c>
      <c r="O1432">
        <v>0</v>
      </c>
      <c r="Q1432" t="s">
        <v>5270</v>
      </c>
      <c r="T1432">
        <v>388</v>
      </c>
      <c r="V1432" t="s">
        <v>1712</v>
      </c>
      <c r="W1432" t="s">
        <v>2144</v>
      </c>
      <c r="X1432">
        <v>39</v>
      </c>
      <c r="Z1432" t="s">
        <v>4989</v>
      </c>
      <c r="AA1432" t="s">
        <v>387</v>
      </c>
      <c r="AB1432">
        <v>0</v>
      </c>
      <c r="AC1432">
        <v>1722</v>
      </c>
      <c r="AD1432" t="s">
        <v>5271</v>
      </c>
      <c r="AE1432">
        <v>18</v>
      </c>
      <c r="AF1432" t="s">
        <v>1259</v>
      </c>
      <c r="AG1432" t="s">
        <v>1244</v>
      </c>
      <c r="AH1432" t="s">
        <v>5272</v>
      </c>
    </row>
    <row r="1433" spans="1:34" x14ac:dyDescent="0.25">
      <c r="A1433">
        <v>1</v>
      </c>
      <c r="C1433" s="185"/>
      <c r="D1433" t="s">
        <v>157</v>
      </c>
      <c r="E1433" t="s">
        <v>386</v>
      </c>
      <c r="F1433" t="s">
        <v>5273</v>
      </c>
      <c r="G1433" t="s">
        <v>1192</v>
      </c>
      <c r="H1433" t="s">
        <v>4891</v>
      </c>
      <c r="I1433">
        <v>8774</v>
      </c>
      <c r="J1433" t="s">
        <v>5273</v>
      </c>
      <c r="K1433" t="s">
        <v>5273</v>
      </c>
      <c r="L1433" t="s">
        <v>386</v>
      </c>
      <c r="M1433" t="s">
        <v>1184</v>
      </c>
      <c r="N1433">
        <v>8774</v>
      </c>
      <c r="O1433">
        <v>0</v>
      </c>
      <c r="Q1433" t="s">
        <v>5274</v>
      </c>
      <c r="R1433" t="s">
        <v>398</v>
      </c>
      <c r="T1433">
        <v>388</v>
      </c>
      <c r="V1433" t="s">
        <v>1712</v>
      </c>
      <c r="W1433" t="s">
        <v>1915</v>
      </c>
      <c r="X1433">
        <v>185</v>
      </c>
      <c r="Z1433" t="s">
        <v>865</v>
      </c>
      <c r="AA1433" t="s">
        <v>387</v>
      </c>
      <c r="AB1433">
        <v>0</v>
      </c>
      <c r="AC1433">
        <v>3519</v>
      </c>
      <c r="AD1433" t="s">
        <v>5275</v>
      </c>
      <c r="AE1433">
        <v>18</v>
      </c>
      <c r="AF1433" t="s">
        <v>1259</v>
      </c>
      <c r="AG1433" t="s">
        <v>1244</v>
      </c>
    </row>
    <row r="1434" spans="1:34" x14ac:dyDescent="0.25">
      <c r="A1434">
        <v>95</v>
      </c>
      <c r="C1434" s="185"/>
      <c r="D1434" t="s">
        <v>157</v>
      </c>
      <c r="E1434" t="s">
        <v>386</v>
      </c>
      <c r="F1434" t="s">
        <v>344</v>
      </c>
      <c r="G1434" t="s">
        <v>1238</v>
      </c>
      <c r="H1434" t="s">
        <v>4879</v>
      </c>
      <c r="I1434">
        <v>13157</v>
      </c>
      <c r="J1434" t="s">
        <v>344</v>
      </c>
      <c r="K1434" t="s">
        <v>5276</v>
      </c>
      <c r="L1434" t="s">
        <v>386</v>
      </c>
      <c r="M1434" t="s">
        <v>1184</v>
      </c>
      <c r="N1434">
        <v>13157</v>
      </c>
      <c r="O1434">
        <v>25</v>
      </c>
      <c r="Q1434" t="s">
        <v>5277</v>
      </c>
      <c r="R1434" t="s">
        <v>398</v>
      </c>
      <c r="T1434">
        <v>220</v>
      </c>
      <c r="V1434" t="s">
        <v>1194</v>
      </c>
      <c r="W1434" t="s">
        <v>3321</v>
      </c>
      <c r="X1434">
        <v>246</v>
      </c>
      <c r="Z1434" t="s">
        <v>952</v>
      </c>
      <c r="AA1434" t="s">
        <v>387</v>
      </c>
      <c r="AB1434">
        <v>19000</v>
      </c>
      <c r="AC1434">
        <v>4920</v>
      </c>
      <c r="AD1434" t="s">
        <v>5278</v>
      </c>
      <c r="AE1434">
        <v>1974</v>
      </c>
      <c r="AF1434" t="s">
        <v>1243</v>
      </c>
      <c r="AG1434" t="s">
        <v>1244</v>
      </c>
    </row>
    <row r="1435" spans="1:34" x14ac:dyDescent="0.25">
      <c r="A1435">
        <v>14</v>
      </c>
      <c r="C1435" s="185"/>
      <c r="D1435" t="s">
        <v>157</v>
      </c>
      <c r="E1435" t="s">
        <v>386</v>
      </c>
      <c r="F1435" t="s">
        <v>242</v>
      </c>
      <c r="G1435" t="s">
        <v>1238</v>
      </c>
      <c r="H1435" t="s">
        <v>5206</v>
      </c>
      <c r="I1435">
        <v>14396</v>
      </c>
      <c r="J1435" t="s">
        <v>242</v>
      </c>
      <c r="K1435" t="s">
        <v>5279</v>
      </c>
      <c r="L1435" t="s">
        <v>386</v>
      </c>
      <c r="M1435" t="s">
        <v>1184</v>
      </c>
      <c r="N1435">
        <v>14396</v>
      </c>
      <c r="O1435">
        <v>59</v>
      </c>
      <c r="Q1435" t="s">
        <v>5280</v>
      </c>
      <c r="R1435" t="s">
        <v>398</v>
      </c>
      <c r="T1435">
        <v>260</v>
      </c>
      <c r="V1435" t="s">
        <v>1216</v>
      </c>
      <c r="W1435" t="s">
        <v>1215</v>
      </c>
      <c r="X1435">
        <v>259</v>
      </c>
      <c r="Z1435" t="s">
        <v>1130</v>
      </c>
      <c r="AA1435" t="s">
        <v>387</v>
      </c>
      <c r="AB1435">
        <v>51000</v>
      </c>
      <c r="AC1435">
        <v>5472</v>
      </c>
      <c r="AD1435" t="s">
        <v>5281</v>
      </c>
      <c r="AE1435">
        <v>18</v>
      </c>
      <c r="AF1435" t="s">
        <v>1259</v>
      </c>
      <c r="AG1435" t="s">
        <v>1244</v>
      </c>
      <c r="AH1435" t="s">
        <v>5282</v>
      </c>
    </row>
    <row r="1436" spans="1:34" x14ac:dyDescent="0.25">
      <c r="A1436">
        <v>1</v>
      </c>
      <c r="C1436" s="185"/>
      <c r="D1436" t="s">
        <v>157</v>
      </c>
      <c r="E1436" t="s">
        <v>386</v>
      </c>
      <c r="F1436" t="s">
        <v>5283</v>
      </c>
      <c r="G1436" t="s">
        <v>1192</v>
      </c>
      <c r="H1436" t="s">
        <v>4891</v>
      </c>
      <c r="I1436">
        <v>8775</v>
      </c>
      <c r="J1436" t="s">
        <v>5283</v>
      </c>
      <c r="K1436" t="s">
        <v>5283</v>
      </c>
      <c r="L1436" t="s">
        <v>386</v>
      </c>
      <c r="M1436" t="s">
        <v>1184</v>
      </c>
      <c r="N1436">
        <v>8775</v>
      </c>
      <c r="O1436">
        <v>0</v>
      </c>
      <c r="Q1436" t="s">
        <v>5284</v>
      </c>
      <c r="R1436" t="s">
        <v>398</v>
      </c>
      <c r="T1436">
        <v>388</v>
      </c>
      <c r="V1436" t="s">
        <v>1712</v>
      </c>
      <c r="W1436" t="s">
        <v>1915</v>
      </c>
      <c r="X1436">
        <v>185</v>
      </c>
      <c r="Z1436" t="s">
        <v>865</v>
      </c>
      <c r="AA1436" t="s">
        <v>387</v>
      </c>
      <c r="AB1436">
        <v>0</v>
      </c>
      <c r="AC1436">
        <v>3519</v>
      </c>
      <c r="AD1436" t="s">
        <v>5275</v>
      </c>
      <c r="AE1436">
        <v>18</v>
      </c>
      <c r="AF1436" t="s">
        <v>1259</v>
      </c>
      <c r="AG1436" t="s">
        <v>1244</v>
      </c>
    </row>
    <row r="1437" spans="1:34" x14ac:dyDescent="0.25">
      <c r="A1437">
        <v>1829</v>
      </c>
      <c r="C1437" s="185"/>
      <c r="E1437" t="s">
        <v>386</v>
      </c>
      <c r="F1437" t="s">
        <v>5285</v>
      </c>
      <c r="G1437" t="s">
        <v>1238</v>
      </c>
      <c r="H1437" t="s">
        <v>5286</v>
      </c>
      <c r="I1437">
        <v>12854</v>
      </c>
      <c r="J1437" t="s">
        <v>5285</v>
      </c>
      <c r="K1437" t="s">
        <v>5287</v>
      </c>
      <c r="L1437" t="s">
        <v>386</v>
      </c>
      <c r="M1437" t="s">
        <v>1184</v>
      </c>
      <c r="N1437">
        <v>12854</v>
      </c>
      <c r="O1437">
        <v>0</v>
      </c>
      <c r="Q1437" t="s">
        <v>5288</v>
      </c>
      <c r="T1437">
        <v>388</v>
      </c>
      <c r="V1437" t="s">
        <v>1712</v>
      </c>
      <c r="W1437" t="s">
        <v>1216</v>
      </c>
      <c r="X1437">
        <v>260</v>
      </c>
      <c r="Z1437" t="s">
        <v>5289</v>
      </c>
      <c r="AA1437" t="s">
        <v>387</v>
      </c>
      <c r="AB1437">
        <v>0</v>
      </c>
      <c r="AC1437">
        <v>4796</v>
      </c>
      <c r="AD1437" t="s">
        <v>5290</v>
      </c>
      <c r="AE1437">
        <v>18</v>
      </c>
      <c r="AF1437" t="s">
        <v>1259</v>
      </c>
      <c r="AG1437" t="s">
        <v>2044</v>
      </c>
    </row>
    <row r="1438" spans="1:34" x14ac:dyDescent="0.25">
      <c r="A1438">
        <v>1062</v>
      </c>
      <c r="C1438" s="185">
        <v>43747</v>
      </c>
      <c r="D1438" t="s">
        <v>157</v>
      </c>
      <c r="E1438" t="s">
        <v>386</v>
      </c>
      <c r="F1438" t="s">
        <v>5291</v>
      </c>
      <c r="G1438" t="s">
        <v>1192</v>
      </c>
      <c r="H1438" t="s">
        <v>5062</v>
      </c>
      <c r="I1438">
        <v>8740</v>
      </c>
      <c r="J1438" t="s">
        <v>5291</v>
      </c>
      <c r="K1438" t="s">
        <v>5291</v>
      </c>
      <c r="L1438" t="s">
        <v>386</v>
      </c>
      <c r="M1438" t="s">
        <v>1184</v>
      </c>
      <c r="N1438">
        <v>8740</v>
      </c>
      <c r="O1438">
        <v>0</v>
      </c>
      <c r="Q1438" t="s">
        <v>5292</v>
      </c>
      <c r="R1438" t="s">
        <v>398</v>
      </c>
      <c r="T1438">
        <v>388</v>
      </c>
      <c r="V1438" t="s">
        <v>1712</v>
      </c>
      <c r="W1438" t="s">
        <v>1910</v>
      </c>
      <c r="X1438">
        <v>189</v>
      </c>
      <c r="Z1438" t="s">
        <v>5064</v>
      </c>
      <c r="AA1438" t="s">
        <v>387</v>
      </c>
      <c r="AB1438">
        <v>0</v>
      </c>
      <c r="AC1438">
        <v>3503</v>
      </c>
      <c r="AD1438" t="s">
        <v>5293</v>
      </c>
      <c r="AE1438">
        <v>18</v>
      </c>
      <c r="AF1438" t="s">
        <v>1259</v>
      </c>
      <c r="AG1438" t="s">
        <v>1244</v>
      </c>
      <c r="AH1438" t="s">
        <v>5294</v>
      </c>
    </row>
    <row r="1439" spans="1:34" x14ac:dyDescent="0.25">
      <c r="A1439">
        <v>25</v>
      </c>
      <c r="C1439" s="185"/>
      <c r="E1439" t="s">
        <v>386</v>
      </c>
      <c r="F1439" t="s">
        <v>5295</v>
      </c>
      <c r="G1439" t="s">
        <v>1238</v>
      </c>
      <c r="H1439" t="s">
        <v>5296</v>
      </c>
      <c r="I1439">
        <v>16556</v>
      </c>
      <c r="J1439" t="s">
        <v>5295</v>
      </c>
      <c r="K1439" t="s">
        <v>5297</v>
      </c>
      <c r="L1439" t="s">
        <v>386</v>
      </c>
      <c r="M1439" t="s">
        <v>1184</v>
      </c>
      <c r="N1439">
        <v>16556</v>
      </c>
      <c r="O1439">
        <v>0</v>
      </c>
      <c r="Q1439" t="s">
        <v>5298</v>
      </c>
      <c r="T1439">
        <v>496</v>
      </c>
      <c r="V1439" t="s">
        <v>2246</v>
      </c>
      <c r="W1439" t="s">
        <v>2246</v>
      </c>
      <c r="X1439">
        <v>496</v>
      </c>
      <c r="Z1439" t="s">
        <v>857</v>
      </c>
      <c r="AA1439" t="s">
        <v>387</v>
      </c>
      <c r="AB1439">
        <v>0</v>
      </c>
      <c r="AC1439">
        <v>6186</v>
      </c>
      <c r="AD1439" t="s">
        <v>5295</v>
      </c>
      <c r="AE1439">
        <v>18</v>
      </c>
      <c r="AF1439" t="s">
        <v>1259</v>
      </c>
      <c r="AG1439" t="s">
        <v>5299</v>
      </c>
    </row>
    <row r="1440" spans="1:34" x14ac:dyDescent="0.25">
      <c r="A1440">
        <v>2152</v>
      </c>
      <c r="C1440" s="185"/>
      <c r="E1440" t="s">
        <v>386</v>
      </c>
      <c r="F1440" t="s">
        <v>5300</v>
      </c>
      <c r="G1440" t="s">
        <v>1238</v>
      </c>
      <c r="H1440" t="s">
        <v>5301</v>
      </c>
      <c r="I1440">
        <v>15717</v>
      </c>
      <c r="J1440" t="s">
        <v>5300</v>
      </c>
      <c r="K1440" t="s">
        <v>5302</v>
      </c>
      <c r="L1440" t="s">
        <v>386</v>
      </c>
      <c r="M1440" t="s">
        <v>1184</v>
      </c>
      <c r="N1440">
        <v>15717</v>
      </c>
      <c r="O1440">
        <v>0</v>
      </c>
      <c r="Q1440" t="s">
        <v>5303</v>
      </c>
      <c r="T1440">
        <v>260</v>
      </c>
      <c r="V1440" t="s">
        <v>1216</v>
      </c>
      <c r="W1440" t="s">
        <v>1216</v>
      </c>
      <c r="X1440">
        <v>260</v>
      </c>
      <c r="Z1440" t="s">
        <v>5304</v>
      </c>
      <c r="AA1440" t="s">
        <v>387</v>
      </c>
      <c r="AB1440">
        <v>0</v>
      </c>
      <c r="AC1440">
        <v>5925</v>
      </c>
      <c r="AD1440" t="s">
        <v>5305</v>
      </c>
      <c r="AE1440">
        <v>2728</v>
      </c>
      <c r="AF1440" t="s">
        <v>5306</v>
      </c>
      <c r="AG1440" t="s">
        <v>1244</v>
      </c>
    </row>
    <row r="1441" spans="1:34" x14ac:dyDescent="0.25">
      <c r="A1441">
        <v>1820</v>
      </c>
      <c r="C1441" s="185"/>
      <c r="D1441" t="s">
        <v>157</v>
      </c>
      <c r="E1441" t="s">
        <v>386</v>
      </c>
      <c r="F1441" t="s">
        <v>1897</v>
      </c>
      <c r="G1441" t="s">
        <v>1192</v>
      </c>
      <c r="H1441" t="s">
        <v>5307</v>
      </c>
      <c r="I1441">
        <v>8279</v>
      </c>
      <c r="J1441" t="s">
        <v>5308</v>
      </c>
      <c r="K1441" t="s">
        <v>5308</v>
      </c>
      <c r="L1441" t="s">
        <v>386</v>
      </c>
      <c r="M1441" t="s">
        <v>1184</v>
      </c>
      <c r="N1441">
        <v>0</v>
      </c>
      <c r="O1441">
        <v>0</v>
      </c>
      <c r="Q1441" t="s">
        <v>5309</v>
      </c>
      <c r="R1441" t="s">
        <v>398</v>
      </c>
      <c r="T1441">
        <v>185</v>
      </c>
      <c r="V1441" t="s">
        <v>1915</v>
      </c>
      <c r="Z1441" t="s">
        <v>5028</v>
      </c>
      <c r="AA1441" t="s">
        <v>387</v>
      </c>
      <c r="AB1441">
        <v>0</v>
      </c>
      <c r="AC1441">
        <v>3326</v>
      </c>
      <c r="AD1441" t="s">
        <v>5310</v>
      </c>
      <c r="AE1441">
        <v>18</v>
      </c>
      <c r="AF1441" t="s">
        <v>1259</v>
      </c>
      <c r="AG1441" t="s">
        <v>1244</v>
      </c>
    </row>
    <row r="1442" spans="1:34" x14ac:dyDescent="0.25">
      <c r="A1442">
        <v>1553</v>
      </c>
      <c r="C1442" s="185"/>
      <c r="D1442" t="s">
        <v>157</v>
      </c>
      <c r="E1442" t="s">
        <v>386</v>
      </c>
      <c r="F1442" t="s">
        <v>294</v>
      </c>
      <c r="G1442" t="s">
        <v>1238</v>
      </c>
      <c r="H1442" t="s">
        <v>1239</v>
      </c>
      <c r="I1442">
        <v>13244</v>
      </c>
      <c r="J1442" t="s">
        <v>294</v>
      </c>
      <c r="K1442" t="s">
        <v>5311</v>
      </c>
      <c r="L1442" t="s">
        <v>386</v>
      </c>
      <c r="M1442" t="s">
        <v>1184</v>
      </c>
      <c r="N1442">
        <v>13244</v>
      </c>
      <c r="O1442">
        <v>59</v>
      </c>
      <c r="Q1442" t="s">
        <v>5312</v>
      </c>
      <c r="R1442" t="s">
        <v>398</v>
      </c>
      <c r="T1442">
        <v>200</v>
      </c>
      <c r="V1442" t="s">
        <v>1199</v>
      </c>
      <c r="W1442" t="s">
        <v>1712</v>
      </c>
      <c r="X1442">
        <v>388</v>
      </c>
      <c r="Z1442" t="s">
        <v>968</v>
      </c>
      <c r="AA1442" t="s">
        <v>387</v>
      </c>
      <c r="AB1442">
        <v>51000</v>
      </c>
      <c r="AC1442">
        <v>4961</v>
      </c>
      <c r="AD1442" t="s">
        <v>294</v>
      </c>
      <c r="AE1442">
        <v>1974</v>
      </c>
      <c r="AF1442" t="s">
        <v>1243</v>
      </c>
      <c r="AG1442" t="s">
        <v>1244</v>
      </c>
      <c r="AH1442" t="s">
        <v>5313</v>
      </c>
    </row>
    <row r="1443" spans="1:34" x14ac:dyDescent="0.25">
      <c r="A1443">
        <v>1765</v>
      </c>
      <c r="C1443" s="185"/>
      <c r="D1443" t="s">
        <v>157</v>
      </c>
      <c r="E1443" t="s">
        <v>386</v>
      </c>
      <c r="F1443" t="s">
        <v>5314</v>
      </c>
      <c r="G1443" t="s">
        <v>1192</v>
      </c>
      <c r="H1443" t="s">
        <v>4900</v>
      </c>
      <c r="I1443">
        <v>8485</v>
      </c>
      <c r="J1443" t="s">
        <v>5314</v>
      </c>
      <c r="K1443" t="s">
        <v>5314</v>
      </c>
      <c r="L1443" t="s">
        <v>386</v>
      </c>
      <c r="M1443" t="s">
        <v>1184</v>
      </c>
      <c r="N1443">
        <v>8485</v>
      </c>
      <c r="O1443">
        <v>0</v>
      </c>
      <c r="Q1443" t="s">
        <v>5315</v>
      </c>
      <c r="R1443" t="s">
        <v>398</v>
      </c>
      <c r="T1443">
        <v>388</v>
      </c>
      <c r="V1443" t="s">
        <v>1712</v>
      </c>
      <c r="W1443" t="s">
        <v>1712</v>
      </c>
      <c r="X1443">
        <v>388</v>
      </c>
      <c r="Z1443" t="s">
        <v>4903</v>
      </c>
      <c r="AA1443" t="s">
        <v>387</v>
      </c>
      <c r="AB1443">
        <v>0</v>
      </c>
      <c r="AC1443">
        <v>3399</v>
      </c>
      <c r="AD1443" t="s">
        <v>5316</v>
      </c>
      <c r="AE1443">
        <v>18</v>
      </c>
      <c r="AF1443" t="s">
        <v>1259</v>
      </c>
      <c r="AG1443" t="s">
        <v>1244</v>
      </c>
      <c r="AH1443" t="s">
        <v>5317</v>
      </c>
    </row>
    <row r="1444" spans="1:34" x14ac:dyDescent="0.25">
      <c r="A1444">
        <v>53</v>
      </c>
      <c r="C1444" s="185"/>
      <c r="D1444" t="s">
        <v>157</v>
      </c>
      <c r="E1444" t="s">
        <v>386</v>
      </c>
      <c r="F1444" t="s">
        <v>5318</v>
      </c>
      <c r="G1444" t="s">
        <v>1238</v>
      </c>
      <c r="H1444" t="s">
        <v>5319</v>
      </c>
      <c r="I1444">
        <v>10549</v>
      </c>
      <c r="J1444" t="s">
        <v>5318</v>
      </c>
      <c r="K1444" t="s">
        <v>5318</v>
      </c>
      <c r="L1444" t="s">
        <v>386</v>
      </c>
      <c r="M1444" t="s">
        <v>1184</v>
      </c>
      <c r="N1444">
        <v>10549</v>
      </c>
      <c r="O1444">
        <v>0</v>
      </c>
      <c r="Q1444" t="s">
        <v>5320</v>
      </c>
      <c r="R1444" t="s">
        <v>398</v>
      </c>
      <c r="T1444">
        <v>388</v>
      </c>
      <c r="V1444" t="s">
        <v>1712</v>
      </c>
      <c r="W1444" t="s">
        <v>1199</v>
      </c>
      <c r="X1444">
        <v>200</v>
      </c>
      <c r="Z1444" t="s">
        <v>943</v>
      </c>
      <c r="AA1444" t="s">
        <v>387</v>
      </c>
      <c r="AB1444">
        <v>0</v>
      </c>
      <c r="AC1444">
        <v>4075</v>
      </c>
      <c r="AD1444" t="s">
        <v>5321</v>
      </c>
      <c r="AE1444">
        <v>1874</v>
      </c>
      <c r="AF1444" t="s">
        <v>5046</v>
      </c>
      <c r="AG1444" t="s">
        <v>5322</v>
      </c>
    </row>
    <row r="1445" spans="1:34" x14ac:dyDescent="0.25">
      <c r="A1445">
        <v>53</v>
      </c>
      <c r="C1445" s="185"/>
      <c r="D1445" t="s">
        <v>157</v>
      </c>
      <c r="E1445" t="s">
        <v>386</v>
      </c>
      <c r="F1445" t="s">
        <v>5318</v>
      </c>
      <c r="G1445" t="s">
        <v>1238</v>
      </c>
      <c r="H1445" t="s">
        <v>5319</v>
      </c>
      <c r="I1445">
        <v>10562</v>
      </c>
      <c r="J1445" t="s">
        <v>5318</v>
      </c>
      <c r="K1445" t="s">
        <v>5318</v>
      </c>
      <c r="L1445" t="s">
        <v>386</v>
      </c>
      <c r="M1445" t="s">
        <v>1184</v>
      </c>
      <c r="N1445">
        <v>10562</v>
      </c>
      <c r="O1445">
        <v>0</v>
      </c>
      <c r="Q1445" t="s">
        <v>5320</v>
      </c>
      <c r="R1445" t="s">
        <v>398</v>
      </c>
      <c r="T1445">
        <v>388</v>
      </c>
      <c r="V1445" t="s">
        <v>1712</v>
      </c>
      <c r="W1445" t="s">
        <v>1216</v>
      </c>
      <c r="X1445">
        <v>260</v>
      </c>
      <c r="Z1445" t="s">
        <v>943</v>
      </c>
      <c r="AA1445" t="s">
        <v>387</v>
      </c>
      <c r="AB1445">
        <v>0</v>
      </c>
      <c r="AC1445">
        <v>4075</v>
      </c>
      <c r="AD1445" t="s">
        <v>5321</v>
      </c>
      <c r="AE1445">
        <v>1874</v>
      </c>
      <c r="AF1445" t="s">
        <v>5046</v>
      </c>
      <c r="AG1445" t="s">
        <v>5322</v>
      </c>
    </row>
    <row r="1446" spans="1:34" x14ac:dyDescent="0.25">
      <c r="A1446">
        <v>1553</v>
      </c>
      <c r="C1446" s="185"/>
      <c r="E1446" t="s">
        <v>386</v>
      </c>
      <c r="F1446" t="s">
        <v>5323</v>
      </c>
      <c r="G1446" t="s">
        <v>1238</v>
      </c>
      <c r="H1446" t="s">
        <v>1239</v>
      </c>
      <c r="I1446">
        <v>13588</v>
      </c>
      <c r="J1446" t="s">
        <v>5323</v>
      </c>
      <c r="K1446" t="s">
        <v>5324</v>
      </c>
      <c r="L1446" t="s">
        <v>386</v>
      </c>
      <c r="M1446" t="s">
        <v>1184</v>
      </c>
      <c r="N1446">
        <v>13588</v>
      </c>
      <c r="O1446">
        <v>59</v>
      </c>
      <c r="Q1446" t="s">
        <v>5325</v>
      </c>
      <c r="R1446" t="s">
        <v>398</v>
      </c>
      <c r="T1446">
        <v>246</v>
      </c>
      <c r="V1446" t="s">
        <v>3321</v>
      </c>
      <c r="W1446" t="s">
        <v>1216</v>
      </c>
      <c r="X1446">
        <v>260</v>
      </c>
      <c r="Z1446" t="s">
        <v>968</v>
      </c>
      <c r="AA1446" t="s">
        <v>387</v>
      </c>
      <c r="AB1446">
        <v>0</v>
      </c>
      <c r="AC1446">
        <v>5112</v>
      </c>
      <c r="AD1446" t="s">
        <v>5326</v>
      </c>
      <c r="AE1446">
        <v>1974</v>
      </c>
      <c r="AF1446" t="s">
        <v>1243</v>
      </c>
      <c r="AG1446" t="s">
        <v>1244</v>
      </c>
      <c r="AH1446" t="s">
        <v>5327</v>
      </c>
    </row>
    <row r="1447" spans="1:34" x14ac:dyDescent="0.25">
      <c r="A1447">
        <v>2198</v>
      </c>
      <c r="C1447" s="185"/>
      <c r="D1447" t="s">
        <v>157</v>
      </c>
      <c r="E1447" t="s">
        <v>386</v>
      </c>
      <c r="F1447" t="s">
        <v>610</v>
      </c>
      <c r="G1447" t="s">
        <v>1238</v>
      </c>
      <c r="H1447" t="s">
        <v>5328</v>
      </c>
      <c r="I1447">
        <v>16924</v>
      </c>
      <c r="J1447" t="s">
        <v>610</v>
      </c>
      <c r="K1447" t="s">
        <v>5329</v>
      </c>
      <c r="L1447" t="s">
        <v>386</v>
      </c>
      <c r="M1447" t="s">
        <v>1184</v>
      </c>
      <c r="N1447">
        <v>16924</v>
      </c>
      <c r="O1447">
        <v>25</v>
      </c>
      <c r="Q1447" t="s">
        <v>5330</v>
      </c>
      <c r="R1447" t="s">
        <v>398</v>
      </c>
      <c r="T1447">
        <v>259</v>
      </c>
      <c r="V1447" t="s">
        <v>1215</v>
      </c>
      <c r="W1447" t="s">
        <v>1194</v>
      </c>
      <c r="X1447">
        <v>220</v>
      </c>
      <c r="Z1447" t="s">
        <v>5331</v>
      </c>
      <c r="AA1447" t="s">
        <v>387</v>
      </c>
      <c r="AB1447">
        <v>0</v>
      </c>
      <c r="AC1447">
        <v>6298</v>
      </c>
      <c r="AD1447" t="s">
        <v>5332</v>
      </c>
      <c r="AE1447">
        <v>18</v>
      </c>
      <c r="AF1447" t="s">
        <v>1259</v>
      </c>
      <c r="AG1447" t="s">
        <v>2044</v>
      </c>
      <c r="AH1447" t="s">
        <v>5333</v>
      </c>
    </row>
    <row r="1448" spans="1:34" x14ac:dyDescent="0.25">
      <c r="A1448">
        <v>2034</v>
      </c>
      <c r="C1448" s="185"/>
      <c r="E1448" t="s">
        <v>386</v>
      </c>
      <c r="F1448" t="s">
        <v>5334</v>
      </c>
      <c r="G1448" t="s">
        <v>1238</v>
      </c>
      <c r="H1448" t="s">
        <v>5335</v>
      </c>
      <c r="I1448">
        <v>12969</v>
      </c>
      <c r="J1448" t="s">
        <v>5334</v>
      </c>
      <c r="K1448" t="s">
        <v>5336</v>
      </c>
      <c r="L1448" t="s">
        <v>386</v>
      </c>
      <c r="M1448" t="s">
        <v>1184</v>
      </c>
      <c r="N1448">
        <v>12969</v>
      </c>
      <c r="O1448">
        <v>0</v>
      </c>
      <c r="Q1448" t="s">
        <v>5337</v>
      </c>
      <c r="R1448" t="s">
        <v>398</v>
      </c>
      <c r="T1448">
        <v>260</v>
      </c>
      <c r="V1448" t="s">
        <v>1216</v>
      </c>
      <c r="W1448" t="s">
        <v>1712</v>
      </c>
      <c r="X1448">
        <v>388</v>
      </c>
      <c r="Z1448" t="s">
        <v>5338</v>
      </c>
      <c r="AA1448" t="s">
        <v>387</v>
      </c>
      <c r="AB1448">
        <v>0</v>
      </c>
      <c r="AC1448">
        <v>4834</v>
      </c>
      <c r="AD1448" t="s">
        <v>5339</v>
      </c>
      <c r="AE1448">
        <v>18</v>
      </c>
      <c r="AF1448" t="s">
        <v>1259</v>
      </c>
      <c r="AG1448" t="s">
        <v>1244</v>
      </c>
      <c r="AH1448" t="s">
        <v>5340</v>
      </c>
    </row>
    <row r="1449" spans="1:34" x14ac:dyDescent="0.25">
      <c r="A1449">
        <v>1713</v>
      </c>
      <c r="C1449" s="185"/>
      <c r="D1449" t="s">
        <v>157</v>
      </c>
      <c r="E1449" t="s">
        <v>386</v>
      </c>
      <c r="F1449" t="s">
        <v>5341</v>
      </c>
      <c r="G1449" t="s">
        <v>1238</v>
      </c>
      <c r="H1449" t="s">
        <v>5342</v>
      </c>
      <c r="I1449">
        <v>5741</v>
      </c>
      <c r="J1449" t="s">
        <v>5341</v>
      </c>
      <c r="K1449" t="s">
        <v>5341</v>
      </c>
      <c r="L1449" t="s">
        <v>386</v>
      </c>
      <c r="M1449" t="s">
        <v>1184</v>
      </c>
      <c r="N1449">
        <v>5741</v>
      </c>
      <c r="O1449">
        <v>54</v>
      </c>
      <c r="Q1449" t="s">
        <v>5343</v>
      </c>
      <c r="R1449" t="s">
        <v>398</v>
      </c>
      <c r="T1449">
        <v>39</v>
      </c>
      <c r="V1449" t="s">
        <v>2144</v>
      </c>
      <c r="Z1449" t="s">
        <v>5344</v>
      </c>
      <c r="AA1449" t="s">
        <v>387</v>
      </c>
      <c r="AB1449">
        <v>0</v>
      </c>
      <c r="AC1449">
        <v>2704</v>
      </c>
      <c r="AD1449" t="s">
        <v>5345</v>
      </c>
      <c r="AE1449">
        <v>18</v>
      </c>
      <c r="AF1449" t="s">
        <v>1259</v>
      </c>
      <c r="AG1449" t="s">
        <v>1244</v>
      </c>
    </row>
    <row r="1450" spans="1:34" x14ac:dyDescent="0.25">
      <c r="A1450">
        <v>1553</v>
      </c>
      <c r="C1450" s="185"/>
      <c r="E1450" t="s">
        <v>386</v>
      </c>
      <c r="F1450" t="s">
        <v>5346</v>
      </c>
      <c r="G1450" t="s">
        <v>1238</v>
      </c>
      <c r="H1450" t="s">
        <v>1239</v>
      </c>
      <c r="I1450">
        <v>14272</v>
      </c>
      <c r="J1450" t="s">
        <v>5346</v>
      </c>
      <c r="K1450" t="s">
        <v>5347</v>
      </c>
      <c r="L1450" t="s">
        <v>386</v>
      </c>
      <c r="M1450" t="s">
        <v>1184</v>
      </c>
      <c r="N1450">
        <v>14272</v>
      </c>
      <c r="O1450">
        <v>59</v>
      </c>
      <c r="Q1450" t="s">
        <v>5348</v>
      </c>
      <c r="R1450" t="s">
        <v>398</v>
      </c>
      <c r="T1450">
        <v>259</v>
      </c>
      <c r="V1450" t="s">
        <v>1215</v>
      </c>
      <c r="W1450" t="s">
        <v>3321</v>
      </c>
      <c r="X1450">
        <v>246</v>
      </c>
      <c r="Z1450" t="s">
        <v>968</v>
      </c>
      <c r="AA1450" t="s">
        <v>387</v>
      </c>
      <c r="AB1450">
        <v>51000</v>
      </c>
      <c r="AC1450">
        <v>5410</v>
      </c>
      <c r="AD1450" t="s">
        <v>5346</v>
      </c>
      <c r="AE1450">
        <v>1974</v>
      </c>
      <c r="AF1450" t="s">
        <v>1243</v>
      </c>
      <c r="AG1450" t="s">
        <v>1244</v>
      </c>
    </row>
    <row r="1451" spans="1:34" x14ac:dyDescent="0.25">
      <c r="A1451">
        <v>1746</v>
      </c>
      <c r="C1451" s="185"/>
      <c r="D1451" t="s">
        <v>157</v>
      </c>
      <c r="E1451" t="s">
        <v>386</v>
      </c>
      <c r="F1451" t="s">
        <v>5349</v>
      </c>
      <c r="G1451" t="s">
        <v>1238</v>
      </c>
      <c r="H1451" t="s">
        <v>5350</v>
      </c>
      <c r="I1451">
        <v>6235</v>
      </c>
      <c r="J1451" t="s">
        <v>5349</v>
      </c>
      <c r="K1451" t="s">
        <v>5349</v>
      </c>
      <c r="L1451" t="s">
        <v>386</v>
      </c>
      <c r="M1451" t="s">
        <v>1184</v>
      </c>
      <c r="N1451">
        <v>6235</v>
      </c>
      <c r="O1451">
        <v>0</v>
      </c>
      <c r="Q1451" t="s">
        <v>5351</v>
      </c>
      <c r="T1451">
        <v>388</v>
      </c>
      <c r="V1451" t="s">
        <v>1712</v>
      </c>
      <c r="W1451" t="s">
        <v>2024</v>
      </c>
      <c r="X1451">
        <v>52</v>
      </c>
      <c r="Z1451" t="s">
        <v>5352</v>
      </c>
      <c r="AA1451" t="s">
        <v>387</v>
      </c>
      <c r="AB1451">
        <v>0</v>
      </c>
      <c r="AC1451">
        <v>2856</v>
      </c>
      <c r="AD1451" t="s">
        <v>5353</v>
      </c>
      <c r="AE1451">
        <v>18</v>
      </c>
      <c r="AF1451" t="s">
        <v>1259</v>
      </c>
      <c r="AG1451" t="s">
        <v>1244</v>
      </c>
      <c r="AH1451" t="s">
        <v>5354</v>
      </c>
    </row>
    <row r="1452" spans="1:34" x14ac:dyDescent="0.25">
      <c r="A1452">
        <v>1850</v>
      </c>
      <c r="C1452" s="185"/>
      <c r="D1452" t="s">
        <v>157</v>
      </c>
      <c r="E1452" t="s">
        <v>386</v>
      </c>
      <c r="F1452" t="s">
        <v>5355</v>
      </c>
      <c r="G1452" t="s">
        <v>1238</v>
      </c>
      <c r="H1452" t="s">
        <v>4895</v>
      </c>
      <c r="I1452">
        <v>9339</v>
      </c>
      <c r="J1452" t="s">
        <v>5355</v>
      </c>
      <c r="K1452" t="s">
        <v>5355</v>
      </c>
      <c r="L1452" t="s">
        <v>386</v>
      </c>
      <c r="M1452" t="s">
        <v>1184</v>
      </c>
      <c r="N1452">
        <v>9339</v>
      </c>
      <c r="O1452">
        <v>0</v>
      </c>
      <c r="Q1452" t="s">
        <v>5356</v>
      </c>
      <c r="R1452" t="s">
        <v>398</v>
      </c>
      <c r="T1452">
        <v>388</v>
      </c>
      <c r="V1452" t="s">
        <v>1712</v>
      </c>
      <c r="W1452" t="s">
        <v>1915</v>
      </c>
      <c r="X1452">
        <v>185</v>
      </c>
      <c r="Z1452" t="s">
        <v>4897</v>
      </c>
      <c r="AA1452" t="s">
        <v>387</v>
      </c>
      <c r="AB1452">
        <v>0</v>
      </c>
      <c r="AC1452">
        <v>3725</v>
      </c>
      <c r="AD1452" t="s">
        <v>5357</v>
      </c>
      <c r="AE1452">
        <v>18</v>
      </c>
      <c r="AF1452" t="s">
        <v>1259</v>
      </c>
      <c r="AG1452" t="s">
        <v>1244</v>
      </c>
    </row>
    <row r="1453" spans="1:34" x14ac:dyDescent="0.25">
      <c r="A1453">
        <v>95</v>
      </c>
      <c r="C1453" s="185"/>
      <c r="D1453" t="s">
        <v>157</v>
      </c>
      <c r="E1453" t="s">
        <v>386</v>
      </c>
      <c r="F1453" t="s">
        <v>5358</v>
      </c>
      <c r="G1453" t="s">
        <v>1238</v>
      </c>
      <c r="H1453" t="s">
        <v>4879</v>
      </c>
      <c r="I1453">
        <v>11353</v>
      </c>
      <c r="J1453" t="s">
        <v>5358</v>
      </c>
      <c r="K1453" t="s">
        <v>5359</v>
      </c>
      <c r="L1453" t="s">
        <v>386</v>
      </c>
      <c r="M1453" t="s">
        <v>1184</v>
      </c>
      <c r="N1453">
        <v>11353</v>
      </c>
      <c r="O1453">
        <v>0</v>
      </c>
      <c r="Q1453" t="s">
        <v>5360</v>
      </c>
      <c r="R1453" t="s">
        <v>1208</v>
      </c>
      <c r="T1453">
        <v>388</v>
      </c>
      <c r="V1453" t="s">
        <v>1712</v>
      </c>
      <c r="W1453" t="s">
        <v>1199</v>
      </c>
      <c r="X1453">
        <v>200</v>
      </c>
      <c r="Z1453" t="s">
        <v>952</v>
      </c>
      <c r="AA1453" t="s">
        <v>387</v>
      </c>
      <c r="AB1453">
        <v>0</v>
      </c>
      <c r="AC1453">
        <v>3341</v>
      </c>
      <c r="AD1453" t="s">
        <v>4881</v>
      </c>
      <c r="AE1453">
        <v>18</v>
      </c>
      <c r="AF1453" t="s">
        <v>1259</v>
      </c>
      <c r="AG1453" t="s">
        <v>1244</v>
      </c>
    </row>
    <row r="1454" spans="1:34" x14ac:dyDescent="0.25">
      <c r="A1454">
        <v>95</v>
      </c>
      <c r="C1454" s="185"/>
      <c r="E1454" t="s">
        <v>386</v>
      </c>
      <c r="F1454" t="s">
        <v>5361</v>
      </c>
      <c r="G1454" t="s">
        <v>1238</v>
      </c>
      <c r="H1454" t="s">
        <v>5362</v>
      </c>
      <c r="I1454">
        <v>14250</v>
      </c>
      <c r="J1454" t="s">
        <v>5363</v>
      </c>
      <c r="K1454" t="s">
        <v>5364</v>
      </c>
      <c r="L1454" t="s">
        <v>386</v>
      </c>
      <c r="M1454" t="s">
        <v>1184</v>
      </c>
      <c r="N1454">
        <v>15380</v>
      </c>
      <c r="O1454">
        <v>59</v>
      </c>
      <c r="Q1454" t="s">
        <v>5365</v>
      </c>
      <c r="R1454" t="s">
        <v>398</v>
      </c>
      <c r="T1454">
        <v>260</v>
      </c>
      <c r="V1454" t="s">
        <v>1216</v>
      </c>
      <c r="W1454" t="s">
        <v>2107</v>
      </c>
      <c r="X1454">
        <v>272</v>
      </c>
      <c r="Z1454" t="s">
        <v>952</v>
      </c>
      <c r="AA1454" t="s">
        <v>387</v>
      </c>
      <c r="AB1454">
        <v>51000</v>
      </c>
      <c r="AC1454">
        <v>5397</v>
      </c>
      <c r="AD1454" t="s">
        <v>5363</v>
      </c>
      <c r="AE1454">
        <v>18</v>
      </c>
      <c r="AF1454" t="s">
        <v>1259</v>
      </c>
      <c r="AG1454" t="s">
        <v>1244</v>
      </c>
      <c r="AH1454" t="s">
        <v>5366</v>
      </c>
    </row>
    <row r="1455" spans="1:34" x14ac:dyDescent="0.25">
      <c r="A1455">
        <v>1674</v>
      </c>
      <c r="C1455" s="185"/>
      <c r="E1455" t="s">
        <v>386</v>
      </c>
      <c r="F1455" t="s">
        <v>5361</v>
      </c>
      <c r="G1455" t="s">
        <v>1238</v>
      </c>
      <c r="H1455" t="s">
        <v>2684</v>
      </c>
      <c r="I1455">
        <v>14251</v>
      </c>
      <c r="J1455" t="s">
        <v>5367</v>
      </c>
      <c r="K1455" t="s">
        <v>5364</v>
      </c>
      <c r="L1455" t="s">
        <v>386</v>
      </c>
      <c r="M1455" t="s">
        <v>1184</v>
      </c>
      <c r="N1455">
        <v>15380</v>
      </c>
      <c r="O1455">
        <v>59</v>
      </c>
      <c r="Q1455" t="s">
        <v>5368</v>
      </c>
      <c r="R1455" t="s">
        <v>398</v>
      </c>
      <c r="T1455">
        <v>260</v>
      </c>
      <c r="V1455" t="s">
        <v>1216</v>
      </c>
      <c r="W1455" t="s">
        <v>2107</v>
      </c>
      <c r="X1455">
        <v>272</v>
      </c>
      <c r="Z1455" t="s">
        <v>2685</v>
      </c>
      <c r="AA1455" t="s">
        <v>387</v>
      </c>
      <c r="AB1455">
        <v>51000</v>
      </c>
      <c r="AC1455">
        <v>5398</v>
      </c>
      <c r="AD1455" t="s">
        <v>5369</v>
      </c>
      <c r="AE1455">
        <v>18</v>
      </c>
      <c r="AF1455" t="s">
        <v>1259</v>
      </c>
      <c r="AG1455" t="s">
        <v>1244</v>
      </c>
      <c r="AH1455" t="s">
        <v>5366</v>
      </c>
    </row>
    <row r="1456" spans="1:34" x14ac:dyDescent="0.25">
      <c r="A1456">
        <v>1765</v>
      </c>
      <c r="C1456" s="185"/>
      <c r="D1456" t="s">
        <v>157</v>
      </c>
      <c r="E1456" t="s">
        <v>386</v>
      </c>
      <c r="F1456" t="s">
        <v>5370</v>
      </c>
      <c r="G1456" t="s">
        <v>1192</v>
      </c>
      <c r="H1456" t="s">
        <v>4900</v>
      </c>
      <c r="I1456">
        <v>8443</v>
      </c>
      <c r="J1456" t="s">
        <v>5370</v>
      </c>
      <c r="K1456" t="s">
        <v>5370</v>
      </c>
      <c r="L1456" t="s">
        <v>386</v>
      </c>
      <c r="M1456" t="s">
        <v>1184</v>
      </c>
      <c r="N1456">
        <v>8443</v>
      </c>
      <c r="O1456">
        <v>0</v>
      </c>
      <c r="Q1456" t="s">
        <v>5371</v>
      </c>
      <c r="R1456" t="s">
        <v>398</v>
      </c>
      <c r="T1456">
        <v>185</v>
      </c>
      <c r="V1456" t="s">
        <v>1915</v>
      </c>
      <c r="Z1456" t="s">
        <v>4903</v>
      </c>
      <c r="AA1456" t="s">
        <v>387</v>
      </c>
      <c r="AB1456">
        <v>0</v>
      </c>
      <c r="AC1456">
        <v>3343</v>
      </c>
      <c r="AD1456" t="s">
        <v>5372</v>
      </c>
      <c r="AE1456">
        <v>18</v>
      </c>
      <c r="AF1456" t="s">
        <v>1259</v>
      </c>
      <c r="AG1456" t="s">
        <v>1244</v>
      </c>
    </row>
    <row r="1457" spans="1:34" x14ac:dyDescent="0.25">
      <c r="A1457">
        <v>53</v>
      </c>
      <c r="C1457" s="185"/>
      <c r="E1457" t="s">
        <v>386</v>
      </c>
      <c r="F1457" t="s">
        <v>5373</v>
      </c>
      <c r="G1457" t="s">
        <v>1197</v>
      </c>
      <c r="H1457" t="s">
        <v>5374</v>
      </c>
      <c r="I1457">
        <v>13169</v>
      </c>
      <c r="J1457" t="s">
        <v>5373</v>
      </c>
      <c r="K1457" t="s">
        <v>5375</v>
      </c>
      <c r="L1457" t="s">
        <v>386</v>
      </c>
      <c r="M1457" t="s">
        <v>1193</v>
      </c>
      <c r="N1457">
        <v>13169</v>
      </c>
      <c r="O1457">
        <v>0</v>
      </c>
      <c r="Q1457" t="s">
        <v>5376</v>
      </c>
      <c r="R1457" t="s">
        <v>1208</v>
      </c>
      <c r="T1457">
        <v>571</v>
      </c>
      <c r="V1457" t="s">
        <v>2003</v>
      </c>
      <c r="W1457" t="s">
        <v>1530</v>
      </c>
      <c r="X1457">
        <v>103</v>
      </c>
      <c r="Z1457" t="s">
        <v>943</v>
      </c>
      <c r="AA1457" t="s">
        <v>387</v>
      </c>
      <c r="AB1457">
        <v>0</v>
      </c>
      <c r="AC1457">
        <v>4928</v>
      </c>
      <c r="AD1457" t="s">
        <v>5377</v>
      </c>
      <c r="AE1457">
        <v>2272</v>
      </c>
      <c r="AF1457" t="s">
        <v>5378</v>
      </c>
      <c r="AG1457" t="s">
        <v>4709</v>
      </c>
      <c r="AH1457" t="s">
        <v>5379</v>
      </c>
    </row>
    <row r="1458" spans="1:34" x14ac:dyDescent="0.25">
      <c r="A1458">
        <v>2018</v>
      </c>
      <c r="C1458" s="185"/>
      <c r="E1458" t="s">
        <v>386</v>
      </c>
      <c r="F1458" t="s">
        <v>5380</v>
      </c>
      <c r="G1458" t="s">
        <v>1238</v>
      </c>
      <c r="H1458" t="s">
        <v>5092</v>
      </c>
      <c r="I1458">
        <v>12763</v>
      </c>
      <c r="J1458" t="s">
        <v>5380</v>
      </c>
      <c r="K1458" t="s">
        <v>5381</v>
      </c>
      <c r="L1458" t="s">
        <v>386</v>
      </c>
      <c r="M1458" t="s">
        <v>1184</v>
      </c>
      <c r="N1458">
        <v>12763</v>
      </c>
      <c r="O1458">
        <v>0</v>
      </c>
      <c r="Q1458" t="s">
        <v>5382</v>
      </c>
      <c r="R1458" t="s">
        <v>398</v>
      </c>
      <c r="T1458">
        <v>52</v>
      </c>
      <c r="V1458" t="s">
        <v>2024</v>
      </c>
      <c r="W1458" t="s">
        <v>1712</v>
      </c>
      <c r="X1458">
        <v>388</v>
      </c>
      <c r="Z1458" t="s">
        <v>5095</v>
      </c>
      <c r="AA1458" t="s">
        <v>387</v>
      </c>
      <c r="AB1458">
        <v>0</v>
      </c>
      <c r="AC1458">
        <v>4768</v>
      </c>
      <c r="AD1458" t="s">
        <v>5383</v>
      </c>
      <c r="AE1458">
        <v>2197</v>
      </c>
      <c r="AF1458" t="s">
        <v>5096</v>
      </c>
      <c r="AG1458" t="s">
        <v>1244</v>
      </c>
    </row>
    <row r="1459" spans="1:34" x14ac:dyDescent="0.25">
      <c r="A1459">
        <v>25</v>
      </c>
      <c r="C1459" s="185"/>
      <c r="E1459" t="s">
        <v>386</v>
      </c>
      <c r="F1459" t="s">
        <v>5384</v>
      </c>
      <c r="G1459" t="s">
        <v>1238</v>
      </c>
      <c r="H1459" t="s">
        <v>5296</v>
      </c>
      <c r="I1459">
        <v>16769</v>
      </c>
      <c r="J1459" t="s">
        <v>5384</v>
      </c>
      <c r="K1459" t="s">
        <v>5385</v>
      </c>
      <c r="L1459" t="s">
        <v>386</v>
      </c>
      <c r="M1459" t="s">
        <v>1184</v>
      </c>
      <c r="N1459">
        <v>16769</v>
      </c>
      <c r="O1459">
        <v>0</v>
      </c>
      <c r="Q1459" t="s">
        <v>5386</v>
      </c>
      <c r="T1459">
        <v>260</v>
      </c>
      <c r="V1459" t="s">
        <v>1216</v>
      </c>
      <c r="W1459" t="s">
        <v>1216</v>
      </c>
      <c r="X1459">
        <v>260</v>
      </c>
      <c r="Z1459" t="s">
        <v>857</v>
      </c>
      <c r="AA1459" t="s">
        <v>387</v>
      </c>
      <c r="AB1459">
        <v>0</v>
      </c>
      <c r="AC1459">
        <v>6241</v>
      </c>
      <c r="AD1459" t="s">
        <v>5387</v>
      </c>
      <c r="AE1459">
        <v>18</v>
      </c>
      <c r="AF1459" t="s">
        <v>1259</v>
      </c>
      <c r="AG1459" t="s">
        <v>1244</v>
      </c>
      <c r="AH1459" t="s">
        <v>5388</v>
      </c>
    </row>
    <row r="1460" spans="1:34" x14ac:dyDescent="0.25">
      <c r="A1460">
        <v>1553</v>
      </c>
      <c r="C1460" s="185"/>
      <c r="D1460" t="s">
        <v>157</v>
      </c>
      <c r="E1460" t="s">
        <v>386</v>
      </c>
      <c r="F1460" t="s">
        <v>5389</v>
      </c>
      <c r="G1460" t="s">
        <v>1238</v>
      </c>
      <c r="H1460" t="s">
        <v>5390</v>
      </c>
      <c r="I1460">
        <v>8395</v>
      </c>
      <c r="J1460" t="s">
        <v>5391</v>
      </c>
      <c r="K1460" t="s">
        <v>5391</v>
      </c>
      <c r="L1460" t="s">
        <v>386</v>
      </c>
      <c r="M1460" t="s">
        <v>1184</v>
      </c>
      <c r="N1460">
        <v>8394</v>
      </c>
      <c r="O1460">
        <v>0</v>
      </c>
      <c r="Q1460" t="s">
        <v>5392</v>
      </c>
      <c r="R1460" t="s">
        <v>398</v>
      </c>
      <c r="T1460">
        <v>189</v>
      </c>
      <c r="V1460" t="s">
        <v>1910</v>
      </c>
      <c r="Z1460" t="s">
        <v>968</v>
      </c>
      <c r="AA1460" t="s">
        <v>387</v>
      </c>
      <c r="AB1460">
        <v>0</v>
      </c>
      <c r="AC1460">
        <v>3360</v>
      </c>
      <c r="AD1460" t="s">
        <v>5393</v>
      </c>
      <c r="AE1460">
        <v>18</v>
      </c>
      <c r="AF1460" t="s">
        <v>1259</v>
      </c>
      <c r="AG1460" t="s">
        <v>1244</v>
      </c>
      <c r="AH1460" t="s">
        <v>5394</v>
      </c>
    </row>
    <row r="1461" spans="1:34" x14ac:dyDescent="0.25">
      <c r="A1461">
        <v>95</v>
      </c>
      <c r="C1461" s="185"/>
      <c r="D1461" t="s">
        <v>157</v>
      </c>
      <c r="E1461" t="s">
        <v>386</v>
      </c>
      <c r="F1461" t="s">
        <v>5361</v>
      </c>
      <c r="G1461" t="s">
        <v>1238</v>
      </c>
      <c r="H1461" t="s">
        <v>4641</v>
      </c>
      <c r="I1461">
        <v>8487</v>
      </c>
      <c r="J1461" t="s">
        <v>168</v>
      </c>
      <c r="K1461" t="s">
        <v>5395</v>
      </c>
      <c r="L1461" t="s">
        <v>386</v>
      </c>
      <c r="M1461" t="s">
        <v>1184</v>
      </c>
      <c r="N1461">
        <v>15380</v>
      </c>
      <c r="O1461">
        <v>59</v>
      </c>
      <c r="Q1461" t="s">
        <v>5396</v>
      </c>
      <c r="R1461" t="s">
        <v>398</v>
      </c>
      <c r="T1461">
        <v>272</v>
      </c>
      <c r="V1461" t="s">
        <v>2107</v>
      </c>
      <c r="W1461" t="s">
        <v>2073</v>
      </c>
      <c r="X1461">
        <v>372</v>
      </c>
      <c r="Z1461" t="s">
        <v>952</v>
      </c>
      <c r="AA1461" t="s">
        <v>387</v>
      </c>
      <c r="AB1461">
        <v>51000</v>
      </c>
      <c r="AC1461">
        <v>3401</v>
      </c>
      <c r="AD1461" t="s">
        <v>5397</v>
      </c>
      <c r="AE1461">
        <v>18</v>
      </c>
      <c r="AF1461" t="s">
        <v>1259</v>
      </c>
      <c r="AG1461" t="s">
        <v>1244</v>
      </c>
      <c r="AH1461" t="s">
        <v>5398</v>
      </c>
    </row>
    <row r="1462" spans="1:34" x14ac:dyDescent="0.25">
      <c r="A1462">
        <v>2083</v>
      </c>
      <c r="C1462" s="185"/>
      <c r="D1462" t="s">
        <v>157</v>
      </c>
      <c r="E1462" t="s">
        <v>386</v>
      </c>
      <c r="F1462" t="s">
        <v>241</v>
      </c>
      <c r="G1462" t="s">
        <v>1238</v>
      </c>
      <c r="H1462" t="s">
        <v>5399</v>
      </c>
      <c r="I1462">
        <v>14259</v>
      </c>
      <c r="J1462" t="s">
        <v>241</v>
      </c>
      <c r="K1462" t="s">
        <v>5400</v>
      </c>
      <c r="L1462" t="s">
        <v>386</v>
      </c>
      <c r="M1462" t="s">
        <v>1184</v>
      </c>
      <c r="N1462">
        <v>14259</v>
      </c>
      <c r="O1462">
        <v>25</v>
      </c>
      <c r="Q1462" t="s">
        <v>5401</v>
      </c>
      <c r="R1462" t="s">
        <v>398</v>
      </c>
      <c r="T1462">
        <v>260</v>
      </c>
      <c r="V1462" t="s">
        <v>1216</v>
      </c>
      <c r="W1462" t="s">
        <v>1215</v>
      </c>
      <c r="X1462">
        <v>259</v>
      </c>
      <c r="Z1462" t="s">
        <v>990</v>
      </c>
      <c r="AA1462" t="s">
        <v>387</v>
      </c>
      <c r="AB1462">
        <v>19000</v>
      </c>
      <c r="AC1462">
        <v>5402</v>
      </c>
      <c r="AD1462" t="s">
        <v>241</v>
      </c>
      <c r="AE1462">
        <v>18</v>
      </c>
      <c r="AF1462" t="s">
        <v>1259</v>
      </c>
      <c r="AG1462" t="s">
        <v>1244</v>
      </c>
      <c r="AH1462" t="s">
        <v>5402</v>
      </c>
    </row>
    <row r="1463" spans="1:34" x14ac:dyDescent="0.25">
      <c r="A1463">
        <v>1025</v>
      </c>
      <c r="C1463" s="185"/>
      <c r="D1463" t="s">
        <v>157</v>
      </c>
      <c r="E1463" t="s">
        <v>386</v>
      </c>
      <c r="F1463" t="s">
        <v>344</v>
      </c>
      <c r="G1463" t="s">
        <v>1238</v>
      </c>
      <c r="H1463" t="s">
        <v>4925</v>
      </c>
      <c r="I1463">
        <v>11638</v>
      </c>
      <c r="J1463" t="s">
        <v>5403</v>
      </c>
      <c r="K1463" t="s">
        <v>5276</v>
      </c>
      <c r="L1463" t="s">
        <v>386</v>
      </c>
      <c r="M1463" t="s">
        <v>1184</v>
      </c>
      <c r="N1463">
        <v>13157</v>
      </c>
      <c r="O1463">
        <v>25</v>
      </c>
      <c r="Q1463" t="s">
        <v>5404</v>
      </c>
      <c r="R1463" t="s">
        <v>398</v>
      </c>
      <c r="T1463">
        <v>220</v>
      </c>
      <c r="V1463" t="s">
        <v>1194</v>
      </c>
      <c r="W1463" t="s">
        <v>3321</v>
      </c>
      <c r="X1463">
        <v>246</v>
      </c>
      <c r="Z1463" t="s">
        <v>4928</v>
      </c>
      <c r="AA1463" t="s">
        <v>387</v>
      </c>
      <c r="AB1463">
        <v>19000</v>
      </c>
      <c r="AC1463">
        <v>4441</v>
      </c>
      <c r="AD1463" t="s">
        <v>5405</v>
      </c>
      <c r="AE1463">
        <v>18</v>
      </c>
      <c r="AF1463" t="s">
        <v>1259</v>
      </c>
      <c r="AG1463" t="s">
        <v>1244</v>
      </c>
    </row>
    <row r="1464" spans="1:34" x14ac:dyDescent="0.25">
      <c r="A1464">
        <v>337</v>
      </c>
      <c r="C1464" s="185"/>
      <c r="D1464" t="s">
        <v>157</v>
      </c>
      <c r="E1464" t="s">
        <v>386</v>
      </c>
      <c r="F1464" t="s">
        <v>432</v>
      </c>
      <c r="G1464" t="s">
        <v>1238</v>
      </c>
      <c r="H1464" t="s">
        <v>4951</v>
      </c>
      <c r="I1464">
        <v>12156</v>
      </c>
      <c r="J1464" t="s">
        <v>432</v>
      </c>
      <c r="K1464" t="s">
        <v>5406</v>
      </c>
      <c r="L1464" t="s">
        <v>386</v>
      </c>
      <c r="M1464" t="s">
        <v>1184</v>
      </c>
      <c r="N1464">
        <v>12156</v>
      </c>
      <c r="O1464">
        <v>25</v>
      </c>
      <c r="Q1464" t="s">
        <v>5407</v>
      </c>
      <c r="R1464" t="s">
        <v>398</v>
      </c>
      <c r="T1464">
        <v>383</v>
      </c>
      <c r="V1464" t="s">
        <v>5408</v>
      </c>
      <c r="W1464" t="s">
        <v>5408</v>
      </c>
      <c r="X1464">
        <v>383</v>
      </c>
      <c r="Z1464" t="s">
        <v>3487</v>
      </c>
      <c r="AA1464" t="s">
        <v>387</v>
      </c>
      <c r="AB1464">
        <v>0</v>
      </c>
      <c r="AC1464">
        <v>4600</v>
      </c>
      <c r="AD1464" t="s">
        <v>5409</v>
      </c>
      <c r="AE1464">
        <v>18</v>
      </c>
      <c r="AF1464" t="s">
        <v>1259</v>
      </c>
      <c r="AG1464" t="s">
        <v>5410</v>
      </c>
      <c r="AH1464" t="s">
        <v>5411</v>
      </c>
    </row>
    <row r="1465" spans="1:34" x14ac:dyDescent="0.25">
      <c r="A1465">
        <v>1301</v>
      </c>
      <c r="C1465" s="185"/>
      <c r="D1465" t="s">
        <v>24</v>
      </c>
      <c r="E1465" t="s">
        <v>386</v>
      </c>
      <c r="F1465" t="s">
        <v>5412</v>
      </c>
      <c r="G1465" t="s">
        <v>1238</v>
      </c>
      <c r="H1465" t="s">
        <v>5413</v>
      </c>
      <c r="I1465">
        <v>10888</v>
      </c>
      <c r="J1465" t="s">
        <v>5412</v>
      </c>
      <c r="K1465" t="s">
        <v>5412</v>
      </c>
      <c r="L1465" t="s">
        <v>386</v>
      </c>
      <c r="M1465" t="s">
        <v>1184</v>
      </c>
      <c r="N1465">
        <v>10888</v>
      </c>
      <c r="O1465">
        <v>0</v>
      </c>
      <c r="Q1465" t="s">
        <v>5414</v>
      </c>
      <c r="R1465" t="s">
        <v>1185</v>
      </c>
      <c r="T1465">
        <v>280</v>
      </c>
      <c r="V1465" t="s">
        <v>3202</v>
      </c>
      <c r="Z1465" t="s">
        <v>5415</v>
      </c>
      <c r="AA1465" t="s">
        <v>387</v>
      </c>
      <c r="AB1465">
        <v>0</v>
      </c>
      <c r="AC1465">
        <v>4176</v>
      </c>
      <c r="AD1465" t="s">
        <v>5416</v>
      </c>
      <c r="AE1465">
        <v>18</v>
      </c>
      <c r="AF1465" t="s">
        <v>1259</v>
      </c>
      <c r="AG1465" t="s">
        <v>1244</v>
      </c>
    </row>
    <row r="1466" spans="1:34" x14ac:dyDescent="0.25">
      <c r="A1466">
        <v>337</v>
      </c>
      <c r="C1466" s="185"/>
      <c r="D1466" t="s">
        <v>157</v>
      </c>
      <c r="E1466" t="s">
        <v>386</v>
      </c>
      <c r="F1466" t="s">
        <v>549</v>
      </c>
      <c r="G1466" t="s">
        <v>1238</v>
      </c>
      <c r="H1466" t="s">
        <v>3486</v>
      </c>
      <c r="I1466">
        <v>16285</v>
      </c>
      <c r="J1466" t="s">
        <v>549</v>
      </c>
      <c r="K1466" t="s">
        <v>5417</v>
      </c>
      <c r="L1466" t="s">
        <v>386</v>
      </c>
      <c r="M1466" t="s">
        <v>1184</v>
      </c>
      <c r="N1466">
        <v>16285</v>
      </c>
      <c r="O1466">
        <v>25</v>
      </c>
      <c r="Q1466" t="s">
        <v>5418</v>
      </c>
      <c r="R1466" t="s">
        <v>398</v>
      </c>
      <c r="T1466">
        <v>260</v>
      </c>
      <c r="V1466" t="s">
        <v>1216</v>
      </c>
      <c r="W1466" t="s">
        <v>2024</v>
      </c>
      <c r="X1466">
        <v>52</v>
      </c>
      <c r="Z1466" t="s">
        <v>3487</v>
      </c>
      <c r="AA1466" t="s">
        <v>387</v>
      </c>
      <c r="AB1466">
        <v>0</v>
      </c>
      <c r="AC1466">
        <v>6110</v>
      </c>
      <c r="AD1466" t="s">
        <v>5419</v>
      </c>
      <c r="AE1466">
        <v>18</v>
      </c>
      <c r="AF1466" t="s">
        <v>1259</v>
      </c>
      <c r="AG1466" t="s">
        <v>1244</v>
      </c>
      <c r="AH1466" t="s">
        <v>5420</v>
      </c>
    </row>
    <row r="1467" spans="1:34" x14ac:dyDescent="0.25">
      <c r="A1467">
        <v>1959</v>
      </c>
      <c r="C1467" s="185"/>
      <c r="D1467" t="s">
        <v>157</v>
      </c>
      <c r="E1467" t="s">
        <v>386</v>
      </c>
      <c r="F1467" t="s">
        <v>5421</v>
      </c>
      <c r="G1467" t="s">
        <v>1238</v>
      </c>
      <c r="H1467" t="s">
        <v>5422</v>
      </c>
      <c r="I1467">
        <v>12194</v>
      </c>
      <c r="J1467" t="s">
        <v>5421</v>
      </c>
      <c r="K1467" t="s">
        <v>5423</v>
      </c>
      <c r="L1467" t="s">
        <v>386</v>
      </c>
      <c r="M1467" t="s">
        <v>1184</v>
      </c>
      <c r="N1467">
        <v>12194</v>
      </c>
      <c r="O1467">
        <v>25</v>
      </c>
      <c r="Q1467" t="s">
        <v>5424</v>
      </c>
      <c r="T1467">
        <v>388</v>
      </c>
      <c r="V1467" t="s">
        <v>1712</v>
      </c>
      <c r="W1467" t="s">
        <v>1215</v>
      </c>
      <c r="X1467">
        <v>259</v>
      </c>
      <c r="Z1467" t="s">
        <v>5425</v>
      </c>
      <c r="AA1467" t="s">
        <v>387</v>
      </c>
      <c r="AB1467">
        <v>0</v>
      </c>
      <c r="AC1467">
        <v>4614</v>
      </c>
      <c r="AD1467" t="s">
        <v>5426</v>
      </c>
      <c r="AE1467">
        <v>18</v>
      </c>
      <c r="AF1467" t="s">
        <v>1259</v>
      </c>
    </row>
    <row r="1468" spans="1:34" x14ac:dyDescent="0.25">
      <c r="A1468">
        <v>1154</v>
      </c>
      <c r="C1468" s="185"/>
      <c r="E1468" t="s">
        <v>386</v>
      </c>
      <c r="F1468" t="s">
        <v>5427</v>
      </c>
      <c r="G1468" t="s">
        <v>1238</v>
      </c>
      <c r="H1468" t="s">
        <v>5428</v>
      </c>
      <c r="I1468">
        <v>13431</v>
      </c>
      <c r="J1468" t="s">
        <v>5427</v>
      </c>
      <c r="K1468" t="s">
        <v>5429</v>
      </c>
      <c r="L1468" t="s">
        <v>386</v>
      </c>
      <c r="M1468" t="s">
        <v>1184</v>
      </c>
      <c r="N1468">
        <v>13431</v>
      </c>
      <c r="O1468">
        <v>0</v>
      </c>
      <c r="Q1468" t="s">
        <v>5430</v>
      </c>
      <c r="R1468" t="s">
        <v>398</v>
      </c>
      <c r="T1468">
        <v>35</v>
      </c>
      <c r="V1468" t="s">
        <v>2015</v>
      </c>
      <c r="W1468" t="s">
        <v>2067</v>
      </c>
      <c r="X1468">
        <v>304</v>
      </c>
      <c r="Z1468" t="s">
        <v>5431</v>
      </c>
      <c r="AA1468" t="s">
        <v>387</v>
      </c>
      <c r="AB1468">
        <v>0</v>
      </c>
      <c r="AC1468">
        <v>5039</v>
      </c>
      <c r="AD1468" t="s">
        <v>5427</v>
      </c>
      <c r="AE1468">
        <v>18</v>
      </c>
      <c r="AF1468" t="s">
        <v>1259</v>
      </c>
      <c r="AG1468" t="s">
        <v>1244</v>
      </c>
    </row>
    <row r="1469" spans="1:34" x14ac:dyDescent="0.25">
      <c r="A1469">
        <v>1885</v>
      </c>
      <c r="B1469" t="s">
        <v>1313</v>
      </c>
      <c r="C1469" s="185"/>
      <c r="D1469" t="s">
        <v>24</v>
      </c>
      <c r="E1469" t="s">
        <v>386</v>
      </c>
      <c r="F1469" t="s">
        <v>5432</v>
      </c>
      <c r="G1469" t="s">
        <v>1197</v>
      </c>
      <c r="H1469" t="s">
        <v>5433</v>
      </c>
      <c r="I1469">
        <v>10257</v>
      </c>
      <c r="J1469" t="s">
        <v>5432</v>
      </c>
      <c r="K1469" t="s">
        <v>5432</v>
      </c>
      <c r="L1469" t="s">
        <v>386</v>
      </c>
      <c r="M1469" t="s">
        <v>1193</v>
      </c>
      <c r="N1469">
        <v>10257</v>
      </c>
      <c r="O1469">
        <v>76</v>
      </c>
      <c r="Q1469" t="s">
        <v>5434</v>
      </c>
      <c r="R1469" t="s">
        <v>398</v>
      </c>
      <c r="S1469" t="s">
        <v>1909</v>
      </c>
      <c r="T1469">
        <v>220</v>
      </c>
      <c r="U1469">
        <v>0</v>
      </c>
      <c r="V1469" t="s">
        <v>1194</v>
      </c>
      <c r="W1469" t="s">
        <v>1199</v>
      </c>
      <c r="X1469">
        <v>200</v>
      </c>
      <c r="Y1469" t="s">
        <v>1317</v>
      </c>
      <c r="Z1469" t="s">
        <v>5435</v>
      </c>
      <c r="AA1469" t="s">
        <v>387</v>
      </c>
      <c r="AB1469">
        <v>0</v>
      </c>
      <c r="AC1469">
        <v>3987</v>
      </c>
      <c r="AD1469" t="s">
        <v>5436</v>
      </c>
      <c r="AE1469">
        <v>107</v>
      </c>
      <c r="AF1469" t="s">
        <v>1235</v>
      </c>
      <c r="AG1469" t="s">
        <v>5437</v>
      </c>
      <c r="AH1469" t="s">
        <v>5438</v>
      </c>
    </row>
    <row r="1470" spans="1:34" x14ac:dyDescent="0.25">
      <c r="A1470">
        <v>1</v>
      </c>
      <c r="C1470" s="185"/>
      <c r="E1470" t="s">
        <v>386</v>
      </c>
      <c r="F1470" t="s">
        <v>5439</v>
      </c>
      <c r="G1470" t="s">
        <v>1238</v>
      </c>
      <c r="H1470" t="s">
        <v>5440</v>
      </c>
      <c r="I1470">
        <v>16446</v>
      </c>
      <c r="J1470" t="s">
        <v>5439</v>
      </c>
      <c r="K1470" t="s">
        <v>5439</v>
      </c>
      <c r="L1470" t="s">
        <v>386</v>
      </c>
      <c r="M1470" t="s">
        <v>1184</v>
      </c>
      <c r="N1470">
        <v>16446</v>
      </c>
      <c r="O1470">
        <v>25</v>
      </c>
      <c r="Q1470" t="s">
        <v>5441</v>
      </c>
      <c r="R1470" t="s">
        <v>398</v>
      </c>
      <c r="T1470">
        <v>571</v>
      </c>
      <c r="V1470" t="s">
        <v>2003</v>
      </c>
      <c r="W1470" t="s">
        <v>1194</v>
      </c>
      <c r="X1470">
        <v>220</v>
      </c>
      <c r="Z1470" t="s">
        <v>865</v>
      </c>
      <c r="AA1470" t="s">
        <v>387</v>
      </c>
      <c r="AB1470">
        <v>19000</v>
      </c>
      <c r="AC1470">
        <v>3764</v>
      </c>
      <c r="AD1470" t="s">
        <v>5442</v>
      </c>
      <c r="AE1470">
        <v>14</v>
      </c>
      <c r="AF1470" t="s">
        <v>2615</v>
      </c>
      <c r="AG1470" t="s">
        <v>5443</v>
      </c>
    </row>
    <row r="1471" spans="1:34" x14ac:dyDescent="0.25">
      <c r="A1471">
        <v>1765</v>
      </c>
      <c r="C1471" s="185"/>
      <c r="D1471" t="s">
        <v>157</v>
      </c>
      <c r="E1471" t="s">
        <v>386</v>
      </c>
      <c r="F1471" t="s">
        <v>5444</v>
      </c>
      <c r="G1471" t="s">
        <v>1192</v>
      </c>
      <c r="H1471" t="s">
        <v>4900</v>
      </c>
      <c r="I1471">
        <v>8482</v>
      </c>
      <c r="J1471" t="s">
        <v>5444</v>
      </c>
      <c r="K1471" t="s">
        <v>5444</v>
      </c>
      <c r="L1471" t="s">
        <v>386</v>
      </c>
      <c r="M1471" t="s">
        <v>1184</v>
      </c>
      <c r="N1471">
        <v>8482</v>
      </c>
      <c r="O1471">
        <v>0</v>
      </c>
      <c r="Q1471" t="s">
        <v>5445</v>
      </c>
      <c r="R1471" t="s">
        <v>398</v>
      </c>
      <c r="T1471">
        <v>388</v>
      </c>
      <c r="V1471" t="s">
        <v>1712</v>
      </c>
      <c r="W1471" t="s">
        <v>1915</v>
      </c>
      <c r="X1471">
        <v>185</v>
      </c>
      <c r="Z1471" t="s">
        <v>4903</v>
      </c>
      <c r="AA1471" t="s">
        <v>387</v>
      </c>
      <c r="AB1471">
        <v>0</v>
      </c>
      <c r="AC1471">
        <v>3396</v>
      </c>
      <c r="AD1471" t="s">
        <v>5446</v>
      </c>
      <c r="AE1471">
        <v>18</v>
      </c>
      <c r="AF1471" t="s">
        <v>1259</v>
      </c>
      <c r="AG1471" t="s">
        <v>1244</v>
      </c>
      <c r="AH1471" t="s">
        <v>5447</v>
      </c>
    </row>
    <row r="1472" spans="1:34" x14ac:dyDescent="0.25">
      <c r="A1472">
        <v>1815</v>
      </c>
      <c r="C1472" s="185"/>
      <c r="D1472" t="s">
        <v>157</v>
      </c>
      <c r="E1472" t="s">
        <v>386</v>
      </c>
      <c r="F1472" t="s">
        <v>5448</v>
      </c>
      <c r="G1472" t="s">
        <v>1197</v>
      </c>
      <c r="H1472" t="s">
        <v>4951</v>
      </c>
      <c r="I1472">
        <v>10856</v>
      </c>
      <c r="J1472" t="s">
        <v>5448</v>
      </c>
      <c r="K1472" t="s">
        <v>5448</v>
      </c>
      <c r="L1472" t="s">
        <v>386</v>
      </c>
      <c r="M1472" t="s">
        <v>1193</v>
      </c>
      <c r="N1472">
        <v>10856</v>
      </c>
      <c r="O1472">
        <v>0</v>
      </c>
      <c r="Q1472" t="s">
        <v>5449</v>
      </c>
      <c r="T1472">
        <v>260</v>
      </c>
      <c r="V1472" t="s">
        <v>1216</v>
      </c>
      <c r="Z1472" t="s">
        <v>4953</v>
      </c>
      <c r="AA1472" t="s">
        <v>387</v>
      </c>
      <c r="AB1472">
        <v>7000</v>
      </c>
      <c r="AC1472">
        <v>4162</v>
      </c>
      <c r="AD1472" t="s">
        <v>5120</v>
      </c>
      <c r="AE1472">
        <v>1921</v>
      </c>
      <c r="AF1472" t="s">
        <v>5450</v>
      </c>
      <c r="AG1472" t="s">
        <v>5451</v>
      </c>
      <c r="AH1472" t="s">
        <v>5452</v>
      </c>
    </row>
    <row r="1473" spans="1:34" x14ac:dyDescent="0.25">
      <c r="A1473">
        <v>1674</v>
      </c>
      <c r="C1473" s="185"/>
      <c r="D1473" t="s">
        <v>157</v>
      </c>
      <c r="E1473" t="s">
        <v>386</v>
      </c>
      <c r="F1473" t="s">
        <v>1897</v>
      </c>
      <c r="G1473" t="s">
        <v>1238</v>
      </c>
      <c r="H1473" t="s">
        <v>2684</v>
      </c>
      <c r="I1473">
        <v>14290</v>
      </c>
      <c r="J1473" t="s">
        <v>196</v>
      </c>
      <c r="K1473" t="s">
        <v>5453</v>
      </c>
      <c r="L1473" t="s">
        <v>386</v>
      </c>
      <c r="M1473" t="s">
        <v>1184</v>
      </c>
      <c r="N1473">
        <v>0</v>
      </c>
      <c r="O1473">
        <v>59</v>
      </c>
      <c r="Q1473" t="s">
        <v>5454</v>
      </c>
      <c r="R1473" t="s">
        <v>398</v>
      </c>
      <c r="T1473">
        <v>259</v>
      </c>
      <c r="V1473" t="s">
        <v>1215</v>
      </c>
      <c r="W1473" t="s">
        <v>2015</v>
      </c>
      <c r="X1473">
        <v>35</v>
      </c>
      <c r="Z1473" t="s">
        <v>2685</v>
      </c>
      <c r="AA1473" t="s">
        <v>387</v>
      </c>
      <c r="AB1473">
        <v>51000</v>
      </c>
      <c r="AC1473">
        <v>3377</v>
      </c>
      <c r="AD1473" t="s">
        <v>196</v>
      </c>
      <c r="AE1473">
        <v>18</v>
      </c>
      <c r="AF1473" t="s">
        <v>1259</v>
      </c>
      <c r="AG1473" t="s">
        <v>1244</v>
      </c>
      <c r="AH1473" t="s">
        <v>5455</v>
      </c>
    </row>
    <row r="1474" spans="1:34" x14ac:dyDescent="0.25">
      <c r="A1474">
        <v>1765</v>
      </c>
      <c r="C1474" s="185"/>
      <c r="D1474" t="s">
        <v>157</v>
      </c>
      <c r="E1474" t="s">
        <v>386</v>
      </c>
      <c r="F1474" t="s">
        <v>5453</v>
      </c>
      <c r="G1474" t="s">
        <v>1192</v>
      </c>
      <c r="H1474" t="s">
        <v>4900</v>
      </c>
      <c r="I1474">
        <v>8484</v>
      </c>
      <c r="J1474" t="s">
        <v>5453</v>
      </c>
      <c r="K1474" t="s">
        <v>5453</v>
      </c>
      <c r="L1474" t="s">
        <v>386</v>
      </c>
      <c r="M1474" t="s">
        <v>1184</v>
      </c>
      <c r="N1474">
        <v>8484</v>
      </c>
      <c r="O1474">
        <v>0</v>
      </c>
      <c r="Q1474" t="s">
        <v>5456</v>
      </c>
      <c r="R1474" t="s">
        <v>398</v>
      </c>
      <c r="T1474">
        <v>388</v>
      </c>
      <c r="V1474" t="s">
        <v>1712</v>
      </c>
      <c r="W1474" t="s">
        <v>1915</v>
      </c>
      <c r="X1474">
        <v>185</v>
      </c>
      <c r="Z1474" t="s">
        <v>4903</v>
      </c>
      <c r="AA1474" t="s">
        <v>387</v>
      </c>
      <c r="AB1474">
        <v>0</v>
      </c>
      <c r="AC1474">
        <v>3398</v>
      </c>
      <c r="AD1474" t="s">
        <v>5457</v>
      </c>
      <c r="AE1474">
        <v>18</v>
      </c>
      <c r="AF1474" t="s">
        <v>1259</v>
      </c>
      <c r="AG1474" t="s">
        <v>1244</v>
      </c>
      <c r="AH1474" t="s">
        <v>5458</v>
      </c>
    </row>
    <row r="1475" spans="1:34" x14ac:dyDescent="0.25">
      <c r="A1475">
        <v>1850</v>
      </c>
      <c r="C1475" s="185"/>
      <c r="D1475" t="s">
        <v>157</v>
      </c>
      <c r="E1475" t="s">
        <v>386</v>
      </c>
      <c r="F1475" t="s">
        <v>5459</v>
      </c>
      <c r="G1475" t="s">
        <v>1238</v>
      </c>
      <c r="H1475" t="s">
        <v>4895</v>
      </c>
      <c r="I1475">
        <v>9237</v>
      </c>
      <c r="J1475" t="s">
        <v>5459</v>
      </c>
      <c r="K1475" t="s">
        <v>5459</v>
      </c>
      <c r="L1475" t="s">
        <v>386</v>
      </c>
      <c r="M1475" t="s">
        <v>1184</v>
      </c>
      <c r="N1475">
        <v>9237</v>
      </c>
      <c r="O1475">
        <v>0</v>
      </c>
      <c r="Q1475" t="s">
        <v>5460</v>
      </c>
      <c r="R1475" t="s">
        <v>398</v>
      </c>
      <c r="T1475">
        <v>388</v>
      </c>
      <c r="V1475" t="s">
        <v>1712</v>
      </c>
      <c r="W1475" t="s">
        <v>2727</v>
      </c>
      <c r="X1475">
        <v>146</v>
      </c>
      <c r="Z1475" t="s">
        <v>4897</v>
      </c>
      <c r="AA1475" t="s">
        <v>387</v>
      </c>
      <c r="AB1475">
        <v>0</v>
      </c>
      <c r="AC1475">
        <v>834</v>
      </c>
      <c r="AD1475" t="s">
        <v>2880</v>
      </c>
      <c r="AE1475">
        <v>18</v>
      </c>
      <c r="AF1475" t="s">
        <v>1259</v>
      </c>
      <c r="AG1475" t="s">
        <v>1244</v>
      </c>
    </row>
    <row r="1476" spans="1:34" x14ac:dyDescent="0.25">
      <c r="A1476">
        <v>1765</v>
      </c>
      <c r="C1476" s="185"/>
      <c r="D1476" t="s">
        <v>157</v>
      </c>
      <c r="E1476" t="s">
        <v>386</v>
      </c>
      <c r="F1476" t="s">
        <v>5461</v>
      </c>
      <c r="G1476" t="s">
        <v>1192</v>
      </c>
      <c r="H1476" t="s">
        <v>4900</v>
      </c>
      <c r="I1476">
        <v>8611</v>
      </c>
      <c r="J1476" t="s">
        <v>5461</v>
      </c>
      <c r="K1476" t="s">
        <v>5461</v>
      </c>
      <c r="L1476" t="s">
        <v>386</v>
      </c>
      <c r="M1476" t="s">
        <v>1184</v>
      </c>
      <c r="N1476">
        <v>8611</v>
      </c>
      <c r="O1476">
        <v>0</v>
      </c>
      <c r="Q1476" t="s">
        <v>5462</v>
      </c>
      <c r="R1476" t="s">
        <v>398</v>
      </c>
      <c r="T1476">
        <v>388</v>
      </c>
      <c r="V1476" t="s">
        <v>1712</v>
      </c>
      <c r="W1476" t="s">
        <v>1915</v>
      </c>
      <c r="X1476">
        <v>185</v>
      </c>
      <c r="Z1476" t="s">
        <v>4903</v>
      </c>
      <c r="AA1476" t="s">
        <v>387</v>
      </c>
      <c r="AB1476">
        <v>0</v>
      </c>
      <c r="AC1476">
        <v>3447</v>
      </c>
      <c r="AD1476" t="s">
        <v>5463</v>
      </c>
      <c r="AE1476">
        <v>18</v>
      </c>
      <c r="AF1476" t="s">
        <v>1259</v>
      </c>
      <c r="AG1476" t="s">
        <v>1244</v>
      </c>
    </row>
    <row r="1477" spans="1:34" x14ac:dyDescent="0.25">
      <c r="A1477">
        <v>1553</v>
      </c>
      <c r="C1477" s="185">
        <v>40177</v>
      </c>
      <c r="D1477" t="s">
        <v>157</v>
      </c>
      <c r="E1477" t="s">
        <v>386</v>
      </c>
      <c r="F1477" t="s">
        <v>5464</v>
      </c>
      <c r="G1477" t="s">
        <v>1192</v>
      </c>
      <c r="H1477" t="s">
        <v>1239</v>
      </c>
      <c r="I1477">
        <v>8646</v>
      </c>
      <c r="J1477" t="s">
        <v>5464</v>
      </c>
      <c r="K1477" t="s">
        <v>5465</v>
      </c>
      <c r="L1477" t="s">
        <v>386</v>
      </c>
      <c r="M1477" t="s">
        <v>1184</v>
      </c>
      <c r="N1477">
        <v>8646</v>
      </c>
      <c r="O1477">
        <v>0</v>
      </c>
      <c r="Q1477" t="s">
        <v>5466</v>
      </c>
      <c r="R1477" t="s">
        <v>398</v>
      </c>
      <c r="T1477">
        <v>388</v>
      </c>
      <c r="V1477" t="s">
        <v>1712</v>
      </c>
      <c r="W1477" t="s">
        <v>1910</v>
      </c>
      <c r="X1477">
        <v>189</v>
      </c>
      <c r="Z1477" t="s">
        <v>968</v>
      </c>
      <c r="AA1477" t="s">
        <v>387</v>
      </c>
      <c r="AB1477">
        <v>0</v>
      </c>
      <c r="AC1477">
        <v>490</v>
      </c>
      <c r="AD1477" t="s">
        <v>5467</v>
      </c>
      <c r="AE1477">
        <v>18</v>
      </c>
      <c r="AF1477" t="s">
        <v>1259</v>
      </c>
      <c r="AG1477" t="s">
        <v>1244</v>
      </c>
      <c r="AH1477" t="s">
        <v>5394</v>
      </c>
    </row>
    <row r="1478" spans="1:34" x14ac:dyDescent="0.25">
      <c r="A1478">
        <v>1450</v>
      </c>
      <c r="C1478" s="185"/>
      <c r="E1478" t="s">
        <v>386</v>
      </c>
      <c r="F1478" t="s">
        <v>5468</v>
      </c>
      <c r="G1478" t="s">
        <v>1197</v>
      </c>
      <c r="H1478" t="s">
        <v>5469</v>
      </c>
      <c r="I1478">
        <v>16624</v>
      </c>
      <c r="J1478" t="s">
        <v>5468</v>
      </c>
      <c r="K1478" t="s">
        <v>5470</v>
      </c>
      <c r="L1478" t="s">
        <v>386</v>
      </c>
      <c r="M1478" t="s">
        <v>1193</v>
      </c>
      <c r="N1478">
        <v>16624</v>
      </c>
      <c r="O1478">
        <v>0</v>
      </c>
      <c r="Q1478" t="s">
        <v>5471</v>
      </c>
      <c r="R1478" t="s">
        <v>1208</v>
      </c>
      <c r="T1478">
        <v>571</v>
      </c>
      <c r="V1478" t="s">
        <v>2003</v>
      </c>
      <c r="W1478" t="s">
        <v>2246</v>
      </c>
      <c r="X1478">
        <v>496</v>
      </c>
      <c r="Z1478" t="s">
        <v>2127</v>
      </c>
      <c r="AA1478" t="s">
        <v>387</v>
      </c>
      <c r="AB1478">
        <v>0</v>
      </c>
      <c r="AC1478">
        <v>6211</v>
      </c>
      <c r="AD1478" t="s">
        <v>5472</v>
      </c>
      <c r="AE1478">
        <v>371</v>
      </c>
      <c r="AF1478" t="s">
        <v>5473</v>
      </c>
      <c r="AG1478" t="s">
        <v>5474</v>
      </c>
      <c r="AH1478" t="s">
        <v>5475</v>
      </c>
    </row>
    <row r="1479" spans="1:34" x14ac:dyDescent="0.25">
      <c r="A1479">
        <v>1</v>
      </c>
      <c r="C1479" s="185"/>
      <c r="E1479" t="s">
        <v>386</v>
      </c>
      <c r="F1479" t="s">
        <v>5476</v>
      </c>
      <c r="G1479" t="s">
        <v>1197</v>
      </c>
      <c r="H1479" t="s">
        <v>5477</v>
      </c>
      <c r="I1479">
        <v>1700</v>
      </c>
      <c r="J1479" t="s">
        <v>5476</v>
      </c>
      <c r="K1479" t="s">
        <v>5476</v>
      </c>
      <c r="L1479" t="s">
        <v>386</v>
      </c>
      <c r="M1479" t="s">
        <v>1193</v>
      </c>
      <c r="N1479">
        <v>1700</v>
      </c>
      <c r="O1479">
        <v>0</v>
      </c>
      <c r="Q1479" t="s">
        <v>5478</v>
      </c>
      <c r="T1479">
        <v>372</v>
      </c>
      <c r="V1479" t="s">
        <v>2073</v>
      </c>
      <c r="W1479" t="s">
        <v>1205</v>
      </c>
      <c r="X1479">
        <v>2</v>
      </c>
      <c r="Z1479" t="s">
        <v>865</v>
      </c>
      <c r="AA1479" t="s">
        <v>387</v>
      </c>
      <c r="AB1479">
        <v>0</v>
      </c>
      <c r="AC1479">
        <v>11</v>
      </c>
      <c r="AD1479" t="s">
        <v>5479</v>
      </c>
      <c r="AE1479">
        <v>14</v>
      </c>
      <c r="AF1479" t="s">
        <v>2615</v>
      </c>
      <c r="AG1479" t="s">
        <v>5480</v>
      </c>
      <c r="AH1479" t="s">
        <v>5481</v>
      </c>
    </row>
    <row r="1480" spans="1:34" x14ac:dyDescent="0.25">
      <c r="A1480">
        <v>1</v>
      </c>
      <c r="C1480" s="185"/>
      <c r="E1480" t="s">
        <v>386</v>
      </c>
      <c r="F1480" t="s">
        <v>5476</v>
      </c>
      <c r="G1480" t="s">
        <v>1197</v>
      </c>
      <c r="H1480" t="s">
        <v>5482</v>
      </c>
      <c r="I1480">
        <v>3311</v>
      </c>
      <c r="J1480" t="s">
        <v>5483</v>
      </c>
      <c r="K1480" t="s">
        <v>5476</v>
      </c>
      <c r="L1480" t="s">
        <v>386</v>
      </c>
      <c r="M1480" t="s">
        <v>1193</v>
      </c>
      <c r="N1480">
        <v>1700</v>
      </c>
      <c r="O1480">
        <v>0</v>
      </c>
      <c r="Q1480" t="s">
        <v>5484</v>
      </c>
      <c r="R1480" t="s">
        <v>1208</v>
      </c>
      <c r="T1480">
        <v>372</v>
      </c>
      <c r="V1480" t="s">
        <v>2073</v>
      </c>
      <c r="W1480" t="s">
        <v>2144</v>
      </c>
      <c r="X1480">
        <v>39</v>
      </c>
      <c r="Z1480" t="s">
        <v>865</v>
      </c>
      <c r="AA1480" t="s">
        <v>387</v>
      </c>
      <c r="AB1480">
        <v>0</v>
      </c>
      <c r="AC1480">
        <v>478</v>
      </c>
      <c r="AD1480" t="s">
        <v>5485</v>
      </c>
      <c r="AE1480">
        <v>14</v>
      </c>
      <c r="AF1480" t="s">
        <v>2615</v>
      </c>
      <c r="AG1480" t="s">
        <v>4823</v>
      </c>
      <c r="AH1480" t="s">
        <v>5481</v>
      </c>
    </row>
    <row r="1481" spans="1:34" x14ac:dyDescent="0.25">
      <c r="A1481">
        <v>1</v>
      </c>
      <c r="C1481" s="185"/>
      <c r="E1481" t="s">
        <v>386</v>
      </c>
      <c r="F1481" t="s">
        <v>5486</v>
      </c>
      <c r="G1481" t="s">
        <v>1197</v>
      </c>
      <c r="H1481" t="s">
        <v>5482</v>
      </c>
      <c r="I1481">
        <v>14532</v>
      </c>
      <c r="J1481" t="s">
        <v>5486</v>
      </c>
      <c r="K1481" t="s">
        <v>5486</v>
      </c>
      <c r="L1481" t="s">
        <v>386</v>
      </c>
      <c r="M1481" t="s">
        <v>1193</v>
      </c>
      <c r="N1481">
        <v>14532</v>
      </c>
      <c r="O1481">
        <v>0</v>
      </c>
      <c r="Q1481" t="s">
        <v>5487</v>
      </c>
      <c r="T1481">
        <v>260</v>
      </c>
      <c r="V1481" t="s">
        <v>1216</v>
      </c>
      <c r="W1481" t="s">
        <v>1216</v>
      </c>
      <c r="X1481">
        <v>260</v>
      </c>
      <c r="Z1481" t="s">
        <v>865</v>
      </c>
      <c r="AA1481" t="s">
        <v>387</v>
      </c>
      <c r="AB1481">
        <v>0</v>
      </c>
      <c r="AC1481">
        <v>478</v>
      </c>
      <c r="AD1481" t="s">
        <v>5485</v>
      </c>
      <c r="AE1481">
        <v>2012</v>
      </c>
      <c r="AF1481" t="s">
        <v>5488</v>
      </c>
      <c r="AG1481" t="s">
        <v>4823</v>
      </c>
      <c r="AH1481" t="s">
        <v>5489</v>
      </c>
    </row>
    <row r="1482" spans="1:34" x14ac:dyDescent="0.25">
      <c r="A1482">
        <v>1</v>
      </c>
      <c r="C1482" s="185"/>
      <c r="E1482" t="s">
        <v>386</v>
      </c>
      <c r="F1482" t="s">
        <v>5490</v>
      </c>
      <c r="G1482" t="s">
        <v>1197</v>
      </c>
      <c r="H1482" t="s">
        <v>5491</v>
      </c>
      <c r="I1482">
        <v>12998</v>
      </c>
      <c r="J1482" t="s">
        <v>5490</v>
      </c>
      <c r="K1482" t="s">
        <v>5492</v>
      </c>
      <c r="L1482" t="s">
        <v>386</v>
      </c>
      <c r="M1482" t="s">
        <v>1193</v>
      </c>
      <c r="N1482">
        <v>12998</v>
      </c>
      <c r="O1482">
        <v>0</v>
      </c>
      <c r="Q1482" t="s">
        <v>5493</v>
      </c>
      <c r="R1482" t="s">
        <v>398</v>
      </c>
      <c r="T1482">
        <v>571</v>
      </c>
      <c r="V1482" t="s">
        <v>2003</v>
      </c>
      <c r="W1482" t="s">
        <v>2015</v>
      </c>
      <c r="X1482">
        <v>35</v>
      </c>
      <c r="Z1482" t="s">
        <v>865</v>
      </c>
      <c r="AA1482" t="s">
        <v>387</v>
      </c>
      <c r="AB1482">
        <v>0</v>
      </c>
      <c r="AC1482">
        <v>3970</v>
      </c>
      <c r="AD1482" t="s">
        <v>5494</v>
      </c>
      <c r="AE1482">
        <v>2239</v>
      </c>
      <c r="AF1482" t="s">
        <v>3572</v>
      </c>
      <c r="AG1482" t="s">
        <v>5495</v>
      </c>
      <c r="AH1482" t="s">
        <v>3560</v>
      </c>
    </row>
    <row r="1483" spans="1:34" x14ac:dyDescent="0.25">
      <c r="A1483">
        <v>1808</v>
      </c>
      <c r="C1483" s="185"/>
      <c r="D1483" t="s">
        <v>157</v>
      </c>
      <c r="E1483" t="s">
        <v>386</v>
      </c>
      <c r="F1483" t="s">
        <v>366</v>
      </c>
      <c r="G1483" t="s">
        <v>1197</v>
      </c>
      <c r="H1483" t="s">
        <v>4826</v>
      </c>
      <c r="I1483">
        <v>9824</v>
      </c>
      <c r="J1483" t="s">
        <v>618</v>
      </c>
      <c r="K1483" t="s">
        <v>5496</v>
      </c>
      <c r="L1483" t="s">
        <v>386</v>
      </c>
      <c r="M1483" t="s">
        <v>1193</v>
      </c>
      <c r="N1483">
        <v>15343</v>
      </c>
      <c r="O1483">
        <v>25</v>
      </c>
      <c r="Q1483" t="s">
        <v>5497</v>
      </c>
      <c r="R1483" t="s">
        <v>1208</v>
      </c>
      <c r="T1483">
        <v>340</v>
      </c>
      <c r="V1483" t="s">
        <v>1200</v>
      </c>
      <c r="W1483" t="s">
        <v>1257</v>
      </c>
      <c r="X1483">
        <v>426</v>
      </c>
      <c r="Z1483" t="s">
        <v>4829</v>
      </c>
      <c r="AA1483" t="s">
        <v>387</v>
      </c>
      <c r="AB1483">
        <v>19000</v>
      </c>
      <c r="AC1483">
        <v>4337</v>
      </c>
      <c r="AD1483" t="s">
        <v>5498</v>
      </c>
      <c r="AE1483">
        <v>1803</v>
      </c>
      <c r="AF1483" t="s">
        <v>5499</v>
      </c>
      <c r="AG1483" t="s">
        <v>4780</v>
      </c>
      <c r="AH1483" t="s">
        <v>5500</v>
      </c>
    </row>
    <row r="1484" spans="1:34" x14ac:dyDescent="0.25">
      <c r="A1484">
        <v>873</v>
      </c>
      <c r="C1484" s="185"/>
      <c r="D1484" t="s">
        <v>157</v>
      </c>
      <c r="E1484" t="s">
        <v>386</v>
      </c>
      <c r="F1484" t="s">
        <v>366</v>
      </c>
      <c r="G1484" t="s">
        <v>1197</v>
      </c>
      <c r="H1484" t="s">
        <v>5501</v>
      </c>
      <c r="I1484">
        <v>10869</v>
      </c>
      <c r="J1484" t="s">
        <v>5502</v>
      </c>
      <c r="K1484" t="s">
        <v>5496</v>
      </c>
      <c r="L1484" t="s">
        <v>386</v>
      </c>
      <c r="M1484" t="s">
        <v>1193</v>
      </c>
      <c r="N1484">
        <v>15343</v>
      </c>
      <c r="O1484">
        <v>25</v>
      </c>
      <c r="Q1484" t="s">
        <v>5503</v>
      </c>
      <c r="T1484">
        <v>272</v>
      </c>
      <c r="V1484" t="s">
        <v>2107</v>
      </c>
      <c r="W1484" t="s">
        <v>3321</v>
      </c>
      <c r="X1484">
        <v>246</v>
      </c>
      <c r="Z1484" t="s">
        <v>5504</v>
      </c>
      <c r="AA1484" t="s">
        <v>387</v>
      </c>
      <c r="AB1484">
        <v>19000</v>
      </c>
      <c r="AC1484">
        <v>2772</v>
      </c>
      <c r="AD1484" t="s">
        <v>5505</v>
      </c>
      <c r="AE1484">
        <v>1926</v>
      </c>
      <c r="AF1484" t="s">
        <v>5506</v>
      </c>
      <c r="AG1484" t="s">
        <v>5507</v>
      </c>
      <c r="AH1484" t="s">
        <v>5508</v>
      </c>
    </row>
    <row r="1485" spans="1:34" x14ac:dyDescent="0.25">
      <c r="A1485">
        <v>1891</v>
      </c>
      <c r="C1485" s="185"/>
      <c r="D1485" t="s">
        <v>157</v>
      </c>
      <c r="E1485" t="s">
        <v>386</v>
      </c>
      <c r="F1485" t="s">
        <v>366</v>
      </c>
      <c r="G1485" t="s">
        <v>1197</v>
      </c>
      <c r="H1485" t="s">
        <v>5509</v>
      </c>
      <c r="I1485">
        <v>10371</v>
      </c>
      <c r="J1485" t="s">
        <v>227</v>
      </c>
      <c r="K1485" t="s">
        <v>5496</v>
      </c>
      <c r="L1485" t="s">
        <v>386</v>
      </c>
      <c r="M1485" t="s">
        <v>1193</v>
      </c>
      <c r="N1485">
        <v>15343</v>
      </c>
      <c r="O1485">
        <v>25</v>
      </c>
      <c r="Q1485" t="s">
        <v>5510</v>
      </c>
      <c r="R1485" t="s">
        <v>398</v>
      </c>
      <c r="T1485">
        <v>200</v>
      </c>
      <c r="V1485" t="s">
        <v>1199</v>
      </c>
      <c r="W1485" t="s">
        <v>2107</v>
      </c>
      <c r="X1485">
        <v>272</v>
      </c>
      <c r="Z1485" t="s">
        <v>5511</v>
      </c>
      <c r="AA1485" t="s">
        <v>387</v>
      </c>
      <c r="AB1485">
        <v>19000</v>
      </c>
      <c r="AC1485">
        <v>586</v>
      </c>
      <c r="AD1485" t="s">
        <v>5512</v>
      </c>
      <c r="AE1485">
        <v>548</v>
      </c>
      <c r="AF1485" t="s">
        <v>5513</v>
      </c>
      <c r="AG1485" t="s">
        <v>5514</v>
      </c>
      <c r="AH1485" t="s">
        <v>5515</v>
      </c>
    </row>
    <row r="1486" spans="1:34" x14ac:dyDescent="0.25">
      <c r="A1486">
        <v>6</v>
      </c>
      <c r="B1486" t="s">
        <v>1313</v>
      </c>
      <c r="C1486" s="185"/>
      <c r="E1486" t="s">
        <v>386</v>
      </c>
      <c r="F1486" t="s">
        <v>5516</v>
      </c>
      <c r="G1486" t="s">
        <v>1903</v>
      </c>
      <c r="H1486" t="s">
        <v>5517</v>
      </c>
      <c r="I1486">
        <v>1562</v>
      </c>
      <c r="J1486" t="s">
        <v>5516</v>
      </c>
      <c r="K1486" t="s">
        <v>5518</v>
      </c>
      <c r="L1486" t="s">
        <v>386</v>
      </c>
      <c r="M1486" t="s">
        <v>1193</v>
      </c>
      <c r="N1486">
        <v>1562</v>
      </c>
      <c r="O1486">
        <v>0</v>
      </c>
      <c r="Q1486" t="s">
        <v>5519</v>
      </c>
      <c r="R1486" t="s">
        <v>398</v>
      </c>
      <c r="S1486" t="s">
        <v>1315</v>
      </c>
      <c r="T1486">
        <v>571</v>
      </c>
      <c r="U1486">
        <v>0</v>
      </c>
      <c r="V1486" t="s">
        <v>2003</v>
      </c>
      <c r="W1486" t="s">
        <v>1199</v>
      </c>
      <c r="X1486">
        <v>200</v>
      </c>
      <c r="Y1486" t="s">
        <v>1317</v>
      </c>
      <c r="Z1486" t="s">
        <v>892</v>
      </c>
      <c r="AA1486" t="s">
        <v>387</v>
      </c>
      <c r="AB1486">
        <v>0</v>
      </c>
      <c r="AC1486">
        <v>216</v>
      </c>
      <c r="AD1486" t="s">
        <v>5520</v>
      </c>
      <c r="AE1486">
        <v>12</v>
      </c>
      <c r="AF1486" t="s">
        <v>5521</v>
      </c>
      <c r="AG1486" t="s">
        <v>4604</v>
      </c>
      <c r="AH1486" t="s">
        <v>5522</v>
      </c>
    </row>
    <row r="1487" spans="1:34" x14ac:dyDescent="0.25">
      <c r="A1487">
        <v>1</v>
      </c>
      <c r="B1487" t="s">
        <v>1313</v>
      </c>
      <c r="C1487" s="185"/>
      <c r="D1487" t="s">
        <v>24</v>
      </c>
      <c r="E1487" t="s">
        <v>386</v>
      </c>
      <c r="F1487" t="s">
        <v>5523</v>
      </c>
      <c r="G1487" t="s">
        <v>1197</v>
      </c>
      <c r="H1487" t="s">
        <v>5524</v>
      </c>
      <c r="I1487">
        <v>896</v>
      </c>
      <c r="J1487" t="s">
        <v>5523</v>
      </c>
      <c r="K1487" t="s">
        <v>5525</v>
      </c>
      <c r="L1487" t="s">
        <v>386</v>
      </c>
      <c r="M1487" t="s">
        <v>1193</v>
      </c>
      <c r="N1487">
        <v>896</v>
      </c>
      <c r="O1487">
        <v>0</v>
      </c>
      <c r="Q1487" t="s">
        <v>5526</v>
      </c>
      <c r="S1487" t="s">
        <v>1909</v>
      </c>
      <c r="T1487">
        <v>340</v>
      </c>
      <c r="U1487">
        <v>0</v>
      </c>
      <c r="V1487" t="s">
        <v>1200</v>
      </c>
      <c r="W1487" t="s">
        <v>2315</v>
      </c>
      <c r="X1487">
        <v>65</v>
      </c>
      <c r="Y1487" t="s">
        <v>1317</v>
      </c>
      <c r="Z1487" t="s">
        <v>865</v>
      </c>
      <c r="AA1487" t="s">
        <v>387</v>
      </c>
      <c r="AB1487">
        <v>0</v>
      </c>
      <c r="AC1487">
        <v>4888</v>
      </c>
      <c r="AD1487" t="s">
        <v>5527</v>
      </c>
      <c r="AE1487">
        <v>2259</v>
      </c>
      <c r="AF1487" t="s">
        <v>5528</v>
      </c>
      <c r="AG1487" t="s">
        <v>5529</v>
      </c>
      <c r="AH1487" t="s">
        <v>5530</v>
      </c>
    </row>
    <row r="1488" spans="1:34" x14ac:dyDescent="0.25">
      <c r="A1488">
        <v>1</v>
      </c>
      <c r="C1488" s="185"/>
      <c r="E1488" t="s">
        <v>386</v>
      </c>
      <c r="F1488" t="s">
        <v>5531</v>
      </c>
      <c r="G1488" t="s">
        <v>1197</v>
      </c>
      <c r="H1488" t="s">
        <v>5532</v>
      </c>
      <c r="I1488">
        <v>932</v>
      </c>
      <c r="J1488" t="s">
        <v>5531</v>
      </c>
      <c r="K1488" t="s">
        <v>5533</v>
      </c>
      <c r="L1488" t="s">
        <v>386</v>
      </c>
      <c r="M1488" t="s">
        <v>1193</v>
      </c>
      <c r="N1488">
        <v>932</v>
      </c>
      <c r="O1488">
        <v>0</v>
      </c>
      <c r="Q1488" t="s">
        <v>5534</v>
      </c>
      <c r="T1488">
        <v>52</v>
      </c>
      <c r="V1488" t="s">
        <v>2024</v>
      </c>
      <c r="Z1488" t="s">
        <v>865</v>
      </c>
      <c r="AA1488" t="s">
        <v>387</v>
      </c>
      <c r="AB1488">
        <v>0</v>
      </c>
      <c r="AC1488">
        <v>790</v>
      </c>
      <c r="AD1488" t="s">
        <v>5535</v>
      </c>
      <c r="AE1488">
        <v>114</v>
      </c>
      <c r="AF1488" t="s">
        <v>1218</v>
      </c>
      <c r="AG1488" t="s">
        <v>5536</v>
      </c>
      <c r="AH1488" t="s">
        <v>5537</v>
      </c>
    </row>
    <row r="1489" spans="1:34" x14ac:dyDescent="0.25">
      <c r="A1489">
        <v>1</v>
      </c>
      <c r="C1489" s="185"/>
      <c r="E1489" t="s">
        <v>386</v>
      </c>
      <c r="F1489" t="s">
        <v>5538</v>
      </c>
      <c r="G1489" t="s">
        <v>1197</v>
      </c>
      <c r="H1489" t="s">
        <v>5539</v>
      </c>
      <c r="I1489">
        <v>5720</v>
      </c>
      <c r="J1489" t="s">
        <v>5538</v>
      </c>
      <c r="K1489" t="s">
        <v>5538</v>
      </c>
      <c r="L1489" t="s">
        <v>386</v>
      </c>
      <c r="M1489" t="s">
        <v>1193</v>
      </c>
      <c r="N1489">
        <v>5720</v>
      </c>
      <c r="O1489">
        <v>0</v>
      </c>
      <c r="Q1489" t="s">
        <v>5540</v>
      </c>
      <c r="T1489">
        <v>39</v>
      </c>
      <c r="V1489" t="s">
        <v>2144</v>
      </c>
      <c r="Z1489" t="s">
        <v>865</v>
      </c>
      <c r="AA1489" t="s">
        <v>387</v>
      </c>
      <c r="AB1489">
        <v>0</v>
      </c>
      <c r="AC1489">
        <v>2692</v>
      </c>
      <c r="AD1489" t="s">
        <v>5541</v>
      </c>
      <c r="AE1489">
        <v>37</v>
      </c>
      <c r="AF1489" t="s">
        <v>5542</v>
      </c>
      <c r="AG1489" t="s">
        <v>2730</v>
      </c>
      <c r="AH1489" t="s">
        <v>5543</v>
      </c>
    </row>
    <row r="1490" spans="1:34" x14ac:dyDescent="0.25">
      <c r="A1490">
        <v>53</v>
      </c>
      <c r="C1490" s="185"/>
      <c r="E1490" t="s">
        <v>386</v>
      </c>
      <c r="F1490" t="s">
        <v>5544</v>
      </c>
      <c r="G1490" t="s">
        <v>1197</v>
      </c>
      <c r="H1490" t="s">
        <v>5545</v>
      </c>
      <c r="I1490">
        <v>5579</v>
      </c>
      <c r="J1490" t="s">
        <v>5544</v>
      </c>
      <c r="K1490" t="s">
        <v>5546</v>
      </c>
      <c r="L1490" t="s">
        <v>386</v>
      </c>
      <c r="M1490" t="s">
        <v>1193</v>
      </c>
      <c r="N1490">
        <v>5579</v>
      </c>
      <c r="O1490">
        <v>0</v>
      </c>
      <c r="Q1490" t="s">
        <v>5547</v>
      </c>
      <c r="T1490">
        <v>571</v>
      </c>
      <c r="V1490" t="s">
        <v>2003</v>
      </c>
      <c r="W1490" t="s">
        <v>1530</v>
      </c>
      <c r="X1490">
        <v>103</v>
      </c>
      <c r="Z1490" t="s">
        <v>943</v>
      </c>
      <c r="AA1490" t="s">
        <v>387</v>
      </c>
      <c r="AB1490">
        <v>0</v>
      </c>
      <c r="AC1490">
        <v>2101</v>
      </c>
      <c r="AD1490" t="s">
        <v>4836</v>
      </c>
      <c r="AE1490">
        <v>259</v>
      </c>
      <c r="AF1490" t="s">
        <v>5548</v>
      </c>
      <c r="AG1490" t="s">
        <v>5549</v>
      </c>
      <c r="AH1490" t="s">
        <v>5550</v>
      </c>
    </row>
    <row r="1491" spans="1:34" x14ac:dyDescent="0.25">
      <c r="A1491">
        <v>1697</v>
      </c>
      <c r="C1491" s="185"/>
      <c r="D1491" t="s">
        <v>157</v>
      </c>
      <c r="E1491" t="s">
        <v>386</v>
      </c>
      <c r="F1491" t="s">
        <v>5551</v>
      </c>
      <c r="G1491" t="s">
        <v>1238</v>
      </c>
      <c r="H1491" t="s">
        <v>5098</v>
      </c>
      <c r="I1491">
        <v>6302</v>
      </c>
      <c r="J1491" t="s">
        <v>5551</v>
      </c>
      <c r="K1491" t="s">
        <v>5551</v>
      </c>
      <c r="L1491" t="s">
        <v>386</v>
      </c>
      <c r="M1491" t="s">
        <v>1184</v>
      </c>
      <c r="N1491">
        <v>6302</v>
      </c>
      <c r="O1491">
        <v>0</v>
      </c>
      <c r="Q1491" t="s">
        <v>5552</v>
      </c>
      <c r="T1491">
        <v>388</v>
      </c>
      <c r="V1491" t="s">
        <v>1712</v>
      </c>
      <c r="W1491" t="s">
        <v>2144</v>
      </c>
      <c r="X1491">
        <v>39</v>
      </c>
      <c r="Z1491" t="s">
        <v>4989</v>
      </c>
      <c r="AA1491" t="s">
        <v>387</v>
      </c>
      <c r="AB1491">
        <v>0</v>
      </c>
      <c r="AC1491">
        <v>513</v>
      </c>
      <c r="AD1491" t="s">
        <v>3443</v>
      </c>
      <c r="AE1491">
        <v>18</v>
      </c>
      <c r="AF1491" t="s">
        <v>1259</v>
      </c>
      <c r="AG1491" t="s">
        <v>1244</v>
      </c>
      <c r="AH1491" t="s">
        <v>5553</v>
      </c>
    </row>
    <row r="1492" spans="1:34" x14ac:dyDescent="0.25">
      <c r="A1492">
        <v>1566</v>
      </c>
      <c r="C1492" s="185"/>
      <c r="E1492" t="s">
        <v>386</v>
      </c>
      <c r="F1492" t="s">
        <v>5554</v>
      </c>
      <c r="G1492" t="s">
        <v>1197</v>
      </c>
      <c r="H1492" t="s">
        <v>5555</v>
      </c>
      <c r="I1492">
        <v>5511</v>
      </c>
      <c r="J1492" t="s">
        <v>5554</v>
      </c>
      <c r="K1492" t="s">
        <v>5556</v>
      </c>
      <c r="L1492" t="s">
        <v>386</v>
      </c>
      <c r="M1492" t="s">
        <v>1193</v>
      </c>
      <c r="N1492">
        <v>5511</v>
      </c>
      <c r="O1492">
        <v>0</v>
      </c>
      <c r="Q1492" t="s">
        <v>5557</v>
      </c>
      <c r="T1492">
        <v>260</v>
      </c>
      <c r="V1492" t="s">
        <v>1216</v>
      </c>
      <c r="W1492" t="s">
        <v>1199</v>
      </c>
      <c r="X1492">
        <v>200</v>
      </c>
      <c r="Z1492" t="s">
        <v>5558</v>
      </c>
      <c r="AA1492" t="s">
        <v>387</v>
      </c>
      <c r="AB1492">
        <v>0</v>
      </c>
      <c r="AC1492">
        <v>2201</v>
      </c>
      <c r="AD1492" t="s">
        <v>5559</v>
      </c>
      <c r="AE1492">
        <v>1061</v>
      </c>
      <c r="AF1492" t="s">
        <v>5560</v>
      </c>
      <c r="AG1492" t="s">
        <v>2702</v>
      </c>
      <c r="AH1492" t="s">
        <v>5561</v>
      </c>
    </row>
    <row r="1493" spans="1:34" x14ac:dyDescent="0.25">
      <c r="A1493">
        <v>1772</v>
      </c>
      <c r="C1493" s="185"/>
      <c r="D1493" t="s">
        <v>157</v>
      </c>
      <c r="E1493" t="s">
        <v>386</v>
      </c>
      <c r="F1493" t="s">
        <v>5562</v>
      </c>
      <c r="G1493" t="s">
        <v>1192</v>
      </c>
      <c r="H1493" t="s">
        <v>5563</v>
      </c>
      <c r="I1493">
        <v>10542</v>
      </c>
      <c r="J1493" t="s">
        <v>5562</v>
      </c>
      <c r="K1493" t="s">
        <v>5562</v>
      </c>
      <c r="L1493" t="s">
        <v>386</v>
      </c>
      <c r="M1493" t="s">
        <v>1184</v>
      </c>
      <c r="N1493">
        <v>10542</v>
      </c>
      <c r="O1493">
        <v>30</v>
      </c>
      <c r="Q1493" t="s">
        <v>5564</v>
      </c>
      <c r="R1493" t="s">
        <v>398</v>
      </c>
      <c r="T1493">
        <v>388</v>
      </c>
      <c r="V1493" t="s">
        <v>1712</v>
      </c>
      <c r="W1493" t="s">
        <v>3321</v>
      </c>
      <c r="X1493">
        <v>246</v>
      </c>
      <c r="Z1493" t="s">
        <v>5565</v>
      </c>
      <c r="AA1493" t="s">
        <v>387</v>
      </c>
      <c r="AB1493">
        <v>0</v>
      </c>
      <c r="AC1493">
        <v>4072</v>
      </c>
      <c r="AD1493" t="s">
        <v>5566</v>
      </c>
      <c r="AE1493">
        <v>18</v>
      </c>
      <c r="AF1493" t="s">
        <v>1259</v>
      </c>
      <c r="AG1493" t="s">
        <v>1244</v>
      </c>
    </row>
    <row r="1494" spans="1:34" x14ac:dyDescent="0.25">
      <c r="A1494">
        <v>1730</v>
      </c>
      <c r="C1494" s="185">
        <v>43692</v>
      </c>
      <c r="D1494" t="s">
        <v>157</v>
      </c>
      <c r="E1494" t="s">
        <v>386</v>
      </c>
      <c r="F1494" t="s">
        <v>5567</v>
      </c>
      <c r="G1494" t="s">
        <v>1192</v>
      </c>
      <c r="H1494" t="s">
        <v>5069</v>
      </c>
      <c r="I1494">
        <v>8777</v>
      </c>
      <c r="J1494" t="s">
        <v>5567</v>
      </c>
      <c r="K1494" t="s">
        <v>5567</v>
      </c>
      <c r="L1494" t="s">
        <v>386</v>
      </c>
      <c r="M1494" t="s">
        <v>1184</v>
      </c>
      <c r="N1494">
        <v>8777</v>
      </c>
      <c r="O1494">
        <v>0</v>
      </c>
      <c r="Q1494" t="s">
        <v>5568</v>
      </c>
      <c r="R1494" t="s">
        <v>398</v>
      </c>
      <c r="T1494">
        <v>189</v>
      </c>
      <c r="V1494" t="s">
        <v>1910</v>
      </c>
      <c r="Z1494" t="s">
        <v>5071</v>
      </c>
      <c r="AA1494" t="s">
        <v>387</v>
      </c>
      <c r="AB1494">
        <v>0</v>
      </c>
      <c r="AC1494">
        <v>3392</v>
      </c>
      <c r="AD1494" t="s">
        <v>5104</v>
      </c>
      <c r="AE1494">
        <v>18</v>
      </c>
      <c r="AF1494" t="s">
        <v>1259</v>
      </c>
      <c r="AG1494" t="s">
        <v>1244</v>
      </c>
      <c r="AH1494" t="s">
        <v>5294</v>
      </c>
    </row>
    <row r="1495" spans="1:34" x14ac:dyDescent="0.25">
      <c r="A1495">
        <v>14</v>
      </c>
      <c r="C1495" s="185"/>
      <c r="D1495" t="s">
        <v>157</v>
      </c>
      <c r="E1495" t="s">
        <v>386</v>
      </c>
      <c r="F1495" t="s">
        <v>5569</v>
      </c>
      <c r="G1495" t="s">
        <v>1238</v>
      </c>
      <c r="H1495" t="s">
        <v>5206</v>
      </c>
      <c r="I1495">
        <v>14268</v>
      </c>
      <c r="J1495" t="s">
        <v>5569</v>
      </c>
      <c r="K1495" t="s">
        <v>5570</v>
      </c>
      <c r="L1495" t="s">
        <v>386</v>
      </c>
      <c r="M1495" t="s">
        <v>1184</v>
      </c>
      <c r="N1495">
        <v>14268</v>
      </c>
      <c r="O1495">
        <v>59</v>
      </c>
      <c r="Q1495" t="s">
        <v>5571</v>
      </c>
      <c r="R1495" t="s">
        <v>398</v>
      </c>
      <c r="T1495">
        <v>260</v>
      </c>
      <c r="V1495" t="s">
        <v>1216</v>
      </c>
      <c r="W1495" t="s">
        <v>1215</v>
      </c>
      <c r="X1495">
        <v>259</v>
      </c>
      <c r="Z1495" t="s">
        <v>1130</v>
      </c>
      <c r="AA1495" t="s">
        <v>387</v>
      </c>
      <c r="AB1495">
        <v>51000</v>
      </c>
      <c r="AC1495">
        <v>5407</v>
      </c>
      <c r="AD1495" t="s">
        <v>5569</v>
      </c>
      <c r="AE1495">
        <v>18</v>
      </c>
      <c r="AF1495" t="s">
        <v>1259</v>
      </c>
      <c r="AG1495" t="s">
        <v>1244</v>
      </c>
      <c r="AH1495" t="s">
        <v>5572</v>
      </c>
    </row>
    <row r="1496" spans="1:34" x14ac:dyDescent="0.25">
      <c r="A1496">
        <v>1</v>
      </c>
      <c r="C1496" s="185"/>
      <c r="E1496" t="s">
        <v>386</v>
      </c>
      <c r="F1496" t="s">
        <v>5573</v>
      </c>
      <c r="G1496" t="s">
        <v>1197</v>
      </c>
      <c r="H1496" t="s">
        <v>4607</v>
      </c>
      <c r="I1496">
        <v>17515</v>
      </c>
      <c r="J1496" t="s">
        <v>5573</v>
      </c>
      <c r="K1496" t="s">
        <v>5574</v>
      </c>
      <c r="L1496" t="s">
        <v>386</v>
      </c>
      <c r="M1496" t="s">
        <v>1193</v>
      </c>
      <c r="N1496">
        <v>17515</v>
      </c>
      <c r="O1496">
        <v>0</v>
      </c>
      <c r="Q1496" t="s">
        <v>5575</v>
      </c>
      <c r="T1496">
        <v>473</v>
      </c>
      <c r="V1496" t="s">
        <v>1964</v>
      </c>
      <c r="W1496" t="s">
        <v>1964</v>
      </c>
      <c r="X1496">
        <v>473</v>
      </c>
      <c r="Z1496" t="s">
        <v>865</v>
      </c>
      <c r="AA1496" t="s">
        <v>387</v>
      </c>
      <c r="AB1496">
        <v>0</v>
      </c>
      <c r="AC1496">
        <v>1204</v>
      </c>
      <c r="AD1496" t="s">
        <v>4611</v>
      </c>
      <c r="AE1496">
        <v>2</v>
      </c>
      <c r="AF1496" t="s">
        <v>2919</v>
      </c>
      <c r="AG1496" t="s">
        <v>4731</v>
      </c>
      <c r="AH1496" t="s">
        <v>5576</v>
      </c>
    </row>
    <row r="1497" spans="1:34" x14ac:dyDescent="0.25">
      <c r="A1497">
        <v>1</v>
      </c>
      <c r="C1497" s="185"/>
      <c r="E1497" t="s">
        <v>386</v>
      </c>
      <c r="F1497" t="s">
        <v>5577</v>
      </c>
      <c r="G1497" t="s">
        <v>1197</v>
      </c>
      <c r="H1497" t="s">
        <v>5578</v>
      </c>
      <c r="I1497">
        <v>2222</v>
      </c>
      <c r="J1497" t="s">
        <v>5577</v>
      </c>
      <c r="K1497" t="s">
        <v>5579</v>
      </c>
      <c r="L1497" t="s">
        <v>386</v>
      </c>
      <c r="M1497" t="s">
        <v>1193</v>
      </c>
      <c r="N1497">
        <v>2222</v>
      </c>
      <c r="O1497">
        <v>0</v>
      </c>
      <c r="Q1497" t="s">
        <v>5580</v>
      </c>
      <c r="T1497">
        <v>52</v>
      </c>
      <c r="V1497" t="s">
        <v>2024</v>
      </c>
      <c r="Z1497" t="s">
        <v>865</v>
      </c>
      <c r="AA1497" t="s">
        <v>387</v>
      </c>
      <c r="AB1497">
        <v>0</v>
      </c>
      <c r="AC1497">
        <v>903</v>
      </c>
      <c r="AD1497" t="s">
        <v>5581</v>
      </c>
      <c r="AE1497">
        <v>233</v>
      </c>
      <c r="AF1497" t="s">
        <v>5582</v>
      </c>
      <c r="AG1497" t="s">
        <v>3236</v>
      </c>
      <c r="AH1497" t="s">
        <v>5583</v>
      </c>
    </row>
    <row r="1498" spans="1:34" x14ac:dyDescent="0.25">
      <c r="A1498">
        <v>1</v>
      </c>
      <c r="C1498" s="185"/>
      <c r="E1498" t="s">
        <v>386</v>
      </c>
      <c r="F1498" t="s">
        <v>5584</v>
      </c>
      <c r="G1498" t="s">
        <v>1197</v>
      </c>
      <c r="H1498" t="s">
        <v>5585</v>
      </c>
      <c r="I1498">
        <v>2271</v>
      </c>
      <c r="J1498" t="s">
        <v>5584</v>
      </c>
      <c r="K1498" t="s">
        <v>5584</v>
      </c>
      <c r="L1498" t="s">
        <v>386</v>
      </c>
      <c r="M1498" t="s">
        <v>1193</v>
      </c>
      <c r="N1498">
        <v>2271</v>
      </c>
      <c r="O1498">
        <v>0</v>
      </c>
      <c r="Q1498" t="s">
        <v>5586</v>
      </c>
      <c r="T1498">
        <v>52</v>
      </c>
      <c r="V1498" t="s">
        <v>2024</v>
      </c>
      <c r="Z1498" t="s">
        <v>865</v>
      </c>
      <c r="AA1498" t="s">
        <v>387</v>
      </c>
      <c r="AB1498">
        <v>0</v>
      </c>
      <c r="AC1498">
        <v>1609</v>
      </c>
      <c r="AD1498" t="s">
        <v>2035</v>
      </c>
      <c r="AE1498">
        <v>154</v>
      </c>
      <c r="AF1498" t="s">
        <v>3141</v>
      </c>
      <c r="AG1498" t="s">
        <v>5587</v>
      </c>
    </row>
    <row r="1499" spans="1:34" x14ac:dyDescent="0.25">
      <c r="A1499">
        <v>1</v>
      </c>
      <c r="B1499" t="s">
        <v>1313</v>
      </c>
      <c r="C1499" s="185"/>
      <c r="E1499" t="s">
        <v>386</v>
      </c>
      <c r="F1499" t="s">
        <v>5588</v>
      </c>
      <c r="G1499" t="s">
        <v>1197</v>
      </c>
      <c r="H1499" t="s">
        <v>5589</v>
      </c>
      <c r="I1499">
        <v>496</v>
      </c>
      <c r="J1499" t="s">
        <v>5588</v>
      </c>
      <c r="K1499" t="s">
        <v>5588</v>
      </c>
      <c r="L1499" t="s">
        <v>386</v>
      </c>
      <c r="M1499" t="s">
        <v>1193</v>
      </c>
      <c r="N1499">
        <v>496</v>
      </c>
      <c r="O1499">
        <v>0</v>
      </c>
      <c r="Q1499" t="s">
        <v>5590</v>
      </c>
      <c r="S1499" t="s">
        <v>1315</v>
      </c>
      <c r="T1499">
        <v>407</v>
      </c>
      <c r="U1499">
        <v>0</v>
      </c>
      <c r="V1499" t="s">
        <v>5591</v>
      </c>
      <c r="W1499" t="s">
        <v>5591</v>
      </c>
      <c r="X1499">
        <v>407</v>
      </c>
      <c r="Y1499" t="s">
        <v>1317</v>
      </c>
      <c r="Z1499" t="s">
        <v>865</v>
      </c>
      <c r="AA1499" t="s">
        <v>387</v>
      </c>
      <c r="AB1499">
        <v>0</v>
      </c>
      <c r="AC1499">
        <v>112</v>
      </c>
      <c r="AD1499" t="s">
        <v>5592</v>
      </c>
      <c r="AE1499">
        <v>3</v>
      </c>
      <c r="AF1499" t="s">
        <v>1235</v>
      </c>
      <c r="AG1499" t="s">
        <v>5593</v>
      </c>
      <c r="AH1499" t="s">
        <v>5594</v>
      </c>
    </row>
    <row r="1500" spans="1:34" x14ac:dyDescent="0.25">
      <c r="A1500">
        <v>1</v>
      </c>
      <c r="C1500" s="185"/>
      <c r="E1500" t="s">
        <v>386</v>
      </c>
      <c r="F1500" t="s">
        <v>5595</v>
      </c>
      <c r="G1500" t="s">
        <v>1192</v>
      </c>
      <c r="H1500" t="s">
        <v>5596</v>
      </c>
      <c r="I1500">
        <v>364</v>
      </c>
      <c r="J1500" t="s">
        <v>5595</v>
      </c>
      <c r="K1500" t="s">
        <v>5595</v>
      </c>
      <c r="L1500" t="s">
        <v>386</v>
      </c>
      <c r="M1500" t="s">
        <v>1193</v>
      </c>
      <c r="N1500">
        <v>364</v>
      </c>
      <c r="O1500">
        <v>0</v>
      </c>
      <c r="Q1500" t="s">
        <v>5597</v>
      </c>
      <c r="R1500" t="s">
        <v>1208</v>
      </c>
      <c r="T1500">
        <v>185</v>
      </c>
      <c r="V1500" t="s">
        <v>1915</v>
      </c>
      <c r="Z1500" t="s">
        <v>865</v>
      </c>
      <c r="AA1500" t="s">
        <v>387</v>
      </c>
      <c r="AB1500">
        <v>0</v>
      </c>
      <c r="AC1500">
        <v>1953</v>
      </c>
      <c r="AD1500" t="s">
        <v>5598</v>
      </c>
      <c r="AE1500">
        <v>54</v>
      </c>
      <c r="AF1500" t="s">
        <v>3250</v>
      </c>
      <c r="AG1500" t="s">
        <v>5599</v>
      </c>
      <c r="AH1500" t="s">
        <v>5600</v>
      </c>
    </row>
    <row r="1501" spans="1:34" x14ac:dyDescent="0.25">
      <c r="A1501">
        <v>1275</v>
      </c>
      <c r="C1501" s="185"/>
      <c r="E1501" t="s">
        <v>386</v>
      </c>
      <c r="F1501" t="s">
        <v>5601</v>
      </c>
      <c r="G1501" t="s">
        <v>1197</v>
      </c>
      <c r="H1501" t="s">
        <v>3080</v>
      </c>
      <c r="I1501">
        <v>13501</v>
      </c>
      <c r="J1501" t="s">
        <v>5601</v>
      </c>
      <c r="K1501" t="s">
        <v>5602</v>
      </c>
      <c r="L1501" t="s">
        <v>386</v>
      </c>
      <c r="M1501" t="s">
        <v>1193</v>
      </c>
      <c r="N1501">
        <v>13501</v>
      </c>
      <c r="O1501">
        <v>0</v>
      </c>
      <c r="Q1501" t="s">
        <v>5603</v>
      </c>
      <c r="R1501" t="s">
        <v>1208</v>
      </c>
      <c r="T1501">
        <v>571</v>
      </c>
      <c r="V1501" t="s">
        <v>2003</v>
      </c>
      <c r="W1501" t="s">
        <v>2067</v>
      </c>
      <c r="X1501">
        <v>304</v>
      </c>
      <c r="Z1501" t="s">
        <v>2124</v>
      </c>
      <c r="AA1501" t="s">
        <v>387</v>
      </c>
      <c r="AB1501">
        <v>0</v>
      </c>
      <c r="AC1501">
        <v>5071</v>
      </c>
      <c r="AD1501" t="s">
        <v>5604</v>
      </c>
      <c r="AE1501">
        <v>106</v>
      </c>
      <c r="AF1501" t="s">
        <v>3083</v>
      </c>
      <c r="AG1501" t="s">
        <v>2860</v>
      </c>
      <c r="AH1501" t="s">
        <v>5605</v>
      </c>
    </row>
    <row r="1502" spans="1:34" x14ac:dyDescent="0.25">
      <c r="A1502">
        <v>1</v>
      </c>
      <c r="C1502" s="185"/>
      <c r="E1502" t="s">
        <v>386</v>
      </c>
      <c r="F1502" t="s">
        <v>5606</v>
      </c>
      <c r="G1502" t="s">
        <v>1197</v>
      </c>
      <c r="H1502" t="s">
        <v>5607</v>
      </c>
      <c r="I1502">
        <v>1542</v>
      </c>
      <c r="J1502" t="s">
        <v>5606</v>
      </c>
      <c r="K1502" t="s">
        <v>5608</v>
      </c>
      <c r="L1502" t="s">
        <v>386</v>
      </c>
      <c r="M1502" t="s">
        <v>1193</v>
      </c>
      <c r="N1502">
        <v>1542</v>
      </c>
      <c r="O1502">
        <v>0</v>
      </c>
      <c r="Q1502" t="s">
        <v>5609</v>
      </c>
      <c r="T1502">
        <v>35</v>
      </c>
      <c r="V1502" t="s">
        <v>2015</v>
      </c>
      <c r="Z1502" t="s">
        <v>865</v>
      </c>
      <c r="AA1502" t="s">
        <v>387</v>
      </c>
      <c r="AB1502">
        <v>0</v>
      </c>
      <c r="AC1502">
        <v>1155</v>
      </c>
      <c r="AD1502" t="s">
        <v>5610</v>
      </c>
      <c r="AE1502">
        <v>10</v>
      </c>
      <c r="AF1502" t="s">
        <v>1225</v>
      </c>
      <c r="AG1502" t="s">
        <v>5611</v>
      </c>
      <c r="AH1502" t="s">
        <v>5612</v>
      </c>
    </row>
    <row r="1503" spans="1:34" x14ac:dyDescent="0.25">
      <c r="A1503">
        <v>1</v>
      </c>
      <c r="B1503" t="s">
        <v>1313</v>
      </c>
      <c r="C1503" s="185"/>
      <c r="D1503" t="s">
        <v>24</v>
      </c>
      <c r="E1503" t="s">
        <v>386</v>
      </c>
      <c r="F1503" t="s">
        <v>129</v>
      </c>
      <c r="G1503" t="s">
        <v>1197</v>
      </c>
      <c r="H1503" t="s">
        <v>1710</v>
      </c>
      <c r="I1503">
        <v>1227</v>
      </c>
      <c r="J1503" t="s">
        <v>129</v>
      </c>
      <c r="K1503" t="s">
        <v>5613</v>
      </c>
      <c r="L1503" t="s">
        <v>386</v>
      </c>
      <c r="M1503" t="s">
        <v>1193</v>
      </c>
      <c r="N1503">
        <v>1227</v>
      </c>
      <c r="O1503">
        <v>0</v>
      </c>
      <c r="Q1503" t="s">
        <v>5614</v>
      </c>
      <c r="S1503" t="s">
        <v>1909</v>
      </c>
      <c r="T1503">
        <v>200</v>
      </c>
      <c r="U1503">
        <v>0</v>
      </c>
      <c r="V1503" t="s">
        <v>1199</v>
      </c>
      <c r="Y1503" t="s">
        <v>1317</v>
      </c>
      <c r="Z1503" t="s">
        <v>865</v>
      </c>
      <c r="AA1503" t="s">
        <v>387</v>
      </c>
      <c r="AB1503">
        <v>0</v>
      </c>
      <c r="AC1503">
        <v>937</v>
      </c>
      <c r="AD1503" t="s">
        <v>2508</v>
      </c>
      <c r="AE1503">
        <v>258</v>
      </c>
      <c r="AF1503" t="s">
        <v>5257</v>
      </c>
      <c r="AG1503" t="s">
        <v>3236</v>
      </c>
      <c r="AH1503" t="s">
        <v>5615</v>
      </c>
    </row>
    <row r="1504" spans="1:34" x14ac:dyDescent="0.25">
      <c r="A1504">
        <v>25</v>
      </c>
      <c r="C1504" s="185"/>
      <c r="E1504" t="s">
        <v>386</v>
      </c>
      <c r="F1504" t="s">
        <v>5616</v>
      </c>
      <c r="G1504" t="s">
        <v>1197</v>
      </c>
      <c r="H1504" t="s">
        <v>5617</v>
      </c>
      <c r="I1504">
        <v>5584</v>
      </c>
      <c r="J1504" t="s">
        <v>5616</v>
      </c>
      <c r="K1504" t="s">
        <v>5618</v>
      </c>
      <c r="L1504" t="s">
        <v>386</v>
      </c>
      <c r="M1504" t="s">
        <v>1193</v>
      </c>
      <c r="N1504">
        <v>5584</v>
      </c>
      <c r="O1504">
        <v>0</v>
      </c>
      <c r="Q1504" t="s">
        <v>5619</v>
      </c>
      <c r="T1504">
        <v>39</v>
      </c>
      <c r="V1504" t="s">
        <v>2144</v>
      </c>
      <c r="Z1504" t="s">
        <v>857</v>
      </c>
      <c r="AA1504" t="s">
        <v>387</v>
      </c>
      <c r="AB1504">
        <v>0</v>
      </c>
      <c r="AC1504">
        <v>2645</v>
      </c>
      <c r="AD1504" t="s">
        <v>5620</v>
      </c>
      <c r="AE1504">
        <v>1275</v>
      </c>
      <c r="AF1504" t="s">
        <v>5621</v>
      </c>
      <c r="AG1504" t="s">
        <v>5622</v>
      </c>
      <c r="AH1504" t="s">
        <v>5623</v>
      </c>
    </row>
    <row r="1505" spans="1:34" x14ac:dyDescent="0.25">
      <c r="A1505">
        <v>1553</v>
      </c>
      <c r="C1505" s="185"/>
      <c r="E1505" t="s">
        <v>386</v>
      </c>
      <c r="F1505" t="s">
        <v>294</v>
      </c>
      <c r="G1505" t="s">
        <v>1238</v>
      </c>
      <c r="H1505" t="s">
        <v>1239</v>
      </c>
      <c r="I1505">
        <v>13340</v>
      </c>
      <c r="J1505" t="s">
        <v>294</v>
      </c>
      <c r="K1505" t="s">
        <v>5624</v>
      </c>
      <c r="L1505" t="s">
        <v>386</v>
      </c>
      <c r="M1505" t="s">
        <v>1184</v>
      </c>
      <c r="N1505">
        <v>13340</v>
      </c>
      <c r="O1505">
        <v>59</v>
      </c>
      <c r="Q1505" t="s">
        <v>5625</v>
      </c>
      <c r="T1505">
        <v>35</v>
      </c>
      <c r="V1505" t="s">
        <v>2015</v>
      </c>
      <c r="W1505" t="s">
        <v>1712</v>
      </c>
      <c r="X1505">
        <v>388</v>
      </c>
      <c r="Z1505" t="s">
        <v>968</v>
      </c>
      <c r="AA1505" t="s">
        <v>387</v>
      </c>
      <c r="AB1505">
        <v>0</v>
      </c>
      <c r="AC1505">
        <v>4961</v>
      </c>
      <c r="AD1505" t="s">
        <v>294</v>
      </c>
      <c r="AE1505">
        <v>18</v>
      </c>
      <c r="AF1505" t="s">
        <v>1259</v>
      </c>
      <c r="AG1505" t="s">
        <v>2044</v>
      </c>
      <c r="AH1505" t="s">
        <v>5626</v>
      </c>
    </row>
    <row r="1506" spans="1:34" x14ac:dyDescent="0.25">
      <c r="A1506">
        <v>1351</v>
      </c>
      <c r="C1506" s="185"/>
      <c r="D1506" t="s">
        <v>24</v>
      </c>
      <c r="E1506" t="s">
        <v>386</v>
      </c>
      <c r="F1506" t="s">
        <v>5627</v>
      </c>
      <c r="G1506" t="s">
        <v>1197</v>
      </c>
      <c r="H1506" t="s">
        <v>5628</v>
      </c>
      <c r="I1506">
        <v>1823</v>
      </c>
      <c r="J1506" t="s">
        <v>5627</v>
      </c>
      <c r="K1506" t="s">
        <v>5627</v>
      </c>
      <c r="L1506" t="s">
        <v>386</v>
      </c>
      <c r="M1506" t="s">
        <v>1193</v>
      </c>
      <c r="N1506">
        <v>1823</v>
      </c>
      <c r="O1506">
        <v>23</v>
      </c>
      <c r="Q1506" t="s">
        <v>5629</v>
      </c>
      <c r="R1506" t="s">
        <v>1208</v>
      </c>
      <c r="T1506">
        <v>427</v>
      </c>
      <c r="V1506" t="s">
        <v>5630</v>
      </c>
      <c r="W1506" t="s">
        <v>1186</v>
      </c>
      <c r="X1506">
        <v>0</v>
      </c>
      <c r="Z1506" t="s">
        <v>5631</v>
      </c>
      <c r="AA1506" t="s">
        <v>387</v>
      </c>
      <c r="AB1506">
        <v>17000</v>
      </c>
      <c r="AC1506">
        <v>1360</v>
      </c>
      <c r="AD1506" t="s">
        <v>5632</v>
      </c>
      <c r="AE1506">
        <v>18</v>
      </c>
      <c r="AF1506" t="s">
        <v>1259</v>
      </c>
      <c r="AG1506" t="s">
        <v>5633</v>
      </c>
      <c r="AH1506" t="s">
        <v>5634</v>
      </c>
    </row>
    <row r="1507" spans="1:34" x14ac:dyDescent="0.25">
      <c r="A1507">
        <v>71</v>
      </c>
      <c r="C1507" s="185"/>
      <c r="D1507" t="s">
        <v>157</v>
      </c>
      <c r="E1507" t="s">
        <v>386</v>
      </c>
      <c r="F1507" t="s">
        <v>4934</v>
      </c>
      <c r="G1507" t="s">
        <v>1238</v>
      </c>
      <c r="H1507" t="s">
        <v>5635</v>
      </c>
      <c r="I1507">
        <v>12961</v>
      </c>
      <c r="J1507" t="s">
        <v>322</v>
      </c>
      <c r="K1507" t="s">
        <v>5636</v>
      </c>
      <c r="L1507" t="s">
        <v>386</v>
      </c>
      <c r="M1507" t="s">
        <v>1184</v>
      </c>
      <c r="N1507">
        <v>15329</v>
      </c>
      <c r="O1507">
        <v>54</v>
      </c>
      <c r="Q1507" t="s">
        <v>5637</v>
      </c>
      <c r="T1507">
        <v>272</v>
      </c>
      <c r="V1507" t="s">
        <v>2107</v>
      </c>
      <c r="W1507" t="s">
        <v>2107</v>
      </c>
      <c r="X1507">
        <v>272</v>
      </c>
      <c r="Z1507" t="s">
        <v>5638</v>
      </c>
      <c r="AA1507" t="s">
        <v>387</v>
      </c>
      <c r="AB1507">
        <v>0</v>
      </c>
      <c r="AC1507">
        <v>4830</v>
      </c>
      <c r="AD1507" t="s">
        <v>2075</v>
      </c>
      <c r="AE1507">
        <v>18</v>
      </c>
      <c r="AF1507" t="s">
        <v>1259</v>
      </c>
      <c r="AG1507" t="s">
        <v>2044</v>
      </c>
    </row>
    <row r="1508" spans="1:34" x14ac:dyDescent="0.25">
      <c r="A1508">
        <v>71</v>
      </c>
      <c r="C1508" s="185"/>
      <c r="D1508" t="s">
        <v>157</v>
      </c>
      <c r="E1508" t="s">
        <v>386</v>
      </c>
      <c r="F1508" t="s">
        <v>4934</v>
      </c>
      <c r="G1508" t="s">
        <v>1238</v>
      </c>
      <c r="H1508" t="s">
        <v>5639</v>
      </c>
      <c r="I1508">
        <v>12791</v>
      </c>
      <c r="J1508" t="s">
        <v>323</v>
      </c>
      <c r="K1508" t="s">
        <v>5640</v>
      </c>
      <c r="L1508" t="s">
        <v>386</v>
      </c>
      <c r="M1508" t="s">
        <v>1184</v>
      </c>
      <c r="N1508">
        <v>15329</v>
      </c>
      <c r="O1508">
        <v>54</v>
      </c>
      <c r="Q1508" t="s">
        <v>5641</v>
      </c>
      <c r="T1508">
        <v>272</v>
      </c>
      <c r="V1508" t="s">
        <v>2107</v>
      </c>
      <c r="W1508" t="s">
        <v>1216</v>
      </c>
      <c r="X1508">
        <v>260</v>
      </c>
      <c r="Z1508" t="s">
        <v>5638</v>
      </c>
      <c r="AA1508" t="s">
        <v>387</v>
      </c>
      <c r="AB1508">
        <v>46000</v>
      </c>
      <c r="AC1508">
        <v>4777</v>
      </c>
      <c r="AD1508" t="s">
        <v>5642</v>
      </c>
      <c r="AE1508">
        <v>18</v>
      </c>
      <c r="AF1508" t="s">
        <v>1259</v>
      </c>
      <c r="AG1508" t="s">
        <v>2044</v>
      </c>
      <c r="AH1508" t="s">
        <v>5643</v>
      </c>
    </row>
    <row r="1509" spans="1:34" x14ac:dyDescent="0.25">
      <c r="A1509">
        <v>1808</v>
      </c>
      <c r="C1509" s="185"/>
      <c r="E1509" t="s">
        <v>386</v>
      </c>
      <c r="F1509" t="s">
        <v>1897</v>
      </c>
      <c r="G1509" t="s">
        <v>4184</v>
      </c>
      <c r="H1509" t="s">
        <v>5644</v>
      </c>
      <c r="I1509">
        <v>8519</v>
      </c>
      <c r="J1509" t="s">
        <v>5645</v>
      </c>
      <c r="K1509" t="s">
        <v>5645</v>
      </c>
      <c r="L1509" t="s">
        <v>386</v>
      </c>
      <c r="M1509" t="s">
        <v>1193</v>
      </c>
      <c r="N1509">
        <v>0</v>
      </c>
      <c r="O1509">
        <v>0</v>
      </c>
      <c r="Q1509" t="s">
        <v>5646</v>
      </c>
      <c r="R1509" t="s">
        <v>398</v>
      </c>
      <c r="T1509">
        <v>185</v>
      </c>
      <c r="V1509" t="s">
        <v>1915</v>
      </c>
      <c r="Z1509" t="s">
        <v>4829</v>
      </c>
      <c r="AA1509" t="s">
        <v>387</v>
      </c>
      <c r="AB1509">
        <v>0</v>
      </c>
      <c r="AC1509">
        <v>3420</v>
      </c>
      <c r="AD1509" t="s">
        <v>5647</v>
      </c>
      <c r="AE1509">
        <v>391</v>
      </c>
      <c r="AF1509" t="s">
        <v>5648</v>
      </c>
      <c r="AG1509" t="s">
        <v>1999</v>
      </c>
    </row>
    <row r="1510" spans="1:34" x14ac:dyDescent="0.25">
      <c r="A1510">
        <v>1811</v>
      </c>
      <c r="C1510" s="185"/>
      <c r="E1510" t="s">
        <v>386</v>
      </c>
      <c r="F1510" t="s">
        <v>1897</v>
      </c>
      <c r="G1510" t="s">
        <v>4184</v>
      </c>
      <c r="H1510" t="s">
        <v>5237</v>
      </c>
      <c r="I1510">
        <v>8520</v>
      </c>
      <c r="J1510" t="s">
        <v>5645</v>
      </c>
      <c r="K1510" t="s">
        <v>5645</v>
      </c>
      <c r="L1510" t="s">
        <v>386</v>
      </c>
      <c r="M1510" t="s">
        <v>1193</v>
      </c>
      <c r="N1510">
        <v>0</v>
      </c>
      <c r="O1510">
        <v>0</v>
      </c>
      <c r="Q1510" t="s">
        <v>5649</v>
      </c>
      <c r="R1510" t="s">
        <v>398</v>
      </c>
      <c r="T1510">
        <v>185</v>
      </c>
      <c r="V1510" t="s">
        <v>1915</v>
      </c>
      <c r="Z1510" t="s">
        <v>5159</v>
      </c>
      <c r="AA1510" t="s">
        <v>387</v>
      </c>
      <c r="AB1510">
        <v>0</v>
      </c>
      <c r="AC1510">
        <v>3421</v>
      </c>
      <c r="AD1510" t="s">
        <v>5240</v>
      </c>
      <c r="AE1510">
        <v>1195</v>
      </c>
      <c r="AF1510" t="s">
        <v>3845</v>
      </c>
      <c r="AG1510" t="s">
        <v>5650</v>
      </c>
    </row>
    <row r="1511" spans="1:34" x14ac:dyDescent="0.25">
      <c r="A1511">
        <v>1275</v>
      </c>
      <c r="C1511" s="185"/>
      <c r="E1511" t="s">
        <v>386</v>
      </c>
      <c r="F1511" t="s">
        <v>5645</v>
      </c>
      <c r="G1511" t="s">
        <v>4184</v>
      </c>
      <c r="H1511" t="s">
        <v>5651</v>
      </c>
      <c r="I1511">
        <v>8518</v>
      </c>
      <c r="J1511" t="s">
        <v>5645</v>
      </c>
      <c r="K1511" t="s">
        <v>5645</v>
      </c>
      <c r="L1511" t="s">
        <v>386</v>
      </c>
      <c r="M1511" t="s">
        <v>1193</v>
      </c>
      <c r="N1511">
        <v>8518</v>
      </c>
      <c r="O1511">
        <v>0</v>
      </c>
      <c r="Q1511" t="s">
        <v>5652</v>
      </c>
      <c r="R1511" t="s">
        <v>398</v>
      </c>
      <c r="T1511">
        <v>185</v>
      </c>
      <c r="V1511" t="s">
        <v>1915</v>
      </c>
      <c r="Z1511" t="s">
        <v>2124</v>
      </c>
      <c r="AA1511" t="s">
        <v>387</v>
      </c>
      <c r="AB1511">
        <v>0</v>
      </c>
      <c r="AC1511">
        <v>3419</v>
      </c>
      <c r="AD1511" t="s">
        <v>5653</v>
      </c>
      <c r="AE1511">
        <v>3</v>
      </c>
      <c r="AF1511" t="s">
        <v>1235</v>
      </c>
      <c r="AG1511" t="s">
        <v>5654</v>
      </c>
    </row>
    <row r="1512" spans="1:34" x14ac:dyDescent="0.25">
      <c r="A1512">
        <v>1792</v>
      </c>
      <c r="C1512" s="185"/>
      <c r="E1512" t="s">
        <v>386</v>
      </c>
      <c r="F1512" t="s">
        <v>1897</v>
      </c>
      <c r="G1512" t="s">
        <v>4184</v>
      </c>
      <c r="H1512" t="s">
        <v>4919</v>
      </c>
      <c r="I1512">
        <v>8521</v>
      </c>
      <c r="J1512" t="s">
        <v>5645</v>
      </c>
      <c r="K1512" t="s">
        <v>5645</v>
      </c>
      <c r="L1512" t="s">
        <v>386</v>
      </c>
      <c r="M1512" t="s">
        <v>1193</v>
      </c>
      <c r="N1512">
        <v>0</v>
      </c>
      <c r="O1512">
        <v>0</v>
      </c>
      <c r="Q1512" t="s">
        <v>5655</v>
      </c>
      <c r="R1512" t="s">
        <v>398</v>
      </c>
      <c r="T1512">
        <v>185</v>
      </c>
      <c r="V1512" t="s">
        <v>1915</v>
      </c>
      <c r="Z1512" t="s">
        <v>1053</v>
      </c>
      <c r="AA1512" t="s">
        <v>387</v>
      </c>
      <c r="AB1512">
        <v>0</v>
      </c>
      <c r="AC1512">
        <v>259</v>
      </c>
      <c r="AD1512" t="s">
        <v>5656</v>
      </c>
      <c r="AE1512">
        <v>959</v>
      </c>
      <c r="AF1512" t="s">
        <v>5657</v>
      </c>
      <c r="AG1512" t="s">
        <v>5658</v>
      </c>
    </row>
    <row r="1513" spans="1:34" x14ac:dyDescent="0.25">
      <c r="A1513">
        <v>1</v>
      </c>
      <c r="B1513" t="s">
        <v>1313</v>
      </c>
      <c r="C1513" s="185"/>
      <c r="E1513" t="s">
        <v>386</v>
      </c>
      <c r="F1513" t="s">
        <v>5659</v>
      </c>
      <c r="G1513" t="s">
        <v>1197</v>
      </c>
      <c r="H1513" t="s">
        <v>5660</v>
      </c>
      <c r="I1513">
        <v>325</v>
      </c>
      <c r="J1513" t="s">
        <v>5659</v>
      </c>
      <c r="K1513" t="s">
        <v>5661</v>
      </c>
      <c r="L1513" t="s">
        <v>386</v>
      </c>
      <c r="M1513" t="s">
        <v>1193</v>
      </c>
      <c r="N1513">
        <v>325</v>
      </c>
      <c r="O1513">
        <v>0</v>
      </c>
      <c r="Q1513" t="s">
        <v>5662</v>
      </c>
      <c r="S1513" t="s">
        <v>1315</v>
      </c>
      <c r="T1513">
        <v>52</v>
      </c>
      <c r="U1513">
        <v>0</v>
      </c>
      <c r="V1513" t="s">
        <v>2024</v>
      </c>
      <c r="Y1513" t="s">
        <v>1317</v>
      </c>
      <c r="Z1513" t="s">
        <v>865</v>
      </c>
      <c r="AA1513" t="s">
        <v>387</v>
      </c>
      <c r="AB1513">
        <v>0</v>
      </c>
      <c r="AC1513">
        <v>396</v>
      </c>
      <c r="AD1513" t="s">
        <v>5663</v>
      </c>
      <c r="AE1513">
        <v>78</v>
      </c>
      <c r="AF1513" t="s">
        <v>3061</v>
      </c>
      <c r="AG1513" t="s">
        <v>2499</v>
      </c>
      <c r="AH1513" t="s">
        <v>5664</v>
      </c>
    </row>
    <row r="1514" spans="1:34" x14ac:dyDescent="0.25">
      <c r="A1514">
        <v>1</v>
      </c>
      <c r="C1514" s="185"/>
      <c r="E1514" t="s">
        <v>386</v>
      </c>
      <c r="F1514" t="s">
        <v>5665</v>
      </c>
      <c r="G1514" t="s">
        <v>4184</v>
      </c>
      <c r="H1514" t="s">
        <v>5666</v>
      </c>
      <c r="I1514">
        <v>6480</v>
      </c>
      <c r="J1514" t="s">
        <v>5665</v>
      </c>
      <c r="K1514" t="s">
        <v>5665</v>
      </c>
      <c r="L1514" t="s">
        <v>386</v>
      </c>
      <c r="M1514" t="s">
        <v>1193</v>
      </c>
      <c r="N1514">
        <v>6480</v>
      </c>
      <c r="O1514">
        <v>0</v>
      </c>
      <c r="Q1514" t="s">
        <v>5667</v>
      </c>
      <c r="R1514" t="s">
        <v>1208</v>
      </c>
      <c r="T1514">
        <v>571</v>
      </c>
      <c r="V1514" t="s">
        <v>2003</v>
      </c>
      <c r="W1514" t="s">
        <v>2073</v>
      </c>
      <c r="X1514">
        <v>372</v>
      </c>
      <c r="Z1514" t="s">
        <v>865</v>
      </c>
      <c r="AA1514" t="s">
        <v>387</v>
      </c>
      <c r="AB1514">
        <v>0</v>
      </c>
      <c r="AC1514">
        <v>1706</v>
      </c>
      <c r="AD1514" t="s">
        <v>1250</v>
      </c>
      <c r="AE1514">
        <v>10</v>
      </c>
      <c r="AF1514" t="s">
        <v>1225</v>
      </c>
      <c r="AG1514" t="s">
        <v>5668</v>
      </c>
      <c r="AH1514" t="s">
        <v>5669</v>
      </c>
    </row>
    <row r="1515" spans="1:34" x14ac:dyDescent="0.25">
      <c r="A1515">
        <v>1</v>
      </c>
      <c r="C1515" s="185"/>
      <c r="E1515" t="s">
        <v>386</v>
      </c>
      <c r="F1515" t="s">
        <v>5670</v>
      </c>
      <c r="G1515" t="s">
        <v>1197</v>
      </c>
      <c r="H1515" t="s">
        <v>5671</v>
      </c>
      <c r="I1515">
        <v>12122</v>
      </c>
      <c r="J1515" t="s">
        <v>5670</v>
      </c>
      <c r="K1515" t="s">
        <v>5670</v>
      </c>
      <c r="L1515" t="s">
        <v>386</v>
      </c>
      <c r="M1515" t="s">
        <v>1193</v>
      </c>
      <c r="N1515">
        <v>12122</v>
      </c>
      <c r="O1515">
        <v>0</v>
      </c>
      <c r="Q1515" t="s">
        <v>5672</v>
      </c>
      <c r="R1515" t="s">
        <v>1208</v>
      </c>
      <c r="T1515">
        <v>260</v>
      </c>
      <c r="V1515" t="s">
        <v>1216</v>
      </c>
      <c r="W1515" t="s">
        <v>2073</v>
      </c>
      <c r="X1515">
        <v>372</v>
      </c>
      <c r="Z1515" t="s">
        <v>865</v>
      </c>
      <c r="AA1515" t="s">
        <v>387</v>
      </c>
      <c r="AB1515">
        <v>0</v>
      </c>
      <c r="AC1515">
        <v>2269</v>
      </c>
      <c r="AD1515" t="s">
        <v>5673</v>
      </c>
      <c r="AE1515">
        <v>394</v>
      </c>
      <c r="AF1515" t="s">
        <v>3171</v>
      </c>
      <c r="AG1515" t="s">
        <v>5674</v>
      </c>
    </row>
    <row r="1516" spans="1:34" x14ac:dyDescent="0.25">
      <c r="A1516">
        <v>6</v>
      </c>
      <c r="B1516" t="s">
        <v>1313</v>
      </c>
      <c r="C1516" s="185"/>
      <c r="D1516" t="s">
        <v>24</v>
      </c>
      <c r="E1516" t="s">
        <v>386</v>
      </c>
      <c r="F1516" t="s">
        <v>449</v>
      </c>
      <c r="G1516" t="s">
        <v>1197</v>
      </c>
      <c r="H1516" t="s">
        <v>5675</v>
      </c>
      <c r="I1516">
        <v>1787</v>
      </c>
      <c r="J1516" t="s">
        <v>57</v>
      </c>
      <c r="K1516" t="s">
        <v>5676</v>
      </c>
      <c r="L1516" t="s">
        <v>386</v>
      </c>
      <c r="M1516" t="s">
        <v>1193</v>
      </c>
      <c r="N1516">
        <v>15710</v>
      </c>
      <c r="O1516">
        <v>76</v>
      </c>
      <c r="Q1516" t="s">
        <v>5677</v>
      </c>
      <c r="R1516" t="s">
        <v>398</v>
      </c>
      <c r="S1516" t="s">
        <v>2293</v>
      </c>
      <c r="T1516">
        <v>220</v>
      </c>
      <c r="U1516">
        <v>0</v>
      </c>
      <c r="V1516" t="s">
        <v>1194</v>
      </c>
      <c r="W1516" t="s">
        <v>5678</v>
      </c>
      <c r="X1516">
        <v>449</v>
      </c>
      <c r="Y1516" t="s">
        <v>1317</v>
      </c>
      <c r="Z1516" t="s">
        <v>892</v>
      </c>
      <c r="AA1516" t="s">
        <v>387</v>
      </c>
      <c r="AB1516">
        <v>0</v>
      </c>
      <c r="AC1516">
        <v>4919</v>
      </c>
      <c r="AD1516" t="s">
        <v>5679</v>
      </c>
      <c r="AE1516">
        <v>1526</v>
      </c>
      <c r="AF1516" t="s">
        <v>4797</v>
      </c>
      <c r="AG1516" t="s">
        <v>3472</v>
      </c>
      <c r="AH1516" t="s">
        <v>5680</v>
      </c>
    </row>
    <row r="1517" spans="1:34" x14ac:dyDescent="0.25">
      <c r="A1517">
        <v>153</v>
      </c>
      <c r="B1517" t="s">
        <v>1313</v>
      </c>
      <c r="C1517" s="185"/>
      <c r="D1517" t="s">
        <v>24</v>
      </c>
      <c r="E1517" t="s">
        <v>386</v>
      </c>
      <c r="F1517" t="s">
        <v>449</v>
      </c>
      <c r="G1517" t="s">
        <v>1197</v>
      </c>
      <c r="H1517" t="s">
        <v>5681</v>
      </c>
      <c r="I1517">
        <v>1789</v>
      </c>
      <c r="J1517" t="s">
        <v>61</v>
      </c>
      <c r="K1517" t="s">
        <v>5682</v>
      </c>
      <c r="L1517" t="s">
        <v>386</v>
      </c>
      <c r="M1517" t="s">
        <v>1193</v>
      </c>
      <c r="N1517">
        <v>15710</v>
      </c>
      <c r="O1517">
        <v>76</v>
      </c>
      <c r="Q1517" t="s">
        <v>5683</v>
      </c>
      <c r="R1517" t="s">
        <v>398</v>
      </c>
      <c r="S1517" t="s">
        <v>2293</v>
      </c>
      <c r="T1517">
        <v>220</v>
      </c>
      <c r="U1517">
        <v>0</v>
      </c>
      <c r="V1517" t="s">
        <v>1194</v>
      </c>
      <c r="W1517" t="s">
        <v>1200</v>
      </c>
      <c r="X1517">
        <v>340</v>
      </c>
      <c r="Y1517" t="s">
        <v>1317</v>
      </c>
      <c r="Z1517" t="s">
        <v>969</v>
      </c>
      <c r="AA1517" t="s">
        <v>387</v>
      </c>
      <c r="AB1517">
        <v>0</v>
      </c>
      <c r="AC1517">
        <v>1411</v>
      </c>
      <c r="AD1517" t="s">
        <v>5684</v>
      </c>
      <c r="AE1517">
        <v>898</v>
      </c>
      <c r="AF1517" t="s">
        <v>5685</v>
      </c>
      <c r="AG1517" t="s">
        <v>5686</v>
      </c>
      <c r="AH1517" t="s">
        <v>5687</v>
      </c>
    </row>
    <row r="1518" spans="1:34" x14ac:dyDescent="0.25">
      <c r="A1518">
        <v>6</v>
      </c>
      <c r="B1518" t="s">
        <v>1313</v>
      </c>
      <c r="C1518" s="185"/>
      <c r="D1518" t="s">
        <v>24</v>
      </c>
      <c r="E1518" t="s">
        <v>386</v>
      </c>
      <c r="F1518" t="s">
        <v>449</v>
      </c>
      <c r="G1518" t="s">
        <v>1197</v>
      </c>
      <c r="H1518" t="s">
        <v>4685</v>
      </c>
      <c r="I1518">
        <v>1788</v>
      </c>
      <c r="J1518" t="s">
        <v>59</v>
      </c>
      <c r="K1518" t="s">
        <v>5676</v>
      </c>
      <c r="L1518" t="s">
        <v>386</v>
      </c>
      <c r="M1518" t="s">
        <v>1193</v>
      </c>
      <c r="N1518">
        <v>15710</v>
      </c>
      <c r="O1518">
        <v>76</v>
      </c>
      <c r="Q1518" t="s">
        <v>5688</v>
      </c>
      <c r="R1518" t="s">
        <v>398</v>
      </c>
      <c r="S1518" t="s">
        <v>2293</v>
      </c>
      <c r="T1518">
        <v>220</v>
      </c>
      <c r="U1518">
        <v>0</v>
      </c>
      <c r="V1518" t="s">
        <v>1194</v>
      </c>
      <c r="W1518" t="s">
        <v>4468</v>
      </c>
      <c r="X1518">
        <v>470</v>
      </c>
      <c r="Y1518" t="s">
        <v>1317</v>
      </c>
      <c r="Z1518" t="s">
        <v>892</v>
      </c>
      <c r="AA1518" t="s">
        <v>387</v>
      </c>
      <c r="AB1518">
        <v>0</v>
      </c>
      <c r="AC1518">
        <v>27</v>
      </c>
      <c r="AD1518" t="s">
        <v>4792</v>
      </c>
      <c r="AE1518">
        <v>3</v>
      </c>
      <c r="AF1518" t="s">
        <v>1235</v>
      </c>
      <c r="AG1518" t="s">
        <v>1931</v>
      </c>
      <c r="AH1518" t="s">
        <v>5680</v>
      </c>
    </row>
    <row r="1519" spans="1:34" x14ac:dyDescent="0.25">
      <c r="A1519">
        <v>1</v>
      </c>
      <c r="C1519" s="185"/>
      <c r="E1519" t="s">
        <v>386</v>
      </c>
      <c r="F1519" t="s">
        <v>5689</v>
      </c>
      <c r="G1519" t="s">
        <v>1197</v>
      </c>
      <c r="H1519" t="s">
        <v>5690</v>
      </c>
      <c r="I1519">
        <v>14312</v>
      </c>
      <c r="J1519" t="s">
        <v>5689</v>
      </c>
      <c r="K1519" t="s">
        <v>5689</v>
      </c>
      <c r="L1519" t="s">
        <v>386</v>
      </c>
      <c r="M1519" t="s">
        <v>1193</v>
      </c>
      <c r="N1519">
        <v>14312</v>
      </c>
      <c r="O1519">
        <v>0</v>
      </c>
      <c r="Q1519" t="s">
        <v>5691</v>
      </c>
      <c r="R1519" t="s">
        <v>1208</v>
      </c>
      <c r="T1519">
        <v>259</v>
      </c>
      <c r="V1519" t="s">
        <v>1215</v>
      </c>
      <c r="W1519" t="s">
        <v>1257</v>
      </c>
      <c r="X1519">
        <v>426</v>
      </c>
      <c r="Z1519" t="s">
        <v>865</v>
      </c>
      <c r="AA1519" t="s">
        <v>387</v>
      </c>
      <c r="AB1519">
        <v>0</v>
      </c>
      <c r="AC1519">
        <v>773</v>
      </c>
      <c r="AD1519" t="s">
        <v>5039</v>
      </c>
      <c r="AE1519">
        <v>14</v>
      </c>
      <c r="AF1519" t="s">
        <v>2615</v>
      </c>
      <c r="AG1519" t="s">
        <v>5692</v>
      </c>
      <c r="AH1519" t="s">
        <v>3560</v>
      </c>
    </row>
    <row r="1520" spans="1:34" x14ac:dyDescent="0.25">
      <c r="A1520">
        <v>1</v>
      </c>
      <c r="B1520" t="s">
        <v>1313</v>
      </c>
      <c r="C1520" s="185"/>
      <c r="E1520" t="s">
        <v>386</v>
      </c>
      <c r="F1520" t="s">
        <v>5693</v>
      </c>
      <c r="G1520" t="s">
        <v>4184</v>
      </c>
      <c r="H1520" t="s">
        <v>5694</v>
      </c>
      <c r="I1520">
        <v>254</v>
      </c>
      <c r="J1520" t="s">
        <v>5693</v>
      </c>
      <c r="K1520" t="s">
        <v>5695</v>
      </c>
      <c r="L1520" t="s">
        <v>386</v>
      </c>
      <c r="M1520" t="s">
        <v>1193</v>
      </c>
      <c r="N1520">
        <v>254</v>
      </c>
      <c r="O1520">
        <v>0</v>
      </c>
      <c r="Q1520" t="s">
        <v>5696</v>
      </c>
      <c r="S1520" t="s">
        <v>1909</v>
      </c>
      <c r="T1520">
        <v>260</v>
      </c>
      <c r="U1520">
        <v>0</v>
      </c>
      <c r="V1520" t="s">
        <v>1216</v>
      </c>
      <c r="W1520" t="s">
        <v>1216</v>
      </c>
      <c r="X1520">
        <v>260</v>
      </c>
      <c r="Y1520" t="s">
        <v>1317</v>
      </c>
      <c r="Z1520" t="s">
        <v>865</v>
      </c>
      <c r="AA1520" t="s">
        <v>387</v>
      </c>
      <c r="AB1520">
        <v>0</v>
      </c>
      <c r="AC1520">
        <v>5841</v>
      </c>
      <c r="AD1520" t="s">
        <v>5697</v>
      </c>
      <c r="AE1520">
        <v>409</v>
      </c>
      <c r="AF1520" t="s">
        <v>3131</v>
      </c>
      <c r="AG1520" t="s">
        <v>3132</v>
      </c>
      <c r="AH1520" t="s">
        <v>5698</v>
      </c>
    </row>
    <row r="1521" spans="1:34" x14ac:dyDescent="0.25">
      <c r="A1521">
        <v>1553</v>
      </c>
      <c r="C1521" s="185"/>
      <c r="E1521" t="s">
        <v>386</v>
      </c>
      <c r="F1521" t="s">
        <v>5699</v>
      </c>
      <c r="G1521" t="s">
        <v>1238</v>
      </c>
      <c r="H1521" t="s">
        <v>1239</v>
      </c>
      <c r="I1521">
        <v>14602</v>
      </c>
      <c r="J1521" t="s">
        <v>5699</v>
      </c>
      <c r="K1521" t="s">
        <v>5700</v>
      </c>
      <c r="L1521" t="s">
        <v>386</v>
      </c>
      <c r="M1521" t="s">
        <v>1184</v>
      </c>
      <c r="N1521">
        <v>14602</v>
      </c>
      <c r="O1521">
        <v>59</v>
      </c>
      <c r="Q1521" t="s">
        <v>5701</v>
      </c>
      <c r="R1521" t="s">
        <v>398</v>
      </c>
      <c r="T1521">
        <v>260</v>
      </c>
      <c r="V1521" t="s">
        <v>1216</v>
      </c>
      <c r="W1521" t="s">
        <v>1215</v>
      </c>
      <c r="X1521">
        <v>259</v>
      </c>
      <c r="Z1521" t="s">
        <v>968</v>
      </c>
      <c r="AA1521" t="s">
        <v>387</v>
      </c>
      <c r="AB1521">
        <v>51000</v>
      </c>
      <c r="AC1521">
        <v>5550</v>
      </c>
      <c r="AD1521" t="s">
        <v>5702</v>
      </c>
      <c r="AE1521">
        <v>18</v>
      </c>
      <c r="AF1521" t="s">
        <v>1259</v>
      </c>
      <c r="AG1521" t="s">
        <v>1244</v>
      </c>
      <c r="AH1521" t="s">
        <v>5572</v>
      </c>
    </row>
    <row r="1522" spans="1:34" x14ac:dyDescent="0.25">
      <c r="A1522">
        <v>1815</v>
      </c>
      <c r="C1522" s="185"/>
      <c r="D1522" t="s">
        <v>157</v>
      </c>
      <c r="E1522" t="s">
        <v>386</v>
      </c>
      <c r="F1522" t="s">
        <v>5703</v>
      </c>
      <c r="G1522" t="s">
        <v>1192</v>
      </c>
      <c r="H1522" t="s">
        <v>4951</v>
      </c>
      <c r="I1522">
        <v>8324</v>
      </c>
      <c r="J1522" t="s">
        <v>5703</v>
      </c>
      <c r="K1522" t="s">
        <v>5703</v>
      </c>
      <c r="L1522" t="s">
        <v>386</v>
      </c>
      <c r="M1522" t="s">
        <v>1184</v>
      </c>
      <c r="N1522">
        <v>8324</v>
      </c>
      <c r="O1522">
        <v>0</v>
      </c>
      <c r="Q1522" t="s">
        <v>5704</v>
      </c>
      <c r="R1522" t="s">
        <v>398</v>
      </c>
      <c r="T1522">
        <v>44</v>
      </c>
      <c r="V1522" t="s">
        <v>2458</v>
      </c>
      <c r="Z1522" t="s">
        <v>4953</v>
      </c>
      <c r="AA1522" t="s">
        <v>387</v>
      </c>
      <c r="AB1522">
        <v>0</v>
      </c>
      <c r="AC1522">
        <v>3337</v>
      </c>
      <c r="AD1522" t="s">
        <v>5705</v>
      </c>
      <c r="AE1522">
        <v>18</v>
      </c>
      <c r="AF1522" t="s">
        <v>1259</v>
      </c>
      <c r="AG1522" t="s">
        <v>1244</v>
      </c>
    </row>
    <row r="1523" spans="1:34" x14ac:dyDescent="0.25">
      <c r="A1523">
        <v>1256</v>
      </c>
      <c r="C1523" s="185"/>
      <c r="E1523" t="s">
        <v>386</v>
      </c>
      <c r="F1523" t="s">
        <v>5706</v>
      </c>
      <c r="G1523" t="s">
        <v>1238</v>
      </c>
      <c r="H1523" t="s">
        <v>4645</v>
      </c>
      <c r="I1523">
        <v>12656</v>
      </c>
      <c r="J1523" t="s">
        <v>5706</v>
      </c>
      <c r="K1523" t="s">
        <v>5707</v>
      </c>
      <c r="L1523" t="s">
        <v>386</v>
      </c>
      <c r="M1523" t="s">
        <v>1184</v>
      </c>
      <c r="N1523">
        <v>12656</v>
      </c>
      <c r="O1523">
        <v>0</v>
      </c>
      <c r="Q1523" t="s">
        <v>5708</v>
      </c>
      <c r="R1523" t="s">
        <v>398</v>
      </c>
      <c r="T1523">
        <v>200</v>
      </c>
      <c r="V1523" t="s">
        <v>1199</v>
      </c>
      <c r="Z1523" t="s">
        <v>4648</v>
      </c>
      <c r="AA1523" t="s">
        <v>387</v>
      </c>
      <c r="AB1523">
        <v>0</v>
      </c>
      <c r="AC1523">
        <v>3902</v>
      </c>
      <c r="AD1523" t="s">
        <v>5709</v>
      </c>
      <c r="AE1523">
        <v>1800</v>
      </c>
      <c r="AF1523" t="s">
        <v>5710</v>
      </c>
      <c r="AG1523" t="s">
        <v>1244</v>
      </c>
    </row>
    <row r="1524" spans="1:34" x14ac:dyDescent="0.25">
      <c r="A1524">
        <v>1256</v>
      </c>
      <c r="C1524" s="185"/>
      <c r="D1524" t="s">
        <v>157</v>
      </c>
      <c r="E1524" t="s">
        <v>386</v>
      </c>
      <c r="F1524" t="s">
        <v>170</v>
      </c>
      <c r="G1524" t="s">
        <v>1197</v>
      </c>
      <c r="H1524" t="s">
        <v>4645</v>
      </c>
      <c r="I1524">
        <v>9298</v>
      </c>
      <c r="J1524" t="s">
        <v>170</v>
      </c>
      <c r="K1524" t="s">
        <v>5711</v>
      </c>
      <c r="L1524" t="s">
        <v>386</v>
      </c>
      <c r="M1524" t="s">
        <v>1193</v>
      </c>
      <c r="N1524">
        <v>9298</v>
      </c>
      <c r="O1524">
        <v>25</v>
      </c>
      <c r="Q1524" t="s">
        <v>5712</v>
      </c>
      <c r="R1524" t="s">
        <v>398</v>
      </c>
      <c r="T1524">
        <v>272</v>
      </c>
      <c r="V1524" t="s">
        <v>2107</v>
      </c>
      <c r="W1524" t="s">
        <v>2107</v>
      </c>
      <c r="X1524">
        <v>272</v>
      </c>
      <c r="Z1524" t="s">
        <v>4648</v>
      </c>
      <c r="AA1524" t="s">
        <v>387</v>
      </c>
      <c r="AB1524">
        <v>19000</v>
      </c>
      <c r="AC1524">
        <v>3335</v>
      </c>
      <c r="AD1524" t="s">
        <v>5713</v>
      </c>
      <c r="AE1524">
        <v>1</v>
      </c>
      <c r="AF1524" t="s">
        <v>1922</v>
      </c>
      <c r="AG1524" t="s">
        <v>5714</v>
      </c>
      <c r="AH1524" t="s">
        <v>5715</v>
      </c>
    </row>
    <row r="1525" spans="1:34" x14ac:dyDescent="0.25">
      <c r="A1525">
        <v>1</v>
      </c>
      <c r="C1525" s="185"/>
      <c r="E1525" t="s">
        <v>386</v>
      </c>
      <c r="F1525" t="s">
        <v>5716</v>
      </c>
      <c r="G1525" t="s">
        <v>1197</v>
      </c>
      <c r="H1525" t="s">
        <v>5717</v>
      </c>
      <c r="I1525">
        <v>5586</v>
      </c>
      <c r="J1525" t="s">
        <v>5716</v>
      </c>
      <c r="K1525" t="s">
        <v>5716</v>
      </c>
      <c r="L1525" t="s">
        <v>386</v>
      </c>
      <c r="M1525" t="s">
        <v>1193</v>
      </c>
      <c r="N1525">
        <v>5586</v>
      </c>
      <c r="O1525">
        <v>0</v>
      </c>
      <c r="Q1525" t="s">
        <v>5718</v>
      </c>
      <c r="T1525">
        <v>39</v>
      </c>
      <c r="V1525" t="s">
        <v>2144</v>
      </c>
      <c r="Z1525" t="s">
        <v>865</v>
      </c>
      <c r="AA1525" t="s">
        <v>387</v>
      </c>
      <c r="AB1525">
        <v>0</v>
      </c>
      <c r="AC1525">
        <v>2190</v>
      </c>
      <c r="AD1525" t="s">
        <v>5719</v>
      </c>
      <c r="AE1525">
        <v>652</v>
      </c>
      <c r="AF1525" t="s">
        <v>2859</v>
      </c>
      <c r="AG1525" t="s">
        <v>3369</v>
      </c>
    </row>
    <row r="1526" spans="1:34" x14ac:dyDescent="0.25">
      <c r="A1526">
        <v>153</v>
      </c>
      <c r="B1526" t="s">
        <v>1313</v>
      </c>
      <c r="C1526" s="185"/>
      <c r="D1526" t="s">
        <v>24</v>
      </c>
      <c r="E1526" t="s">
        <v>386</v>
      </c>
      <c r="F1526" t="s">
        <v>44</v>
      </c>
      <c r="G1526" t="s">
        <v>1197</v>
      </c>
      <c r="H1526" t="s">
        <v>5720</v>
      </c>
      <c r="I1526">
        <v>707</v>
      </c>
      <c r="J1526" t="s">
        <v>44</v>
      </c>
      <c r="K1526" t="s">
        <v>5721</v>
      </c>
      <c r="L1526" t="s">
        <v>386</v>
      </c>
      <c r="M1526" t="s">
        <v>1193</v>
      </c>
      <c r="N1526">
        <v>707</v>
      </c>
      <c r="O1526">
        <v>76</v>
      </c>
      <c r="Q1526" t="s">
        <v>5722</v>
      </c>
      <c r="R1526" t="s">
        <v>398</v>
      </c>
      <c r="S1526" t="s">
        <v>1909</v>
      </c>
      <c r="T1526">
        <v>220</v>
      </c>
      <c r="U1526">
        <v>0</v>
      </c>
      <c r="V1526" t="s">
        <v>1194</v>
      </c>
      <c r="W1526" t="s">
        <v>1199</v>
      </c>
      <c r="X1526">
        <v>200</v>
      </c>
      <c r="Y1526" t="s">
        <v>1317</v>
      </c>
      <c r="Z1526" t="s">
        <v>969</v>
      </c>
      <c r="AA1526" t="s">
        <v>387</v>
      </c>
      <c r="AB1526">
        <v>0</v>
      </c>
      <c r="AC1526">
        <v>640</v>
      </c>
      <c r="AD1526" t="s">
        <v>5723</v>
      </c>
      <c r="AE1526">
        <v>3</v>
      </c>
      <c r="AF1526" t="s">
        <v>1235</v>
      </c>
      <c r="AG1526" t="s">
        <v>2080</v>
      </c>
      <c r="AH1526" t="s">
        <v>5724</v>
      </c>
    </row>
    <row r="1527" spans="1:34" x14ac:dyDescent="0.25">
      <c r="A1527">
        <v>2049</v>
      </c>
      <c r="C1527" s="185"/>
      <c r="D1527" t="s">
        <v>157</v>
      </c>
      <c r="E1527" t="s">
        <v>386</v>
      </c>
      <c r="F1527" t="s">
        <v>194</v>
      </c>
      <c r="G1527" t="s">
        <v>1238</v>
      </c>
      <c r="H1527" t="s">
        <v>5725</v>
      </c>
      <c r="I1527">
        <v>13355</v>
      </c>
      <c r="J1527" t="s">
        <v>194</v>
      </c>
      <c r="K1527" t="s">
        <v>5726</v>
      </c>
      <c r="L1527" t="s">
        <v>386</v>
      </c>
      <c r="M1527" t="s">
        <v>1184</v>
      </c>
      <c r="N1527">
        <v>13355</v>
      </c>
      <c r="O1527">
        <v>59</v>
      </c>
      <c r="Q1527" t="s">
        <v>5727</v>
      </c>
      <c r="R1527" t="s">
        <v>398</v>
      </c>
      <c r="T1527">
        <v>260</v>
      </c>
      <c r="V1527" t="s">
        <v>1216</v>
      </c>
      <c r="W1527" t="s">
        <v>1200</v>
      </c>
      <c r="X1527">
        <v>340</v>
      </c>
      <c r="Z1527" t="s">
        <v>995</v>
      </c>
      <c r="AA1527" t="s">
        <v>387</v>
      </c>
      <c r="AB1527">
        <v>51000</v>
      </c>
      <c r="AC1527">
        <v>5006</v>
      </c>
      <c r="AD1527" t="s">
        <v>194</v>
      </c>
      <c r="AE1527">
        <v>18</v>
      </c>
      <c r="AF1527" t="s">
        <v>1259</v>
      </c>
      <c r="AG1527" t="s">
        <v>1244</v>
      </c>
    </row>
    <row r="1528" spans="1:34" x14ac:dyDescent="0.25">
      <c r="A1528">
        <v>1</v>
      </c>
      <c r="C1528" s="185"/>
      <c r="E1528" t="s">
        <v>386</v>
      </c>
      <c r="F1528" t="s">
        <v>5728</v>
      </c>
      <c r="G1528" t="s">
        <v>1197</v>
      </c>
      <c r="H1528" t="s">
        <v>5729</v>
      </c>
      <c r="I1528">
        <v>5721</v>
      </c>
      <c r="J1528" t="s">
        <v>5728</v>
      </c>
      <c r="K1528" t="s">
        <v>5728</v>
      </c>
      <c r="L1528" t="s">
        <v>386</v>
      </c>
      <c r="M1528" t="s">
        <v>1193</v>
      </c>
      <c r="N1528">
        <v>5721</v>
      </c>
      <c r="O1528">
        <v>0</v>
      </c>
      <c r="Q1528" t="s">
        <v>5730</v>
      </c>
      <c r="T1528">
        <v>39</v>
      </c>
      <c r="V1528" t="s">
        <v>2144</v>
      </c>
      <c r="Z1528" t="s">
        <v>865</v>
      </c>
      <c r="AA1528" t="s">
        <v>387</v>
      </c>
      <c r="AB1528">
        <v>0</v>
      </c>
      <c r="AC1528">
        <v>2693</v>
      </c>
      <c r="AD1528" t="s">
        <v>5731</v>
      </c>
      <c r="AE1528">
        <v>150</v>
      </c>
      <c r="AF1528" t="s">
        <v>2587</v>
      </c>
      <c r="AG1528" t="s">
        <v>5732</v>
      </c>
      <c r="AH1528" t="s">
        <v>5733</v>
      </c>
    </row>
    <row r="1529" spans="1:34" x14ac:dyDescent="0.25">
      <c r="A1529">
        <v>1854</v>
      </c>
      <c r="C1529" s="185"/>
      <c r="D1529" t="s">
        <v>157</v>
      </c>
      <c r="E1529" t="s">
        <v>386</v>
      </c>
      <c r="F1529" t="s">
        <v>5734</v>
      </c>
      <c r="G1529" t="s">
        <v>1192</v>
      </c>
      <c r="H1529" t="s">
        <v>5735</v>
      </c>
      <c r="I1529">
        <v>11483</v>
      </c>
      <c r="J1529" t="s">
        <v>5734</v>
      </c>
      <c r="K1529" t="s">
        <v>5736</v>
      </c>
      <c r="L1529" t="s">
        <v>386</v>
      </c>
      <c r="M1529" t="s">
        <v>1184</v>
      </c>
      <c r="N1529">
        <v>11483</v>
      </c>
      <c r="O1529">
        <v>46</v>
      </c>
      <c r="Q1529" t="s">
        <v>5737</v>
      </c>
      <c r="R1529" t="s">
        <v>398</v>
      </c>
      <c r="T1529">
        <v>388</v>
      </c>
      <c r="V1529" t="s">
        <v>1712</v>
      </c>
      <c r="W1529" t="s">
        <v>1216</v>
      </c>
      <c r="X1529">
        <v>260</v>
      </c>
      <c r="Z1529" t="s">
        <v>5738</v>
      </c>
      <c r="AA1529" t="s">
        <v>387</v>
      </c>
      <c r="AB1529">
        <v>0</v>
      </c>
      <c r="AC1529">
        <v>474</v>
      </c>
      <c r="AD1529" t="s">
        <v>5739</v>
      </c>
      <c r="AE1529">
        <v>18</v>
      </c>
      <c r="AF1529" t="s">
        <v>1259</v>
      </c>
      <c r="AG1529" t="s">
        <v>1244</v>
      </c>
      <c r="AH1529" t="s">
        <v>5740</v>
      </c>
    </row>
    <row r="1530" spans="1:34" x14ac:dyDescent="0.25">
      <c r="A1530">
        <v>1</v>
      </c>
      <c r="C1530" s="185"/>
      <c r="E1530" t="s">
        <v>386</v>
      </c>
      <c r="F1530" t="s">
        <v>5741</v>
      </c>
      <c r="G1530" t="s">
        <v>1197</v>
      </c>
      <c r="H1530" t="s">
        <v>5742</v>
      </c>
      <c r="I1530">
        <v>374</v>
      </c>
      <c r="J1530" t="s">
        <v>5741</v>
      </c>
      <c r="K1530" t="s">
        <v>5741</v>
      </c>
      <c r="L1530" t="s">
        <v>386</v>
      </c>
      <c r="M1530" t="s">
        <v>1193</v>
      </c>
      <c r="N1530">
        <v>374</v>
      </c>
      <c r="O1530">
        <v>0</v>
      </c>
      <c r="Q1530" t="s">
        <v>5743</v>
      </c>
      <c r="T1530">
        <v>571</v>
      </c>
      <c r="V1530" t="s">
        <v>2003</v>
      </c>
      <c r="W1530" t="s">
        <v>1199</v>
      </c>
      <c r="X1530">
        <v>200</v>
      </c>
      <c r="Z1530" t="s">
        <v>865</v>
      </c>
      <c r="AA1530" t="s">
        <v>387</v>
      </c>
      <c r="AB1530">
        <v>0</v>
      </c>
      <c r="AC1530">
        <v>10</v>
      </c>
      <c r="AD1530" t="s">
        <v>4708</v>
      </c>
      <c r="AE1530">
        <v>11</v>
      </c>
      <c r="AF1530" t="s">
        <v>5744</v>
      </c>
      <c r="AG1530" t="s">
        <v>4709</v>
      </c>
    </row>
    <row r="1531" spans="1:34" x14ac:dyDescent="0.25">
      <c r="A1531">
        <v>1</v>
      </c>
      <c r="B1531" t="s">
        <v>1313</v>
      </c>
      <c r="C1531" s="185"/>
      <c r="E1531" t="s">
        <v>386</v>
      </c>
      <c r="F1531" t="s">
        <v>271</v>
      </c>
      <c r="G1531" t="s">
        <v>1197</v>
      </c>
      <c r="H1531" t="s">
        <v>5660</v>
      </c>
      <c r="I1531">
        <v>358</v>
      </c>
      <c r="J1531" t="s">
        <v>271</v>
      </c>
      <c r="K1531" t="s">
        <v>271</v>
      </c>
      <c r="L1531" t="s">
        <v>386</v>
      </c>
      <c r="M1531" t="s">
        <v>1193</v>
      </c>
      <c r="N1531">
        <v>358</v>
      </c>
      <c r="O1531">
        <v>0</v>
      </c>
      <c r="Q1531" t="s">
        <v>5745</v>
      </c>
      <c r="S1531" t="s">
        <v>1315</v>
      </c>
      <c r="T1531">
        <v>260</v>
      </c>
      <c r="U1531">
        <v>0</v>
      </c>
      <c r="V1531" t="s">
        <v>1216</v>
      </c>
      <c r="W1531" t="s">
        <v>1200</v>
      </c>
      <c r="X1531">
        <v>340</v>
      </c>
      <c r="Y1531" t="s">
        <v>1317</v>
      </c>
      <c r="Z1531" t="s">
        <v>865</v>
      </c>
      <c r="AA1531" t="s">
        <v>387</v>
      </c>
      <c r="AB1531">
        <v>0</v>
      </c>
      <c r="AC1531">
        <v>396</v>
      </c>
      <c r="AD1531" t="s">
        <v>5663</v>
      </c>
      <c r="AE1531">
        <v>78</v>
      </c>
      <c r="AF1531" t="s">
        <v>3061</v>
      </c>
      <c r="AG1531" t="s">
        <v>2499</v>
      </c>
      <c r="AH1531" t="s">
        <v>5664</v>
      </c>
    </row>
    <row r="1532" spans="1:34" x14ac:dyDescent="0.25">
      <c r="A1532">
        <v>1292</v>
      </c>
      <c r="C1532" s="185"/>
      <c r="D1532" t="s">
        <v>24</v>
      </c>
      <c r="E1532" t="s">
        <v>386</v>
      </c>
      <c r="F1532" t="s">
        <v>5746</v>
      </c>
      <c r="G1532" t="s">
        <v>1197</v>
      </c>
      <c r="H1532" t="s">
        <v>5747</v>
      </c>
      <c r="I1532">
        <v>1414</v>
      </c>
      <c r="J1532" t="s">
        <v>5746</v>
      </c>
      <c r="K1532" t="s">
        <v>5748</v>
      </c>
      <c r="L1532" t="s">
        <v>386</v>
      </c>
      <c r="M1532" t="s">
        <v>1193</v>
      </c>
      <c r="N1532">
        <v>1414</v>
      </c>
      <c r="O1532">
        <v>10</v>
      </c>
      <c r="Q1532" t="s">
        <v>5749</v>
      </c>
      <c r="R1532" t="s">
        <v>398</v>
      </c>
      <c r="T1532">
        <v>0</v>
      </c>
      <c r="V1532" t="s">
        <v>1186</v>
      </c>
      <c r="Z1532" t="s">
        <v>5750</v>
      </c>
      <c r="AA1532" t="s">
        <v>387</v>
      </c>
      <c r="AB1532">
        <v>6000</v>
      </c>
      <c r="AC1532">
        <v>1086</v>
      </c>
      <c r="AD1532" t="s">
        <v>5751</v>
      </c>
      <c r="AE1532">
        <v>1</v>
      </c>
      <c r="AF1532" t="s">
        <v>1922</v>
      </c>
      <c r="AG1532" t="s">
        <v>3084</v>
      </c>
      <c r="AH1532" t="s">
        <v>5752</v>
      </c>
    </row>
    <row r="1533" spans="1:34" x14ac:dyDescent="0.25">
      <c r="A1533">
        <v>1232</v>
      </c>
      <c r="C1533" s="185"/>
      <c r="E1533" t="s">
        <v>386</v>
      </c>
      <c r="F1533" t="s">
        <v>5753</v>
      </c>
      <c r="G1533" t="s">
        <v>1192</v>
      </c>
      <c r="H1533" t="s">
        <v>5342</v>
      </c>
      <c r="I1533">
        <v>9234</v>
      </c>
      <c r="J1533" t="s">
        <v>5753</v>
      </c>
      <c r="K1533" t="s">
        <v>5753</v>
      </c>
      <c r="L1533" t="s">
        <v>386</v>
      </c>
      <c r="M1533" t="s">
        <v>1184</v>
      </c>
      <c r="N1533">
        <v>9234</v>
      </c>
      <c r="O1533">
        <v>0</v>
      </c>
      <c r="Q1533" t="s">
        <v>5754</v>
      </c>
      <c r="R1533" t="s">
        <v>398</v>
      </c>
      <c r="T1533">
        <v>388</v>
      </c>
      <c r="V1533" t="s">
        <v>1712</v>
      </c>
      <c r="W1533" t="s">
        <v>1199</v>
      </c>
      <c r="X1533">
        <v>200</v>
      </c>
      <c r="Z1533" t="s">
        <v>5344</v>
      </c>
      <c r="AA1533" t="s">
        <v>387</v>
      </c>
      <c r="AB1533">
        <v>0</v>
      </c>
      <c r="AC1533">
        <v>3676</v>
      </c>
      <c r="AD1533" t="s">
        <v>5755</v>
      </c>
      <c r="AE1533">
        <v>18</v>
      </c>
      <c r="AF1533" t="s">
        <v>1259</v>
      </c>
      <c r="AG1533" t="s">
        <v>1244</v>
      </c>
    </row>
    <row r="1534" spans="1:34" x14ac:dyDescent="0.25">
      <c r="A1534">
        <v>1</v>
      </c>
      <c r="C1534" s="185"/>
      <c r="E1534" t="s">
        <v>386</v>
      </c>
      <c r="F1534" t="s">
        <v>5756</v>
      </c>
      <c r="G1534" t="s">
        <v>1197</v>
      </c>
      <c r="H1534" t="s">
        <v>5757</v>
      </c>
      <c r="I1534">
        <v>5573</v>
      </c>
      <c r="J1534" t="s">
        <v>5756</v>
      </c>
      <c r="K1534" t="s">
        <v>5758</v>
      </c>
      <c r="L1534" t="s">
        <v>386</v>
      </c>
      <c r="M1534" t="s">
        <v>1193</v>
      </c>
      <c r="N1534">
        <v>5573</v>
      </c>
      <c r="O1534">
        <v>0</v>
      </c>
      <c r="Q1534" t="s">
        <v>5759</v>
      </c>
      <c r="T1534">
        <v>571</v>
      </c>
      <c r="V1534" t="s">
        <v>2003</v>
      </c>
      <c r="W1534" t="s">
        <v>1200</v>
      </c>
      <c r="X1534">
        <v>340</v>
      </c>
      <c r="Z1534" t="s">
        <v>865</v>
      </c>
      <c r="AA1534" t="s">
        <v>387</v>
      </c>
      <c r="AB1534">
        <v>0</v>
      </c>
      <c r="AC1534">
        <v>210</v>
      </c>
      <c r="AD1534" t="s">
        <v>2615</v>
      </c>
      <c r="AE1534">
        <v>1812</v>
      </c>
      <c r="AF1534" t="s">
        <v>3984</v>
      </c>
      <c r="AG1534" t="s">
        <v>5760</v>
      </c>
      <c r="AH1534" t="s">
        <v>5761</v>
      </c>
    </row>
    <row r="1535" spans="1:34" x14ac:dyDescent="0.25">
      <c r="A1535">
        <v>1854</v>
      </c>
      <c r="C1535" s="185"/>
      <c r="D1535" t="s">
        <v>157</v>
      </c>
      <c r="E1535" t="s">
        <v>386</v>
      </c>
      <c r="F1535" t="s">
        <v>5762</v>
      </c>
      <c r="G1535" t="s">
        <v>1238</v>
      </c>
      <c r="H1535" t="s">
        <v>5735</v>
      </c>
      <c r="I1535">
        <v>9300</v>
      </c>
      <c r="J1535" t="s">
        <v>5762</v>
      </c>
      <c r="K1535" t="s">
        <v>5762</v>
      </c>
      <c r="L1535" t="s">
        <v>386</v>
      </c>
      <c r="M1535" t="s">
        <v>1184</v>
      </c>
      <c r="N1535">
        <v>9300</v>
      </c>
      <c r="O1535">
        <v>0</v>
      </c>
      <c r="Q1535" t="s">
        <v>5763</v>
      </c>
      <c r="R1535" t="s">
        <v>398</v>
      </c>
      <c r="T1535">
        <v>388</v>
      </c>
      <c r="V1535" t="s">
        <v>1712</v>
      </c>
      <c r="W1535" t="s">
        <v>1915</v>
      </c>
      <c r="X1535">
        <v>185</v>
      </c>
      <c r="Z1535" t="s">
        <v>5738</v>
      </c>
      <c r="AA1535" t="s">
        <v>387</v>
      </c>
      <c r="AB1535">
        <v>0</v>
      </c>
      <c r="AC1535">
        <v>836</v>
      </c>
      <c r="AD1535" t="s">
        <v>5764</v>
      </c>
      <c r="AE1535">
        <v>18</v>
      </c>
      <c r="AF1535" t="s">
        <v>1259</v>
      </c>
      <c r="AG1535" t="s">
        <v>1244</v>
      </c>
    </row>
    <row r="1536" spans="1:34" x14ac:dyDescent="0.25">
      <c r="A1536">
        <v>1</v>
      </c>
      <c r="C1536" s="185"/>
      <c r="E1536" t="s">
        <v>386</v>
      </c>
      <c r="F1536" t="s">
        <v>5765</v>
      </c>
      <c r="G1536" t="s">
        <v>1197</v>
      </c>
      <c r="H1536" t="s">
        <v>5766</v>
      </c>
      <c r="I1536">
        <v>2278</v>
      </c>
      <c r="J1536" t="s">
        <v>5765</v>
      </c>
      <c r="K1536" t="s">
        <v>5767</v>
      </c>
      <c r="L1536" t="s">
        <v>386</v>
      </c>
      <c r="M1536" t="s">
        <v>1193</v>
      </c>
      <c r="N1536">
        <v>2278</v>
      </c>
      <c r="O1536">
        <v>0</v>
      </c>
      <c r="Q1536" t="s">
        <v>5768</v>
      </c>
      <c r="T1536">
        <v>52</v>
      </c>
      <c r="V1536" t="s">
        <v>2024</v>
      </c>
      <c r="Z1536" t="s">
        <v>865</v>
      </c>
      <c r="AA1536" t="s">
        <v>387</v>
      </c>
      <c r="AB1536">
        <v>0</v>
      </c>
      <c r="AC1536">
        <v>1678</v>
      </c>
      <c r="AD1536" t="s">
        <v>5769</v>
      </c>
      <c r="AE1536">
        <v>53</v>
      </c>
      <c r="AF1536" t="s">
        <v>2455</v>
      </c>
      <c r="AG1536" t="s">
        <v>1244</v>
      </c>
    </row>
    <row r="1537" spans="1:34" x14ac:dyDescent="0.25">
      <c r="A1537">
        <v>6</v>
      </c>
      <c r="C1537" s="185"/>
      <c r="E1537" t="s">
        <v>386</v>
      </c>
      <c r="F1537" t="s">
        <v>5770</v>
      </c>
      <c r="G1537" t="s">
        <v>1197</v>
      </c>
      <c r="H1537" t="s">
        <v>5771</v>
      </c>
      <c r="I1537">
        <v>2960</v>
      </c>
      <c r="J1537" t="s">
        <v>5770</v>
      </c>
      <c r="K1537" t="s">
        <v>5770</v>
      </c>
      <c r="L1537" t="s">
        <v>386</v>
      </c>
      <c r="M1537" t="s">
        <v>1193</v>
      </c>
      <c r="N1537">
        <v>2960</v>
      </c>
      <c r="O1537">
        <v>0</v>
      </c>
      <c r="Q1537" t="s">
        <v>5772</v>
      </c>
      <c r="T1537">
        <v>52</v>
      </c>
      <c r="V1537" t="s">
        <v>2024</v>
      </c>
      <c r="Z1537" t="s">
        <v>892</v>
      </c>
      <c r="AA1537" t="s">
        <v>387</v>
      </c>
      <c r="AB1537">
        <v>0</v>
      </c>
      <c r="AC1537">
        <v>1987</v>
      </c>
      <c r="AD1537" t="s">
        <v>5773</v>
      </c>
      <c r="AE1537">
        <v>957</v>
      </c>
      <c r="AF1537" t="s">
        <v>5774</v>
      </c>
      <c r="AG1537" t="s">
        <v>3861</v>
      </c>
      <c r="AH1537" t="s">
        <v>5775</v>
      </c>
    </row>
    <row r="1538" spans="1:34" x14ac:dyDescent="0.25">
      <c r="A1538">
        <v>1</v>
      </c>
      <c r="C1538" s="185"/>
      <c r="E1538" t="s">
        <v>386</v>
      </c>
      <c r="F1538" t="s">
        <v>5776</v>
      </c>
      <c r="G1538" t="s">
        <v>1197</v>
      </c>
      <c r="H1538" t="s">
        <v>5777</v>
      </c>
      <c r="I1538">
        <v>2380</v>
      </c>
      <c r="J1538" t="s">
        <v>5776</v>
      </c>
      <c r="K1538" t="s">
        <v>5776</v>
      </c>
      <c r="L1538" t="s">
        <v>386</v>
      </c>
      <c r="M1538" t="s">
        <v>1193</v>
      </c>
      <c r="N1538">
        <v>2380</v>
      </c>
      <c r="O1538">
        <v>0</v>
      </c>
      <c r="Q1538" t="s">
        <v>5778</v>
      </c>
      <c r="T1538">
        <v>571</v>
      </c>
      <c r="V1538" t="s">
        <v>2003</v>
      </c>
      <c r="W1538" t="s">
        <v>1199</v>
      </c>
      <c r="X1538">
        <v>200</v>
      </c>
      <c r="Z1538" t="s">
        <v>865</v>
      </c>
      <c r="AA1538" t="s">
        <v>387</v>
      </c>
      <c r="AB1538">
        <v>0</v>
      </c>
      <c r="AC1538">
        <v>1741</v>
      </c>
      <c r="AD1538" t="s">
        <v>5779</v>
      </c>
      <c r="AE1538">
        <v>652</v>
      </c>
      <c r="AF1538" t="s">
        <v>2859</v>
      </c>
      <c r="AG1538" t="s">
        <v>5780</v>
      </c>
      <c r="AH1538" t="s">
        <v>5781</v>
      </c>
    </row>
    <row r="1539" spans="1:34" x14ac:dyDescent="0.25">
      <c r="A1539">
        <v>71</v>
      </c>
      <c r="C1539" s="185">
        <v>42979</v>
      </c>
      <c r="D1539" t="s">
        <v>157</v>
      </c>
      <c r="E1539" t="s">
        <v>386</v>
      </c>
      <c r="F1539" t="s">
        <v>5782</v>
      </c>
      <c r="G1539" t="s">
        <v>1192</v>
      </c>
      <c r="H1539" t="s">
        <v>5635</v>
      </c>
      <c r="I1539">
        <v>8666</v>
      </c>
      <c r="J1539" t="s">
        <v>5782</v>
      </c>
      <c r="K1539" t="s">
        <v>5782</v>
      </c>
      <c r="L1539" t="s">
        <v>386</v>
      </c>
      <c r="M1539" t="s">
        <v>1184</v>
      </c>
      <c r="N1539">
        <v>8666</v>
      </c>
      <c r="O1539">
        <v>0</v>
      </c>
      <c r="Q1539" t="s">
        <v>5783</v>
      </c>
      <c r="R1539" t="s">
        <v>398</v>
      </c>
      <c r="T1539">
        <v>388</v>
      </c>
      <c r="V1539" t="s">
        <v>1712</v>
      </c>
      <c r="W1539" t="s">
        <v>1910</v>
      </c>
      <c r="X1539">
        <v>189</v>
      </c>
      <c r="Z1539" t="s">
        <v>5638</v>
      </c>
      <c r="AA1539" t="s">
        <v>387</v>
      </c>
      <c r="AB1539">
        <v>0</v>
      </c>
      <c r="AC1539">
        <v>3372</v>
      </c>
      <c r="AD1539" t="s">
        <v>4979</v>
      </c>
      <c r="AE1539">
        <v>18</v>
      </c>
      <c r="AF1539" t="s">
        <v>1259</v>
      </c>
      <c r="AG1539" t="s">
        <v>4930</v>
      </c>
      <c r="AH1539" t="s">
        <v>5784</v>
      </c>
    </row>
    <row r="1540" spans="1:34" x14ac:dyDescent="0.25">
      <c r="A1540">
        <v>6</v>
      </c>
      <c r="C1540" s="185"/>
      <c r="E1540" t="s">
        <v>386</v>
      </c>
      <c r="F1540" t="s">
        <v>5785</v>
      </c>
      <c r="G1540" t="s">
        <v>1197</v>
      </c>
      <c r="H1540" t="s">
        <v>5786</v>
      </c>
      <c r="I1540">
        <v>17279</v>
      </c>
      <c r="J1540" t="s">
        <v>5785</v>
      </c>
      <c r="K1540" t="s">
        <v>5787</v>
      </c>
      <c r="L1540" t="s">
        <v>386</v>
      </c>
      <c r="M1540" t="s">
        <v>1193</v>
      </c>
      <c r="N1540">
        <v>17279</v>
      </c>
      <c r="O1540">
        <v>0</v>
      </c>
      <c r="Q1540" t="s">
        <v>5788</v>
      </c>
      <c r="R1540" t="s">
        <v>1208</v>
      </c>
      <c r="T1540">
        <v>52</v>
      </c>
      <c r="V1540" t="s">
        <v>2024</v>
      </c>
      <c r="W1540" t="s">
        <v>1530</v>
      </c>
      <c r="X1540">
        <v>103</v>
      </c>
      <c r="Z1540" t="s">
        <v>892</v>
      </c>
      <c r="AA1540" t="s">
        <v>387</v>
      </c>
      <c r="AB1540">
        <v>0</v>
      </c>
      <c r="AC1540">
        <v>5179</v>
      </c>
      <c r="AD1540" t="s">
        <v>5789</v>
      </c>
      <c r="AE1540">
        <v>464</v>
      </c>
      <c r="AF1540" t="s">
        <v>4976</v>
      </c>
      <c r="AG1540" t="s">
        <v>5790</v>
      </c>
      <c r="AH1540" t="s">
        <v>5791</v>
      </c>
    </row>
    <row r="1541" spans="1:34" x14ac:dyDescent="0.25">
      <c r="A1541">
        <v>1</v>
      </c>
      <c r="C1541" s="185"/>
      <c r="E1541" t="s">
        <v>386</v>
      </c>
      <c r="F1541" t="s">
        <v>5792</v>
      </c>
      <c r="G1541" t="s">
        <v>4184</v>
      </c>
      <c r="H1541" t="s">
        <v>5793</v>
      </c>
      <c r="I1541">
        <v>640</v>
      </c>
      <c r="J1541" t="s">
        <v>5792</v>
      </c>
      <c r="K1541" t="s">
        <v>5794</v>
      </c>
      <c r="L1541" t="s">
        <v>386</v>
      </c>
      <c r="M1541" t="s">
        <v>1193</v>
      </c>
      <c r="N1541">
        <v>640</v>
      </c>
      <c r="O1541">
        <v>0</v>
      </c>
      <c r="Q1541" t="s">
        <v>5795</v>
      </c>
      <c r="T1541">
        <v>260</v>
      </c>
      <c r="V1541" t="s">
        <v>1216</v>
      </c>
      <c r="W1541" t="s">
        <v>1215</v>
      </c>
      <c r="X1541">
        <v>259</v>
      </c>
      <c r="Z1541" t="s">
        <v>865</v>
      </c>
      <c r="AA1541" t="s">
        <v>387</v>
      </c>
      <c r="AB1541">
        <v>0</v>
      </c>
      <c r="AC1541">
        <v>547</v>
      </c>
      <c r="AD1541" t="s">
        <v>5796</v>
      </c>
      <c r="AE1541">
        <v>114</v>
      </c>
      <c r="AF1541" t="s">
        <v>1218</v>
      </c>
      <c r="AG1541" t="s">
        <v>5797</v>
      </c>
      <c r="AH1541" t="s">
        <v>5798</v>
      </c>
    </row>
    <row r="1542" spans="1:34" x14ac:dyDescent="0.25">
      <c r="A1542">
        <v>1</v>
      </c>
      <c r="C1542" s="185"/>
      <c r="E1542" t="s">
        <v>386</v>
      </c>
      <c r="F1542" t="s">
        <v>5799</v>
      </c>
      <c r="G1542" t="s">
        <v>1197</v>
      </c>
      <c r="H1542" t="s">
        <v>5800</v>
      </c>
      <c r="I1542">
        <v>17173</v>
      </c>
      <c r="J1542" t="s">
        <v>5799</v>
      </c>
      <c r="K1542" t="s">
        <v>5801</v>
      </c>
      <c r="L1542" t="s">
        <v>386</v>
      </c>
      <c r="M1542" t="s">
        <v>1193</v>
      </c>
      <c r="N1542">
        <v>17173</v>
      </c>
      <c r="O1542">
        <v>0</v>
      </c>
      <c r="Q1542" t="s">
        <v>5802</v>
      </c>
      <c r="T1542">
        <v>260</v>
      </c>
      <c r="V1542" t="s">
        <v>1216</v>
      </c>
      <c r="W1542" t="s">
        <v>5803</v>
      </c>
      <c r="X1542">
        <v>509</v>
      </c>
      <c r="Z1542" t="s">
        <v>865</v>
      </c>
      <c r="AA1542" t="s">
        <v>387</v>
      </c>
      <c r="AB1542">
        <v>0</v>
      </c>
      <c r="AC1542">
        <v>6471</v>
      </c>
      <c r="AD1542" t="s">
        <v>5804</v>
      </c>
      <c r="AE1542">
        <v>53</v>
      </c>
      <c r="AF1542" t="s">
        <v>2455</v>
      </c>
      <c r="AG1542" t="s">
        <v>5805</v>
      </c>
      <c r="AH1542" t="s">
        <v>5806</v>
      </c>
    </row>
    <row r="1543" spans="1:34" x14ac:dyDescent="0.25">
      <c r="A1543">
        <v>1</v>
      </c>
      <c r="C1543" s="185"/>
      <c r="E1543" t="s">
        <v>386</v>
      </c>
      <c r="F1543" t="s">
        <v>5807</v>
      </c>
      <c r="G1543" t="s">
        <v>1197</v>
      </c>
      <c r="H1543" t="s">
        <v>5808</v>
      </c>
      <c r="I1543">
        <v>5052</v>
      </c>
      <c r="J1543" t="s">
        <v>5807</v>
      </c>
      <c r="K1543" t="s">
        <v>5809</v>
      </c>
      <c r="L1543" t="s">
        <v>386</v>
      </c>
      <c r="M1543" t="s">
        <v>1193</v>
      </c>
      <c r="N1543">
        <v>5052</v>
      </c>
      <c r="O1543">
        <v>0</v>
      </c>
      <c r="Q1543" t="s">
        <v>5810</v>
      </c>
      <c r="T1543">
        <v>372</v>
      </c>
      <c r="V1543" t="s">
        <v>2073</v>
      </c>
      <c r="W1543" t="s">
        <v>1199</v>
      </c>
      <c r="X1543">
        <v>200</v>
      </c>
      <c r="Z1543" t="s">
        <v>865</v>
      </c>
      <c r="AA1543" t="s">
        <v>387</v>
      </c>
      <c r="AB1543">
        <v>0</v>
      </c>
      <c r="AC1543">
        <v>4897</v>
      </c>
      <c r="AD1543" t="s">
        <v>5811</v>
      </c>
      <c r="AE1543">
        <v>110</v>
      </c>
      <c r="AF1543" t="s">
        <v>3928</v>
      </c>
      <c r="AG1543" t="s">
        <v>5812</v>
      </c>
      <c r="AH1543" t="s">
        <v>5813</v>
      </c>
    </row>
    <row r="1544" spans="1:34" x14ac:dyDescent="0.25">
      <c r="A1544">
        <v>1</v>
      </c>
      <c r="C1544" s="185"/>
      <c r="E1544" t="s">
        <v>386</v>
      </c>
      <c r="F1544" t="s">
        <v>5814</v>
      </c>
      <c r="G1544" t="s">
        <v>1197</v>
      </c>
      <c r="H1544" t="s">
        <v>5815</v>
      </c>
      <c r="I1544">
        <v>4357</v>
      </c>
      <c r="J1544" t="s">
        <v>5814</v>
      </c>
      <c r="K1544" t="s">
        <v>5816</v>
      </c>
      <c r="L1544" t="s">
        <v>386</v>
      </c>
      <c r="M1544" t="s">
        <v>1193</v>
      </c>
      <c r="N1544">
        <v>4357</v>
      </c>
      <c r="O1544">
        <v>0</v>
      </c>
      <c r="Q1544" t="s">
        <v>5817</v>
      </c>
      <c r="T1544">
        <v>39</v>
      </c>
      <c r="V1544" t="s">
        <v>2144</v>
      </c>
      <c r="W1544" t="s">
        <v>1215</v>
      </c>
      <c r="X1544">
        <v>259</v>
      </c>
      <c r="Z1544" t="s">
        <v>865</v>
      </c>
      <c r="AA1544" t="s">
        <v>387</v>
      </c>
      <c r="AB1544">
        <v>0</v>
      </c>
      <c r="AC1544">
        <v>55</v>
      </c>
      <c r="AD1544" t="s">
        <v>5818</v>
      </c>
      <c r="AE1544">
        <v>11</v>
      </c>
      <c r="AF1544" t="s">
        <v>5744</v>
      </c>
      <c r="AG1544" t="s">
        <v>5819</v>
      </c>
      <c r="AH1544" t="s">
        <v>5820</v>
      </c>
    </row>
    <row r="1545" spans="1:34" x14ac:dyDescent="0.25">
      <c r="A1545">
        <v>1</v>
      </c>
      <c r="C1545" s="185"/>
      <c r="E1545" t="s">
        <v>386</v>
      </c>
      <c r="F1545" t="s">
        <v>5821</v>
      </c>
      <c r="G1545" t="s">
        <v>1197</v>
      </c>
      <c r="H1545" t="s">
        <v>5822</v>
      </c>
      <c r="I1545">
        <v>13998</v>
      </c>
      <c r="J1545" t="s">
        <v>5821</v>
      </c>
      <c r="K1545" t="s">
        <v>5823</v>
      </c>
      <c r="L1545" t="s">
        <v>386</v>
      </c>
      <c r="M1545" t="s">
        <v>1193</v>
      </c>
      <c r="N1545">
        <v>13998</v>
      </c>
      <c r="O1545">
        <v>0</v>
      </c>
      <c r="Q1545" t="s">
        <v>5824</v>
      </c>
      <c r="R1545" t="s">
        <v>1208</v>
      </c>
      <c r="T1545">
        <v>304</v>
      </c>
      <c r="V1545" t="s">
        <v>2067</v>
      </c>
      <c r="W1545" t="s">
        <v>2067</v>
      </c>
      <c r="X1545">
        <v>304</v>
      </c>
      <c r="Z1545" t="s">
        <v>865</v>
      </c>
      <c r="AA1545" t="s">
        <v>387</v>
      </c>
      <c r="AB1545">
        <v>0</v>
      </c>
      <c r="AC1545">
        <v>121</v>
      </c>
      <c r="AD1545" t="s">
        <v>5825</v>
      </c>
      <c r="AE1545">
        <v>25</v>
      </c>
      <c r="AF1545" t="s">
        <v>2017</v>
      </c>
      <c r="AG1545" t="s">
        <v>5826</v>
      </c>
      <c r="AH1545" t="s">
        <v>5827</v>
      </c>
    </row>
    <row r="1546" spans="1:34" x14ac:dyDescent="0.25">
      <c r="A1546">
        <v>1</v>
      </c>
      <c r="C1546" s="185"/>
      <c r="D1546" t="s">
        <v>24</v>
      </c>
      <c r="E1546" t="s">
        <v>386</v>
      </c>
      <c r="F1546" t="s">
        <v>5828</v>
      </c>
      <c r="G1546" t="s">
        <v>1197</v>
      </c>
      <c r="H1546" t="s">
        <v>5829</v>
      </c>
      <c r="I1546">
        <v>3418</v>
      </c>
      <c r="J1546" t="s">
        <v>5828</v>
      </c>
      <c r="K1546" t="s">
        <v>5828</v>
      </c>
      <c r="L1546" t="s">
        <v>386</v>
      </c>
      <c r="M1546" t="s">
        <v>1193</v>
      </c>
      <c r="N1546">
        <v>3418</v>
      </c>
      <c r="O1546">
        <v>10</v>
      </c>
      <c r="Q1546" t="s">
        <v>5830</v>
      </c>
      <c r="R1546" t="s">
        <v>398</v>
      </c>
      <c r="T1546">
        <v>0</v>
      </c>
      <c r="V1546" t="s">
        <v>1186</v>
      </c>
      <c r="Z1546" t="s">
        <v>865</v>
      </c>
      <c r="AA1546" t="s">
        <v>387</v>
      </c>
      <c r="AB1546">
        <v>6000</v>
      </c>
      <c r="AC1546">
        <v>1826</v>
      </c>
      <c r="AD1546" t="s">
        <v>4737</v>
      </c>
      <c r="AE1546">
        <v>1062</v>
      </c>
      <c r="AF1546" t="s">
        <v>5831</v>
      </c>
      <c r="AG1546" t="s">
        <v>2044</v>
      </c>
      <c r="AH1546" t="s">
        <v>5832</v>
      </c>
    </row>
    <row r="1547" spans="1:34" x14ac:dyDescent="0.25">
      <c r="A1547">
        <v>1</v>
      </c>
      <c r="C1547" s="185"/>
      <c r="E1547" t="s">
        <v>386</v>
      </c>
      <c r="F1547" t="s">
        <v>5833</v>
      </c>
      <c r="G1547" t="s">
        <v>1197</v>
      </c>
      <c r="H1547" t="s">
        <v>5539</v>
      </c>
      <c r="I1547">
        <v>6381</v>
      </c>
      <c r="J1547" t="s">
        <v>5833</v>
      </c>
      <c r="K1547" t="s">
        <v>5833</v>
      </c>
      <c r="L1547" t="s">
        <v>386</v>
      </c>
      <c r="M1547" t="s">
        <v>1193</v>
      </c>
      <c r="N1547">
        <v>6381</v>
      </c>
      <c r="O1547">
        <v>0</v>
      </c>
      <c r="Q1547" t="s">
        <v>5834</v>
      </c>
      <c r="T1547">
        <v>200</v>
      </c>
      <c r="V1547" t="s">
        <v>1199</v>
      </c>
      <c r="W1547" t="s">
        <v>1216</v>
      </c>
      <c r="X1547">
        <v>260</v>
      </c>
      <c r="Z1547" t="s">
        <v>865</v>
      </c>
      <c r="AA1547" t="s">
        <v>387</v>
      </c>
      <c r="AB1547">
        <v>0</v>
      </c>
      <c r="AC1547">
        <v>2055</v>
      </c>
      <c r="AD1547" t="s">
        <v>4786</v>
      </c>
      <c r="AE1547">
        <v>37</v>
      </c>
      <c r="AF1547" t="s">
        <v>5542</v>
      </c>
      <c r="AG1547" t="s">
        <v>5835</v>
      </c>
      <c r="AH1547" t="s">
        <v>5836</v>
      </c>
    </row>
    <row r="1548" spans="1:34" x14ac:dyDescent="0.25">
      <c r="A1548">
        <v>1</v>
      </c>
      <c r="C1548" s="185"/>
      <c r="E1548" t="s">
        <v>386</v>
      </c>
      <c r="F1548" t="s">
        <v>5837</v>
      </c>
      <c r="G1548" t="s">
        <v>1197</v>
      </c>
      <c r="H1548" t="s">
        <v>5838</v>
      </c>
      <c r="I1548">
        <v>2475</v>
      </c>
      <c r="J1548" t="s">
        <v>5837</v>
      </c>
      <c r="K1548" t="s">
        <v>5839</v>
      </c>
      <c r="L1548" t="s">
        <v>386</v>
      </c>
      <c r="M1548" t="s">
        <v>1193</v>
      </c>
      <c r="N1548">
        <v>2475</v>
      </c>
      <c r="O1548">
        <v>0</v>
      </c>
      <c r="Q1548" t="s">
        <v>5840</v>
      </c>
      <c r="R1548" t="s">
        <v>1208</v>
      </c>
      <c r="T1548">
        <v>52</v>
      </c>
      <c r="V1548" t="s">
        <v>2024</v>
      </c>
      <c r="W1548" t="s">
        <v>1215</v>
      </c>
      <c r="X1548">
        <v>259</v>
      </c>
      <c r="Z1548" t="s">
        <v>865</v>
      </c>
      <c r="AA1548" t="s">
        <v>387</v>
      </c>
      <c r="AB1548">
        <v>0</v>
      </c>
      <c r="AC1548">
        <v>4879</v>
      </c>
      <c r="AD1548" t="s">
        <v>5841</v>
      </c>
      <c r="AE1548">
        <v>273</v>
      </c>
      <c r="AF1548" t="s">
        <v>2505</v>
      </c>
      <c r="AG1548" t="s">
        <v>5437</v>
      </c>
      <c r="AH1548" t="s">
        <v>5842</v>
      </c>
    </row>
    <row r="1549" spans="1:34" x14ac:dyDescent="0.25">
      <c r="A1549">
        <v>177</v>
      </c>
      <c r="C1549" s="185"/>
      <c r="E1549" t="s">
        <v>386</v>
      </c>
      <c r="F1549" t="s">
        <v>5843</v>
      </c>
      <c r="G1549" t="s">
        <v>1197</v>
      </c>
      <c r="H1549" t="s">
        <v>5844</v>
      </c>
      <c r="I1549">
        <v>13210</v>
      </c>
      <c r="J1549" t="s">
        <v>5843</v>
      </c>
      <c r="K1549" t="s">
        <v>5845</v>
      </c>
      <c r="L1549" t="s">
        <v>386</v>
      </c>
      <c r="M1549" t="s">
        <v>1193</v>
      </c>
      <c r="N1549">
        <v>13210</v>
      </c>
      <c r="O1549">
        <v>0</v>
      </c>
      <c r="Q1549" t="s">
        <v>5846</v>
      </c>
      <c r="R1549" t="s">
        <v>1208</v>
      </c>
      <c r="T1549">
        <v>259</v>
      </c>
      <c r="V1549" t="s">
        <v>1215</v>
      </c>
      <c r="W1549" t="s">
        <v>2067</v>
      </c>
      <c r="X1549">
        <v>304</v>
      </c>
      <c r="Z1549" t="s">
        <v>1054</v>
      </c>
      <c r="AA1549" t="s">
        <v>387</v>
      </c>
      <c r="AB1549">
        <v>0</v>
      </c>
      <c r="AC1549">
        <v>4724</v>
      </c>
      <c r="AD1549" t="s">
        <v>5847</v>
      </c>
      <c r="AE1549">
        <v>2281</v>
      </c>
      <c r="AF1549" t="s">
        <v>5848</v>
      </c>
      <c r="AG1549" t="s">
        <v>3539</v>
      </c>
      <c r="AH1549" t="s">
        <v>5849</v>
      </c>
    </row>
    <row r="1550" spans="1:34" x14ac:dyDescent="0.25">
      <c r="A1550">
        <v>1</v>
      </c>
      <c r="C1550" s="185"/>
      <c r="E1550" t="s">
        <v>386</v>
      </c>
      <c r="F1550" t="s">
        <v>5850</v>
      </c>
      <c r="G1550" t="s">
        <v>1197</v>
      </c>
      <c r="H1550" t="s">
        <v>5690</v>
      </c>
      <c r="I1550">
        <v>935</v>
      </c>
      <c r="J1550" t="s">
        <v>5850</v>
      </c>
      <c r="K1550" t="s">
        <v>5850</v>
      </c>
      <c r="L1550" t="s">
        <v>386</v>
      </c>
      <c r="M1550" t="s">
        <v>1193</v>
      </c>
      <c r="N1550">
        <v>935</v>
      </c>
      <c r="O1550">
        <v>0</v>
      </c>
      <c r="Q1550" t="s">
        <v>5851</v>
      </c>
      <c r="T1550">
        <v>52</v>
      </c>
      <c r="V1550" t="s">
        <v>2024</v>
      </c>
      <c r="Z1550" t="s">
        <v>865</v>
      </c>
      <c r="AA1550" t="s">
        <v>387</v>
      </c>
      <c r="AB1550">
        <v>0</v>
      </c>
      <c r="AC1550">
        <v>773</v>
      </c>
      <c r="AD1550" t="s">
        <v>5039</v>
      </c>
      <c r="AE1550">
        <v>14</v>
      </c>
      <c r="AF1550" t="s">
        <v>2615</v>
      </c>
      <c r="AG1550" t="s">
        <v>5852</v>
      </c>
      <c r="AH1550" t="s">
        <v>5853</v>
      </c>
    </row>
    <row r="1551" spans="1:34" x14ac:dyDescent="0.25">
      <c r="A1551">
        <v>1792</v>
      </c>
      <c r="C1551" s="185"/>
      <c r="E1551" t="s">
        <v>386</v>
      </c>
      <c r="F1551" t="s">
        <v>5854</v>
      </c>
      <c r="G1551" t="s">
        <v>1197</v>
      </c>
      <c r="H1551" t="s">
        <v>5855</v>
      </c>
      <c r="I1551">
        <v>17278</v>
      </c>
      <c r="J1551" t="s">
        <v>5854</v>
      </c>
      <c r="K1551" t="s">
        <v>5856</v>
      </c>
      <c r="L1551" t="s">
        <v>386</v>
      </c>
      <c r="M1551" t="s">
        <v>1193</v>
      </c>
      <c r="N1551">
        <v>17278</v>
      </c>
      <c r="O1551">
        <v>76</v>
      </c>
      <c r="Q1551" t="s">
        <v>5857</v>
      </c>
      <c r="R1551" t="s">
        <v>398</v>
      </c>
      <c r="T1551">
        <v>220</v>
      </c>
      <c r="V1551" t="s">
        <v>1194</v>
      </c>
      <c r="W1551" t="s">
        <v>1194</v>
      </c>
      <c r="X1551">
        <v>220</v>
      </c>
      <c r="Z1551" t="s">
        <v>1053</v>
      </c>
      <c r="AA1551" t="s">
        <v>387</v>
      </c>
      <c r="AB1551">
        <v>0</v>
      </c>
      <c r="AC1551">
        <v>3093</v>
      </c>
      <c r="AD1551" t="s">
        <v>5858</v>
      </c>
      <c r="AE1551">
        <v>959</v>
      </c>
      <c r="AF1551" t="s">
        <v>5657</v>
      </c>
      <c r="AG1551" t="s">
        <v>5859</v>
      </c>
      <c r="AH1551" t="s">
        <v>5860</v>
      </c>
    </row>
    <row r="1552" spans="1:34" x14ac:dyDescent="0.25">
      <c r="A1552">
        <v>1830</v>
      </c>
      <c r="C1552" s="185"/>
      <c r="E1552" t="s">
        <v>386</v>
      </c>
      <c r="F1552" t="s">
        <v>5861</v>
      </c>
      <c r="G1552" t="s">
        <v>1197</v>
      </c>
      <c r="H1552" t="s">
        <v>5862</v>
      </c>
      <c r="I1552">
        <v>17491</v>
      </c>
      <c r="J1552" t="s">
        <v>5861</v>
      </c>
      <c r="K1552" t="s">
        <v>5863</v>
      </c>
      <c r="L1552" t="s">
        <v>386</v>
      </c>
      <c r="M1552" t="s">
        <v>1193</v>
      </c>
      <c r="N1552">
        <v>17491</v>
      </c>
      <c r="O1552">
        <v>76</v>
      </c>
      <c r="Q1552" t="s">
        <v>5864</v>
      </c>
      <c r="R1552" t="s">
        <v>398</v>
      </c>
      <c r="T1552">
        <v>220</v>
      </c>
      <c r="V1552" t="s">
        <v>1194</v>
      </c>
      <c r="W1552" t="s">
        <v>1194</v>
      </c>
      <c r="X1552">
        <v>220</v>
      </c>
      <c r="Z1552" t="s">
        <v>5865</v>
      </c>
      <c r="AA1552" t="s">
        <v>387</v>
      </c>
      <c r="AB1552">
        <v>0</v>
      </c>
      <c r="AC1552">
        <v>6559</v>
      </c>
      <c r="AD1552" t="s">
        <v>5866</v>
      </c>
      <c r="AE1552">
        <v>581</v>
      </c>
      <c r="AF1552" t="s">
        <v>5867</v>
      </c>
      <c r="AG1552" t="s">
        <v>1244</v>
      </c>
      <c r="AH1552" t="s">
        <v>5868</v>
      </c>
    </row>
    <row r="1553" spans="1:34" x14ac:dyDescent="0.25">
      <c r="A1553">
        <v>1</v>
      </c>
      <c r="B1553" t="s">
        <v>1313</v>
      </c>
      <c r="C1553" s="185"/>
      <c r="E1553" t="s">
        <v>386</v>
      </c>
      <c r="F1553" t="s">
        <v>5869</v>
      </c>
      <c r="G1553" t="s">
        <v>1197</v>
      </c>
      <c r="H1553" t="s">
        <v>5870</v>
      </c>
      <c r="I1553">
        <v>10493</v>
      </c>
      <c r="J1553" t="s">
        <v>5869</v>
      </c>
      <c r="K1553" t="s">
        <v>5869</v>
      </c>
      <c r="L1553" t="s">
        <v>386</v>
      </c>
      <c r="M1553" t="s">
        <v>1193</v>
      </c>
      <c r="N1553">
        <v>10493</v>
      </c>
      <c r="O1553">
        <v>0</v>
      </c>
      <c r="Q1553" t="s">
        <v>5871</v>
      </c>
      <c r="S1553" t="s">
        <v>1315</v>
      </c>
      <c r="T1553">
        <v>260</v>
      </c>
      <c r="U1553">
        <v>0</v>
      </c>
      <c r="V1553" t="s">
        <v>1216</v>
      </c>
      <c r="Y1553" t="s">
        <v>1317</v>
      </c>
      <c r="Z1553" t="s">
        <v>865</v>
      </c>
      <c r="AA1553" t="s">
        <v>387</v>
      </c>
      <c r="AB1553">
        <v>0</v>
      </c>
      <c r="AC1553">
        <v>2723</v>
      </c>
      <c r="AD1553" t="s">
        <v>5872</v>
      </c>
      <c r="AE1553">
        <v>138</v>
      </c>
      <c r="AF1553" t="s">
        <v>2509</v>
      </c>
    </row>
    <row r="1554" spans="1:34" x14ac:dyDescent="0.25">
      <c r="A1554">
        <v>1586</v>
      </c>
      <c r="C1554" s="185"/>
      <c r="D1554" t="s">
        <v>157</v>
      </c>
      <c r="E1554" t="s">
        <v>386</v>
      </c>
      <c r="F1554" t="s">
        <v>5873</v>
      </c>
      <c r="G1554" t="s">
        <v>1197</v>
      </c>
      <c r="H1554" t="s">
        <v>5874</v>
      </c>
      <c r="I1554">
        <v>6424</v>
      </c>
      <c r="J1554" t="s">
        <v>5873</v>
      </c>
      <c r="K1554" t="s">
        <v>5875</v>
      </c>
      <c r="L1554" t="s">
        <v>386</v>
      </c>
      <c r="M1554" t="s">
        <v>1193</v>
      </c>
      <c r="N1554">
        <v>6424</v>
      </c>
      <c r="O1554">
        <v>24</v>
      </c>
      <c r="Q1554" t="s">
        <v>5876</v>
      </c>
      <c r="T1554">
        <v>23</v>
      </c>
      <c r="V1554" t="s">
        <v>1981</v>
      </c>
      <c r="Z1554" t="s">
        <v>5018</v>
      </c>
      <c r="AA1554" t="s">
        <v>387</v>
      </c>
      <c r="AB1554">
        <v>18000</v>
      </c>
      <c r="AC1554">
        <v>2904</v>
      </c>
      <c r="AD1554" t="s">
        <v>5877</v>
      </c>
      <c r="AE1554">
        <v>7</v>
      </c>
      <c r="AF1554" t="s">
        <v>5878</v>
      </c>
      <c r="AG1554" t="s">
        <v>5879</v>
      </c>
      <c r="AH1554" t="s">
        <v>5880</v>
      </c>
    </row>
    <row r="1555" spans="1:34" x14ac:dyDescent="0.25">
      <c r="A1555">
        <v>1506</v>
      </c>
      <c r="C1555" s="185"/>
      <c r="E1555" t="s">
        <v>386</v>
      </c>
      <c r="F1555" t="s">
        <v>1897</v>
      </c>
      <c r="G1555" t="s">
        <v>4184</v>
      </c>
      <c r="H1555" t="s">
        <v>5881</v>
      </c>
      <c r="I1555">
        <v>8523</v>
      </c>
      <c r="J1555" t="s">
        <v>5882</v>
      </c>
      <c r="K1555" t="s">
        <v>5875</v>
      </c>
      <c r="L1555" t="s">
        <v>386</v>
      </c>
      <c r="M1555" t="s">
        <v>1193</v>
      </c>
      <c r="N1555">
        <v>0</v>
      </c>
      <c r="O1555">
        <v>0</v>
      </c>
      <c r="Q1555" t="s">
        <v>5883</v>
      </c>
      <c r="R1555" t="s">
        <v>398</v>
      </c>
      <c r="T1555">
        <v>23</v>
      </c>
      <c r="V1555" t="s">
        <v>1981</v>
      </c>
      <c r="Z1555" t="s">
        <v>5884</v>
      </c>
      <c r="AA1555" t="s">
        <v>387</v>
      </c>
      <c r="AB1555">
        <v>18000</v>
      </c>
      <c r="AC1555">
        <v>3422</v>
      </c>
      <c r="AD1555" t="s">
        <v>5885</v>
      </c>
      <c r="AE1555">
        <v>216</v>
      </c>
      <c r="AF1555" t="s">
        <v>3276</v>
      </c>
      <c r="AG1555" t="s">
        <v>5886</v>
      </c>
    </row>
    <row r="1556" spans="1:34" x14ac:dyDescent="0.25">
      <c r="A1556">
        <v>14</v>
      </c>
      <c r="C1556" s="185">
        <v>41306</v>
      </c>
      <c r="D1556" t="s">
        <v>157</v>
      </c>
      <c r="E1556" t="s">
        <v>386</v>
      </c>
      <c r="F1556" t="s">
        <v>5887</v>
      </c>
      <c r="G1556" t="s">
        <v>1192</v>
      </c>
      <c r="H1556" t="s">
        <v>5206</v>
      </c>
      <c r="I1556">
        <v>8411</v>
      </c>
      <c r="J1556" t="s">
        <v>5887</v>
      </c>
      <c r="K1556" t="s">
        <v>5888</v>
      </c>
      <c r="L1556" t="s">
        <v>386</v>
      </c>
      <c r="M1556" t="s">
        <v>1184</v>
      </c>
      <c r="N1556">
        <v>8411</v>
      </c>
      <c r="O1556">
        <v>0</v>
      </c>
      <c r="Q1556" t="s">
        <v>5889</v>
      </c>
      <c r="R1556" t="s">
        <v>398</v>
      </c>
      <c r="T1556">
        <v>388</v>
      </c>
      <c r="V1556" t="s">
        <v>1712</v>
      </c>
      <c r="W1556" t="s">
        <v>1910</v>
      </c>
      <c r="X1556">
        <v>189</v>
      </c>
      <c r="Z1556" t="s">
        <v>1130</v>
      </c>
      <c r="AA1556" t="s">
        <v>387</v>
      </c>
      <c r="AB1556">
        <v>0</v>
      </c>
      <c r="AC1556">
        <v>1135</v>
      </c>
      <c r="AD1556" t="s">
        <v>5890</v>
      </c>
      <c r="AE1556">
        <v>18</v>
      </c>
      <c r="AF1556" t="s">
        <v>1259</v>
      </c>
      <c r="AG1556" t="s">
        <v>1244</v>
      </c>
      <c r="AH1556" t="s">
        <v>5891</v>
      </c>
    </row>
    <row r="1557" spans="1:34" x14ac:dyDescent="0.25">
      <c r="A1557">
        <v>6</v>
      </c>
      <c r="B1557" t="s">
        <v>1313</v>
      </c>
      <c r="C1557" s="185"/>
      <c r="D1557" t="s">
        <v>24</v>
      </c>
      <c r="E1557" t="s">
        <v>386</v>
      </c>
      <c r="F1557" t="s">
        <v>362</v>
      </c>
      <c r="G1557" t="s">
        <v>1197</v>
      </c>
      <c r="H1557" t="s">
        <v>5892</v>
      </c>
      <c r="I1557">
        <v>774</v>
      </c>
      <c r="J1557" t="s">
        <v>5893</v>
      </c>
      <c r="K1557" t="s">
        <v>5894</v>
      </c>
      <c r="L1557" t="s">
        <v>386</v>
      </c>
      <c r="M1557" t="s">
        <v>1193</v>
      </c>
      <c r="N1557">
        <v>15321</v>
      </c>
      <c r="O1557">
        <v>10</v>
      </c>
      <c r="Q1557" t="s">
        <v>5895</v>
      </c>
      <c r="R1557" t="s">
        <v>398</v>
      </c>
      <c r="S1557" t="s">
        <v>1315</v>
      </c>
      <c r="T1557">
        <v>272</v>
      </c>
      <c r="U1557">
        <v>0</v>
      </c>
      <c r="V1557" t="s">
        <v>2107</v>
      </c>
      <c r="W1557" t="s">
        <v>1186</v>
      </c>
      <c r="X1557">
        <v>0</v>
      </c>
      <c r="Y1557" t="s">
        <v>1317</v>
      </c>
      <c r="Z1557" t="s">
        <v>892</v>
      </c>
      <c r="AA1557" t="s">
        <v>387</v>
      </c>
      <c r="AB1557">
        <v>6000</v>
      </c>
      <c r="AC1557">
        <v>182</v>
      </c>
      <c r="AD1557" t="s">
        <v>5896</v>
      </c>
      <c r="AE1557">
        <v>107</v>
      </c>
      <c r="AF1557" t="s">
        <v>1235</v>
      </c>
      <c r="AG1557" t="s">
        <v>5897</v>
      </c>
      <c r="AH1557" t="s">
        <v>5898</v>
      </c>
    </row>
    <row r="1558" spans="1:34" x14ac:dyDescent="0.25">
      <c r="A1558">
        <v>6</v>
      </c>
      <c r="B1558" t="s">
        <v>1313</v>
      </c>
      <c r="C1558" s="185"/>
      <c r="D1558" t="s">
        <v>24</v>
      </c>
      <c r="E1558" t="s">
        <v>386</v>
      </c>
      <c r="F1558" t="s">
        <v>362</v>
      </c>
      <c r="G1558" t="s">
        <v>1197</v>
      </c>
      <c r="H1558" t="s">
        <v>5892</v>
      </c>
      <c r="I1558">
        <v>781</v>
      </c>
      <c r="J1558" t="s">
        <v>5899</v>
      </c>
      <c r="K1558" t="s">
        <v>5894</v>
      </c>
      <c r="L1558" t="s">
        <v>386</v>
      </c>
      <c r="M1558" t="s">
        <v>1193</v>
      </c>
      <c r="N1558">
        <v>15321</v>
      </c>
      <c r="O1558">
        <v>10</v>
      </c>
      <c r="Q1558" t="s">
        <v>5900</v>
      </c>
      <c r="R1558" t="s">
        <v>398</v>
      </c>
      <c r="S1558" t="s">
        <v>1315</v>
      </c>
      <c r="T1558">
        <v>272</v>
      </c>
      <c r="U1558">
        <v>0</v>
      </c>
      <c r="V1558" t="s">
        <v>2107</v>
      </c>
      <c r="W1558" t="s">
        <v>1186</v>
      </c>
      <c r="X1558">
        <v>0</v>
      </c>
      <c r="Y1558" t="s">
        <v>1317</v>
      </c>
      <c r="Z1558" t="s">
        <v>892</v>
      </c>
      <c r="AA1558" t="s">
        <v>387</v>
      </c>
      <c r="AB1558">
        <v>6000</v>
      </c>
      <c r="AC1558">
        <v>182</v>
      </c>
      <c r="AD1558" t="s">
        <v>5896</v>
      </c>
      <c r="AE1558">
        <v>107</v>
      </c>
      <c r="AF1558" t="s">
        <v>1235</v>
      </c>
      <c r="AG1558" t="s">
        <v>5897</v>
      </c>
      <c r="AH1558" t="s">
        <v>5898</v>
      </c>
    </row>
    <row r="1559" spans="1:34" x14ac:dyDescent="0.25">
      <c r="A1559">
        <v>1</v>
      </c>
      <c r="C1559" s="185"/>
      <c r="E1559" t="s">
        <v>386</v>
      </c>
      <c r="F1559" t="s">
        <v>5901</v>
      </c>
      <c r="G1559" t="s">
        <v>1197</v>
      </c>
      <c r="H1559" t="s">
        <v>3169</v>
      </c>
      <c r="I1559">
        <v>12768</v>
      </c>
      <c r="J1559" t="s">
        <v>5901</v>
      </c>
      <c r="K1559" t="s">
        <v>5902</v>
      </c>
      <c r="L1559" t="s">
        <v>386</v>
      </c>
      <c r="M1559" t="s">
        <v>1193</v>
      </c>
      <c r="N1559">
        <v>12768</v>
      </c>
      <c r="O1559">
        <v>0</v>
      </c>
      <c r="Q1559" t="s">
        <v>5903</v>
      </c>
      <c r="R1559" t="s">
        <v>1208</v>
      </c>
      <c r="T1559">
        <v>259</v>
      </c>
      <c r="V1559" t="s">
        <v>1215</v>
      </c>
      <c r="W1559" t="s">
        <v>2003</v>
      </c>
      <c r="X1559">
        <v>571</v>
      </c>
      <c r="Z1559" t="s">
        <v>865</v>
      </c>
      <c r="AA1559" t="s">
        <v>387</v>
      </c>
      <c r="AB1559">
        <v>0</v>
      </c>
      <c r="AC1559">
        <v>4353</v>
      </c>
      <c r="AD1559" t="s">
        <v>3170</v>
      </c>
      <c r="AE1559">
        <v>394</v>
      </c>
      <c r="AF1559" t="s">
        <v>3171</v>
      </c>
      <c r="AG1559" t="s">
        <v>3172</v>
      </c>
      <c r="AH1559" t="s">
        <v>5904</v>
      </c>
    </row>
    <row r="1560" spans="1:34" x14ac:dyDescent="0.25">
      <c r="A1560">
        <v>1</v>
      </c>
      <c r="C1560" s="185"/>
      <c r="E1560" t="s">
        <v>386</v>
      </c>
      <c r="F1560" t="s">
        <v>5905</v>
      </c>
      <c r="G1560" t="s">
        <v>1197</v>
      </c>
      <c r="H1560" t="s">
        <v>5589</v>
      </c>
      <c r="I1560">
        <v>2194</v>
      </c>
      <c r="J1560" t="s">
        <v>5905</v>
      </c>
      <c r="K1560" t="s">
        <v>5906</v>
      </c>
      <c r="L1560" t="s">
        <v>386</v>
      </c>
      <c r="M1560" t="s">
        <v>1193</v>
      </c>
      <c r="N1560">
        <v>2194</v>
      </c>
      <c r="O1560">
        <v>0</v>
      </c>
      <c r="Q1560" t="s">
        <v>5907</v>
      </c>
      <c r="T1560">
        <v>52</v>
      </c>
      <c r="V1560" t="s">
        <v>2024</v>
      </c>
      <c r="Z1560" t="s">
        <v>865</v>
      </c>
      <c r="AA1560" t="s">
        <v>387</v>
      </c>
      <c r="AB1560">
        <v>0</v>
      </c>
      <c r="AC1560">
        <v>112</v>
      </c>
      <c r="AD1560" t="s">
        <v>5592</v>
      </c>
      <c r="AE1560">
        <v>3</v>
      </c>
      <c r="AF1560" t="s">
        <v>1235</v>
      </c>
      <c r="AG1560" t="s">
        <v>5908</v>
      </c>
      <c r="AH1560" t="s">
        <v>5909</v>
      </c>
    </row>
    <row r="1561" spans="1:34" x14ac:dyDescent="0.25">
      <c r="A1561">
        <v>566</v>
      </c>
      <c r="C1561" s="185"/>
      <c r="E1561" t="s">
        <v>386</v>
      </c>
      <c r="F1561" t="s">
        <v>5910</v>
      </c>
      <c r="G1561" t="s">
        <v>1197</v>
      </c>
      <c r="H1561" t="s">
        <v>5911</v>
      </c>
      <c r="I1561">
        <v>2807</v>
      </c>
      <c r="J1561" t="s">
        <v>5910</v>
      </c>
      <c r="K1561" t="s">
        <v>5912</v>
      </c>
      <c r="L1561" t="s">
        <v>386</v>
      </c>
      <c r="M1561" t="s">
        <v>1193</v>
      </c>
      <c r="N1561">
        <v>2807</v>
      </c>
      <c r="O1561">
        <v>23</v>
      </c>
      <c r="Q1561" t="s">
        <v>5913</v>
      </c>
      <c r="R1561" t="s">
        <v>398</v>
      </c>
      <c r="T1561">
        <v>0</v>
      </c>
      <c r="V1561" t="s">
        <v>1186</v>
      </c>
      <c r="Z1561" t="s">
        <v>5914</v>
      </c>
      <c r="AA1561" t="s">
        <v>387</v>
      </c>
      <c r="AB1561">
        <v>17000</v>
      </c>
      <c r="AC1561">
        <v>1889</v>
      </c>
      <c r="AD1561" t="s">
        <v>5915</v>
      </c>
      <c r="AE1561">
        <v>18</v>
      </c>
      <c r="AF1561" t="s">
        <v>1259</v>
      </c>
      <c r="AG1561" t="s">
        <v>1244</v>
      </c>
      <c r="AH1561" t="s">
        <v>5916</v>
      </c>
    </row>
    <row r="1562" spans="1:34" x14ac:dyDescent="0.25">
      <c r="A1562">
        <v>6</v>
      </c>
      <c r="C1562" s="185"/>
      <c r="E1562" t="s">
        <v>386</v>
      </c>
      <c r="F1562" t="s">
        <v>5917</v>
      </c>
      <c r="G1562" t="s">
        <v>1197</v>
      </c>
      <c r="H1562" t="s">
        <v>5918</v>
      </c>
      <c r="I1562">
        <v>17380</v>
      </c>
      <c r="J1562" t="s">
        <v>5917</v>
      </c>
      <c r="K1562" t="s">
        <v>5919</v>
      </c>
      <c r="L1562" t="s">
        <v>386</v>
      </c>
      <c r="M1562" t="s">
        <v>1193</v>
      </c>
      <c r="N1562">
        <v>17380</v>
      </c>
      <c r="O1562">
        <v>0</v>
      </c>
      <c r="Q1562" t="s">
        <v>5920</v>
      </c>
      <c r="R1562" t="s">
        <v>1208</v>
      </c>
      <c r="T1562">
        <v>560</v>
      </c>
      <c r="V1562" t="s">
        <v>2602</v>
      </c>
      <c r="W1562" t="s">
        <v>1530</v>
      </c>
      <c r="X1562">
        <v>103</v>
      </c>
      <c r="Z1562" t="s">
        <v>892</v>
      </c>
      <c r="AA1562" t="s">
        <v>387</v>
      </c>
      <c r="AB1562">
        <v>0</v>
      </c>
      <c r="AC1562">
        <v>2540</v>
      </c>
      <c r="AD1562" t="s">
        <v>5921</v>
      </c>
      <c r="AE1562">
        <v>957</v>
      </c>
      <c r="AF1562" t="s">
        <v>5774</v>
      </c>
      <c r="AG1562" t="s">
        <v>5922</v>
      </c>
      <c r="AH1562" t="s">
        <v>5923</v>
      </c>
    </row>
    <row r="1563" spans="1:34" x14ac:dyDescent="0.25">
      <c r="A1563">
        <v>1</v>
      </c>
      <c r="C1563" s="185"/>
      <c r="E1563" t="s">
        <v>386</v>
      </c>
      <c r="F1563" t="s">
        <v>5924</v>
      </c>
      <c r="G1563" t="s">
        <v>1197</v>
      </c>
      <c r="H1563" t="s">
        <v>5925</v>
      </c>
      <c r="I1563">
        <v>12803</v>
      </c>
      <c r="J1563" t="s">
        <v>5924</v>
      </c>
      <c r="K1563" t="s">
        <v>5926</v>
      </c>
      <c r="L1563" t="s">
        <v>386</v>
      </c>
      <c r="M1563" t="s">
        <v>1193</v>
      </c>
      <c r="N1563">
        <v>12803</v>
      </c>
      <c r="O1563">
        <v>0</v>
      </c>
      <c r="Q1563" t="s">
        <v>5927</v>
      </c>
      <c r="R1563" t="s">
        <v>1208</v>
      </c>
      <c r="T1563">
        <v>571</v>
      </c>
      <c r="V1563" t="s">
        <v>2003</v>
      </c>
      <c r="W1563" t="s">
        <v>1200</v>
      </c>
      <c r="X1563">
        <v>340</v>
      </c>
      <c r="Z1563" t="s">
        <v>865</v>
      </c>
      <c r="AA1563" t="s">
        <v>387</v>
      </c>
      <c r="AB1563">
        <v>0</v>
      </c>
      <c r="AC1563">
        <v>3513</v>
      </c>
      <c r="AD1563" t="s">
        <v>5928</v>
      </c>
      <c r="AE1563">
        <v>1720</v>
      </c>
      <c r="AF1563" t="s">
        <v>5929</v>
      </c>
      <c r="AG1563" t="s">
        <v>5930</v>
      </c>
      <c r="AH1563" t="s">
        <v>5931</v>
      </c>
    </row>
    <row r="1564" spans="1:34" x14ac:dyDescent="0.25">
      <c r="A1564">
        <v>1746</v>
      </c>
      <c r="C1564" s="185"/>
      <c r="D1564" t="s">
        <v>157</v>
      </c>
      <c r="E1564" t="s">
        <v>386</v>
      </c>
      <c r="F1564" t="s">
        <v>5932</v>
      </c>
      <c r="G1564" t="s">
        <v>1238</v>
      </c>
      <c r="H1564" t="s">
        <v>5933</v>
      </c>
      <c r="I1564">
        <v>6233</v>
      </c>
      <c r="J1564" t="s">
        <v>5932</v>
      </c>
      <c r="K1564" t="s">
        <v>5932</v>
      </c>
      <c r="L1564" t="s">
        <v>386</v>
      </c>
      <c r="M1564" t="s">
        <v>1184</v>
      </c>
      <c r="N1564">
        <v>6233</v>
      </c>
      <c r="O1564">
        <v>0</v>
      </c>
      <c r="Q1564" t="s">
        <v>5934</v>
      </c>
      <c r="T1564">
        <v>388</v>
      </c>
      <c r="V1564" t="s">
        <v>1712</v>
      </c>
      <c r="W1564" t="s">
        <v>1205</v>
      </c>
      <c r="X1564">
        <v>2</v>
      </c>
      <c r="Z1564" t="s">
        <v>5352</v>
      </c>
      <c r="AA1564" t="s">
        <v>387</v>
      </c>
      <c r="AB1564">
        <v>0</v>
      </c>
      <c r="AC1564">
        <v>2853</v>
      </c>
      <c r="AD1564" t="s">
        <v>5935</v>
      </c>
      <c r="AE1564">
        <v>18</v>
      </c>
      <c r="AF1564" t="s">
        <v>1259</v>
      </c>
      <c r="AG1564" t="s">
        <v>1244</v>
      </c>
    </row>
    <row r="1565" spans="1:34" x14ac:dyDescent="0.25">
      <c r="A1565">
        <v>31</v>
      </c>
      <c r="C1565" s="185"/>
      <c r="E1565" t="s">
        <v>386</v>
      </c>
      <c r="F1565" t="s">
        <v>5936</v>
      </c>
      <c r="G1565" t="s">
        <v>1197</v>
      </c>
      <c r="H1565" t="s">
        <v>5937</v>
      </c>
      <c r="I1565">
        <v>12743</v>
      </c>
      <c r="J1565" t="s">
        <v>5936</v>
      </c>
      <c r="K1565" t="s">
        <v>5936</v>
      </c>
      <c r="L1565" t="s">
        <v>386</v>
      </c>
      <c r="M1565" t="s">
        <v>1193</v>
      </c>
      <c r="N1565">
        <v>12743</v>
      </c>
      <c r="O1565">
        <v>0</v>
      </c>
      <c r="Q1565" t="s">
        <v>5938</v>
      </c>
      <c r="R1565" t="s">
        <v>1208</v>
      </c>
      <c r="T1565">
        <v>304</v>
      </c>
      <c r="V1565" t="s">
        <v>2067</v>
      </c>
      <c r="Z1565" t="s">
        <v>1132</v>
      </c>
      <c r="AA1565" t="s">
        <v>387</v>
      </c>
      <c r="AB1565">
        <v>0</v>
      </c>
      <c r="AC1565">
        <v>99</v>
      </c>
      <c r="AD1565" t="s">
        <v>5939</v>
      </c>
      <c r="AE1565">
        <v>80</v>
      </c>
      <c r="AF1565" t="s">
        <v>5940</v>
      </c>
      <c r="AG1565" t="s">
        <v>5941</v>
      </c>
      <c r="AH1565" t="s">
        <v>5942</v>
      </c>
    </row>
    <row r="1566" spans="1:34" x14ac:dyDescent="0.25">
      <c r="A1566">
        <v>1378</v>
      </c>
      <c r="C1566" s="185"/>
      <c r="E1566" t="s">
        <v>386</v>
      </c>
      <c r="F1566" t="s">
        <v>5943</v>
      </c>
      <c r="G1566" t="s">
        <v>1197</v>
      </c>
      <c r="H1566" t="s">
        <v>5944</v>
      </c>
      <c r="I1566">
        <v>5420</v>
      </c>
      <c r="J1566" t="s">
        <v>5943</v>
      </c>
      <c r="K1566" t="s">
        <v>5943</v>
      </c>
      <c r="L1566" t="s">
        <v>386</v>
      </c>
      <c r="M1566" t="s">
        <v>1193</v>
      </c>
      <c r="N1566">
        <v>5420</v>
      </c>
      <c r="O1566">
        <v>0</v>
      </c>
      <c r="Q1566" t="s">
        <v>5945</v>
      </c>
      <c r="T1566">
        <v>35</v>
      </c>
      <c r="V1566" t="s">
        <v>2015</v>
      </c>
      <c r="Z1566" t="s">
        <v>5946</v>
      </c>
      <c r="AA1566" t="s">
        <v>387</v>
      </c>
      <c r="AB1566">
        <v>0</v>
      </c>
      <c r="AC1566">
        <v>2590</v>
      </c>
      <c r="AD1566" t="s">
        <v>5947</v>
      </c>
      <c r="AE1566">
        <v>1</v>
      </c>
      <c r="AF1566" t="s">
        <v>1922</v>
      </c>
      <c r="AG1566" t="s">
        <v>5948</v>
      </c>
      <c r="AH1566" t="s">
        <v>5949</v>
      </c>
    </row>
    <row r="1567" spans="1:34" x14ac:dyDescent="0.25">
      <c r="A1567">
        <v>1</v>
      </c>
      <c r="B1567" t="s">
        <v>1313</v>
      </c>
      <c r="C1567" s="185"/>
      <c r="D1567" t="s">
        <v>24</v>
      </c>
      <c r="E1567" t="s">
        <v>386</v>
      </c>
      <c r="F1567" t="s">
        <v>5950</v>
      </c>
      <c r="G1567" t="s">
        <v>1197</v>
      </c>
      <c r="H1567" t="s">
        <v>5951</v>
      </c>
      <c r="I1567">
        <v>865</v>
      </c>
      <c r="J1567" t="s">
        <v>5950</v>
      </c>
      <c r="K1567" t="s">
        <v>5952</v>
      </c>
      <c r="L1567" t="s">
        <v>386</v>
      </c>
      <c r="M1567" t="s">
        <v>1193</v>
      </c>
      <c r="N1567">
        <v>865</v>
      </c>
      <c r="O1567">
        <v>0</v>
      </c>
      <c r="Q1567" t="s">
        <v>5953</v>
      </c>
      <c r="R1567" t="s">
        <v>398</v>
      </c>
      <c r="S1567" t="s">
        <v>1315</v>
      </c>
      <c r="T1567">
        <v>260</v>
      </c>
      <c r="U1567">
        <v>0</v>
      </c>
      <c r="V1567" t="s">
        <v>1216</v>
      </c>
      <c r="W1567" t="s">
        <v>2024</v>
      </c>
      <c r="X1567">
        <v>52</v>
      </c>
      <c r="Y1567" t="s">
        <v>1317</v>
      </c>
      <c r="Z1567" t="s">
        <v>865</v>
      </c>
      <c r="AA1567" t="s">
        <v>387</v>
      </c>
      <c r="AB1567">
        <v>0</v>
      </c>
      <c r="AC1567">
        <v>21</v>
      </c>
      <c r="AD1567" t="s">
        <v>1224</v>
      </c>
      <c r="AE1567">
        <v>10</v>
      </c>
      <c r="AF1567" t="s">
        <v>1225</v>
      </c>
      <c r="AG1567" t="s">
        <v>5954</v>
      </c>
      <c r="AH1567" t="s">
        <v>5955</v>
      </c>
    </row>
    <row r="1568" spans="1:34" x14ac:dyDescent="0.25">
      <c r="A1568">
        <v>2212</v>
      </c>
      <c r="C1568" s="185"/>
      <c r="E1568" t="s">
        <v>386</v>
      </c>
      <c r="F1568" t="s">
        <v>4918</v>
      </c>
      <c r="G1568" t="s">
        <v>1238</v>
      </c>
      <c r="H1568" t="s">
        <v>5956</v>
      </c>
      <c r="I1568">
        <v>17128</v>
      </c>
      <c r="J1568" t="s">
        <v>4918</v>
      </c>
      <c r="K1568" t="s">
        <v>5957</v>
      </c>
      <c r="L1568" t="s">
        <v>386</v>
      </c>
      <c r="M1568" t="s">
        <v>1184</v>
      </c>
      <c r="N1568">
        <v>17128</v>
      </c>
      <c r="O1568">
        <v>0</v>
      </c>
      <c r="Q1568" t="s">
        <v>5958</v>
      </c>
      <c r="T1568">
        <v>496</v>
      </c>
      <c r="V1568" t="s">
        <v>2246</v>
      </c>
      <c r="W1568" t="s">
        <v>2246</v>
      </c>
      <c r="X1568">
        <v>496</v>
      </c>
      <c r="Z1568" t="s">
        <v>5959</v>
      </c>
      <c r="AA1568" t="s">
        <v>387</v>
      </c>
      <c r="AB1568">
        <v>0</v>
      </c>
      <c r="AC1568">
        <v>1981</v>
      </c>
      <c r="AD1568" t="s">
        <v>4922</v>
      </c>
      <c r="AE1568">
        <v>481</v>
      </c>
      <c r="AF1568" t="s">
        <v>3443</v>
      </c>
      <c r="AG1568" t="s">
        <v>5960</v>
      </c>
    </row>
    <row r="1569" spans="1:34" x14ac:dyDescent="0.25">
      <c r="A1569">
        <v>1730</v>
      </c>
      <c r="C1569" s="185">
        <v>42950</v>
      </c>
      <c r="D1569" t="s">
        <v>157</v>
      </c>
      <c r="E1569" t="s">
        <v>386</v>
      </c>
      <c r="F1569" t="s">
        <v>5961</v>
      </c>
      <c r="G1569" t="s">
        <v>1238</v>
      </c>
      <c r="H1569" t="s">
        <v>5069</v>
      </c>
      <c r="I1569">
        <v>8475</v>
      </c>
      <c r="J1569" t="s">
        <v>5961</v>
      </c>
      <c r="K1569" t="s">
        <v>5962</v>
      </c>
      <c r="L1569" t="s">
        <v>386</v>
      </c>
      <c r="M1569" t="s">
        <v>1184</v>
      </c>
      <c r="N1569">
        <v>8475</v>
      </c>
      <c r="O1569">
        <v>0</v>
      </c>
      <c r="Q1569" t="s">
        <v>5963</v>
      </c>
      <c r="R1569" t="s">
        <v>398</v>
      </c>
      <c r="T1569">
        <v>388</v>
      </c>
      <c r="V1569" t="s">
        <v>1712</v>
      </c>
      <c r="W1569" t="s">
        <v>2015</v>
      </c>
      <c r="X1569">
        <v>35</v>
      </c>
      <c r="Z1569" t="s">
        <v>5071</v>
      </c>
      <c r="AA1569" t="s">
        <v>387</v>
      </c>
      <c r="AB1569">
        <v>0</v>
      </c>
      <c r="AC1569">
        <v>3392</v>
      </c>
      <c r="AD1569" t="s">
        <v>5104</v>
      </c>
      <c r="AE1569">
        <v>18</v>
      </c>
      <c r="AF1569" t="s">
        <v>1259</v>
      </c>
      <c r="AG1569" t="s">
        <v>1244</v>
      </c>
      <c r="AH1569" t="s">
        <v>5964</v>
      </c>
    </row>
    <row r="1570" spans="1:34" x14ac:dyDescent="0.25">
      <c r="A1570">
        <v>1792</v>
      </c>
      <c r="C1570" s="185"/>
      <c r="D1570" t="s">
        <v>157</v>
      </c>
      <c r="E1570" t="s">
        <v>386</v>
      </c>
      <c r="F1570" t="s">
        <v>165</v>
      </c>
      <c r="G1570" t="s">
        <v>1197</v>
      </c>
      <c r="H1570" t="s">
        <v>4919</v>
      </c>
      <c r="I1570">
        <v>7060</v>
      </c>
      <c r="J1570" t="s">
        <v>165</v>
      </c>
      <c r="K1570" t="s">
        <v>5965</v>
      </c>
      <c r="L1570" t="s">
        <v>386</v>
      </c>
      <c r="M1570" t="s">
        <v>1193</v>
      </c>
      <c r="N1570">
        <v>7060</v>
      </c>
      <c r="O1570">
        <v>25</v>
      </c>
      <c r="Q1570" t="s">
        <v>5966</v>
      </c>
      <c r="R1570" t="s">
        <v>398</v>
      </c>
      <c r="T1570">
        <v>260</v>
      </c>
      <c r="V1570" t="s">
        <v>1216</v>
      </c>
      <c r="W1570" t="s">
        <v>1215</v>
      </c>
      <c r="X1570">
        <v>259</v>
      </c>
      <c r="Z1570" t="s">
        <v>1053</v>
      </c>
      <c r="AA1570" t="s">
        <v>387</v>
      </c>
      <c r="AB1570">
        <v>19000</v>
      </c>
      <c r="AC1570">
        <v>3093</v>
      </c>
      <c r="AD1570" t="s">
        <v>5858</v>
      </c>
      <c r="AE1570">
        <v>959</v>
      </c>
      <c r="AF1570" t="s">
        <v>5657</v>
      </c>
      <c r="AG1570" t="s">
        <v>2974</v>
      </c>
      <c r="AH1570" t="s">
        <v>5967</v>
      </c>
    </row>
    <row r="1571" spans="1:34" x14ac:dyDescent="0.25">
      <c r="A1571">
        <v>1811</v>
      </c>
      <c r="C1571" s="185"/>
      <c r="E1571" t="s">
        <v>386</v>
      </c>
      <c r="F1571" t="s">
        <v>5968</v>
      </c>
      <c r="G1571" t="s">
        <v>1238</v>
      </c>
      <c r="H1571" t="s">
        <v>5237</v>
      </c>
      <c r="I1571">
        <v>13161</v>
      </c>
      <c r="J1571" t="s">
        <v>5968</v>
      </c>
      <c r="K1571" t="s">
        <v>5969</v>
      </c>
      <c r="L1571" t="s">
        <v>386</v>
      </c>
      <c r="M1571" t="s">
        <v>1184</v>
      </c>
      <c r="N1571">
        <v>13161</v>
      </c>
      <c r="O1571">
        <v>0</v>
      </c>
      <c r="Q1571" t="s">
        <v>5970</v>
      </c>
      <c r="R1571" t="s">
        <v>398</v>
      </c>
      <c r="T1571">
        <v>388</v>
      </c>
      <c r="V1571" t="s">
        <v>1712</v>
      </c>
      <c r="W1571" t="s">
        <v>1215</v>
      </c>
      <c r="X1571">
        <v>259</v>
      </c>
      <c r="Z1571" t="s">
        <v>5159</v>
      </c>
      <c r="AA1571" t="s">
        <v>387</v>
      </c>
      <c r="AB1571">
        <v>0</v>
      </c>
      <c r="AC1571">
        <v>4923</v>
      </c>
      <c r="AD1571" t="s">
        <v>5971</v>
      </c>
      <c r="AE1571">
        <v>1974</v>
      </c>
      <c r="AF1571" t="s">
        <v>1243</v>
      </c>
      <c r="AG1571" t="s">
        <v>1244</v>
      </c>
    </row>
    <row r="1572" spans="1:34" x14ac:dyDescent="0.25">
      <c r="A1572">
        <v>1275</v>
      </c>
      <c r="B1572" t="s">
        <v>1313</v>
      </c>
      <c r="C1572" s="185"/>
      <c r="D1572" t="s">
        <v>157</v>
      </c>
      <c r="E1572" t="s">
        <v>386</v>
      </c>
      <c r="F1572" t="s">
        <v>163</v>
      </c>
      <c r="G1572" t="s">
        <v>1238</v>
      </c>
      <c r="H1572" t="s">
        <v>5972</v>
      </c>
      <c r="I1572">
        <v>8001</v>
      </c>
      <c r="J1572" t="s">
        <v>163</v>
      </c>
      <c r="K1572" t="s">
        <v>163</v>
      </c>
      <c r="L1572" t="s">
        <v>386</v>
      </c>
      <c r="M1572" t="s">
        <v>1184</v>
      </c>
      <c r="N1572">
        <v>8001</v>
      </c>
      <c r="O1572">
        <v>25</v>
      </c>
      <c r="Q1572" t="s">
        <v>5973</v>
      </c>
      <c r="R1572" t="s">
        <v>398</v>
      </c>
      <c r="S1572" t="s">
        <v>1909</v>
      </c>
      <c r="T1572">
        <v>200</v>
      </c>
      <c r="U1572">
        <v>0</v>
      </c>
      <c r="V1572" t="s">
        <v>1199</v>
      </c>
      <c r="W1572" t="s">
        <v>1915</v>
      </c>
      <c r="X1572">
        <v>185</v>
      </c>
      <c r="Y1572" t="s">
        <v>1317</v>
      </c>
      <c r="Z1572" t="s">
        <v>2124</v>
      </c>
      <c r="AA1572" t="s">
        <v>387</v>
      </c>
      <c r="AB1572">
        <v>0</v>
      </c>
      <c r="AC1572">
        <v>3262</v>
      </c>
      <c r="AD1572" t="s">
        <v>5974</v>
      </c>
      <c r="AE1572">
        <v>18</v>
      </c>
      <c r="AF1572" t="s">
        <v>1259</v>
      </c>
      <c r="AG1572" t="s">
        <v>2044</v>
      </c>
    </row>
    <row r="1573" spans="1:34" x14ac:dyDescent="0.25">
      <c r="A1573">
        <v>1</v>
      </c>
      <c r="C1573" s="185"/>
      <c r="E1573" t="s">
        <v>386</v>
      </c>
      <c r="F1573" t="s">
        <v>5975</v>
      </c>
      <c r="G1573" t="s">
        <v>1197</v>
      </c>
      <c r="H1573" t="s">
        <v>5976</v>
      </c>
      <c r="I1573">
        <v>5870</v>
      </c>
      <c r="J1573" t="s">
        <v>5975</v>
      </c>
      <c r="K1573" t="s">
        <v>5975</v>
      </c>
      <c r="L1573" t="s">
        <v>386</v>
      </c>
      <c r="M1573" t="s">
        <v>1193</v>
      </c>
      <c r="N1573">
        <v>5870</v>
      </c>
      <c r="O1573">
        <v>0</v>
      </c>
      <c r="Q1573" t="s">
        <v>5977</v>
      </c>
      <c r="T1573">
        <v>470</v>
      </c>
      <c r="V1573" t="s">
        <v>4468</v>
      </c>
      <c r="W1573" t="s">
        <v>1530</v>
      </c>
      <c r="X1573">
        <v>103</v>
      </c>
      <c r="Z1573" t="s">
        <v>865</v>
      </c>
      <c r="AA1573" t="s">
        <v>387</v>
      </c>
      <c r="AB1573">
        <v>0</v>
      </c>
      <c r="AC1573">
        <v>2748</v>
      </c>
      <c r="AD1573" t="s">
        <v>5978</v>
      </c>
      <c r="AE1573">
        <v>652</v>
      </c>
      <c r="AF1573" t="s">
        <v>2859</v>
      </c>
      <c r="AG1573" t="s">
        <v>5979</v>
      </c>
      <c r="AH1573" t="s">
        <v>5980</v>
      </c>
    </row>
    <row r="1574" spans="1:34" x14ac:dyDescent="0.25">
      <c r="A1574">
        <v>1889</v>
      </c>
      <c r="C1574" s="185"/>
      <c r="E1574" t="s">
        <v>386</v>
      </c>
      <c r="F1574" t="s">
        <v>5981</v>
      </c>
      <c r="G1574" t="s">
        <v>1197</v>
      </c>
      <c r="H1574" t="s">
        <v>5982</v>
      </c>
      <c r="I1574">
        <v>17024</v>
      </c>
      <c r="J1574" t="s">
        <v>5981</v>
      </c>
      <c r="K1574" t="s">
        <v>5983</v>
      </c>
      <c r="L1574" t="s">
        <v>386</v>
      </c>
      <c r="M1574" t="s">
        <v>1193</v>
      </c>
      <c r="N1574">
        <v>17024</v>
      </c>
      <c r="O1574">
        <v>35</v>
      </c>
      <c r="Q1574" t="s">
        <v>5984</v>
      </c>
      <c r="R1574" t="s">
        <v>398</v>
      </c>
      <c r="T1574">
        <v>52</v>
      </c>
      <c r="V1574" t="s">
        <v>2024</v>
      </c>
      <c r="W1574" t="s">
        <v>2186</v>
      </c>
      <c r="X1574">
        <v>396</v>
      </c>
      <c r="Z1574" t="s">
        <v>5985</v>
      </c>
      <c r="AA1574" t="s">
        <v>387</v>
      </c>
      <c r="AB1574">
        <v>27000</v>
      </c>
      <c r="AC1574">
        <v>6406</v>
      </c>
      <c r="AD1574" t="s">
        <v>5986</v>
      </c>
      <c r="AE1574">
        <v>2951</v>
      </c>
      <c r="AF1574" t="s">
        <v>5987</v>
      </c>
      <c r="AG1574" t="s">
        <v>5988</v>
      </c>
      <c r="AH1574" t="s">
        <v>5989</v>
      </c>
    </row>
    <row r="1575" spans="1:34" x14ac:dyDescent="0.25">
      <c r="A1575">
        <v>1819</v>
      </c>
      <c r="C1575" s="185"/>
      <c r="E1575" t="s">
        <v>386</v>
      </c>
      <c r="F1575" t="s">
        <v>5990</v>
      </c>
      <c r="G1575" t="s">
        <v>1238</v>
      </c>
      <c r="H1575" t="s">
        <v>5991</v>
      </c>
      <c r="I1575">
        <v>15274</v>
      </c>
      <c r="J1575" t="s">
        <v>5990</v>
      </c>
      <c r="K1575" t="s">
        <v>5992</v>
      </c>
      <c r="L1575" t="s">
        <v>386</v>
      </c>
      <c r="M1575" t="s">
        <v>1184</v>
      </c>
      <c r="N1575">
        <v>15274</v>
      </c>
      <c r="O1575">
        <v>0</v>
      </c>
      <c r="Q1575" t="s">
        <v>5993</v>
      </c>
      <c r="T1575">
        <v>260</v>
      </c>
      <c r="V1575" t="s">
        <v>1216</v>
      </c>
      <c r="W1575" t="s">
        <v>1216</v>
      </c>
      <c r="X1575">
        <v>260</v>
      </c>
      <c r="Z1575" t="s">
        <v>5994</v>
      </c>
      <c r="AA1575" t="s">
        <v>387</v>
      </c>
      <c r="AB1575">
        <v>0</v>
      </c>
      <c r="AC1575">
        <v>5792</v>
      </c>
      <c r="AD1575" t="s">
        <v>5995</v>
      </c>
      <c r="AE1575">
        <v>18</v>
      </c>
      <c r="AF1575" t="s">
        <v>1259</v>
      </c>
      <c r="AG1575" t="s">
        <v>1244</v>
      </c>
    </row>
    <row r="1576" spans="1:34" x14ac:dyDescent="0.25">
      <c r="A1576">
        <v>1</v>
      </c>
      <c r="C1576" s="185"/>
      <c r="E1576" t="s">
        <v>386</v>
      </c>
      <c r="F1576" t="s">
        <v>4748</v>
      </c>
      <c r="G1576" t="s">
        <v>4184</v>
      </c>
      <c r="H1576" t="s">
        <v>5589</v>
      </c>
      <c r="I1576">
        <v>8462</v>
      </c>
      <c r="J1576" t="s">
        <v>4748</v>
      </c>
      <c r="K1576" t="s">
        <v>5996</v>
      </c>
      <c r="L1576" t="s">
        <v>386</v>
      </c>
      <c r="M1576" t="s">
        <v>1193</v>
      </c>
      <c r="N1576">
        <v>8462</v>
      </c>
      <c r="O1576">
        <v>0</v>
      </c>
      <c r="Q1576" t="s">
        <v>5997</v>
      </c>
      <c r="R1576" t="s">
        <v>1223</v>
      </c>
      <c r="T1576">
        <v>103</v>
      </c>
      <c r="V1576" t="s">
        <v>1530</v>
      </c>
      <c r="W1576" t="s">
        <v>1530</v>
      </c>
      <c r="X1576">
        <v>103</v>
      </c>
      <c r="Z1576" t="s">
        <v>865</v>
      </c>
      <c r="AA1576" t="s">
        <v>387</v>
      </c>
      <c r="AB1576">
        <v>0</v>
      </c>
      <c r="AC1576">
        <v>4521</v>
      </c>
      <c r="AD1576" t="s">
        <v>5998</v>
      </c>
      <c r="AE1576">
        <v>138</v>
      </c>
      <c r="AF1576" t="s">
        <v>2509</v>
      </c>
      <c r="AG1576" t="s">
        <v>5999</v>
      </c>
    </row>
    <row r="1577" spans="1:34" x14ac:dyDescent="0.25">
      <c r="A1577">
        <v>1</v>
      </c>
      <c r="C1577" s="185"/>
      <c r="E1577" t="s">
        <v>386</v>
      </c>
      <c r="F1577" t="s">
        <v>6000</v>
      </c>
      <c r="G1577" t="s">
        <v>1197</v>
      </c>
      <c r="H1577" t="s">
        <v>6001</v>
      </c>
      <c r="I1577">
        <v>2277</v>
      </c>
      <c r="J1577" t="s">
        <v>6000</v>
      </c>
      <c r="K1577" t="s">
        <v>6002</v>
      </c>
      <c r="L1577" t="s">
        <v>386</v>
      </c>
      <c r="M1577" t="s">
        <v>1193</v>
      </c>
      <c r="N1577">
        <v>2277</v>
      </c>
      <c r="O1577">
        <v>0</v>
      </c>
      <c r="Q1577" t="s">
        <v>6003</v>
      </c>
      <c r="T1577">
        <v>372</v>
      </c>
      <c r="V1577" t="s">
        <v>2073</v>
      </c>
      <c r="W1577" t="s">
        <v>2073</v>
      </c>
      <c r="X1577">
        <v>372</v>
      </c>
      <c r="Z1577" t="s">
        <v>865</v>
      </c>
      <c r="AA1577" t="s">
        <v>387</v>
      </c>
      <c r="AB1577">
        <v>0</v>
      </c>
      <c r="AC1577">
        <v>1677</v>
      </c>
      <c r="AD1577" t="s">
        <v>6004</v>
      </c>
      <c r="AE1577">
        <v>150</v>
      </c>
      <c r="AF1577" t="s">
        <v>2587</v>
      </c>
      <c r="AG1577" t="s">
        <v>6005</v>
      </c>
      <c r="AH1577" t="s">
        <v>6006</v>
      </c>
    </row>
    <row r="1578" spans="1:34" x14ac:dyDescent="0.25">
      <c r="A1578">
        <v>1</v>
      </c>
      <c r="C1578" s="185"/>
      <c r="E1578" t="s">
        <v>386</v>
      </c>
      <c r="F1578" t="s">
        <v>6007</v>
      </c>
      <c r="G1578" t="s">
        <v>1197</v>
      </c>
      <c r="H1578" t="s">
        <v>6008</v>
      </c>
      <c r="I1578">
        <v>1304</v>
      </c>
      <c r="J1578" t="s">
        <v>6007</v>
      </c>
      <c r="K1578" t="s">
        <v>6009</v>
      </c>
      <c r="L1578" t="s">
        <v>386</v>
      </c>
      <c r="M1578" t="s">
        <v>1193</v>
      </c>
      <c r="N1578">
        <v>1304</v>
      </c>
      <c r="O1578">
        <v>0</v>
      </c>
      <c r="Q1578" t="s">
        <v>6010</v>
      </c>
      <c r="T1578">
        <v>340</v>
      </c>
      <c r="V1578" t="s">
        <v>1200</v>
      </c>
      <c r="W1578" t="s">
        <v>1257</v>
      </c>
      <c r="X1578">
        <v>426</v>
      </c>
      <c r="Z1578" t="s">
        <v>865</v>
      </c>
      <c r="AA1578" t="s">
        <v>387</v>
      </c>
      <c r="AB1578">
        <v>0</v>
      </c>
      <c r="AC1578">
        <v>305</v>
      </c>
      <c r="AD1578" t="s">
        <v>4809</v>
      </c>
      <c r="AE1578">
        <v>604</v>
      </c>
      <c r="AF1578" t="s">
        <v>3979</v>
      </c>
      <c r="AG1578" t="s">
        <v>6011</v>
      </c>
      <c r="AH1578" t="s">
        <v>6012</v>
      </c>
    </row>
    <row r="1579" spans="1:34" x14ac:dyDescent="0.25">
      <c r="A1579">
        <v>1665</v>
      </c>
      <c r="C1579" s="185"/>
      <c r="D1579" t="s">
        <v>157</v>
      </c>
      <c r="E1579" t="s">
        <v>386</v>
      </c>
      <c r="F1579" t="s">
        <v>363</v>
      </c>
      <c r="G1579" t="s">
        <v>1197</v>
      </c>
      <c r="H1579" t="s">
        <v>6013</v>
      </c>
      <c r="I1579">
        <v>6304</v>
      </c>
      <c r="J1579" t="s">
        <v>6014</v>
      </c>
      <c r="K1579" t="s">
        <v>6015</v>
      </c>
      <c r="L1579" t="s">
        <v>386</v>
      </c>
      <c r="M1579" t="s">
        <v>1193</v>
      </c>
      <c r="N1579">
        <v>15339</v>
      </c>
      <c r="O1579">
        <v>59</v>
      </c>
      <c r="Q1579" t="s">
        <v>6016</v>
      </c>
      <c r="R1579" t="s">
        <v>398</v>
      </c>
      <c r="T1579">
        <v>372</v>
      </c>
      <c r="V1579" t="s">
        <v>2073</v>
      </c>
      <c r="W1579" t="s">
        <v>2107</v>
      </c>
      <c r="X1579">
        <v>272</v>
      </c>
      <c r="Z1579" t="s">
        <v>6017</v>
      </c>
      <c r="AA1579" t="s">
        <v>387</v>
      </c>
      <c r="AB1579">
        <v>51000</v>
      </c>
      <c r="AC1579">
        <v>1871</v>
      </c>
      <c r="AD1579" t="s">
        <v>6018</v>
      </c>
      <c r="AE1579">
        <v>770</v>
      </c>
      <c r="AF1579" t="s">
        <v>6019</v>
      </c>
      <c r="AG1579" t="s">
        <v>6020</v>
      </c>
      <c r="AH1579" t="s">
        <v>6021</v>
      </c>
    </row>
    <row r="1580" spans="1:34" x14ac:dyDescent="0.25">
      <c r="A1580">
        <v>1212</v>
      </c>
      <c r="C1580" s="185"/>
      <c r="D1580" t="s">
        <v>157</v>
      </c>
      <c r="E1580" t="s">
        <v>386</v>
      </c>
      <c r="F1580" t="s">
        <v>363</v>
      </c>
      <c r="G1580" t="s">
        <v>4184</v>
      </c>
      <c r="H1580" t="s">
        <v>6022</v>
      </c>
      <c r="I1580">
        <v>8524</v>
      </c>
      <c r="J1580" t="s">
        <v>6023</v>
      </c>
      <c r="K1580" t="s">
        <v>6015</v>
      </c>
      <c r="L1580" t="s">
        <v>386</v>
      </c>
      <c r="M1580" t="s">
        <v>1193</v>
      </c>
      <c r="N1580">
        <v>15339</v>
      </c>
      <c r="O1580">
        <v>59</v>
      </c>
      <c r="Q1580" t="s">
        <v>6024</v>
      </c>
      <c r="R1580" t="s">
        <v>398</v>
      </c>
      <c r="T1580">
        <v>272</v>
      </c>
      <c r="V1580" t="s">
        <v>2107</v>
      </c>
      <c r="W1580" t="s">
        <v>3321</v>
      </c>
      <c r="X1580">
        <v>246</v>
      </c>
      <c r="Z1580" t="s">
        <v>6025</v>
      </c>
      <c r="AA1580" t="s">
        <v>387</v>
      </c>
      <c r="AB1580">
        <v>51000</v>
      </c>
      <c r="AC1580">
        <v>3423</v>
      </c>
      <c r="AD1580" t="s">
        <v>6026</v>
      </c>
      <c r="AE1580">
        <v>770</v>
      </c>
      <c r="AF1580" t="s">
        <v>6019</v>
      </c>
      <c r="AG1580" t="s">
        <v>3434</v>
      </c>
      <c r="AH1580" t="s">
        <v>6027</v>
      </c>
    </row>
    <row r="1581" spans="1:34" x14ac:dyDescent="0.25">
      <c r="A1581">
        <v>1</v>
      </c>
      <c r="C1581" s="185"/>
      <c r="E1581" t="s">
        <v>386</v>
      </c>
      <c r="F1581" t="s">
        <v>6028</v>
      </c>
      <c r="H1581" t="s">
        <v>6029</v>
      </c>
      <c r="I1581">
        <v>8663</v>
      </c>
      <c r="J1581" t="s">
        <v>6028</v>
      </c>
      <c r="K1581" t="s">
        <v>6028</v>
      </c>
      <c r="L1581" t="s">
        <v>386</v>
      </c>
      <c r="M1581" t="s">
        <v>1193</v>
      </c>
      <c r="N1581">
        <v>8663</v>
      </c>
      <c r="O1581">
        <v>0</v>
      </c>
      <c r="Q1581" t="s">
        <v>6030</v>
      </c>
      <c r="R1581" t="s">
        <v>1208</v>
      </c>
      <c r="T1581">
        <v>210</v>
      </c>
      <c r="V1581" t="s">
        <v>6031</v>
      </c>
      <c r="Z1581" t="s">
        <v>865</v>
      </c>
      <c r="AA1581" t="s">
        <v>387</v>
      </c>
      <c r="AB1581">
        <v>0</v>
      </c>
      <c r="AC1581">
        <v>76</v>
      </c>
      <c r="AD1581" t="s">
        <v>6032</v>
      </c>
      <c r="AE1581">
        <v>1</v>
      </c>
      <c r="AF1581" t="s">
        <v>1922</v>
      </c>
      <c r="AG1581" t="s">
        <v>6033</v>
      </c>
      <c r="AH1581" t="s">
        <v>6034</v>
      </c>
    </row>
    <row r="1582" spans="1:34" x14ac:dyDescent="0.25">
      <c r="A1582">
        <v>1</v>
      </c>
      <c r="C1582" s="185"/>
      <c r="E1582" t="s">
        <v>386</v>
      </c>
      <c r="F1582" t="s">
        <v>6035</v>
      </c>
      <c r="G1582" t="s">
        <v>1197</v>
      </c>
      <c r="H1582" t="s">
        <v>5951</v>
      </c>
      <c r="I1582">
        <v>1191</v>
      </c>
      <c r="J1582" t="s">
        <v>6035</v>
      </c>
      <c r="K1582" t="s">
        <v>6036</v>
      </c>
      <c r="L1582" t="s">
        <v>386</v>
      </c>
      <c r="M1582" t="s">
        <v>1193</v>
      </c>
      <c r="N1582">
        <v>1191</v>
      </c>
      <c r="O1582">
        <v>0</v>
      </c>
      <c r="Q1582" t="s">
        <v>6037</v>
      </c>
      <c r="T1582">
        <v>0</v>
      </c>
      <c r="V1582" t="s">
        <v>1186</v>
      </c>
      <c r="Z1582" t="s">
        <v>865</v>
      </c>
      <c r="AA1582" t="s">
        <v>387</v>
      </c>
      <c r="AB1582">
        <v>0</v>
      </c>
      <c r="AC1582">
        <v>21</v>
      </c>
      <c r="AD1582" t="s">
        <v>1224</v>
      </c>
      <c r="AE1582">
        <v>2</v>
      </c>
      <c r="AF1582" t="s">
        <v>2919</v>
      </c>
      <c r="AG1582" t="s">
        <v>6038</v>
      </c>
      <c r="AH1582" t="s">
        <v>6039</v>
      </c>
    </row>
    <row r="1583" spans="1:34" x14ac:dyDescent="0.25">
      <c r="A1583">
        <v>2117</v>
      </c>
      <c r="C1583" s="185"/>
      <c r="D1583" t="s">
        <v>157</v>
      </c>
      <c r="E1583" t="s">
        <v>386</v>
      </c>
      <c r="F1583" t="s">
        <v>372</v>
      </c>
      <c r="G1583" t="s">
        <v>1197</v>
      </c>
      <c r="H1583" t="s">
        <v>6040</v>
      </c>
      <c r="I1583">
        <v>14849</v>
      </c>
      <c r="J1583" t="s">
        <v>311</v>
      </c>
      <c r="K1583" t="s">
        <v>6041</v>
      </c>
      <c r="L1583" t="s">
        <v>386</v>
      </c>
      <c r="M1583" t="s">
        <v>1193</v>
      </c>
      <c r="N1583">
        <v>15355</v>
      </c>
      <c r="O1583">
        <v>61</v>
      </c>
      <c r="Q1583" t="s">
        <v>6042</v>
      </c>
      <c r="R1583" t="s">
        <v>398</v>
      </c>
      <c r="T1583">
        <v>260</v>
      </c>
      <c r="V1583" t="s">
        <v>1216</v>
      </c>
      <c r="W1583" t="s">
        <v>2246</v>
      </c>
      <c r="X1583">
        <v>496</v>
      </c>
      <c r="Z1583" t="s">
        <v>6043</v>
      </c>
      <c r="AA1583" t="s">
        <v>387</v>
      </c>
      <c r="AB1583">
        <v>0</v>
      </c>
      <c r="AC1583">
        <v>5653</v>
      </c>
      <c r="AD1583" t="s">
        <v>6044</v>
      </c>
      <c r="AE1583">
        <v>1</v>
      </c>
      <c r="AF1583" t="s">
        <v>1922</v>
      </c>
      <c r="AG1583" t="s">
        <v>6045</v>
      </c>
      <c r="AH1583" t="s">
        <v>6046</v>
      </c>
    </row>
    <row r="1584" spans="1:34" x14ac:dyDescent="0.25">
      <c r="A1584">
        <v>1</v>
      </c>
      <c r="C1584" s="185"/>
      <c r="E1584" t="s">
        <v>386</v>
      </c>
      <c r="F1584" t="s">
        <v>6047</v>
      </c>
      <c r="G1584" t="s">
        <v>1192</v>
      </c>
      <c r="H1584" t="s">
        <v>1710</v>
      </c>
      <c r="I1584">
        <v>2095</v>
      </c>
      <c r="J1584" t="s">
        <v>6047</v>
      </c>
      <c r="K1584" t="s">
        <v>6048</v>
      </c>
      <c r="L1584" t="s">
        <v>386</v>
      </c>
      <c r="M1584" t="s">
        <v>1193</v>
      </c>
      <c r="N1584">
        <v>2095</v>
      </c>
      <c r="O1584">
        <v>0</v>
      </c>
      <c r="Q1584" t="s">
        <v>6049</v>
      </c>
      <c r="T1584">
        <v>35</v>
      </c>
      <c r="V1584" t="s">
        <v>2015</v>
      </c>
      <c r="Z1584" t="s">
        <v>865</v>
      </c>
      <c r="AA1584" t="s">
        <v>387</v>
      </c>
      <c r="AB1584">
        <v>0</v>
      </c>
      <c r="AC1584">
        <v>1553</v>
      </c>
      <c r="AD1584" t="s">
        <v>4519</v>
      </c>
      <c r="AE1584">
        <v>757</v>
      </c>
      <c r="AF1584" t="s">
        <v>6050</v>
      </c>
      <c r="AG1584" t="s">
        <v>6051</v>
      </c>
      <c r="AH1584" t="s">
        <v>6052</v>
      </c>
    </row>
    <row r="1585" spans="1:34" x14ac:dyDescent="0.25">
      <c r="A1585">
        <v>1</v>
      </c>
      <c r="C1585" s="185"/>
      <c r="E1585" t="s">
        <v>386</v>
      </c>
      <c r="F1585" t="s">
        <v>6053</v>
      </c>
      <c r="G1585" t="s">
        <v>1197</v>
      </c>
      <c r="H1585" t="s">
        <v>3870</v>
      </c>
      <c r="I1585">
        <v>4890</v>
      </c>
      <c r="J1585" t="s">
        <v>6053</v>
      </c>
      <c r="K1585" t="s">
        <v>6054</v>
      </c>
      <c r="L1585" t="s">
        <v>386</v>
      </c>
      <c r="M1585" t="s">
        <v>1193</v>
      </c>
      <c r="N1585">
        <v>4890</v>
      </c>
      <c r="O1585">
        <v>0</v>
      </c>
      <c r="Q1585" t="s">
        <v>6055</v>
      </c>
      <c r="R1585" t="s">
        <v>1208</v>
      </c>
      <c r="T1585">
        <v>340</v>
      </c>
      <c r="V1585" t="s">
        <v>1200</v>
      </c>
      <c r="W1585" t="s">
        <v>1216</v>
      </c>
      <c r="X1585">
        <v>260</v>
      </c>
      <c r="Z1585" t="s">
        <v>865</v>
      </c>
      <c r="AA1585" t="s">
        <v>387</v>
      </c>
      <c r="AB1585">
        <v>0</v>
      </c>
      <c r="AC1585">
        <v>2562</v>
      </c>
      <c r="AD1585" t="s">
        <v>3871</v>
      </c>
      <c r="AE1585">
        <v>652</v>
      </c>
      <c r="AF1585" t="s">
        <v>2859</v>
      </c>
      <c r="AG1585" t="s">
        <v>3251</v>
      </c>
      <c r="AH1585" t="s">
        <v>6056</v>
      </c>
    </row>
    <row r="1586" spans="1:34" x14ac:dyDescent="0.25">
      <c r="A1586">
        <v>1586</v>
      </c>
      <c r="C1586" s="185"/>
      <c r="D1586" t="s">
        <v>157</v>
      </c>
      <c r="E1586" t="s">
        <v>386</v>
      </c>
      <c r="F1586" t="s">
        <v>6057</v>
      </c>
      <c r="G1586" t="s">
        <v>1238</v>
      </c>
      <c r="H1586" t="s">
        <v>5016</v>
      </c>
      <c r="I1586">
        <v>6326</v>
      </c>
      <c r="J1586" t="s">
        <v>6057</v>
      </c>
      <c r="K1586" t="s">
        <v>138</v>
      </c>
      <c r="L1586" t="s">
        <v>386</v>
      </c>
      <c r="M1586" t="s">
        <v>1184</v>
      </c>
      <c r="N1586">
        <v>6326</v>
      </c>
      <c r="O1586">
        <v>25</v>
      </c>
      <c r="Q1586" t="s">
        <v>6058</v>
      </c>
      <c r="T1586">
        <v>246</v>
      </c>
      <c r="V1586" t="s">
        <v>3321</v>
      </c>
      <c r="W1586" t="s">
        <v>2144</v>
      </c>
      <c r="X1586">
        <v>39</v>
      </c>
      <c r="Z1586" t="s">
        <v>5018</v>
      </c>
      <c r="AA1586" t="s">
        <v>387</v>
      </c>
      <c r="AB1586">
        <v>0</v>
      </c>
      <c r="AC1586">
        <v>421</v>
      </c>
      <c r="AD1586" t="s">
        <v>5159</v>
      </c>
      <c r="AE1586">
        <v>18</v>
      </c>
      <c r="AF1586" t="s">
        <v>1259</v>
      </c>
      <c r="AG1586" t="s">
        <v>1244</v>
      </c>
      <c r="AH1586" t="s">
        <v>5020</v>
      </c>
    </row>
    <row r="1587" spans="1:34" x14ac:dyDescent="0.25">
      <c r="A1587">
        <v>1256</v>
      </c>
      <c r="C1587" s="185"/>
      <c r="E1587" t="s">
        <v>386</v>
      </c>
      <c r="F1587" t="s">
        <v>6059</v>
      </c>
      <c r="G1587" t="s">
        <v>1197</v>
      </c>
      <c r="H1587" t="s">
        <v>4645</v>
      </c>
      <c r="I1587">
        <v>2517</v>
      </c>
      <c r="J1587" t="s">
        <v>6059</v>
      </c>
      <c r="K1587" t="s">
        <v>6059</v>
      </c>
      <c r="L1587" t="s">
        <v>386</v>
      </c>
      <c r="M1587" t="s">
        <v>1193</v>
      </c>
      <c r="N1587">
        <v>2517</v>
      </c>
      <c r="O1587">
        <v>0</v>
      </c>
      <c r="Q1587" t="s">
        <v>6060</v>
      </c>
      <c r="T1587">
        <v>571</v>
      </c>
      <c r="V1587" t="s">
        <v>2003</v>
      </c>
      <c r="W1587" t="s">
        <v>1216</v>
      </c>
      <c r="X1587">
        <v>260</v>
      </c>
      <c r="Z1587" t="s">
        <v>4648</v>
      </c>
      <c r="AA1587" t="s">
        <v>387</v>
      </c>
      <c r="AB1587">
        <v>0</v>
      </c>
      <c r="AC1587">
        <v>1819</v>
      </c>
      <c r="AD1587" t="s">
        <v>6061</v>
      </c>
      <c r="AE1587">
        <v>548</v>
      </c>
      <c r="AF1587" t="s">
        <v>5513</v>
      </c>
      <c r="AG1587" t="s">
        <v>4387</v>
      </c>
      <c r="AH1587" t="s">
        <v>6062</v>
      </c>
    </row>
    <row r="1588" spans="1:34" x14ac:dyDescent="0.25">
      <c r="A1588">
        <v>1301</v>
      </c>
      <c r="B1588" t="s">
        <v>1313</v>
      </c>
      <c r="C1588" s="185"/>
      <c r="E1588" t="s">
        <v>386</v>
      </c>
      <c r="F1588" t="s">
        <v>6063</v>
      </c>
      <c r="H1588" t="s">
        <v>5413</v>
      </c>
      <c r="I1588">
        <v>7879</v>
      </c>
      <c r="J1588" t="s">
        <v>6063</v>
      </c>
      <c r="K1588" t="s">
        <v>6063</v>
      </c>
      <c r="L1588" t="s">
        <v>386</v>
      </c>
      <c r="M1588" t="s">
        <v>1193</v>
      </c>
      <c r="N1588">
        <v>7879</v>
      </c>
      <c r="O1588">
        <v>0</v>
      </c>
      <c r="Q1588" t="s">
        <v>6064</v>
      </c>
      <c r="S1588" t="s">
        <v>1315</v>
      </c>
      <c r="T1588">
        <v>35</v>
      </c>
      <c r="U1588">
        <v>0</v>
      </c>
      <c r="V1588" t="s">
        <v>2015</v>
      </c>
      <c r="Y1588" t="s">
        <v>1317</v>
      </c>
      <c r="Z1588" t="s">
        <v>5415</v>
      </c>
      <c r="AA1588" t="s">
        <v>387</v>
      </c>
      <c r="AB1588">
        <v>0</v>
      </c>
      <c r="AC1588">
        <v>3242</v>
      </c>
      <c r="AD1588" t="s">
        <v>6065</v>
      </c>
      <c r="AE1588">
        <v>1521</v>
      </c>
      <c r="AF1588" t="s">
        <v>1132</v>
      </c>
      <c r="AG1588" t="s">
        <v>6066</v>
      </c>
    </row>
    <row r="1589" spans="1:34" x14ac:dyDescent="0.25">
      <c r="A1589">
        <v>1697</v>
      </c>
      <c r="C1589" s="185"/>
      <c r="E1589" t="s">
        <v>386</v>
      </c>
      <c r="F1589" t="s">
        <v>6067</v>
      </c>
      <c r="G1589" t="s">
        <v>1197</v>
      </c>
      <c r="H1589" t="s">
        <v>5098</v>
      </c>
      <c r="I1589">
        <v>12811</v>
      </c>
      <c r="J1589" t="s">
        <v>6067</v>
      </c>
      <c r="K1589" t="s">
        <v>6068</v>
      </c>
      <c r="L1589" t="s">
        <v>386</v>
      </c>
      <c r="M1589" t="s">
        <v>1193</v>
      </c>
      <c r="N1589">
        <v>12811</v>
      </c>
      <c r="O1589">
        <v>35</v>
      </c>
      <c r="Q1589" t="s">
        <v>6069</v>
      </c>
      <c r="T1589">
        <v>220</v>
      </c>
      <c r="V1589" t="s">
        <v>1194</v>
      </c>
      <c r="W1589" t="s">
        <v>1194</v>
      </c>
      <c r="X1589">
        <v>220</v>
      </c>
      <c r="Z1589" t="s">
        <v>4989</v>
      </c>
      <c r="AA1589" t="s">
        <v>387</v>
      </c>
      <c r="AB1589">
        <v>27000</v>
      </c>
      <c r="AC1589">
        <v>4787</v>
      </c>
      <c r="AD1589" t="s">
        <v>6070</v>
      </c>
      <c r="AE1589">
        <v>2205</v>
      </c>
      <c r="AF1589" t="s">
        <v>6071</v>
      </c>
      <c r="AG1589" t="s">
        <v>6072</v>
      </c>
      <c r="AH1589" t="s">
        <v>6073</v>
      </c>
    </row>
    <row r="1590" spans="1:34" x14ac:dyDescent="0.25">
      <c r="A1590">
        <v>1</v>
      </c>
      <c r="C1590" s="185"/>
      <c r="E1590" t="s">
        <v>386</v>
      </c>
      <c r="F1590" t="s">
        <v>6074</v>
      </c>
      <c r="G1590" t="s">
        <v>1197</v>
      </c>
      <c r="H1590" t="s">
        <v>6075</v>
      </c>
      <c r="I1590">
        <v>2273</v>
      </c>
      <c r="J1590" t="s">
        <v>6074</v>
      </c>
      <c r="K1590" t="s">
        <v>6074</v>
      </c>
      <c r="L1590" t="s">
        <v>386</v>
      </c>
      <c r="M1590" t="s">
        <v>1193</v>
      </c>
      <c r="N1590">
        <v>2273</v>
      </c>
      <c r="O1590">
        <v>0</v>
      </c>
      <c r="Q1590" t="s">
        <v>6076</v>
      </c>
      <c r="T1590">
        <v>52</v>
      </c>
      <c r="V1590" t="s">
        <v>2024</v>
      </c>
      <c r="Z1590" t="s">
        <v>865</v>
      </c>
      <c r="AA1590" t="s">
        <v>387</v>
      </c>
      <c r="AB1590">
        <v>0</v>
      </c>
      <c r="AC1590">
        <v>1675</v>
      </c>
      <c r="AD1590" t="s">
        <v>6077</v>
      </c>
      <c r="AE1590">
        <v>180</v>
      </c>
      <c r="AF1590" t="s">
        <v>6078</v>
      </c>
      <c r="AG1590" t="s">
        <v>3790</v>
      </c>
      <c r="AH1590" t="s">
        <v>6079</v>
      </c>
    </row>
    <row r="1591" spans="1:34" x14ac:dyDescent="0.25">
      <c r="A1591">
        <v>1</v>
      </c>
      <c r="C1591" s="185"/>
      <c r="E1591" t="s">
        <v>386</v>
      </c>
      <c r="F1591" t="s">
        <v>6080</v>
      </c>
      <c r="G1591" t="s">
        <v>1197</v>
      </c>
      <c r="H1591" t="s">
        <v>6081</v>
      </c>
      <c r="I1591">
        <v>2630</v>
      </c>
      <c r="J1591" t="s">
        <v>6080</v>
      </c>
      <c r="K1591" t="s">
        <v>6082</v>
      </c>
      <c r="L1591" t="s">
        <v>386</v>
      </c>
      <c r="M1591" t="s">
        <v>1193</v>
      </c>
      <c r="N1591">
        <v>2630</v>
      </c>
      <c r="O1591">
        <v>0</v>
      </c>
      <c r="Q1591" t="s">
        <v>6083</v>
      </c>
      <c r="R1591" t="s">
        <v>1208</v>
      </c>
      <c r="T1591">
        <v>571</v>
      </c>
      <c r="V1591" t="s">
        <v>2003</v>
      </c>
      <c r="W1591" t="s">
        <v>1200</v>
      </c>
      <c r="X1591">
        <v>340</v>
      </c>
      <c r="Z1591" t="s">
        <v>865</v>
      </c>
      <c r="AA1591" t="s">
        <v>387</v>
      </c>
      <c r="AB1591">
        <v>0</v>
      </c>
      <c r="AC1591">
        <v>40</v>
      </c>
      <c r="AD1591" t="s">
        <v>3067</v>
      </c>
      <c r="AE1591">
        <v>26</v>
      </c>
      <c r="AF1591" t="s">
        <v>2075</v>
      </c>
      <c r="AG1591" t="s">
        <v>6084</v>
      </c>
      <c r="AH1591" t="s">
        <v>6085</v>
      </c>
    </row>
    <row r="1592" spans="1:34" x14ac:dyDescent="0.25">
      <c r="A1592">
        <v>2018</v>
      </c>
      <c r="C1592" s="185"/>
      <c r="E1592" t="s">
        <v>386</v>
      </c>
      <c r="F1592" t="s">
        <v>6086</v>
      </c>
      <c r="G1592" t="s">
        <v>1238</v>
      </c>
      <c r="H1592" t="s">
        <v>5092</v>
      </c>
      <c r="I1592">
        <v>12762</v>
      </c>
      <c r="J1592" t="s">
        <v>6086</v>
      </c>
      <c r="K1592" t="s">
        <v>6087</v>
      </c>
      <c r="L1592" t="s">
        <v>386</v>
      </c>
      <c r="M1592" t="s">
        <v>1184</v>
      </c>
      <c r="N1592">
        <v>12762</v>
      </c>
      <c r="O1592">
        <v>0</v>
      </c>
      <c r="Q1592" t="s">
        <v>6088</v>
      </c>
      <c r="R1592" t="s">
        <v>398</v>
      </c>
      <c r="T1592">
        <v>260</v>
      </c>
      <c r="V1592" t="s">
        <v>1216</v>
      </c>
      <c r="Z1592" t="s">
        <v>5095</v>
      </c>
      <c r="AA1592" t="s">
        <v>387</v>
      </c>
      <c r="AB1592">
        <v>0</v>
      </c>
      <c r="AC1592">
        <v>4767</v>
      </c>
      <c r="AD1592" t="s">
        <v>6089</v>
      </c>
      <c r="AE1592">
        <v>18</v>
      </c>
      <c r="AF1592" t="s">
        <v>1259</v>
      </c>
      <c r="AG1592" t="s">
        <v>6090</v>
      </c>
    </row>
    <row r="1593" spans="1:34" x14ac:dyDescent="0.25">
      <c r="A1593">
        <v>1</v>
      </c>
      <c r="C1593" s="185"/>
      <c r="D1593" t="s">
        <v>157</v>
      </c>
      <c r="E1593" t="s">
        <v>386</v>
      </c>
      <c r="F1593" t="s">
        <v>175</v>
      </c>
      <c r="G1593" t="s">
        <v>1197</v>
      </c>
      <c r="H1593" t="s">
        <v>6081</v>
      </c>
      <c r="I1593">
        <v>10941</v>
      </c>
      <c r="J1593" t="s">
        <v>175</v>
      </c>
      <c r="K1593" t="s">
        <v>6091</v>
      </c>
      <c r="L1593" t="s">
        <v>386</v>
      </c>
      <c r="M1593" t="s">
        <v>1193</v>
      </c>
      <c r="N1593">
        <v>10941</v>
      </c>
      <c r="O1593">
        <v>25</v>
      </c>
      <c r="Q1593" t="s">
        <v>6092</v>
      </c>
      <c r="T1593">
        <v>280</v>
      </c>
      <c r="V1593" t="s">
        <v>3202</v>
      </c>
      <c r="Z1593" t="s">
        <v>865</v>
      </c>
      <c r="AA1593" t="s">
        <v>387</v>
      </c>
      <c r="AB1593">
        <v>19000</v>
      </c>
      <c r="AC1593">
        <v>40</v>
      </c>
      <c r="AD1593" t="s">
        <v>3067</v>
      </c>
      <c r="AE1593">
        <v>26</v>
      </c>
      <c r="AF1593" t="s">
        <v>2075</v>
      </c>
      <c r="AG1593" t="s">
        <v>6093</v>
      </c>
      <c r="AH1593" t="s">
        <v>6094</v>
      </c>
    </row>
    <row r="1594" spans="1:34" x14ac:dyDescent="0.25">
      <c r="A1594">
        <v>917</v>
      </c>
      <c r="C1594" s="185"/>
      <c r="D1594" t="s">
        <v>157</v>
      </c>
      <c r="E1594" t="s">
        <v>386</v>
      </c>
      <c r="F1594" t="s">
        <v>6095</v>
      </c>
      <c r="G1594" t="s">
        <v>1238</v>
      </c>
      <c r="H1594" t="s">
        <v>5137</v>
      </c>
      <c r="I1594">
        <v>6172</v>
      </c>
      <c r="J1594" t="s">
        <v>6095</v>
      </c>
      <c r="K1594" t="s">
        <v>6096</v>
      </c>
      <c r="L1594" t="s">
        <v>386</v>
      </c>
      <c r="M1594" t="s">
        <v>1184</v>
      </c>
      <c r="N1594">
        <v>6172</v>
      </c>
      <c r="O1594">
        <v>0</v>
      </c>
      <c r="Q1594" t="s">
        <v>6097</v>
      </c>
      <c r="T1594">
        <v>388</v>
      </c>
      <c r="V1594" t="s">
        <v>1712</v>
      </c>
      <c r="W1594" t="s">
        <v>2144</v>
      </c>
      <c r="X1594">
        <v>39</v>
      </c>
      <c r="Z1594" t="s">
        <v>5139</v>
      </c>
      <c r="AA1594" t="s">
        <v>387</v>
      </c>
      <c r="AB1594">
        <v>0</v>
      </c>
      <c r="AC1594">
        <v>1722</v>
      </c>
      <c r="AD1594" t="s">
        <v>5271</v>
      </c>
      <c r="AE1594">
        <v>18</v>
      </c>
      <c r="AF1594" t="s">
        <v>1259</v>
      </c>
      <c r="AG1594" t="s">
        <v>1244</v>
      </c>
      <c r="AH1594" t="s">
        <v>6098</v>
      </c>
    </row>
    <row r="1595" spans="1:34" x14ac:dyDescent="0.25">
      <c r="A1595">
        <v>1</v>
      </c>
      <c r="C1595" s="185"/>
      <c r="E1595" t="s">
        <v>386</v>
      </c>
      <c r="F1595" t="s">
        <v>6099</v>
      </c>
      <c r="G1595" t="s">
        <v>1197</v>
      </c>
      <c r="H1595" t="s">
        <v>6100</v>
      </c>
      <c r="I1595">
        <v>12832</v>
      </c>
      <c r="J1595" t="s">
        <v>6099</v>
      </c>
      <c r="K1595" t="s">
        <v>6099</v>
      </c>
      <c r="L1595" t="s">
        <v>386</v>
      </c>
      <c r="M1595" t="s">
        <v>1193</v>
      </c>
      <c r="N1595">
        <v>12832</v>
      </c>
      <c r="O1595">
        <v>0</v>
      </c>
      <c r="Q1595" t="s">
        <v>6101</v>
      </c>
      <c r="R1595" t="s">
        <v>1208</v>
      </c>
      <c r="T1595">
        <v>304</v>
      </c>
      <c r="V1595" t="s">
        <v>2067</v>
      </c>
      <c r="Z1595" t="s">
        <v>865</v>
      </c>
      <c r="AA1595" t="s">
        <v>387</v>
      </c>
      <c r="AB1595">
        <v>0</v>
      </c>
      <c r="AC1595">
        <v>135</v>
      </c>
      <c r="AD1595" t="s">
        <v>6102</v>
      </c>
      <c r="AE1595">
        <v>78</v>
      </c>
      <c r="AF1595" t="s">
        <v>3061</v>
      </c>
      <c r="AG1595" t="s">
        <v>6103</v>
      </c>
      <c r="AH1595" t="s">
        <v>6104</v>
      </c>
    </row>
    <row r="1596" spans="1:34" x14ac:dyDescent="0.25">
      <c r="A1596">
        <v>1</v>
      </c>
      <c r="C1596" s="185"/>
      <c r="D1596" t="s">
        <v>157</v>
      </c>
      <c r="E1596" t="s">
        <v>386</v>
      </c>
      <c r="F1596" t="s">
        <v>6105</v>
      </c>
      <c r="G1596" t="s">
        <v>1197</v>
      </c>
      <c r="H1596" t="s">
        <v>6106</v>
      </c>
      <c r="I1596">
        <v>6839</v>
      </c>
      <c r="J1596" t="s">
        <v>6105</v>
      </c>
      <c r="K1596" t="s">
        <v>6105</v>
      </c>
      <c r="L1596" t="s">
        <v>386</v>
      </c>
      <c r="M1596" t="s">
        <v>1193</v>
      </c>
      <c r="N1596">
        <v>6839</v>
      </c>
      <c r="O1596">
        <v>0</v>
      </c>
      <c r="Q1596" t="s">
        <v>6107</v>
      </c>
      <c r="R1596" t="s">
        <v>398</v>
      </c>
      <c r="T1596">
        <v>114</v>
      </c>
      <c r="V1596" t="s">
        <v>2879</v>
      </c>
      <c r="Z1596" t="s">
        <v>865</v>
      </c>
      <c r="AA1596" t="s">
        <v>387</v>
      </c>
      <c r="AB1596">
        <v>0</v>
      </c>
      <c r="AC1596">
        <v>40</v>
      </c>
      <c r="AD1596" t="s">
        <v>3067</v>
      </c>
      <c r="AE1596">
        <v>26</v>
      </c>
      <c r="AF1596" t="s">
        <v>2075</v>
      </c>
      <c r="AG1596" t="s">
        <v>6108</v>
      </c>
      <c r="AH1596" t="s">
        <v>6109</v>
      </c>
    </row>
    <row r="1597" spans="1:34" x14ac:dyDescent="0.25">
      <c r="A1597">
        <v>25</v>
      </c>
      <c r="C1597" s="185"/>
      <c r="E1597" t="s">
        <v>386</v>
      </c>
      <c r="F1597" t="s">
        <v>6110</v>
      </c>
      <c r="G1597" t="s">
        <v>1197</v>
      </c>
      <c r="H1597" t="s">
        <v>6111</v>
      </c>
      <c r="I1597">
        <v>15923</v>
      </c>
      <c r="J1597" t="s">
        <v>6110</v>
      </c>
      <c r="K1597" t="s">
        <v>6110</v>
      </c>
      <c r="L1597" t="s">
        <v>386</v>
      </c>
      <c r="M1597" t="s">
        <v>1193</v>
      </c>
      <c r="N1597">
        <v>15923</v>
      </c>
      <c r="O1597">
        <v>0</v>
      </c>
      <c r="Q1597" t="s">
        <v>6112</v>
      </c>
      <c r="T1597">
        <v>473</v>
      </c>
      <c r="V1597" t="s">
        <v>1964</v>
      </c>
      <c r="W1597" t="s">
        <v>1964</v>
      </c>
      <c r="X1597">
        <v>473</v>
      </c>
      <c r="Z1597" t="s">
        <v>857</v>
      </c>
      <c r="AA1597" t="s">
        <v>387</v>
      </c>
      <c r="AB1597">
        <v>0</v>
      </c>
      <c r="AC1597">
        <v>6000</v>
      </c>
      <c r="AD1597" t="s">
        <v>6113</v>
      </c>
      <c r="AE1597">
        <v>1</v>
      </c>
      <c r="AF1597" t="s">
        <v>1922</v>
      </c>
      <c r="AG1597" t="s">
        <v>2688</v>
      </c>
      <c r="AH1597" t="s">
        <v>6114</v>
      </c>
    </row>
    <row r="1598" spans="1:34" x14ac:dyDescent="0.25">
      <c r="A1598">
        <v>1819</v>
      </c>
      <c r="C1598" s="185">
        <v>42213</v>
      </c>
      <c r="D1598" t="s">
        <v>157</v>
      </c>
      <c r="E1598" t="s">
        <v>386</v>
      </c>
      <c r="F1598" t="s">
        <v>6115</v>
      </c>
      <c r="G1598" t="s">
        <v>1197</v>
      </c>
      <c r="H1598" t="s">
        <v>5991</v>
      </c>
      <c r="I1598">
        <v>8272</v>
      </c>
      <c r="J1598" t="s">
        <v>6115</v>
      </c>
      <c r="K1598" t="s">
        <v>6116</v>
      </c>
      <c r="L1598" t="s">
        <v>386</v>
      </c>
      <c r="M1598" t="s">
        <v>1193</v>
      </c>
      <c r="N1598">
        <v>8272</v>
      </c>
      <c r="O1598">
        <v>0</v>
      </c>
      <c r="Q1598" t="s">
        <v>6117</v>
      </c>
      <c r="R1598" t="s">
        <v>398</v>
      </c>
      <c r="T1598">
        <v>23</v>
      </c>
      <c r="V1598" t="s">
        <v>1981</v>
      </c>
      <c r="Z1598" t="s">
        <v>5994</v>
      </c>
      <c r="AA1598" t="s">
        <v>387</v>
      </c>
      <c r="AB1598">
        <v>22000</v>
      </c>
      <c r="AC1598">
        <v>3322</v>
      </c>
      <c r="AD1598" t="s">
        <v>6118</v>
      </c>
      <c r="AE1598">
        <v>394</v>
      </c>
      <c r="AF1598" t="s">
        <v>3171</v>
      </c>
      <c r="AG1598" t="s">
        <v>6119</v>
      </c>
      <c r="AH1598" t="s">
        <v>6120</v>
      </c>
    </row>
    <row r="1599" spans="1:34" x14ac:dyDescent="0.25">
      <c r="A1599">
        <v>1553</v>
      </c>
      <c r="C1599" s="185"/>
      <c r="D1599" t="s">
        <v>157</v>
      </c>
      <c r="E1599" t="s">
        <v>386</v>
      </c>
      <c r="F1599" t="s">
        <v>5389</v>
      </c>
      <c r="G1599" t="s">
        <v>1238</v>
      </c>
      <c r="H1599" t="s">
        <v>5390</v>
      </c>
      <c r="I1599">
        <v>8394</v>
      </c>
      <c r="J1599" t="s">
        <v>5389</v>
      </c>
      <c r="K1599" t="s">
        <v>5389</v>
      </c>
      <c r="L1599" t="s">
        <v>386</v>
      </c>
      <c r="M1599" t="s">
        <v>1184</v>
      </c>
      <c r="N1599">
        <v>8394</v>
      </c>
      <c r="O1599">
        <v>0</v>
      </c>
      <c r="Q1599" t="s">
        <v>6121</v>
      </c>
      <c r="R1599" t="s">
        <v>398</v>
      </c>
      <c r="T1599">
        <v>189</v>
      </c>
      <c r="V1599" t="s">
        <v>1910</v>
      </c>
      <c r="Z1599" t="s">
        <v>968</v>
      </c>
      <c r="AA1599" t="s">
        <v>387</v>
      </c>
      <c r="AB1599">
        <v>0</v>
      </c>
      <c r="AC1599">
        <v>3359</v>
      </c>
      <c r="AD1599" t="s">
        <v>6122</v>
      </c>
      <c r="AE1599">
        <v>18</v>
      </c>
      <c r="AF1599" t="s">
        <v>1259</v>
      </c>
      <c r="AG1599" t="s">
        <v>1244</v>
      </c>
      <c r="AH1599" t="s">
        <v>5394</v>
      </c>
    </row>
    <row r="1600" spans="1:34" x14ac:dyDescent="0.25">
      <c r="A1600">
        <v>1785</v>
      </c>
      <c r="C1600" s="185"/>
      <c r="D1600" t="s">
        <v>157</v>
      </c>
      <c r="E1600" t="s">
        <v>386</v>
      </c>
      <c r="F1600" t="s">
        <v>4980</v>
      </c>
      <c r="G1600" t="s">
        <v>1238</v>
      </c>
      <c r="H1600" t="s">
        <v>4981</v>
      </c>
      <c r="I1600">
        <v>6881</v>
      </c>
      <c r="J1600" t="s">
        <v>4980</v>
      </c>
      <c r="K1600" t="s">
        <v>6123</v>
      </c>
      <c r="L1600" t="s">
        <v>386</v>
      </c>
      <c r="M1600" t="s">
        <v>1184</v>
      </c>
      <c r="N1600">
        <v>6881</v>
      </c>
      <c r="O1600">
        <v>0</v>
      </c>
      <c r="Q1600" t="s">
        <v>6124</v>
      </c>
      <c r="R1600" t="s">
        <v>398</v>
      </c>
      <c r="T1600">
        <v>388</v>
      </c>
      <c r="V1600" t="s">
        <v>1712</v>
      </c>
      <c r="W1600" t="s">
        <v>3202</v>
      </c>
      <c r="X1600">
        <v>280</v>
      </c>
      <c r="Z1600" t="s">
        <v>4983</v>
      </c>
      <c r="AA1600" t="s">
        <v>387</v>
      </c>
      <c r="AB1600">
        <v>0</v>
      </c>
      <c r="AC1600">
        <v>3040</v>
      </c>
      <c r="AD1600" t="s">
        <v>6125</v>
      </c>
      <c r="AE1600">
        <v>18</v>
      </c>
      <c r="AF1600" t="s">
        <v>1259</v>
      </c>
      <c r="AG1600" t="s">
        <v>1244</v>
      </c>
    </row>
    <row r="1601" spans="1:34" x14ac:dyDescent="0.25">
      <c r="A1601">
        <v>1</v>
      </c>
      <c r="C1601" s="185"/>
      <c r="E1601" t="s">
        <v>386</v>
      </c>
      <c r="F1601" t="s">
        <v>6126</v>
      </c>
      <c r="G1601" t="s">
        <v>1197</v>
      </c>
      <c r="H1601" t="s">
        <v>6127</v>
      </c>
      <c r="I1601">
        <v>5715</v>
      </c>
      <c r="J1601" t="s">
        <v>6126</v>
      </c>
      <c r="K1601" t="s">
        <v>6126</v>
      </c>
      <c r="L1601" t="s">
        <v>386</v>
      </c>
      <c r="M1601" t="s">
        <v>1193</v>
      </c>
      <c r="N1601">
        <v>5715</v>
      </c>
      <c r="O1601">
        <v>0</v>
      </c>
      <c r="Q1601" t="s">
        <v>6128</v>
      </c>
      <c r="T1601">
        <v>39</v>
      </c>
      <c r="V1601" t="s">
        <v>2144</v>
      </c>
      <c r="Z1601" t="s">
        <v>865</v>
      </c>
      <c r="AA1601" t="s">
        <v>387</v>
      </c>
      <c r="AB1601">
        <v>0</v>
      </c>
      <c r="AC1601">
        <v>1607</v>
      </c>
      <c r="AD1601" t="s">
        <v>6129</v>
      </c>
      <c r="AE1601">
        <v>114</v>
      </c>
      <c r="AF1601" t="s">
        <v>1218</v>
      </c>
      <c r="AG1601" t="s">
        <v>4364</v>
      </c>
      <c r="AH1601" t="s">
        <v>6130</v>
      </c>
    </row>
    <row r="1602" spans="1:34" x14ac:dyDescent="0.25">
      <c r="A1602">
        <v>1</v>
      </c>
      <c r="C1602" s="185"/>
      <c r="E1602" t="s">
        <v>386</v>
      </c>
      <c r="F1602" t="s">
        <v>6126</v>
      </c>
      <c r="G1602" t="s">
        <v>1197</v>
      </c>
      <c r="H1602" t="s">
        <v>6131</v>
      </c>
      <c r="I1602">
        <v>2281</v>
      </c>
      <c r="J1602" t="s">
        <v>6126</v>
      </c>
      <c r="K1602" t="s">
        <v>6126</v>
      </c>
      <c r="L1602" t="s">
        <v>386</v>
      </c>
      <c r="M1602" t="s">
        <v>1193</v>
      </c>
      <c r="N1602">
        <v>2281</v>
      </c>
      <c r="O1602">
        <v>0</v>
      </c>
      <c r="Q1602" t="s">
        <v>6132</v>
      </c>
      <c r="T1602">
        <v>185</v>
      </c>
      <c r="V1602" t="s">
        <v>1915</v>
      </c>
      <c r="Z1602" t="s">
        <v>865</v>
      </c>
      <c r="AA1602" t="s">
        <v>387</v>
      </c>
      <c r="AB1602">
        <v>0</v>
      </c>
      <c r="AC1602">
        <v>18</v>
      </c>
      <c r="AD1602" t="s">
        <v>1132</v>
      </c>
      <c r="AE1602">
        <v>33</v>
      </c>
      <c r="AF1602" t="s">
        <v>6133</v>
      </c>
      <c r="AG1602" t="s">
        <v>6134</v>
      </c>
      <c r="AH1602" t="s">
        <v>6135</v>
      </c>
    </row>
    <row r="1603" spans="1:34" x14ac:dyDescent="0.25">
      <c r="A1603">
        <v>1</v>
      </c>
      <c r="C1603" s="185"/>
      <c r="E1603" t="s">
        <v>386</v>
      </c>
      <c r="F1603" t="s">
        <v>6126</v>
      </c>
      <c r="H1603" t="s">
        <v>6136</v>
      </c>
      <c r="I1603">
        <v>7754</v>
      </c>
      <c r="J1603" t="s">
        <v>6137</v>
      </c>
      <c r="K1603" t="s">
        <v>6126</v>
      </c>
      <c r="L1603" t="s">
        <v>386</v>
      </c>
      <c r="M1603" t="s">
        <v>1193</v>
      </c>
      <c r="N1603">
        <v>2281</v>
      </c>
      <c r="O1603">
        <v>0</v>
      </c>
      <c r="Q1603" t="s">
        <v>6138</v>
      </c>
      <c r="T1603">
        <v>340</v>
      </c>
      <c r="V1603" t="s">
        <v>1200</v>
      </c>
      <c r="W1603" t="s">
        <v>2144</v>
      </c>
      <c r="X1603">
        <v>39</v>
      </c>
      <c r="Z1603" t="s">
        <v>865</v>
      </c>
      <c r="AA1603" t="s">
        <v>387</v>
      </c>
      <c r="AB1603">
        <v>0</v>
      </c>
      <c r="AC1603">
        <v>3216</v>
      </c>
      <c r="AD1603" t="s">
        <v>6139</v>
      </c>
      <c r="AE1603">
        <v>26</v>
      </c>
      <c r="AF1603" t="s">
        <v>2075</v>
      </c>
      <c r="AG1603" t="s">
        <v>6140</v>
      </c>
      <c r="AH1603" t="s">
        <v>6141</v>
      </c>
    </row>
    <row r="1604" spans="1:34" x14ac:dyDescent="0.25">
      <c r="A1604">
        <v>1</v>
      </c>
      <c r="C1604" s="185"/>
      <c r="E1604" t="s">
        <v>386</v>
      </c>
      <c r="F1604" t="s">
        <v>6126</v>
      </c>
      <c r="H1604" t="s">
        <v>6142</v>
      </c>
      <c r="I1604">
        <v>8116</v>
      </c>
      <c r="J1604" t="s">
        <v>6126</v>
      </c>
      <c r="K1604" t="s">
        <v>6126</v>
      </c>
      <c r="L1604" t="s">
        <v>386</v>
      </c>
      <c r="M1604" t="s">
        <v>1193</v>
      </c>
      <c r="N1604">
        <v>2281</v>
      </c>
      <c r="O1604">
        <v>0</v>
      </c>
      <c r="Q1604" t="s">
        <v>6143</v>
      </c>
      <c r="R1604" t="s">
        <v>1208</v>
      </c>
      <c r="T1604">
        <v>146</v>
      </c>
      <c r="V1604" t="s">
        <v>2727</v>
      </c>
      <c r="Z1604" t="s">
        <v>865</v>
      </c>
      <c r="AA1604" t="s">
        <v>387</v>
      </c>
      <c r="AB1604">
        <v>0</v>
      </c>
      <c r="AC1604">
        <v>121</v>
      </c>
      <c r="AD1604" t="s">
        <v>5825</v>
      </c>
      <c r="AE1604">
        <v>407</v>
      </c>
      <c r="AF1604" t="s">
        <v>6144</v>
      </c>
      <c r="AG1604" t="s">
        <v>6145</v>
      </c>
      <c r="AH1604" t="s">
        <v>6146</v>
      </c>
    </row>
    <row r="1605" spans="1:34" x14ac:dyDescent="0.25">
      <c r="A1605">
        <v>1</v>
      </c>
      <c r="C1605" s="185"/>
      <c r="E1605" t="s">
        <v>386</v>
      </c>
      <c r="F1605" t="s">
        <v>6126</v>
      </c>
      <c r="G1605" t="s">
        <v>1197</v>
      </c>
      <c r="H1605" t="s">
        <v>6147</v>
      </c>
      <c r="I1605">
        <v>10146</v>
      </c>
      <c r="J1605" t="s">
        <v>6126</v>
      </c>
      <c r="K1605" t="s">
        <v>6126</v>
      </c>
      <c r="L1605" t="s">
        <v>386</v>
      </c>
      <c r="M1605" t="s">
        <v>1193</v>
      </c>
      <c r="N1605">
        <v>10146</v>
      </c>
      <c r="O1605">
        <v>0</v>
      </c>
      <c r="Q1605" t="s">
        <v>6148</v>
      </c>
      <c r="T1605">
        <v>340</v>
      </c>
      <c r="V1605" t="s">
        <v>1200</v>
      </c>
      <c r="W1605" t="s">
        <v>2727</v>
      </c>
      <c r="X1605">
        <v>146</v>
      </c>
      <c r="Z1605" t="s">
        <v>865</v>
      </c>
      <c r="AA1605" t="s">
        <v>387</v>
      </c>
      <c r="AB1605">
        <v>0</v>
      </c>
      <c r="AC1605">
        <v>5978</v>
      </c>
      <c r="AD1605" t="s">
        <v>6149</v>
      </c>
      <c r="AE1605">
        <v>2897</v>
      </c>
      <c r="AF1605" t="s">
        <v>6150</v>
      </c>
      <c r="AG1605" t="s">
        <v>6151</v>
      </c>
      <c r="AH1605" t="s">
        <v>6141</v>
      </c>
    </row>
    <row r="1606" spans="1:34" x14ac:dyDescent="0.25">
      <c r="A1606">
        <v>1</v>
      </c>
      <c r="C1606" s="185"/>
      <c r="E1606" t="s">
        <v>386</v>
      </c>
      <c r="F1606" t="s">
        <v>6126</v>
      </c>
      <c r="G1606" t="s">
        <v>1197</v>
      </c>
      <c r="H1606" t="s">
        <v>6152</v>
      </c>
      <c r="I1606">
        <v>13259</v>
      </c>
      <c r="J1606" t="s">
        <v>6126</v>
      </c>
      <c r="K1606" t="s">
        <v>6126</v>
      </c>
      <c r="L1606" t="s">
        <v>386</v>
      </c>
      <c r="M1606" t="s">
        <v>1193</v>
      </c>
      <c r="N1606">
        <v>13259</v>
      </c>
      <c r="O1606">
        <v>0</v>
      </c>
      <c r="Q1606" t="s">
        <v>6153</v>
      </c>
      <c r="R1606" t="s">
        <v>1208</v>
      </c>
      <c r="T1606">
        <v>304</v>
      </c>
      <c r="V1606" t="s">
        <v>2067</v>
      </c>
      <c r="W1606" t="s">
        <v>2067</v>
      </c>
      <c r="X1606">
        <v>304</v>
      </c>
      <c r="Z1606" t="s">
        <v>865</v>
      </c>
      <c r="AA1606" t="s">
        <v>387</v>
      </c>
      <c r="AB1606">
        <v>0</v>
      </c>
      <c r="AC1606">
        <v>845</v>
      </c>
      <c r="AD1606" t="s">
        <v>6154</v>
      </c>
      <c r="AE1606">
        <v>2294</v>
      </c>
      <c r="AF1606" t="s">
        <v>6155</v>
      </c>
      <c r="AG1606" t="s">
        <v>6156</v>
      </c>
      <c r="AH1606" t="s">
        <v>6141</v>
      </c>
    </row>
    <row r="1607" spans="1:34" x14ac:dyDescent="0.25">
      <c r="A1607">
        <v>1765</v>
      </c>
      <c r="C1607" s="185"/>
      <c r="D1607" t="s">
        <v>157</v>
      </c>
      <c r="E1607" t="s">
        <v>386</v>
      </c>
      <c r="F1607" t="s">
        <v>6157</v>
      </c>
      <c r="G1607" t="s">
        <v>1238</v>
      </c>
      <c r="H1607" t="s">
        <v>4900</v>
      </c>
      <c r="I1607">
        <v>8483</v>
      </c>
      <c r="J1607" t="s">
        <v>6157</v>
      </c>
      <c r="K1607" t="s">
        <v>6157</v>
      </c>
      <c r="L1607" t="s">
        <v>386</v>
      </c>
      <c r="M1607" t="s">
        <v>1184</v>
      </c>
      <c r="N1607">
        <v>8483</v>
      </c>
      <c r="O1607">
        <v>0</v>
      </c>
      <c r="Q1607" t="s">
        <v>6158</v>
      </c>
      <c r="R1607" t="s">
        <v>398</v>
      </c>
      <c r="T1607">
        <v>388</v>
      </c>
      <c r="V1607" t="s">
        <v>1712</v>
      </c>
      <c r="W1607" t="s">
        <v>2015</v>
      </c>
      <c r="X1607">
        <v>35</v>
      </c>
      <c r="Z1607" t="s">
        <v>4903</v>
      </c>
      <c r="AA1607" t="s">
        <v>387</v>
      </c>
      <c r="AB1607">
        <v>0</v>
      </c>
      <c r="AC1607">
        <v>3397</v>
      </c>
      <c r="AD1607" t="s">
        <v>6159</v>
      </c>
      <c r="AE1607">
        <v>18</v>
      </c>
      <c r="AF1607" t="s">
        <v>1259</v>
      </c>
      <c r="AG1607" t="s">
        <v>1244</v>
      </c>
    </row>
    <row r="1608" spans="1:34" x14ac:dyDescent="0.25">
      <c r="A1608">
        <v>1155</v>
      </c>
      <c r="C1608" s="185"/>
      <c r="E1608" t="s">
        <v>386</v>
      </c>
      <c r="F1608" t="s">
        <v>6160</v>
      </c>
      <c r="G1608" t="s">
        <v>1238</v>
      </c>
      <c r="H1608" t="s">
        <v>4912</v>
      </c>
      <c r="I1608">
        <v>14601</v>
      </c>
      <c r="J1608" t="s">
        <v>6160</v>
      </c>
      <c r="K1608" t="s">
        <v>6161</v>
      </c>
      <c r="L1608" t="s">
        <v>386</v>
      </c>
      <c r="M1608" t="s">
        <v>1184</v>
      </c>
      <c r="N1608">
        <v>14601</v>
      </c>
      <c r="O1608">
        <v>0</v>
      </c>
      <c r="Q1608" t="s">
        <v>6162</v>
      </c>
      <c r="T1608">
        <v>259</v>
      </c>
      <c r="V1608" t="s">
        <v>1215</v>
      </c>
      <c r="W1608" t="s">
        <v>1216</v>
      </c>
      <c r="X1608">
        <v>260</v>
      </c>
      <c r="Z1608" t="s">
        <v>4915</v>
      </c>
      <c r="AA1608" t="s">
        <v>387</v>
      </c>
      <c r="AB1608">
        <v>0</v>
      </c>
      <c r="AC1608">
        <v>5549</v>
      </c>
      <c r="AD1608" t="s">
        <v>6160</v>
      </c>
      <c r="AE1608">
        <v>18</v>
      </c>
      <c r="AF1608" t="s">
        <v>1259</v>
      </c>
      <c r="AG1608" t="s">
        <v>1244</v>
      </c>
      <c r="AH1608" t="s">
        <v>6163</v>
      </c>
    </row>
    <row r="1609" spans="1:34" x14ac:dyDescent="0.25">
      <c r="A1609">
        <v>1</v>
      </c>
      <c r="C1609" s="185"/>
      <c r="E1609" t="s">
        <v>386</v>
      </c>
      <c r="F1609" t="s">
        <v>6164</v>
      </c>
      <c r="G1609" t="s">
        <v>1197</v>
      </c>
      <c r="H1609" t="s">
        <v>6165</v>
      </c>
      <c r="I1609">
        <v>2210</v>
      </c>
      <c r="J1609" t="s">
        <v>6164</v>
      </c>
      <c r="K1609" t="s">
        <v>6166</v>
      </c>
      <c r="L1609" t="s">
        <v>386</v>
      </c>
      <c r="M1609" t="s">
        <v>1193</v>
      </c>
      <c r="N1609">
        <v>2210</v>
      </c>
      <c r="O1609">
        <v>0</v>
      </c>
      <c r="Q1609" t="s">
        <v>6167</v>
      </c>
      <c r="R1609" t="s">
        <v>398</v>
      </c>
      <c r="T1609">
        <v>35</v>
      </c>
      <c r="V1609" t="s">
        <v>2015</v>
      </c>
      <c r="Z1609" t="s">
        <v>865</v>
      </c>
      <c r="AA1609" t="s">
        <v>387</v>
      </c>
      <c r="AB1609">
        <v>0</v>
      </c>
      <c r="AC1609">
        <v>1627</v>
      </c>
      <c r="AD1609" t="s">
        <v>6168</v>
      </c>
      <c r="AE1609">
        <v>14</v>
      </c>
      <c r="AF1609" t="s">
        <v>2615</v>
      </c>
      <c r="AG1609" t="s">
        <v>6169</v>
      </c>
      <c r="AH1609" t="s">
        <v>6170</v>
      </c>
    </row>
    <row r="1610" spans="1:34" x14ac:dyDescent="0.25">
      <c r="A1610">
        <v>1</v>
      </c>
      <c r="C1610" s="185"/>
      <c r="E1610" t="s">
        <v>386</v>
      </c>
      <c r="F1610" t="s">
        <v>6171</v>
      </c>
      <c r="G1610" t="s">
        <v>1197</v>
      </c>
      <c r="H1610" t="s">
        <v>6172</v>
      </c>
      <c r="I1610">
        <v>2810</v>
      </c>
      <c r="J1610" t="s">
        <v>6171</v>
      </c>
      <c r="K1610" t="s">
        <v>6173</v>
      </c>
      <c r="L1610" t="s">
        <v>386</v>
      </c>
      <c r="M1610" t="s">
        <v>1193</v>
      </c>
      <c r="N1610">
        <v>2810</v>
      </c>
      <c r="O1610">
        <v>10</v>
      </c>
      <c r="Q1610" t="s">
        <v>6174</v>
      </c>
      <c r="R1610" t="s">
        <v>398</v>
      </c>
      <c r="T1610">
        <v>52</v>
      </c>
      <c r="V1610" t="s">
        <v>2024</v>
      </c>
      <c r="Z1610" t="s">
        <v>865</v>
      </c>
      <c r="AA1610" t="s">
        <v>387</v>
      </c>
      <c r="AB1610">
        <v>6000</v>
      </c>
      <c r="AC1610">
        <v>45</v>
      </c>
      <c r="AD1610" t="s">
        <v>6175</v>
      </c>
      <c r="AE1610">
        <v>8</v>
      </c>
      <c r="AF1610" t="s">
        <v>2805</v>
      </c>
      <c r="AG1610" t="s">
        <v>6176</v>
      </c>
      <c r="AH1610" t="s">
        <v>6177</v>
      </c>
    </row>
    <row r="1611" spans="1:34" x14ac:dyDescent="0.25">
      <c r="A1611">
        <v>1780</v>
      </c>
      <c r="C1611" s="185"/>
      <c r="E1611" t="s">
        <v>386</v>
      </c>
      <c r="F1611" t="s">
        <v>6178</v>
      </c>
      <c r="G1611" t="s">
        <v>1238</v>
      </c>
      <c r="H1611" t="s">
        <v>6179</v>
      </c>
      <c r="I1611">
        <v>16878</v>
      </c>
      <c r="J1611" t="s">
        <v>6178</v>
      </c>
      <c r="K1611" t="s">
        <v>6180</v>
      </c>
      <c r="L1611" t="s">
        <v>386</v>
      </c>
      <c r="M1611" t="s">
        <v>1184</v>
      </c>
      <c r="N1611">
        <v>16878</v>
      </c>
      <c r="O1611">
        <v>0</v>
      </c>
      <c r="Q1611" t="s">
        <v>6181</v>
      </c>
      <c r="R1611" t="s">
        <v>398</v>
      </c>
      <c r="T1611">
        <v>260</v>
      </c>
      <c r="V1611" t="s">
        <v>1216</v>
      </c>
      <c r="W1611" t="s">
        <v>1216</v>
      </c>
      <c r="X1611">
        <v>260</v>
      </c>
      <c r="Z1611" t="s">
        <v>6182</v>
      </c>
      <c r="AA1611" t="s">
        <v>387</v>
      </c>
      <c r="AB1611">
        <v>0</v>
      </c>
      <c r="AC1611">
        <v>1112</v>
      </c>
      <c r="AD1611" t="s">
        <v>6183</v>
      </c>
      <c r="AE1611">
        <v>18</v>
      </c>
      <c r="AF1611" t="s">
        <v>1259</v>
      </c>
      <c r="AG1611" t="s">
        <v>1244</v>
      </c>
      <c r="AH1611" t="s">
        <v>6184</v>
      </c>
    </row>
    <row r="1612" spans="1:34" x14ac:dyDescent="0.25">
      <c r="A1612">
        <v>1</v>
      </c>
      <c r="C1612" s="185"/>
      <c r="E1612" t="s">
        <v>386</v>
      </c>
      <c r="F1612" t="s">
        <v>6185</v>
      </c>
      <c r="G1612" t="s">
        <v>1197</v>
      </c>
      <c r="H1612" t="s">
        <v>6186</v>
      </c>
      <c r="I1612">
        <v>11967</v>
      </c>
      <c r="J1612" t="s">
        <v>6185</v>
      </c>
      <c r="K1612" t="s">
        <v>6187</v>
      </c>
      <c r="L1612" t="s">
        <v>386</v>
      </c>
      <c r="M1612" t="s">
        <v>1193</v>
      </c>
      <c r="N1612">
        <v>11967</v>
      </c>
      <c r="O1612">
        <v>0</v>
      </c>
      <c r="Q1612" t="s">
        <v>6188</v>
      </c>
      <c r="R1612" t="s">
        <v>1223</v>
      </c>
      <c r="T1612">
        <v>304</v>
      </c>
      <c r="V1612" t="s">
        <v>2067</v>
      </c>
      <c r="Z1612" t="s">
        <v>865</v>
      </c>
      <c r="AA1612" t="s">
        <v>387</v>
      </c>
      <c r="AB1612">
        <v>0</v>
      </c>
      <c r="AC1612">
        <v>327</v>
      </c>
      <c r="AD1612" t="s">
        <v>6189</v>
      </c>
      <c r="AE1612">
        <v>26</v>
      </c>
      <c r="AF1612" t="s">
        <v>2075</v>
      </c>
      <c r="AG1612" t="s">
        <v>6190</v>
      </c>
    </row>
    <row r="1613" spans="1:34" x14ac:dyDescent="0.25">
      <c r="A1613">
        <v>25</v>
      </c>
      <c r="B1613" t="s">
        <v>1313</v>
      </c>
      <c r="C1613" s="185"/>
      <c r="D1613" t="s">
        <v>24</v>
      </c>
      <c r="E1613" t="s">
        <v>386</v>
      </c>
      <c r="F1613" t="s">
        <v>6191</v>
      </c>
      <c r="G1613" t="s">
        <v>1197</v>
      </c>
      <c r="H1613" t="s">
        <v>6192</v>
      </c>
      <c r="I1613">
        <v>12487</v>
      </c>
      <c r="J1613" t="s">
        <v>6191</v>
      </c>
      <c r="K1613" t="s">
        <v>6193</v>
      </c>
      <c r="L1613" t="s">
        <v>386</v>
      </c>
      <c r="M1613" t="s">
        <v>1193</v>
      </c>
      <c r="N1613">
        <v>12487</v>
      </c>
      <c r="O1613">
        <v>35</v>
      </c>
      <c r="Q1613" t="s">
        <v>6194</v>
      </c>
      <c r="R1613" t="s">
        <v>398</v>
      </c>
      <c r="S1613" t="s">
        <v>1909</v>
      </c>
      <c r="T1613">
        <v>280</v>
      </c>
      <c r="U1613">
        <v>0</v>
      </c>
      <c r="V1613" t="s">
        <v>3202</v>
      </c>
      <c r="Y1613" t="s">
        <v>1317</v>
      </c>
      <c r="Z1613" t="s">
        <v>857</v>
      </c>
      <c r="AA1613" t="s">
        <v>387</v>
      </c>
      <c r="AB1613">
        <v>27000</v>
      </c>
      <c r="AC1613">
        <v>4687</v>
      </c>
      <c r="AD1613" t="s">
        <v>6195</v>
      </c>
      <c r="AE1613">
        <v>3</v>
      </c>
      <c r="AF1613" t="s">
        <v>1235</v>
      </c>
      <c r="AG1613" t="s">
        <v>6196</v>
      </c>
      <c r="AH1613" t="s">
        <v>6197</v>
      </c>
    </row>
    <row r="1614" spans="1:34" x14ac:dyDescent="0.25">
      <c r="A1614">
        <v>1442</v>
      </c>
      <c r="C1614" s="185"/>
      <c r="E1614" t="s">
        <v>386</v>
      </c>
      <c r="F1614" t="s">
        <v>6198</v>
      </c>
      <c r="G1614" t="s">
        <v>1197</v>
      </c>
      <c r="H1614" t="s">
        <v>4664</v>
      </c>
      <c r="I1614">
        <v>13279</v>
      </c>
      <c r="J1614" t="s">
        <v>6198</v>
      </c>
      <c r="K1614" t="s">
        <v>6198</v>
      </c>
      <c r="L1614" t="s">
        <v>386</v>
      </c>
      <c r="M1614" t="s">
        <v>1193</v>
      </c>
      <c r="N1614">
        <v>13279</v>
      </c>
      <c r="O1614">
        <v>0</v>
      </c>
      <c r="Q1614" t="s">
        <v>6199</v>
      </c>
      <c r="R1614" t="s">
        <v>1208</v>
      </c>
      <c r="T1614">
        <v>340</v>
      </c>
      <c r="V1614" t="s">
        <v>1200</v>
      </c>
      <c r="W1614" t="s">
        <v>2067</v>
      </c>
      <c r="X1614">
        <v>304</v>
      </c>
      <c r="Z1614" t="s">
        <v>4667</v>
      </c>
      <c r="AA1614" t="s">
        <v>387</v>
      </c>
      <c r="AB1614">
        <v>0</v>
      </c>
      <c r="AC1614">
        <v>6400</v>
      </c>
      <c r="AD1614" t="s">
        <v>6200</v>
      </c>
      <c r="AE1614">
        <v>2947</v>
      </c>
      <c r="AF1614" t="s">
        <v>6201</v>
      </c>
      <c r="AG1614" t="s">
        <v>6202</v>
      </c>
      <c r="AH1614" t="s">
        <v>6203</v>
      </c>
    </row>
    <row r="1615" spans="1:34" x14ac:dyDescent="0.25">
      <c r="A1615">
        <v>1</v>
      </c>
      <c r="C1615" s="185"/>
      <c r="D1615" t="s">
        <v>24</v>
      </c>
      <c r="E1615" t="s">
        <v>386</v>
      </c>
      <c r="F1615" t="s">
        <v>6204</v>
      </c>
      <c r="G1615" t="s">
        <v>1197</v>
      </c>
      <c r="H1615" t="s">
        <v>6205</v>
      </c>
      <c r="I1615">
        <v>8399</v>
      </c>
      <c r="J1615" t="s">
        <v>6204</v>
      </c>
      <c r="K1615" t="s">
        <v>6204</v>
      </c>
      <c r="L1615" t="s">
        <v>386</v>
      </c>
      <c r="M1615" t="s">
        <v>1193</v>
      </c>
      <c r="N1615">
        <v>8399</v>
      </c>
      <c r="O1615">
        <v>0</v>
      </c>
      <c r="Q1615" t="s">
        <v>6206</v>
      </c>
      <c r="R1615" t="s">
        <v>398</v>
      </c>
      <c r="T1615">
        <v>185</v>
      </c>
      <c r="V1615" t="s">
        <v>1915</v>
      </c>
      <c r="Z1615" t="s">
        <v>865</v>
      </c>
      <c r="AA1615" t="s">
        <v>387</v>
      </c>
      <c r="AB1615">
        <v>0</v>
      </c>
      <c r="AC1615">
        <v>3363</v>
      </c>
      <c r="AD1615" t="s">
        <v>6207</v>
      </c>
      <c r="AE1615">
        <v>3</v>
      </c>
      <c r="AF1615" t="s">
        <v>1235</v>
      </c>
      <c r="AG1615" t="s">
        <v>6208</v>
      </c>
      <c r="AH1615" t="s">
        <v>6209</v>
      </c>
    </row>
    <row r="1616" spans="1:34" x14ac:dyDescent="0.25">
      <c r="A1616">
        <v>1</v>
      </c>
      <c r="C1616" s="185"/>
      <c r="E1616" t="s">
        <v>386</v>
      </c>
      <c r="F1616" t="s">
        <v>131</v>
      </c>
      <c r="G1616" t="s">
        <v>1197</v>
      </c>
      <c r="H1616" t="s">
        <v>6210</v>
      </c>
      <c r="I1616">
        <v>6056</v>
      </c>
      <c r="J1616" t="s">
        <v>131</v>
      </c>
      <c r="K1616" t="s">
        <v>131</v>
      </c>
      <c r="L1616" t="s">
        <v>386</v>
      </c>
      <c r="M1616" t="s">
        <v>1193</v>
      </c>
      <c r="N1616">
        <v>6056</v>
      </c>
      <c r="O1616">
        <v>0</v>
      </c>
      <c r="Q1616" t="s">
        <v>6211</v>
      </c>
      <c r="R1616" t="s">
        <v>398</v>
      </c>
      <c r="T1616">
        <v>35</v>
      </c>
      <c r="V1616" t="s">
        <v>2015</v>
      </c>
      <c r="W1616" t="s">
        <v>1530</v>
      </c>
      <c r="X1616">
        <v>103</v>
      </c>
      <c r="Z1616" t="s">
        <v>865</v>
      </c>
      <c r="AA1616" t="s">
        <v>387</v>
      </c>
      <c r="AB1616">
        <v>0</v>
      </c>
      <c r="AC1616">
        <v>2806</v>
      </c>
      <c r="AD1616" t="s">
        <v>6212</v>
      </c>
      <c r="AE1616">
        <v>122</v>
      </c>
      <c r="AF1616" t="s">
        <v>4628</v>
      </c>
      <c r="AG1616" t="s">
        <v>6213</v>
      </c>
      <c r="AH1616" t="s">
        <v>6214</v>
      </c>
    </row>
    <row r="1617" spans="1:34" x14ac:dyDescent="0.25">
      <c r="A1617">
        <v>1</v>
      </c>
      <c r="C1617" s="185"/>
      <c r="E1617" t="s">
        <v>386</v>
      </c>
      <c r="F1617" t="s">
        <v>6215</v>
      </c>
      <c r="G1617" t="s">
        <v>1197</v>
      </c>
      <c r="H1617" t="s">
        <v>6216</v>
      </c>
      <c r="I1617">
        <v>5704</v>
      </c>
      <c r="J1617" t="s">
        <v>6215</v>
      </c>
      <c r="K1617" t="s">
        <v>6215</v>
      </c>
      <c r="L1617" t="s">
        <v>386</v>
      </c>
      <c r="M1617" t="s">
        <v>1193</v>
      </c>
      <c r="N1617">
        <v>5704</v>
      </c>
      <c r="O1617">
        <v>0</v>
      </c>
      <c r="Q1617" t="s">
        <v>6217</v>
      </c>
      <c r="T1617">
        <v>181</v>
      </c>
      <c r="V1617" t="s">
        <v>6218</v>
      </c>
      <c r="Z1617" t="s">
        <v>865</v>
      </c>
      <c r="AA1617" t="s">
        <v>387</v>
      </c>
      <c r="AB1617">
        <v>0</v>
      </c>
      <c r="AC1617">
        <v>2683</v>
      </c>
      <c r="AD1617" t="s">
        <v>6219</v>
      </c>
      <c r="AE1617">
        <v>14</v>
      </c>
      <c r="AF1617" t="s">
        <v>2615</v>
      </c>
      <c r="AG1617" t="s">
        <v>6220</v>
      </c>
      <c r="AH1617" t="s">
        <v>6221</v>
      </c>
    </row>
    <row r="1618" spans="1:34" x14ac:dyDescent="0.25">
      <c r="A1618">
        <v>6</v>
      </c>
      <c r="C1618" s="185"/>
      <c r="E1618" t="s">
        <v>386</v>
      </c>
      <c r="F1618" t="s">
        <v>6222</v>
      </c>
      <c r="G1618" t="s">
        <v>1197</v>
      </c>
      <c r="H1618" t="s">
        <v>5918</v>
      </c>
      <c r="I1618">
        <v>17286</v>
      </c>
      <c r="J1618" t="s">
        <v>6222</v>
      </c>
      <c r="K1618" t="s">
        <v>6223</v>
      </c>
      <c r="L1618" t="s">
        <v>386</v>
      </c>
      <c r="M1618" t="s">
        <v>1193</v>
      </c>
      <c r="N1618">
        <v>17286</v>
      </c>
      <c r="O1618">
        <v>0</v>
      </c>
      <c r="Q1618" t="s">
        <v>6224</v>
      </c>
      <c r="T1618">
        <v>473</v>
      </c>
      <c r="V1618" t="s">
        <v>1964</v>
      </c>
      <c r="W1618" t="s">
        <v>1964</v>
      </c>
      <c r="X1618">
        <v>473</v>
      </c>
      <c r="Z1618" t="s">
        <v>892</v>
      </c>
      <c r="AA1618" t="s">
        <v>387</v>
      </c>
      <c r="AB1618">
        <v>0</v>
      </c>
      <c r="AC1618">
        <v>2540</v>
      </c>
      <c r="AD1618" t="s">
        <v>5921</v>
      </c>
      <c r="AE1618">
        <v>957</v>
      </c>
      <c r="AF1618" t="s">
        <v>5774</v>
      </c>
      <c r="AG1618" t="s">
        <v>6225</v>
      </c>
      <c r="AH1618" t="s">
        <v>6226</v>
      </c>
    </row>
    <row r="1619" spans="1:34" x14ac:dyDescent="0.25">
      <c r="A1619">
        <v>324</v>
      </c>
      <c r="C1619" s="185"/>
      <c r="E1619" t="s">
        <v>386</v>
      </c>
      <c r="F1619" t="s">
        <v>6227</v>
      </c>
      <c r="G1619" t="s">
        <v>1197</v>
      </c>
      <c r="H1619" t="s">
        <v>6228</v>
      </c>
      <c r="I1619">
        <v>5737</v>
      </c>
      <c r="J1619" t="s">
        <v>6227</v>
      </c>
      <c r="K1619" t="s">
        <v>6227</v>
      </c>
      <c r="L1619" t="s">
        <v>386</v>
      </c>
      <c r="M1619" t="s">
        <v>1193</v>
      </c>
      <c r="N1619">
        <v>5737</v>
      </c>
      <c r="O1619">
        <v>0</v>
      </c>
      <c r="Q1619" t="s">
        <v>6229</v>
      </c>
      <c r="T1619">
        <v>65</v>
      </c>
      <c r="V1619" t="s">
        <v>2315</v>
      </c>
      <c r="Z1619" t="s">
        <v>6230</v>
      </c>
      <c r="AA1619" t="s">
        <v>387</v>
      </c>
      <c r="AB1619">
        <v>0</v>
      </c>
      <c r="AC1619">
        <v>2702</v>
      </c>
      <c r="AD1619" t="s">
        <v>6231</v>
      </c>
      <c r="AE1619">
        <v>3</v>
      </c>
      <c r="AF1619" t="s">
        <v>1235</v>
      </c>
      <c r="AG1619" t="s">
        <v>1244</v>
      </c>
    </row>
    <row r="1620" spans="1:34" x14ac:dyDescent="0.25">
      <c r="A1620">
        <v>1</v>
      </c>
      <c r="C1620" s="185"/>
      <c r="E1620" t="s">
        <v>386</v>
      </c>
      <c r="F1620" t="s">
        <v>626</v>
      </c>
      <c r="G1620" t="s">
        <v>1197</v>
      </c>
      <c r="H1620" t="s">
        <v>4614</v>
      </c>
      <c r="I1620">
        <v>14000</v>
      </c>
      <c r="J1620" t="s">
        <v>626</v>
      </c>
      <c r="K1620" t="s">
        <v>6232</v>
      </c>
      <c r="L1620" t="s">
        <v>386</v>
      </c>
      <c r="M1620" t="s">
        <v>1193</v>
      </c>
      <c r="N1620">
        <v>14000</v>
      </c>
      <c r="O1620">
        <v>0</v>
      </c>
      <c r="Q1620" t="s">
        <v>6233</v>
      </c>
      <c r="T1620">
        <v>571</v>
      </c>
      <c r="V1620" t="s">
        <v>2003</v>
      </c>
      <c r="W1620" t="s">
        <v>2073</v>
      </c>
      <c r="X1620">
        <v>372</v>
      </c>
      <c r="Z1620" t="s">
        <v>865</v>
      </c>
      <c r="AA1620" t="s">
        <v>387</v>
      </c>
      <c r="AB1620">
        <v>0</v>
      </c>
      <c r="AC1620">
        <v>1630</v>
      </c>
      <c r="AD1620" t="s">
        <v>2679</v>
      </c>
      <c r="AE1620">
        <v>1812</v>
      </c>
      <c r="AF1620" t="s">
        <v>3984</v>
      </c>
      <c r="AG1620" t="s">
        <v>6234</v>
      </c>
      <c r="AH1620" t="s">
        <v>6235</v>
      </c>
    </row>
    <row r="1621" spans="1:34" x14ac:dyDescent="0.25">
      <c r="A1621">
        <v>1</v>
      </c>
      <c r="C1621" s="185"/>
      <c r="E1621" t="s">
        <v>386</v>
      </c>
      <c r="F1621" t="s">
        <v>6236</v>
      </c>
      <c r="G1621" t="s">
        <v>1197</v>
      </c>
      <c r="H1621" t="s">
        <v>6237</v>
      </c>
      <c r="I1621">
        <v>5388</v>
      </c>
      <c r="J1621" t="s">
        <v>6236</v>
      </c>
      <c r="K1621" t="s">
        <v>6238</v>
      </c>
      <c r="L1621" t="s">
        <v>386</v>
      </c>
      <c r="M1621" t="s">
        <v>1193</v>
      </c>
      <c r="N1621">
        <v>5388</v>
      </c>
      <c r="O1621">
        <v>0</v>
      </c>
      <c r="Q1621" t="s">
        <v>6239</v>
      </c>
      <c r="T1621">
        <v>259</v>
      </c>
      <c r="V1621" t="s">
        <v>1215</v>
      </c>
      <c r="Z1621" t="s">
        <v>865</v>
      </c>
      <c r="AA1621" t="s">
        <v>387</v>
      </c>
      <c r="AB1621">
        <v>0</v>
      </c>
      <c r="AC1621">
        <v>4673</v>
      </c>
      <c r="AD1621" t="s">
        <v>6240</v>
      </c>
      <c r="AE1621">
        <v>743</v>
      </c>
      <c r="AF1621" t="s">
        <v>4771</v>
      </c>
      <c r="AG1621" t="s">
        <v>6241</v>
      </c>
    </row>
    <row r="1622" spans="1:34" x14ac:dyDescent="0.25">
      <c r="A1622">
        <v>153</v>
      </c>
      <c r="B1622" t="s">
        <v>1313</v>
      </c>
      <c r="C1622" s="185"/>
      <c r="D1622" t="s">
        <v>24</v>
      </c>
      <c r="E1622" t="s">
        <v>386</v>
      </c>
      <c r="F1622" t="s">
        <v>6242</v>
      </c>
      <c r="G1622" t="s">
        <v>1197</v>
      </c>
      <c r="H1622" t="s">
        <v>6243</v>
      </c>
      <c r="I1622">
        <v>5176</v>
      </c>
      <c r="J1622" t="s">
        <v>6242</v>
      </c>
      <c r="K1622" t="s">
        <v>6244</v>
      </c>
      <c r="L1622" t="s">
        <v>386</v>
      </c>
      <c r="M1622" t="s">
        <v>1193</v>
      </c>
      <c r="N1622">
        <v>5176</v>
      </c>
      <c r="O1622">
        <v>76</v>
      </c>
      <c r="Q1622" t="s">
        <v>6245</v>
      </c>
      <c r="R1622" t="s">
        <v>398</v>
      </c>
      <c r="S1622" t="s">
        <v>1909</v>
      </c>
      <c r="T1622">
        <v>220</v>
      </c>
      <c r="U1622">
        <v>0</v>
      </c>
      <c r="V1622" t="s">
        <v>1194</v>
      </c>
      <c r="W1622" t="s">
        <v>1200</v>
      </c>
      <c r="X1622">
        <v>340</v>
      </c>
      <c r="Y1622" t="s">
        <v>1317</v>
      </c>
      <c r="Z1622" t="s">
        <v>969</v>
      </c>
      <c r="AA1622" t="s">
        <v>387</v>
      </c>
      <c r="AB1622">
        <v>0</v>
      </c>
      <c r="AC1622">
        <v>2797</v>
      </c>
      <c r="AD1622" t="s">
        <v>6246</v>
      </c>
      <c r="AE1622">
        <v>18</v>
      </c>
      <c r="AF1622" t="s">
        <v>1259</v>
      </c>
      <c r="AG1622" t="s">
        <v>1244</v>
      </c>
      <c r="AH1622" t="s">
        <v>6247</v>
      </c>
    </row>
    <row r="1623" spans="1:34" x14ac:dyDescent="0.25">
      <c r="A1623">
        <v>1776</v>
      </c>
      <c r="C1623" s="185"/>
      <c r="D1623" t="s">
        <v>157</v>
      </c>
      <c r="E1623" t="s">
        <v>386</v>
      </c>
      <c r="F1623" t="s">
        <v>6248</v>
      </c>
      <c r="G1623" t="s">
        <v>1238</v>
      </c>
      <c r="H1623" t="s">
        <v>4945</v>
      </c>
      <c r="I1623">
        <v>9446</v>
      </c>
      <c r="J1623" t="s">
        <v>6248</v>
      </c>
      <c r="K1623" t="s">
        <v>6249</v>
      </c>
      <c r="L1623" t="s">
        <v>386</v>
      </c>
      <c r="M1623" t="s">
        <v>1184</v>
      </c>
      <c r="N1623">
        <v>9446</v>
      </c>
      <c r="O1623">
        <v>0</v>
      </c>
      <c r="Q1623" t="s">
        <v>6250</v>
      </c>
      <c r="R1623" t="s">
        <v>398</v>
      </c>
      <c r="T1623">
        <v>388</v>
      </c>
      <c r="V1623" t="s">
        <v>1712</v>
      </c>
      <c r="W1623" t="s">
        <v>5068</v>
      </c>
      <c r="X1623">
        <v>226</v>
      </c>
      <c r="Z1623" t="s">
        <v>4948</v>
      </c>
      <c r="AA1623" t="s">
        <v>387</v>
      </c>
      <c r="AB1623">
        <v>0</v>
      </c>
      <c r="AC1623">
        <v>3771</v>
      </c>
      <c r="AD1623" t="s">
        <v>6251</v>
      </c>
      <c r="AE1623">
        <v>18</v>
      </c>
      <c r="AF1623" t="s">
        <v>1259</v>
      </c>
    </row>
    <row r="1624" spans="1:34" x14ac:dyDescent="0.25">
      <c r="A1624">
        <v>177</v>
      </c>
      <c r="C1624" s="185"/>
      <c r="E1624" t="s">
        <v>386</v>
      </c>
      <c r="F1624" t="s">
        <v>6252</v>
      </c>
      <c r="H1624" t="s">
        <v>6253</v>
      </c>
      <c r="I1624">
        <v>8168</v>
      </c>
      <c r="J1624" t="s">
        <v>6252</v>
      </c>
      <c r="K1624" t="s">
        <v>6254</v>
      </c>
      <c r="L1624" t="s">
        <v>386</v>
      </c>
      <c r="M1624" t="s">
        <v>1193</v>
      </c>
      <c r="N1624">
        <v>8168</v>
      </c>
      <c r="O1624">
        <v>0</v>
      </c>
      <c r="Q1624" t="s">
        <v>6255</v>
      </c>
      <c r="R1624" t="s">
        <v>1208</v>
      </c>
      <c r="T1624">
        <v>103</v>
      </c>
      <c r="V1624" t="s">
        <v>1530</v>
      </c>
      <c r="Z1624" t="s">
        <v>1054</v>
      </c>
      <c r="AA1624" t="s">
        <v>387</v>
      </c>
      <c r="AB1624">
        <v>0</v>
      </c>
      <c r="AC1624">
        <v>3290</v>
      </c>
      <c r="AD1624" t="s">
        <v>6256</v>
      </c>
      <c r="AE1624">
        <v>1460</v>
      </c>
      <c r="AF1624" t="s">
        <v>6257</v>
      </c>
      <c r="AG1624" t="s">
        <v>6258</v>
      </c>
    </row>
    <row r="1625" spans="1:34" x14ac:dyDescent="0.25">
      <c r="A1625">
        <v>14</v>
      </c>
      <c r="C1625" s="185"/>
      <c r="D1625" t="s">
        <v>157</v>
      </c>
      <c r="E1625" t="s">
        <v>386</v>
      </c>
      <c r="F1625" t="s">
        <v>6259</v>
      </c>
      <c r="G1625" t="s">
        <v>1238</v>
      </c>
      <c r="H1625" t="s">
        <v>5206</v>
      </c>
      <c r="I1625">
        <v>8634</v>
      </c>
      <c r="J1625" t="s">
        <v>6259</v>
      </c>
      <c r="K1625" t="s">
        <v>6259</v>
      </c>
      <c r="L1625" t="s">
        <v>386</v>
      </c>
      <c r="M1625" t="s">
        <v>1184</v>
      </c>
      <c r="N1625">
        <v>8634</v>
      </c>
      <c r="O1625">
        <v>0</v>
      </c>
      <c r="Q1625" t="s">
        <v>6260</v>
      </c>
      <c r="R1625" t="s">
        <v>398</v>
      </c>
      <c r="T1625">
        <v>388</v>
      </c>
      <c r="V1625" t="s">
        <v>1712</v>
      </c>
      <c r="W1625" t="s">
        <v>3321</v>
      </c>
      <c r="X1625">
        <v>246</v>
      </c>
      <c r="Z1625" t="s">
        <v>1130</v>
      </c>
      <c r="AA1625" t="s">
        <v>387</v>
      </c>
      <c r="AB1625">
        <v>0</v>
      </c>
      <c r="AC1625">
        <v>4193</v>
      </c>
      <c r="AD1625" t="s">
        <v>6261</v>
      </c>
      <c r="AE1625">
        <v>18</v>
      </c>
      <c r="AF1625" t="s">
        <v>1259</v>
      </c>
      <c r="AG1625" t="s">
        <v>1244</v>
      </c>
      <c r="AH1625" t="s">
        <v>6262</v>
      </c>
    </row>
    <row r="1626" spans="1:34" x14ac:dyDescent="0.25">
      <c r="A1626">
        <v>25</v>
      </c>
      <c r="C1626" s="185"/>
      <c r="E1626" t="s">
        <v>386</v>
      </c>
      <c r="F1626" t="s">
        <v>6263</v>
      </c>
      <c r="G1626" t="s">
        <v>1192</v>
      </c>
      <c r="H1626" t="s">
        <v>6264</v>
      </c>
      <c r="I1626">
        <v>11743</v>
      </c>
      <c r="J1626" t="s">
        <v>6263</v>
      </c>
      <c r="K1626" t="s">
        <v>6263</v>
      </c>
      <c r="L1626" t="s">
        <v>386</v>
      </c>
      <c r="M1626" t="s">
        <v>1193</v>
      </c>
      <c r="N1626">
        <v>11743</v>
      </c>
      <c r="O1626">
        <v>0</v>
      </c>
      <c r="Q1626" t="s">
        <v>6265</v>
      </c>
      <c r="R1626" t="s">
        <v>398</v>
      </c>
      <c r="T1626">
        <v>259</v>
      </c>
      <c r="V1626" t="s">
        <v>1215</v>
      </c>
      <c r="Z1626" t="s">
        <v>857</v>
      </c>
      <c r="AA1626" t="s">
        <v>387</v>
      </c>
      <c r="AB1626">
        <v>0</v>
      </c>
      <c r="AC1626">
        <v>4476</v>
      </c>
      <c r="AD1626" t="s">
        <v>6266</v>
      </c>
      <c r="AE1626">
        <v>973</v>
      </c>
      <c r="AF1626" t="s">
        <v>6267</v>
      </c>
      <c r="AG1626" t="s">
        <v>6268</v>
      </c>
      <c r="AH1626" t="s">
        <v>6269</v>
      </c>
    </row>
    <row r="1627" spans="1:34" x14ac:dyDescent="0.25">
      <c r="A1627">
        <v>1</v>
      </c>
      <c r="C1627" s="185"/>
      <c r="E1627" t="s">
        <v>386</v>
      </c>
      <c r="F1627" t="s">
        <v>6270</v>
      </c>
      <c r="G1627" t="s">
        <v>1197</v>
      </c>
      <c r="H1627" t="s">
        <v>6271</v>
      </c>
      <c r="I1627">
        <v>2391</v>
      </c>
      <c r="J1627" t="s">
        <v>6270</v>
      </c>
      <c r="K1627" t="s">
        <v>6270</v>
      </c>
      <c r="L1627" t="s">
        <v>386</v>
      </c>
      <c r="M1627" t="s">
        <v>1193</v>
      </c>
      <c r="N1627">
        <v>2391</v>
      </c>
      <c r="O1627">
        <v>0</v>
      </c>
      <c r="Q1627" t="s">
        <v>6272</v>
      </c>
      <c r="T1627">
        <v>35</v>
      </c>
      <c r="V1627" t="s">
        <v>2015</v>
      </c>
      <c r="Z1627" t="s">
        <v>865</v>
      </c>
      <c r="AA1627" t="s">
        <v>387</v>
      </c>
      <c r="AB1627">
        <v>0</v>
      </c>
      <c r="AC1627">
        <v>766</v>
      </c>
      <c r="AD1627" t="s">
        <v>1054</v>
      </c>
      <c r="AE1627">
        <v>11</v>
      </c>
      <c r="AF1627" t="s">
        <v>5744</v>
      </c>
      <c r="AG1627" t="s">
        <v>6273</v>
      </c>
      <c r="AH1627" t="s">
        <v>6274</v>
      </c>
    </row>
    <row r="1628" spans="1:34" x14ac:dyDescent="0.25">
      <c r="A1628">
        <v>1</v>
      </c>
      <c r="C1628" s="185"/>
      <c r="E1628" t="s">
        <v>386</v>
      </c>
      <c r="F1628" t="s">
        <v>6275</v>
      </c>
      <c r="G1628" t="s">
        <v>1197</v>
      </c>
      <c r="H1628" t="s">
        <v>6276</v>
      </c>
      <c r="I1628">
        <v>2151</v>
      </c>
      <c r="J1628" t="s">
        <v>6275</v>
      </c>
      <c r="K1628" t="s">
        <v>6275</v>
      </c>
      <c r="L1628" t="s">
        <v>386</v>
      </c>
      <c r="M1628" t="s">
        <v>1193</v>
      </c>
      <c r="N1628">
        <v>2151</v>
      </c>
      <c r="O1628">
        <v>0</v>
      </c>
      <c r="Q1628" t="s">
        <v>6277</v>
      </c>
      <c r="R1628" t="s">
        <v>1208</v>
      </c>
      <c r="T1628">
        <v>517</v>
      </c>
      <c r="V1628" t="s">
        <v>4167</v>
      </c>
      <c r="W1628" t="s">
        <v>4167</v>
      </c>
      <c r="X1628">
        <v>517</v>
      </c>
      <c r="Z1628" t="s">
        <v>865</v>
      </c>
      <c r="AA1628" t="s">
        <v>387</v>
      </c>
      <c r="AB1628">
        <v>0</v>
      </c>
      <c r="AC1628">
        <v>1587</v>
      </c>
      <c r="AD1628" t="s">
        <v>6278</v>
      </c>
      <c r="AE1628">
        <v>763</v>
      </c>
      <c r="AF1628" t="s">
        <v>6279</v>
      </c>
      <c r="AG1628" t="s">
        <v>6280</v>
      </c>
    </row>
    <row r="1629" spans="1:34" x14ac:dyDescent="0.25">
      <c r="A1629">
        <v>1808</v>
      </c>
      <c r="C1629" s="185"/>
      <c r="E1629" t="s">
        <v>386</v>
      </c>
      <c r="F1629" t="s">
        <v>6281</v>
      </c>
      <c r="G1629" t="s">
        <v>1197</v>
      </c>
      <c r="H1629" t="s">
        <v>6282</v>
      </c>
      <c r="I1629">
        <v>8507</v>
      </c>
      <c r="J1629" t="s">
        <v>6281</v>
      </c>
      <c r="K1629" t="s">
        <v>6283</v>
      </c>
      <c r="L1629" t="s">
        <v>386</v>
      </c>
      <c r="M1629" t="s">
        <v>1193</v>
      </c>
      <c r="N1629">
        <v>8507</v>
      </c>
      <c r="O1629">
        <v>0</v>
      </c>
      <c r="Q1629" t="s">
        <v>6284</v>
      </c>
      <c r="R1629" t="s">
        <v>398</v>
      </c>
      <c r="T1629">
        <v>23</v>
      </c>
      <c r="V1629" t="s">
        <v>1981</v>
      </c>
      <c r="Z1629" t="s">
        <v>4829</v>
      </c>
      <c r="AA1629" t="s">
        <v>387</v>
      </c>
      <c r="AB1629">
        <v>0</v>
      </c>
      <c r="AC1629">
        <v>3409</v>
      </c>
      <c r="AD1629" t="s">
        <v>6285</v>
      </c>
      <c r="AE1629">
        <v>453</v>
      </c>
      <c r="AF1629" t="s">
        <v>6286</v>
      </c>
      <c r="AG1629" t="s">
        <v>6287</v>
      </c>
      <c r="AH1629" t="s">
        <v>6288</v>
      </c>
    </row>
    <row r="1630" spans="1:34" x14ac:dyDescent="0.25">
      <c r="A1630">
        <v>1</v>
      </c>
      <c r="C1630" s="185"/>
      <c r="E1630" t="s">
        <v>386</v>
      </c>
      <c r="F1630" t="s">
        <v>6289</v>
      </c>
      <c r="G1630" t="s">
        <v>1197</v>
      </c>
      <c r="H1630" t="s">
        <v>6290</v>
      </c>
      <c r="I1630">
        <v>15418</v>
      </c>
      <c r="J1630" t="s">
        <v>6289</v>
      </c>
      <c r="K1630" t="s">
        <v>6291</v>
      </c>
      <c r="L1630" t="s">
        <v>386</v>
      </c>
      <c r="M1630" t="s">
        <v>1193</v>
      </c>
      <c r="N1630">
        <v>15418</v>
      </c>
      <c r="O1630">
        <v>0</v>
      </c>
      <c r="Q1630" t="s">
        <v>6292</v>
      </c>
      <c r="R1630" t="s">
        <v>1208</v>
      </c>
      <c r="T1630">
        <v>426</v>
      </c>
      <c r="V1630" t="s">
        <v>1257</v>
      </c>
      <c r="W1630" t="s">
        <v>6293</v>
      </c>
      <c r="X1630">
        <v>468</v>
      </c>
      <c r="Z1630" t="s">
        <v>865</v>
      </c>
      <c r="AA1630" t="s">
        <v>387</v>
      </c>
      <c r="AB1630">
        <v>0</v>
      </c>
      <c r="AC1630">
        <v>1631</v>
      </c>
      <c r="AD1630" t="s">
        <v>6032</v>
      </c>
      <c r="AE1630">
        <v>14</v>
      </c>
      <c r="AF1630" t="s">
        <v>2615</v>
      </c>
      <c r="AG1630" t="s">
        <v>6294</v>
      </c>
      <c r="AH1630" t="s">
        <v>6295</v>
      </c>
    </row>
    <row r="1631" spans="1:34" x14ac:dyDescent="0.25">
      <c r="A1631">
        <v>1</v>
      </c>
      <c r="C1631" s="185"/>
      <c r="E1631" t="s">
        <v>386</v>
      </c>
      <c r="F1631" t="s">
        <v>6296</v>
      </c>
      <c r="G1631" t="s">
        <v>1197</v>
      </c>
      <c r="H1631" t="s">
        <v>5793</v>
      </c>
      <c r="I1631">
        <v>2184</v>
      </c>
      <c r="J1631" t="s">
        <v>6296</v>
      </c>
      <c r="K1631" t="s">
        <v>6297</v>
      </c>
      <c r="L1631" t="s">
        <v>386</v>
      </c>
      <c r="M1631" t="s">
        <v>1193</v>
      </c>
      <c r="N1631">
        <v>2184</v>
      </c>
      <c r="O1631">
        <v>0</v>
      </c>
      <c r="Q1631" t="s">
        <v>6298</v>
      </c>
      <c r="T1631">
        <v>52</v>
      </c>
      <c r="V1631" t="s">
        <v>2024</v>
      </c>
      <c r="Z1631" t="s">
        <v>865</v>
      </c>
      <c r="AA1631" t="s">
        <v>387</v>
      </c>
      <c r="AB1631">
        <v>0</v>
      </c>
      <c r="AC1631">
        <v>1607</v>
      </c>
      <c r="AD1631" t="s">
        <v>6129</v>
      </c>
      <c r="AE1631">
        <v>114</v>
      </c>
      <c r="AF1631" t="s">
        <v>1218</v>
      </c>
      <c r="AG1631" t="s">
        <v>6299</v>
      </c>
      <c r="AH1631" t="s">
        <v>6300</v>
      </c>
    </row>
    <row r="1632" spans="1:34" x14ac:dyDescent="0.25">
      <c r="A1632">
        <v>1</v>
      </c>
      <c r="C1632" s="185"/>
      <c r="E1632" t="s">
        <v>386</v>
      </c>
      <c r="F1632" t="s">
        <v>6301</v>
      </c>
      <c r="G1632" t="s">
        <v>1197</v>
      </c>
      <c r="H1632" t="s">
        <v>6302</v>
      </c>
      <c r="I1632">
        <v>5593</v>
      </c>
      <c r="J1632" t="s">
        <v>6301</v>
      </c>
      <c r="K1632" t="s">
        <v>6303</v>
      </c>
      <c r="L1632" t="s">
        <v>386</v>
      </c>
      <c r="M1632" t="s">
        <v>1193</v>
      </c>
      <c r="N1632">
        <v>5593</v>
      </c>
      <c r="O1632">
        <v>0</v>
      </c>
      <c r="Q1632" t="s">
        <v>6304</v>
      </c>
      <c r="T1632">
        <v>39</v>
      </c>
      <c r="V1632" t="s">
        <v>2144</v>
      </c>
      <c r="Z1632" t="s">
        <v>865</v>
      </c>
      <c r="AA1632" t="s">
        <v>387</v>
      </c>
      <c r="AB1632">
        <v>0</v>
      </c>
      <c r="AC1632">
        <v>2648</v>
      </c>
      <c r="AD1632" t="s">
        <v>6305</v>
      </c>
      <c r="AE1632">
        <v>322</v>
      </c>
      <c r="AF1632" t="s">
        <v>6306</v>
      </c>
      <c r="AG1632" t="s">
        <v>6307</v>
      </c>
    </row>
    <row r="1633" spans="1:34" x14ac:dyDescent="0.25">
      <c r="A1633">
        <v>1340</v>
      </c>
      <c r="B1633" t="s">
        <v>1313</v>
      </c>
      <c r="C1633" s="185"/>
      <c r="D1633" t="s">
        <v>24</v>
      </c>
      <c r="E1633" t="s">
        <v>386</v>
      </c>
      <c r="F1633" t="s">
        <v>224</v>
      </c>
      <c r="G1633" t="s">
        <v>1197</v>
      </c>
      <c r="H1633" t="s">
        <v>6308</v>
      </c>
      <c r="I1633">
        <v>4577</v>
      </c>
      <c r="J1633" t="s">
        <v>224</v>
      </c>
      <c r="K1633" t="s">
        <v>6309</v>
      </c>
      <c r="L1633" t="s">
        <v>386</v>
      </c>
      <c r="M1633" t="s">
        <v>1193</v>
      </c>
      <c r="N1633">
        <v>4577</v>
      </c>
      <c r="O1633">
        <v>76</v>
      </c>
      <c r="Q1633" t="s">
        <v>6310</v>
      </c>
      <c r="R1633" t="s">
        <v>398</v>
      </c>
      <c r="S1633" t="s">
        <v>1909</v>
      </c>
      <c r="T1633">
        <v>220</v>
      </c>
      <c r="U1633">
        <v>0</v>
      </c>
      <c r="V1633" t="s">
        <v>1194</v>
      </c>
      <c r="W1633" t="s">
        <v>6311</v>
      </c>
      <c r="X1633">
        <v>521</v>
      </c>
      <c r="Y1633" t="s">
        <v>1317</v>
      </c>
      <c r="Z1633" t="s">
        <v>1066</v>
      </c>
      <c r="AA1633" t="s">
        <v>387</v>
      </c>
      <c r="AB1633">
        <v>0</v>
      </c>
      <c r="AC1633">
        <v>5376</v>
      </c>
      <c r="AD1633" t="s">
        <v>6312</v>
      </c>
      <c r="AE1633">
        <v>1135</v>
      </c>
      <c r="AF1633" t="s">
        <v>6313</v>
      </c>
      <c r="AG1633" t="s">
        <v>2044</v>
      </c>
      <c r="AH1633" t="s">
        <v>6314</v>
      </c>
    </row>
    <row r="1634" spans="1:34" x14ac:dyDescent="0.25">
      <c r="A1634">
        <v>1361</v>
      </c>
      <c r="C1634" s="185"/>
      <c r="E1634" t="s">
        <v>386</v>
      </c>
      <c r="F1634" t="s">
        <v>6315</v>
      </c>
      <c r="G1634" t="s">
        <v>1197</v>
      </c>
      <c r="H1634" t="s">
        <v>6316</v>
      </c>
      <c r="I1634">
        <v>16002</v>
      </c>
      <c r="J1634" t="s">
        <v>6315</v>
      </c>
      <c r="K1634" t="s">
        <v>6317</v>
      </c>
      <c r="L1634" t="s">
        <v>386</v>
      </c>
      <c r="M1634" t="s">
        <v>1193</v>
      </c>
      <c r="N1634">
        <v>16002</v>
      </c>
      <c r="O1634">
        <v>0</v>
      </c>
      <c r="Q1634" t="s">
        <v>6318</v>
      </c>
      <c r="T1634">
        <v>52</v>
      </c>
      <c r="V1634" t="s">
        <v>2024</v>
      </c>
      <c r="W1634" t="s">
        <v>1964</v>
      </c>
      <c r="X1634">
        <v>473</v>
      </c>
      <c r="Z1634" t="s">
        <v>1113</v>
      </c>
      <c r="AA1634" t="s">
        <v>387</v>
      </c>
      <c r="AB1634">
        <v>0</v>
      </c>
      <c r="AC1634">
        <v>6022</v>
      </c>
      <c r="AD1634" t="s">
        <v>6319</v>
      </c>
      <c r="AE1634">
        <v>2770</v>
      </c>
      <c r="AF1634" t="s">
        <v>6320</v>
      </c>
      <c r="AG1634" t="s">
        <v>6321</v>
      </c>
      <c r="AH1634" t="s">
        <v>6322</v>
      </c>
    </row>
    <row r="1635" spans="1:34" x14ac:dyDescent="0.25">
      <c r="A1635">
        <v>89</v>
      </c>
      <c r="C1635" s="185"/>
      <c r="E1635" t="s">
        <v>386</v>
      </c>
      <c r="F1635" t="s">
        <v>6323</v>
      </c>
      <c r="G1635" t="s">
        <v>1197</v>
      </c>
      <c r="H1635" t="s">
        <v>6324</v>
      </c>
      <c r="I1635">
        <v>4767</v>
      </c>
      <c r="J1635" t="s">
        <v>6323</v>
      </c>
      <c r="K1635" t="s">
        <v>6323</v>
      </c>
      <c r="L1635" t="s">
        <v>386</v>
      </c>
      <c r="M1635" t="s">
        <v>1193</v>
      </c>
      <c r="N1635">
        <v>4767</v>
      </c>
      <c r="O1635">
        <v>0</v>
      </c>
      <c r="Q1635" t="s">
        <v>6325</v>
      </c>
      <c r="T1635">
        <v>52</v>
      </c>
      <c r="V1635" t="s">
        <v>2024</v>
      </c>
      <c r="Z1635" t="s">
        <v>6326</v>
      </c>
      <c r="AA1635" t="s">
        <v>387</v>
      </c>
      <c r="AB1635">
        <v>0</v>
      </c>
      <c r="AC1635">
        <v>2408</v>
      </c>
      <c r="AD1635" t="s">
        <v>6327</v>
      </c>
      <c r="AE1635">
        <v>1156</v>
      </c>
      <c r="AF1635" t="s">
        <v>6328</v>
      </c>
      <c r="AG1635" t="s">
        <v>6329</v>
      </c>
      <c r="AH1635" t="s">
        <v>6330</v>
      </c>
    </row>
    <row r="1636" spans="1:34" x14ac:dyDescent="0.25">
      <c r="A1636">
        <v>1776</v>
      </c>
      <c r="C1636" s="185"/>
      <c r="D1636" t="s">
        <v>157</v>
      </c>
      <c r="E1636" t="s">
        <v>386</v>
      </c>
      <c r="F1636" t="s">
        <v>6331</v>
      </c>
      <c r="G1636" t="s">
        <v>1238</v>
      </c>
      <c r="H1636" t="s">
        <v>4945</v>
      </c>
      <c r="I1636">
        <v>9338</v>
      </c>
      <c r="J1636" t="s">
        <v>6331</v>
      </c>
      <c r="K1636" t="s">
        <v>6331</v>
      </c>
      <c r="L1636" t="s">
        <v>386</v>
      </c>
      <c r="M1636" t="s">
        <v>1184</v>
      </c>
      <c r="N1636">
        <v>9338</v>
      </c>
      <c r="O1636">
        <v>0</v>
      </c>
      <c r="Q1636" t="s">
        <v>6332</v>
      </c>
      <c r="R1636" t="s">
        <v>398</v>
      </c>
      <c r="T1636">
        <v>388</v>
      </c>
      <c r="V1636" t="s">
        <v>1712</v>
      </c>
      <c r="W1636" t="s">
        <v>1915</v>
      </c>
      <c r="X1636">
        <v>185</v>
      </c>
      <c r="Z1636" t="s">
        <v>4948</v>
      </c>
      <c r="AA1636" t="s">
        <v>387</v>
      </c>
      <c r="AB1636">
        <v>0</v>
      </c>
      <c r="AC1636">
        <v>3724</v>
      </c>
      <c r="AD1636" t="s">
        <v>5128</v>
      </c>
      <c r="AE1636">
        <v>18</v>
      </c>
      <c r="AF1636" t="s">
        <v>1259</v>
      </c>
    </row>
    <row r="1637" spans="1:34" x14ac:dyDescent="0.25">
      <c r="A1637">
        <v>1433</v>
      </c>
      <c r="C1637" s="185"/>
      <c r="E1637" t="s">
        <v>386</v>
      </c>
      <c r="F1637" t="s">
        <v>6333</v>
      </c>
      <c r="G1637" t="s">
        <v>1197</v>
      </c>
      <c r="H1637" t="s">
        <v>6334</v>
      </c>
      <c r="I1637">
        <v>11236</v>
      </c>
      <c r="J1637" t="s">
        <v>6333</v>
      </c>
      <c r="K1637" t="s">
        <v>6335</v>
      </c>
      <c r="L1637" t="s">
        <v>386</v>
      </c>
      <c r="M1637" t="s">
        <v>1193</v>
      </c>
      <c r="N1637">
        <v>11236</v>
      </c>
      <c r="O1637">
        <v>0</v>
      </c>
      <c r="Q1637" t="s">
        <v>6336</v>
      </c>
      <c r="R1637" t="s">
        <v>1208</v>
      </c>
      <c r="T1637">
        <v>260</v>
      </c>
      <c r="V1637" t="s">
        <v>1216</v>
      </c>
      <c r="W1637" t="s">
        <v>6337</v>
      </c>
      <c r="X1637">
        <v>234</v>
      </c>
      <c r="Z1637" t="s">
        <v>6338</v>
      </c>
      <c r="AA1637" t="s">
        <v>387</v>
      </c>
      <c r="AB1637">
        <v>0</v>
      </c>
      <c r="AC1637">
        <v>4305</v>
      </c>
      <c r="AD1637" t="s">
        <v>6339</v>
      </c>
      <c r="AE1637">
        <v>1989</v>
      </c>
      <c r="AF1637" t="s">
        <v>6340</v>
      </c>
      <c r="AG1637" t="s">
        <v>6341</v>
      </c>
    </row>
    <row r="1638" spans="1:34" x14ac:dyDescent="0.25">
      <c r="A1638">
        <v>1</v>
      </c>
      <c r="C1638" s="185"/>
      <c r="E1638" t="s">
        <v>386</v>
      </c>
      <c r="F1638" t="s">
        <v>6342</v>
      </c>
      <c r="G1638" t="s">
        <v>1197</v>
      </c>
      <c r="H1638" t="s">
        <v>6343</v>
      </c>
      <c r="I1638">
        <v>2205</v>
      </c>
      <c r="J1638" t="s">
        <v>6342</v>
      </c>
      <c r="K1638" t="s">
        <v>6344</v>
      </c>
      <c r="L1638" t="s">
        <v>386</v>
      </c>
      <c r="M1638" t="s">
        <v>1193</v>
      </c>
      <c r="N1638">
        <v>2205</v>
      </c>
      <c r="O1638">
        <v>0</v>
      </c>
      <c r="Q1638" t="s">
        <v>6345</v>
      </c>
      <c r="T1638">
        <v>52</v>
      </c>
      <c r="V1638" t="s">
        <v>2024</v>
      </c>
      <c r="Z1638" t="s">
        <v>865</v>
      </c>
      <c r="AA1638" t="s">
        <v>387</v>
      </c>
      <c r="AB1638">
        <v>0</v>
      </c>
      <c r="AC1638">
        <v>1624</v>
      </c>
      <c r="AD1638" t="s">
        <v>6346</v>
      </c>
      <c r="AE1638">
        <v>377</v>
      </c>
      <c r="AF1638" t="s">
        <v>2358</v>
      </c>
      <c r="AG1638" t="s">
        <v>6347</v>
      </c>
      <c r="AH1638" t="s">
        <v>6348</v>
      </c>
    </row>
    <row r="1639" spans="1:34" x14ac:dyDescent="0.25">
      <c r="A1639">
        <v>177</v>
      </c>
      <c r="C1639" s="185"/>
      <c r="E1639" t="s">
        <v>386</v>
      </c>
      <c r="F1639" t="s">
        <v>6349</v>
      </c>
      <c r="G1639" t="s">
        <v>1197</v>
      </c>
      <c r="H1639" t="s">
        <v>6350</v>
      </c>
      <c r="I1639">
        <v>16151</v>
      </c>
      <c r="J1639" t="s">
        <v>6349</v>
      </c>
      <c r="K1639" t="s">
        <v>6349</v>
      </c>
      <c r="L1639" t="s">
        <v>386</v>
      </c>
      <c r="M1639" t="s">
        <v>1193</v>
      </c>
      <c r="N1639">
        <v>16151</v>
      </c>
      <c r="O1639">
        <v>0</v>
      </c>
      <c r="Q1639" t="s">
        <v>6351</v>
      </c>
      <c r="T1639">
        <v>473</v>
      </c>
      <c r="V1639" t="s">
        <v>1964</v>
      </c>
      <c r="W1639" t="s">
        <v>2024</v>
      </c>
      <c r="X1639">
        <v>52</v>
      </c>
      <c r="Z1639" t="s">
        <v>1054</v>
      </c>
      <c r="AA1639" t="s">
        <v>387</v>
      </c>
      <c r="AB1639">
        <v>0</v>
      </c>
      <c r="AC1639">
        <v>4283</v>
      </c>
      <c r="AD1639" t="s">
        <v>6352</v>
      </c>
      <c r="AE1639">
        <v>1977</v>
      </c>
      <c r="AF1639" t="s">
        <v>6353</v>
      </c>
      <c r="AG1639" t="s">
        <v>6354</v>
      </c>
      <c r="AH1639" t="s">
        <v>6355</v>
      </c>
    </row>
    <row r="1640" spans="1:34" x14ac:dyDescent="0.25">
      <c r="A1640">
        <v>1553</v>
      </c>
      <c r="C1640" s="185"/>
      <c r="D1640" t="s">
        <v>157</v>
      </c>
      <c r="E1640" t="s">
        <v>386</v>
      </c>
      <c r="F1640" t="s">
        <v>301</v>
      </c>
      <c r="G1640" t="s">
        <v>1197</v>
      </c>
      <c r="H1640" t="s">
        <v>1239</v>
      </c>
      <c r="I1640">
        <v>14552</v>
      </c>
      <c r="J1640" t="s">
        <v>301</v>
      </c>
      <c r="K1640" t="s">
        <v>6356</v>
      </c>
      <c r="L1640" t="s">
        <v>386</v>
      </c>
      <c r="M1640" t="s">
        <v>1193</v>
      </c>
      <c r="N1640">
        <v>14552</v>
      </c>
      <c r="O1640">
        <v>25</v>
      </c>
      <c r="Q1640" t="s">
        <v>6357</v>
      </c>
      <c r="R1640" t="s">
        <v>398</v>
      </c>
      <c r="T1640">
        <v>220</v>
      </c>
      <c r="V1640" t="s">
        <v>1194</v>
      </c>
      <c r="W1640" t="s">
        <v>1216</v>
      </c>
      <c r="X1640">
        <v>260</v>
      </c>
      <c r="Z1640" t="s">
        <v>968</v>
      </c>
      <c r="AA1640" t="s">
        <v>387</v>
      </c>
      <c r="AB1640">
        <v>19000</v>
      </c>
      <c r="AC1640">
        <v>5530</v>
      </c>
      <c r="AD1640" t="s">
        <v>6358</v>
      </c>
      <c r="AE1640">
        <v>2565</v>
      </c>
      <c r="AF1640" t="s">
        <v>6359</v>
      </c>
      <c r="AG1640" t="s">
        <v>6360</v>
      </c>
      <c r="AH1640" t="s">
        <v>6361</v>
      </c>
    </row>
    <row r="1641" spans="1:34" x14ac:dyDescent="0.25">
      <c r="A1641">
        <v>14</v>
      </c>
      <c r="B1641" t="s">
        <v>1313</v>
      </c>
      <c r="C1641" s="185"/>
      <c r="D1641" t="s">
        <v>24</v>
      </c>
      <c r="E1641" t="s">
        <v>386</v>
      </c>
      <c r="F1641" t="s">
        <v>421</v>
      </c>
      <c r="G1641" t="s">
        <v>1238</v>
      </c>
      <c r="H1641" t="s">
        <v>5206</v>
      </c>
      <c r="I1641">
        <v>30</v>
      </c>
      <c r="J1641" t="s">
        <v>421</v>
      </c>
      <c r="K1641" t="s">
        <v>6362</v>
      </c>
      <c r="L1641" t="s">
        <v>386</v>
      </c>
      <c r="M1641" t="s">
        <v>1184</v>
      </c>
      <c r="N1641">
        <v>30</v>
      </c>
      <c r="O1641">
        <v>35</v>
      </c>
      <c r="Q1641" t="s">
        <v>6363</v>
      </c>
      <c r="R1641" t="s">
        <v>398</v>
      </c>
      <c r="S1641" t="s">
        <v>1909</v>
      </c>
      <c r="T1641">
        <v>260</v>
      </c>
      <c r="U1641">
        <v>0</v>
      </c>
      <c r="V1641" t="s">
        <v>1216</v>
      </c>
      <c r="W1641" t="s">
        <v>1205</v>
      </c>
      <c r="X1641">
        <v>2</v>
      </c>
      <c r="Y1641" t="s">
        <v>1317</v>
      </c>
      <c r="Z1641" t="s">
        <v>1130</v>
      </c>
      <c r="AA1641" t="s">
        <v>387</v>
      </c>
      <c r="AB1641">
        <v>27000</v>
      </c>
      <c r="AC1641">
        <v>1771</v>
      </c>
      <c r="AD1641" t="s">
        <v>925</v>
      </c>
      <c r="AE1641">
        <v>18</v>
      </c>
      <c r="AF1641" t="s">
        <v>1259</v>
      </c>
      <c r="AG1641" t="s">
        <v>1931</v>
      </c>
      <c r="AH1641" t="s">
        <v>6364</v>
      </c>
    </row>
    <row r="1642" spans="1:34" x14ac:dyDescent="0.25">
      <c r="A1642">
        <v>25</v>
      </c>
      <c r="B1642" t="s">
        <v>1313</v>
      </c>
      <c r="C1642" s="185"/>
      <c r="D1642" t="s">
        <v>24</v>
      </c>
      <c r="E1642" t="s">
        <v>386</v>
      </c>
      <c r="F1642" t="s">
        <v>450</v>
      </c>
      <c r="G1642" t="s">
        <v>1197</v>
      </c>
      <c r="H1642" t="s">
        <v>6365</v>
      </c>
      <c r="I1642">
        <v>3232</v>
      </c>
      <c r="J1642" t="s">
        <v>153</v>
      </c>
      <c r="K1642" t="s">
        <v>6366</v>
      </c>
      <c r="L1642" t="s">
        <v>386</v>
      </c>
      <c r="M1642" t="s">
        <v>1193</v>
      </c>
      <c r="N1642">
        <v>15720</v>
      </c>
      <c r="O1642">
        <v>35</v>
      </c>
      <c r="Q1642" t="s">
        <v>6367</v>
      </c>
      <c r="R1642" t="s">
        <v>398</v>
      </c>
      <c r="S1642" t="s">
        <v>4594</v>
      </c>
      <c r="T1642">
        <v>449</v>
      </c>
      <c r="U1642">
        <v>0</v>
      </c>
      <c r="V1642" t="s">
        <v>5678</v>
      </c>
      <c r="W1642" t="s">
        <v>1199</v>
      </c>
      <c r="X1642">
        <v>200</v>
      </c>
      <c r="Y1642" t="s">
        <v>1317</v>
      </c>
      <c r="Z1642" t="s">
        <v>857</v>
      </c>
      <c r="AA1642" t="s">
        <v>387</v>
      </c>
      <c r="AB1642">
        <v>27000</v>
      </c>
      <c r="AC1642">
        <v>2317</v>
      </c>
      <c r="AD1642" t="s">
        <v>6368</v>
      </c>
      <c r="AE1642">
        <v>1108</v>
      </c>
      <c r="AF1642" t="s">
        <v>6369</v>
      </c>
      <c r="AG1642" t="s">
        <v>4393</v>
      </c>
      <c r="AH1642" t="s">
        <v>6370</v>
      </c>
    </row>
    <row r="1643" spans="1:34" x14ac:dyDescent="0.25">
      <c r="A1643">
        <v>6</v>
      </c>
      <c r="C1643" s="185"/>
      <c r="D1643" t="s">
        <v>157</v>
      </c>
      <c r="E1643" t="s">
        <v>386</v>
      </c>
      <c r="F1643" t="s">
        <v>160</v>
      </c>
      <c r="G1643" t="s">
        <v>1197</v>
      </c>
      <c r="H1643" t="s">
        <v>6371</v>
      </c>
      <c r="I1643">
        <v>6132</v>
      </c>
      <c r="J1643" t="s">
        <v>160</v>
      </c>
      <c r="K1643" t="s">
        <v>160</v>
      </c>
      <c r="L1643" t="s">
        <v>386</v>
      </c>
      <c r="M1643" t="s">
        <v>1193</v>
      </c>
      <c r="N1643">
        <v>6132</v>
      </c>
      <c r="O1643">
        <v>25</v>
      </c>
      <c r="Q1643" t="s">
        <v>6372</v>
      </c>
      <c r="R1643" t="s">
        <v>398</v>
      </c>
      <c r="T1643">
        <v>220</v>
      </c>
      <c r="V1643" t="s">
        <v>1194</v>
      </c>
      <c r="W1643" t="s">
        <v>1216</v>
      </c>
      <c r="X1643">
        <v>260</v>
      </c>
      <c r="Z1643" t="s">
        <v>892</v>
      </c>
      <c r="AA1643" t="s">
        <v>387</v>
      </c>
      <c r="AB1643">
        <v>19000</v>
      </c>
      <c r="AC1643">
        <v>2829</v>
      </c>
      <c r="AD1643" t="s">
        <v>6373</v>
      </c>
      <c r="AE1643">
        <v>725</v>
      </c>
      <c r="AF1643" t="s">
        <v>6374</v>
      </c>
      <c r="AG1643" t="s">
        <v>6375</v>
      </c>
      <c r="AH1643" t="s">
        <v>6376</v>
      </c>
    </row>
    <row r="1644" spans="1:34" x14ac:dyDescent="0.25">
      <c r="A1644">
        <v>1</v>
      </c>
      <c r="C1644" s="185"/>
      <c r="E1644" t="s">
        <v>386</v>
      </c>
      <c r="F1644" t="s">
        <v>6377</v>
      </c>
      <c r="G1644" t="s">
        <v>1197</v>
      </c>
      <c r="H1644" t="s">
        <v>6378</v>
      </c>
      <c r="I1644">
        <v>7233</v>
      </c>
      <c r="J1644" t="s">
        <v>6377</v>
      </c>
      <c r="K1644" t="s">
        <v>6377</v>
      </c>
      <c r="L1644" t="s">
        <v>386</v>
      </c>
      <c r="M1644" t="s">
        <v>1193</v>
      </c>
      <c r="N1644">
        <v>7233</v>
      </c>
      <c r="O1644">
        <v>0</v>
      </c>
      <c r="Q1644" t="s">
        <v>6379</v>
      </c>
      <c r="T1644">
        <v>39</v>
      </c>
      <c r="V1644" t="s">
        <v>2144</v>
      </c>
      <c r="Z1644" t="s">
        <v>865</v>
      </c>
      <c r="AA1644" t="s">
        <v>387</v>
      </c>
      <c r="AB1644">
        <v>0</v>
      </c>
      <c r="AC1644">
        <v>3134</v>
      </c>
      <c r="AD1644" t="s">
        <v>6380</v>
      </c>
      <c r="AE1644">
        <v>407</v>
      </c>
      <c r="AF1644" t="s">
        <v>6144</v>
      </c>
      <c r="AG1644" t="s">
        <v>6381</v>
      </c>
      <c r="AH1644" t="s">
        <v>6382</v>
      </c>
    </row>
    <row r="1645" spans="1:34" x14ac:dyDescent="0.25">
      <c r="A1645">
        <v>1</v>
      </c>
      <c r="C1645" s="185"/>
      <c r="D1645" t="s">
        <v>24</v>
      </c>
      <c r="E1645" t="s">
        <v>386</v>
      </c>
      <c r="F1645" t="s">
        <v>6383</v>
      </c>
      <c r="G1645" t="s">
        <v>1197</v>
      </c>
      <c r="H1645" t="s">
        <v>6384</v>
      </c>
      <c r="I1645">
        <v>2392</v>
      </c>
      <c r="J1645" t="s">
        <v>6383</v>
      </c>
      <c r="K1645" t="s">
        <v>6385</v>
      </c>
      <c r="L1645" t="s">
        <v>386</v>
      </c>
      <c r="M1645" t="s">
        <v>1193</v>
      </c>
      <c r="N1645">
        <v>2392</v>
      </c>
      <c r="O1645">
        <v>0</v>
      </c>
      <c r="Q1645" t="s">
        <v>6386</v>
      </c>
      <c r="T1645">
        <v>260</v>
      </c>
      <c r="V1645" t="s">
        <v>1216</v>
      </c>
      <c r="W1645" t="s">
        <v>1215</v>
      </c>
      <c r="X1645">
        <v>259</v>
      </c>
      <c r="Z1645" t="s">
        <v>865</v>
      </c>
      <c r="AA1645" t="s">
        <v>387</v>
      </c>
      <c r="AB1645">
        <v>0</v>
      </c>
      <c r="AC1645">
        <v>53</v>
      </c>
      <c r="AD1645" t="s">
        <v>6387</v>
      </c>
      <c r="AE1645">
        <v>10</v>
      </c>
      <c r="AF1645" t="s">
        <v>1225</v>
      </c>
      <c r="AG1645" t="s">
        <v>6388</v>
      </c>
      <c r="AH1645" t="s">
        <v>6389</v>
      </c>
    </row>
    <row r="1646" spans="1:34" x14ac:dyDescent="0.25">
      <c r="A1646">
        <v>1</v>
      </c>
      <c r="C1646" s="185"/>
      <c r="E1646" t="s">
        <v>386</v>
      </c>
      <c r="F1646" t="s">
        <v>6390</v>
      </c>
      <c r="G1646" t="s">
        <v>1192</v>
      </c>
      <c r="H1646" t="s">
        <v>6391</v>
      </c>
      <c r="I1646">
        <v>12711</v>
      </c>
      <c r="J1646" t="s">
        <v>6390</v>
      </c>
      <c r="K1646" t="s">
        <v>6390</v>
      </c>
      <c r="L1646" t="s">
        <v>386</v>
      </c>
      <c r="M1646" t="s">
        <v>1193</v>
      </c>
      <c r="N1646">
        <v>12711</v>
      </c>
      <c r="O1646">
        <v>0</v>
      </c>
      <c r="Q1646" t="s">
        <v>6392</v>
      </c>
      <c r="R1646" t="s">
        <v>1208</v>
      </c>
      <c r="T1646">
        <v>122</v>
      </c>
      <c r="V1646" t="s">
        <v>1988</v>
      </c>
      <c r="W1646" t="s">
        <v>1988</v>
      </c>
      <c r="X1646">
        <v>122</v>
      </c>
      <c r="Z1646" t="s">
        <v>865</v>
      </c>
      <c r="AA1646" t="s">
        <v>387</v>
      </c>
      <c r="AB1646">
        <v>0</v>
      </c>
      <c r="AC1646">
        <v>4751</v>
      </c>
      <c r="AD1646" t="s">
        <v>6393</v>
      </c>
      <c r="AE1646">
        <v>270</v>
      </c>
      <c r="AF1646" t="s">
        <v>1030</v>
      </c>
      <c r="AG1646" t="s">
        <v>6394</v>
      </c>
    </row>
    <row r="1647" spans="1:34" x14ac:dyDescent="0.25">
      <c r="A1647">
        <v>2186</v>
      </c>
      <c r="C1647" s="185"/>
      <c r="E1647" t="s">
        <v>386</v>
      </c>
      <c r="F1647" t="s">
        <v>6395</v>
      </c>
      <c r="G1647" t="s">
        <v>1238</v>
      </c>
      <c r="H1647" t="s">
        <v>4884</v>
      </c>
      <c r="I1647">
        <v>16709</v>
      </c>
      <c r="J1647" t="s">
        <v>6395</v>
      </c>
      <c r="K1647" t="s">
        <v>6396</v>
      </c>
      <c r="L1647" t="s">
        <v>386</v>
      </c>
      <c r="M1647" t="s">
        <v>1184</v>
      </c>
      <c r="N1647">
        <v>16709</v>
      </c>
      <c r="O1647">
        <v>0</v>
      </c>
      <c r="Q1647" t="s">
        <v>6397</v>
      </c>
      <c r="T1647">
        <v>103</v>
      </c>
      <c r="V1647" t="s">
        <v>1530</v>
      </c>
      <c r="W1647" t="s">
        <v>2246</v>
      </c>
      <c r="X1647">
        <v>496</v>
      </c>
      <c r="Z1647" t="s">
        <v>4887</v>
      </c>
      <c r="AA1647" t="s">
        <v>387</v>
      </c>
      <c r="AB1647">
        <v>0</v>
      </c>
      <c r="AC1647">
        <v>6229</v>
      </c>
      <c r="AD1647" t="s">
        <v>4888</v>
      </c>
      <c r="AE1647">
        <v>2857</v>
      </c>
      <c r="AF1647" t="s">
        <v>4889</v>
      </c>
      <c r="AG1647" t="s">
        <v>1244</v>
      </c>
      <c r="AH1647" t="s">
        <v>6398</v>
      </c>
    </row>
    <row r="1648" spans="1:34" x14ac:dyDescent="0.25">
      <c r="A1648">
        <v>1</v>
      </c>
      <c r="C1648" s="185"/>
      <c r="E1648" t="s">
        <v>386</v>
      </c>
      <c r="F1648" t="s">
        <v>6399</v>
      </c>
      <c r="G1648" t="s">
        <v>1197</v>
      </c>
      <c r="H1648" t="s">
        <v>6400</v>
      </c>
      <c r="I1648">
        <v>13702</v>
      </c>
      <c r="J1648" t="s">
        <v>6399</v>
      </c>
      <c r="K1648" t="s">
        <v>6401</v>
      </c>
      <c r="L1648" t="s">
        <v>386</v>
      </c>
      <c r="M1648" t="s">
        <v>1193</v>
      </c>
      <c r="N1648">
        <v>13702</v>
      </c>
      <c r="O1648">
        <v>0</v>
      </c>
      <c r="Q1648" t="s">
        <v>6402</v>
      </c>
      <c r="R1648" t="s">
        <v>1208</v>
      </c>
      <c r="T1648">
        <v>571</v>
      </c>
      <c r="V1648" t="s">
        <v>2003</v>
      </c>
      <c r="W1648" t="s">
        <v>2073</v>
      </c>
      <c r="X1648">
        <v>372</v>
      </c>
      <c r="Z1648" t="s">
        <v>865</v>
      </c>
      <c r="AA1648" t="s">
        <v>386</v>
      </c>
      <c r="AB1648">
        <v>0</v>
      </c>
      <c r="AC1648">
        <v>10</v>
      </c>
      <c r="AD1648" t="s">
        <v>4708</v>
      </c>
      <c r="AE1648">
        <v>11</v>
      </c>
      <c r="AF1648" t="s">
        <v>5744</v>
      </c>
      <c r="AG1648" t="s">
        <v>6403</v>
      </c>
      <c r="AH1648" t="s">
        <v>6404</v>
      </c>
    </row>
    <row r="1649" spans="1:34" x14ac:dyDescent="0.25">
      <c r="A1649">
        <v>1832</v>
      </c>
      <c r="C1649" s="185"/>
      <c r="D1649" t="s">
        <v>157</v>
      </c>
      <c r="E1649" t="s">
        <v>386</v>
      </c>
      <c r="F1649" t="s">
        <v>6405</v>
      </c>
      <c r="G1649" t="s">
        <v>1238</v>
      </c>
      <c r="H1649" t="s">
        <v>4699</v>
      </c>
      <c r="I1649">
        <v>10639</v>
      </c>
      <c r="J1649" t="s">
        <v>6405</v>
      </c>
      <c r="K1649" t="s">
        <v>6405</v>
      </c>
      <c r="L1649" t="s">
        <v>386</v>
      </c>
      <c r="M1649" t="s">
        <v>1184</v>
      </c>
      <c r="N1649">
        <v>10639</v>
      </c>
      <c r="O1649">
        <v>0</v>
      </c>
      <c r="Q1649" t="s">
        <v>6406</v>
      </c>
      <c r="T1649">
        <v>388</v>
      </c>
      <c r="V1649" t="s">
        <v>1712</v>
      </c>
      <c r="W1649" t="s">
        <v>1215</v>
      </c>
      <c r="X1649">
        <v>259</v>
      </c>
      <c r="Z1649" t="s">
        <v>4701</v>
      </c>
      <c r="AA1649" t="s">
        <v>387</v>
      </c>
      <c r="AB1649">
        <v>0</v>
      </c>
      <c r="AC1649">
        <v>4092</v>
      </c>
      <c r="AD1649" t="s">
        <v>6407</v>
      </c>
      <c r="AE1649">
        <v>1</v>
      </c>
      <c r="AF1649" t="s">
        <v>1922</v>
      </c>
      <c r="AG1649" t="s">
        <v>6408</v>
      </c>
      <c r="AH1649" t="s">
        <v>6409</v>
      </c>
    </row>
    <row r="1650" spans="1:34" x14ac:dyDescent="0.25">
      <c r="A1650">
        <v>1739</v>
      </c>
      <c r="C1650" s="185"/>
      <c r="D1650" t="s">
        <v>157</v>
      </c>
      <c r="E1650" t="s">
        <v>386</v>
      </c>
      <c r="F1650" t="s">
        <v>6410</v>
      </c>
      <c r="G1650" t="s">
        <v>1197</v>
      </c>
      <c r="H1650" t="s">
        <v>6411</v>
      </c>
      <c r="I1650">
        <v>6158</v>
      </c>
      <c r="J1650" t="s">
        <v>6410</v>
      </c>
      <c r="K1650" t="s">
        <v>6412</v>
      </c>
      <c r="L1650" t="s">
        <v>386</v>
      </c>
      <c r="M1650" t="s">
        <v>1193</v>
      </c>
      <c r="N1650">
        <v>6158</v>
      </c>
      <c r="O1650">
        <v>0</v>
      </c>
      <c r="Q1650" t="s">
        <v>6413</v>
      </c>
      <c r="T1650">
        <v>340</v>
      </c>
      <c r="V1650" t="s">
        <v>1200</v>
      </c>
      <c r="W1650" t="s">
        <v>1915</v>
      </c>
      <c r="X1650">
        <v>185</v>
      </c>
      <c r="Z1650" t="s">
        <v>6414</v>
      </c>
      <c r="AA1650" t="s">
        <v>387</v>
      </c>
      <c r="AB1650">
        <v>0</v>
      </c>
      <c r="AC1650">
        <v>6327</v>
      </c>
      <c r="AD1650" t="s">
        <v>6415</v>
      </c>
      <c r="AE1650">
        <v>1344</v>
      </c>
      <c r="AF1650" t="s">
        <v>6414</v>
      </c>
      <c r="AG1650" t="s">
        <v>1244</v>
      </c>
      <c r="AH1650" t="s">
        <v>6416</v>
      </c>
    </row>
    <row r="1651" spans="1:34" x14ac:dyDescent="0.25">
      <c r="A1651">
        <v>1373</v>
      </c>
      <c r="C1651" s="185"/>
      <c r="E1651" t="s">
        <v>386</v>
      </c>
      <c r="F1651" t="s">
        <v>6417</v>
      </c>
      <c r="G1651" t="s">
        <v>1238</v>
      </c>
      <c r="H1651" t="s">
        <v>4956</v>
      </c>
      <c r="I1651">
        <v>16554</v>
      </c>
      <c r="J1651" t="s">
        <v>6417</v>
      </c>
      <c r="K1651" t="s">
        <v>6418</v>
      </c>
      <c r="L1651" t="s">
        <v>386</v>
      </c>
      <c r="M1651" t="s">
        <v>1184</v>
      </c>
      <c r="N1651">
        <v>16554</v>
      </c>
      <c r="O1651">
        <v>0</v>
      </c>
      <c r="Q1651" t="s">
        <v>6419</v>
      </c>
      <c r="T1651">
        <v>52</v>
      </c>
      <c r="V1651" t="s">
        <v>2024</v>
      </c>
      <c r="W1651" t="s">
        <v>2246</v>
      </c>
      <c r="X1651">
        <v>496</v>
      </c>
      <c r="Z1651" t="s">
        <v>4186</v>
      </c>
      <c r="AA1651" t="s">
        <v>387</v>
      </c>
      <c r="AB1651">
        <v>0</v>
      </c>
      <c r="AC1651">
        <v>6183</v>
      </c>
      <c r="AD1651" t="s">
        <v>6417</v>
      </c>
      <c r="AE1651">
        <v>18</v>
      </c>
      <c r="AF1651" t="s">
        <v>1259</v>
      </c>
      <c r="AG1651" t="s">
        <v>5299</v>
      </c>
    </row>
    <row r="1652" spans="1:34" x14ac:dyDescent="0.25">
      <c r="A1652">
        <v>1</v>
      </c>
      <c r="C1652" s="185"/>
      <c r="E1652" t="s">
        <v>386</v>
      </c>
      <c r="F1652" t="s">
        <v>6420</v>
      </c>
      <c r="G1652" t="s">
        <v>1192</v>
      </c>
      <c r="H1652" t="s">
        <v>4775</v>
      </c>
      <c r="I1652">
        <v>6278</v>
      </c>
      <c r="J1652" t="s">
        <v>6420</v>
      </c>
      <c r="K1652" t="s">
        <v>6421</v>
      </c>
      <c r="L1652" t="s">
        <v>386</v>
      </c>
      <c r="M1652" t="s">
        <v>1193</v>
      </c>
      <c r="N1652">
        <v>6278</v>
      </c>
      <c r="O1652">
        <v>0</v>
      </c>
      <c r="Q1652" t="s">
        <v>6422</v>
      </c>
      <c r="R1652" t="s">
        <v>1208</v>
      </c>
      <c r="T1652">
        <v>260</v>
      </c>
      <c r="V1652" t="s">
        <v>1216</v>
      </c>
      <c r="W1652" t="s">
        <v>1216</v>
      </c>
      <c r="X1652">
        <v>260</v>
      </c>
      <c r="Z1652" t="s">
        <v>865</v>
      </c>
      <c r="AA1652" t="s">
        <v>387</v>
      </c>
      <c r="AB1652">
        <v>0</v>
      </c>
      <c r="AC1652">
        <v>132</v>
      </c>
      <c r="AD1652" t="s">
        <v>4778</v>
      </c>
      <c r="AE1652">
        <v>114</v>
      </c>
      <c r="AF1652" t="s">
        <v>1218</v>
      </c>
      <c r="AG1652" t="s">
        <v>6423</v>
      </c>
      <c r="AH1652" t="s">
        <v>6424</v>
      </c>
    </row>
    <row r="1653" spans="1:34" x14ac:dyDescent="0.25">
      <c r="A1653">
        <v>1</v>
      </c>
      <c r="C1653" s="185"/>
      <c r="E1653" t="s">
        <v>386</v>
      </c>
      <c r="F1653" t="s">
        <v>6425</v>
      </c>
      <c r="G1653" t="s">
        <v>1192</v>
      </c>
      <c r="H1653" t="s">
        <v>4775</v>
      </c>
      <c r="I1653">
        <v>6383</v>
      </c>
      <c r="J1653" t="s">
        <v>6425</v>
      </c>
      <c r="K1653" t="s">
        <v>6421</v>
      </c>
      <c r="L1653" t="s">
        <v>386</v>
      </c>
      <c r="M1653" t="s">
        <v>1193</v>
      </c>
      <c r="N1653">
        <v>6383</v>
      </c>
      <c r="O1653">
        <v>0</v>
      </c>
      <c r="Q1653" t="s">
        <v>6422</v>
      </c>
      <c r="R1653" t="s">
        <v>1208</v>
      </c>
      <c r="T1653">
        <v>372</v>
      </c>
      <c r="V1653" t="s">
        <v>2073</v>
      </c>
      <c r="W1653" t="s">
        <v>2073</v>
      </c>
      <c r="X1653">
        <v>372</v>
      </c>
      <c r="Z1653" t="s">
        <v>865</v>
      </c>
      <c r="AA1653" t="s">
        <v>387</v>
      </c>
      <c r="AB1653">
        <v>0</v>
      </c>
      <c r="AC1653">
        <v>132</v>
      </c>
      <c r="AD1653" t="s">
        <v>4778</v>
      </c>
      <c r="AE1653">
        <v>1812</v>
      </c>
      <c r="AF1653" t="s">
        <v>3984</v>
      </c>
      <c r="AG1653" t="s">
        <v>6423</v>
      </c>
      <c r="AH1653" t="s">
        <v>6426</v>
      </c>
    </row>
    <row r="1654" spans="1:34" x14ac:dyDescent="0.25">
      <c r="A1654">
        <v>1</v>
      </c>
      <c r="C1654" s="185"/>
      <c r="E1654" t="s">
        <v>386</v>
      </c>
      <c r="F1654" t="s">
        <v>6427</v>
      </c>
      <c r="G1654" t="s">
        <v>1197</v>
      </c>
      <c r="H1654" t="s">
        <v>6216</v>
      </c>
      <c r="I1654">
        <v>2224</v>
      </c>
      <c r="J1654" t="s">
        <v>6427</v>
      </c>
      <c r="K1654" t="s">
        <v>6427</v>
      </c>
      <c r="L1654" t="s">
        <v>386</v>
      </c>
      <c r="M1654" t="s">
        <v>1193</v>
      </c>
      <c r="N1654">
        <v>2224</v>
      </c>
      <c r="O1654">
        <v>0</v>
      </c>
      <c r="Q1654" t="s">
        <v>6428</v>
      </c>
      <c r="T1654">
        <v>35</v>
      </c>
      <c r="V1654" t="s">
        <v>2015</v>
      </c>
      <c r="Z1654" t="s">
        <v>865</v>
      </c>
      <c r="AA1654" t="s">
        <v>387</v>
      </c>
      <c r="AB1654">
        <v>0</v>
      </c>
      <c r="AC1654">
        <v>1610</v>
      </c>
      <c r="AD1654" t="s">
        <v>3102</v>
      </c>
      <c r="AE1654">
        <v>1</v>
      </c>
      <c r="AF1654" t="s">
        <v>1922</v>
      </c>
      <c r="AG1654" t="s">
        <v>2730</v>
      </c>
    </row>
    <row r="1655" spans="1:34" x14ac:dyDescent="0.25">
      <c r="A1655">
        <v>6</v>
      </c>
      <c r="B1655" t="s">
        <v>1313</v>
      </c>
      <c r="C1655" s="185"/>
      <c r="D1655" t="s">
        <v>24</v>
      </c>
      <c r="E1655" t="s">
        <v>386</v>
      </c>
      <c r="F1655" t="s">
        <v>6429</v>
      </c>
      <c r="G1655" t="s">
        <v>1197</v>
      </c>
      <c r="H1655" t="s">
        <v>6430</v>
      </c>
      <c r="I1655">
        <v>6662</v>
      </c>
      <c r="J1655" t="s">
        <v>6429</v>
      </c>
      <c r="K1655" t="s">
        <v>6431</v>
      </c>
      <c r="L1655" t="s">
        <v>386</v>
      </c>
      <c r="M1655" t="s">
        <v>1193</v>
      </c>
      <c r="N1655">
        <v>6662</v>
      </c>
      <c r="O1655">
        <v>76</v>
      </c>
      <c r="Q1655" t="s">
        <v>6432</v>
      </c>
      <c r="R1655" t="s">
        <v>398</v>
      </c>
      <c r="S1655" t="s">
        <v>1909</v>
      </c>
      <c r="T1655">
        <v>220</v>
      </c>
      <c r="U1655">
        <v>0</v>
      </c>
      <c r="V1655" t="s">
        <v>1194</v>
      </c>
      <c r="W1655" t="s">
        <v>1200</v>
      </c>
      <c r="X1655">
        <v>340</v>
      </c>
      <c r="Y1655" t="s">
        <v>1317</v>
      </c>
      <c r="Z1655" t="s">
        <v>892</v>
      </c>
      <c r="AA1655" t="s">
        <v>387</v>
      </c>
      <c r="AB1655">
        <v>0</v>
      </c>
      <c r="AC1655">
        <v>6391</v>
      </c>
      <c r="AD1655" t="s">
        <v>6433</v>
      </c>
      <c r="AE1655">
        <v>18</v>
      </c>
      <c r="AF1655" t="s">
        <v>1259</v>
      </c>
      <c r="AG1655" t="s">
        <v>1244</v>
      </c>
      <c r="AH1655" t="s">
        <v>6434</v>
      </c>
    </row>
    <row r="1656" spans="1:34" x14ac:dyDescent="0.25">
      <c r="A1656">
        <v>1</v>
      </c>
      <c r="C1656" s="185"/>
      <c r="E1656" t="s">
        <v>386</v>
      </c>
      <c r="F1656" t="s">
        <v>6435</v>
      </c>
      <c r="G1656" t="s">
        <v>1197</v>
      </c>
      <c r="H1656" t="s">
        <v>6436</v>
      </c>
      <c r="I1656">
        <v>10221</v>
      </c>
      <c r="J1656" t="s">
        <v>6435</v>
      </c>
      <c r="K1656" t="s">
        <v>6435</v>
      </c>
      <c r="L1656" t="s">
        <v>386</v>
      </c>
      <c r="M1656" t="s">
        <v>1193</v>
      </c>
      <c r="N1656">
        <v>10221</v>
      </c>
      <c r="O1656">
        <v>0</v>
      </c>
      <c r="Q1656" t="s">
        <v>6437</v>
      </c>
      <c r="T1656">
        <v>146</v>
      </c>
      <c r="V1656" t="s">
        <v>2727</v>
      </c>
      <c r="Z1656" t="s">
        <v>865</v>
      </c>
      <c r="AA1656" t="s">
        <v>387</v>
      </c>
      <c r="AB1656">
        <v>0</v>
      </c>
      <c r="AC1656">
        <v>159</v>
      </c>
      <c r="AD1656" t="s">
        <v>6438</v>
      </c>
      <c r="AE1656">
        <v>26</v>
      </c>
      <c r="AF1656" t="s">
        <v>2075</v>
      </c>
      <c r="AG1656" t="s">
        <v>6439</v>
      </c>
    </row>
    <row r="1657" spans="1:34" x14ac:dyDescent="0.25">
      <c r="A1657">
        <v>6</v>
      </c>
      <c r="C1657" s="185"/>
      <c r="D1657" t="s">
        <v>157</v>
      </c>
      <c r="E1657" t="s">
        <v>386</v>
      </c>
      <c r="F1657" t="s">
        <v>6440</v>
      </c>
      <c r="G1657" t="s">
        <v>1197</v>
      </c>
      <c r="H1657" t="s">
        <v>6441</v>
      </c>
      <c r="I1657">
        <v>12051</v>
      </c>
      <c r="J1657" t="s">
        <v>6440</v>
      </c>
      <c r="K1657" t="s">
        <v>6442</v>
      </c>
      <c r="L1657" t="s">
        <v>386</v>
      </c>
      <c r="M1657" t="s">
        <v>1193</v>
      </c>
      <c r="N1657">
        <v>12051</v>
      </c>
      <c r="O1657">
        <v>76</v>
      </c>
      <c r="Q1657" t="s">
        <v>6443</v>
      </c>
      <c r="R1657" t="s">
        <v>1208</v>
      </c>
      <c r="T1657">
        <v>220</v>
      </c>
      <c r="V1657" t="s">
        <v>1194</v>
      </c>
      <c r="W1657" t="s">
        <v>1199</v>
      </c>
      <c r="X1657">
        <v>200</v>
      </c>
      <c r="Z1657" t="s">
        <v>892</v>
      </c>
      <c r="AA1657" t="s">
        <v>387</v>
      </c>
      <c r="AB1657">
        <v>0</v>
      </c>
      <c r="AC1657">
        <v>513</v>
      </c>
      <c r="AD1657" t="s">
        <v>3443</v>
      </c>
      <c r="AE1657">
        <v>2126</v>
      </c>
      <c r="AF1657" t="s">
        <v>6444</v>
      </c>
      <c r="AG1657" t="s">
        <v>1244</v>
      </c>
      <c r="AH1657" t="s">
        <v>6445</v>
      </c>
    </row>
    <row r="1658" spans="1:34" x14ac:dyDescent="0.25">
      <c r="A1658">
        <v>1</v>
      </c>
      <c r="C1658" s="185">
        <v>43703</v>
      </c>
      <c r="E1658" t="s">
        <v>386</v>
      </c>
      <c r="F1658" t="s">
        <v>6446</v>
      </c>
      <c r="G1658" t="s">
        <v>1197</v>
      </c>
      <c r="H1658" t="s">
        <v>5477</v>
      </c>
      <c r="I1658">
        <v>8023</v>
      </c>
      <c r="J1658" t="s">
        <v>6446</v>
      </c>
      <c r="K1658" t="s">
        <v>6446</v>
      </c>
      <c r="L1658" t="s">
        <v>386</v>
      </c>
      <c r="M1658" t="s">
        <v>1193</v>
      </c>
      <c r="N1658">
        <v>8023</v>
      </c>
      <c r="O1658">
        <v>0</v>
      </c>
      <c r="Q1658" t="s">
        <v>6447</v>
      </c>
      <c r="R1658" t="s">
        <v>1208</v>
      </c>
      <c r="T1658">
        <v>146</v>
      </c>
      <c r="V1658" t="s">
        <v>2727</v>
      </c>
      <c r="Z1658" t="s">
        <v>865</v>
      </c>
      <c r="AA1658" t="s">
        <v>387</v>
      </c>
      <c r="AB1658">
        <v>0</v>
      </c>
      <c r="AC1658">
        <v>11</v>
      </c>
      <c r="AD1658" t="s">
        <v>5479</v>
      </c>
      <c r="AE1658">
        <v>14</v>
      </c>
      <c r="AF1658" t="s">
        <v>2615</v>
      </c>
      <c r="AG1658" t="s">
        <v>6448</v>
      </c>
      <c r="AH1658" t="s">
        <v>6449</v>
      </c>
    </row>
    <row r="1659" spans="1:34" x14ac:dyDescent="0.25">
      <c r="A1659">
        <v>1</v>
      </c>
      <c r="C1659" s="185"/>
      <c r="E1659" t="s">
        <v>386</v>
      </c>
      <c r="F1659" t="s">
        <v>6450</v>
      </c>
      <c r="G1659" t="s">
        <v>1197</v>
      </c>
      <c r="H1659" t="s">
        <v>6451</v>
      </c>
      <c r="I1659">
        <v>5037</v>
      </c>
      <c r="J1659" t="s">
        <v>6452</v>
      </c>
      <c r="K1659" t="s">
        <v>6450</v>
      </c>
      <c r="L1659" t="s">
        <v>386</v>
      </c>
      <c r="M1659" t="s">
        <v>1193</v>
      </c>
      <c r="N1659">
        <v>5031</v>
      </c>
      <c r="O1659">
        <v>0</v>
      </c>
      <c r="Q1659" t="s">
        <v>6453</v>
      </c>
      <c r="T1659">
        <v>52</v>
      </c>
      <c r="V1659" t="s">
        <v>2024</v>
      </c>
      <c r="Z1659" t="s">
        <v>865</v>
      </c>
      <c r="AA1659" t="s">
        <v>387</v>
      </c>
      <c r="AB1659">
        <v>0</v>
      </c>
      <c r="AC1659">
        <v>2459</v>
      </c>
      <c r="AD1659" t="s">
        <v>6454</v>
      </c>
      <c r="AE1659">
        <v>270</v>
      </c>
      <c r="AF1659" t="s">
        <v>1030</v>
      </c>
      <c r="AG1659" t="s">
        <v>6455</v>
      </c>
    </row>
    <row r="1660" spans="1:34" x14ac:dyDescent="0.25">
      <c r="A1660">
        <v>6</v>
      </c>
      <c r="C1660" s="185"/>
      <c r="E1660" t="s">
        <v>386</v>
      </c>
      <c r="F1660" t="s">
        <v>6456</v>
      </c>
      <c r="G1660" t="s">
        <v>1197</v>
      </c>
      <c r="H1660" t="s">
        <v>6457</v>
      </c>
      <c r="I1660">
        <v>12652</v>
      </c>
      <c r="J1660" t="s">
        <v>6456</v>
      </c>
      <c r="K1660" t="s">
        <v>6458</v>
      </c>
      <c r="L1660" t="s">
        <v>386</v>
      </c>
      <c r="M1660" t="s">
        <v>1193</v>
      </c>
      <c r="N1660">
        <v>12652</v>
      </c>
      <c r="O1660">
        <v>0</v>
      </c>
      <c r="Q1660" t="s">
        <v>6459</v>
      </c>
      <c r="R1660" t="s">
        <v>1223</v>
      </c>
      <c r="T1660">
        <v>260</v>
      </c>
      <c r="V1660" t="s">
        <v>1216</v>
      </c>
      <c r="W1660" t="s">
        <v>2067</v>
      </c>
      <c r="X1660">
        <v>304</v>
      </c>
      <c r="Z1660" t="s">
        <v>892</v>
      </c>
      <c r="AA1660" t="s">
        <v>387</v>
      </c>
      <c r="AB1660">
        <v>0</v>
      </c>
      <c r="AC1660">
        <v>4725</v>
      </c>
      <c r="AD1660" t="s">
        <v>6460</v>
      </c>
      <c r="AE1660">
        <v>247</v>
      </c>
      <c r="AF1660" t="s">
        <v>6461</v>
      </c>
      <c r="AG1660" t="s">
        <v>6462</v>
      </c>
      <c r="AH1660" t="s">
        <v>6463</v>
      </c>
    </row>
    <row r="1661" spans="1:34" x14ac:dyDescent="0.25">
      <c r="A1661">
        <v>1</v>
      </c>
      <c r="C1661" s="185"/>
      <c r="D1661" t="s">
        <v>24</v>
      </c>
      <c r="E1661" t="s">
        <v>386</v>
      </c>
      <c r="F1661" t="s">
        <v>6464</v>
      </c>
      <c r="G1661" t="s">
        <v>1197</v>
      </c>
      <c r="H1661" t="s">
        <v>1710</v>
      </c>
      <c r="I1661">
        <v>3071</v>
      </c>
      <c r="J1661" t="s">
        <v>6464</v>
      </c>
      <c r="K1661" t="s">
        <v>6464</v>
      </c>
      <c r="L1661" t="s">
        <v>386</v>
      </c>
      <c r="M1661" t="s">
        <v>1193</v>
      </c>
      <c r="N1661">
        <v>3071</v>
      </c>
      <c r="O1661">
        <v>0</v>
      </c>
      <c r="Q1661" t="s">
        <v>6465</v>
      </c>
      <c r="T1661">
        <v>39</v>
      </c>
      <c r="V1661" t="s">
        <v>2144</v>
      </c>
      <c r="Z1661" t="s">
        <v>865</v>
      </c>
      <c r="AA1661" t="s">
        <v>387</v>
      </c>
      <c r="AB1661">
        <v>0</v>
      </c>
      <c r="AC1661">
        <v>937</v>
      </c>
      <c r="AD1661" t="s">
        <v>2508</v>
      </c>
      <c r="AE1661">
        <v>3</v>
      </c>
      <c r="AF1661" t="s">
        <v>1235</v>
      </c>
      <c r="AG1661" t="s">
        <v>2510</v>
      </c>
      <c r="AH1661" t="s">
        <v>2953</v>
      </c>
    </row>
    <row r="1662" spans="1:34" x14ac:dyDescent="0.25">
      <c r="A1662">
        <v>1</v>
      </c>
      <c r="C1662" s="185"/>
      <c r="E1662" t="s">
        <v>386</v>
      </c>
      <c r="F1662" t="s">
        <v>6466</v>
      </c>
      <c r="G1662" t="s">
        <v>1197</v>
      </c>
      <c r="H1662" t="s">
        <v>6467</v>
      </c>
      <c r="I1662">
        <v>5700</v>
      </c>
      <c r="J1662" t="s">
        <v>6466</v>
      </c>
      <c r="K1662" t="s">
        <v>6466</v>
      </c>
      <c r="L1662" t="s">
        <v>386</v>
      </c>
      <c r="M1662" t="s">
        <v>1193</v>
      </c>
      <c r="N1662">
        <v>5700</v>
      </c>
      <c r="O1662">
        <v>0</v>
      </c>
      <c r="Q1662" t="s">
        <v>6468</v>
      </c>
      <c r="T1662">
        <v>39</v>
      </c>
      <c r="V1662" t="s">
        <v>2144</v>
      </c>
      <c r="Z1662" t="s">
        <v>865</v>
      </c>
      <c r="AA1662" t="s">
        <v>387</v>
      </c>
      <c r="AB1662">
        <v>0</v>
      </c>
      <c r="AC1662">
        <v>601</v>
      </c>
      <c r="AD1662" t="s">
        <v>2665</v>
      </c>
      <c r="AE1662">
        <v>10</v>
      </c>
      <c r="AF1662" t="s">
        <v>1225</v>
      </c>
      <c r="AG1662" t="s">
        <v>6469</v>
      </c>
      <c r="AH1662" t="s">
        <v>6470</v>
      </c>
    </row>
    <row r="1663" spans="1:34" x14ac:dyDescent="0.25">
      <c r="A1663">
        <v>25</v>
      </c>
      <c r="C1663" s="185"/>
      <c r="E1663" t="s">
        <v>386</v>
      </c>
      <c r="F1663" t="s">
        <v>6471</v>
      </c>
      <c r="G1663" t="s">
        <v>1197</v>
      </c>
      <c r="H1663" t="s">
        <v>6472</v>
      </c>
      <c r="I1663">
        <v>5941</v>
      </c>
      <c r="J1663" t="s">
        <v>6471</v>
      </c>
      <c r="K1663" t="s">
        <v>6471</v>
      </c>
      <c r="L1663" t="s">
        <v>386</v>
      </c>
      <c r="M1663" t="s">
        <v>1193</v>
      </c>
      <c r="N1663">
        <v>5941</v>
      </c>
      <c r="O1663">
        <v>0</v>
      </c>
      <c r="Q1663" t="s">
        <v>6473</v>
      </c>
      <c r="T1663">
        <v>39</v>
      </c>
      <c r="V1663" t="s">
        <v>2144</v>
      </c>
      <c r="Z1663" t="s">
        <v>857</v>
      </c>
      <c r="AA1663" t="s">
        <v>387</v>
      </c>
      <c r="AB1663">
        <v>0</v>
      </c>
      <c r="AC1663">
        <v>2776</v>
      </c>
      <c r="AD1663" t="s">
        <v>6474</v>
      </c>
      <c r="AE1663">
        <v>138</v>
      </c>
      <c r="AF1663" t="s">
        <v>2509</v>
      </c>
      <c r="AG1663" t="s">
        <v>1244</v>
      </c>
      <c r="AH1663" t="s">
        <v>6475</v>
      </c>
    </row>
    <row r="1664" spans="1:34" x14ac:dyDescent="0.25">
      <c r="A1664">
        <v>1</v>
      </c>
      <c r="C1664" s="185"/>
      <c r="E1664" t="s">
        <v>386</v>
      </c>
      <c r="F1664" t="s">
        <v>6476</v>
      </c>
      <c r="G1664" t="s">
        <v>1197</v>
      </c>
      <c r="H1664" t="s">
        <v>4607</v>
      </c>
      <c r="I1664">
        <v>13524</v>
      </c>
      <c r="J1664" t="s">
        <v>6476</v>
      </c>
      <c r="K1664" t="s">
        <v>6477</v>
      </c>
      <c r="L1664" t="s">
        <v>386</v>
      </c>
      <c r="M1664" t="s">
        <v>1193</v>
      </c>
      <c r="N1664">
        <v>13524</v>
      </c>
      <c r="O1664">
        <v>0</v>
      </c>
      <c r="Q1664" t="s">
        <v>6478</v>
      </c>
      <c r="R1664" t="s">
        <v>1208</v>
      </c>
      <c r="T1664">
        <v>35</v>
      </c>
      <c r="V1664" t="s">
        <v>2015</v>
      </c>
      <c r="W1664" t="s">
        <v>2073</v>
      </c>
      <c r="X1664">
        <v>372</v>
      </c>
      <c r="Z1664" t="s">
        <v>865</v>
      </c>
      <c r="AA1664" t="s">
        <v>387</v>
      </c>
      <c r="AB1664">
        <v>0</v>
      </c>
      <c r="AC1664">
        <v>1204</v>
      </c>
      <c r="AD1664" t="s">
        <v>4611</v>
      </c>
      <c r="AE1664">
        <v>10</v>
      </c>
      <c r="AF1664" t="s">
        <v>1225</v>
      </c>
      <c r="AG1664" t="s">
        <v>5886</v>
      </c>
      <c r="AH1664" t="s">
        <v>6479</v>
      </c>
    </row>
    <row r="1665" spans="1:34" x14ac:dyDescent="0.25">
      <c r="A1665">
        <v>1811</v>
      </c>
      <c r="C1665" s="185"/>
      <c r="E1665" t="s">
        <v>386</v>
      </c>
      <c r="F1665" t="s">
        <v>6480</v>
      </c>
      <c r="G1665" t="s">
        <v>1238</v>
      </c>
      <c r="H1665" t="s">
        <v>5237</v>
      </c>
      <c r="I1665">
        <v>13162</v>
      </c>
      <c r="J1665" t="s">
        <v>6480</v>
      </c>
      <c r="K1665" t="s">
        <v>6481</v>
      </c>
      <c r="L1665" t="s">
        <v>386</v>
      </c>
      <c r="M1665" t="s">
        <v>1184</v>
      </c>
      <c r="N1665">
        <v>13162</v>
      </c>
      <c r="O1665">
        <v>0</v>
      </c>
      <c r="Q1665" t="s">
        <v>6482</v>
      </c>
      <c r="R1665" t="s">
        <v>398</v>
      </c>
      <c r="T1665">
        <v>388</v>
      </c>
      <c r="V1665" t="s">
        <v>1712</v>
      </c>
      <c r="W1665" t="s">
        <v>1215</v>
      </c>
      <c r="X1665">
        <v>259</v>
      </c>
      <c r="Z1665" t="s">
        <v>5159</v>
      </c>
      <c r="AA1665" t="s">
        <v>387</v>
      </c>
      <c r="AB1665">
        <v>0</v>
      </c>
      <c r="AC1665">
        <v>4924</v>
      </c>
      <c r="AD1665" t="s">
        <v>6483</v>
      </c>
      <c r="AE1665">
        <v>1974</v>
      </c>
      <c r="AF1665" t="s">
        <v>1243</v>
      </c>
      <c r="AG1665" t="s">
        <v>1244</v>
      </c>
    </row>
    <row r="1666" spans="1:34" x14ac:dyDescent="0.25">
      <c r="A1666">
        <v>1673</v>
      </c>
      <c r="C1666" s="185"/>
      <c r="E1666" t="s">
        <v>386</v>
      </c>
      <c r="F1666" t="s">
        <v>6484</v>
      </c>
      <c r="G1666" t="s">
        <v>1197</v>
      </c>
      <c r="H1666" t="s">
        <v>6485</v>
      </c>
      <c r="I1666">
        <v>17662</v>
      </c>
      <c r="J1666" t="s">
        <v>6484</v>
      </c>
      <c r="K1666" t="s">
        <v>6486</v>
      </c>
      <c r="L1666" t="s">
        <v>386</v>
      </c>
      <c r="M1666" t="s">
        <v>1193</v>
      </c>
      <c r="N1666">
        <v>17662</v>
      </c>
      <c r="O1666">
        <v>0</v>
      </c>
      <c r="Q1666" t="s">
        <v>6487</v>
      </c>
      <c r="R1666" t="s">
        <v>1223</v>
      </c>
      <c r="T1666">
        <v>260</v>
      </c>
      <c r="V1666" t="s">
        <v>1216</v>
      </c>
      <c r="W1666" t="s">
        <v>1216</v>
      </c>
      <c r="X1666">
        <v>260</v>
      </c>
      <c r="Z1666" t="s">
        <v>6488</v>
      </c>
      <c r="AA1666" t="s">
        <v>387</v>
      </c>
      <c r="AB1666">
        <v>0</v>
      </c>
      <c r="AC1666">
        <v>377</v>
      </c>
      <c r="AD1666" t="s">
        <v>2509</v>
      </c>
      <c r="AE1666">
        <v>3051</v>
      </c>
      <c r="AF1666" t="s">
        <v>6489</v>
      </c>
      <c r="AG1666" t="s">
        <v>6490</v>
      </c>
    </row>
    <row r="1667" spans="1:34" x14ac:dyDescent="0.25">
      <c r="A1667">
        <v>1</v>
      </c>
      <c r="C1667" s="185"/>
      <c r="E1667" t="s">
        <v>386</v>
      </c>
      <c r="F1667" t="s">
        <v>6491</v>
      </c>
      <c r="G1667" t="s">
        <v>1197</v>
      </c>
      <c r="H1667" t="s">
        <v>6492</v>
      </c>
      <c r="I1667">
        <v>15806</v>
      </c>
      <c r="J1667" t="s">
        <v>6491</v>
      </c>
      <c r="K1667" t="s">
        <v>6493</v>
      </c>
      <c r="L1667" t="s">
        <v>386</v>
      </c>
      <c r="M1667" t="s">
        <v>1193</v>
      </c>
      <c r="N1667">
        <v>15806</v>
      </c>
      <c r="O1667">
        <v>0</v>
      </c>
      <c r="Q1667" t="s">
        <v>6494</v>
      </c>
      <c r="R1667" t="s">
        <v>1208</v>
      </c>
      <c r="T1667">
        <v>571</v>
      </c>
      <c r="V1667" t="s">
        <v>2003</v>
      </c>
      <c r="W1667" t="s">
        <v>1530</v>
      </c>
      <c r="X1667">
        <v>103</v>
      </c>
      <c r="Z1667" t="s">
        <v>865</v>
      </c>
      <c r="AA1667" t="s">
        <v>387</v>
      </c>
      <c r="AB1667">
        <v>0</v>
      </c>
      <c r="AC1667">
        <v>2115</v>
      </c>
      <c r="AD1667" t="s">
        <v>6495</v>
      </c>
      <c r="AE1667">
        <v>409</v>
      </c>
      <c r="AF1667" t="s">
        <v>3131</v>
      </c>
      <c r="AG1667" t="s">
        <v>2191</v>
      </c>
      <c r="AH1667" t="s">
        <v>6496</v>
      </c>
    </row>
    <row r="1668" spans="1:34" x14ac:dyDescent="0.25">
      <c r="A1668">
        <v>2060</v>
      </c>
      <c r="C1668" s="185"/>
      <c r="E1668" t="s">
        <v>386</v>
      </c>
      <c r="F1668" t="s">
        <v>6497</v>
      </c>
      <c r="G1668" t="s">
        <v>1197</v>
      </c>
      <c r="H1668" t="s">
        <v>6498</v>
      </c>
      <c r="I1668">
        <v>13559</v>
      </c>
      <c r="J1668" t="s">
        <v>6497</v>
      </c>
      <c r="K1668" t="s">
        <v>6499</v>
      </c>
      <c r="L1668" t="s">
        <v>386</v>
      </c>
      <c r="M1668" t="s">
        <v>1193</v>
      </c>
      <c r="N1668">
        <v>13559</v>
      </c>
      <c r="O1668">
        <v>0</v>
      </c>
      <c r="Q1668" t="s">
        <v>6500</v>
      </c>
      <c r="R1668" t="s">
        <v>398</v>
      </c>
      <c r="T1668">
        <v>259</v>
      </c>
      <c r="V1668" t="s">
        <v>1215</v>
      </c>
      <c r="W1668" t="s">
        <v>2073</v>
      </c>
      <c r="X1668">
        <v>372</v>
      </c>
      <c r="Z1668" t="s">
        <v>6501</v>
      </c>
      <c r="AA1668" t="s">
        <v>387</v>
      </c>
      <c r="AB1668">
        <v>0</v>
      </c>
      <c r="AC1668">
        <v>5102</v>
      </c>
      <c r="AD1668" t="s">
        <v>6502</v>
      </c>
      <c r="AE1668">
        <v>18</v>
      </c>
      <c r="AF1668" t="s">
        <v>1259</v>
      </c>
      <c r="AG1668" t="s">
        <v>1244</v>
      </c>
      <c r="AH1668" t="s">
        <v>6503</v>
      </c>
    </row>
    <row r="1669" spans="1:34" x14ac:dyDescent="0.25">
      <c r="A1669">
        <v>1</v>
      </c>
      <c r="C1669" s="185"/>
      <c r="E1669" t="s">
        <v>386</v>
      </c>
      <c r="F1669" t="s">
        <v>6504</v>
      </c>
      <c r="G1669" t="s">
        <v>1197</v>
      </c>
      <c r="H1669" t="s">
        <v>6505</v>
      </c>
      <c r="I1669">
        <v>3322</v>
      </c>
      <c r="J1669" t="s">
        <v>6504</v>
      </c>
      <c r="K1669" t="s">
        <v>6506</v>
      </c>
      <c r="L1669" t="s">
        <v>386</v>
      </c>
      <c r="M1669" t="s">
        <v>1193</v>
      </c>
      <c r="N1669">
        <v>3322</v>
      </c>
      <c r="O1669">
        <v>0</v>
      </c>
      <c r="Q1669" t="s">
        <v>6507</v>
      </c>
      <c r="T1669">
        <v>2</v>
      </c>
      <c r="V1669" t="s">
        <v>1205</v>
      </c>
      <c r="Z1669" t="s">
        <v>865</v>
      </c>
      <c r="AA1669" t="s">
        <v>387</v>
      </c>
      <c r="AB1669">
        <v>0</v>
      </c>
      <c r="AC1669">
        <v>2191</v>
      </c>
      <c r="AD1669" t="s">
        <v>6508</v>
      </c>
      <c r="AE1669">
        <v>26</v>
      </c>
      <c r="AF1669" t="s">
        <v>2075</v>
      </c>
      <c r="AG1669" t="s">
        <v>6509</v>
      </c>
    </row>
    <row r="1670" spans="1:34" x14ac:dyDescent="0.25">
      <c r="A1670">
        <v>1697</v>
      </c>
      <c r="C1670" s="185"/>
      <c r="D1670" t="s">
        <v>157</v>
      </c>
      <c r="E1670" t="s">
        <v>386</v>
      </c>
      <c r="F1670" t="s">
        <v>143</v>
      </c>
      <c r="G1670" t="s">
        <v>1197</v>
      </c>
      <c r="H1670" t="s">
        <v>6510</v>
      </c>
      <c r="I1670">
        <v>5900</v>
      </c>
      <c r="J1670" t="s">
        <v>143</v>
      </c>
      <c r="K1670" t="s">
        <v>143</v>
      </c>
      <c r="L1670" t="s">
        <v>386</v>
      </c>
      <c r="M1670" t="s">
        <v>1193</v>
      </c>
      <c r="N1670">
        <v>5900</v>
      </c>
      <c r="O1670">
        <v>24</v>
      </c>
      <c r="Q1670" t="s">
        <v>6511</v>
      </c>
      <c r="R1670" t="s">
        <v>398</v>
      </c>
      <c r="T1670">
        <v>122</v>
      </c>
      <c r="V1670" t="s">
        <v>1988</v>
      </c>
      <c r="W1670" t="s">
        <v>1915</v>
      </c>
      <c r="X1670">
        <v>185</v>
      </c>
      <c r="Z1670" t="s">
        <v>4989</v>
      </c>
      <c r="AA1670" t="s">
        <v>387</v>
      </c>
      <c r="AB1670">
        <v>0</v>
      </c>
      <c r="AC1670">
        <v>2761</v>
      </c>
      <c r="AD1670" t="s">
        <v>6512</v>
      </c>
      <c r="AE1670">
        <v>1312</v>
      </c>
      <c r="AF1670" t="s">
        <v>6513</v>
      </c>
      <c r="AG1670" t="s">
        <v>2873</v>
      </c>
    </row>
    <row r="1671" spans="1:34" x14ac:dyDescent="0.25">
      <c r="A1671">
        <v>1</v>
      </c>
      <c r="C1671" s="185"/>
      <c r="E1671" t="s">
        <v>386</v>
      </c>
      <c r="F1671" t="s">
        <v>6514</v>
      </c>
      <c r="G1671" t="s">
        <v>1197</v>
      </c>
      <c r="H1671" t="s">
        <v>6515</v>
      </c>
      <c r="I1671">
        <v>6113</v>
      </c>
      <c r="J1671" t="s">
        <v>6514</v>
      </c>
      <c r="K1671" t="s">
        <v>6514</v>
      </c>
      <c r="L1671" t="s">
        <v>386</v>
      </c>
      <c r="M1671" t="s">
        <v>1193</v>
      </c>
      <c r="N1671">
        <v>6113</v>
      </c>
      <c r="O1671">
        <v>0</v>
      </c>
      <c r="Q1671" t="s">
        <v>6516</v>
      </c>
      <c r="T1671">
        <v>39</v>
      </c>
      <c r="V1671" t="s">
        <v>2144</v>
      </c>
      <c r="Z1671" t="s">
        <v>865</v>
      </c>
      <c r="AA1671" t="s">
        <v>387</v>
      </c>
      <c r="AB1671">
        <v>0</v>
      </c>
      <c r="AC1671">
        <v>645</v>
      </c>
      <c r="AD1671" t="s">
        <v>6517</v>
      </c>
      <c r="AE1671">
        <v>1</v>
      </c>
      <c r="AF1671" t="s">
        <v>1922</v>
      </c>
      <c r="AG1671" t="s">
        <v>6518</v>
      </c>
      <c r="AH1671" t="s">
        <v>6519</v>
      </c>
    </row>
    <row r="1672" spans="1:34" x14ac:dyDescent="0.25">
      <c r="A1672">
        <v>1</v>
      </c>
      <c r="C1672" s="185">
        <v>43675</v>
      </c>
      <c r="D1672" t="s">
        <v>157</v>
      </c>
      <c r="E1672" t="s">
        <v>386</v>
      </c>
      <c r="F1672" t="s">
        <v>6520</v>
      </c>
      <c r="G1672" t="s">
        <v>1192</v>
      </c>
      <c r="H1672" t="s">
        <v>6521</v>
      </c>
      <c r="I1672">
        <v>8207</v>
      </c>
      <c r="J1672" t="s">
        <v>6520</v>
      </c>
      <c r="K1672" t="s">
        <v>6522</v>
      </c>
      <c r="L1672" t="s">
        <v>386</v>
      </c>
      <c r="M1672" t="s">
        <v>1184</v>
      </c>
      <c r="N1672">
        <v>8207</v>
      </c>
      <c r="O1672">
        <v>0</v>
      </c>
      <c r="Q1672" t="s">
        <v>6523</v>
      </c>
      <c r="R1672" t="s">
        <v>1208</v>
      </c>
      <c r="T1672">
        <v>388</v>
      </c>
      <c r="V1672" t="s">
        <v>1712</v>
      </c>
      <c r="W1672" t="s">
        <v>2458</v>
      </c>
      <c r="X1672">
        <v>44</v>
      </c>
      <c r="Z1672" t="s">
        <v>865</v>
      </c>
      <c r="AA1672" t="s">
        <v>387</v>
      </c>
      <c r="AB1672">
        <v>0</v>
      </c>
      <c r="AC1672">
        <v>513</v>
      </c>
      <c r="AD1672" t="s">
        <v>3443</v>
      </c>
      <c r="AE1672">
        <v>1551</v>
      </c>
      <c r="AF1672" t="s">
        <v>6524</v>
      </c>
      <c r="AG1672" t="s">
        <v>1244</v>
      </c>
    </row>
    <row r="1673" spans="1:34" x14ac:dyDescent="0.25">
      <c r="A1673">
        <v>543</v>
      </c>
      <c r="C1673" s="185"/>
      <c r="D1673" t="s">
        <v>157</v>
      </c>
      <c r="E1673" t="s">
        <v>386</v>
      </c>
      <c r="F1673" t="s">
        <v>6525</v>
      </c>
      <c r="G1673" t="s">
        <v>1192</v>
      </c>
      <c r="H1673" t="s">
        <v>1254</v>
      </c>
      <c r="I1673">
        <v>8626</v>
      </c>
      <c r="J1673" t="s">
        <v>6525</v>
      </c>
      <c r="K1673" t="s">
        <v>6525</v>
      </c>
      <c r="L1673" t="s">
        <v>386</v>
      </c>
      <c r="M1673" t="s">
        <v>1184</v>
      </c>
      <c r="N1673">
        <v>8626</v>
      </c>
      <c r="O1673">
        <v>0</v>
      </c>
      <c r="Q1673" t="s">
        <v>6526</v>
      </c>
      <c r="R1673" t="s">
        <v>398</v>
      </c>
      <c r="T1673">
        <v>388</v>
      </c>
      <c r="V1673" t="s">
        <v>1712</v>
      </c>
      <c r="W1673" t="s">
        <v>1915</v>
      </c>
      <c r="X1673">
        <v>185</v>
      </c>
      <c r="Z1673" t="s">
        <v>1258</v>
      </c>
      <c r="AA1673" t="s">
        <v>387</v>
      </c>
      <c r="AB1673">
        <v>0</v>
      </c>
      <c r="AC1673">
        <v>3454</v>
      </c>
      <c r="AD1673" t="s">
        <v>6527</v>
      </c>
      <c r="AE1673">
        <v>18</v>
      </c>
      <c r="AF1673" t="s">
        <v>1259</v>
      </c>
      <c r="AG1673" t="s">
        <v>1244</v>
      </c>
    </row>
    <row r="1674" spans="1:34" x14ac:dyDescent="0.25">
      <c r="A1674">
        <v>25</v>
      </c>
      <c r="C1674" s="185"/>
      <c r="E1674" t="s">
        <v>386</v>
      </c>
      <c r="F1674" t="s">
        <v>6528</v>
      </c>
      <c r="G1674" t="s">
        <v>6529</v>
      </c>
      <c r="H1674" t="s">
        <v>6530</v>
      </c>
      <c r="I1674">
        <v>6889</v>
      </c>
      <c r="J1674" t="s">
        <v>6528</v>
      </c>
      <c r="K1674" t="s">
        <v>6528</v>
      </c>
      <c r="L1674" t="s">
        <v>386</v>
      </c>
      <c r="M1674" t="s">
        <v>1184</v>
      </c>
      <c r="N1674">
        <v>6889</v>
      </c>
      <c r="O1674">
        <v>0</v>
      </c>
      <c r="Q1674" t="s">
        <v>6531</v>
      </c>
      <c r="R1674" t="s">
        <v>1208</v>
      </c>
      <c r="T1674">
        <v>260</v>
      </c>
      <c r="V1674" t="s">
        <v>1216</v>
      </c>
      <c r="W1674" t="s">
        <v>6532</v>
      </c>
      <c r="X1674">
        <v>375</v>
      </c>
      <c r="Z1674" t="s">
        <v>857</v>
      </c>
      <c r="AA1674" t="s">
        <v>387</v>
      </c>
      <c r="AB1674">
        <v>0</v>
      </c>
      <c r="AC1674">
        <v>2508</v>
      </c>
      <c r="AD1674" t="s">
        <v>6533</v>
      </c>
      <c r="AE1674">
        <v>1</v>
      </c>
      <c r="AF1674" t="s">
        <v>1922</v>
      </c>
      <c r="AG1674" t="s">
        <v>4262</v>
      </c>
      <c r="AH1674" t="s">
        <v>6534</v>
      </c>
    </row>
    <row r="1675" spans="1:34" x14ac:dyDescent="0.25">
      <c r="A1675">
        <v>1952</v>
      </c>
      <c r="C1675" s="185">
        <v>30306</v>
      </c>
      <c r="D1675" t="s">
        <v>157</v>
      </c>
      <c r="E1675" t="s">
        <v>386</v>
      </c>
      <c r="F1675" t="s">
        <v>6535</v>
      </c>
      <c r="G1675" t="s">
        <v>1238</v>
      </c>
      <c r="H1675" t="s">
        <v>6536</v>
      </c>
      <c r="I1675">
        <v>11350</v>
      </c>
      <c r="J1675" t="s">
        <v>6535</v>
      </c>
      <c r="K1675" t="s">
        <v>6528</v>
      </c>
      <c r="L1675" t="s">
        <v>386</v>
      </c>
      <c r="M1675" t="s">
        <v>1184</v>
      </c>
      <c r="N1675">
        <v>11350</v>
      </c>
      <c r="O1675">
        <v>0</v>
      </c>
      <c r="Q1675" t="s">
        <v>6531</v>
      </c>
      <c r="T1675">
        <v>388</v>
      </c>
      <c r="V1675" t="s">
        <v>1712</v>
      </c>
      <c r="W1675" t="s">
        <v>1215</v>
      </c>
      <c r="X1675">
        <v>259</v>
      </c>
      <c r="Z1675" t="s">
        <v>6537</v>
      </c>
      <c r="AA1675" t="s">
        <v>387</v>
      </c>
      <c r="AB1675">
        <v>0</v>
      </c>
      <c r="AC1675">
        <v>4341</v>
      </c>
      <c r="AD1675" t="s">
        <v>6538</v>
      </c>
      <c r="AE1675">
        <v>18</v>
      </c>
      <c r="AF1675" t="s">
        <v>1259</v>
      </c>
      <c r="AG1675" t="s">
        <v>2044</v>
      </c>
    </row>
    <row r="1676" spans="1:34" x14ac:dyDescent="0.25">
      <c r="A1676">
        <v>2122</v>
      </c>
      <c r="C1676" s="185"/>
      <c r="E1676" t="s">
        <v>386</v>
      </c>
      <c r="F1676" t="s">
        <v>240</v>
      </c>
      <c r="G1676" t="s">
        <v>1238</v>
      </c>
      <c r="H1676" t="s">
        <v>6539</v>
      </c>
      <c r="I1676">
        <v>17129</v>
      </c>
      <c r="J1676" t="s">
        <v>240</v>
      </c>
      <c r="K1676" t="s">
        <v>6540</v>
      </c>
      <c r="L1676" t="s">
        <v>386</v>
      </c>
      <c r="M1676" t="s">
        <v>1184</v>
      </c>
      <c r="N1676">
        <v>17129</v>
      </c>
      <c r="O1676">
        <v>0</v>
      </c>
      <c r="Q1676" t="s">
        <v>6541</v>
      </c>
      <c r="T1676">
        <v>496</v>
      </c>
      <c r="V1676" t="s">
        <v>2246</v>
      </c>
      <c r="W1676" t="s">
        <v>2246</v>
      </c>
      <c r="X1676">
        <v>496</v>
      </c>
      <c r="Z1676" t="s">
        <v>6542</v>
      </c>
      <c r="AA1676" t="s">
        <v>387</v>
      </c>
      <c r="AB1676">
        <v>0</v>
      </c>
      <c r="AC1676">
        <v>2380</v>
      </c>
      <c r="AD1676" t="s">
        <v>6543</v>
      </c>
      <c r="AE1676">
        <v>18</v>
      </c>
      <c r="AF1676" t="s">
        <v>1259</v>
      </c>
      <c r="AG1676" t="s">
        <v>5960</v>
      </c>
    </row>
    <row r="1677" spans="1:34" x14ac:dyDescent="0.25">
      <c r="A1677">
        <v>95</v>
      </c>
      <c r="B1677" t="s">
        <v>1313</v>
      </c>
      <c r="C1677" s="185"/>
      <c r="D1677" t="s">
        <v>24</v>
      </c>
      <c r="E1677" t="s">
        <v>386</v>
      </c>
      <c r="F1677" t="s">
        <v>6544</v>
      </c>
      <c r="G1677" t="s">
        <v>1197</v>
      </c>
      <c r="H1677" t="s">
        <v>6545</v>
      </c>
      <c r="I1677">
        <v>10006</v>
      </c>
      <c r="J1677" t="s">
        <v>6544</v>
      </c>
      <c r="K1677" t="s">
        <v>6546</v>
      </c>
      <c r="L1677" t="s">
        <v>386</v>
      </c>
      <c r="M1677" t="s">
        <v>1193</v>
      </c>
      <c r="N1677">
        <v>10006</v>
      </c>
      <c r="O1677">
        <v>35</v>
      </c>
      <c r="Q1677" t="s">
        <v>6547</v>
      </c>
      <c r="R1677" t="s">
        <v>398</v>
      </c>
      <c r="S1677" t="s">
        <v>1909</v>
      </c>
      <c r="T1677">
        <v>220</v>
      </c>
      <c r="U1677">
        <v>0</v>
      </c>
      <c r="V1677" t="s">
        <v>1194</v>
      </c>
      <c r="Y1677" t="s">
        <v>1317</v>
      </c>
      <c r="Z1677" t="s">
        <v>952</v>
      </c>
      <c r="AA1677" t="s">
        <v>387</v>
      </c>
      <c r="AB1677">
        <v>27000</v>
      </c>
      <c r="AC1677">
        <v>3938</v>
      </c>
      <c r="AD1677" t="s">
        <v>6548</v>
      </c>
      <c r="AE1677">
        <v>658</v>
      </c>
      <c r="AF1677" t="s">
        <v>6549</v>
      </c>
      <c r="AG1677" t="s">
        <v>2936</v>
      </c>
      <c r="AH1677" t="s">
        <v>6550</v>
      </c>
    </row>
    <row r="1678" spans="1:34" x14ac:dyDescent="0.25">
      <c r="A1678">
        <v>1</v>
      </c>
      <c r="C1678" s="185"/>
      <c r="E1678" t="s">
        <v>386</v>
      </c>
      <c r="F1678" t="s">
        <v>6551</v>
      </c>
      <c r="G1678" t="s">
        <v>1903</v>
      </c>
      <c r="H1678" t="s">
        <v>6552</v>
      </c>
      <c r="I1678">
        <v>3321</v>
      </c>
      <c r="J1678" t="s">
        <v>6551</v>
      </c>
      <c r="K1678" t="s">
        <v>6553</v>
      </c>
      <c r="L1678" t="s">
        <v>386</v>
      </c>
      <c r="M1678" t="s">
        <v>1193</v>
      </c>
      <c r="N1678">
        <v>3321</v>
      </c>
      <c r="O1678">
        <v>0</v>
      </c>
      <c r="Q1678" t="s">
        <v>6554</v>
      </c>
      <c r="T1678">
        <v>52</v>
      </c>
      <c r="V1678" t="s">
        <v>2024</v>
      </c>
      <c r="Z1678" t="s">
        <v>865</v>
      </c>
      <c r="AA1678" t="s">
        <v>387</v>
      </c>
      <c r="AB1678">
        <v>0</v>
      </c>
      <c r="AC1678">
        <v>1783</v>
      </c>
      <c r="AD1678" t="s">
        <v>6555</v>
      </c>
      <c r="AE1678">
        <v>7</v>
      </c>
      <c r="AF1678" t="s">
        <v>5878</v>
      </c>
      <c r="AG1678" t="s">
        <v>6556</v>
      </c>
    </row>
    <row r="1679" spans="1:34" x14ac:dyDescent="0.25">
      <c r="A1679">
        <v>1765</v>
      </c>
      <c r="C1679" s="185"/>
      <c r="D1679" t="s">
        <v>157</v>
      </c>
      <c r="E1679" t="s">
        <v>386</v>
      </c>
      <c r="F1679" t="s">
        <v>6557</v>
      </c>
      <c r="G1679" t="s">
        <v>1192</v>
      </c>
      <c r="H1679" t="s">
        <v>4900</v>
      </c>
      <c r="I1679">
        <v>8444</v>
      </c>
      <c r="J1679" t="s">
        <v>6557</v>
      </c>
      <c r="K1679" t="s">
        <v>6557</v>
      </c>
      <c r="L1679" t="s">
        <v>386</v>
      </c>
      <c r="M1679" t="s">
        <v>1184</v>
      </c>
      <c r="N1679">
        <v>8444</v>
      </c>
      <c r="O1679">
        <v>0</v>
      </c>
      <c r="Q1679" t="s">
        <v>6558</v>
      </c>
      <c r="R1679" t="s">
        <v>398</v>
      </c>
      <c r="T1679">
        <v>388</v>
      </c>
      <c r="V1679" t="s">
        <v>1712</v>
      </c>
      <c r="W1679" t="s">
        <v>1915</v>
      </c>
      <c r="X1679">
        <v>185</v>
      </c>
      <c r="Z1679" t="s">
        <v>4903</v>
      </c>
      <c r="AA1679" t="s">
        <v>387</v>
      </c>
      <c r="AB1679">
        <v>0</v>
      </c>
      <c r="AC1679">
        <v>3377</v>
      </c>
      <c r="AD1679" t="s">
        <v>196</v>
      </c>
      <c r="AE1679">
        <v>18</v>
      </c>
      <c r="AF1679" t="s">
        <v>1259</v>
      </c>
      <c r="AG1679" t="s">
        <v>1244</v>
      </c>
    </row>
    <row r="1680" spans="1:34" x14ac:dyDescent="0.25">
      <c r="A1680">
        <v>1787</v>
      </c>
      <c r="B1680" t="s">
        <v>1313</v>
      </c>
      <c r="C1680" s="185"/>
      <c r="D1680" t="s">
        <v>24</v>
      </c>
      <c r="E1680" t="s">
        <v>386</v>
      </c>
      <c r="F1680" t="s">
        <v>6559</v>
      </c>
      <c r="G1680" t="s">
        <v>1197</v>
      </c>
      <c r="H1680" t="s">
        <v>6560</v>
      </c>
      <c r="I1680">
        <v>12118</v>
      </c>
      <c r="J1680" t="s">
        <v>6559</v>
      </c>
      <c r="K1680" t="s">
        <v>6561</v>
      </c>
      <c r="L1680" t="s">
        <v>386</v>
      </c>
      <c r="M1680" t="s">
        <v>1193</v>
      </c>
      <c r="N1680">
        <v>12118</v>
      </c>
      <c r="O1680">
        <v>76</v>
      </c>
      <c r="Q1680" t="s">
        <v>6562</v>
      </c>
      <c r="R1680" t="s">
        <v>398</v>
      </c>
      <c r="S1680" t="s">
        <v>6563</v>
      </c>
      <c r="T1680">
        <v>220</v>
      </c>
      <c r="U1680">
        <v>0</v>
      </c>
      <c r="V1680" t="s">
        <v>1194</v>
      </c>
      <c r="W1680" t="s">
        <v>2186</v>
      </c>
      <c r="X1680">
        <v>396</v>
      </c>
      <c r="Y1680" t="s">
        <v>1317</v>
      </c>
      <c r="Z1680" t="s">
        <v>6564</v>
      </c>
      <c r="AA1680" t="s">
        <v>387</v>
      </c>
      <c r="AB1680">
        <v>0</v>
      </c>
      <c r="AC1680">
        <v>4586</v>
      </c>
      <c r="AD1680" t="s">
        <v>6565</v>
      </c>
      <c r="AE1680">
        <v>18</v>
      </c>
      <c r="AF1680" t="s">
        <v>1259</v>
      </c>
      <c r="AG1680" t="s">
        <v>1244</v>
      </c>
      <c r="AH1680" t="s">
        <v>6566</v>
      </c>
    </row>
    <row r="1681" spans="1:34" x14ac:dyDescent="0.25">
      <c r="A1681">
        <v>1776</v>
      </c>
      <c r="C1681" s="185"/>
      <c r="D1681" t="s">
        <v>157</v>
      </c>
      <c r="E1681" t="s">
        <v>386</v>
      </c>
      <c r="F1681" t="s">
        <v>6567</v>
      </c>
      <c r="G1681" t="s">
        <v>1238</v>
      </c>
      <c r="H1681" t="s">
        <v>4945</v>
      </c>
      <c r="I1681">
        <v>9337</v>
      </c>
      <c r="J1681" t="s">
        <v>6567</v>
      </c>
      <c r="K1681" t="s">
        <v>6568</v>
      </c>
      <c r="L1681" t="s">
        <v>386</v>
      </c>
      <c r="M1681" t="s">
        <v>1184</v>
      </c>
      <c r="N1681">
        <v>9337</v>
      </c>
      <c r="O1681">
        <v>0</v>
      </c>
      <c r="Q1681" t="s">
        <v>6569</v>
      </c>
      <c r="R1681" t="s">
        <v>398</v>
      </c>
      <c r="T1681">
        <v>388</v>
      </c>
      <c r="V1681" t="s">
        <v>1712</v>
      </c>
      <c r="W1681" t="s">
        <v>1915</v>
      </c>
      <c r="X1681">
        <v>185</v>
      </c>
      <c r="Z1681" t="s">
        <v>4948</v>
      </c>
      <c r="AA1681" t="s">
        <v>387</v>
      </c>
      <c r="AB1681">
        <v>0</v>
      </c>
      <c r="AC1681">
        <v>3723</v>
      </c>
      <c r="AD1681" t="s">
        <v>6570</v>
      </c>
      <c r="AE1681">
        <v>18</v>
      </c>
      <c r="AF1681" t="s">
        <v>1259</v>
      </c>
      <c r="AG1681" t="s">
        <v>1244</v>
      </c>
    </row>
    <row r="1682" spans="1:34" x14ac:dyDescent="0.25">
      <c r="A1682">
        <v>1</v>
      </c>
      <c r="C1682" s="185"/>
      <c r="E1682" t="s">
        <v>386</v>
      </c>
      <c r="F1682" t="s">
        <v>6571</v>
      </c>
      <c r="H1682" t="s">
        <v>6572</v>
      </c>
      <c r="I1682">
        <v>10286</v>
      </c>
      <c r="J1682" t="s">
        <v>6571</v>
      </c>
      <c r="K1682" t="s">
        <v>6571</v>
      </c>
      <c r="L1682" t="s">
        <v>386</v>
      </c>
      <c r="M1682" t="s">
        <v>1193</v>
      </c>
      <c r="N1682">
        <v>10286</v>
      </c>
      <c r="O1682">
        <v>0</v>
      </c>
      <c r="Q1682" t="s">
        <v>6573</v>
      </c>
      <c r="R1682" t="s">
        <v>1208</v>
      </c>
      <c r="T1682">
        <v>146</v>
      </c>
      <c r="V1682" t="s">
        <v>2727</v>
      </c>
      <c r="Z1682" t="s">
        <v>865</v>
      </c>
      <c r="AA1682" t="s">
        <v>387</v>
      </c>
      <c r="AB1682">
        <v>0</v>
      </c>
      <c r="AC1682">
        <v>60</v>
      </c>
      <c r="AD1682" t="s">
        <v>6574</v>
      </c>
      <c r="AE1682">
        <v>25</v>
      </c>
      <c r="AF1682" t="s">
        <v>2017</v>
      </c>
    </row>
    <row r="1683" spans="1:34" x14ac:dyDescent="0.25">
      <c r="A1683">
        <v>6</v>
      </c>
      <c r="B1683" t="s">
        <v>1313</v>
      </c>
      <c r="C1683" s="185"/>
      <c r="D1683" t="s">
        <v>24</v>
      </c>
      <c r="E1683" t="s">
        <v>386</v>
      </c>
      <c r="F1683" t="s">
        <v>15465</v>
      </c>
      <c r="G1683" t="s">
        <v>1197</v>
      </c>
      <c r="H1683" t="s">
        <v>6575</v>
      </c>
      <c r="I1683">
        <v>7709</v>
      </c>
      <c r="J1683" t="s">
        <v>6576</v>
      </c>
      <c r="K1683" t="s">
        <v>6577</v>
      </c>
      <c r="L1683" t="s">
        <v>386</v>
      </c>
      <c r="M1683" t="s">
        <v>1193</v>
      </c>
      <c r="N1683">
        <v>17798</v>
      </c>
      <c r="O1683">
        <v>13</v>
      </c>
      <c r="Q1683" t="s">
        <v>6578</v>
      </c>
      <c r="R1683" t="s">
        <v>398</v>
      </c>
      <c r="S1683" t="s">
        <v>1909</v>
      </c>
      <c r="T1683">
        <v>200</v>
      </c>
      <c r="U1683">
        <v>0</v>
      </c>
      <c r="V1683" t="s">
        <v>1199</v>
      </c>
      <c r="W1683" t="s">
        <v>2107</v>
      </c>
      <c r="X1683">
        <v>272</v>
      </c>
      <c r="Y1683" t="s">
        <v>1317</v>
      </c>
      <c r="Z1683" t="s">
        <v>892</v>
      </c>
      <c r="AA1683" t="s">
        <v>387</v>
      </c>
      <c r="AB1683">
        <v>0</v>
      </c>
      <c r="AC1683">
        <v>27</v>
      </c>
      <c r="AD1683" t="s">
        <v>4792</v>
      </c>
      <c r="AE1683">
        <v>871</v>
      </c>
      <c r="AF1683" t="s">
        <v>6579</v>
      </c>
      <c r="AG1683" t="s">
        <v>6580</v>
      </c>
    </row>
    <row r="1684" spans="1:34" x14ac:dyDescent="0.25">
      <c r="A1684">
        <v>6</v>
      </c>
      <c r="B1684" t="s">
        <v>1313</v>
      </c>
      <c r="C1684" s="185"/>
      <c r="D1684" t="s">
        <v>24</v>
      </c>
      <c r="E1684" t="s">
        <v>386</v>
      </c>
      <c r="F1684" t="s">
        <v>15465</v>
      </c>
      <c r="G1684" t="s">
        <v>1197</v>
      </c>
      <c r="H1684" t="s">
        <v>4790</v>
      </c>
      <c r="I1684">
        <v>7780</v>
      </c>
      <c r="J1684" t="s">
        <v>96</v>
      </c>
      <c r="K1684" t="s">
        <v>6577</v>
      </c>
      <c r="L1684" t="s">
        <v>386</v>
      </c>
      <c r="M1684" t="s">
        <v>1193</v>
      </c>
      <c r="N1684">
        <v>17798</v>
      </c>
      <c r="O1684">
        <v>76</v>
      </c>
      <c r="Q1684" t="s">
        <v>6581</v>
      </c>
      <c r="R1684" t="s">
        <v>398</v>
      </c>
      <c r="S1684" t="s">
        <v>1909</v>
      </c>
      <c r="T1684">
        <v>200</v>
      </c>
      <c r="U1684">
        <v>0</v>
      </c>
      <c r="V1684" t="s">
        <v>1199</v>
      </c>
      <c r="W1684" t="s">
        <v>1194</v>
      </c>
      <c r="X1684">
        <v>220</v>
      </c>
      <c r="Y1684" t="s">
        <v>1317</v>
      </c>
      <c r="Z1684" t="s">
        <v>892</v>
      </c>
      <c r="AA1684" t="s">
        <v>387</v>
      </c>
      <c r="AB1684">
        <v>0</v>
      </c>
      <c r="AC1684">
        <v>27</v>
      </c>
      <c r="AD1684" t="s">
        <v>4792</v>
      </c>
      <c r="AE1684">
        <v>871</v>
      </c>
      <c r="AF1684" t="s">
        <v>6579</v>
      </c>
      <c r="AG1684" t="s">
        <v>6580</v>
      </c>
      <c r="AH1684" t="s">
        <v>6582</v>
      </c>
    </row>
    <row r="1685" spans="1:34" x14ac:dyDescent="0.25">
      <c r="A1685">
        <v>1</v>
      </c>
      <c r="C1685" s="185"/>
      <c r="E1685" t="s">
        <v>386</v>
      </c>
      <c r="F1685" t="s">
        <v>6583</v>
      </c>
      <c r="G1685" t="s">
        <v>1197</v>
      </c>
      <c r="H1685" t="s">
        <v>6584</v>
      </c>
      <c r="I1685">
        <v>14303</v>
      </c>
      <c r="J1685" t="s">
        <v>6583</v>
      </c>
      <c r="K1685" t="s">
        <v>6585</v>
      </c>
      <c r="L1685" t="s">
        <v>386</v>
      </c>
      <c r="M1685" t="s">
        <v>1193</v>
      </c>
      <c r="N1685">
        <v>14303</v>
      </c>
      <c r="O1685">
        <v>0</v>
      </c>
      <c r="Q1685" t="s">
        <v>6586</v>
      </c>
      <c r="R1685" t="s">
        <v>1208</v>
      </c>
      <c r="T1685">
        <v>560</v>
      </c>
      <c r="V1685" t="s">
        <v>2602</v>
      </c>
      <c r="W1685" t="s">
        <v>2003</v>
      </c>
      <c r="X1685">
        <v>571</v>
      </c>
      <c r="Z1685" t="s">
        <v>865</v>
      </c>
      <c r="AA1685" t="s">
        <v>387</v>
      </c>
      <c r="AB1685">
        <v>0</v>
      </c>
      <c r="AC1685">
        <v>847</v>
      </c>
      <c r="AD1685" t="s">
        <v>6587</v>
      </c>
      <c r="AE1685">
        <v>396</v>
      </c>
      <c r="AF1685" t="s">
        <v>3781</v>
      </c>
      <c r="AG1685" t="s">
        <v>6588</v>
      </c>
      <c r="AH1685" t="s">
        <v>6589</v>
      </c>
    </row>
    <row r="1686" spans="1:34" x14ac:dyDescent="0.25">
      <c r="A1686">
        <v>1850</v>
      </c>
      <c r="C1686" s="185"/>
      <c r="D1686" t="s">
        <v>157</v>
      </c>
      <c r="E1686" t="s">
        <v>386</v>
      </c>
      <c r="F1686" t="s">
        <v>6590</v>
      </c>
      <c r="G1686" t="s">
        <v>1238</v>
      </c>
      <c r="H1686" t="s">
        <v>4895</v>
      </c>
      <c r="I1686">
        <v>9447</v>
      </c>
      <c r="J1686" t="s">
        <v>6590</v>
      </c>
      <c r="K1686" t="s">
        <v>6590</v>
      </c>
      <c r="L1686" t="s">
        <v>386</v>
      </c>
      <c r="M1686" t="s">
        <v>1184</v>
      </c>
      <c r="N1686">
        <v>9447</v>
      </c>
      <c r="O1686">
        <v>0</v>
      </c>
      <c r="Q1686" t="s">
        <v>6591</v>
      </c>
      <c r="R1686" t="s">
        <v>398</v>
      </c>
      <c r="T1686">
        <v>388</v>
      </c>
      <c r="V1686" t="s">
        <v>1712</v>
      </c>
      <c r="W1686" t="s">
        <v>5068</v>
      </c>
      <c r="X1686">
        <v>226</v>
      </c>
      <c r="Z1686" t="s">
        <v>4897</v>
      </c>
      <c r="AA1686" t="s">
        <v>387</v>
      </c>
      <c r="AB1686">
        <v>0</v>
      </c>
      <c r="AC1686">
        <v>3772</v>
      </c>
      <c r="AD1686" t="s">
        <v>6592</v>
      </c>
      <c r="AE1686">
        <v>18</v>
      </c>
      <c r="AF1686" t="s">
        <v>1259</v>
      </c>
    </row>
    <row r="1687" spans="1:34" x14ac:dyDescent="0.25">
      <c r="A1687">
        <v>1</v>
      </c>
      <c r="C1687" s="185"/>
      <c r="D1687" t="s">
        <v>24</v>
      </c>
      <c r="E1687" t="s">
        <v>386</v>
      </c>
      <c r="F1687" t="s">
        <v>609</v>
      </c>
      <c r="G1687" t="s">
        <v>1197</v>
      </c>
      <c r="H1687" t="s">
        <v>6205</v>
      </c>
      <c r="I1687">
        <v>10190</v>
      </c>
      <c r="J1687" t="s">
        <v>609</v>
      </c>
      <c r="K1687" t="s">
        <v>609</v>
      </c>
      <c r="L1687" t="s">
        <v>386</v>
      </c>
      <c r="M1687" t="s">
        <v>1193</v>
      </c>
      <c r="N1687">
        <v>10190</v>
      </c>
      <c r="O1687">
        <v>0</v>
      </c>
      <c r="Q1687" t="s">
        <v>6593</v>
      </c>
      <c r="R1687" t="s">
        <v>1208</v>
      </c>
      <c r="T1687">
        <v>560</v>
      </c>
      <c r="V1687" t="s">
        <v>2602</v>
      </c>
      <c r="W1687" t="s">
        <v>1216</v>
      </c>
      <c r="X1687">
        <v>260</v>
      </c>
      <c r="Z1687" t="s">
        <v>865</v>
      </c>
      <c r="AA1687" t="s">
        <v>387</v>
      </c>
      <c r="AB1687">
        <v>0</v>
      </c>
      <c r="AC1687">
        <v>3363</v>
      </c>
      <c r="AD1687" t="s">
        <v>6207</v>
      </c>
      <c r="AE1687">
        <v>138</v>
      </c>
      <c r="AF1687" t="s">
        <v>2509</v>
      </c>
      <c r="AG1687" t="s">
        <v>2502</v>
      </c>
      <c r="AH1687" t="s">
        <v>6594</v>
      </c>
    </row>
    <row r="1688" spans="1:34" x14ac:dyDescent="0.25">
      <c r="A1688">
        <v>2041</v>
      </c>
      <c r="C1688" s="185"/>
      <c r="D1688" t="s">
        <v>24</v>
      </c>
      <c r="E1688" t="s">
        <v>386</v>
      </c>
      <c r="F1688" t="s">
        <v>6595</v>
      </c>
      <c r="G1688" t="s">
        <v>1197</v>
      </c>
      <c r="H1688" t="s">
        <v>6596</v>
      </c>
      <c r="I1688">
        <v>7029</v>
      </c>
      <c r="J1688" t="s">
        <v>6595</v>
      </c>
      <c r="K1688" t="s">
        <v>6597</v>
      </c>
      <c r="L1688" t="s">
        <v>386</v>
      </c>
      <c r="M1688" t="s">
        <v>1193</v>
      </c>
      <c r="N1688">
        <v>7029</v>
      </c>
      <c r="O1688">
        <v>76</v>
      </c>
      <c r="Q1688" t="s">
        <v>6598</v>
      </c>
      <c r="R1688" t="s">
        <v>398</v>
      </c>
      <c r="T1688">
        <v>220</v>
      </c>
      <c r="V1688" t="s">
        <v>1194</v>
      </c>
      <c r="W1688" t="s">
        <v>1530</v>
      </c>
      <c r="X1688">
        <v>103</v>
      </c>
      <c r="Z1688" t="s">
        <v>6599</v>
      </c>
      <c r="AA1688" t="s">
        <v>387</v>
      </c>
      <c r="AB1688">
        <v>0</v>
      </c>
      <c r="AC1688">
        <v>4902</v>
      </c>
      <c r="AD1688" t="s">
        <v>5657</v>
      </c>
      <c r="AE1688">
        <v>18</v>
      </c>
      <c r="AF1688" t="s">
        <v>1259</v>
      </c>
      <c r="AG1688" t="s">
        <v>2044</v>
      </c>
      <c r="AH1688" t="s">
        <v>6600</v>
      </c>
    </row>
    <row r="1689" spans="1:34" x14ac:dyDescent="0.25">
      <c r="A1689">
        <v>1</v>
      </c>
      <c r="C1689" s="185"/>
      <c r="E1689" t="s">
        <v>386</v>
      </c>
      <c r="F1689" t="s">
        <v>6601</v>
      </c>
      <c r="G1689" t="s">
        <v>1197</v>
      </c>
      <c r="H1689" t="s">
        <v>6029</v>
      </c>
      <c r="I1689">
        <v>5137</v>
      </c>
      <c r="J1689" t="s">
        <v>6601</v>
      </c>
      <c r="K1689" t="s">
        <v>6601</v>
      </c>
      <c r="L1689" t="s">
        <v>386</v>
      </c>
      <c r="M1689" t="s">
        <v>1193</v>
      </c>
      <c r="N1689">
        <v>5137</v>
      </c>
      <c r="O1689">
        <v>0</v>
      </c>
      <c r="Q1689" t="s">
        <v>6602</v>
      </c>
      <c r="R1689" t="s">
        <v>1208</v>
      </c>
      <c r="T1689">
        <v>571</v>
      </c>
      <c r="V1689" t="s">
        <v>2003</v>
      </c>
      <c r="W1689" t="s">
        <v>2073</v>
      </c>
      <c r="X1689">
        <v>372</v>
      </c>
      <c r="Z1689" t="s">
        <v>865</v>
      </c>
      <c r="AA1689" t="s">
        <v>387</v>
      </c>
      <c r="AB1689">
        <v>0</v>
      </c>
      <c r="AC1689">
        <v>1631</v>
      </c>
      <c r="AD1689" t="s">
        <v>6032</v>
      </c>
      <c r="AE1689">
        <v>1</v>
      </c>
      <c r="AF1689" t="s">
        <v>1922</v>
      </c>
      <c r="AG1689" t="s">
        <v>5587</v>
      </c>
    </row>
    <row r="1690" spans="1:34" x14ac:dyDescent="0.25">
      <c r="A1690">
        <v>1</v>
      </c>
      <c r="C1690" s="185"/>
      <c r="E1690" t="s">
        <v>386</v>
      </c>
      <c r="F1690" t="s">
        <v>6603</v>
      </c>
      <c r="G1690" t="s">
        <v>1197</v>
      </c>
      <c r="H1690" t="s">
        <v>6029</v>
      </c>
      <c r="I1690">
        <v>10566</v>
      </c>
      <c r="J1690" t="s">
        <v>6603</v>
      </c>
      <c r="K1690" t="s">
        <v>6603</v>
      </c>
      <c r="L1690" t="s">
        <v>386</v>
      </c>
      <c r="M1690" t="s">
        <v>1193</v>
      </c>
      <c r="N1690">
        <v>10566</v>
      </c>
      <c r="O1690">
        <v>0</v>
      </c>
      <c r="Q1690" t="s">
        <v>6604</v>
      </c>
      <c r="T1690">
        <v>259</v>
      </c>
      <c r="V1690" t="s">
        <v>1215</v>
      </c>
      <c r="Z1690" t="s">
        <v>865</v>
      </c>
      <c r="AA1690" t="s">
        <v>387</v>
      </c>
      <c r="AB1690">
        <v>0</v>
      </c>
      <c r="AC1690">
        <v>3929</v>
      </c>
      <c r="AD1690" t="s">
        <v>6605</v>
      </c>
      <c r="AE1690">
        <v>1</v>
      </c>
      <c r="AF1690" t="s">
        <v>1922</v>
      </c>
      <c r="AG1690" t="s">
        <v>3671</v>
      </c>
      <c r="AH1690" t="s">
        <v>6606</v>
      </c>
    </row>
    <row r="1691" spans="1:34" x14ac:dyDescent="0.25">
      <c r="A1691">
        <v>14</v>
      </c>
      <c r="C1691" s="185"/>
      <c r="E1691" t="s">
        <v>386</v>
      </c>
      <c r="F1691" t="s">
        <v>6607</v>
      </c>
      <c r="G1691" t="s">
        <v>1238</v>
      </c>
      <c r="H1691" t="s">
        <v>5206</v>
      </c>
      <c r="I1691">
        <v>14317</v>
      </c>
      <c r="J1691" t="s">
        <v>6607</v>
      </c>
      <c r="K1691" t="s">
        <v>6607</v>
      </c>
      <c r="L1691" t="s">
        <v>386</v>
      </c>
      <c r="M1691" t="s">
        <v>1184</v>
      </c>
      <c r="N1691">
        <v>14317</v>
      </c>
      <c r="O1691">
        <v>0</v>
      </c>
      <c r="Q1691" t="s">
        <v>6608</v>
      </c>
      <c r="T1691">
        <v>260</v>
      </c>
      <c r="V1691" t="s">
        <v>1216</v>
      </c>
      <c r="W1691" t="s">
        <v>2024</v>
      </c>
      <c r="X1691">
        <v>52</v>
      </c>
      <c r="Z1691" t="s">
        <v>1130</v>
      </c>
      <c r="AA1691" t="s">
        <v>387</v>
      </c>
      <c r="AB1691">
        <v>0</v>
      </c>
      <c r="AC1691">
        <v>5430</v>
      </c>
      <c r="AD1691" t="s">
        <v>6609</v>
      </c>
      <c r="AE1691">
        <v>1974</v>
      </c>
      <c r="AF1691" t="s">
        <v>1243</v>
      </c>
      <c r="AG1691" t="s">
        <v>1244</v>
      </c>
      <c r="AH1691" t="s">
        <v>5572</v>
      </c>
    </row>
    <row r="1692" spans="1:34" x14ac:dyDescent="0.25">
      <c r="A1692">
        <v>1</v>
      </c>
      <c r="C1692" s="185"/>
      <c r="E1692" t="s">
        <v>386</v>
      </c>
      <c r="F1692" t="s">
        <v>6610</v>
      </c>
      <c r="G1692" t="s">
        <v>1197</v>
      </c>
      <c r="H1692" t="s">
        <v>6611</v>
      </c>
      <c r="I1692">
        <v>5333</v>
      </c>
      <c r="J1692" t="s">
        <v>6610</v>
      </c>
      <c r="K1692" t="s">
        <v>6610</v>
      </c>
      <c r="L1692" t="s">
        <v>386</v>
      </c>
      <c r="M1692" t="s">
        <v>1193</v>
      </c>
      <c r="N1692">
        <v>5333</v>
      </c>
      <c r="O1692">
        <v>0</v>
      </c>
      <c r="Q1692" t="s">
        <v>6612</v>
      </c>
      <c r="T1692">
        <v>103</v>
      </c>
      <c r="V1692" t="s">
        <v>1530</v>
      </c>
      <c r="Z1692" t="s">
        <v>865</v>
      </c>
      <c r="AA1692" t="s">
        <v>387</v>
      </c>
      <c r="AB1692">
        <v>0</v>
      </c>
      <c r="AC1692">
        <v>2558</v>
      </c>
      <c r="AD1692" t="s">
        <v>6613</v>
      </c>
      <c r="AE1692">
        <v>378</v>
      </c>
      <c r="AF1692" t="s">
        <v>2036</v>
      </c>
      <c r="AG1692" t="s">
        <v>4097</v>
      </c>
      <c r="AH1692" t="s">
        <v>6614</v>
      </c>
    </row>
    <row r="1693" spans="1:34" x14ac:dyDescent="0.25">
      <c r="A1693">
        <v>1</v>
      </c>
      <c r="C1693" s="185"/>
      <c r="E1693" t="s">
        <v>386</v>
      </c>
      <c r="F1693" t="s">
        <v>1246</v>
      </c>
      <c r="H1693" t="s">
        <v>1247</v>
      </c>
      <c r="I1693">
        <v>11034</v>
      </c>
      <c r="J1693" t="s">
        <v>6615</v>
      </c>
      <c r="K1693" t="s">
        <v>6615</v>
      </c>
      <c r="L1693" t="s">
        <v>386</v>
      </c>
      <c r="M1693" t="s">
        <v>1193</v>
      </c>
      <c r="N1693">
        <v>5091</v>
      </c>
      <c r="O1693">
        <v>0</v>
      </c>
      <c r="Q1693" t="s">
        <v>1249</v>
      </c>
      <c r="R1693" t="s">
        <v>398</v>
      </c>
      <c r="T1693">
        <v>340</v>
      </c>
      <c r="V1693" t="s">
        <v>1200</v>
      </c>
      <c r="Z1693" t="s">
        <v>865</v>
      </c>
      <c r="AA1693" t="s">
        <v>386</v>
      </c>
      <c r="AB1693">
        <v>0</v>
      </c>
      <c r="AC1693">
        <v>1706</v>
      </c>
      <c r="AD1693" t="s">
        <v>1250</v>
      </c>
      <c r="AE1693">
        <v>258</v>
      </c>
      <c r="AF1693" t="s">
        <v>5257</v>
      </c>
      <c r="AG1693" t="s">
        <v>1251</v>
      </c>
    </row>
    <row r="1694" spans="1:34" x14ac:dyDescent="0.25">
      <c r="A1694">
        <v>566</v>
      </c>
      <c r="C1694" s="185"/>
      <c r="E1694" t="s">
        <v>386</v>
      </c>
      <c r="F1694" t="s">
        <v>6616</v>
      </c>
      <c r="G1694" t="s">
        <v>1197</v>
      </c>
      <c r="H1694" t="s">
        <v>5911</v>
      </c>
      <c r="I1694">
        <v>14936</v>
      </c>
      <c r="J1694" t="s">
        <v>6616</v>
      </c>
      <c r="K1694" t="s">
        <v>6617</v>
      </c>
      <c r="L1694" t="s">
        <v>386</v>
      </c>
      <c r="M1694" t="s">
        <v>1193</v>
      </c>
      <c r="N1694">
        <v>14936</v>
      </c>
      <c r="O1694">
        <v>76</v>
      </c>
      <c r="Q1694" t="s">
        <v>6618</v>
      </c>
      <c r="R1694" t="s">
        <v>398</v>
      </c>
      <c r="T1694">
        <v>220</v>
      </c>
      <c r="V1694" t="s">
        <v>1194</v>
      </c>
      <c r="W1694" t="s">
        <v>1216</v>
      </c>
      <c r="X1694">
        <v>260</v>
      </c>
      <c r="Z1694" t="s">
        <v>5914</v>
      </c>
      <c r="AA1694" t="s">
        <v>387</v>
      </c>
      <c r="AB1694">
        <v>0</v>
      </c>
      <c r="AC1694">
        <v>2550</v>
      </c>
      <c r="AD1694" t="s">
        <v>6619</v>
      </c>
      <c r="AE1694">
        <v>18</v>
      </c>
      <c r="AF1694" t="s">
        <v>1259</v>
      </c>
      <c r="AG1694" t="s">
        <v>1244</v>
      </c>
      <c r="AH1694" t="s">
        <v>6620</v>
      </c>
    </row>
    <row r="1695" spans="1:34" x14ac:dyDescent="0.25">
      <c r="A1695">
        <v>1</v>
      </c>
      <c r="C1695" s="185"/>
      <c r="E1695" t="s">
        <v>386</v>
      </c>
      <c r="F1695" t="s">
        <v>6621</v>
      </c>
      <c r="G1695" t="s">
        <v>1197</v>
      </c>
      <c r="H1695" t="s">
        <v>6622</v>
      </c>
      <c r="I1695">
        <v>17653</v>
      </c>
      <c r="J1695" t="s">
        <v>6621</v>
      </c>
      <c r="K1695" t="s">
        <v>6623</v>
      </c>
      <c r="L1695" t="s">
        <v>386</v>
      </c>
      <c r="M1695" t="s">
        <v>1193</v>
      </c>
      <c r="N1695">
        <v>17653</v>
      </c>
      <c r="O1695">
        <v>0</v>
      </c>
      <c r="Q1695" t="s">
        <v>6624</v>
      </c>
      <c r="T1695">
        <v>473</v>
      </c>
      <c r="V1695" t="s">
        <v>1964</v>
      </c>
      <c r="W1695" t="s">
        <v>1964</v>
      </c>
      <c r="X1695">
        <v>473</v>
      </c>
      <c r="Z1695" t="s">
        <v>865</v>
      </c>
      <c r="AA1695" t="s">
        <v>387</v>
      </c>
      <c r="AB1695">
        <v>0</v>
      </c>
      <c r="AC1695">
        <v>1631</v>
      </c>
      <c r="AD1695" t="s">
        <v>6032</v>
      </c>
      <c r="AE1695">
        <v>1812</v>
      </c>
      <c r="AF1695" t="s">
        <v>3984</v>
      </c>
      <c r="AG1695" t="s">
        <v>6625</v>
      </c>
      <c r="AH1695" t="s">
        <v>6626</v>
      </c>
    </row>
    <row r="1696" spans="1:34" x14ac:dyDescent="0.25">
      <c r="A1696">
        <v>6</v>
      </c>
      <c r="C1696" s="185"/>
      <c r="E1696" t="s">
        <v>386</v>
      </c>
      <c r="F1696" t="s">
        <v>6627</v>
      </c>
      <c r="G1696" t="s">
        <v>1197</v>
      </c>
      <c r="H1696" t="s">
        <v>6628</v>
      </c>
      <c r="I1696">
        <v>13215</v>
      </c>
      <c r="J1696" t="s">
        <v>6627</v>
      </c>
      <c r="K1696" t="s">
        <v>6629</v>
      </c>
      <c r="L1696" t="s">
        <v>386</v>
      </c>
      <c r="M1696" t="s">
        <v>1193</v>
      </c>
      <c r="N1696">
        <v>13215</v>
      </c>
      <c r="O1696">
        <v>0</v>
      </c>
      <c r="Q1696" t="s">
        <v>6630</v>
      </c>
      <c r="R1696" t="s">
        <v>1223</v>
      </c>
      <c r="T1696">
        <v>259</v>
      </c>
      <c r="V1696" t="s">
        <v>1215</v>
      </c>
      <c r="W1696" t="s">
        <v>2067</v>
      </c>
      <c r="X1696">
        <v>304</v>
      </c>
      <c r="Z1696" t="s">
        <v>892</v>
      </c>
      <c r="AA1696" t="s">
        <v>387</v>
      </c>
      <c r="AB1696">
        <v>0</v>
      </c>
      <c r="AC1696">
        <v>4947</v>
      </c>
      <c r="AD1696" t="s">
        <v>6631</v>
      </c>
      <c r="AE1696">
        <v>247</v>
      </c>
      <c r="AF1696" t="s">
        <v>6461</v>
      </c>
      <c r="AG1696" t="s">
        <v>4336</v>
      </c>
      <c r="AH1696" t="s">
        <v>6632</v>
      </c>
    </row>
    <row r="1697" spans="1:34" x14ac:dyDescent="0.25">
      <c r="A1697">
        <v>1</v>
      </c>
      <c r="C1697" s="185"/>
      <c r="E1697" t="s">
        <v>386</v>
      </c>
      <c r="F1697" t="s">
        <v>6633</v>
      </c>
      <c r="G1697" t="s">
        <v>1197</v>
      </c>
      <c r="H1697" t="s">
        <v>6634</v>
      </c>
      <c r="I1697">
        <v>13308</v>
      </c>
      <c r="J1697" t="s">
        <v>6633</v>
      </c>
      <c r="K1697" t="s">
        <v>6635</v>
      </c>
      <c r="L1697" t="s">
        <v>386</v>
      </c>
      <c r="M1697" t="s">
        <v>1193</v>
      </c>
      <c r="N1697">
        <v>13308</v>
      </c>
      <c r="O1697">
        <v>0</v>
      </c>
      <c r="Q1697" t="s">
        <v>6636</v>
      </c>
      <c r="R1697" t="s">
        <v>1208</v>
      </c>
      <c r="T1697">
        <v>372</v>
      </c>
      <c r="V1697" t="s">
        <v>2073</v>
      </c>
      <c r="W1697" t="s">
        <v>2003</v>
      </c>
      <c r="X1697">
        <v>571</v>
      </c>
      <c r="Z1697" t="s">
        <v>865</v>
      </c>
      <c r="AA1697" t="s">
        <v>387</v>
      </c>
      <c r="AB1697">
        <v>0</v>
      </c>
      <c r="AC1697">
        <v>1080</v>
      </c>
      <c r="AD1697" t="s">
        <v>6637</v>
      </c>
      <c r="AE1697">
        <v>150</v>
      </c>
      <c r="AF1697" t="s">
        <v>2587</v>
      </c>
      <c r="AG1697" t="s">
        <v>5805</v>
      </c>
      <c r="AH1697" t="s">
        <v>6638</v>
      </c>
    </row>
    <row r="1698" spans="1:34" x14ac:dyDescent="0.25">
      <c r="A1698">
        <v>1</v>
      </c>
      <c r="C1698" s="185"/>
      <c r="E1698" t="s">
        <v>386</v>
      </c>
      <c r="F1698" t="s">
        <v>6639</v>
      </c>
      <c r="G1698" t="s">
        <v>1197</v>
      </c>
      <c r="H1698" t="s">
        <v>6640</v>
      </c>
      <c r="I1698">
        <v>14566</v>
      </c>
      <c r="J1698" t="s">
        <v>6639</v>
      </c>
      <c r="K1698" t="s">
        <v>6641</v>
      </c>
      <c r="L1698" t="s">
        <v>386</v>
      </c>
      <c r="M1698" t="s">
        <v>1193</v>
      </c>
      <c r="N1698">
        <v>14566</v>
      </c>
      <c r="O1698">
        <v>0</v>
      </c>
      <c r="Q1698" t="s">
        <v>6642</v>
      </c>
      <c r="R1698" t="s">
        <v>1208</v>
      </c>
      <c r="T1698">
        <v>259</v>
      </c>
      <c r="V1698" t="s">
        <v>1215</v>
      </c>
      <c r="W1698" t="s">
        <v>1215</v>
      </c>
      <c r="X1698">
        <v>259</v>
      </c>
      <c r="Z1698" t="s">
        <v>865</v>
      </c>
      <c r="AA1698" t="s">
        <v>387</v>
      </c>
      <c r="AB1698">
        <v>0</v>
      </c>
      <c r="AC1698">
        <v>5537</v>
      </c>
      <c r="AD1698" t="s">
        <v>6643</v>
      </c>
      <c r="AE1698">
        <v>322</v>
      </c>
      <c r="AF1698" t="s">
        <v>6306</v>
      </c>
      <c r="AG1698" t="s">
        <v>6644</v>
      </c>
      <c r="AH1698" t="s">
        <v>6645</v>
      </c>
    </row>
    <row r="1699" spans="1:34" x14ac:dyDescent="0.25">
      <c r="A1699">
        <v>1</v>
      </c>
      <c r="C1699" s="185"/>
      <c r="E1699" t="s">
        <v>386</v>
      </c>
      <c r="F1699" t="s">
        <v>6646</v>
      </c>
      <c r="G1699" t="s">
        <v>1197</v>
      </c>
      <c r="H1699" t="s">
        <v>4845</v>
      </c>
      <c r="I1699">
        <v>13707</v>
      </c>
      <c r="J1699" t="s">
        <v>6646</v>
      </c>
      <c r="K1699" t="s">
        <v>6646</v>
      </c>
      <c r="L1699" t="s">
        <v>386</v>
      </c>
      <c r="M1699" t="s">
        <v>1193</v>
      </c>
      <c r="N1699">
        <v>13707</v>
      </c>
      <c r="O1699">
        <v>0</v>
      </c>
      <c r="Q1699" t="s">
        <v>6647</v>
      </c>
      <c r="R1699" t="s">
        <v>1208</v>
      </c>
      <c r="T1699">
        <v>372</v>
      </c>
      <c r="V1699" t="s">
        <v>2073</v>
      </c>
      <c r="W1699" t="s">
        <v>2067</v>
      </c>
      <c r="X1699">
        <v>304</v>
      </c>
      <c r="Z1699" t="s">
        <v>865</v>
      </c>
      <c r="AA1699" t="s">
        <v>387</v>
      </c>
      <c r="AB1699">
        <v>0</v>
      </c>
      <c r="AC1699">
        <v>5161</v>
      </c>
      <c r="AD1699" t="s">
        <v>6648</v>
      </c>
      <c r="AE1699">
        <v>26</v>
      </c>
      <c r="AF1699" t="s">
        <v>2075</v>
      </c>
      <c r="AG1699" t="s">
        <v>6649</v>
      </c>
      <c r="AH1699" t="s">
        <v>6650</v>
      </c>
    </row>
    <row r="1700" spans="1:34" x14ac:dyDescent="0.25">
      <c r="A1700">
        <v>1</v>
      </c>
      <c r="C1700" s="185"/>
      <c r="E1700" t="s">
        <v>386</v>
      </c>
      <c r="F1700" t="s">
        <v>6651</v>
      </c>
      <c r="G1700" t="s">
        <v>1197</v>
      </c>
      <c r="H1700" t="s">
        <v>3026</v>
      </c>
      <c r="I1700">
        <v>5771</v>
      </c>
      <c r="J1700" t="s">
        <v>6651</v>
      </c>
      <c r="K1700" t="s">
        <v>6651</v>
      </c>
      <c r="L1700" t="s">
        <v>386</v>
      </c>
      <c r="M1700" t="s">
        <v>1193</v>
      </c>
      <c r="N1700">
        <v>5771</v>
      </c>
      <c r="O1700">
        <v>0</v>
      </c>
      <c r="Q1700" t="s">
        <v>6652</v>
      </c>
      <c r="T1700">
        <v>39</v>
      </c>
      <c r="V1700" t="s">
        <v>2144</v>
      </c>
      <c r="Z1700" t="s">
        <v>865</v>
      </c>
      <c r="AA1700" t="s">
        <v>387</v>
      </c>
      <c r="AB1700">
        <v>0</v>
      </c>
      <c r="AC1700">
        <v>2714</v>
      </c>
      <c r="AD1700" t="s">
        <v>3028</v>
      </c>
      <c r="AE1700">
        <v>652</v>
      </c>
      <c r="AF1700" t="s">
        <v>2859</v>
      </c>
      <c r="AG1700" t="s">
        <v>6653</v>
      </c>
      <c r="AH1700" t="s">
        <v>6654</v>
      </c>
    </row>
    <row r="1701" spans="1:34" x14ac:dyDescent="0.25">
      <c r="A1701">
        <v>6</v>
      </c>
      <c r="C1701" s="185">
        <v>44153</v>
      </c>
      <c r="D1701" t="s">
        <v>157</v>
      </c>
      <c r="E1701" t="s">
        <v>386</v>
      </c>
      <c r="F1701" t="s">
        <v>6655</v>
      </c>
      <c r="G1701" t="s">
        <v>1192</v>
      </c>
      <c r="H1701" t="s">
        <v>1941</v>
      </c>
      <c r="I1701">
        <v>8183</v>
      </c>
      <c r="J1701" t="s">
        <v>6655</v>
      </c>
      <c r="K1701" t="s">
        <v>6655</v>
      </c>
      <c r="L1701" t="s">
        <v>386</v>
      </c>
      <c r="M1701" t="s">
        <v>1184</v>
      </c>
      <c r="N1701">
        <v>8183</v>
      </c>
      <c r="O1701">
        <v>0</v>
      </c>
      <c r="Q1701" t="s">
        <v>6656</v>
      </c>
      <c r="R1701" t="s">
        <v>398</v>
      </c>
      <c r="T1701">
        <v>146</v>
      </c>
      <c r="V1701" t="s">
        <v>2727</v>
      </c>
      <c r="Z1701" t="s">
        <v>892</v>
      </c>
      <c r="AA1701" t="s">
        <v>387</v>
      </c>
      <c r="AB1701">
        <v>0</v>
      </c>
      <c r="AC1701">
        <v>3294</v>
      </c>
      <c r="AD1701" t="s">
        <v>6657</v>
      </c>
      <c r="AE1701">
        <v>18</v>
      </c>
      <c r="AF1701" t="s">
        <v>1259</v>
      </c>
      <c r="AG1701" t="s">
        <v>1244</v>
      </c>
      <c r="AH1701" t="s">
        <v>6658</v>
      </c>
    </row>
    <row r="1702" spans="1:34" x14ac:dyDescent="0.25">
      <c r="A1702">
        <v>1</v>
      </c>
      <c r="C1702" s="185">
        <v>43865</v>
      </c>
      <c r="D1702" t="s">
        <v>157</v>
      </c>
      <c r="E1702" t="s">
        <v>386</v>
      </c>
      <c r="F1702" t="s">
        <v>6659</v>
      </c>
      <c r="G1702" t="s">
        <v>1197</v>
      </c>
      <c r="H1702" t="s">
        <v>6660</v>
      </c>
      <c r="I1702">
        <v>8649</v>
      </c>
      <c r="J1702" t="s">
        <v>6659</v>
      </c>
      <c r="K1702" t="s">
        <v>6659</v>
      </c>
      <c r="L1702" t="s">
        <v>386</v>
      </c>
      <c r="M1702" t="s">
        <v>1193</v>
      </c>
      <c r="N1702">
        <v>8649</v>
      </c>
      <c r="O1702">
        <v>0</v>
      </c>
      <c r="Q1702" t="s">
        <v>6661</v>
      </c>
      <c r="R1702" t="s">
        <v>398</v>
      </c>
      <c r="T1702">
        <v>189</v>
      </c>
      <c r="V1702" t="s">
        <v>1910</v>
      </c>
      <c r="Z1702" t="s">
        <v>865</v>
      </c>
      <c r="AA1702" t="s">
        <v>387</v>
      </c>
      <c r="AB1702">
        <v>0</v>
      </c>
      <c r="AC1702">
        <v>1826</v>
      </c>
      <c r="AD1702" t="s">
        <v>4737</v>
      </c>
      <c r="AE1702">
        <v>481</v>
      </c>
      <c r="AF1702" t="s">
        <v>3443</v>
      </c>
      <c r="AG1702" t="s">
        <v>1244</v>
      </c>
      <c r="AH1702" t="s">
        <v>5183</v>
      </c>
    </row>
    <row r="1703" spans="1:34" x14ac:dyDescent="0.25">
      <c r="A1703">
        <v>1765</v>
      </c>
      <c r="C1703" s="185"/>
      <c r="D1703" t="s">
        <v>157</v>
      </c>
      <c r="E1703" t="s">
        <v>386</v>
      </c>
      <c r="F1703" t="s">
        <v>6662</v>
      </c>
      <c r="G1703" t="s">
        <v>1192</v>
      </c>
      <c r="H1703" t="s">
        <v>4900</v>
      </c>
      <c r="I1703">
        <v>8486</v>
      </c>
      <c r="J1703" t="s">
        <v>6662</v>
      </c>
      <c r="K1703" t="s">
        <v>6662</v>
      </c>
      <c r="L1703" t="s">
        <v>386</v>
      </c>
      <c r="M1703" t="s">
        <v>1184</v>
      </c>
      <c r="N1703">
        <v>8486</v>
      </c>
      <c r="O1703">
        <v>0</v>
      </c>
      <c r="Q1703" t="s">
        <v>6663</v>
      </c>
      <c r="R1703" t="s">
        <v>398</v>
      </c>
      <c r="T1703">
        <v>388</v>
      </c>
      <c r="V1703" t="s">
        <v>1712</v>
      </c>
      <c r="W1703" t="s">
        <v>2458</v>
      </c>
      <c r="X1703">
        <v>44</v>
      </c>
      <c r="Z1703" t="s">
        <v>4903</v>
      </c>
      <c r="AA1703" t="s">
        <v>387</v>
      </c>
      <c r="AB1703">
        <v>0</v>
      </c>
      <c r="AC1703">
        <v>3400</v>
      </c>
      <c r="AD1703" t="s">
        <v>6664</v>
      </c>
      <c r="AE1703">
        <v>18</v>
      </c>
      <c r="AF1703" t="s">
        <v>1259</v>
      </c>
      <c r="AG1703" t="s">
        <v>1244</v>
      </c>
      <c r="AH1703" t="s">
        <v>6665</v>
      </c>
    </row>
    <row r="1704" spans="1:34" x14ac:dyDescent="0.25">
      <c r="A1704">
        <v>1022</v>
      </c>
      <c r="C1704" s="185">
        <v>43880</v>
      </c>
      <c r="E1704" t="s">
        <v>386</v>
      </c>
      <c r="F1704" t="s">
        <v>6666</v>
      </c>
      <c r="G1704" t="s">
        <v>1197</v>
      </c>
      <c r="H1704" t="s">
        <v>6667</v>
      </c>
      <c r="I1704">
        <v>8540</v>
      </c>
      <c r="J1704" t="s">
        <v>6666</v>
      </c>
      <c r="K1704" t="s">
        <v>6666</v>
      </c>
      <c r="L1704" t="s">
        <v>386</v>
      </c>
      <c r="M1704" t="s">
        <v>1193</v>
      </c>
      <c r="N1704">
        <v>8540</v>
      </c>
      <c r="O1704">
        <v>0</v>
      </c>
      <c r="Q1704" t="s">
        <v>6668</v>
      </c>
      <c r="R1704" t="s">
        <v>1208</v>
      </c>
      <c r="T1704">
        <v>189</v>
      </c>
      <c r="V1704" t="s">
        <v>1910</v>
      </c>
      <c r="Z1704" t="s">
        <v>6669</v>
      </c>
      <c r="AA1704" t="s">
        <v>387</v>
      </c>
      <c r="AB1704">
        <v>0</v>
      </c>
      <c r="AC1704">
        <v>2473</v>
      </c>
      <c r="AD1704" t="s">
        <v>2919</v>
      </c>
      <c r="AE1704">
        <v>1</v>
      </c>
      <c r="AF1704" t="s">
        <v>1922</v>
      </c>
      <c r="AG1704" t="s">
        <v>6670</v>
      </c>
      <c r="AH1704" t="s">
        <v>6671</v>
      </c>
    </row>
    <row r="1705" spans="1:34" x14ac:dyDescent="0.25">
      <c r="A1705">
        <v>1697</v>
      </c>
      <c r="C1705" s="185"/>
      <c r="D1705" t="s">
        <v>157</v>
      </c>
      <c r="E1705" t="s">
        <v>386</v>
      </c>
      <c r="F1705" t="s">
        <v>6672</v>
      </c>
      <c r="G1705" t="s">
        <v>1238</v>
      </c>
      <c r="H1705" t="s">
        <v>6673</v>
      </c>
      <c r="I1705">
        <v>6865</v>
      </c>
      <c r="J1705" t="s">
        <v>6672</v>
      </c>
      <c r="K1705" t="s">
        <v>6674</v>
      </c>
      <c r="L1705" t="s">
        <v>386</v>
      </c>
      <c r="M1705" t="s">
        <v>1184</v>
      </c>
      <c r="N1705">
        <v>6865</v>
      </c>
      <c r="O1705">
        <v>0</v>
      </c>
      <c r="Q1705" t="s">
        <v>6675</v>
      </c>
      <c r="T1705">
        <v>2</v>
      </c>
      <c r="V1705" t="s">
        <v>1205</v>
      </c>
      <c r="Z1705" t="s">
        <v>4989</v>
      </c>
      <c r="AA1705" t="s">
        <v>387</v>
      </c>
      <c r="AB1705">
        <v>0</v>
      </c>
      <c r="AC1705">
        <v>3039</v>
      </c>
      <c r="AD1705" t="s">
        <v>6676</v>
      </c>
      <c r="AE1705">
        <v>18</v>
      </c>
      <c r="AF1705" t="s">
        <v>1259</v>
      </c>
      <c r="AG1705" t="s">
        <v>1244</v>
      </c>
      <c r="AH1705" t="s">
        <v>4991</v>
      </c>
    </row>
    <row r="1706" spans="1:34" x14ac:dyDescent="0.25">
      <c r="A1706">
        <v>1792</v>
      </c>
      <c r="C1706" s="185"/>
      <c r="E1706" t="s">
        <v>386</v>
      </c>
      <c r="F1706" t="s">
        <v>6677</v>
      </c>
      <c r="G1706" t="s">
        <v>1238</v>
      </c>
      <c r="H1706" t="s">
        <v>4919</v>
      </c>
      <c r="I1706">
        <v>16635</v>
      </c>
      <c r="J1706" t="s">
        <v>6677</v>
      </c>
      <c r="K1706" t="s">
        <v>6678</v>
      </c>
      <c r="L1706" t="s">
        <v>386</v>
      </c>
      <c r="M1706" t="s">
        <v>1184</v>
      </c>
      <c r="N1706">
        <v>16635</v>
      </c>
      <c r="O1706">
        <v>0</v>
      </c>
      <c r="Q1706" t="s">
        <v>6679</v>
      </c>
      <c r="T1706">
        <v>103</v>
      </c>
      <c r="V1706" t="s">
        <v>1530</v>
      </c>
      <c r="W1706" t="s">
        <v>1216</v>
      </c>
      <c r="X1706">
        <v>260</v>
      </c>
      <c r="Z1706" t="s">
        <v>1053</v>
      </c>
      <c r="AA1706" t="s">
        <v>387</v>
      </c>
      <c r="AB1706">
        <v>0</v>
      </c>
      <c r="AC1706">
        <v>6214</v>
      </c>
      <c r="AD1706" t="s">
        <v>6680</v>
      </c>
      <c r="AE1706">
        <v>18</v>
      </c>
      <c r="AF1706" t="s">
        <v>1259</v>
      </c>
      <c r="AG1706" t="s">
        <v>1244</v>
      </c>
    </row>
    <row r="1707" spans="1:34" x14ac:dyDescent="0.25">
      <c r="A1707">
        <v>53</v>
      </c>
      <c r="C1707" s="185"/>
      <c r="D1707" t="s">
        <v>157</v>
      </c>
      <c r="E1707" t="s">
        <v>386</v>
      </c>
      <c r="F1707" t="s">
        <v>195</v>
      </c>
      <c r="G1707" t="s">
        <v>1238</v>
      </c>
      <c r="H1707" t="s">
        <v>6681</v>
      </c>
      <c r="I1707">
        <v>14234</v>
      </c>
      <c r="J1707" t="s">
        <v>195</v>
      </c>
      <c r="K1707" t="s">
        <v>6682</v>
      </c>
      <c r="L1707" t="s">
        <v>386</v>
      </c>
      <c r="M1707" t="s">
        <v>1184</v>
      </c>
      <c r="N1707">
        <v>14234</v>
      </c>
      <c r="O1707">
        <v>59</v>
      </c>
      <c r="Q1707" t="s">
        <v>6683</v>
      </c>
      <c r="R1707" t="s">
        <v>398</v>
      </c>
      <c r="T1707">
        <v>260</v>
      </c>
      <c r="V1707" t="s">
        <v>1216</v>
      </c>
      <c r="W1707" t="s">
        <v>2107</v>
      </c>
      <c r="X1707">
        <v>272</v>
      </c>
      <c r="Z1707" t="s">
        <v>943</v>
      </c>
      <c r="AA1707" t="s">
        <v>387</v>
      </c>
      <c r="AB1707">
        <v>51000</v>
      </c>
      <c r="AC1707">
        <v>5392</v>
      </c>
      <c r="AD1707" t="s">
        <v>6684</v>
      </c>
      <c r="AE1707">
        <v>18</v>
      </c>
      <c r="AF1707" t="s">
        <v>1259</v>
      </c>
      <c r="AG1707" t="s">
        <v>1244</v>
      </c>
      <c r="AH1707" t="s">
        <v>6685</v>
      </c>
    </row>
    <row r="1708" spans="1:34" x14ac:dyDescent="0.25">
      <c r="A1708">
        <v>1</v>
      </c>
      <c r="C1708" s="185"/>
      <c r="D1708" t="s">
        <v>157</v>
      </c>
      <c r="E1708" t="s">
        <v>386</v>
      </c>
      <c r="F1708" t="s">
        <v>6686</v>
      </c>
      <c r="G1708" t="s">
        <v>1197</v>
      </c>
      <c r="H1708" t="s">
        <v>5539</v>
      </c>
      <c r="I1708">
        <v>7695</v>
      </c>
      <c r="J1708" t="s">
        <v>6686</v>
      </c>
      <c r="K1708" t="s">
        <v>6686</v>
      </c>
      <c r="L1708" t="s">
        <v>386</v>
      </c>
      <c r="M1708" t="s">
        <v>1193</v>
      </c>
      <c r="N1708">
        <v>7695</v>
      </c>
      <c r="O1708">
        <v>0</v>
      </c>
      <c r="Q1708" t="s">
        <v>6687</v>
      </c>
      <c r="R1708" t="s">
        <v>398</v>
      </c>
      <c r="T1708">
        <v>35</v>
      </c>
      <c r="V1708" t="s">
        <v>2015</v>
      </c>
      <c r="Z1708" t="s">
        <v>865</v>
      </c>
      <c r="AA1708" t="s">
        <v>387</v>
      </c>
      <c r="AB1708">
        <v>0</v>
      </c>
      <c r="AC1708">
        <v>384</v>
      </c>
      <c r="AD1708" t="s">
        <v>6688</v>
      </c>
      <c r="AE1708">
        <v>37</v>
      </c>
      <c r="AF1708" t="s">
        <v>5542</v>
      </c>
      <c r="AG1708" t="s">
        <v>6689</v>
      </c>
    </row>
    <row r="1709" spans="1:34" x14ac:dyDescent="0.25">
      <c r="A1709">
        <v>1553</v>
      </c>
      <c r="C1709" s="185"/>
      <c r="E1709" t="s">
        <v>386</v>
      </c>
      <c r="F1709" t="s">
        <v>196</v>
      </c>
      <c r="G1709" t="s">
        <v>1238</v>
      </c>
      <c r="H1709" t="s">
        <v>1239</v>
      </c>
      <c r="I1709">
        <v>15575</v>
      </c>
      <c r="J1709" t="s">
        <v>196</v>
      </c>
      <c r="K1709" t="s">
        <v>6690</v>
      </c>
      <c r="L1709" t="s">
        <v>386</v>
      </c>
      <c r="M1709" t="s">
        <v>1184</v>
      </c>
      <c r="N1709">
        <v>15575</v>
      </c>
      <c r="O1709">
        <v>59</v>
      </c>
      <c r="Q1709" t="s">
        <v>6691</v>
      </c>
      <c r="R1709" t="s">
        <v>398</v>
      </c>
      <c r="T1709">
        <v>260</v>
      </c>
      <c r="V1709" t="s">
        <v>1216</v>
      </c>
      <c r="W1709" t="s">
        <v>3129</v>
      </c>
      <c r="X1709">
        <v>435</v>
      </c>
      <c r="Z1709" t="s">
        <v>968</v>
      </c>
      <c r="AA1709" t="s">
        <v>387</v>
      </c>
      <c r="AB1709">
        <v>0</v>
      </c>
      <c r="AC1709">
        <v>2468</v>
      </c>
      <c r="AD1709" t="s">
        <v>4876</v>
      </c>
      <c r="AE1709">
        <v>18</v>
      </c>
      <c r="AF1709" t="s">
        <v>1259</v>
      </c>
      <c r="AG1709" t="s">
        <v>1244</v>
      </c>
      <c r="AH1709" t="s">
        <v>6692</v>
      </c>
    </row>
    <row r="1710" spans="1:34" x14ac:dyDescent="0.25">
      <c r="A1710">
        <v>568</v>
      </c>
      <c r="C1710" s="185"/>
      <c r="E1710" t="s">
        <v>386</v>
      </c>
      <c r="F1710" t="s">
        <v>6693</v>
      </c>
      <c r="G1710" t="s">
        <v>1197</v>
      </c>
      <c r="H1710" t="s">
        <v>6694</v>
      </c>
      <c r="I1710">
        <v>13180</v>
      </c>
      <c r="J1710" t="s">
        <v>6693</v>
      </c>
      <c r="K1710" t="s">
        <v>6695</v>
      </c>
      <c r="L1710" t="s">
        <v>386</v>
      </c>
      <c r="M1710" t="s">
        <v>1193</v>
      </c>
      <c r="N1710">
        <v>13180</v>
      </c>
      <c r="O1710">
        <v>0</v>
      </c>
      <c r="Q1710" t="s">
        <v>6696</v>
      </c>
      <c r="T1710">
        <v>571</v>
      </c>
      <c r="V1710" t="s">
        <v>2003</v>
      </c>
      <c r="W1710" t="s">
        <v>2073</v>
      </c>
      <c r="X1710">
        <v>372</v>
      </c>
      <c r="Z1710" t="s">
        <v>6697</v>
      </c>
      <c r="AA1710" t="s">
        <v>387</v>
      </c>
      <c r="AB1710">
        <v>0</v>
      </c>
      <c r="AC1710">
        <v>4932</v>
      </c>
      <c r="AD1710" t="s">
        <v>6698</v>
      </c>
      <c r="AE1710">
        <v>1</v>
      </c>
      <c r="AF1710" t="s">
        <v>1922</v>
      </c>
      <c r="AG1710" t="s">
        <v>6699</v>
      </c>
      <c r="AH1710" t="s">
        <v>6700</v>
      </c>
    </row>
    <row r="1711" spans="1:34" x14ac:dyDescent="0.25">
      <c r="A1711">
        <v>1697</v>
      </c>
      <c r="C1711" s="185"/>
      <c r="D1711" t="s">
        <v>157</v>
      </c>
      <c r="E1711" t="s">
        <v>386</v>
      </c>
      <c r="F1711" t="s">
        <v>189</v>
      </c>
      <c r="G1711" t="s">
        <v>1197</v>
      </c>
      <c r="H1711" t="s">
        <v>6701</v>
      </c>
      <c r="I1711">
        <v>12295</v>
      </c>
      <c r="J1711" t="s">
        <v>189</v>
      </c>
      <c r="K1711" t="s">
        <v>6702</v>
      </c>
      <c r="L1711" t="s">
        <v>386</v>
      </c>
      <c r="M1711" t="s">
        <v>1193</v>
      </c>
      <c r="N1711">
        <v>12295</v>
      </c>
      <c r="O1711">
        <v>43</v>
      </c>
      <c r="Q1711" t="s">
        <v>6703</v>
      </c>
      <c r="T1711">
        <v>246</v>
      </c>
      <c r="V1711" t="s">
        <v>3321</v>
      </c>
      <c r="Z1711" t="s">
        <v>4989</v>
      </c>
      <c r="AA1711" t="s">
        <v>387</v>
      </c>
      <c r="AB1711">
        <v>19000</v>
      </c>
      <c r="AC1711">
        <v>4638</v>
      </c>
      <c r="AD1711" t="s">
        <v>6704</v>
      </c>
      <c r="AE1711">
        <v>2148</v>
      </c>
      <c r="AF1711" t="s">
        <v>6705</v>
      </c>
      <c r="AG1711" t="s">
        <v>6706</v>
      </c>
      <c r="AH1711" t="s">
        <v>6707</v>
      </c>
    </row>
    <row r="1712" spans="1:34" x14ac:dyDescent="0.25">
      <c r="A1712">
        <v>1</v>
      </c>
      <c r="C1712" s="185"/>
      <c r="E1712" t="s">
        <v>386</v>
      </c>
      <c r="F1712" t="s">
        <v>6708</v>
      </c>
      <c r="G1712" t="s">
        <v>1197</v>
      </c>
      <c r="H1712" t="s">
        <v>6709</v>
      </c>
      <c r="I1712">
        <v>16169</v>
      </c>
      <c r="J1712" t="s">
        <v>6708</v>
      </c>
      <c r="K1712" t="s">
        <v>6710</v>
      </c>
      <c r="L1712" t="s">
        <v>386</v>
      </c>
      <c r="M1712" t="s">
        <v>1193</v>
      </c>
      <c r="N1712">
        <v>16169</v>
      </c>
      <c r="O1712">
        <v>0</v>
      </c>
      <c r="Q1712" t="s">
        <v>6711</v>
      </c>
      <c r="R1712" t="s">
        <v>1208</v>
      </c>
      <c r="T1712">
        <v>372</v>
      </c>
      <c r="V1712" t="s">
        <v>2073</v>
      </c>
      <c r="W1712" t="s">
        <v>2246</v>
      </c>
      <c r="X1712">
        <v>496</v>
      </c>
      <c r="Z1712" t="s">
        <v>865</v>
      </c>
      <c r="AA1712" t="s">
        <v>387</v>
      </c>
      <c r="AB1712">
        <v>0</v>
      </c>
      <c r="AC1712">
        <v>936</v>
      </c>
      <c r="AD1712" t="s">
        <v>2956</v>
      </c>
      <c r="AE1712">
        <v>1720</v>
      </c>
      <c r="AF1712" t="s">
        <v>5929</v>
      </c>
      <c r="AG1712" t="s">
        <v>4526</v>
      </c>
      <c r="AH1712" t="s">
        <v>6712</v>
      </c>
    </row>
    <row r="1713" spans="1:34" x14ac:dyDescent="0.25">
      <c r="A1713">
        <v>1275</v>
      </c>
      <c r="B1713" t="s">
        <v>1313</v>
      </c>
      <c r="C1713" s="185"/>
      <c r="D1713" t="s">
        <v>24</v>
      </c>
      <c r="E1713" t="s">
        <v>386</v>
      </c>
      <c r="F1713" t="s">
        <v>527</v>
      </c>
      <c r="G1713" t="s">
        <v>1197</v>
      </c>
      <c r="H1713" t="s">
        <v>6713</v>
      </c>
      <c r="I1713">
        <v>12098</v>
      </c>
      <c r="J1713" t="s">
        <v>527</v>
      </c>
      <c r="K1713" t="s">
        <v>6714</v>
      </c>
      <c r="L1713" t="s">
        <v>386</v>
      </c>
      <c r="M1713" t="s">
        <v>1193</v>
      </c>
      <c r="N1713">
        <v>12098</v>
      </c>
      <c r="O1713">
        <v>76</v>
      </c>
      <c r="Q1713" t="s">
        <v>6715</v>
      </c>
      <c r="R1713" t="s">
        <v>398</v>
      </c>
      <c r="S1713" t="s">
        <v>1909</v>
      </c>
      <c r="T1713">
        <v>220</v>
      </c>
      <c r="U1713">
        <v>0</v>
      </c>
      <c r="V1713" t="s">
        <v>1194</v>
      </c>
      <c r="W1713" t="s">
        <v>1194</v>
      </c>
      <c r="X1713">
        <v>220</v>
      </c>
      <c r="Y1713" t="s">
        <v>1317</v>
      </c>
      <c r="Z1713" t="s">
        <v>2124</v>
      </c>
      <c r="AA1713" t="s">
        <v>387</v>
      </c>
      <c r="AB1713">
        <v>0</v>
      </c>
      <c r="AC1713">
        <v>513</v>
      </c>
      <c r="AD1713" t="s">
        <v>3443</v>
      </c>
      <c r="AE1713">
        <v>2132</v>
      </c>
      <c r="AF1713" t="s">
        <v>6716</v>
      </c>
      <c r="AG1713" t="s">
        <v>2044</v>
      </c>
      <c r="AH1713" t="s">
        <v>6717</v>
      </c>
    </row>
    <row r="1714" spans="1:34" x14ac:dyDescent="0.25">
      <c r="A1714">
        <v>1697</v>
      </c>
      <c r="C1714" s="185"/>
      <c r="D1714" t="s">
        <v>157</v>
      </c>
      <c r="E1714" t="s">
        <v>386</v>
      </c>
      <c r="F1714" t="s">
        <v>6718</v>
      </c>
      <c r="G1714" t="s">
        <v>1197</v>
      </c>
      <c r="H1714" t="s">
        <v>6719</v>
      </c>
      <c r="I1714">
        <v>5628</v>
      </c>
      <c r="J1714" t="s">
        <v>6718</v>
      </c>
      <c r="K1714" t="s">
        <v>6720</v>
      </c>
      <c r="L1714" t="s">
        <v>386</v>
      </c>
      <c r="M1714" t="s">
        <v>1193</v>
      </c>
      <c r="N1714">
        <v>5628</v>
      </c>
      <c r="O1714">
        <v>0</v>
      </c>
      <c r="Q1714" t="s">
        <v>6721</v>
      </c>
      <c r="R1714" t="s">
        <v>398</v>
      </c>
      <c r="T1714">
        <v>2</v>
      </c>
      <c r="V1714" t="s">
        <v>1205</v>
      </c>
      <c r="Z1714" t="s">
        <v>4989</v>
      </c>
      <c r="AA1714" t="s">
        <v>387</v>
      </c>
      <c r="AB1714">
        <v>0</v>
      </c>
      <c r="AC1714">
        <v>2657</v>
      </c>
      <c r="AD1714" t="s">
        <v>6722</v>
      </c>
      <c r="AE1714">
        <v>1279</v>
      </c>
      <c r="AF1714" t="s">
        <v>6723</v>
      </c>
      <c r="AG1714" t="s">
        <v>6724</v>
      </c>
      <c r="AH1714" t="s">
        <v>6725</v>
      </c>
    </row>
    <row r="1715" spans="1:34" x14ac:dyDescent="0.25">
      <c r="A1715">
        <v>6</v>
      </c>
      <c r="C1715" s="185"/>
      <c r="E1715" t="s">
        <v>386</v>
      </c>
      <c r="F1715" t="s">
        <v>6726</v>
      </c>
      <c r="G1715" t="s">
        <v>1197</v>
      </c>
      <c r="H1715" t="s">
        <v>6727</v>
      </c>
      <c r="I1715">
        <v>13184</v>
      </c>
      <c r="J1715" t="s">
        <v>6726</v>
      </c>
      <c r="K1715" t="s">
        <v>6728</v>
      </c>
      <c r="L1715" t="s">
        <v>386</v>
      </c>
      <c r="M1715" t="s">
        <v>1193</v>
      </c>
      <c r="N1715">
        <v>13184</v>
      </c>
      <c r="O1715">
        <v>0</v>
      </c>
      <c r="Q1715" t="s">
        <v>6729</v>
      </c>
      <c r="R1715" t="s">
        <v>398</v>
      </c>
      <c r="T1715">
        <v>52</v>
      </c>
      <c r="V1715" t="s">
        <v>2024</v>
      </c>
      <c r="W1715" t="s">
        <v>2073</v>
      </c>
      <c r="X1715">
        <v>372</v>
      </c>
      <c r="Z1715" t="s">
        <v>892</v>
      </c>
      <c r="AA1715" t="s">
        <v>387</v>
      </c>
      <c r="AB1715">
        <v>0</v>
      </c>
      <c r="AC1715">
        <v>4933</v>
      </c>
      <c r="AD1715" t="s">
        <v>6730</v>
      </c>
      <c r="AE1715">
        <v>957</v>
      </c>
      <c r="AF1715" t="s">
        <v>5774</v>
      </c>
      <c r="AG1715" t="s">
        <v>5622</v>
      </c>
      <c r="AH1715" t="s">
        <v>6731</v>
      </c>
    </row>
    <row r="1716" spans="1:34" x14ac:dyDescent="0.25">
      <c r="A1716">
        <v>1730</v>
      </c>
      <c r="C1716" s="185"/>
      <c r="E1716" t="s">
        <v>386</v>
      </c>
      <c r="F1716" t="s">
        <v>6732</v>
      </c>
      <c r="G1716" t="s">
        <v>1197</v>
      </c>
      <c r="H1716" t="s">
        <v>5069</v>
      </c>
      <c r="I1716">
        <v>5974</v>
      </c>
      <c r="J1716" t="s">
        <v>6732</v>
      </c>
      <c r="K1716" t="s">
        <v>6733</v>
      </c>
      <c r="L1716" t="s">
        <v>386</v>
      </c>
      <c r="M1716" t="s">
        <v>1193</v>
      </c>
      <c r="N1716">
        <v>5974</v>
      </c>
      <c r="O1716">
        <v>0</v>
      </c>
      <c r="Q1716" t="s">
        <v>6734</v>
      </c>
      <c r="T1716">
        <v>372</v>
      </c>
      <c r="V1716" t="s">
        <v>2073</v>
      </c>
      <c r="Z1716" t="s">
        <v>5071</v>
      </c>
      <c r="AA1716" t="s">
        <v>387</v>
      </c>
      <c r="AB1716">
        <v>0</v>
      </c>
      <c r="AC1716">
        <v>2782</v>
      </c>
      <c r="AD1716" t="s">
        <v>6735</v>
      </c>
      <c r="AE1716">
        <v>827</v>
      </c>
      <c r="AF1716" t="s">
        <v>1195</v>
      </c>
      <c r="AG1716" t="s">
        <v>6736</v>
      </c>
    </row>
    <row r="1717" spans="1:34" x14ac:dyDescent="0.25">
      <c r="A1717">
        <v>1553</v>
      </c>
      <c r="C1717" s="185"/>
      <c r="D1717" t="s">
        <v>157</v>
      </c>
      <c r="E1717" t="s">
        <v>386</v>
      </c>
      <c r="F1717" t="s">
        <v>405</v>
      </c>
      <c r="G1717" t="s">
        <v>1238</v>
      </c>
      <c r="H1717" t="s">
        <v>1239</v>
      </c>
      <c r="I1717">
        <v>15445</v>
      </c>
      <c r="J1717" t="s">
        <v>405</v>
      </c>
      <c r="K1717" t="s">
        <v>6737</v>
      </c>
      <c r="L1717" t="s">
        <v>386</v>
      </c>
      <c r="M1717" t="s">
        <v>1184</v>
      </c>
      <c r="N1717">
        <v>15445</v>
      </c>
      <c r="O1717">
        <v>59</v>
      </c>
      <c r="Q1717" t="s">
        <v>6738</v>
      </c>
      <c r="R1717" t="s">
        <v>398</v>
      </c>
      <c r="T1717">
        <v>260</v>
      </c>
      <c r="V1717" t="s">
        <v>1216</v>
      </c>
      <c r="W1717" t="s">
        <v>1215</v>
      </c>
      <c r="X1717">
        <v>259</v>
      </c>
      <c r="Z1717" t="s">
        <v>968</v>
      </c>
      <c r="AA1717" t="s">
        <v>387</v>
      </c>
      <c r="AB1717">
        <v>51000</v>
      </c>
      <c r="AC1717">
        <v>5839</v>
      </c>
      <c r="AD1717" t="s">
        <v>6739</v>
      </c>
      <c r="AE1717">
        <v>18</v>
      </c>
      <c r="AF1717" t="s">
        <v>1259</v>
      </c>
      <c r="AG1717" t="s">
        <v>1244</v>
      </c>
    </row>
    <row r="1718" spans="1:34" x14ac:dyDescent="0.25">
      <c r="A1718">
        <v>177</v>
      </c>
      <c r="C1718" s="185"/>
      <c r="E1718" t="s">
        <v>386</v>
      </c>
      <c r="F1718" t="s">
        <v>6740</v>
      </c>
      <c r="G1718" t="s">
        <v>1197</v>
      </c>
      <c r="H1718" t="s">
        <v>6741</v>
      </c>
      <c r="I1718">
        <v>14010</v>
      </c>
      <c r="J1718" t="s">
        <v>6740</v>
      </c>
      <c r="K1718" t="s">
        <v>6742</v>
      </c>
      <c r="L1718" t="s">
        <v>386</v>
      </c>
      <c r="M1718" t="s">
        <v>1193</v>
      </c>
      <c r="N1718">
        <v>14010</v>
      </c>
      <c r="O1718">
        <v>0</v>
      </c>
      <c r="Q1718" t="s">
        <v>6743</v>
      </c>
      <c r="R1718" t="s">
        <v>1208</v>
      </c>
      <c r="T1718">
        <v>396</v>
      </c>
      <c r="V1718" t="s">
        <v>2186</v>
      </c>
      <c r="W1718" t="s">
        <v>2067</v>
      </c>
      <c r="X1718">
        <v>304</v>
      </c>
      <c r="Z1718" t="s">
        <v>1054</v>
      </c>
      <c r="AA1718" t="s">
        <v>387</v>
      </c>
      <c r="AB1718">
        <v>0</v>
      </c>
      <c r="AC1718">
        <v>5293</v>
      </c>
      <c r="AD1718" t="s">
        <v>6744</v>
      </c>
      <c r="AE1718">
        <v>216</v>
      </c>
      <c r="AF1718" t="s">
        <v>3276</v>
      </c>
      <c r="AG1718" t="s">
        <v>6745</v>
      </c>
      <c r="AH1718" t="s">
        <v>6746</v>
      </c>
    </row>
    <row r="1719" spans="1:34" x14ac:dyDescent="0.25">
      <c r="A1719">
        <v>1</v>
      </c>
      <c r="C1719" s="185"/>
      <c r="E1719" t="s">
        <v>386</v>
      </c>
      <c r="F1719" t="s">
        <v>6747</v>
      </c>
      <c r="G1719" t="s">
        <v>1197</v>
      </c>
      <c r="H1719" t="s">
        <v>6748</v>
      </c>
      <c r="I1719">
        <v>11601</v>
      </c>
      <c r="J1719" t="s">
        <v>6747</v>
      </c>
      <c r="K1719" t="s">
        <v>6747</v>
      </c>
      <c r="L1719" t="s">
        <v>386</v>
      </c>
      <c r="M1719" t="s">
        <v>1193</v>
      </c>
      <c r="N1719">
        <v>11601</v>
      </c>
      <c r="O1719">
        <v>0</v>
      </c>
      <c r="Q1719" t="s">
        <v>6749</v>
      </c>
      <c r="R1719" t="s">
        <v>1208</v>
      </c>
      <c r="T1719">
        <v>260</v>
      </c>
      <c r="V1719" t="s">
        <v>1216</v>
      </c>
      <c r="Z1719" t="s">
        <v>865</v>
      </c>
      <c r="AA1719" t="s">
        <v>387</v>
      </c>
      <c r="AB1719">
        <v>0</v>
      </c>
      <c r="AC1719">
        <v>13</v>
      </c>
      <c r="AD1719" t="s">
        <v>6750</v>
      </c>
      <c r="AE1719">
        <v>11</v>
      </c>
      <c r="AF1719" t="s">
        <v>5744</v>
      </c>
      <c r="AG1719" t="s">
        <v>6751</v>
      </c>
    </row>
    <row r="1720" spans="1:34" x14ac:dyDescent="0.25">
      <c r="A1720">
        <v>1682</v>
      </c>
      <c r="C1720" s="185"/>
      <c r="E1720" t="s">
        <v>386</v>
      </c>
      <c r="F1720" t="s">
        <v>558</v>
      </c>
      <c r="G1720" t="s">
        <v>1197</v>
      </c>
      <c r="H1720" t="s">
        <v>6752</v>
      </c>
      <c r="I1720">
        <v>14799</v>
      </c>
      <c r="J1720" t="s">
        <v>558</v>
      </c>
      <c r="K1720" t="s">
        <v>558</v>
      </c>
      <c r="L1720" t="s">
        <v>386</v>
      </c>
      <c r="M1720" t="s">
        <v>1193</v>
      </c>
      <c r="N1720">
        <v>14799</v>
      </c>
      <c r="O1720">
        <v>25</v>
      </c>
      <c r="Q1720" t="s">
        <v>6753</v>
      </c>
      <c r="R1720" t="s">
        <v>398</v>
      </c>
      <c r="T1720">
        <v>260</v>
      </c>
      <c r="V1720" t="s">
        <v>1216</v>
      </c>
      <c r="W1720" t="s">
        <v>1215</v>
      </c>
      <c r="X1720">
        <v>259</v>
      </c>
      <c r="Z1720" t="s">
        <v>6754</v>
      </c>
      <c r="AA1720" t="s">
        <v>387</v>
      </c>
      <c r="AB1720">
        <v>0</v>
      </c>
      <c r="AC1720">
        <v>5633</v>
      </c>
      <c r="AD1720" t="s">
        <v>6755</v>
      </c>
      <c r="AE1720">
        <v>2603</v>
      </c>
      <c r="AF1720" t="s">
        <v>6756</v>
      </c>
      <c r="AG1720" t="s">
        <v>1244</v>
      </c>
      <c r="AH1720" t="s">
        <v>6757</v>
      </c>
    </row>
    <row r="1721" spans="1:34" x14ac:dyDescent="0.25">
      <c r="A1721">
        <v>1</v>
      </c>
      <c r="C1721" s="185"/>
      <c r="E1721" t="s">
        <v>386</v>
      </c>
      <c r="F1721" t="s">
        <v>1897</v>
      </c>
      <c r="G1721" t="s">
        <v>1197</v>
      </c>
      <c r="H1721" t="s">
        <v>5870</v>
      </c>
      <c r="I1721">
        <v>8605</v>
      </c>
      <c r="J1721" t="s">
        <v>6758</v>
      </c>
      <c r="K1721" t="s">
        <v>6758</v>
      </c>
      <c r="L1721" t="s">
        <v>386</v>
      </c>
      <c r="M1721" t="s">
        <v>1193</v>
      </c>
      <c r="N1721">
        <v>0</v>
      </c>
      <c r="O1721">
        <v>0</v>
      </c>
      <c r="Q1721" t="s">
        <v>6759</v>
      </c>
      <c r="R1721" t="s">
        <v>1208</v>
      </c>
      <c r="T1721">
        <v>181</v>
      </c>
      <c r="V1721" t="s">
        <v>6218</v>
      </c>
      <c r="Z1721" t="s">
        <v>865</v>
      </c>
      <c r="AA1721" t="s">
        <v>387</v>
      </c>
      <c r="AB1721">
        <v>0</v>
      </c>
      <c r="AC1721">
        <v>2385</v>
      </c>
      <c r="AD1721" t="s">
        <v>4848</v>
      </c>
      <c r="AE1721">
        <v>2</v>
      </c>
      <c r="AF1721" t="s">
        <v>2919</v>
      </c>
      <c r="AG1721" t="s">
        <v>6760</v>
      </c>
    </row>
    <row r="1722" spans="1:34" x14ac:dyDescent="0.25">
      <c r="A1722">
        <v>1</v>
      </c>
      <c r="C1722" s="185"/>
      <c r="E1722" t="s">
        <v>386</v>
      </c>
      <c r="F1722" t="s">
        <v>6761</v>
      </c>
      <c r="G1722" t="s">
        <v>1197</v>
      </c>
      <c r="H1722" t="s">
        <v>6762</v>
      </c>
      <c r="I1722">
        <v>14670</v>
      </c>
      <c r="J1722" t="s">
        <v>6761</v>
      </c>
      <c r="K1722" t="s">
        <v>6763</v>
      </c>
      <c r="L1722" t="s">
        <v>386</v>
      </c>
      <c r="M1722" t="s">
        <v>1193</v>
      </c>
      <c r="N1722">
        <v>14670</v>
      </c>
      <c r="O1722">
        <v>0</v>
      </c>
      <c r="Q1722" t="s">
        <v>6764</v>
      </c>
      <c r="T1722">
        <v>260</v>
      </c>
      <c r="V1722" t="s">
        <v>1216</v>
      </c>
      <c r="W1722" t="s">
        <v>1216</v>
      </c>
      <c r="X1722">
        <v>260</v>
      </c>
      <c r="Z1722" t="s">
        <v>865</v>
      </c>
      <c r="AA1722" t="s">
        <v>387</v>
      </c>
      <c r="AB1722">
        <v>0</v>
      </c>
      <c r="AC1722">
        <v>6088</v>
      </c>
      <c r="AD1722" t="s">
        <v>6765</v>
      </c>
      <c r="AE1722">
        <v>110</v>
      </c>
      <c r="AF1722" t="s">
        <v>3928</v>
      </c>
      <c r="AG1722" t="s">
        <v>5805</v>
      </c>
      <c r="AH1722" t="s">
        <v>6766</v>
      </c>
    </row>
    <row r="1723" spans="1:34" x14ac:dyDescent="0.25">
      <c r="A1723">
        <v>1819</v>
      </c>
      <c r="C1723" s="185"/>
      <c r="D1723" t="s">
        <v>157</v>
      </c>
      <c r="E1723" t="s">
        <v>386</v>
      </c>
      <c r="F1723" t="s">
        <v>6767</v>
      </c>
      <c r="G1723" t="s">
        <v>1238</v>
      </c>
      <c r="H1723" t="s">
        <v>5991</v>
      </c>
      <c r="I1723">
        <v>11182</v>
      </c>
      <c r="J1723" t="s">
        <v>6767</v>
      </c>
      <c r="K1723" t="s">
        <v>6768</v>
      </c>
      <c r="L1723" t="s">
        <v>386</v>
      </c>
      <c r="M1723" t="s">
        <v>1184</v>
      </c>
      <c r="N1723">
        <v>11182</v>
      </c>
      <c r="O1723">
        <v>46</v>
      </c>
      <c r="Q1723" t="s">
        <v>6769</v>
      </c>
      <c r="T1723">
        <v>388</v>
      </c>
      <c r="V1723" t="s">
        <v>1712</v>
      </c>
      <c r="W1723" t="s">
        <v>3202</v>
      </c>
      <c r="X1723">
        <v>280</v>
      </c>
      <c r="Z1723" t="s">
        <v>5994</v>
      </c>
      <c r="AA1723" t="s">
        <v>387</v>
      </c>
      <c r="AB1723">
        <v>22000</v>
      </c>
      <c r="AC1723">
        <v>3322</v>
      </c>
      <c r="AD1723" t="s">
        <v>6118</v>
      </c>
      <c r="AE1723">
        <v>394</v>
      </c>
      <c r="AF1723" t="s">
        <v>3171</v>
      </c>
      <c r="AG1723" t="s">
        <v>6119</v>
      </c>
      <c r="AH1723" t="s">
        <v>6770</v>
      </c>
    </row>
    <row r="1724" spans="1:34" x14ac:dyDescent="0.25">
      <c r="A1724">
        <v>1</v>
      </c>
      <c r="C1724" s="185"/>
      <c r="D1724" t="s">
        <v>157</v>
      </c>
      <c r="E1724" t="s">
        <v>386</v>
      </c>
      <c r="G1724" t="s">
        <v>1238</v>
      </c>
      <c r="H1724" t="s">
        <v>6771</v>
      </c>
      <c r="I1724">
        <v>2327</v>
      </c>
      <c r="J1724" t="s">
        <v>6772</v>
      </c>
      <c r="K1724" t="s">
        <v>6772</v>
      </c>
      <c r="L1724" t="s">
        <v>386</v>
      </c>
      <c r="M1724" t="s">
        <v>1184</v>
      </c>
      <c r="O1724">
        <v>0</v>
      </c>
      <c r="Q1724" t="s">
        <v>6773</v>
      </c>
      <c r="R1724" t="s">
        <v>398</v>
      </c>
      <c r="T1724">
        <v>260</v>
      </c>
      <c r="V1724" t="s">
        <v>1216</v>
      </c>
      <c r="W1724" t="s">
        <v>2073</v>
      </c>
      <c r="X1724">
        <v>372</v>
      </c>
      <c r="Z1724" t="s">
        <v>865</v>
      </c>
      <c r="AA1724" t="s">
        <v>387</v>
      </c>
      <c r="AB1724">
        <v>0</v>
      </c>
      <c r="AC1724">
        <v>1710</v>
      </c>
      <c r="AD1724" t="s">
        <v>6774</v>
      </c>
      <c r="AE1724">
        <v>26</v>
      </c>
      <c r="AF1724" t="s">
        <v>2075</v>
      </c>
      <c r="AG1724" t="s">
        <v>5437</v>
      </c>
      <c r="AH1724" t="s">
        <v>6775</v>
      </c>
    </row>
    <row r="1725" spans="1:34" x14ac:dyDescent="0.25">
      <c r="A1725">
        <v>1</v>
      </c>
      <c r="C1725" s="185"/>
      <c r="E1725" t="s">
        <v>386</v>
      </c>
      <c r="F1725" t="s">
        <v>6776</v>
      </c>
      <c r="G1725" t="s">
        <v>1197</v>
      </c>
      <c r="H1725" t="s">
        <v>6777</v>
      </c>
      <c r="I1725">
        <v>11740</v>
      </c>
      <c r="J1725" t="s">
        <v>6776</v>
      </c>
      <c r="K1725" t="s">
        <v>6778</v>
      </c>
      <c r="L1725" t="s">
        <v>386</v>
      </c>
      <c r="M1725" t="s">
        <v>1193</v>
      </c>
      <c r="N1725">
        <v>11740</v>
      </c>
      <c r="O1725">
        <v>0</v>
      </c>
      <c r="Q1725" t="s">
        <v>6779</v>
      </c>
      <c r="R1725" t="s">
        <v>1208</v>
      </c>
      <c r="T1725">
        <v>200</v>
      </c>
      <c r="V1725" t="s">
        <v>1199</v>
      </c>
      <c r="W1725" t="s">
        <v>1215</v>
      </c>
      <c r="X1725">
        <v>259</v>
      </c>
      <c r="Z1725" t="s">
        <v>865</v>
      </c>
      <c r="AA1725" t="s">
        <v>387</v>
      </c>
      <c r="AB1725">
        <v>0</v>
      </c>
      <c r="AC1725">
        <v>246</v>
      </c>
      <c r="AD1725" t="s">
        <v>6780</v>
      </c>
      <c r="AE1725">
        <v>1720</v>
      </c>
      <c r="AF1725" t="s">
        <v>5929</v>
      </c>
      <c r="AG1725" t="s">
        <v>6781</v>
      </c>
    </row>
    <row r="1726" spans="1:34" x14ac:dyDescent="0.25">
      <c r="A1726">
        <v>1</v>
      </c>
      <c r="C1726" s="185"/>
      <c r="D1726" t="s">
        <v>24</v>
      </c>
      <c r="E1726" t="s">
        <v>386</v>
      </c>
      <c r="F1726" t="s">
        <v>6782</v>
      </c>
      <c r="G1726" t="s">
        <v>1197</v>
      </c>
      <c r="H1726" t="s">
        <v>6783</v>
      </c>
      <c r="I1726">
        <v>2282</v>
      </c>
      <c r="J1726" t="s">
        <v>6782</v>
      </c>
      <c r="K1726" t="s">
        <v>6784</v>
      </c>
      <c r="L1726" t="s">
        <v>386</v>
      </c>
      <c r="M1726" t="s">
        <v>1193</v>
      </c>
      <c r="N1726">
        <v>2282</v>
      </c>
      <c r="O1726">
        <v>0</v>
      </c>
      <c r="Q1726" t="s">
        <v>6785</v>
      </c>
      <c r="T1726">
        <v>260</v>
      </c>
      <c r="V1726" t="s">
        <v>1216</v>
      </c>
      <c r="W1726" t="s">
        <v>1199</v>
      </c>
      <c r="X1726">
        <v>200</v>
      </c>
      <c r="Z1726" t="s">
        <v>865</v>
      </c>
      <c r="AA1726" t="s">
        <v>387</v>
      </c>
      <c r="AB1726">
        <v>0</v>
      </c>
      <c r="AC1726">
        <v>1262</v>
      </c>
      <c r="AD1726" t="s">
        <v>1234</v>
      </c>
      <c r="AE1726">
        <v>2</v>
      </c>
      <c r="AF1726" t="s">
        <v>2919</v>
      </c>
      <c r="AG1726" t="s">
        <v>6786</v>
      </c>
      <c r="AH1726" t="s">
        <v>6787</v>
      </c>
    </row>
    <row r="1727" spans="1:34" x14ac:dyDescent="0.25">
      <c r="A1727">
        <v>1987</v>
      </c>
      <c r="C1727" s="185"/>
      <c r="E1727" t="s">
        <v>386</v>
      </c>
      <c r="F1727" t="s">
        <v>6788</v>
      </c>
      <c r="G1727" t="s">
        <v>1197</v>
      </c>
      <c r="H1727" t="s">
        <v>6789</v>
      </c>
      <c r="I1727">
        <v>11982</v>
      </c>
      <c r="J1727" t="s">
        <v>6788</v>
      </c>
      <c r="K1727" t="s">
        <v>6790</v>
      </c>
      <c r="L1727" t="s">
        <v>386</v>
      </c>
      <c r="M1727" t="s">
        <v>1193</v>
      </c>
      <c r="N1727">
        <v>11982</v>
      </c>
      <c r="O1727">
        <v>0</v>
      </c>
      <c r="Q1727" t="s">
        <v>6791</v>
      </c>
      <c r="R1727" t="s">
        <v>1208</v>
      </c>
      <c r="T1727">
        <v>280</v>
      </c>
      <c r="V1727" t="s">
        <v>3202</v>
      </c>
      <c r="Z1727" t="s">
        <v>6792</v>
      </c>
      <c r="AA1727" t="s">
        <v>387</v>
      </c>
      <c r="AB1727">
        <v>0</v>
      </c>
      <c r="AC1727">
        <v>4558</v>
      </c>
      <c r="AD1727" t="s">
        <v>6793</v>
      </c>
      <c r="AE1727">
        <v>371</v>
      </c>
      <c r="AF1727" t="s">
        <v>5473</v>
      </c>
      <c r="AG1727" t="s">
        <v>6794</v>
      </c>
    </row>
    <row r="1728" spans="1:34" x14ac:dyDescent="0.25">
      <c r="A1728">
        <v>1</v>
      </c>
      <c r="C1728" s="185"/>
      <c r="E1728" t="s">
        <v>386</v>
      </c>
      <c r="F1728" t="s">
        <v>6795</v>
      </c>
      <c r="G1728" t="s">
        <v>1197</v>
      </c>
      <c r="H1728" t="s">
        <v>6796</v>
      </c>
      <c r="I1728">
        <v>13305</v>
      </c>
      <c r="J1728" t="s">
        <v>6795</v>
      </c>
      <c r="K1728" t="s">
        <v>6797</v>
      </c>
      <c r="L1728" t="s">
        <v>386</v>
      </c>
      <c r="M1728" t="s">
        <v>1193</v>
      </c>
      <c r="N1728">
        <v>13305</v>
      </c>
      <c r="O1728">
        <v>0</v>
      </c>
      <c r="Q1728" t="s">
        <v>6798</v>
      </c>
      <c r="R1728" t="s">
        <v>398</v>
      </c>
      <c r="T1728">
        <v>571</v>
      </c>
      <c r="V1728" t="s">
        <v>2003</v>
      </c>
      <c r="W1728" t="s">
        <v>1199</v>
      </c>
      <c r="X1728">
        <v>200</v>
      </c>
      <c r="Z1728" t="s">
        <v>865</v>
      </c>
      <c r="AA1728" t="s">
        <v>387</v>
      </c>
      <c r="AB1728">
        <v>0</v>
      </c>
      <c r="AC1728">
        <v>601</v>
      </c>
      <c r="AD1728" t="s">
        <v>2665</v>
      </c>
      <c r="AE1728">
        <v>14</v>
      </c>
      <c r="AF1728" t="s">
        <v>2615</v>
      </c>
      <c r="AG1728" t="s">
        <v>6799</v>
      </c>
      <c r="AH1728" t="s">
        <v>6800</v>
      </c>
    </row>
    <row r="1729" spans="1:34" x14ac:dyDescent="0.25">
      <c r="A1729">
        <v>1</v>
      </c>
      <c r="C1729" s="185"/>
      <c r="E1729" t="s">
        <v>386</v>
      </c>
      <c r="F1729" t="s">
        <v>6801</v>
      </c>
      <c r="G1729" t="s">
        <v>1197</v>
      </c>
      <c r="H1729" t="s">
        <v>5585</v>
      </c>
      <c r="I1729">
        <v>13646</v>
      </c>
      <c r="J1729" t="s">
        <v>6801</v>
      </c>
      <c r="K1729" t="s">
        <v>6802</v>
      </c>
      <c r="L1729" t="s">
        <v>386</v>
      </c>
      <c r="M1729" t="s">
        <v>1193</v>
      </c>
      <c r="N1729">
        <v>13646</v>
      </c>
      <c r="O1729">
        <v>0</v>
      </c>
      <c r="Q1729" t="s">
        <v>6803</v>
      </c>
      <c r="R1729" t="s">
        <v>1208</v>
      </c>
      <c r="T1729">
        <v>272</v>
      </c>
      <c r="V1729" t="s">
        <v>2107</v>
      </c>
      <c r="W1729" t="s">
        <v>1199</v>
      </c>
      <c r="X1729">
        <v>200</v>
      </c>
      <c r="Z1729" t="s">
        <v>865</v>
      </c>
      <c r="AA1729" t="s">
        <v>387</v>
      </c>
      <c r="AB1729">
        <v>0</v>
      </c>
      <c r="AC1729">
        <v>1609</v>
      </c>
      <c r="AD1729" t="s">
        <v>2035</v>
      </c>
      <c r="AE1729">
        <v>2380</v>
      </c>
      <c r="AF1729" t="s">
        <v>6804</v>
      </c>
      <c r="AG1729" t="s">
        <v>2698</v>
      </c>
      <c r="AH1729" t="s">
        <v>6805</v>
      </c>
    </row>
    <row r="1730" spans="1:34" x14ac:dyDescent="0.25">
      <c r="A1730">
        <v>1</v>
      </c>
      <c r="C1730" s="185"/>
      <c r="E1730" t="s">
        <v>386</v>
      </c>
      <c r="F1730" t="s">
        <v>6806</v>
      </c>
      <c r="G1730" t="s">
        <v>1197</v>
      </c>
      <c r="H1730" t="s">
        <v>6807</v>
      </c>
      <c r="I1730">
        <v>13320</v>
      </c>
      <c r="J1730" t="s">
        <v>6806</v>
      </c>
      <c r="K1730" t="s">
        <v>6808</v>
      </c>
      <c r="L1730" t="s">
        <v>386</v>
      </c>
      <c r="M1730" t="s">
        <v>1193</v>
      </c>
      <c r="N1730">
        <v>13320</v>
      </c>
      <c r="O1730">
        <v>0</v>
      </c>
      <c r="Q1730" t="s">
        <v>6809</v>
      </c>
      <c r="R1730" t="s">
        <v>1208</v>
      </c>
      <c r="T1730">
        <v>571</v>
      </c>
      <c r="V1730" t="s">
        <v>2003</v>
      </c>
      <c r="W1730" t="s">
        <v>1215</v>
      </c>
      <c r="X1730">
        <v>259</v>
      </c>
      <c r="Z1730" t="s">
        <v>865</v>
      </c>
      <c r="AA1730" t="s">
        <v>387</v>
      </c>
      <c r="AB1730">
        <v>0</v>
      </c>
      <c r="AC1730">
        <v>1610</v>
      </c>
      <c r="AD1730" t="s">
        <v>3102</v>
      </c>
      <c r="AE1730">
        <v>14</v>
      </c>
      <c r="AF1730" t="s">
        <v>2615</v>
      </c>
      <c r="AG1730" t="s">
        <v>6810</v>
      </c>
      <c r="AH1730" t="s">
        <v>6811</v>
      </c>
    </row>
    <row r="1731" spans="1:34" x14ac:dyDescent="0.25">
      <c r="A1731">
        <v>1</v>
      </c>
      <c r="C1731" s="185"/>
      <c r="E1731" t="s">
        <v>386</v>
      </c>
      <c r="F1731" t="s">
        <v>6812</v>
      </c>
      <c r="G1731" t="s">
        <v>1197</v>
      </c>
      <c r="H1731" t="s">
        <v>6813</v>
      </c>
      <c r="I1731">
        <v>9187</v>
      </c>
      <c r="J1731" t="s">
        <v>6812</v>
      </c>
      <c r="K1731" t="s">
        <v>6814</v>
      </c>
      <c r="L1731" t="s">
        <v>386</v>
      </c>
      <c r="M1731" t="s">
        <v>1193</v>
      </c>
      <c r="N1731">
        <v>9187</v>
      </c>
      <c r="O1731">
        <v>0</v>
      </c>
      <c r="Q1731" t="s">
        <v>6815</v>
      </c>
      <c r="R1731" t="s">
        <v>1208</v>
      </c>
      <c r="T1731">
        <v>200</v>
      </c>
      <c r="V1731" t="s">
        <v>1199</v>
      </c>
      <c r="W1731" t="s">
        <v>1216</v>
      </c>
      <c r="X1731">
        <v>260</v>
      </c>
      <c r="Z1731" t="s">
        <v>865</v>
      </c>
      <c r="AA1731" t="s">
        <v>387</v>
      </c>
      <c r="AB1731">
        <v>0</v>
      </c>
      <c r="AC1731">
        <v>3663</v>
      </c>
      <c r="AD1731" t="s">
        <v>6816</v>
      </c>
      <c r="AE1731">
        <v>1705</v>
      </c>
      <c r="AF1731" t="s">
        <v>6817</v>
      </c>
    </row>
    <row r="1732" spans="1:34" x14ac:dyDescent="0.25">
      <c r="A1732">
        <v>1</v>
      </c>
      <c r="C1732" s="185"/>
      <c r="E1732" t="s">
        <v>386</v>
      </c>
      <c r="F1732" t="s">
        <v>6818</v>
      </c>
      <c r="G1732" t="s">
        <v>1197</v>
      </c>
      <c r="H1732" t="s">
        <v>6819</v>
      </c>
      <c r="I1732">
        <v>12458</v>
      </c>
      <c r="J1732" t="s">
        <v>6818</v>
      </c>
      <c r="K1732" t="s">
        <v>6820</v>
      </c>
      <c r="L1732" t="s">
        <v>386</v>
      </c>
      <c r="M1732" t="s">
        <v>1193</v>
      </c>
      <c r="N1732">
        <v>12458</v>
      </c>
      <c r="O1732">
        <v>0</v>
      </c>
      <c r="Q1732" t="s">
        <v>6821</v>
      </c>
      <c r="R1732" t="s">
        <v>1208</v>
      </c>
      <c r="T1732">
        <v>501</v>
      </c>
      <c r="V1732" t="s">
        <v>4131</v>
      </c>
      <c r="W1732" t="s">
        <v>1215</v>
      </c>
      <c r="X1732">
        <v>259</v>
      </c>
      <c r="Z1732" t="s">
        <v>865</v>
      </c>
      <c r="AA1732" t="s">
        <v>387</v>
      </c>
      <c r="AB1732">
        <v>0</v>
      </c>
      <c r="AC1732">
        <v>5768</v>
      </c>
      <c r="AD1732" t="s">
        <v>6822</v>
      </c>
      <c r="AE1732">
        <v>802</v>
      </c>
      <c r="AF1732" t="s">
        <v>2620</v>
      </c>
      <c r="AG1732" t="s">
        <v>3434</v>
      </c>
      <c r="AH1732" t="s">
        <v>6823</v>
      </c>
    </row>
    <row r="1733" spans="1:34" x14ac:dyDescent="0.25">
      <c r="A1733">
        <v>1</v>
      </c>
      <c r="C1733" s="185"/>
      <c r="E1733" t="s">
        <v>386</v>
      </c>
      <c r="F1733" t="s">
        <v>6824</v>
      </c>
      <c r="G1733" t="s">
        <v>1197</v>
      </c>
      <c r="H1733" t="s">
        <v>6825</v>
      </c>
      <c r="I1733">
        <v>16824</v>
      </c>
      <c r="J1733" t="s">
        <v>6824</v>
      </c>
      <c r="K1733" t="s">
        <v>6826</v>
      </c>
      <c r="L1733" t="s">
        <v>386</v>
      </c>
      <c r="M1733" t="s">
        <v>1193</v>
      </c>
      <c r="N1733">
        <v>16824</v>
      </c>
      <c r="O1733">
        <v>0</v>
      </c>
      <c r="Q1733" t="s">
        <v>6827</v>
      </c>
      <c r="T1733">
        <v>496</v>
      </c>
      <c r="V1733" t="s">
        <v>2246</v>
      </c>
      <c r="W1733" t="s">
        <v>2246</v>
      </c>
      <c r="X1733">
        <v>496</v>
      </c>
      <c r="Z1733" t="s">
        <v>865</v>
      </c>
      <c r="AA1733" t="s">
        <v>387</v>
      </c>
      <c r="AB1733">
        <v>0</v>
      </c>
      <c r="AC1733">
        <v>53</v>
      </c>
      <c r="AD1733" t="s">
        <v>6387</v>
      </c>
      <c r="AE1733">
        <v>150</v>
      </c>
      <c r="AF1733" t="s">
        <v>2587</v>
      </c>
      <c r="AG1733" t="s">
        <v>6828</v>
      </c>
      <c r="AH1733" t="s">
        <v>6829</v>
      </c>
    </row>
    <row r="1734" spans="1:34" x14ac:dyDescent="0.25">
      <c r="A1734">
        <v>1665</v>
      </c>
      <c r="C1734" s="185"/>
      <c r="E1734" t="s">
        <v>386</v>
      </c>
      <c r="F1734" t="s">
        <v>6830</v>
      </c>
      <c r="G1734" t="s">
        <v>1192</v>
      </c>
      <c r="H1734" t="s">
        <v>2684</v>
      </c>
      <c r="I1734">
        <v>8712</v>
      </c>
      <c r="J1734" t="s">
        <v>6830</v>
      </c>
      <c r="K1734" t="s">
        <v>6830</v>
      </c>
      <c r="L1734" t="s">
        <v>386</v>
      </c>
      <c r="M1734" t="s">
        <v>1184</v>
      </c>
      <c r="N1734">
        <v>8712</v>
      </c>
      <c r="O1734">
        <v>0</v>
      </c>
      <c r="Q1734" t="s">
        <v>6831</v>
      </c>
      <c r="R1734" t="s">
        <v>398</v>
      </c>
      <c r="T1734">
        <v>388</v>
      </c>
      <c r="V1734" t="s">
        <v>1712</v>
      </c>
      <c r="W1734" t="s">
        <v>1910</v>
      </c>
      <c r="X1734">
        <v>189</v>
      </c>
      <c r="Z1734" t="s">
        <v>6017</v>
      </c>
      <c r="AA1734" t="s">
        <v>387</v>
      </c>
      <c r="AB1734">
        <v>0</v>
      </c>
      <c r="AC1734">
        <v>3484</v>
      </c>
      <c r="AD1734" t="s">
        <v>6832</v>
      </c>
      <c r="AE1734">
        <v>1382</v>
      </c>
      <c r="AF1734" t="s">
        <v>4915</v>
      </c>
      <c r="AG1734" t="s">
        <v>1244</v>
      </c>
    </row>
    <row r="1735" spans="1:34" x14ac:dyDescent="0.25">
      <c r="A1735">
        <v>1260</v>
      </c>
      <c r="C1735" s="185"/>
      <c r="E1735" t="s">
        <v>386</v>
      </c>
      <c r="F1735" t="s">
        <v>623</v>
      </c>
      <c r="G1735" t="s">
        <v>1197</v>
      </c>
      <c r="H1735" t="s">
        <v>6833</v>
      </c>
      <c r="I1735">
        <v>16718</v>
      </c>
      <c r="J1735" t="s">
        <v>623</v>
      </c>
      <c r="K1735" t="s">
        <v>6834</v>
      </c>
      <c r="L1735" t="s">
        <v>386</v>
      </c>
      <c r="M1735" t="s">
        <v>1193</v>
      </c>
      <c r="N1735">
        <v>16718</v>
      </c>
      <c r="O1735">
        <v>25</v>
      </c>
      <c r="Q1735" t="s">
        <v>6835</v>
      </c>
      <c r="R1735" t="s">
        <v>398</v>
      </c>
      <c r="T1735">
        <v>220</v>
      </c>
      <c r="V1735" t="s">
        <v>1194</v>
      </c>
      <c r="W1735" t="s">
        <v>1215</v>
      </c>
      <c r="X1735">
        <v>259</v>
      </c>
      <c r="Z1735" t="s">
        <v>6836</v>
      </c>
      <c r="AA1735" t="s">
        <v>387</v>
      </c>
      <c r="AB1735">
        <v>0</v>
      </c>
      <c r="AC1735">
        <v>4806</v>
      </c>
      <c r="AD1735" t="s">
        <v>6837</v>
      </c>
      <c r="AE1735">
        <v>18</v>
      </c>
      <c r="AF1735" t="s">
        <v>1259</v>
      </c>
      <c r="AG1735" t="s">
        <v>2044</v>
      </c>
      <c r="AH1735" t="s">
        <v>6838</v>
      </c>
    </row>
    <row r="1736" spans="1:34" x14ac:dyDescent="0.25">
      <c r="A1736">
        <v>1</v>
      </c>
      <c r="C1736" s="185"/>
      <c r="D1736" t="s">
        <v>157</v>
      </c>
      <c r="E1736" t="s">
        <v>386</v>
      </c>
      <c r="F1736" t="s">
        <v>571</v>
      </c>
      <c r="G1736" t="s">
        <v>1197</v>
      </c>
      <c r="H1736" t="s">
        <v>6839</v>
      </c>
      <c r="I1736">
        <v>15917</v>
      </c>
      <c r="J1736" t="s">
        <v>571</v>
      </c>
      <c r="K1736" t="s">
        <v>6840</v>
      </c>
      <c r="L1736" t="s">
        <v>386</v>
      </c>
      <c r="M1736" t="s">
        <v>1193</v>
      </c>
      <c r="N1736">
        <v>15917</v>
      </c>
      <c r="O1736">
        <v>25</v>
      </c>
      <c r="Q1736" t="s">
        <v>6841</v>
      </c>
      <c r="R1736" t="s">
        <v>398</v>
      </c>
      <c r="T1736">
        <v>220</v>
      </c>
      <c r="V1736" t="s">
        <v>1194</v>
      </c>
      <c r="W1736" t="s">
        <v>1216</v>
      </c>
      <c r="X1736">
        <v>260</v>
      </c>
      <c r="Z1736" t="s">
        <v>865</v>
      </c>
      <c r="AA1736" t="s">
        <v>387</v>
      </c>
      <c r="AB1736">
        <v>19000</v>
      </c>
      <c r="AC1736">
        <v>5998</v>
      </c>
      <c r="AD1736" t="s">
        <v>6842</v>
      </c>
      <c r="AE1736">
        <v>802</v>
      </c>
      <c r="AF1736" t="s">
        <v>2620</v>
      </c>
      <c r="AG1736" t="s">
        <v>6843</v>
      </c>
    </row>
    <row r="1737" spans="1:34" x14ac:dyDescent="0.25">
      <c r="A1737">
        <v>1637</v>
      </c>
      <c r="C1737" s="185"/>
      <c r="E1737" t="s">
        <v>386</v>
      </c>
      <c r="F1737" t="s">
        <v>6844</v>
      </c>
      <c r="G1737" t="s">
        <v>1197</v>
      </c>
      <c r="H1737" t="s">
        <v>6845</v>
      </c>
      <c r="I1737">
        <v>10864</v>
      </c>
      <c r="J1737" t="s">
        <v>6844</v>
      </c>
      <c r="K1737" t="s">
        <v>6844</v>
      </c>
      <c r="L1737" t="s">
        <v>386</v>
      </c>
      <c r="M1737" t="s">
        <v>1193</v>
      </c>
      <c r="N1737">
        <v>10864</v>
      </c>
      <c r="O1737">
        <v>0</v>
      </c>
      <c r="Q1737" t="s">
        <v>6846</v>
      </c>
      <c r="T1737">
        <v>287</v>
      </c>
      <c r="V1737" t="s">
        <v>1233</v>
      </c>
      <c r="Z1737" t="s">
        <v>6847</v>
      </c>
      <c r="AA1737" t="s">
        <v>387</v>
      </c>
      <c r="AB1737">
        <v>0</v>
      </c>
      <c r="AC1737">
        <v>4165</v>
      </c>
      <c r="AD1737" t="s">
        <v>6848</v>
      </c>
      <c r="AE1737">
        <v>1923</v>
      </c>
      <c r="AF1737" t="s">
        <v>6849</v>
      </c>
    </row>
    <row r="1738" spans="1:34" x14ac:dyDescent="0.25">
      <c r="A1738">
        <v>1538</v>
      </c>
      <c r="C1738" s="185"/>
      <c r="E1738" t="s">
        <v>386</v>
      </c>
      <c r="F1738" t="s">
        <v>1897</v>
      </c>
      <c r="G1738" t="s">
        <v>1197</v>
      </c>
      <c r="H1738" t="s">
        <v>4760</v>
      </c>
      <c r="I1738">
        <v>8218</v>
      </c>
      <c r="J1738" t="s">
        <v>6850</v>
      </c>
      <c r="K1738" t="s">
        <v>6850</v>
      </c>
      <c r="L1738" t="s">
        <v>386</v>
      </c>
      <c r="M1738" t="s">
        <v>1193</v>
      </c>
      <c r="N1738">
        <v>0</v>
      </c>
      <c r="O1738">
        <v>0</v>
      </c>
      <c r="Q1738" t="s">
        <v>6851</v>
      </c>
      <c r="R1738" t="s">
        <v>1208</v>
      </c>
      <c r="T1738">
        <v>260</v>
      </c>
      <c r="V1738" t="s">
        <v>1216</v>
      </c>
      <c r="Z1738" t="s">
        <v>4764</v>
      </c>
      <c r="AA1738" t="s">
        <v>387</v>
      </c>
      <c r="AB1738">
        <v>0</v>
      </c>
      <c r="AC1738">
        <v>3311</v>
      </c>
      <c r="AD1738" t="s">
        <v>6852</v>
      </c>
      <c r="AE1738">
        <v>138</v>
      </c>
      <c r="AF1738" t="s">
        <v>2509</v>
      </c>
      <c r="AG1738" t="s">
        <v>4336</v>
      </c>
    </row>
    <row r="1739" spans="1:34" x14ac:dyDescent="0.25">
      <c r="A1739">
        <v>1373</v>
      </c>
      <c r="C1739" s="185"/>
      <c r="D1739" t="s">
        <v>157</v>
      </c>
      <c r="E1739" t="s">
        <v>386</v>
      </c>
      <c r="F1739" t="s">
        <v>6853</v>
      </c>
      <c r="G1739" t="s">
        <v>1192</v>
      </c>
      <c r="H1739" t="s">
        <v>4956</v>
      </c>
      <c r="I1739">
        <v>8262</v>
      </c>
      <c r="J1739" t="s">
        <v>6853</v>
      </c>
      <c r="K1739" t="s">
        <v>6854</v>
      </c>
      <c r="L1739" t="s">
        <v>386</v>
      </c>
      <c r="M1739" t="s">
        <v>1184</v>
      </c>
      <c r="N1739">
        <v>8262</v>
      </c>
      <c r="O1739">
        <v>0</v>
      </c>
      <c r="Q1739" t="s">
        <v>6855</v>
      </c>
      <c r="R1739" t="s">
        <v>398</v>
      </c>
      <c r="T1739">
        <v>185</v>
      </c>
      <c r="V1739" t="s">
        <v>1915</v>
      </c>
      <c r="Z1739" t="s">
        <v>4186</v>
      </c>
      <c r="AA1739" t="s">
        <v>387</v>
      </c>
      <c r="AB1739">
        <v>0</v>
      </c>
      <c r="AC1739">
        <v>3321</v>
      </c>
      <c r="AD1739" t="s">
        <v>6856</v>
      </c>
      <c r="AE1739">
        <v>18</v>
      </c>
      <c r="AF1739" t="s">
        <v>1259</v>
      </c>
      <c r="AG1739" t="s">
        <v>1244</v>
      </c>
      <c r="AH1739" t="s">
        <v>6857</v>
      </c>
    </row>
    <row r="1740" spans="1:34" x14ac:dyDescent="0.25">
      <c r="A1740">
        <v>6</v>
      </c>
      <c r="C1740" s="185"/>
      <c r="E1740" t="s">
        <v>386</v>
      </c>
      <c r="F1740" t="s">
        <v>6858</v>
      </c>
      <c r="G1740" t="s">
        <v>1197</v>
      </c>
      <c r="H1740" t="s">
        <v>4795</v>
      </c>
      <c r="I1740">
        <v>17025</v>
      </c>
      <c r="J1740" t="s">
        <v>6858</v>
      </c>
      <c r="K1740" t="s">
        <v>6859</v>
      </c>
      <c r="L1740" t="s">
        <v>386</v>
      </c>
      <c r="M1740" t="s">
        <v>1193</v>
      </c>
      <c r="N1740">
        <v>17025</v>
      </c>
      <c r="O1740">
        <v>76</v>
      </c>
      <c r="Q1740" t="s">
        <v>6860</v>
      </c>
      <c r="T1740">
        <v>220</v>
      </c>
      <c r="V1740" t="s">
        <v>1194</v>
      </c>
      <c r="W1740" t="s">
        <v>2024</v>
      </c>
      <c r="X1740">
        <v>52</v>
      </c>
      <c r="Z1740" t="s">
        <v>892</v>
      </c>
      <c r="AA1740" t="s">
        <v>387</v>
      </c>
      <c r="AB1740">
        <v>0</v>
      </c>
      <c r="AC1740">
        <v>27</v>
      </c>
      <c r="AD1740" t="s">
        <v>4792</v>
      </c>
      <c r="AE1740">
        <v>1526</v>
      </c>
      <c r="AF1740" t="s">
        <v>4797</v>
      </c>
      <c r="AG1740" t="s">
        <v>6861</v>
      </c>
      <c r="AH1740" t="s">
        <v>6862</v>
      </c>
    </row>
    <row r="1741" spans="1:34" x14ac:dyDescent="0.25">
      <c r="A1741">
        <v>1510</v>
      </c>
      <c r="C1741" s="185"/>
      <c r="D1741" t="s">
        <v>157</v>
      </c>
      <c r="E1741" t="s">
        <v>386</v>
      </c>
      <c r="F1741" t="s">
        <v>6863</v>
      </c>
      <c r="G1741" t="s">
        <v>1192</v>
      </c>
      <c r="H1741" t="s">
        <v>6864</v>
      </c>
      <c r="I1741">
        <v>8234</v>
      </c>
      <c r="J1741" t="s">
        <v>6863</v>
      </c>
      <c r="K1741" t="s">
        <v>6863</v>
      </c>
      <c r="L1741" t="s">
        <v>386</v>
      </c>
      <c r="M1741" t="s">
        <v>1184</v>
      </c>
      <c r="N1741">
        <v>8234</v>
      </c>
      <c r="O1741">
        <v>0</v>
      </c>
      <c r="Q1741" t="s">
        <v>6865</v>
      </c>
      <c r="R1741" t="s">
        <v>398</v>
      </c>
      <c r="T1741">
        <v>185</v>
      </c>
      <c r="V1741" t="s">
        <v>1915</v>
      </c>
      <c r="Z1741" t="s">
        <v>6866</v>
      </c>
      <c r="AA1741" t="s">
        <v>387</v>
      </c>
      <c r="AB1741">
        <v>0</v>
      </c>
      <c r="AC1741">
        <v>3316</v>
      </c>
      <c r="AD1741" t="s">
        <v>6867</v>
      </c>
      <c r="AE1741">
        <v>18</v>
      </c>
      <c r="AF1741" t="s">
        <v>1259</v>
      </c>
      <c r="AG1741" t="s">
        <v>1244</v>
      </c>
    </row>
    <row r="1742" spans="1:34" x14ac:dyDescent="0.25">
      <c r="A1742">
        <v>95</v>
      </c>
      <c r="B1742" t="s">
        <v>1313</v>
      </c>
      <c r="C1742" s="185"/>
      <c r="D1742" t="s">
        <v>24</v>
      </c>
      <c r="E1742" t="s">
        <v>386</v>
      </c>
      <c r="F1742" t="s">
        <v>235</v>
      </c>
      <c r="G1742" t="s">
        <v>1197</v>
      </c>
      <c r="H1742" t="s">
        <v>6868</v>
      </c>
      <c r="I1742">
        <v>12323</v>
      </c>
      <c r="J1742" t="s">
        <v>235</v>
      </c>
      <c r="K1742" t="s">
        <v>6869</v>
      </c>
      <c r="L1742" t="s">
        <v>386</v>
      </c>
      <c r="M1742" t="s">
        <v>1193</v>
      </c>
      <c r="N1742">
        <v>12323</v>
      </c>
      <c r="O1742">
        <v>76</v>
      </c>
      <c r="Q1742" t="s">
        <v>6870</v>
      </c>
      <c r="R1742" t="s">
        <v>398</v>
      </c>
      <c r="S1742" t="s">
        <v>1909</v>
      </c>
      <c r="T1742">
        <v>220</v>
      </c>
      <c r="U1742">
        <v>0</v>
      </c>
      <c r="V1742" t="s">
        <v>1194</v>
      </c>
      <c r="W1742" t="s">
        <v>1194</v>
      </c>
      <c r="X1742">
        <v>220</v>
      </c>
      <c r="Y1742" t="s">
        <v>1317</v>
      </c>
      <c r="Z1742" t="s">
        <v>952</v>
      </c>
      <c r="AA1742" t="s">
        <v>387</v>
      </c>
      <c r="AB1742">
        <v>0</v>
      </c>
      <c r="AC1742">
        <v>3372</v>
      </c>
      <c r="AD1742" t="s">
        <v>4979</v>
      </c>
      <c r="AE1742">
        <v>18</v>
      </c>
      <c r="AF1742" t="s">
        <v>1259</v>
      </c>
      <c r="AG1742" t="s">
        <v>1244</v>
      </c>
      <c r="AH1742" t="s">
        <v>6871</v>
      </c>
    </row>
    <row r="1743" spans="1:34" x14ac:dyDescent="0.25">
      <c r="A1743">
        <v>1</v>
      </c>
      <c r="C1743" s="185"/>
      <c r="E1743" t="s">
        <v>386</v>
      </c>
      <c r="F1743" t="s">
        <v>6872</v>
      </c>
      <c r="G1743" t="s">
        <v>1197</v>
      </c>
      <c r="H1743" t="s">
        <v>6873</v>
      </c>
      <c r="I1743">
        <v>8935</v>
      </c>
      <c r="J1743" t="s">
        <v>6872</v>
      </c>
      <c r="K1743" t="s">
        <v>6874</v>
      </c>
      <c r="L1743" t="s">
        <v>386</v>
      </c>
      <c r="M1743" t="s">
        <v>1193</v>
      </c>
      <c r="N1743">
        <v>8935</v>
      </c>
      <c r="O1743">
        <v>0</v>
      </c>
      <c r="Q1743" t="s">
        <v>6875</v>
      </c>
      <c r="R1743" t="s">
        <v>1208</v>
      </c>
      <c r="T1743">
        <v>122</v>
      </c>
      <c r="V1743" t="s">
        <v>1988</v>
      </c>
      <c r="W1743" t="s">
        <v>1199</v>
      </c>
      <c r="X1743">
        <v>200</v>
      </c>
      <c r="Z1743" t="s">
        <v>865</v>
      </c>
      <c r="AA1743" t="s">
        <v>387</v>
      </c>
      <c r="AB1743">
        <v>0</v>
      </c>
      <c r="AC1743">
        <v>1363</v>
      </c>
      <c r="AD1743" t="s">
        <v>6876</v>
      </c>
      <c r="AE1743">
        <v>1720</v>
      </c>
      <c r="AF1743" t="s">
        <v>5929</v>
      </c>
      <c r="AG1743" t="s">
        <v>5930</v>
      </c>
      <c r="AH1743" t="s">
        <v>6877</v>
      </c>
    </row>
    <row r="1744" spans="1:34" x14ac:dyDescent="0.25">
      <c r="A1744">
        <v>1</v>
      </c>
      <c r="C1744" s="185"/>
      <c r="E1744" t="s">
        <v>386</v>
      </c>
      <c r="F1744" t="s">
        <v>6878</v>
      </c>
      <c r="G1744" t="s">
        <v>1197</v>
      </c>
      <c r="H1744" t="s">
        <v>6879</v>
      </c>
      <c r="I1744">
        <v>8980</v>
      </c>
      <c r="J1744" t="s">
        <v>6878</v>
      </c>
      <c r="K1744" t="s">
        <v>6880</v>
      </c>
      <c r="L1744" t="s">
        <v>386</v>
      </c>
      <c r="M1744" t="s">
        <v>1193</v>
      </c>
      <c r="N1744">
        <v>8980</v>
      </c>
      <c r="O1744">
        <v>0</v>
      </c>
      <c r="Q1744" t="s">
        <v>6881</v>
      </c>
      <c r="R1744" t="s">
        <v>1208</v>
      </c>
      <c r="T1744">
        <v>571</v>
      </c>
      <c r="V1744" t="s">
        <v>2003</v>
      </c>
      <c r="W1744" t="s">
        <v>1200</v>
      </c>
      <c r="X1744">
        <v>340</v>
      </c>
      <c r="Z1744" t="s">
        <v>865</v>
      </c>
      <c r="AA1744" t="s">
        <v>387</v>
      </c>
      <c r="AB1744">
        <v>0</v>
      </c>
      <c r="AC1744">
        <v>1600</v>
      </c>
      <c r="AD1744" t="s">
        <v>6882</v>
      </c>
      <c r="AE1744">
        <v>150</v>
      </c>
      <c r="AF1744" t="s">
        <v>2587</v>
      </c>
      <c r="AG1744" t="s">
        <v>3236</v>
      </c>
      <c r="AH1744" t="s">
        <v>4639</v>
      </c>
    </row>
    <row r="1745" spans="1:34" x14ac:dyDescent="0.25">
      <c r="A1745">
        <v>1739</v>
      </c>
      <c r="C1745" s="185"/>
      <c r="E1745" t="s">
        <v>386</v>
      </c>
      <c r="F1745" t="s">
        <v>6883</v>
      </c>
      <c r="G1745" t="s">
        <v>1238</v>
      </c>
      <c r="H1745" t="s">
        <v>6411</v>
      </c>
      <c r="I1745">
        <v>14434</v>
      </c>
      <c r="J1745" t="s">
        <v>6883</v>
      </c>
      <c r="K1745" t="s">
        <v>6884</v>
      </c>
      <c r="L1745" t="s">
        <v>386</v>
      </c>
      <c r="M1745" t="s">
        <v>1184</v>
      </c>
      <c r="N1745">
        <v>14434</v>
      </c>
      <c r="O1745">
        <v>0</v>
      </c>
      <c r="Q1745" t="s">
        <v>6885</v>
      </c>
      <c r="T1745">
        <v>259</v>
      </c>
      <c r="V1745" t="s">
        <v>1215</v>
      </c>
      <c r="W1745" t="s">
        <v>1257</v>
      </c>
      <c r="X1745">
        <v>426</v>
      </c>
      <c r="Z1745" t="s">
        <v>6414</v>
      </c>
      <c r="AA1745" t="s">
        <v>387</v>
      </c>
      <c r="AB1745">
        <v>0</v>
      </c>
      <c r="AC1745">
        <v>5488</v>
      </c>
      <c r="AD1745" t="s">
        <v>6883</v>
      </c>
      <c r="AE1745">
        <v>0</v>
      </c>
      <c r="AF1745" t="s">
        <v>1188</v>
      </c>
      <c r="AG1745" t="s">
        <v>1244</v>
      </c>
      <c r="AH1745" t="s">
        <v>6886</v>
      </c>
    </row>
    <row r="1746" spans="1:34" x14ac:dyDescent="0.25">
      <c r="A1746">
        <v>1553</v>
      </c>
      <c r="B1746" t="s">
        <v>1313</v>
      </c>
      <c r="C1746" s="185"/>
      <c r="D1746" t="s">
        <v>24</v>
      </c>
      <c r="E1746" t="s">
        <v>386</v>
      </c>
      <c r="F1746" t="s">
        <v>109</v>
      </c>
      <c r="G1746" t="s">
        <v>1197</v>
      </c>
      <c r="H1746" t="s">
        <v>1239</v>
      </c>
      <c r="I1746">
        <v>12629</v>
      </c>
      <c r="J1746" t="s">
        <v>109</v>
      </c>
      <c r="K1746" t="s">
        <v>6887</v>
      </c>
      <c r="L1746" t="s">
        <v>386</v>
      </c>
      <c r="M1746" t="s">
        <v>1193</v>
      </c>
      <c r="N1746">
        <v>12629</v>
      </c>
      <c r="O1746">
        <v>35</v>
      </c>
      <c r="Q1746" t="s">
        <v>6888</v>
      </c>
      <c r="R1746" t="s">
        <v>398</v>
      </c>
      <c r="S1746" t="s">
        <v>4594</v>
      </c>
      <c r="T1746">
        <v>470</v>
      </c>
      <c r="U1746">
        <v>0</v>
      </c>
      <c r="V1746" t="s">
        <v>4468</v>
      </c>
      <c r="W1746" t="s">
        <v>2186</v>
      </c>
      <c r="X1746">
        <v>396</v>
      </c>
      <c r="Y1746" t="s">
        <v>1317</v>
      </c>
      <c r="Z1746" t="s">
        <v>968</v>
      </c>
      <c r="AA1746" t="s">
        <v>387</v>
      </c>
      <c r="AB1746">
        <v>27000</v>
      </c>
      <c r="AC1746">
        <v>2154</v>
      </c>
      <c r="AD1746" t="s">
        <v>6889</v>
      </c>
      <c r="AE1746">
        <v>1032</v>
      </c>
      <c r="AF1746" t="s">
        <v>6890</v>
      </c>
      <c r="AG1746" t="s">
        <v>1244</v>
      </c>
      <c r="AH1746" t="s">
        <v>6891</v>
      </c>
    </row>
    <row r="1747" spans="1:34" x14ac:dyDescent="0.25">
      <c r="A1747">
        <v>1155</v>
      </c>
      <c r="C1747" s="185"/>
      <c r="E1747" t="s">
        <v>386</v>
      </c>
      <c r="F1747" t="s">
        <v>576</v>
      </c>
      <c r="G1747" t="s">
        <v>1238</v>
      </c>
      <c r="H1747" t="s">
        <v>4912</v>
      </c>
      <c r="I1747">
        <v>12806</v>
      </c>
      <c r="J1747" t="s">
        <v>576</v>
      </c>
      <c r="K1747" t="s">
        <v>6892</v>
      </c>
      <c r="L1747" t="s">
        <v>386</v>
      </c>
      <c r="M1747" t="s">
        <v>1184</v>
      </c>
      <c r="N1747">
        <v>12806</v>
      </c>
      <c r="O1747">
        <v>25</v>
      </c>
      <c r="Q1747" t="s">
        <v>6893</v>
      </c>
      <c r="R1747" t="s">
        <v>398</v>
      </c>
      <c r="T1747">
        <v>260</v>
      </c>
      <c r="V1747" t="s">
        <v>1216</v>
      </c>
      <c r="W1747" t="s">
        <v>3321</v>
      </c>
      <c r="X1747">
        <v>246</v>
      </c>
      <c r="Z1747" t="s">
        <v>4915</v>
      </c>
      <c r="AA1747" t="s">
        <v>387</v>
      </c>
      <c r="AB1747">
        <v>19000</v>
      </c>
      <c r="AC1747">
        <v>4784</v>
      </c>
      <c r="AD1747" t="s">
        <v>6894</v>
      </c>
      <c r="AE1747">
        <v>18</v>
      </c>
      <c r="AF1747" t="s">
        <v>1259</v>
      </c>
      <c r="AG1747" t="s">
        <v>6895</v>
      </c>
    </row>
    <row r="1748" spans="1:34" x14ac:dyDescent="0.25">
      <c r="A1748">
        <v>1149</v>
      </c>
      <c r="C1748" s="185"/>
      <c r="E1748" t="s">
        <v>386</v>
      </c>
      <c r="F1748" t="s">
        <v>5427</v>
      </c>
      <c r="G1748" t="s">
        <v>1238</v>
      </c>
      <c r="H1748" t="s">
        <v>5004</v>
      </c>
      <c r="I1748">
        <v>13432</v>
      </c>
      <c r="J1748" t="s">
        <v>6896</v>
      </c>
      <c r="K1748" t="s">
        <v>6897</v>
      </c>
      <c r="L1748" t="s">
        <v>386</v>
      </c>
      <c r="M1748" t="s">
        <v>1184</v>
      </c>
      <c r="N1748">
        <v>13431</v>
      </c>
      <c r="O1748">
        <v>0</v>
      </c>
      <c r="Q1748" t="s">
        <v>6898</v>
      </c>
      <c r="R1748" t="s">
        <v>398</v>
      </c>
      <c r="T1748">
        <v>35</v>
      </c>
      <c r="V1748" t="s">
        <v>2015</v>
      </c>
      <c r="W1748" t="s">
        <v>2067</v>
      </c>
      <c r="X1748">
        <v>304</v>
      </c>
      <c r="Z1748" t="s">
        <v>5007</v>
      </c>
      <c r="AA1748" t="s">
        <v>387</v>
      </c>
      <c r="AB1748">
        <v>0</v>
      </c>
      <c r="AC1748">
        <v>5039</v>
      </c>
      <c r="AD1748" t="s">
        <v>5427</v>
      </c>
      <c r="AE1748">
        <v>18</v>
      </c>
      <c r="AF1748" t="s">
        <v>1259</v>
      </c>
      <c r="AG1748" t="s">
        <v>1244</v>
      </c>
    </row>
    <row r="1749" spans="1:34" x14ac:dyDescent="0.25">
      <c r="A1749">
        <v>1</v>
      </c>
      <c r="C1749" s="185"/>
      <c r="E1749" t="s">
        <v>386</v>
      </c>
      <c r="F1749" t="s">
        <v>6899</v>
      </c>
      <c r="G1749" t="s">
        <v>1197</v>
      </c>
      <c r="H1749" t="s">
        <v>6900</v>
      </c>
      <c r="I1749">
        <v>14139</v>
      </c>
      <c r="J1749" t="s">
        <v>6899</v>
      </c>
      <c r="K1749" t="s">
        <v>6901</v>
      </c>
      <c r="L1749" t="s">
        <v>386</v>
      </c>
      <c r="M1749" t="s">
        <v>1193</v>
      </c>
      <c r="N1749">
        <v>14139</v>
      </c>
      <c r="O1749">
        <v>0</v>
      </c>
      <c r="Q1749" t="s">
        <v>6902</v>
      </c>
      <c r="R1749" t="s">
        <v>1208</v>
      </c>
      <c r="T1749">
        <v>571</v>
      </c>
      <c r="V1749" t="s">
        <v>2003</v>
      </c>
      <c r="W1749" t="s">
        <v>2073</v>
      </c>
      <c r="X1749">
        <v>372</v>
      </c>
      <c r="Z1749" t="s">
        <v>865</v>
      </c>
      <c r="AA1749" t="s">
        <v>387</v>
      </c>
      <c r="AB1749">
        <v>0</v>
      </c>
      <c r="AC1749">
        <v>246</v>
      </c>
      <c r="AD1749" t="s">
        <v>6780</v>
      </c>
      <c r="AE1749">
        <v>1720</v>
      </c>
      <c r="AF1749" t="s">
        <v>5929</v>
      </c>
      <c r="AG1749" t="s">
        <v>6903</v>
      </c>
      <c r="AH1749" t="s">
        <v>6904</v>
      </c>
    </row>
    <row r="1750" spans="1:34" x14ac:dyDescent="0.25">
      <c r="A1750">
        <v>1</v>
      </c>
      <c r="C1750" s="185"/>
      <c r="E1750" t="s">
        <v>386</v>
      </c>
      <c r="F1750" t="s">
        <v>6905</v>
      </c>
      <c r="G1750" t="s">
        <v>1197</v>
      </c>
      <c r="H1750" t="s">
        <v>3101</v>
      </c>
      <c r="I1750">
        <v>17079</v>
      </c>
      <c r="J1750" t="s">
        <v>6905</v>
      </c>
      <c r="K1750" t="s">
        <v>6905</v>
      </c>
      <c r="L1750" t="s">
        <v>386</v>
      </c>
      <c r="M1750" t="s">
        <v>1193</v>
      </c>
      <c r="N1750">
        <v>17079</v>
      </c>
      <c r="O1750">
        <v>0</v>
      </c>
      <c r="Q1750" t="s">
        <v>6906</v>
      </c>
      <c r="R1750" t="s">
        <v>1208</v>
      </c>
      <c r="T1750">
        <v>560</v>
      </c>
      <c r="V1750" t="s">
        <v>2602</v>
      </c>
      <c r="W1750" t="s">
        <v>1530</v>
      </c>
      <c r="X1750">
        <v>103</v>
      </c>
      <c r="Z1750" t="s">
        <v>865</v>
      </c>
      <c r="AA1750" t="s">
        <v>387</v>
      </c>
      <c r="AB1750">
        <v>0</v>
      </c>
      <c r="AC1750">
        <v>41</v>
      </c>
      <c r="AD1750" t="s">
        <v>3102</v>
      </c>
      <c r="AE1750">
        <v>143</v>
      </c>
      <c r="AF1750" t="s">
        <v>2604</v>
      </c>
      <c r="AG1750" t="s">
        <v>6907</v>
      </c>
    </row>
    <row r="1751" spans="1:34" x14ac:dyDescent="0.25">
      <c r="A1751">
        <v>1553</v>
      </c>
      <c r="C1751" s="185"/>
      <c r="E1751" t="s">
        <v>386</v>
      </c>
      <c r="F1751" t="s">
        <v>6908</v>
      </c>
      <c r="H1751" t="s">
        <v>1239</v>
      </c>
      <c r="I1751">
        <v>8737</v>
      </c>
      <c r="J1751" t="s">
        <v>6908</v>
      </c>
      <c r="K1751" t="s">
        <v>6909</v>
      </c>
      <c r="L1751" t="s">
        <v>386</v>
      </c>
      <c r="M1751" t="s">
        <v>1184</v>
      </c>
      <c r="N1751">
        <v>8737</v>
      </c>
      <c r="O1751">
        <v>0</v>
      </c>
      <c r="Q1751" t="s">
        <v>6910</v>
      </c>
      <c r="R1751" t="s">
        <v>6911</v>
      </c>
      <c r="T1751">
        <v>388</v>
      </c>
      <c r="V1751" t="s">
        <v>1712</v>
      </c>
      <c r="W1751" t="s">
        <v>1530</v>
      </c>
      <c r="X1751">
        <v>103</v>
      </c>
      <c r="Z1751" t="s">
        <v>968</v>
      </c>
      <c r="AA1751" t="s">
        <v>387</v>
      </c>
      <c r="AB1751">
        <v>0</v>
      </c>
      <c r="AC1751">
        <v>3502</v>
      </c>
      <c r="AD1751" t="s">
        <v>6908</v>
      </c>
      <c r="AE1751">
        <v>18</v>
      </c>
      <c r="AF1751" t="s">
        <v>1259</v>
      </c>
      <c r="AG1751" t="s">
        <v>1244</v>
      </c>
    </row>
    <row r="1752" spans="1:34" x14ac:dyDescent="0.25">
      <c r="A1752">
        <v>1483</v>
      </c>
      <c r="C1752" s="185"/>
      <c r="E1752" t="s">
        <v>386</v>
      </c>
      <c r="F1752" t="s">
        <v>15510</v>
      </c>
      <c r="G1752" t="s">
        <v>1197</v>
      </c>
      <c r="H1752" t="s">
        <v>15511</v>
      </c>
      <c r="I1752">
        <v>17783</v>
      </c>
      <c r="J1752" t="s">
        <v>15510</v>
      </c>
      <c r="K1752" t="s">
        <v>15512</v>
      </c>
      <c r="L1752" t="s">
        <v>386</v>
      </c>
      <c r="M1752" t="s">
        <v>1193</v>
      </c>
      <c r="N1752">
        <v>17783</v>
      </c>
      <c r="O1752">
        <v>76</v>
      </c>
      <c r="Q1752" t="s">
        <v>15513</v>
      </c>
      <c r="R1752" t="s">
        <v>398</v>
      </c>
      <c r="T1752">
        <v>220</v>
      </c>
      <c r="V1752" t="s">
        <v>1194</v>
      </c>
      <c r="W1752" t="s">
        <v>1216</v>
      </c>
      <c r="X1752">
        <v>260</v>
      </c>
      <c r="Z1752" t="s">
        <v>15514</v>
      </c>
      <c r="AA1752" t="s">
        <v>387</v>
      </c>
      <c r="AB1752">
        <v>0</v>
      </c>
      <c r="AC1752">
        <v>6640</v>
      </c>
      <c r="AD1752" t="s">
        <v>7992</v>
      </c>
      <c r="AE1752">
        <v>1720</v>
      </c>
      <c r="AF1752" t="s">
        <v>5929</v>
      </c>
      <c r="AG1752" t="s">
        <v>8582</v>
      </c>
    </row>
    <row r="1753" spans="1:34" x14ac:dyDescent="0.25">
      <c r="A1753">
        <v>1553</v>
      </c>
      <c r="C1753" s="185"/>
      <c r="D1753" t="s">
        <v>157</v>
      </c>
      <c r="E1753" t="s">
        <v>386</v>
      </c>
      <c r="F1753" t="s">
        <v>285</v>
      </c>
      <c r="G1753" t="s">
        <v>1238</v>
      </c>
      <c r="H1753" t="s">
        <v>1239</v>
      </c>
      <c r="I1753">
        <v>13181</v>
      </c>
      <c r="J1753" t="s">
        <v>285</v>
      </c>
      <c r="K1753" t="s">
        <v>6912</v>
      </c>
      <c r="L1753" t="s">
        <v>386</v>
      </c>
      <c r="M1753" t="s">
        <v>1184</v>
      </c>
      <c r="N1753">
        <v>13181</v>
      </c>
      <c r="O1753">
        <v>59</v>
      </c>
      <c r="Q1753" t="s">
        <v>6913</v>
      </c>
      <c r="R1753" t="s">
        <v>1208</v>
      </c>
      <c r="T1753">
        <v>259</v>
      </c>
      <c r="V1753" t="s">
        <v>1215</v>
      </c>
      <c r="W1753" t="s">
        <v>2107</v>
      </c>
      <c r="X1753">
        <v>272</v>
      </c>
      <c r="Z1753" t="s">
        <v>968</v>
      </c>
      <c r="AA1753" t="s">
        <v>387</v>
      </c>
      <c r="AB1753">
        <v>51000</v>
      </c>
      <c r="AC1753">
        <v>5552</v>
      </c>
      <c r="AD1753" t="s">
        <v>6914</v>
      </c>
      <c r="AE1753">
        <v>18</v>
      </c>
      <c r="AF1753" t="s">
        <v>1259</v>
      </c>
      <c r="AG1753" t="s">
        <v>1244</v>
      </c>
      <c r="AH1753" t="s">
        <v>6915</v>
      </c>
    </row>
    <row r="1754" spans="1:34" x14ac:dyDescent="0.25">
      <c r="A1754">
        <v>1</v>
      </c>
      <c r="C1754" s="185"/>
      <c r="E1754" t="s">
        <v>386</v>
      </c>
      <c r="F1754" t="s">
        <v>6916</v>
      </c>
      <c r="G1754" t="s">
        <v>1197</v>
      </c>
      <c r="H1754" t="s">
        <v>6343</v>
      </c>
      <c r="I1754">
        <v>17152</v>
      </c>
      <c r="J1754" t="s">
        <v>6916</v>
      </c>
      <c r="K1754" t="s">
        <v>6917</v>
      </c>
      <c r="L1754" t="s">
        <v>386</v>
      </c>
      <c r="M1754" t="s">
        <v>1193</v>
      </c>
      <c r="N1754">
        <v>17152</v>
      </c>
      <c r="O1754">
        <v>0</v>
      </c>
      <c r="Q1754" t="s">
        <v>6918</v>
      </c>
      <c r="T1754">
        <v>560</v>
      </c>
      <c r="V1754" t="s">
        <v>2602</v>
      </c>
      <c r="W1754" t="s">
        <v>2024</v>
      </c>
      <c r="X1754">
        <v>52</v>
      </c>
      <c r="Z1754" t="s">
        <v>865</v>
      </c>
      <c r="AA1754" t="s">
        <v>387</v>
      </c>
      <c r="AB1754">
        <v>0</v>
      </c>
      <c r="AC1754">
        <v>2527</v>
      </c>
      <c r="AD1754" t="s">
        <v>6919</v>
      </c>
      <c r="AE1754">
        <v>458</v>
      </c>
      <c r="AF1754" t="s">
        <v>2610</v>
      </c>
      <c r="AG1754" t="s">
        <v>6920</v>
      </c>
      <c r="AH1754" t="s">
        <v>6921</v>
      </c>
    </row>
    <row r="1755" spans="1:34" x14ac:dyDescent="0.25">
      <c r="A1755">
        <v>1</v>
      </c>
      <c r="C1755" s="185"/>
      <c r="E1755" t="s">
        <v>386</v>
      </c>
      <c r="F1755" t="s">
        <v>6922</v>
      </c>
      <c r="G1755" t="s">
        <v>1197</v>
      </c>
      <c r="H1755" t="s">
        <v>6923</v>
      </c>
      <c r="I1755">
        <v>12839</v>
      </c>
      <c r="J1755" t="s">
        <v>6922</v>
      </c>
      <c r="K1755" t="s">
        <v>6922</v>
      </c>
      <c r="L1755" t="s">
        <v>386</v>
      </c>
      <c r="M1755" t="s">
        <v>1193</v>
      </c>
      <c r="N1755">
        <v>12839</v>
      </c>
      <c r="O1755">
        <v>0</v>
      </c>
      <c r="Q1755" t="s">
        <v>6924</v>
      </c>
      <c r="R1755" t="s">
        <v>1208</v>
      </c>
      <c r="T1755">
        <v>571</v>
      </c>
      <c r="V1755" t="s">
        <v>2003</v>
      </c>
      <c r="W1755" t="s">
        <v>1216</v>
      </c>
      <c r="X1755">
        <v>260</v>
      </c>
      <c r="Z1755" t="s">
        <v>865</v>
      </c>
      <c r="AA1755" t="s">
        <v>387</v>
      </c>
      <c r="AB1755">
        <v>0</v>
      </c>
      <c r="AC1755">
        <v>537</v>
      </c>
      <c r="AD1755" t="s">
        <v>6925</v>
      </c>
      <c r="AE1755">
        <v>54</v>
      </c>
      <c r="AF1755" t="s">
        <v>3250</v>
      </c>
      <c r="AG1755" t="s">
        <v>5692</v>
      </c>
    </row>
    <row r="1756" spans="1:34" x14ac:dyDescent="0.25">
      <c r="A1756">
        <v>71</v>
      </c>
      <c r="C1756" s="185"/>
      <c r="D1756" t="s">
        <v>157</v>
      </c>
      <c r="E1756" t="s">
        <v>386</v>
      </c>
      <c r="F1756" t="s">
        <v>4934</v>
      </c>
      <c r="G1756" t="s">
        <v>1197</v>
      </c>
      <c r="H1756" t="s">
        <v>5635</v>
      </c>
      <c r="I1756">
        <v>12889</v>
      </c>
      <c r="J1756" t="s">
        <v>266</v>
      </c>
      <c r="K1756" t="s">
        <v>266</v>
      </c>
      <c r="L1756" t="s">
        <v>386</v>
      </c>
      <c r="M1756" t="s">
        <v>1193</v>
      </c>
      <c r="N1756">
        <v>15329</v>
      </c>
      <c r="O1756">
        <v>54</v>
      </c>
      <c r="Q1756" t="s">
        <v>6926</v>
      </c>
      <c r="R1756" t="s">
        <v>398</v>
      </c>
      <c r="T1756">
        <v>272</v>
      </c>
      <c r="V1756" t="s">
        <v>2107</v>
      </c>
      <c r="W1756" t="s">
        <v>2073</v>
      </c>
      <c r="X1756">
        <v>372</v>
      </c>
      <c r="Z1756" t="s">
        <v>5638</v>
      </c>
      <c r="AA1756" t="s">
        <v>387</v>
      </c>
      <c r="AB1756">
        <v>0</v>
      </c>
      <c r="AC1756">
        <v>3485</v>
      </c>
      <c r="AD1756" t="s">
        <v>6927</v>
      </c>
      <c r="AE1756">
        <v>18</v>
      </c>
      <c r="AF1756" t="s">
        <v>1259</v>
      </c>
      <c r="AG1756" t="s">
        <v>1244</v>
      </c>
      <c r="AH1756" t="s">
        <v>6928</v>
      </c>
    </row>
    <row r="1757" spans="1:34" x14ac:dyDescent="0.25">
      <c r="A1757">
        <v>1746</v>
      </c>
      <c r="C1757" s="185"/>
      <c r="E1757" t="s">
        <v>386</v>
      </c>
      <c r="F1757" t="s">
        <v>6929</v>
      </c>
      <c r="G1757" t="s">
        <v>1238</v>
      </c>
      <c r="H1757" t="s">
        <v>6930</v>
      </c>
      <c r="I1757">
        <v>12740</v>
      </c>
      <c r="J1757" t="s">
        <v>6929</v>
      </c>
      <c r="K1757" t="s">
        <v>6931</v>
      </c>
      <c r="L1757" t="s">
        <v>386</v>
      </c>
      <c r="M1757" t="s">
        <v>1184</v>
      </c>
      <c r="N1757">
        <v>12740</v>
      </c>
      <c r="O1757">
        <v>0</v>
      </c>
      <c r="Q1757" t="s">
        <v>6932</v>
      </c>
      <c r="R1757" t="s">
        <v>398</v>
      </c>
      <c r="T1757">
        <v>388</v>
      </c>
      <c r="V1757" t="s">
        <v>1712</v>
      </c>
      <c r="W1757" t="s">
        <v>2067</v>
      </c>
      <c r="X1757">
        <v>304</v>
      </c>
      <c r="Z1757" t="s">
        <v>5352</v>
      </c>
      <c r="AA1757" t="s">
        <v>387</v>
      </c>
      <c r="AB1757">
        <v>0</v>
      </c>
      <c r="AC1757">
        <v>252</v>
      </c>
      <c r="AD1757" t="s">
        <v>6933</v>
      </c>
      <c r="AE1757">
        <v>18</v>
      </c>
      <c r="AF1757" t="s">
        <v>1259</v>
      </c>
      <c r="AG1757" t="s">
        <v>1931</v>
      </c>
    </row>
    <row r="1758" spans="1:34" x14ac:dyDescent="0.25">
      <c r="A1758">
        <v>1</v>
      </c>
      <c r="C1758" s="185"/>
      <c r="E1758" t="s">
        <v>386</v>
      </c>
      <c r="F1758" t="s">
        <v>6934</v>
      </c>
      <c r="G1758" t="s">
        <v>1197</v>
      </c>
      <c r="H1758" t="s">
        <v>6935</v>
      </c>
      <c r="I1758">
        <v>12445</v>
      </c>
      <c r="J1758" t="s">
        <v>6934</v>
      </c>
      <c r="K1758" t="s">
        <v>6936</v>
      </c>
      <c r="L1758" t="s">
        <v>386</v>
      </c>
      <c r="M1758" t="s">
        <v>1193</v>
      </c>
      <c r="N1758">
        <v>12445</v>
      </c>
      <c r="O1758">
        <v>0</v>
      </c>
      <c r="Q1758" t="s">
        <v>6937</v>
      </c>
      <c r="R1758" t="s">
        <v>1208</v>
      </c>
      <c r="T1758">
        <v>571</v>
      </c>
      <c r="V1758" t="s">
        <v>2003</v>
      </c>
      <c r="W1758" t="s">
        <v>1216</v>
      </c>
      <c r="X1758">
        <v>260</v>
      </c>
      <c r="Z1758" t="s">
        <v>865</v>
      </c>
      <c r="AA1758" t="s">
        <v>387</v>
      </c>
      <c r="AB1758">
        <v>0</v>
      </c>
      <c r="AC1758">
        <v>1036</v>
      </c>
      <c r="AD1758" t="s">
        <v>6938</v>
      </c>
      <c r="AE1758">
        <v>515</v>
      </c>
      <c r="AF1758" t="s">
        <v>3591</v>
      </c>
      <c r="AG1758" t="s">
        <v>6939</v>
      </c>
      <c r="AH1758" t="s">
        <v>6940</v>
      </c>
    </row>
    <row r="1759" spans="1:34" x14ac:dyDescent="0.25">
      <c r="A1759">
        <v>1830</v>
      </c>
      <c r="C1759" s="185"/>
      <c r="E1759" t="s">
        <v>386</v>
      </c>
      <c r="F1759" t="s">
        <v>6941</v>
      </c>
      <c r="G1759" t="s">
        <v>1197</v>
      </c>
      <c r="H1759" t="s">
        <v>5862</v>
      </c>
      <c r="I1759">
        <v>10163</v>
      </c>
      <c r="J1759" t="s">
        <v>6941</v>
      </c>
      <c r="K1759" t="s">
        <v>6942</v>
      </c>
      <c r="L1759" t="s">
        <v>386</v>
      </c>
      <c r="M1759" t="s">
        <v>1193</v>
      </c>
      <c r="N1759">
        <v>10163</v>
      </c>
      <c r="O1759">
        <v>0</v>
      </c>
      <c r="Q1759" t="s">
        <v>6943</v>
      </c>
      <c r="R1759" t="s">
        <v>1208</v>
      </c>
      <c r="T1759">
        <v>146</v>
      </c>
      <c r="V1759" t="s">
        <v>2727</v>
      </c>
      <c r="Z1759" t="s">
        <v>5865</v>
      </c>
      <c r="AA1759" t="s">
        <v>387</v>
      </c>
      <c r="AB1759">
        <v>0</v>
      </c>
      <c r="AC1759">
        <v>421</v>
      </c>
      <c r="AD1759" t="s">
        <v>5159</v>
      </c>
      <c r="AE1759">
        <v>1</v>
      </c>
      <c r="AF1759" t="s">
        <v>1922</v>
      </c>
      <c r="AG1759" t="s">
        <v>3822</v>
      </c>
      <c r="AH1759" t="s">
        <v>6944</v>
      </c>
    </row>
    <row r="1760" spans="1:34" x14ac:dyDescent="0.25">
      <c r="A1760">
        <v>53</v>
      </c>
      <c r="C1760" s="185"/>
      <c r="E1760" t="s">
        <v>386</v>
      </c>
      <c r="F1760" t="s">
        <v>6945</v>
      </c>
      <c r="G1760" t="s">
        <v>1197</v>
      </c>
      <c r="H1760" t="s">
        <v>6946</v>
      </c>
      <c r="I1760">
        <v>13167</v>
      </c>
      <c r="J1760" t="s">
        <v>6945</v>
      </c>
      <c r="K1760" t="s">
        <v>6947</v>
      </c>
      <c r="L1760" t="s">
        <v>386</v>
      </c>
      <c r="M1760" t="s">
        <v>1193</v>
      </c>
      <c r="N1760">
        <v>13167</v>
      </c>
      <c r="O1760">
        <v>0</v>
      </c>
      <c r="Q1760" t="s">
        <v>6948</v>
      </c>
      <c r="R1760" t="s">
        <v>398</v>
      </c>
      <c r="T1760">
        <v>571</v>
      </c>
      <c r="V1760" t="s">
        <v>2003</v>
      </c>
      <c r="W1760" t="s">
        <v>1199</v>
      </c>
      <c r="X1760">
        <v>200</v>
      </c>
      <c r="Z1760" t="s">
        <v>943</v>
      </c>
      <c r="AA1760" t="s">
        <v>387</v>
      </c>
      <c r="AB1760">
        <v>0</v>
      </c>
      <c r="AC1760">
        <v>4927</v>
      </c>
      <c r="AD1760" t="s">
        <v>6949</v>
      </c>
      <c r="AE1760">
        <v>480</v>
      </c>
      <c r="AF1760" t="s">
        <v>2942</v>
      </c>
      <c r="AG1760" t="s">
        <v>4000</v>
      </c>
      <c r="AH1760" t="s">
        <v>6950</v>
      </c>
    </row>
    <row r="1761" spans="1:34" x14ac:dyDescent="0.25">
      <c r="A1761">
        <v>1</v>
      </c>
      <c r="C1761" s="185"/>
      <c r="E1761" t="s">
        <v>386</v>
      </c>
      <c r="F1761" t="s">
        <v>6951</v>
      </c>
      <c r="G1761" t="s">
        <v>1197</v>
      </c>
      <c r="H1761" t="s">
        <v>6952</v>
      </c>
      <c r="I1761">
        <v>11492</v>
      </c>
      <c r="J1761" t="s">
        <v>6951</v>
      </c>
      <c r="K1761" t="s">
        <v>6953</v>
      </c>
      <c r="L1761" t="s">
        <v>386</v>
      </c>
      <c r="M1761" t="s">
        <v>1193</v>
      </c>
      <c r="N1761">
        <v>11492</v>
      </c>
      <c r="O1761">
        <v>0</v>
      </c>
      <c r="Q1761" t="s">
        <v>6954</v>
      </c>
      <c r="T1761">
        <v>260</v>
      </c>
      <c r="V1761" t="s">
        <v>1216</v>
      </c>
      <c r="W1761" t="s">
        <v>1216</v>
      </c>
      <c r="X1761">
        <v>260</v>
      </c>
      <c r="Z1761" t="s">
        <v>865</v>
      </c>
      <c r="AA1761" t="s">
        <v>387</v>
      </c>
      <c r="AB1761">
        <v>0</v>
      </c>
      <c r="AC1761">
        <v>6620</v>
      </c>
      <c r="AD1761" t="s">
        <v>6955</v>
      </c>
      <c r="AE1761">
        <v>827</v>
      </c>
      <c r="AF1761" t="s">
        <v>1195</v>
      </c>
      <c r="AG1761" t="s">
        <v>6956</v>
      </c>
      <c r="AH1761" t="s">
        <v>6957</v>
      </c>
    </row>
    <row r="1762" spans="1:34" x14ac:dyDescent="0.25">
      <c r="A1762">
        <v>1</v>
      </c>
      <c r="C1762" s="185"/>
      <c r="E1762" t="s">
        <v>386</v>
      </c>
      <c r="F1762" t="s">
        <v>6958</v>
      </c>
      <c r="G1762" t="s">
        <v>1197</v>
      </c>
      <c r="H1762" t="s">
        <v>6959</v>
      </c>
      <c r="I1762">
        <v>14701</v>
      </c>
      <c r="J1762" t="s">
        <v>6958</v>
      </c>
      <c r="K1762" t="s">
        <v>6958</v>
      </c>
      <c r="L1762" t="s">
        <v>386</v>
      </c>
      <c r="M1762" t="s">
        <v>1193</v>
      </c>
      <c r="N1762">
        <v>14701</v>
      </c>
      <c r="O1762">
        <v>0</v>
      </c>
      <c r="Q1762" t="s">
        <v>6960</v>
      </c>
      <c r="R1762" t="s">
        <v>1208</v>
      </c>
      <c r="T1762">
        <v>103</v>
      </c>
      <c r="V1762" t="s">
        <v>1530</v>
      </c>
      <c r="W1762" t="s">
        <v>1215</v>
      </c>
      <c r="X1762">
        <v>259</v>
      </c>
      <c r="Z1762" t="s">
        <v>865</v>
      </c>
      <c r="AA1762" t="s">
        <v>387</v>
      </c>
      <c r="AB1762">
        <v>0</v>
      </c>
      <c r="AC1762">
        <v>5582</v>
      </c>
      <c r="AD1762" t="s">
        <v>6961</v>
      </c>
      <c r="AE1762">
        <v>537</v>
      </c>
      <c r="AF1762" t="s">
        <v>5512</v>
      </c>
      <c r="AG1762" t="s">
        <v>6962</v>
      </c>
      <c r="AH1762" t="s">
        <v>6963</v>
      </c>
    </row>
    <row r="1763" spans="1:34" x14ac:dyDescent="0.25">
      <c r="A1763">
        <v>2151</v>
      </c>
      <c r="C1763" s="185"/>
      <c r="E1763" t="s">
        <v>386</v>
      </c>
      <c r="F1763" t="s">
        <v>6964</v>
      </c>
      <c r="G1763" t="s">
        <v>1238</v>
      </c>
      <c r="H1763" t="s">
        <v>5142</v>
      </c>
      <c r="I1763">
        <v>15716</v>
      </c>
      <c r="J1763" t="s">
        <v>6964</v>
      </c>
      <c r="K1763" t="s">
        <v>6965</v>
      </c>
      <c r="L1763" t="s">
        <v>386</v>
      </c>
      <c r="M1763" t="s">
        <v>1184</v>
      </c>
      <c r="N1763">
        <v>15716</v>
      </c>
      <c r="O1763">
        <v>0</v>
      </c>
      <c r="Q1763" t="s">
        <v>6966</v>
      </c>
      <c r="T1763">
        <v>260</v>
      </c>
      <c r="V1763" t="s">
        <v>1216</v>
      </c>
      <c r="W1763" t="s">
        <v>1216</v>
      </c>
      <c r="X1763">
        <v>260</v>
      </c>
      <c r="Z1763" t="s">
        <v>5145</v>
      </c>
      <c r="AA1763" t="s">
        <v>387</v>
      </c>
      <c r="AB1763">
        <v>0</v>
      </c>
      <c r="AC1763">
        <v>2023</v>
      </c>
      <c r="AD1763" t="s">
        <v>6967</v>
      </c>
      <c r="AE1763">
        <v>18</v>
      </c>
      <c r="AF1763" t="s">
        <v>1259</v>
      </c>
      <c r="AG1763" t="s">
        <v>1244</v>
      </c>
    </row>
    <row r="1764" spans="1:34" x14ac:dyDescent="0.25">
      <c r="A1764">
        <v>1785</v>
      </c>
      <c r="C1764" s="185"/>
      <c r="E1764" t="s">
        <v>386</v>
      </c>
      <c r="F1764" t="s">
        <v>6968</v>
      </c>
      <c r="G1764" t="s">
        <v>1238</v>
      </c>
      <c r="H1764" t="s">
        <v>4981</v>
      </c>
      <c r="I1764">
        <v>12726</v>
      </c>
      <c r="J1764" t="s">
        <v>6968</v>
      </c>
      <c r="K1764" t="s">
        <v>6969</v>
      </c>
      <c r="L1764" t="s">
        <v>386</v>
      </c>
      <c r="M1764" t="s">
        <v>1184</v>
      </c>
      <c r="N1764">
        <v>12726</v>
      </c>
      <c r="O1764">
        <v>0</v>
      </c>
      <c r="Q1764" t="s">
        <v>6970</v>
      </c>
      <c r="R1764" t="s">
        <v>398</v>
      </c>
      <c r="T1764">
        <v>571</v>
      </c>
      <c r="V1764" t="s">
        <v>2003</v>
      </c>
      <c r="W1764" t="s">
        <v>2024</v>
      </c>
      <c r="X1764">
        <v>52</v>
      </c>
      <c r="Z1764" t="s">
        <v>4983</v>
      </c>
      <c r="AA1764" t="s">
        <v>387</v>
      </c>
      <c r="AB1764">
        <v>0</v>
      </c>
      <c r="AC1764">
        <v>4757</v>
      </c>
      <c r="AD1764" t="s">
        <v>6968</v>
      </c>
      <c r="AE1764">
        <v>18</v>
      </c>
      <c r="AF1764" t="s">
        <v>1259</v>
      </c>
      <c r="AG1764" t="s">
        <v>1244</v>
      </c>
    </row>
    <row r="1765" spans="1:34" x14ac:dyDescent="0.25">
      <c r="A1765">
        <v>676</v>
      </c>
      <c r="C1765" s="185"/>
      <c r="E1765" t="s">
        <v>386</v>
      </c>
      <c r="F1765" t="s">
        <v>6971</v>
      </c>
      <c r="G1765" t="s">
        <v>1197</v>
      </c>
      <c r="H1765" t="s">
        <v>6972</v>
      </c>
      <c r="I1765">
        <v>13914</v>
      </c>
      <c r="J1765" t="s">
        <v>6971</v>
      </c>
      <c r="K1765" t="s">
        <v>6973</v>
      </c>
      <c r="L1765" t="s">
        <v>386</v>
      </c>
      <c r="M1765" t="s">
        <v>1193</v>
      </c>
      <c r="N1765">
        <v>13914</v>
      </c>
      <c r="O1765">
        <v>0</v>
      </c>
      <c r="Q1765" t="s">
        <v>6974</v>
      </c>
      <c r="R1765" t="s">
        <v>1208</v>
      </c>
      <c r="T1765">
        <v>571</v>
      </c>
      <c r="V1765" t="s">
        <v>2003</v>
      </c>
      <c r="W1765" t="s">
        <v>1530</v>
      </c>
      <c r="X1765">
        <v>103</v>
      </c>
      <c r="Z1765" t="s">
        <v>6975</v>
      </c>
      <c r="AA1765" t="s">
        <v>387</v>
      </c>
      <c r="AB1765">
        <v>0</v>
      </c>
      <c r="AC1765">
        <v>2550</v>
      </c>
      <c r="AD1765" t="s">
        <v>6619</v>
      </c>
      <c r="AE1765">
        <v>18</v>
      </c>
      <c r="AF1765" t="s">
        <v>1259</v>
      </c>
      <c r="AG1765" t="s">
        <v>1244</v>
      </c>
      <c r="AH1765" t="s">
        <v>6976</v>
      </c>
    </row>
    <row r="1766" spans="1:34" x14ac:dyDescent="0.25">
      <c r="A1766">
        <v>25</v>
      </c>
      <c r="C1766" s="185"/>
      <c r="D1766" t="s">
        <v>157</v>
      </c>
      <c r="E1766" t="s">
        <v>386</v>
      </c>
      <c r="F1766" t="s">
        <v>6977</v>
      </c>
      <c r="G1766" t="s">
        <v>1197</v>
      </c>
      <c r="H1766" t="s">
        <v>6978</v>
      </c>
      <c r="I1766">
        <v>10450</v>
      </c>
      <c r="J1766" t="s">
        <v>6977</v>
      </c>
      <c r="K1766" t="s">
        <v>6977</v>
      </c>
      <c r="L1766" t="s">
        <v>386</v>
      </c>
      <c r="M1766" t="s">
        <v>1193</v>
      </c>
      <c r="N1766">
        <v>10450</v>
      </c>
      <c r="O1766">
        <v>24</v>
      </c>
      <c r="Q1766" t="s">
        <v>6979</v>
      </c>
      <c r="T1766">
        <v>259</v>
      </c>
      <c r="V1766" t="s">
        <v>1215</v>
      </c>
      <c r="Z1766" t="s">
        <v>857</v>
      </c>
      <c r="AA1766" t="s">
        <v>387</v>
      </c>
      <c r="AB1766">
        <v>0</v>
      </c>
      <c r="AC1766">
        <v>4045</v>
      </c>
      <c r="AD1766" t="s">
        <v>6980</v>
      </c>
      <c r="AE1766">
        <v>1</v>
      </c>
      <c r="AF1766" t="s">
        <v>1922</v>
      </c>
      <c r="AG1766" t="s">
        <v>6307</v>
      </c>
      <c r="AH1766" t="s">
        <v>6981</v>
      </c>
    </row>
    <row r="1767" spans="1:34" x14ac:dyDescent="0.25">
      <c r="A1767">
        <v>2013</v>
      </c>
      <c r="C1767" s="185"/>
      <c r="E1767" t="s">
        <v>386</v>
      </c>
      <c r="F1767" t="s">
        <v>6982</v>
      </c>
      <c r="G1767" t="s">
        <v>1238</v>
      </c>
      <c r="H1767" t="s">
        <v>6983</v>
      </c>
      <c r="I1767">
        <v>12657</v>
      </c>
      <c r="J1767" t="s">
        <v>6982</v>
      </c>
      <c r="K1767" t="s">
        <v>6984</v>
      </c>
      <c r="L1767" t="s">
        <v>386</v>
      </c>
      <c r="M1767" t="s">
        <v>1184</v>
      </c>
      <c r="N1767">
        <v>12657</v>
      </c>
      <c r="O1767">
        <v>0</v>
      </c>
      <c r="Q1767" t="s">
        <v>6985</v>
      </c>
      <c r="R1767" t="s">
        <v>398</v>
      </c>
      <c r="T1767">
        <v>388</v>
      </c>
      <c r="V1767" t="s">
        <v>1712</v>
      </c>
      <c r="W1767" t="s">
        <v>2067</v>
      </c>
      <c r="X1767">
        <v>304</v>
      </c>
      <c r="Z1767" t="s">
        <v>6986</v>
      </c>
      <c r="AA1767" t="s">
        <v>387</v>
      </c>
      <c r="AB1767">
        <v>0</v>
      </c>
      <c r="AC1767">
        <v>4727</v>
      </c>
      <c r="AD1767" t="s">
        <v>6987</v>
      </c>
      <c r="AE1767">
        <v>18</v>
      </c>
      <c r="AF1767" t="s">
        <v>1259</v>
      </c>
      <c r="AG1767" t="s">
        <v>1244</v>
      </c>
    </row>
    <row r="1768" spans="1:34" x14ac:dyDescent="0.25">
      <c r="A1768">
        <v>6</v>
      </c>
      <c r="C1768" s="185"/>
      <c r="E1768" t="s">
        <v>386</v>
      </c>
      <c r="F1768" t="s">
        <v>6988</v>
      </c>
      <c r="G1768" t="s">
        <v>1197</v>
      </c>
      <c r="H1768" t="s">
        <v>6989</v>
      </c>
      <c r="I1768">
        <v>15895</v>
      </c>
      <c r="J1768" t="s">
        <v>6988</v>
      </c>
      <c r="K1768" t="s">
        <v>6990</v>
      </c>
      <c r="L1768" t="s">
        <v>386</v>
      </c>
      <c r="M1768" t="s">
        <v>1193</v>
      </c>
      <c r="N1768">
        <v>15895</v>
      </c>
      <c r="O1768">
        <v>0</v>
      </c>
      <c r="Q1768" t="s">
        <v>6991</v>
      </c>
      <c r="R1768" t="s">
        <v>1208</v>
      </c>
      <c r="T1768">
        <v>571</v>
      </c>
      <c r="V1768" t="s">
        <v>2003</v>
      </c>
      <c r="W1768" t="s">
        <v>1530</v>
      </c>
      <c r="X1768">
        <v>103</v>
      </c>
      <c r="Z1768" t="s">
        <v>892</v>
      </c>
      <c r="AA1768" t="s">
        <v>387</v>
      </c>
      <c r="AB1768">
        <v>0</v>
      </c>
      <c r="AC1768">
        <v>5989</v>
      </c>
      <c r="AD1768" t="s">
        <v>6992</v>
      </c>
      <c r="AE1768">
        <v>247</v>
      </c>
      <c r="AF1768" t="s">
        <v>6461</v>
      </c>
      <c r="AG1768" t="s">
        <v>6993</v>
      </c>
      <c r="AH1768" t="s">
        <v>6994</v>
      </c>
    </row>
    <row r="1769" spans="1:34" x14ac:dyDescent="0.25">
      <c r="A1769">
        <v>1</v>
      </c>
      <c r="C1769" s="185"/>
      <c r="E1769" t="s">
        <v>386</v>
      </c>
      <c r="F1769" t="s">
        <v>6995</v>
      </c>
      <c r="G1769" t="s">
        <v>1197</v>
      </c>
      <c r="H1769" t="s">
        <v>6996</v>
      </c>
      <c r="I1769">
        <v>14199</v>
      </c>
      <c r="J1769" t="s">
        <v>6995</v>
      </c>
      <c r="K1769" t="s">
        <v>6997</v>
      </c>
      <c r="L1769" t="s">
        <v>386</v>
      </c>
      <c r="M1769" t="s">
        <v>1193</v>
      </c>
      <c r="N1769">
        <v>14199</v>
      </c>
      <c r="O1769">
        <v>0</v>
      </c>
      <c r="Q1769" t="s">
        <v>6998</v>
      </c>
      <c r="R1769" t="s">
        <v>1208</v>
      </c>
      <c r="T1769">
        <v>260</v>
      </c>
      <c r="V1769" t="s">
        <v>1216</v>
      </c>
      <c r="W1769" t="s">
        <v>1216</v>
      </c>
      <c r="X1769">
        <v>260</v>
      </c>
      <c r="Z1769" t="s">
        <v>865</v>
      </c>
      <c r="AA1769" t="s">
        <v>387</v>
      </c>
      <c r="AB1769">
        <v>0</v>
      </c>
      <c r="AC1769">
        <v>5369</v>
      </c>
      <c r="AD1769" t="s">
        <v>6999</v>
      </c>
      <c r="AE1769">
        <v>2495</v>
      </c>
      <c r="AF1769" t="s">
        <v>7000</v>
      </c>
      <c r="AG1769" t="s">
        <v>2379</v>
      </c>
      <c r="AH1769" t="s">
        <v>7001</v>
      </c>
    </row>
    <row r="1770" spans="1:34" x14ac:dyDescent="0.25">
      <c r="A1770">
        <v>676</v>
      </c>
      <c r="C1770" s="185"/>
      <c r="E1770" t="s">
        <v>386</v>
      </c>
      <c r="F1770" t="s">
        <v>7002</v>
      </c>
      <c r="G1770" t="s">
        <v>1238</v>
      </c>
      <c r="H1770" t="s">
        <v>6972</v>
      </c>
      <c r="I1770">
        <v>16828</v>
      </c>
      <c r="J1770" t="s">
        <v>7002</v>
      </c>
      <c r="K1770" t="s">
        <v>7003</v>
      </c>
      <c r="L1770" t="s">
        <v>386</v>
      </c>
      <c r="M1770" t="s">
        <v>1184</v>
      </c>
      <c r="N1770">
        <v>16828</v>
      </c>
      <c r="O1770">
        <v>25</v>
      </c>
      <c r="Q1770" t="s">
        <v>7004</v>
      </c>
      <c r="R1770" t="s">
        <v>398</v>
      </c>
      <c r="T1770">
        <v>220</v>
      </c>
      <c r="V1770" t="s">
        <v>1194</v>
      </c>
      <c r="W1770" t="s">
        <v>1216</v>
      </c>
      <c r="X1770">
        <v>260</v>
      </c>
      <c r="Z1770" t="s">
        <v>6975</v>
      </c>
      <c r="AA1770" t="s">
        <v>387</v>
      </c>
      <c r="AB1770">
        <v>0</v>
      </c>
      <c r="AC1770">
        <v>2550</v>
      </c>
      <c r="AD1770" t="s">
        <v>6619</v>
      </c>
      <c r="AE1770">
        <v>18</v>
      </c>
      <c r="AF1770" t="s">
        <v>1259</v>
      </c>
      <c r="AG1770" t="s">
        <v>1244</v>
      </c>
      <c r="AH1770" t="s">
        <v>7005</v>
      </c>
    </row>
    <row r="1771" spans="1:34" x14ac:dyDescent="0.25">
      <c r="A1771">
        <v>95</v>
      </c>
      <c r="C1771" s="185"/>
      <c r="E1771" t="s">
        <v>386</v>
      </c>
      <c r="F1771" t="s">
        <v>7006</v>
      </c>
      <c r="G1771" t="s">
        <v>1197</v>
      </c>
      <c r="H1771" t="s">
        <v>7007</v>
      </c>
      <c r="I1771">
        <v>12610</v>
      </c>
      <c r="J1771" t="s">
        <v>7006</v>
      </c>
      <c r="K1771" t="s">
        <v>7006</v>
      </c>
      <c r="L1771" t="s">
        <v>386</v>
      </c>
      <c r="M1771" t="s">
        <v>1193</v>
      </c>
      <c r="N1771">
        <v>12610</v>
      </c>
      <c r="O1771">
        <v>0</v>
      </c>
      <c r="Q1771" t="s">
        <v>7008</v>
      </c>
      <c r="R1771" t="s">
        <v>1208</v>
      </c>
      <c r="T1771">
        <v>340</v>
      </c>
      <c r="V1771" t="s">
        <v>1200</v>
      </c>
      <c r="W1771" t="s">
        <v>2015</v>
      </c>
      <c r="X1771">
        <v>35</v>
      </c>
      <c r="Z1771" t="s">
        <v>952</v>
      </c>
      <c r="AA1771" t="s">
        <v>387</v>
      </c>
      <c r="AB1771">
        <v>0</v>
      </c>
      <c r="AC1771">
        <v>6404</v>
      </c>
      <c r="AD1771" t="s">
        <v>7009</v>
      </c>
      <c r="AE1771">
        <v>7</v>
      </c>
      <c r="AF1771" t="s">
        <v>5878</v>
      </c>
      <c r="AG1771" t="s">
        <v>7010</v>
      </c>
      <c r="AH1771" t="s">
        <v>4789</v>
      </c>
    </row>
    <row r="1772" spans="1:34" x14ac:dyDescent="0.25">
      <c r="A1772">
        <v>1</v>
      </c>
      <c r="C1772" s="185"/>
      <c r="E1772" t="s">
        <v>386</v>
      </c>
      <c r="F1772" t="s">
        <v>7011</v>
      </c>
      <c r="G1772" t="s">
        <v>1197</v>
      </c>
      <c r="H1772" t="s">
        <v>1229</v>
      </c>
      <c r="I1772">
        <v>11389</v>
      </c>
      <c r="J1772" t="s">
        <v>7011</v>
      </c>
      <c r="K1772" t="s">
        <v>3194</v>
      </c>
      <c r="L1772" t="s">
        <v>386</v>
      </c>
      <c r="M1772" t="s">
        <v>1193</v>
      </c>
      <c r="N1772">
        <v>11389</v>
      </c>
      <c r="O1772">
        <v>0</v>
      </c>
      <c r="Q1772" t="s">
        <v>7012</v>
      </c>
      <c r="T1772">
        <v>496</v>
      </c>
      <c r="V1772" t="s">
        <v>2246</v>
      </c>
      <c r="W1772" t="s">
        <v>1216</v>
      </c>
      <c r="X1772">
        <v>260</v>
      </c>
      <c r="Z1772" t="s">
        <v>865</v>
      </c>
      <c r="AA1772" t="s">
        <v>387</v>
      </c>
      <c r="AB1772">
        <v>0</v>
      </c>
      <c r="AC1772">
        <v>8</v>
      </c>
      <c r="AD1772" t="s">
        <v>1234</v>
      </c>
      <c r="AE1772">
        <v>138</v>
      </c>
      <c r="AF1772" t="s">
        <v>2509</v>
      </c>
      <c r="AG1772" t="s">
        <v>1236</v>
      </c>
    </row>
    <row r="1773" spans="1:34" x14ac:dyDescent="0.25">
      <c r="A1773">
        <v>1</v>
      </c>
      <c r="C1773" s="185"/>
      <c r="D1773" t="s">
        <v>157</v>
      </c>
      <c r="E1773" t="s">
        <v>386</v>
      </c>
      <c r="F1773" t="s">
        <v>7013</v>
      </c>
      <c r="G1773" t="s">
        <v>1197</v>
      </c>
      <c r="H1773" t="s">
        <v>1247</v>
      </c>
      <c r="I1773">
        <v>11390</v>
      </c>
      <c r="J1773" t="s">
        <v>7013</v>
      </c>
      <c r="K1773" t="s">
        <v>3194</v>
      </c>
      <c r="L1773" t="s">
        <v>386</v>
      </c>
      <c r="M1773" t="s">
        <v>1193</v>
      </c>
      <c r="N1773">
        <v>11390</v>
      </c>
      <c r="O1773">
        <v>0</v>
      </c>
      <c r="Q1773" t="s">
        <v>7014</v>
      </c>
      <c r="T1773">
        <v>340</v>
      </c>
      <c r="V1773" t="s">
        <v>1200</v>
      </c>
      <c r="W1773" t="s">
        <v>1530</v>
      </c>
      <c r="X1773">
        <v>103</v>
      </c>
      <c r="Z1773" t="s">
        <v>865</v>
      </c>
      <c r="AA1773" t="s">
        <v>387</v>
      </c>
      <c r="AB1773">
        <v>0</v>
      </c>
      <c r="AC1773">
        <v>4588</v>
      </c>
      <c r="AD1773" t="s">
        <v>7015</v>
      </c>
      <c r="AE1773">
        <v>138</v>
      </c>
      <c r="AF1773" t="s">
        <v>2509</v>
      </c>
      <c r="AG1773" t="s">
        <v>1251</v>
      </c>
      <c r="AH1773" t="s">
        <v>1252</v>
      </c>
    </row>
    <row r="1774" spans="1:34" x14ac:dyDescent="0.25">
      <c r="A1774">
        <v>1</v>
      </c>
      <c r="C1774" s="185"/>
      <c r="D1774" t="s">
        <v>24</v>
      </c>
      <c r="E1774" t="s">
        <v>386</v>
      </c>
      <c r="F1774" t="s">
        <v>3190</v>
      </c>
      <c r="G1774" t="s">
        <v>1197</v>
      </c>
      <c r="H1774" t="s">
        <v>1710</v>
      </c>
      <c r="I1774">
        <v>11388</v>
      </c>
      <c r="J1774" t="s">
        <v>3190</v>
      </c>
      <c r="K1774" t="s">
        <v>3194</v>
      </c>
      <c r="L1774" t="s">
        <v>386</v>
      </c>
      <c r="M1774" t="s">
        <v>1193</v>
      </c>
      <c r="N1774">
        <v>11388</v>
      </c>
      <c r="O1774">
        <v>0</v>
      </c>
      <c r="Q1774" t="s">
        <v>7016</v>
      </c>
      <c r="T1774">
        <v>340</v>
      </c>
      <c r="V1774" t="s">
        <v>1200</v>
      </c>
      <c r="W1774" t="s">
        <v>1199</v>
      </c>
      <c r="X1774">
        <v>200</v>
      </c>
      <c r="Z1774" t="s">
        <v>865</v>
      </c>
      <c r="AA1774" t="s">
        <v>387</v>
      </c>
      <c r="AB1774">
        <v>0</v>
      </c>
      <c r="AC1774">
        <v>937</v>
      </c>
      <c r="AD1774" t="s">
        <v>2508</v>
      </c>
      <c r="AE1774">
        <v>138</v>
      </c>
      <c r="AF1774" t="s">
        <v>2509</v>
      </c>
      <c r="AG1774" t="s">
        <v>2510</v>
      </c>
      <c r="AH1774" t="s">
        <v>1252</v>
      </c>
    </row>
    <row r="1775" spans="1:34" x14ac:dyDescent="0.25">
      <c r="A1775">
        <v>1959</v>
      </c>
      <c r="C1775" s="185"/>
      <c r="D1775" t="s">
        <v>157</v>
      </c>
      <c r="E1775" t="s">
        <v>386</v>
      </c>
      <c r="F1775" t="s">
        <v>7017</v>
      </c>
      <c r="G1775" t="s">
        <v>1197</v>
      </c>
      <c r="H1775" t="s">
        <v>5422</v>
      </c>
      <c r="I1775">
        <v>11512</v>
      </c>
      <c r="J1775" t="s">
        <v>7017</v>
      </c>
      <c r="K1775" t="s">
        <v>7017</v>
      </c>
      <c r="L1775" t="s">
        <v>386</v>
      </c>
      <c r="M1775" t="s">
        <v>1193</v>
      </c>
      <c r="N1775">
        <v>11512</v>
      </c>
      <c r="O1775">
        <v>25</v>
      </c>
      <c r="Q1775" t="s">
        <v>7018</v>
      </c>
      <c r="T1775">
        <v>280</v>
      </c>
      <c r="V1775" t="s">
        <v>3202</v>
      </c>
      <c r="Z1775" t="s">
        <v>5425</v>
      </c>
      <c r="AA1775" t="s">
        <v>387</v>
      </c>
      <c r="AB1775">
        <v>19000</v>
      </c>
      <c r="AC1775">
        <v>4395</v>
      </c>
      <c r="AD1775" t="s">
        <v>7019</v>
      </c>
      <c r="AE1775">
        <v>1</v>
      </c>
      <c r="AF1775" t="s">
        <v>1922</v>
      </c>
      <c r="AG1775" t="s">
        <v>7020</v>
      </c>
      <c r="AH1775" t="s">
        <v>7021</v>
      </c>
    </row>
    <row r="1776" spans="1:34" x14ac:dyDescent="0.25">
      <c r="A1776">
        <v>25</v>
      </c>
      <c r="C1776" s="185"/>
      <c r="E1776" t="s">
        <v>386</v>
      </c>
      <c r="F1776" t="s">
        <v>7022</v>
      </c>
      <c r="G1776" t="s">
        <v>1238</v>
      </c>
      <c r="H1776" t="s">
        <v>7023</v>
      </c>
      <c r="I1776">
        <v>16829</v>
      </c>
      <c r="J1776" t="s">
        <v>7022</v>
      </c>
      <c r="K1776" t="s">
        <v>7024</v>
      </c>
      <c r="L1776" t="s">
        <v>386</v>
      </c>
      <c r="M1776" t="s">
        <v>1184</v>
      </c>
      <c r="N1776">
        <v>16829</v>
      </c>
      <c r="O1776">
        <v>0</v>
      </c>
      <c r="Q1776" t="s">
        <v>7025</v>
      </c>
      <c r="R1776" t="s">
        <v>398</v>
      </c>
      <c r="T1776">
        <v>571</v>
      </c>
      <c r="V1776" t="s">
        <v>2003</v>
      </c>
      <c r="W1776" t="s">
        <v>1216</v>
      </c>
      <c r="X1776">
        <v>260</v>
      </c>
      <c r="Z1776" t="s">
        <v>857</v>
      </c>
      <c r="AA1776" t="s">
        <v>387</v>
      </c>
      <c r="AB1776">
        <v>0</v>
      </c>
      <c r="AC1776">
        <v>6259</v>
      </c>
      <c r="AD1776" t="s">
        <v>7022</v>
      </c>
      <c r="AE1776">
        <v>18</v>
      </c>
      <c r="AF1776" t="s">
        <v>1259</v>
      </c>
      <c r="AG1776" t="s">
        <v>5299</v>
      </c>
      <c r="AH1776" t="s">
        <v>7026</v>
      </c>
    </row>
    <row r="1777" spans="1:34" x14ac:dyDescent="0.25">
      <c r="A1777">
        <v>53</v>
      </c>
      <c r="C1777" s="185"/>
      <c r="E1777" t="s">
        <v>386</v>
      </c>
      <c r="F1777" t="s">
        <v>7027</v>
      </c>
      <c r="G1777" t="s">
        <v>1197</v>
      </c>
      <c r="H1777" t="s">
        <v>7028</v>
      </c>
      <c r="I1777">
        <v>11664</v>
      </c>
      <c r="J1777" t="s">
        <v>7027</v>
      </c>
      <c r="K1777" t="s">
        <v>7029</v>
      </c>
      <c r="L1777" t="s">
        <v>386</v>
      </c>
      <c r="M1777" t="s">
        <v>1193</v>
      </c>
      <c r="N1777">
        <v>11664</v>
      </c>
      <c r="O1777">
        <v>0</v>
      </c>
      <c r="Q1777" t="s">
        <v>7030</v>
      </c>
      <c r="R1777" t="s">
        <v>1208</v>
      </c>
      <c r="T1777">
        <v>280</v>
      </c>
      <c r="V1777" t="s">
        <v>3202</v>
      </c>
      <c r="Z1777" t="s">
        <v>943</v>
      </c>
      <c r="AA1777" t="s">
        <v>387</v>
      </c>
      <c r="AB1777">
        <v>0</v>
      </c>
      <c r="AC1777">
        <v>4449</v>
      </c>
      <c r="AD1777" t="s">
        <v>7031</v>
      </c>
      <c r="AE1777">
        <v>1341</v>
      </c>
      <c r="AF1777" t="s">
        <v>7032</v>
      </c>
      <c r="AG1777" t="s">
        <v>7033</v>
      </c>
      <c r="AH1777" t="s">
        <v>7034</v>
      </c>
    </row>
    <row r="1778" spans="1:34" x14ac:dyDescent="0.25">
      <c r="A1778">
        <v>1</v>
      </c>
      <c r="C1778" s="185"/>
      <c r="E1778" t="s">
        <v>386</v>
      </c>
      <c r="F1778" t="s">
        <v>7035</v>
      </c>
      <c r="G1778" t="s">
        <v>1197</v>
      </c>
      <c r="H1778" t="s">
        <v>7036</v>
      </c>
      <c r="I1778">
        <v>13917</v>
      </c>
      <c r="J1778" t="s">
        <v>7035</v>
      </c>
      <c r="K1778" t="s">
        <v>7035</v>
      </c>
      <c r="L1778" t="s">
        <v>386</v>
      </c>
      <c r="M1778" t="s">
        <v>1193</v>
      </c>
      <c r="N1778">
        <v>13917</v>
      </c>
      <c r="O1778">
        <v>0</v>
      </c>
      <c r="Q1778" t="s">
        <v>7037</v>
      </c>
      <c r="R1778" t="s">
        <v>1208</v>
      </c>
      <c r="T1778">
        <v>200</v>
      </c>
      <c r="V1778" t="s">
        <v>1199</v>
      </c>
      <c r="W1778" t="s">
        <v>1215</v>
      </c>
      <c r="X1778">
        <v>259</v>
      </c>
      <c r="Z1778" t="s">
        <v>865</v>
      </c>
      <c r="AA1778" t="s">
        <v>387</v>
      </c>
      <c r="AB1778">
        <v>0</v>
      </c>
      <c r="AC1778">
        <v>5258</v>
      </c>
      <c r="AD1778" t="s">
        <v>7038</v>
      </c>
      <c r="AE1778">
        <v>26</v>
      </c>
      <c r="AF1778" t="s">
        <v>2075</v>
      </c>
      <c r="AG1778" t="s">
        <v>6644</v>
      </c>
      <c r="AH1778" t="s">
        <v>7039</v>
      </c>
    </row>
    <row r="1779" spans="1:34" x14ac:dyDescent="0.25">
      <c r="A1779">
        <v>1</v>
      </c>
      <c r="C1779" s="185"/>
      <c r="E1779" t="s">
        <v>386</v>
      </c>
      <c r="F1779" t="s">
        <v>7040</v>
      </c>
      <c r="G1779" t="s">
        <v>1197</v>
      </c>
      <c r="H1779" t="s">
        <v>7041</v>
      </c>
      <c r="I1779">
        <v>11666</v>
      </c>
      <c r="J1779" t="s">
        <v>7040</v>
      </c>
      <c r="K1779" t="s">
        <v>7040</v>
      </c>
      <c r="L1779" t="s">
        <v>386</v>
      </c>
      <c r="M1779" t="s">
        <v>1193</v>
      </c>
      <c r="N1779">
        <v>11666</v>
      </c>
      <c r="O1779">
        <v>0</v>
      </c>
      <c r="Q1779" t="s">
        <v>7042</v>
      </c>
      <c r="R1779" t="s">
        <v>1208</v>
      </c>
      <c r="T1779">
        <v>340</v>
      </c>
      <c r="V1779" t="s">
        <v>1200</v>
      </c>
      <c r="W1779" t="s">
        <v>1199</v>
      </c>
      <c r="X1779">
        <v>200</v>
      </c>
      <c r="Z1779" t="s">
        <v>865</v>
      </c>
      <c r="AA1779" t="s">
        <v>387</v>
      </c>
      <c r="AB1779">
        <v>0</v>
      </c>
      <c r="AC1779">
        <v>4450</v>
      </c>
      <c r="AD1779" t="s">
        <v>7043</v>
      </c>
      <c r="AE1779">
        <v>763</v>
      </c>
      <c r="AF1779" t="s">
        <v>6279</v>
      </c>
      <c r="AG1779" t="s">
        <v>7044</v>
      </c>
      <c r="AH1779" t="s">
        <v>7045</v>
      </c>
    </row>
    <row r="1780" spans="1:34" x14ac:dyDescent="0.25">
      <c r="A1780">
        <v>1</v>
      </c>
      <c r="C1780" s="185"/>
      <c r="E1780" t="s">
        <v>386</v>
      </c>
      <c r="F1780" t="s">
        <v>334</v>
      </c>
      <c r="G1780" t="s">
        <v>1197</v>
      </c>
      <c r="H1780" t="s">
        <v>7046</v>
      </c>
      <c r="I1780">
        <v>14106</v>
      </c>
      <c r="J1780" t="s">
        <v>334</v>
      </c>
      <c r="K1780" t="s">
        <v>7047</v>
      </c>
      <c r="L1780" t="s">
        <v>386</v>
      </c>
      <c r="M1780" t="s">
        <v>1193</v>
      </c>
      <c r="N1780">
        <v>14106</v>
      </c>
      <c r="O1780">
        <v>0</v>
      </c>
      <c r="Q1780" t="s">
        <v>7048</v>
      </c>
      <c r="R1780" t="s">
        <v>1208</v>
      </c>
      <c r="T1780">
        <v>571</v>
      </c>
      <c r="V1780" t="s">
        <v>2003</v>
      </c>
      <c r="W1780" t="s">
        <v>1215</v>
      </c>
      <c r="X1780">
        <v>259</v>
      </c>
      <c r="Z1780" t="s">
        <v>865</v>
      </c>
      <c r="AA1780" t="s">
        <v>387</v>
      </c>
      <c r="AB1780">
        <v>0</v>
      </c>
      <c r="AC1780">
        <v>262</v>
      </c>
      <c r="AD1780" t="s">
        <v>7049</v>
      </c>
      <c r="AE1780">
        <v>14</v>
      </c>
      <c r="AF1780" t="s">
        <v>2615</v>
      </c>
      <c r="AG1780" t="s">
        <v>7050</v>
      </c>
      <c r="AH1780" t="s">
        <v>7051</v>
      </c>
    </row>
    <row r="1781" spans="1:34" x14ac:dyDescent="0.25">
      <c r="A1781">
        <v>1</v>
      </c>
      <c r="C1781" s="185"/>
      <c r="E1781" t="s">
        <v>386</v>
      </c>
      <c r="F1781" t="s">
        <v>7052</v>
      </c>
      <c r="G1781" t="s">
        <v>1197</v>
      </c>
      <c r="H1781" t="s">
        <v>7053</v>
      </c>
      <c r="I1781">
        <v>13188</v>
      </c>
      <c r="J1781" t="s">
        <v>7052</v>
      </c>
      <c r="K1781" t="s">
        <v>7054</v>
      </c>
      <c r="L1781" t="s">
        <v>386</v>
      </c>
      <c r="M1781" t="s">
        <v>1193</v>
      </c>
      <c r="N1781">
        <v>13188</v>
      </c>
      <c r="O1781">
        <v>0</v>
      </c>
      <c r="Q1781" t="s">
        <v>7055</v>
      </c>
      <c r="R1781" t="s">
        <v>1208</v>
      </c>
      <c r="T1781">
        <v>571</v>
      </c>
      <c r="V1781" t="s">
        <v>2003</v>
      </c>
      <c r="W1781" t="s">
        <v>1215</v>
      </c>
      <c r="X1781">
        <v>259</v>
      </c>
      <c r="Z1781" t="s">
        <v>865</v>
      </c>
      <c r="AA1781" t="s">
        <v>387</v>
      </c>
      <c r="AB1781">
        <v>0</v>
      </c>
      <c r="AC1781">
        <v>4935</v>
      </c>
      <c r="AD1781" t="s">
        <v>7056</v>
      </c>
      <c r="AE1781">
        <v>2275</v>
      </c>
      <c r="AF1781" t="s">
        <v>7057</v>
      </c>
      <c r="AG1781" t="s">
        <v>7058</v>
      </c>
      <c r="AH1781" t="s">
        <v>7059</v>
      </c>
    </row>
    <row r="1782" spans="1:34" x14ac:dyDescent="0.25">
      <c r="A1782">
        <v>1</v>
      </c>
      <c r="C1782" s="185"/>
      <c r="E1782" t="s">
        <v>386</v>
      </c>
      <c r="F1782" t="s">
        <v>7060</v>
      </c>
      <c r="G1782" t="s">
        <v>1197</v>
      </c>
      <c r="H1782" t="s">
        <v>2033</v>
      </c>
      <c r="I1782">
        <v>16359</v>
      </c>
      <c r="J1782" t="s">
        <v>7060</v>
      </c>
      <c r="K1782" t="s">
        <v>7061</v>
      </c>
      <c r="L1782" t="s">
        <v>386</v>
      </c>
      <c r="M1782" t="s">
        <v>1193</v>
      </c>
      <c r="N1782">
        <v>16359</v>
      </c>
      <c r="O1782">
        <v>0</v>
      </c>
      <c r="Q1782" t="s">
        <v>7062</v>
      </c>
      <c r="R1782" t="s">
        <v>1208</v>
      </c>
      <c r="T1782">
        <v>259</v>
      </c>
      <c r="V1782" t="s">
        <v>1215</v>
      </c>
      <c r="W1782" t="s">
        <v>1530</v>
      </c>
      <c r="X1782">
        <v>103</v>
      </c>
      <c r="Z1782" t="s">
        <v>865</v>
      </c>
      <c r="AA1782" t="s">
        <v>387</v>
      </c>
      <c r="AB1782">
        <v>0</v>
      </c>
      <c r="AC1782">
        <v>131</v>
      </c>
      <c r="AD1782" t="s">
        <v>3098</v>
      </c>
      <c r="AE1782">
        <v>87</v>
      </c>
      <c r="AF1782" t="s">
        <v>7063</v>
      </c>
      <c r="AG1782" t="s">
        <v>7064</v>
      </c>
    </row>
    <row r="1783" spans="1:34" x14ac:dyDescent="0.25">
      <c r="A1783">
        <v>1</v>
      </c>
      <c r="C1783" s="185"/>
      <c r="E1783" t="s">
        <v>386</v>
      </c>
      <c r="F1783" t="s">
        <v>7065</v>
      </c>
      <c r="G1783" t="s">
        <v>1197</v>
      </c>
      <c r="H1783" t="s">
        <v>7066</v>
      </c>
      <c r="I1783">
        <v>13072</v>
      </c>
      <c r="J1783" t="s">
        <v>7065</v>
      </c>
      <c r="K1783" t="s">
        <v>7067</v>
      </c>
      <c r="L1783" t="s">
        <v>386</v>
      </c>
      <c r="M1783" t="s">
        <v>1193</v>
      </c>
      <c r="N1783">
        <v>13072</v>
      </c>
      <c r="O1783">
        <v>0</v>
      </c>
      <c r="Q1783" t="s">
        <v>7068</v>
      </c>
      <c r="T1783">
        <v>571</v>
      </c>
      <c r="V1783" t="s">
        <v>2003</v>
      </c>
      <c r="W1783" t="s">
        <v>1200</v>
      </c>
      <c r="X1783">
        <v>340</v>
      </c>
      <c r="Z1783" t="s">
        <v>865</v>
      </c>
      <c r="AA1783" t="s">
        <v>387</v>
      </c>
      <c r="AB1783">
        <v>0</v>
      </c>
      <c r="AC1783">
        <v>6402</v>
      </c>
      <c r="AD1783" t="s">
        <v>7069</v>
      </c>
      <c r="AE1783">
        <v>233</v>
      </c>
      <c r="AF1783" t="s">
        <v>5582</v>
      </c>
      <c r="AG1783" t="s">
        <v>4715</v>
      </c>
      <c r="AH1783" t="s">
        <v>7070</v>
      </c>
    </row>
    <row r="1784" spans="1:34" x14ac:dyDescent="0.25">
      <c r="A1784">
        <v>6</v>
      </c>
      <c r="C1784" s="185"/>
      <c r="E1784" t="s">
        <v>386</v>
      </c>
      <c r="F1784" t="s">
        <v>7071</v>
      </c>
      <c r="G1784" t="s">
        <v>1197</v>
      </c>
      <c r="H1784" t="s">
        <v>7072</v>
      </c>
      <c r="I1784">
        <v>13187</v>
      </c>
      <c r="J1784" t="s">
        <v>7071</v>
      </c>
      <c r="K1784" t="s">
        <v>7073</v>
      </c>
      <c r="L1784" t="s">
        <v>386</v>
      </c>
      <c r="M1784" t="s">
        <v>1193</v>
      </c>
      <c r="N1784">
        <v>13187</v>
      </c>
      <c r="O1784">
        <v>0</v>
      </c>
      <c r="Q1784" t="s">
        <v>7074</v>
      </c>
      <c r="R1784" t="s">
        <v>398</v>
      </c>
      <c r="T1784">
        <v>571</v>
      </c>
      <c r="V1784" t="s">
        <v>2003</v>
      </c>
      <c r="W1784" t="s">
        <v>2073</v>
      </c>
      <c r="X1784">
        <v>372</v>
      </c>
      <c r="Z1784" t="s">
        <v>892</v>
      </c>
      <c r="AA1784" t="s">
        <v>387</v>
      </c>
      <c r="AB1784">
        <v>0</v>
      </c>
      <c r="AC1784">
        <v>4934</v>
      </c>
      <c r="AD1784" t="s">
        <v>7075</v>
      </c>
      <c r="AE1784">
        <v>957</v>
      </c>
      <c r="AF1784" t="s">
        <v>5774</v>
      </c>
      <c r="AG1784" t="s">
        <v>2080</v>
      </c>
      <c r="AH1784" t="s">
        <v>7076</v>
      </c>
    </row>
    <row r="1785" spans="1:34" x14ac:dyDescent="0.25">
      <c r="A1785">
        <v>2049</v>
      </c>
      <c r="C1785" s="185"/>
      <c r="D1785" t="s">
        <v>157</v>
      </c>
      <c r="E1785" t="s">
        <v>386</v>
      </c>
      <c r="F1785" t="s">
        <v>428</v>
      </c>
      <c r="G1785" t="s">
        <v>1192</v>
      </c>
      <c r="H1785" t="s">
        <v>7077</v>
      </c>
      <c r="I1785">
        <v>13773</v>
      </c>
      <c r="J1785" t="s">
        <v>428</v>
      </c>
      <c r="K1785" t="s">
        <v>7078</v>
      </c>
      <c r="L1785" t="s">
        <v>386</v>
      </c>
      <c r="M1785" t="s">
        <v>1193</v>
      </c>
      <c r="N1785">
        <v>13773</v>
      </c>
      <c r="O1785">
        <v>25</v>
      </c>
      <c r="Q1785" t="s">
        <v>7079</v>
      </c>
      <c r="R1785" t="s">
        <v>398</v>
      </c>
      <c r="T1785">
        <v>220</v>
      </c>
      <c r="V1785" t="s">
        <v>1194</v>
      </c>
      <c r="W1785" t="s">
        <v>1199</v>
      </c>
      <c r="X1785">
        <v>200</v>
      </c>
      <c r="Z1785" t="s">
        <v>995</v>
      </c>
      <c r="AA1785" t="s">
        <v>387</v>
      </c>
      <c r="AB1785">
        <v>19000</v>
      </c>
      <c r="AC1785">
        <v>701</v>
      </c>
      <c r="AD1785" t="s">
        <v>1132</v>
      </c>
      <c r="AE1785">
        <v>2410</v>
      </c>
      <c r="AF1785" t="s">
        <v>7080</v>
      </c>
      <c r="AG1785" t="s">
        <v>7081</v>
      </c>
      <c r="AH1785" t="s">
        <v>7082</v>
      </c>
    </row>
    <row r="1786" spans="1:34" x14ac:dyDescent="0.25">
      <c r="A1786">
        <v>1212</v>
      </c>
      <c r="C1786" s="185"/>
      <c r="E1786" t="s">
        <v>386</v>
      </c>
      <c r="F1786" t="s">
        <v>7083</v>
      </c>
      <c r="G1786" t="s">
        <v>1197</v>
      </c>
      <c r="H1786" t="s">
        <v>6022</v>
      </c>
      <c r="I1786">
        <v>13495</v>
      </c>
      <c r="J1786" t="s">
        <v>7083</v>
      </c>
      <c r="K1786" t="s">
        <v>7084</v>
      </c>
      <c r="L1786" t="s">
        <v>386</v>
      </c>
      <c r="M1786" t="s">
        <v>1193</v>
      </c>
      <c r="N1786">
        <v>13495</v>
      </c>
      <c r="O1786">
        <v>0</v>
      </c>
      <c r="Q1786" t="s">
        <v>7085</v>
      </c>
      <c r="R1786" t="s">
        <v>1208</v>
      </c>
      <c r="T1786">
        <v>571</v>
      </c>
      <c r="V1786" t="s">
        <v>2003</v>
      </c>
      <c r="W1786" t="s">
        <v>1200</v>
      </c>
      <c r="X1786">
        <v>340</v>
      </c>
      <c r="Z1786" t="s">
        <v>6025</v>
      </c>
      <c r="AA1786" t="s">
        <v>387</v>
      </c>
      <c r="AB1786">
        <v>0</v>
      </c>
      <c r="AC1786">
        <v>6351</v>
      </c>
      <c r="AD1786" t="s">
        <v>7086</v>
      </c>
      <c r="AE1786">
        <v>1</v>
      </c>
      <c r="AF1786" t="s">
        <v>1922</v>
      </c>
      <c r="AG1786" t="s">
        <v>7087</v>
      </c>
      <c r="AH1786" t="s">
        <v>7088</v>
      </c>
    </row>
    <row r="1787" spans="1:34" x14ac:dyDescent="0.25">
      <c r="A1787">
        <v>1792</v>
      </c>
      <c r="C1787" s="185"/>
      <c r="E1787" t="s">
        <v>386</v>
      </c>
      <c r="F1787" t="s">
        <v>7089</v>
      </c>
      <c r="G1787" t="s">
        <v>1238</v>
      </c>
      <c r="H1787" t="s">
        <v>4919</v>
      </c>
      <c r="I1787">
        <v>16663</v>
      </c>
      <c r="J1787" t="s">
        <v>7089</v>
      </c>
      <c r="K1787" t="s">
        <v>7089</v>
      </c>
      <c r="L1787" t="s">
        <v>386</v>
      </c>
      <c r="M1787" t="s">
        <v>1184</v>
      </c>
      <c r="N1787">
        <v>16663</v>
      </c>
      <c r="O1787">
        <v>0</v>
      </c>
      <c r="Q1787" t="s">
        <v>7090</v>
      </c>
      <c r="T1787">
        <v>103</v>
      </c>
      <c r="V1787" t="s">
        <v>1530</v>
      </c>
      <c r="W1787" t="s">
        <v>2024</v>
      </c>
      <c r="X1787">
        <v>52</v>
      </c>
      <c r="Z1787" t="s">
        <v>1053</v>
      </c>
      <c r="AA1787" t="s">
        <v>387</v>
      </c>
      <c r="AB1787">
        <v>0</v>
      </c>
      <c r="AC1787">
        <v>5711</v>
      </c>
      <c r="AD1787" t="s">
        <v>7091</v>
      </c>
      <c r="AE1787">
        <v>18</v>
      </c>
      <c r="AF1787" t="s">
        <v>1259</v>
      </c>
      <c r="AG1787" t="s">
        <v>7092</v>
      </c>
    </row>
    <row r="1788" spans="1:34" x14ac:dyDescent="0.25">
      <c r="A1788">
        <v>1553</v>
      </c>
      <c r="C1788" s="185"/>
      <c r="E1788" t="s">
        <v>386</v>
      </c>
      <c r="F1788" t="s">
        <v>7093</v>
      </c>
      <c r="G1788" t="s">
        <v>1197</v>
      </c>
      <c r="H1788" t="s">
        <v>1239</v>
      </c>
      <c r="I1788">
        <v>14084</v>
      </c>
      <c r="J1788" t="s">
        <v>7093</v>
      </c>
      <c r="K1788" t="s">
        <v>7094</v>
      </c>
      <c r="L1788" t="s">
        <v>386</v>
      </c>
      <c r="M1788" t="s">
        <v>1193</v>
      </c>
      <c r="N1788">
        <v>14084</v>
      </c>
      <c r="O1788">
        <v>0</v>
      </c>
      <c r="Q1788" t="s">
        <v>7095</v>
      </c>
      <c r="R1788" t="s">
        <v>1208</v>
      </c>
      <c r="T1788">
        <v>304</v>
      </c>
      <c r="V1788" t="s">
        <v>2067</v>
      </c>
      <c r="W1788" t="s">
        <v>2067</v>
      </c>
      <c r="X1788">
        <v>304</v>
      </c>
      <c r="Z1788" t="s">
        <v>968</v>
      </c>
      <c r="AA1788" t="s">
        <v>387</v>
      </c>
      <c r="AB1788">
        <v>0</v>
      </c>
      <c r="AC1788">
        <v>5261</v>
      </c>
      <c r="AD1788" t="s">
        <v>3419</v>
      </c>
      <c r="AE1788">
        <v>311</v>
      </c>
      <c r="AF1788" t="s">
        <v>4126</v>
      </c>
      <c r="AG1788" t="s">
        <v>7096</v>
      </c>
      <c r="AH1788" t="s">
        <v>7097</v>
      </c>
    </row>
    <row r="1789" spans="1:34" x14ac:dyDescent="0.25">
      <c r="A1789">
        <v>25</v>
      </c>
      <c r="C1789" s="185"/>
      <c r="E1789" t="s">
        <v>386</v>
      </c>
      <c r="F1789" t="s">
        <v>622</v>
      </c>
      <c r="G1789" t="s">
        <v>1197</v>
      </c>
      <c r="H1789" t="s">
        <v>7098</v>
      </c>
      <c r="I1789">
        <v>16953</v>
      </c>
      <c r="J1789" t="s">
        <v>622</v>
      </c>
      <c r="K1789" t="s">
        <v>7099</v>
      </c>
      <c r="L1789" t="s">
        <v>386</v>
      </c>
      <c r="M1789" t="s">
        <v>1193</v>
      </c>
      <c r="N1789">
        <v>16953</v>
      </c>
      <c r="O1789">
        <v>25</v>
      </c>
      <c r="Q1789" t="s">
        <v>7100</v>
      </c>
      <c r="R1789" t="s">
        <v>398</v>
      </c>
      <c r="T1789">
        <v>220</v>
      </c>
      <c r="V1789" t="s">
        <v>1194</v>
      </c>
      <c r="W1789" t="s">
        <v>1215</v>
      </c>
      <c r="X1789">
        <v>259</v>
      </c>
      <c r="Z1789" t="s">
        <v>857</v>
      </c>
      <c r="AA1789" t="s">
        <v>387</v>
      </c>
      <c r="AB1789">
        <v>0</v>
      </c>
      <c r="AC1789">
        <v>6338</v>
      </c>
      <c r="AD1789" t="s">
        <v>7101</v>
      </c>
      <c r="AE1789">
        <v>2412</v>
      </c>
      <c r="AF1789" t="s">
        <v>7102</v>
      </c>
      <c r="AG1789" t="s">
        <v>7103</v>
      </c>
      <c r="AH1789" t="s">
        <v>7104</v>
      </c>
    </row>
    <row r="1790" spans="1:34" x14ac:dyDescent="0.25">
      <c r="A1790">
        <v>1833</v>
      </c>
      <c r="C1790" s="185"/>
      <c r="E1790" t="s">
        <v>386</v>
      </c>
      <c r="F1790" t="s">
        <v>7105</v>
      </c>
      <c r="G1790" t="s">
        <v>1197</v>
      </c>
      <c r="H1790" t="s">
        <v>7106</v>
      </c>
      <c r="I1790">
        <v>14605</v>
      </c>
      <c r="J1790" t="s">
        <v>7105</v>
      </c>
      <c r="K1790" t="s">
        <v>7105</v>
      </c>
      <c r="L1790" t="s">
        <v>386</v>
      </c>
      <c r="M1790" t="s">
        <v>1193</v>
      </c>
      <c r="N1790">
        <v>14605</v>
      </c>
      <c r="O1790">
        <v>0</v>
      </c>
      <c r="Q1790" t="s">
        <v>7107</v>
      </c>
      <c r="T1790">
        <v>259</v>
      </c>
      <c r="V1790" t="s">
        <v>1215</v>
      </c>
      <c r="W1790" t="s">
        <v>3129</v>
      </c>
      <c r="X1790">
        <v>435</v>
      </c>
      <c r="Z1790" t="s">
        <v>7108</v>
      </c>
      <c r="AA1790" t="s">
        <v>387</v>
      </c>
      <c r="AB1790">
        <v>0</v>
      </c>
      <c r="AC1790">
        <v>5551</v>
      </c>
      <c r="AD1790" t="s">
        <v>7109</v>
      </c>
      <c r="AE1790">
        <v>2574</v>
      </c>
      <c r="AF1790" t="s">
        <v>7110</v>
      </c>
      <c r="AG1790" t="s">
        <v>5474</v>
      </c>
      <c r="AH1790" t="s">
        <v>7111</v>
      </c>
    </row>
    <row r="1791" spans="1:34" x14ac:dyDescent="0.25">
      <c r="A1791">
        <v>1</v>
      </c>
      <c r="C1791" s="185"/>
      <c r="E1791" t="s">
        <v>386</v>
      </c>
      <c r="F1791" t="s">
        <v>7112</v>
      </c>
      <c r="G1791" t="s">
        <v>1197</v>
      </c>
      <c r="H1791" t="s">
        <v>7113</v>
      </c>
      <c r="I1791">
        <v>13539</v>
      </c>
      <c r="J1791" t="s">
        <v>7112</v>
      </c>
      <c r="K1791" t="s">
        <v>7114</v>
      </c>
      <c r="L1791" t="s">
        <v>386</v>
      </c>
      <c r="M1791" t="s">
        <v>1193</v>
      </c>
      <c r="N1791">
        <v>13539</v>
      </c>
      <c r="O1791">
        <v>0</v>
      </c>
      <c r="Q1791" t="s">
        <v>7115</v>
      </c>
      <c r="R1791" t="s">
        <v>1208</v>
      </c>
      <c r="T1791">
        <v>571</v>
      </c>
      <c r="V1791" t="s">
        <v>2003</v>
      </c>
      <c r="W1791" t="s">
        <v>2015</v>
      </c>
      <c r="X1791">
        <v>35</v>
      </c>
      <c r="Z1791" t="s">
        <v>865</v>
      </c>
      <c r="AA1791" t="s">
        <v>387</v>
      </c>
      <c r="AB1791">
        <v>0</v>
      </c>
      <c r="AC1791">
        <v>195</v>
      </c>
      <c r="AD1791" t="s">
        <v>7116</v>
      </c>
      <c r="AE1791">
        <v>143</v>
      </c>
      <c r="AF1791" t="s">
        <v>2604</v>
      </c>
      <c r="AG1791" t="s">
        <v>7117</v>
      </c>
      <c r="AH1791" t="s">
        <v>3560</v>
      </c>
    </row>
    <row r="1792" spans="1:34" x14ac:dyDescent="0.25">
      <c r="A1792">
        <v>1</v>
      </c>
      <c r="C1792" s="185"/>
      <c r="E1792" t="s">
        <v>386</v>
      </c>
      <c r="F1792" t="s">
        <v>7118</v>
      </c>
      <c r="G1792" t="s">
        <v>1197</v>
      </c>
      <c r="H1792" t="s">
        <v>7119</v>
      </c>
      <c r="I1792">
        <v>12240</v>
      </c>
      <c r="J1792" t="s">
        <v>7118</v>
      </c>
      <c r="K1792" t="s">
        <v>7118</v>
      </c>
      <c r="L1792" t="s">
        <v>386</v>
      </c>
      <c r="M1792" t="s">
        <v>1193</v>
      </c>
      <c r="N1792">
        <v>12240</v>
      </c>
      <c r="O1792">
        <v>0</v>
      </c>
      <c r="Q1792" t="s">
        <v>7120</v>
      </c>
      <c r="R1792" t="s">
        <v>1208</v>
      </c>
      <c r="T1792">
        <v>571</v>
      </c>
      <c r="V1792" t="s">
        <v>2003</v>
      </c>
      <c r="W1792" t="s">
        <v>2073</v>
      </c>
      <c r="X1792">
        <v>372</v>
      </c>
      <c r="Z1792" t="s">
        <v>865</v>
      </c>
      <c r="AA1792" t="s">
        <v>387</v>
      </c>
      <c r="AB1792">
        <v>0</v>
      </c>
      <c r="AC1792">
        <v>1687</v>
      </c>
      <c r="AD1792" t="s">
        <v>7121</v>
      </c>
      <c r="AE1792">
        <v>154</v>
      </c>
      <c r="AF1792" t="s">
        <v>3141</v>
      </c>
      <c r="AG1792" t="s">
        <v>3132</v>
      </c>
    </row>
    <row r="1793" spans="1:34" x14ac:dyDescent="0.25">
      <c r="A1793">
        <v>1</v>
      </c>
      <c r="C1793" s="185"/>
      <c r="E1793" t="s">
        <v>386</v>
      </c>
      <c r="F1793" t="s">
        <v>7122</v>
      </c>
      <c r="G1793" t="s">
        <v>1197</v>
      </c>
      <c r="H1793" t="s">
        <v>7123</v>
      </c>
      <c r="I1793">
        <v>17113</v>
      </c>
      <c r="J1793" t="s">
        <v>7122</v>
      </c>
      <c r="K1793" t="s">
        <v>7124</v>
      </c>
      <c r="L1793" t="s">
        <v>386</v>
      </c>
      <c r="M1793" t="s">
        <v>1193</v>
      </c>
      <c r="N1793">
        <v>17113</v>
      </c>
      <c r="O1793">
        <v>0</v>
      </c>
      <c r="Q1793" t="s">
        <v>7125</v>
      </c>
      <c r="T1793">
        <v>560</v>
      </c>
      <c r="V1793" t="s">
        <v>2602</v>
      </c>
      <c r="W1793" t="s">
        <v>1215</v>
      </c>
      <c r="X1793">
        <v>259</v>
      </c>
      <c r="Z1793" t="s">
        <v>865</v>
      </c>
      <c r="AA1793" t="s">
        <v>387</v>
      </c>
      <c r="AB1793">
        <v>0</v>
      </c>
      <c r="AC1793">
        <v>2314</v>
      </c>
      <c r="AD1793" t="s">
        <v>7126</v>
      </c>
      <c r="AE1793">
        <v>1238</v>
      </c>
      <c r="AF1793" t="s">
        <v>7127</v>
      </c>
      <c r="AG1793" t="s">
        <v>4058</v>
      </c>
    </row>
    <row r="1794" spans="1:34" x14ac:dyDescent="0.25">
      <c r="A1794">
        <v>1</v>
      </c>
      <c r="C1794" s="185"/>
      <c r="E1794" t="s">
        <v>386</v>
      </c>
      <c r="F1794" t="s">
        <v>7128</v>
      </c>
      <c r="G1794" t="s">
        <v>1197</v>
      </c>
      <c r="H1794" t="s">
        <v>3076</v>
      </c>
      <c r="I1794">
        <v>16426</v>
      </c>
      <c r="J1794" t="s">
        <v>7128</v>
      </c>
      <c r="K1794" t="s">
        <v>7128</v>
      </c>
      <c r="L1794" t="s">
        <v>386</v>
      </c>
      <c r="M1794" t="s">
        <v>1193</v>
      </c>
      <c r="N1794">
        <v>16426</v>
      </c>
      <c r="O1794">
        <v>0</v>
      </c>
      <c r="Q1794" t="s">
        <v>7129</v>
      </c>
      <c r="R1794" t="s">
        <v>1208</v>
      </c>
      <c r="T1794">
        <v>39</v>
      </c>
      <c r="V1794" t="s">
        <v>2144</v>
      </c>
      <c r="W1794" t="s">
        <v>1215</v>
      </c>
      <c r="X1794">
        <v>259</v>
      </c>
      <c r="Z1794" t="s">
        <v>865</v>
      </c>
      <c r="AA1794" t="s">
        <v>387</v>
      </c>
      <c r="AB1794">
        <v>0</v>
      </c>
      <c r="AC1794">
        <v>2525</v>
      </c>
      <c r="AD1794" t="s">
        <v>3077</v>
      </c>
      <c r="AE1794">
        <v>150</v>
      </c>
      <c r="AF1794" t="s">
        <v>2587</v>
      </c>
      <c r="AG1794" t="s">
        <v>7130</v>
      </c>
      <c r="AH1794" t="s">
        <v>7131</v>
      </c>
    </row>
    <row r="1795" spans="1:34" x14ac:dyDescent="0.25">
      <c r="A1795">
        <v>1837</v>
      </c>
      <c r="C1795" s="185"/>
      <c r="E1795" t="s">
        <v>386</v>
      </c>
      <c r="F1795" t="s">
        <v>7132</v>
      </c>
      <c r="G1795" t="s">
        <v>1238</v>
      </c>
      <c r="H1795" t="s">
        <v>7133</v>
      </c>
      <c r="I1795">
        <v>17411</v>
      </c>
      <c r="J1795" t="s">
        <v>7132</v>
      </c>
      <c r="K1795" t="s">
        <v>7134</v>
      </c>
      <c r="L1795" t="s">
        <v>386</v>
      </c>
      <c r="M1795" t="s">
        <v>1184</v>
      </c>
      <c r="N1795">
        <v>17411</v>
      </c>
      <c r="O1795">
        <v>0</v>
      </c>
      <c r="Q1795" t="s">
        <v>7135</v>
      </c>
      <c r="R1795" t="s">
        <v>398</v>
      </c>
      <c r="T1795">
        <v>496</v>
      </c>
      <c r="V1795" t="s">
        <v>2246</v>
      </c>
      <c r="W1795" t="s">
        <v>2246</v>
      </c>
      <c r="X1795">
        <v>496</v>
      </c>
      <c r="Z1795" t="s">
        <v>4363</v>
      </c>
      <c r="AA1795" t="s">
        <v>387</v>
      </c>
      <c r="AB1795">
        <v>0</v>
      </c>
      <c r="AC1795">
        <v>3522</v>
      </c>
      <c r="AD1795" t="s">
        <v>7136</v>
      </c>
      <c r="AE1795">
        <v>18</v>
      </c>
      <c r="AF1795" t="s">
        <v>1259</v>
      </c>
      <c r="AG1795" t="s">
        <v>4474</v>
      </c>
    </row>
    <row r="1796" spans="1:34" x14ac:dyDescent="0.25">
      <c r="A1796">
        <v>1</v>
      </c>
      <c r="C1796" s="185"/>
      <c r="E1796" t="s">
        <v>386</v>
      </c>
      <c r="F1796" t="s">
        <v>7137</v>
      </c>
      <c r="G1796" t="s">
        <v>1197</v>
      </c>
      <c r="H1796" t="s">
        <v>7138</v>
      </c>
      <c r="I1796">
        <v>15682</v>
      </c>
      <c r="J1796" t="s">
        <v>7137</v>
      </c>
      <c r="K1796" t="s">
        <v>7139</v>
      </c>
      <c r="L1796" t="s">
        <v>386</v>
      </c>
      <c r="M1796" t="s">
        <v>1193</v>
      </c>
      <c r="N1796">
        <v>15682</v>
      </c>
      <c r="O1796">
        <v>0</v>
      </c>
      <c r="Q1796" t="s">
        <v>7140</v>
      </c>
      <c r="R1796" t="s">
        <v>1208</v>
      </c>
      <c r="T1796">
        <v>103</v>
      </c>
      <c r="V1796" t="s">
        <v>1530</v>
      </c>
      <c r="W1796" t="s">
        <v>1530</v>
      </c>
      <c r="X1796">
        <v>103</v>
      </c>
      <c r="Z1796" t="s">
        <v>865</v>
      </c>
      <c r="AA1796" t="s">
        <v>387</v>
      </c>
      <c r="AB1796">
        <v>0</v>
      </c>
      <c r="AC1796">
        <v>474</v>
      </c>
      <c r="AD1796" t="s">
        <v>5739</v>
      </c>
      <c r="AE1796">
        <v>31</v>
      </c>
      <c r="AF1796" t="s">
        <v>4757</v>
      </c>
      <c r="AG1796" t="s">
        <v>7141</v>
      </c>
    </row>
    <row r="1797" spans="1:34" x14ac:dyDescent="0.25">
      <c r="A1797">
        <v>1</v>
      </c>
      <c r="C1797" s="185"/>
      <c r="E1797" t="s">
        <v>386</v>
      </c>
      <c r="F1797" t="s">
        <v>15515</v>
      </c>
      <c r="G1797" t="s">
        <v>1197</v>
      </c>
      <c r="H1797" t="s">
        <v>5690</v>
      </c>
      <c r="I1797">
        <v>16022</v>
      </c>
      <c r="J1797" t="s">
        <v>15515</v>
      </c>
      <c r="K1797" t="s">
        <v>15515</v>
      </c>
      <c r="L1797" t="s">
        <v>386</v>
      </c>
      <c r="M1797" t="s">
        <v>1193</v>
      </c>
      <c r="N1797">
        <v>16022</v>
      </c>
      <c r="O1797">
        <v>0</v>
      </c>
      <c r="Q1797" t="s">
        <v>15516</v>
      </c>
      <c r="R1797" t="s">
        <v>1208</v>
      </c>
      <c r="T1797">
        <v>260</v>
      </c>
      <c r="V1797" t="s">
        <v>1216</v>
      </c>
      <c r="W1797" t="s">
        <v>1216</v>
      </c>
      <c r="X1797">
        <v>260</v>
      </c>
      <c r="Z1797" t="s">
        <v>865</v>
      </c>
      <c r="AA1797" t="s">
        <v>387</v>
      </c>
      <c r="AB1797">
        <v>0</v>
      </c>
      <c r="AC1797">
        <v>595</v>
      </c>
      <c r="AD1797" t="s">
        <v>5039</v>
      </c>
      <c r="AE1797">
        <v>14</v>
      </c>
      <c r="AF1797" t="s">
        <v>2615</v>
      </c>
      <c r="AG1797" t="s">
        <v>15517</v>
      </c>
      <c r="AH1797" t="s">
        <v>3560</v>
      </c>
    </row>
    <row r="1798" spans="1:34" x14ac:dyDescent="0.25">
      <c r="A1798">
        <v>1275</v>
      </c>
      <c r="C1798" s="185"/>
      <c r="D1798" t="s">
        <v>157</v>
      </c>
      <c r="E1798" t="s">
        <v>386</v>
      </c>
      <c r="F1798" t="s">
        <v>494</v>
      </c>
      <c r="G1798" t="s">
        <v>1197</v>
      </c>
      <c r="H1798" t="s">
        <v>7142</v>
      </c>
      <c r="I1798">
        <v>16107</v>
      </c>
      <c r="J1798" t="s">
        <v>494</v>
      </c>
      <c r="K1798" t="s">
        <v>7143</v>
      </c>
      <c r="L1798" t="s">
        <v>386</v>
      </c>
      <c r="M1798" t="s">
        <v>1193</v>
      </c>
      <c r="N1798">
        <v>16107</v>
      </c>
      <c r="O1798">
        <v>25</v>
      </c>
      <c r="Q1798" t="s">
        <v>7144</v>
      </c>
      <c r="R1798" t="s">
        <v>398</v>
      </c>
      <c r="T1798">
        <v>260</v>
      </c>
      <c r="V1798" t="s">
        <v>1216</v>
      </c>
      <c r="W1798" t="s">
        <v>3321</v>
      </c>
      <c r="X1798">
        <v>246</v>
      </c>
      <c r="Z1798" t="s">
        <v>2124</v>
      </c>
      <c r="AA1798" t="s">
        <v>387</v>
      </c>
      <c r="AB1798">
        <v>0</v>
      </c>
      <c r="AC1798">
        <v>3419</v>
      </c>
      <c r="AD1798" t="s">
        <v>5653</v>
      </c>
      <c r="AE1798">
        <v>3</v>
      </c>
      <c r="AF1798" t="s">
        <v>1235</v>
      </c>
      <c r="AG1798" t="s">
        <v>5879</v>
      </c>
      <c r="AH1798" t="s">
        <v>7145</v>
      </c>
    </row>
    <row r="1799" spans="1:34" x14ac:dyDescent="0.25">
      <c r="A1799">
        <v>153</v>
      </c>
      <c r="C1799" s="185"/>
      <c r="E1799" t="s">
        <v>386</v>
      </c>
      <c r="F1799" t="s">
        <v>7146</v>
      </c>
      <c r="G1799" t="s">
        <v>1238</v>
      </c>
      <c r="H1799" t="s">
        <v>5149</v>
      </c>
      <c r="I1799">
        <v>17036</v>
      </c>
      <c r="J1799" t="s">
        <v>7146</v>
      </c>
      <c r="K1799" t="s">
        <v>7147</v>
      </c>
      <c r="L1799" t="s">
        <v>386</v>
      </c>
      <c r="M1799" t="s">
        <v>1184</v>
      </c>
      <c r="N1799">
        <v>17036</v>
      </c>
      <c r="O1799">
        <v>0</v>
      </c>
      <c r="Q1799" t="s">
        <v>7148</v>
      </c>
      <c r="T1799">
        <v>496</v>
      </c>
      <c r="V1799" t="s">
        <v>2246</v>
      </c>
      <c r="W1799" t="s">
        <v>2246</v>
      </c>
      <c r="X1799">
        <v>496</v>
      </c>
      <c r="Z1799" t="s">
        <v>969</v>
      </c>
      <c r="AA1799" t="s">
        <v>387</v>
      </c>
      <c r="AB1799">
        <v>0</v>
      </c>
      <c r="AC1799">
        <v>6417</v>
      </c>
      <c r="AD1799" t="s">
        <v>7149</v>
      </c>
      <c r="AE1799">
        <v>18</v>
      </c>
      <c r="AF1799" t="s">
        <v>1259</v>
      </c>
      <c r="AG1799" t="s">
        <v>4474</v>
      </c>
    </row>
    <row r="1800" spans="1:34" x14ac:dyDescent="0.25">
      <c r="A1800">
        <v>1</v>
      </c>
      <c r="C1800" s="185"/>
      <c r="E1800" t="s">
        <v>386</v>
      </c>
      <c r="F1800" t="s">
        <v>7150</v>
      </c>
      <c r="G1800" t="s">
        <v>1197</v>
      </c>
      <c r="H1800" t="s">
        <v>7151</v>
      </c>
      <c r="I1800">
        <v>16234</v>
      </c>
      <c r="J1800" t="s">
        <v>7150</v>
      </c>
      <c r="K1800" t="s">
        <v>7150</v>
      </c>
      <c r="L1800" t="s">
        <v>386</v>
      </c>
      <c r="M1800" t="s">
        <v>1193</v>
      </c>
      <c r="N1800">
        <v>16234</v>
      </c>
      <c r="O1800">
        <v>0</v>
      </c>
      <c r="Q1800" t="s">
        <v>7152</v>
      </c>
      <c r="R1800" t="s">
        <v>1208</v>
      </c>
      <c r="T1800">
        <v>103</v>
      </c>
      <c r="V1800" t="s">
        <v>1530</v>
      </c>
      <c r="W1800" t="s">
        <v>1530</v>
      </c>
      <c r="X1800">
        <v>103</v>
      </c>
      <c r="Z1800" t="s">
        <v>865</v>
      </c>
      <c r="AA1800" t="s">
        <v>387</v>
      </c>
      <c r="AB1800">
        <v>0</v>
      </c>
      <c r="AC1800">
        <v>5247</v>
      </c>
      <c r="AD1800" t="s">
        <v>7153</v>
      </c>
      <c r="AE1800">
        <v>515</v>
      </c>
      <c r="AF1800" t="s">
        <v>3591</v>
      </c>
      <c r="AG1800" t="s">
        <v>7154</v>
      </c>
      <c r="AH1800" t="s">
        <v>7155</v>
      </c>
    </row>
    <row r="1801" spans="1:34" x14ac:dyDescent="0.25">
      <c r="A1801">
        <v>53</v>
      </c>
      <c r="C1801" s="185"/>
      <c r="E1801" t="s">
        <v>386</v>
      </c>
      <c r="F1801" t="s">
        <v>7156</v>
      </c>
      <c r="G1801" t="s">
        <v>1238</v>
      </c>
      <c r="H1801" t="s">
        <v>7157</v>
      </c>
      <c r="I1801">
        <v>17410</v>
      </c>
      <c r="J1801" t="s">
        <v>7156</v>
      </c>
      <c r="K1801" t="s">
        <v>770</v>
      </c>
      <c r="L1801" t="s">
        <v>386</v>
      </c>
      <c r="M1801" t="s">
        <v>1184</v>
      </c>
      <c r="N1801">
        <v>17410</v>
      </c>
      <c r="O1801">
        <v>0</v>
      </c>
      <c r="Q1801" t="s">
        <v>7158</v>
      </c>
      <c r="R1801" t="s">
        <v>398</v>
      </c>
      <c r="T1801">
        <v>259</v>
      </c>
      <c r="V1801" t="s">
        <v>1215</v>
      </c>
      <c r="W1801" t="s">
        <v>2024</v>
      </c>
      <c r="X1801">
        <v>52</v>
      </c>
      <c r="Z1801" t="s">
        <v>943</v>
      </c>
      <c r="AA1801" t="s">
        <v>387</v>
      </c>
      <c r="AB1801">
        <v>0</v>
      </c>
      <c r="AC1801">
        <v>6304</v>
      </c>
      <c r="AD1801" t="s">
        <v>7159</v>
      </c>
      <c r="AE1801">
        <v>1</v>
      </c>
      <c r="AF1801" t="s">
        <v>1922</v>
      </c>
      <c r="AG1801" t="s">
        <v>4474</v>
      </c>
      <c r="AH1801" t="s">
        <v>7160</v>
      </c>
    </row>
    <row r="1802" spans="1:34" x14ac:dyDescent="0.25">
      <c r="A1802">
        <v>12</v>
      </c>
      <c r="C1802" s="185"/>
      <c r="E1802" t="s">
        <v>386</v>
      </c>
      <c r="F1802" t="s">
        <v>7161</v>
      </c>
      <c r="G1802" t="s">
        <v>1192</v>
      </c>
      <c r="H1802" t="s">
        <v>7162</v>
      </c>
      <c r="I1802">
        <v>2841</v>
      </c>
      <c r="J1802" t="s">
        <v>7161</v>
      </c>
      <c r="K1802" t="s">
        <v>7161</v>
      </c>
      <c r="L1802" t="s">
        <v>386</v>
      </c>
      <c r="M1802" t="s">
        <v>1193</v>
      </c>
      <c r="N1802">
        <v>2841</v>
      </c>
      <c r="O1802">
        <v>0</v>
      </c>
      <c r="Q1802" t="s">
        <v>7163</v>
      </c>
      <c r="T1802">
        <v>52</v>
      </c>
      <c r="V1802" t="s">
        <v>2024</v>
      </c>
      <c r="Z1802" t="s">
        <v>7164</v>
      </c>
      <c r="AA1802" t="s">
        <v>387</v>
      </c>
      <c r="AB1802">
        <v>0</v>
      </c>
      <c r="AC1802">
        <v>1911</v>
      </c>
      <c r="AD1802" t="s">
        <v>7165</v>
      </c>
      <c r="AE1802">
        <v>1</v>
      </c>
      <c r="AF1802" t="s">
        <v>1922</v>
      </c>
      <c r="AG1802" t="s">
        <v>7166</v>
      </c>
      <c r="AH1802" t="s">
        <v>7167</v>
      </c>
    </row>
    <row r="1803" spans="1:34" x14ac:dyDescent="0.25">
      <c r="A1803">
        <v>1</v>
      </c>
      <c r="C1803" s="185"/>
      <c r="E1803" t="s">
        <v>386</v>
      </c>
      <c r="F1803" t="s">
        <v>15518</v>
      </c>
      <c r="G1803" t="s">
        <v>1197</v>
      </c>
      <c r="H1803" t="s">
        <v>15519</v>
      </c>
      <c r="I1803">
        <v>15857</v>
      </c>
      <c r="J1803" t="s">
        <v>15518</v>
      </c>
      <c r="K1803" t="s">
        <v>15520</v>
      </c>
      <c r="L1803" t="s">
        <v>386</v>
      </c>
      <c r="M1803" t="s">
        <v>1193</v>
      </c>
      <c r="N1803">
        <v>15857</v>
      </c>
      <c r="O1803">
        <v>0</v>
      </c>
      <c r="Q1803" t="s">
        <v>7168</v>
      </c>
      <c r="R1803" t="s">
        <v>1208</v>
      </c>
      <c r="T1803">
        <v>556</v>
      </c>
      <c r="V1803" t="s">
        <v>4502</v>
      </c>
      <c r="W1803" t="s">
        <v>1199</v>
      </c>
      <c r="X1803">
        <v>200</v>
      </c>
      <c r="Z1803" t="s">
        <v>865</v>
      </c>
      <c r="AA1803" t="s">
        <v>387</v>
      </c>
      <c r="AB1803">
        <v>0</v>
      </c>
      <c r="AC1803">
        <v>3222</v>
      </c>
      <c r="AD1803" t="s">
        <v>7486</v>
      </c>
      <c r="AE1803">
        <v>270</v>
      </c>
      <c r="AF1803" t="s">
        <v>1030</v>
      </c>
      <c r="AG1803" t="s">
        <v>7981</v>
      </c>
      <c r="AH1803" t="s">
        <v>7169</v>
      </c>
    </row>
    <row r="1804" spans="1:34" x14ac:dyDescent="0.25">
      <c r="A1804">
        <v>2122</v>
      </c>
      <c r="C1804" s="185"/>
      <c r="E1804" t="s">
        <v>386</v>
      </c>
      <c r="F1804" t="s">
        <v>7170</v>
      </c>
      <c r="G1804" t="s">
        <v>1238</v>
      </c>
      <c r="H1804" t="s">
        <v>6539</v>
      </c>
      <c r="I1804">
        <v>14961</v>
      </c>
      <c r="J1804" t="s">
        <v>7170</v>
      </c>
      <c r="K1804" t="s">
        <v>7171</v>
      </c>
      <c r="L1804" t="s">
        <v>386</v>
      </c>
      <c r="M1804" t="s">
        <v>1184</v>
      </c>
      <c r="N1804">
        <v>14961</v>
      </c>
      <c r="O1804">
        <v>0</v>
      </c>
      <c r="Q1804" t="s">
        <v>7172</v>
      </c>
      <c r="T1804">
        <v>435</v>
      </c>
      <c r="V1804" t="s">
        <v>3129</v>
      </c>
      <c r="W1804" t="s">
        <v>1257</v>
      </c>
      <c r="X1804">
        <v>426</v>
      </c>
      <c r="Z1804" t="s">
        <v>6542</v>
      </c>
      <c r="AA1804" t="s">
        <v>387</v>
      </c>
      <c r="AB1804">
        <v>0</v>
      </c>
      <c r="AC1804">
        <v>5693</v>
      </c>
      <c r="AD1804" t="s">
        <v>7170</v>
      </c>
      <c r="AE1804">
        <v>18</v>
      </c>
      <c r="AF1804" t="s">
        <v>1259</v>
      </c>
      <c r="AG1804" t="s">
        <v>1244</v>
      </c>
      <c r="AH1804" t="s">
        <v>7173</v>
      </c>
    </row>
    <row r="1805" spans="1:34" x14ac:dyDescent="0.25">
      <c r="A1805">
        <v>1</v>
      </c>
      <c r="C1805" s="185"/>
      <c r="E1805" t="s">
        <v>386</v>
      </c>
      <c r="F1805" t="s">
        <v>7174</v>
      </c>
      <c r="G1805" t="s">
        <v>1197</v>
      </c>
      <c r="H1805" t="s">
        <v>7175</v>
      </c>
      <c r="I1805">
        <v>15973</v>
      </c>
      <c r="J1805" t="s">
        <v>7174</v>
      </c>
      <c r="K1805" t="s">
        <v>7174</v>
      </c>
      <c r="L1805" t="s">
        <v>386</v>
      </c>
      <c r="M1805" t="s">
        <v>1193</v>
      </c>
      <c r="N1805">
        <v>15973</v>
      </c>
      <c r="O1805">
        <v>0</v>
      </c>
      <c r="Q1805" t="s">
        <v>7176</v>
      </c>
      <c r="R1805" t="s">
        <v>1208</v>
      </c>
      <c r="T1805">
        <v>260</v>
      </c>
      <c r="V1805" t="s">
        <v>1216</v>
      </c>
      <c r="W1805" t="s">
        <v>2003</v>
      </c>
      <c r="X1805">
        <v>571</v>
      </c>
      <c r="Z1805" t="s">
        <v>865</v>
      </c>
      <c r="AA1805" t="s">
        <v>387</v>
      </c>
      <c r="AB1805">
        <v>0</v>
      </c>
      <c r="AC1805">
        <v>106</v>
      </c>
      <c r="AD1805" t="s">
        <v>7177</v>
      </c>
      <c r="AE1805">
        <v>604</v>
      </c>
      <c r="AF1805" t="s">
        <v>3979</v>
      </c>
      <c r="AG1805" t="s">
        <v>7178</v>
      </c>
      <c r="AH1805" t="s">
        <v>7179</v>
      </c>
    </row>
    <row r="1806" spans="1:34" x14ac:dyDescent="0.25">
      <c r="A1806">
        <v>1</v>
      </c>
      <c r="C1806" s="185"/>
      <c r="E1806" t="s">
        <v>386</v>
      </c>
      <c r="F1806" t="s">
        <v>7180</v>
      </c>
      <c r="G1806" t="s">
        <v>1197</v>
      </c>
      <c r="H1806" t="s">
        <v>7181</v>
      </c>
      <c r="I1806">
        <v>17710</v>
      </c>
      <c r="J1806" t="s">
        <v>7180</v>
      </c>
      <c r="K1806" t="s">
        <v>7182</v>
      </c>
      <c r="L1806" t="s">
        <v>386</v>
      </c>
      <c r="M1806" t="s">
        <v>1193</v>
      </c>
      <c r="N1806">
        <v>17710</v>
      </c>
      <c r="O1806">
        <v>0</v>
      </c>
      <c r="Q1806" t="s">
        <v>7183</v>
      </c>
      <c r="R1806" t="s">
        <v>1208</v>
      </c>
      <c r="T1806">
        <v>103</v>
      </c>
      <c r="V1806" t="s">
        <v>1530</v>
      </c>
      <c r="W1806" t="s">
        <v>1530</v>
      </c>
      <c r="X1806">
        <v>103</v>
      </c>
      <c r="Z1806" t="s">
        <v>865</v>
      </c>
      <c r="AA1806" t="s">
        <v>387</v>
      </c>
      <c r="AB1806">
        <v>0</v>
      </c>
      <c r="AC1806">
        <v>6621</v>
      </c>
      <c r="AD1806" t="s">
        <v>7184</v>
      </c>
      <c r="AE1806">
        <v>668</v>
      </c>
      <c r="AF1806" t="s">
        <v>7185</v>
      </c>
      <c r="AG1806" t="s">
        <v>7186</v>
      </c>
      <c r="AH1806" t="s">
        <v>7187</v>
      </c>
    </row>
    <row r="1807" spans="1:34" x14ac:dyDescent="0.25">
      <c r="A1807">
        <v>1275</v>
      </c>
      <c r="B1807" t="s">
        <v>1313</v>
      </c>
      <c r="C1807" s="185"/>
      <c r="E1807" t="s">
        <v>386</v>
      </c>
      <c r="F1807" t="s">
        <v>73</v>
      </c>
      <c r="G1807" t="s">
        <v>1197</v>
      </c>
      <c r="H1807" t="s">
        <v>6713</v>
      </c>
      <c r="I1807">
        <v>16903</v>
      </c>
      <c r="J1807" t="s">
        <v>7188</v>
      </c>
      <c r="K1807" t="s">
        <v>7189</v>
      </c>
      <c r="L1807" t="s">
        <v>386</v>
      </c>
      <c r="M1807" t="s">
        <v>1193</v>
      </c>
      <c r="N1807">
        <v>2622</v>
      </c>
      <c r="O1807">
        <v>76</v>
      </c>
      <c r="Q1807" t="s">
        <v>7190</v>
      </c>
      <c r="R1807" t="s">
        <v>398</v>
      </c>
      <c r="S1807" t="s">
        <v>2293</v>
      </c>
      <c r="T1807">
        <v>220</v>
      </c>
      <c r="U1807">
        <v>0</v>
      </c>
      <c r="V1807" t="s">
        <v>1194</v>
      </c>
      <c r="W1807" t="s">
        <v>1215</v>
      </c>
      <c r="X1807">
        <v>259</v>
      </c>
      <c r="Y1807" t="s">
        <v>1317</v>
      </c>
      <c r="Z1807" t="s">
        <v>2124</v>
      </c>
      <c r="AA1807" t="s">
        <v>387</v>
      </c>
      <c r="AB1807">
        <v>0</v>
      </c>
      <c r="AC1807">
        <v>2513</v>
      </c>
      <c r="AD1807" t="s">
        <v>7191</v>
      </c>
      <c r="AE1807">
        <v>2132</v>
      </c>
      <c r="AF1807" t="s">
        <v>6716</v>
      </c>
      <c r="AG1807" t="s">
        <v>7192</v>
      </c>
      <c r="AH1807" t="s">
        <v>7193</v>
      </c>
    </row>
    <row r="1808" spans="1:34" x14ac:dyDescent="0.25">
      <c r="A1808">
        <v>1</v>
      </c>
      <c r="C1808" s="185"/>
      <c r="E1808" t="s">
        <v>386</v>
      </c>
      <c r="F1808" t="s">
        <v>7194</v>
      </c>
      <c r="G1808" t="s">
        <v>1197</v>
      </c>
      <c r="H1808" t="s">
        <v>6873</v>
      </c>
      <c r="I1808">
        <v>15933</v>
      </c>
      <c r="J1808" t="s">
        <v>7194</v>
      </c>
      <c r="K1808" t="s">
        <v>7194</v>
      </c>
      <c r="L1808" t="s">
        <v>386</v>
      </c>
      <c r="M1808" t="s">
        <v>1193</v>
      </c>
      <c r="N1808">
        <v>15933</v>
      </c>
      <c r="O1808">
        <v>0</v>
      </c>
      <c r="Q1808" t="s">
        <v>7195</v>
      </c>
      <c r="R1808" t="s">
        <v>1208</v>
      </c>
      <c r="T1808">
        <v>571</v>
      </c>
      <c r="V1808" t="s">
        <v>2003</v>
      </c>
      <c r="W1808" t="s">
        <v>2602</v>
      </c>
      <c r="X1808">
        <v>560</v>
      </c>
      <c r="Z1808" t="s">
        <v>865</v>
      </c>
      <c r="AA1808" t="s">
        <v>387</v>
      </c>
      <c r="AB1808">
        <v>0</v>
      </c>
      <c r="AC1808">
        <v>6314</v>
      </c>
      <c r="AD1808" t="s">
        <v>6876</v>
      </c>
      <c r="AE1808">
        <v>1720</v>
      </c>
      <c r="AF1808" t="s">
        <v>5929</v>
      </c>
      <c r="AG1808" t="s">
        <v>5930</v>
      </c>
      <c r="AH1808" t="s">
        <v>6877</v>
      </c>
    </row>
    <row r="1809" spans="1:34" x14ac:dyDescent="0.25">
      <c r="A1809">
        <v>31</v>
      </c>
      <c r="C1809" s="185"/>
      <c r="E1809" t="s">
        <v>386</v>
      </c>
      <c r="F1809" t="s">
        <v>7196</v>
      </c>
      <c r="G1809" t="s">
        <v>1197</v>
      </c>
      <c r="H1809" t="s">
        <v>7197</v>
      </c>
      <c r="I1809">
        <v>16552</v>
      </c>
      <c r="J1809" t="s">
        <v>7196</v>
      </c>
      <c r="K1809" t="s">
        <v>7196</v>
      </c>
      <c r="L1809" t="s">
        <v>386</v>
      </c>
      <c r="M1809" t="s">
        <v>1193</v>
      </c>
      <c r="N1809">
        <v>16552</v>
      </c>
      <c r="O1809">
        <v>0</v>
      </c>
      <c r="Q1809" t="s">
        <v>7198</v>
      </c>
      <c r="R1809" t="s">
        <v>1223</v>
      </c>
      <c r="T1809">
        <v>259</v>
      </c>
      <c r="V1809" t="s">
        <v>1215</v>
      </c>
      <c r="W1809" t="s">
        <v>1530</v>
      </c>
      <c r="X1809">
        <v>103</v>
      </c>
      <c r="Z1809" t="s">
        <v>1132</v>
      </c>
      <c r="AA1809" t="s">
        <v>387</v>
      </c>
      <c r="AB1809">
        <v>0</v>
      </c>
      <c r="AC1809">
        <v>5881</v>
      </c>
      <c r="AD1809" t="s">
        <v>7199</v>
      </c>
      <c r="AE1809">
        <v>55</v>
      </c>
      <c r="AF1809" t="s">
        <v>7200</v>
      </c>
      <c r="AG1809" t="s">
        <v>7201</v>
      </c>
      <c r="AH1809" t="s">
        <v>7202</v>
      </c>
    </row>
    <row r="1810" spans="1:34" x14ac:dyDescent="0.25">
      <c r="A1810">
        <v>6</v>
      </c>
      <c r="C1810" s="185"/>
      <c r="E1810" t="s">
        <v>386</v>
      </c>
      <c r="F1810" t="s">
        <v>8132</v>
      </c>
      <c r="G1810" t="s">
        <v>1197</v>
      </c>
      <c r="H1810" t="s">
        <v>15521</v>
      </c>
      <c r="I1810">
        <v>17815</v>
      </c>
      <c r="J1810" t="s">
        <v>8132</v>
      </c>
      <c r="K1810" t="s">
        <v>15522</v>
      </c>
      <c r="L1810" t="s">
        <v>386</v>
      </c>
      <c r="M1810" t="s">
        <v>1193</v>
      </c>
      <c r="N1810">
        <v>17815</v>
      </c>
      <c r="O1810">
        <v>0</v>
      </c>
      <c r="Q1810" t="s">
        <v>15523</v>
      </c>
      <c r="R1810" t="s">
        <v>1223</v>
      </c>
      <c r="T1810">
        <v>260</v>
      </c>
      <c r="V1810" t="s">
        <v>1216</v>
      </c>
      <c r="W1810" t="s">
        <v>1216</v>
      </c>
      <c r="X1810">
        <v>260</v>
      </c>
      <c r="Z1810" t="s">
        <v>892</v>
      </c>
      <c r="AA1810" t="s">
        <v>387</v>
      </c>
      <c r="AB1810">
        <v>0</v>
      </c>
      <c r="AC1810">
        <v>6645</v>
      </c>
      <c r="AD1810" t="s">
        <v>15524</v>
      </c>
      <c r="AE1810">
        <v>3064</v>
      </c>
      <c r="AF1810" t="s">
        <v>15525</v>
      </c>
      <c r="AG1810" t="s">
        <v>6670</v>
      </c>
    </row>
    <row r="1811" spans="1:34" x14ac:dyDescent="0.25">
      <c r="A1811">
        <v>1</v>
      </c>
      <c r="C1811" s="185"/>
      <c r="E1811" t="s">
        <v>386</v>
      </c>
      <c r="F1811" t="s">
        <v>7203</v>
      </c>
      <c r="G1811" t="s">
        <v>1197</v>
      </c>
      <c r="H1811" t="s">
        <v>7204</v>
      </c>
      <c r="I1811">
        <v>159</v>
      </c>
      <c r="J1811" t="s">
        <v>7203</v>
      </c>
      <c r="K1811" t="s">
        <v>7205</v>
      </c>
      <c r="L1811" t="s">
        <v>386</v>
      </c>
      <c r="M1811" t="s">
        <v>1193</v>
      </c>
      <c r="N1811">
        <v>159</v>
      </c>
      <c r="O1811">
        <v>0</v>
      </c>
      <c r="Q1811" t="s">
        <v>7206</v>
      </c>
      <c r="T1811">
        <v>259</v>
      </c>
      <c r="V1811" t="s">
        <v>1215</v>
      </c>
      <c r="W1811" t="s">
        <v>2015</v>
      </c>
      <c r="X1811">
        <v>35</v>
      </c>
      <c r="Z1811" t="s">
        <v>865</v>
      </c>
      <c r="AA1811" t="s">
        <v>387</v>
      </c>
      <c r="AB1811">
        <v>0</v>
      </c>
      <c r="AC1811">
        <v>131</v>
      </c>
      <c r="AD1811" t="s">
        <v>3098</v>
      </c>
      <c r="AE1811">
        <v>26</v>
      </c>
      <c r="AF1811" t="s">
        <v>2075</v>
      </c>
      <c r="AG1811" t="s">
        <v>7207</v>
      </c>
      <c r="AH1811" t="s">
        <v>7208</v>
      </c>
    </row>
    <row r="1812" spans="1:34" x14ac:dyDescent="0.25">
      <c r="A1812">
        <v>1961</v>
      </c>
      <c r="C1812" s="185"/>
      <c r="E1812" t="s">
        <v>386</v>
      </c>
      <c r="F1812" t="s">
        <v>7209</v>
      </c>
      <c r="G1812" t="s">
        <v>1197</v>
      </c>
      <c r="H1812" t="s">
        <v>7210</v>
      </c>
      <c r="I1812">
        <v>16030</v>
      </c>
      <c r="J1812" t="s">
        <v>7209</v>
      </c>
      <c r="K1812" t="s">
        <v>7211</v>
      </c>
      <c r="L1812" t="s">
        <v>386</v>
      </c>
      <c r="M1812" t="s">
        <v>1193</v>
      </c>
      <c r="N1812">
        <v>16030</v>
      </c>
      <c r="O1812">
        <v>0</v>
      </c>
      <c r="Q1812" t="s">
        <v>7212</v>
      </c>
      <c r="T1812">
        <v>496</v>
      </c>
      <c r="V1812" t="s">
        <v>2246</v>
      </c>
      <c r="W1812" t="s">
        <v>2246</v>
      </c>
      <c r="X1812">
        <v>496</v>
      </c>
      <c r="Z1812" t="s">
        <v>7213</v>
      </c>
      <c r="AA1812" t="s">
        <v>387</v>
      </c>
      <c r="AB1812">
        <v>0</v>
      </c>
      <c r="AC1812">
        <v>2483</v>
      </c>
      <c r="AD1812" t="s">
        <v>7214</v>
      </c>
      <c r="AE1812">
        <v>1197</v>
      </c>
      <c r="AF1812" t="s">
        <v>7215</v>
      </c>
      <c r="AG1812" t="s">
        <v>7216</v>
      </c>
      <c r="AH1812" t="s">
        <v>7217</v>
      </c>
    </row>
    <row r="1813" spans="1:34" x14ac:dyDescent="0.25">
      <c r="A1813">
        <v>1047</v>
      </c>
      <c r="C1813" s="185"/>
      <c r="E1813" t="s">
        <v>386</v>
      </c>
      <c r="F1813" t="s">
        <v>7218</v>
      </c>
      <c r="G1813" t="s">
        <v>1197</v>
      </c>
      <c r="H1813" t="s">
        <v>7219</v>
      </c>
      <c r="I1813">
        <v>13382</v>
      </c>
      <c r="J1813" t="s">
        <v>7218</v>
      </c>
      <c r="K1813" t="s">
        <v>7218</v>
      </c>
      <c r="L1813" t="s">
        <v>386</v>
      </c>
      <c r="M1813" t="s">
        <v>1193</v>
      </c>
      <c r="N1813">
        <v>13382</v>
      </c>
      <c r="O1813">
        <v>57</v>
      </c>
      <c r="Q1813" t="s">
        <v>7220</v>
      </c>
      <c r="R1813" t="s">
        <v>398</v>
      </c>
      <c r="T1813">
        <v>220</v>
      </c>
      <c r="V1813" t="s">
        <v>1194</v>
      </c>
      <c r="W1813" t="s">
        <v>2067</v>
      </c>
      <c r="X1813">
        <v>304</v>
      </c>
      <c r="Z1813" t="s">
        <v>7221</v>
      </c>
      <c r="AA1813" t="s">
        <v>387</v>
      </c>
      <c r="AB1813">
        <v>49000</v>
      </c>
      <c r="AC1813">
        <v>5015</v>
      </c>
      <c r="AD1813" t="s">
        <v>7222</v>
      </c>
      <c r="AE1813">
        <v>2321</v>
      </c>
      <c r="AF1813" t="s">
        <v>7223</v>
      </c>
      <c r="AG1813" t="s">
        <v>2044</v>
      </c>
      <c r="AH1813" t="s">
        <v>7224</v>
      </c>
    </row>
    <row r="1814" spans="1:34" x14ac:dyDescent="0.25">
      <c r="A1814">
        <v>1047</v>
      </c>
      <c r="C1814" s="185"/>
      <c r="E1814" t="s">
        <v>386</v>
      </c>
      <c r="F1814" t="s">
        <v>7225</v>
      </c>
      <c r="G1814" t="s">
        <v>1197</v>
      </c>
      <c r="H1814" t="s">
        <v>7219</v>
      </c>
      <c r="I1814">
        <v>1137</v>
      </c>
      <c r="J1814" t="s">
        <v>7225</v>
      </c>
      <c r="K1814" t="s">
        <v>7226</v>
      </c>
      <c r="L1814" t="s">
        <v>386</v>
      </c>
      <c r="M1814" t="s">
        <v>1193</v>
      </c>
      <c r="N1814">
        <v>1137</v>
      </c>
      <c r="O1814">
        <v>57</v>
      </c>
      <c r="Q1814" t="s">
        <v>7227</v>
      </c>
      <c r="T1814">
        <v>220</v>
      </c>
      <c r="V1814" t="s">
        <v>1194</v>
      </c>
      <c r="W1814" t="s">
        <v>1186</v>
      </c>
      <c r="X1814">
        <v>0</v>
      </c>
      <c r="Z1814" t="s">
        <v>7221</v>
      </c>
      <c r="AA1814" t="s">
        <v>387</v>
      </c>
      <c r="AB1814">
        <v>49000</v>
      </c>
      <c r="AC1814">
        <v>913</v>
      </c>
      <c r="AD1814" t="s">
        <v>7228</v>
      </c>
      <c r="AE1814">
        <v>423</v>
      </c>
      <c r="AF1814" t="s">
        <v>7229</v>
      </c>
      <c r="AH1814" t="s">
        <v>7230</v>
      </c>
    </row>
    <row r="1815" spans="1:34" x14ac:dyDescent="0.25">
      <c r="A1815">
        <v>998</v>
      </c>
      <c r="C1815" s="185"/>
      <c r="E1815" t="s">
        <v>386</v>
      </c>
      <c r="F1815" t="s">
        <v>7231</v>
      </c>
      <c r="G1815" t="s">
        <v>1197</v>
      </c>
      <c r="H1815" t="s">
        <v>7232</v>
      </c>
      <c r="I1815">
        <v>3061</v>
      </c>
      <c r="J1815" t="s">
        <v>7231</v>
      </c>
      <c r="K1815" t="s">
        <v>7233</v>
      </c>
      <c r="L1815" t="s">
        <v>386</v>
      </c>
      <c r="M1815" t="s">
        <v>1193</v>
      </c>
      <c r="N1815">
        <v>3061</v>
      </c>
      <c r="O1815">
        <v>65</v>
      </c>
      <c r="Q1815" t="s">
        <v>7234</v>
      </c>
      <c r="R1815" t="s">
        <v>398</v>
      </c>
      <c r="T1815">
        <v>220</v>
      </c>
      <c r="V1815" t="s">
        <v>1194</v>
      </c>
      <c r="W1815" t="s">
        <v>2144</v>
      </c>
      <c r="X1815">
        <v>39</v>
      </c>
      <c r="Z1815" t="s">
        <v>7235</v>
      </c>
      <c r="AA1815" t="s">
        <v>387</v>
      </c>
      <c r="AB1815">
        <v>57000</v>
      </c>
      <c r="AC1815">
        <v>2044</v>
      </c>
      <c r="AD1815" t="s">
        <v>7236</v>
      </c>
      <c r="AE1815">
        <v>19</v>
      </c>
      <c r="AF1815" t="s">
        <v>7237</v>
      </c>
      <c r="AG1815" t="s">
        <v>1244</v>
      </c>
    </row>
    <row r="1816" spans="1:34" x14ac:dyDescent="0.25">
      <c r="A1816">
        <v>1368</v>
      </c>
      <c r="C1816" s="185"/>
      <c r="D1816" t="s">
        <v>24</v>
      </c>
      <c r="E1816" t="s">
        <v>386</v>
      </c>
      <c r="F1816" t="s">
        <v>7238</v>
      </c>
      <c r="G1816" t="s">
        <v>1197</v>
      </c>
      <c r="H1816" t="s">
        <v>2040</v>
      </c>
      <c r="I1816">
        <v>1909</v>
      </c>
      <c r="J1816" t="s">
        <v>7238</v>
      </c>
      <c r="K1816" t="s">
        <v>7239</v>
      </c>
      <c r="L1816" t="s">
        <v>386</v>
      </c>
      <c r="M1816" t="s">
        <v>1193</v>
      </c>
      <c r="N1816">
        <v>1909</v>
      </c>
      <c r="O1816">
        <v>76</v>
      </c>
      <c r="Q1816" t="s">
        <v>7240</v>
      </c>
      <c r="R1816" t="s">
        <v>398</v>
      </c>
      <c r="T1816">
        <v>220</v>
      </c>
      <c r="V1816" t="s">
        <v>1194</v>
      </c>
      <c r="W1816" t="s">
        <v>1194</v>
      </c>
      <c r="X1816">
        <v>220</v>
      </c>
      <c r="Z1816" t="s">
        <v>2041</v>
      </c>
      <c r="AA1816" t="s">
        <v>387</v>
      </c>
      <c r="AB1816">
        <v>69000</v>
      </c>
      <c r="AC1816">
        <v>1413</v>
      </c>
      <c r="AD1816" t="s">
        <v>7241</v>
      </c>
      <c r="AE1816">
        <v>18</v>
      </c>
      <c r="AF1816" t="s">
        <v>1259</v>
      </c>
      <c r="AG1816" t="s">
        <v>1931</v>
      </c>
      <c r="AH1816" t="s">
        <v>7242</v>
      </c>
    </row>
    <row r="1817" spans="1:34" x14ac:dyDescent="0.25">
      <c r="A1817">
        <v>1275</v>
      </c>
      <c r="B1817" t="s">
        <v>1313</v>
      </c>
      <c r="C1817" s="185"/>
      <c r="D1817" t="s">
        <v>24</v>
      </c>
      <c r="E1817" t="s">
        <v>386</v>
      </c>
      <c r="F1817" t="s">
        <v>528</v>
      </c>
      <c r="G1817" t="s">
        <v>1197</v>
      </c>
      <c r="H1817" t="s">
        <v>3080</v>
      </c>
      <c r="I1817">
        <v>7420</v>
      </c>
      <c r="J1817" t="s">
        <v>528</v>
      </c>
      <c r="K1817" t="s">
        <v>7243</v>
      </c>
      <c r="L1817" t="s">
        <v>386</v>
      </c>
      <c r="M1817" t="s">
        <v>1193</v>
      </c>
      <c r="N1817">
        <v>7420</v>
      </c>
      <c r="O1817">
        <v>76</v>
      </c>
      <c r="Q1817" t="s">
        <v>7244</v>
      </c>
      <c r="R1817" t="s">
        <v>398</v>
      </c>
      <c r="S1817" t="s">
        <v>1909</v>
      </c>
      <c r="T1817">
        <v>220</v>
      </c>
      <c r="U1817">
        <v>0</v>
      </c>
      <c r="V1817" t="s">
        <v>1194</v>
      </c>
      <c r="W1817" t="s">
        <v>3202</v>
      </c>
      <c r="X1817">
        <v>280</v>
      </c>
      <c r="Y1817" t="s">
        <v>1317</v>
      </c>
      <c r="Z1817" t="s">
        <v>2124</v>
      </c>
      <c r="AA1817" t="s">
        <v>387</v>
      </c>
      <c r="AB1817">
        <v>0</v>
      </c>
      <c r="AC1817">
        <v>2513</v>
      </c>
      <c r="AD1817" t="s">
        <v>7191</v>
      </c>
      <c r="AE1817">
        <v>18</v>
      </c>
      <c r="AF1817" t="s">
        <v>1259</v>
      </c>
      <c r="AG1817" t="s">
        <v>7245</v>
      </c>
      <c r="AH1817" t="s">
        <v>7246</v>
      </c>
    </row>
    <row r="1818" spans="1:34" x14ac:dyDescent="0.25">
      <c r="A1818">
        <v>1275</v>
      </c>
      <c r="C1818" s="185"/>
      <c r="E1818" t="s">
        <v>386</v>
      </c>
      <c r="F1818" t="s">
        <v>7247</v>
      </c>
      <c r="G1818" t="s">
        <v>1197</v>
      </c>
      <c r="H1818" t="s">
        <v>7248</v>
      </c>
      <c r="I1818">
        <v>12830</v>
      </c>
      <c r="J1818" t="s">
        <v>7247</v>
      </c>
      <c r="K1818" t="s">
        <v>7249</v>
      </c>
      <c r="L1818" t="s">
        <v>386</v>
      </c>
      <c r="M1818" t="s">
        <v>1193</v>
      </c>
      <c r="N1818">
        <v>12830</v>
      </c>
      <c r="O1818">
        <v>0</v>
      </c>
      <c r="Q1818" t="s">
        <v>7250</v>
      </c>
      <c r="R1818" t="s">
        <v>1208</v>
      </c>
      <c r="T1818">
        <v>304</v>
      </c>
      <c r="V1818" t="s">
        <v>2067</v>
      </c>
      <c r="Z1818" t="s">
        <v>2124</v>
      </c>
      <c r="AA1818" t="s">
        <v>387</v>
      </c>
      <c r="AB1818">
        <v>0</v>
      </c>
      <c r="AC1818">
        <v>4791</v>
      </c>
      <c r="AD1818" t="s">
        <v>7251</v>
      </c>
      <c r="AE1818">
        <v>1</v>
      </c>
      <c r="AF1818" t="s">
        <v>1922</v>
      </c>
      <c r="AG1818" t="s">
        <v>7252</v>
      </c>
      <c r="AH1818" t="s">
        <v>7253</v>
      </c>
    </row>
    <row r="1819" spans="1:34" x14ac:dyDescent="0.25">
      <c r="A1819">
        <v>1278</v>
      </c>
      <c r="C1819" s="185"/>
      <c r="E1819" t="s">
        <v>386</v>
      </c>
      <c r="F1819" t="s">
        <v>699</v>
      </c>
      <c r="G1819" t="s">
        <v>1197</v>
      </c>
      <c r="H1819" t="s">
        <v>7254</v>
      </c>
      <c r="I1819">
        <v>17310</v>
      </c>
      <c r="J1819" t="s">
        <v>699</v>
      </c>
      <c r="K1819" t="s">
        <v>7255</v>
      </c>
      <c r="L1819" t="s">
        <v>386</v>
      </c>
      <c r="M1819" t="s">
        <v>1193</v>
      </c>
      <c r="N1819">
        <v>17310</v>
      </c>
      <c r="O1819">
        <v>73</v>
      </c>
      <c r="Q1819" t="s">
        <v>7256</v>
      </c>
      <c r="R1819" t="s">
        <v>398</v>
      </c>
      <c r="T1819">
        <v>119</v>
      </c>
      <c r="V1819" t="s">
        <v>7257</v>
      </c>
      <c r="W1819" t="s">
        <v>1988</v>
      </c>
      <c r="X1819">
        <v>122</v>
      </c>
      <c r="Z1819" t="s">
        <v>1128</v>
      </c>
      <c r="AA1819" t="s">
        <v>387</v>
      </c>
      <c r="AB1819">
        <v>68000</v>
      </c>
      <c r="AC1819">
        <v>2537</v>
      </c>
      <c r="AD1819" t="s">
        <v>7258</v>
      </c>
      <c r="AE1819">
        <v>3006</v>
      </c>
      <c r="AF1819" t="s">
        <v>7259</v>
      </c>
      <c r="AG1819" t="s">
        <v>7260</v>
      </c>
      <c r="AH1819" t="s">
        <v>7261</v>
      </c>
    </row>
    <row r="1820" spans="1:34" x14ac:dyDescent="0.25">
      <c r="A1820">
        <v>337</v>
      </c>
      <c r="C1820" s="185"/>
      <c r="D1820" t="s">
        <v>157</v>
      </c>
      <c r="E1820" t="s">
        <v>386</v>
      </c>
      <c r="F1820" t="s">
        <v>188</v>
      </c>
      <c r="G1820" t="s">
        <v>1197</v>
      </c>
      <c r="H1820" t="s">
        <v>3486</v>
      </c>
      <c r="I1820">
        <v>12822</v>
      </c>
      <c r="J1820" t="s">
        <v>188</v>
      </c>
      <c r="K1820" t="s">
        <v>7262</v>
      </c>
      <c r="L1820" t="s">
        <v>386</v>
      </c>
      <c r="M1820" t="s">
        <v>1193</v>
      </c>
      <c r="N1820">
        <v>12822</v>
      </c>
      <c r="O1820">
        <v>25</v>
      </c>
      <c r="Q1820" t="s">
        <v>7263</v>
      </c>
      <c r="T1820">
        <v>246</v>
      </c>
      <c r="V1820" t="s">
        <v>3321</v>
      </c>
      <c r="W1820" t="s">
        <v>2107</v>
      </c>
      <c r="X1820">
        <v>272</v>
      </c>
      <c r="Z1820" t="s">
        <v>3487</v>
      </c>
      <c r="AA1820" t="s">
        <v>387</v>
      </c>
      <c r="AB1820">
        <v>19000</v>
      </c>
      <c r="AC1820">
        <v>728</v>
      </c>
      <c r="AD1820" t="s">
        <v>7264</v>
      </c>
      <c r="AE1820">
        <v>2207</v>
      </c>
      <c r="AF1820" t="s">
        <v>7265</v>
      </c>
      <c r="AG1820" t="s">
        <v>7266</v>
      </c>
      <c r="AH1820" t="s">
        <v>7267</v>
      </c>
    </row>
    <row r="1821" spans="1:34" x14ac:dyDescent="0.25">
      <c r="A1821">
        <v>118</v>
      </c>
      <c r="B1821" t="s">
        <v>1313</v>
      </c>
      <c r="C1821" s="185"/>
      <c r="D1821" t="s">
        <v>24</v>
      </c>
      <c r="E1821" t="s">
        <v>386</v>
      </c>
      <c r="F1821" t="s">
        <v>41</v>
      </c>
      <c r="G1821" t="s">
        <v>1197</v>
      </c>
      <c r="H1821" t="s">
        <v>7268</v>
      </c>
      <c r="I1821">
        <v>505</v>
      </c>
      <c r="J1821" t="s">
        <v>41</v>
      </c>
      <c r="K1821" t="s">
        <v>7269</v>
      </c>
      <c r="L1821" t="s">
        <v>386</v>
      </c>
      <c r="M1821" t="s">
        <v>1193</v>
      </c>
      <c r="N1821">
        <v>505</v>
      </c>
      <c r="O1821">
        <v>65</v>
      </c>
      <c r="Q1821" t="s">
        <v>7270</v>
      </c>
      <c r="R1821" t="s">
        <v>398</v>
      </c>
      <c r="S1821" t="s">
        <v>1909</v>
      </c>
      <c r="T1821">
        <v>521</v>
      </c>
      <c r="U1821">
        <v>0</v>
      </c>
      <c r="V1821" t="s">
        <v>6311</v>
      </c>
      <c r="W1821" t="s">
        <v>1194</v>
      </c>
      <c r="X1821">
        <v>220</v>
      </c>
      <c r="Y1821" t="s">
        <v>1317</v>
      </c>
      <c r="Z1821" t="s">
        <v>1044</v>
      </c>
      <c r="AA1821" t="s">
        <v>387</v>
      </c>
      <c r="AB1821">
        <v>57000</v>
      </c>
      <c r="AC1821">
        <v>502</v>
      </c>
      <c r="AD1821" t="s">
        <v>7271</v>
      </c>
      <c r="AE1821">
        <v>222</v>
      </c>
      <c r="AF1821" t="s">
        <v>7272</v>
      </c>
      <c r="AG1821" t="s">
        <v>2599</v>
      </c>
      <c r="AH1821" t="s">
        <v>7273</v>
      </c>
    </row>
    <row r="1822" spans="1:34" x14ac:dyDescent="0.25">
      <c r="A1822">
        <v>56</v>
      </c>
      <c r="B1822" t="s">
        <v>1313</v>
      </c>
      <c r="C1822" s="185"/>
      <c r="D1822" t="s">
        <v>24</v>
      </c>
      <c r="E1822" t="s">
        <v>386</v>
      </c>
      <c r="F1822" t="s">
        <v>356</v>
      </c>
      <c r="G1822" t="s">
        <v>1197</v>
      </c>
      <c r="H1822" t="s">
        <v>7274</v>
      </c>
      <c r="I1822">
        <v>214</v>
      </c>
      <c r="J1822" t="s">
        <v>149</v>
      </c>
      <c r="K1822" t="s">
        <v>7275</v>
      </c>
      <c r="L1822" t="s">
        <v>386</v>
      </c>
      <c r="M1822" t="s">
        <v>1193</v>
      </c>
      <c r="N1822">
        <v>15344</v>
      </c>
      <c r="O1822">
        <v>57</v>
      </c>
      <c r="Q1822" t="s">
        <v>7276</v>
      </c>
      <c r="R1822" t="s">
        <v>398</v>
      </c>
      <c r="S1822" t="s">
        <v>1909</v>
      </c>
      <c r="T1822">
        <v>396</v>
      </c>
      <c r="U1822">
        <v>0</v>
      </c>
      <c r="V1822" t="s">
        <v>2186</v>
      </c>
      <c r="W1822" t="s">
        <v>5678</v>
      </c>
      <c r="X1822">
        <v>449</v>
      </c>
      <c r="Y1822" t="s">
        <v>1317</v>
      </c>
      <c r="Z1822" t="s">
        <v>880</v>
      </c>
      <c r="AA1822" t="s">
        <v>387</v>
      </c>
      <c r="AB1822">
        <v>49000</v>
      </c>
      <c r="AC1822">
        <v>272</v>
      </c>
      <c r="AD1822" t="s">
        <v>7277</v>
      </c>
      <c r="AE1822">
        <v>660</v>
      </c>
      <c r="AF1822" t="s">
        <v>7278</v>
      </c>
      <c r="AG1822" t="s">
        <v>5622</v>
      </c>
      <c r="AH1822" t="s">
        <v>7279</v>
      </c>
    </row>
    <row r="1823" spans="1:34" x14ac:dyDescent="0.25">
      <c r="A1823">
        <v>56</v>
      </c>
      <c r="C1823" s="185"/>
      <c r="E1823" t="s">
        <v>386</v>
      </c>
      <c r="F1823" t="s">
        <v>7280</v>
      </c>
      <c r="G1823" t="s">
        <v>1197</v>
      </c>
      <c r="H1823" t="s">
        <v>7281</v>
      </c>
      <c r="I1823">
        <v>13124</v>
      </c>
      <c r="J1823" t="s">
        <v>7280</v>
      </c>
      <c r="K1823" t="s">
        <v>7282</v>
      </c>
      <c r="L1823" t="s">
        <v>386</v>
      </c>
      <c r="M1823" t="s">
        <v>1193</v>
      </c>
      <c r="N1823">
        <v>13124</v>
      </c>
      <c r="O1823">
        <v>0</v>
      </c>
      <c r="Q1823" t="s">
        <v>7283</v>
      </c>
      <c r="R1823" t="s">
        <v>398</v>
      </c>
      <c r="T1823">
        <v>260</v>
      </c>
      <c r="V1823" t="s">
        <v>1216</v>
      </c>
      <c r="W1823" t="s">
        <v>4167</v>
      </c>
      <c r="X1823">
        <v>517</v>
      </c>
      <c r="Z1823" t="s">
        <v>880</v>
      </c>
      <c r="AA1823" t="s">
        <v>387</v>
      </c>
      <c r="AB1823">
        <v>0</v>
      </c>
      <c r="AC1823">
        <v>6111</v>
      </c>
      <c r="AD1823" t="s">
        <v>7284</v>
      </c>
      <c r="AE1823">
        <v>2426</v>
      </c>
      <c r="AF1823" t="s">
        <v>7285</v>
      </c>
      <c r="AG1823" t="s">
        <v>7286</v>
      </c>
      <c r="AH1823" t="s">
        <v>7287</v>
      </c>
    </row>
    <row r="1824" spans="1:34" x14ac:dyDescent="0.25">
      <c r="A1824">
        <v>56</v>
      </c>
      <c r="B1824" t="s">
        <v>1313</v>
      </c>
      <c r="C1824" s="185"/>
      <c r="D1824" t="s">
        <v>24</v>
      </c>
      <c r="E1824" t="s">
        <v>386</v>
      </c>
      <c r="F1824" t="s">
        <v>356</v>
      </c>
      <c r="G1824" t="s">
        <v>1197</v>
      </c>
      <c r="H1824" t="s">
        <v>7288</v>
      </c>
      <c r="I1824">
        <v>215</v>
      </c>
      <c r="J1824" t="s">
        <v>221</v>
      </c>
      <c r="K1824" t="s">
        <v>7275</v>
      </c>
      <c r="L1824" t="s">
        <v>386</v>
      </c>
      <c r="M1824" t="s">
        <v>1193</v>
      </c>
      <c r="N1824">
        <v>15344</v>
      </c>
      <c r="O1824">
        <v>57</v>
      </c>
      <c r="Q1824" t="s">
        <v>7289</v>
      </c>
      <c r="R1824" t="s">
        <v>398</v>
      </c>
      <c r="S1824" t="s">
        <v>1909</v>
      </c>
      <c r="T1824">
        <v>396</v>
      </c>
      <c r="U1824">
        <v>0</v>
      </c>
      <c r="V1824" t="s">
        <v>2186</v>
      </c>
      <c r="W1824" t="s">
        <v>2107</v>
      </c>
      <c r="X1824">
        <v>272</v>
      </c>
      <c r="Y1824" t="s">
        <v>1317</v>
      </c>
      <c r="Z1824" t="s">
        <v>880</v>
      </c>
      <c r="AA1824" t="s">
        <v>387</v>
      </c>
      <c r="AB1824">
        <v>49000</v>
      </c>
      <c r="AC1824">
        <v>273</v>
      </c>
      <c r="AD1824" t="s">
        <v>7290</v>
      </c>
      <c r="AE1824">
        <v>98</v>
      </c>
      <c r="AF1824" t="s">
        <v>4079</v>
      </c>
      <c r="AG1824" t="s">
        <v>2105</v>
      </c>
      <c r="AH1824" t="s">
        <v>7279</v>
      </c>
    </row>
    <row r="1825" spans="1:34" x14ac:dyDescent="0.25">
      <c r="A1825">
        <v>56</v>
      </c>
      <c r="C1825" s="185"/>
      <c r="E1825" t="s">
        <v>386</v>
      </c>
      <c r="F1825" t="s">
        <v>7291</v>
      </c>
      <c r="G1825" t="s">
        <v>1197</v>
      </c>
      <c r="H1825" t="s">
        <v>7292</v>
      </c>
      <c r="I1825">
        <v>16507</v>
      </c>
      <c r="J1825" t="s">
        <v>7291</v>
      </c>
      <c r="K1825" t="s">
        <v>7293</v>
      </c>
      <c r="L1825" t="s">
        <v>386</v>
      </c>
      <c r="M1825" t="s">
        <v>1193</v>
      </c>
      <c r="N1825">
        <v>16507</v>
      </c>
      <c r="O1825">
        <v>0</v>
      </c>
      <c r="Q1825" t="s">
        <v>7294</v>
      </c>
      <c r="T1825">
        <v>496</v>
      </c>
      <c r="V1825" t="s">
        <v>2246</v>
      </c>
      <c r="W1825" t="s">
        <v>2246</v>
      </c>
      <c r="X1825">
        <v>496</v>
      </c>
      <c r="Z1825" t="s">
        <v>880</v>
      </c>
      <c r="AA1825" t="s">
        <v>387</v>
      </c>
      <c r="AB1825">
        <v>0</v>
      </c>
      <c r="AC1825">
        <v>6169</v>
      </c>
      <c r="AD1825" t="s">
        <v>7295</v>
      </c>
      <c r="AE1825">
        <v>2426</v>
      </c>
      <c r="AF1825" t="s">
        <v>7285</v>
      </c>
      <c r="AG1825" t="s">
        <v>7296</v>
      </c>
      <c r="AH1825" t="s">
        <v>7297</v>
      </c>
    </row>
    <row r="1826" spans="1:34" x14ac:dyDescent="0.25">
      <c r="A1826">
        <v>56</v>
      </c>
      <c r="C1826" s="185"/>
      <c r="D1826" t="s">
        <v>24</v>
      </c>
      <c r="E1826" t="s">
        <v>386</v>
      </c>
      <c r="F1826" t="s">
        <v>742</v>
      </c>
      <c r="G1826" t="s">
        <v>1197</v>
      </c>
      <c r="H1826" t="s">
        <v>7298</v>
      </c>
      <c r="I1826">
        <v>16921</v>
      </c>
      <c r="J1826" t="s">
        <v>742</v>
      </c>
      <c r="K1826" t="s">
        <v>7299</v>
      </c>
      <c r="L1826" t="s">
        <v>386</v>
      </c>
      <c r="M1826" t="s">
        <v>1193</v>
      </c>
      <c r="N1826">
        <v>16921</v>
      </c>
      <c r="O1826">
        <v>0</v>
      </c>
      <c r="Q1826" t="s">
        <v>7300</v>
      </c>
      <c r="R1826" t="s">
        <v>398</v>
      </c>
      <c r="T1826">
        <v>521</v>
      </c>
      <c r="V1826" t="s">
        <v>6311</v>
      </c>
      <c r="W1826" t="s">
        <v>1216</v>
      </c>
      <c r="X1826">
        <v>260</v>
      </c>
      <c r="Z1826" t="s">
        <v>880</v>
      </c>
      <c r="AA1826" t="s">
        <v>387</v>
      </c>
      <c r="AB1826">
        <v>0</v>
      </c>
      <c r="AC1826">
        <v>6297</v>
      </c>
      <c r="AD1826" t="s">
        <v>7301</v>
      </c>
      <c r="AE1826">
        <v>98</v>
      </c>
      <c r="AF1826" t="s">
        <v>4079</v>
      </c>
      <c r="AG1826" t="s">
        <v>7302</v>
      </c>
      <c r="AH1826" t="s">
        <v>7303</v>
      </c>
    </row>
    <row r="1827" spans="1:34" x14ac:dyDescent="0.25">
      <c r="A1827">
        <v>1246</v>
      </c>
      <c r="B1827" t="s">
        <v>1313</v>
      </c>
      <c r="C1827" s="185"/>
      <c r="D1827" t="s">
        <v>24</v>
      </c>
      <c r="E1827" t="s">
        <v>386</v>
      </c>
      <c r="F1827" t="s">
        <v>7304</v>
      </c>
      <c r="G1827" t="s">
        <v>1197</v>
      </c>
      <c r="H1827" t="s">
        <v>4477</v>
      </c>
      <c r="I1827">
        <v>1906</v>
      </c>
      <c r="J1827" t="s">
        <v>7304</v>
      </c>
      <c r="K1827" t="s">
        <v>7305</v>
      </c>
      <c r="L1827" t="s">
        <v>386</v>
      </c>
      <c r="M1827" t="s">
        <v>1193</v>
      </c>
      <c r="N1827">
        <v>1906</v>
      </c>
      <c r="O1827">
        <v>65</v>
      </c>
      <c r="Q1827" t="s">
        <v>7306</v>
      </c>
      <c r="R1827" t="s">
        <v>398</v>
      </c>
      <c r="S1827" t="s">
        <v>7307</v>
      </c>
      <c r="T1827">
        <v>220</v>
      </c>
      <c r="U1827">
        <v>0</v>
      </c>
      <c r="V1827" t="s">
        <v>1194</v>
      </c>
      <c r="W1827" t="s">
        <v>1205</v>
      </c>
      <c r="X1827">
        <v>2</v>
      </c>
      <c r="Y1827" t="s">
        <v>1317</v>
      </c>
      <c r="Z1827" t="s">
        <v>961</v>
      </c>
      <c r="AA1827" t="s">
        <v>387</v>
      </c>
      <c r="AB1827">
        <v>57000</v>
      </c>
      <c r="AC1827">
        <v>1412</v>
      </c>
      <c r="AD1827" t="s">
        <v>7308</v>
      </c>
      <c r="AE1827">
        <v>683</v>
      </c>
      <c r="AF1827" t="s">
        <v>7309</v>
      </c>
      <c r="AG1827" t="s">
        <v>7310</v>
      </c>
    </row>
    <row r="1828" spans="1:34" x14ac:dyDescent="0.25">
      <c r="A1828">
        <v>31</v>
      </c>
      <c r="C1828" s="185"/>
      <c r="E1828" t="s">
        <v>386</v>
      </c>
      <c r="F1828" t="s">
        <v>7311</v>
      </c>
      <c r="G1828" t="s">
        <v>1197</v>
      </c>
      <c r="H1828" t="s">
        <v>7312</v>
      </c>
      <c r="I1828">
        <v>2209</v>
      </c>
      <c r="J1828" t="s">
        <v>7311</v>
      </c>
      <c r="K1828" t="s">
        <v>7311</v>
      </c>
      <c r="L1828" t="s">
        <v>386</v>
      </c>
      <c r="M1828" t="s">
        <v>1193</v>
      </c>
      <c r="N1828">
        <v>2209</v>
      </c>
      <c r="O1828">
        <v>0</v>
      </c>
      <c r="Q1828" t="s">
        <v>7313</v>
      </c>
      <c r="T1828">
        <v>52</v>
      </c>
      <c r="V1828" t="s">
        <v>2024</v>
      </c>
      <c r="Z1828" t="s">
        <v>1132</v>
      </c>
      <c r="AA1828" t="s">
        <v>387</v>
      </c>
      <c r="AB1828">
        <v>0</v>
      </c>
      <c r="AC1828">
        <v>1626</v>
      </c>
      <c r="AD1828" t="s">
        <v>7314</v>
      </c>
      <c r="AE1828">
        <v>1</v>
      </c>
      <c r="AF1828" t="s">
        <v>1922</v>
      </c>
      <c r="AG1828" t="s">
        <v>2379</v>
      </c>
    </row>
    <row r="1829" spans="1:34" x14ac:dyDescent="0.25">
      <c r="A1829">
        <v>1447</v>
      </c>
      <c r="B1829" t="s">
        <v>1313</v>
      </c>
      <c r="C1829" s="185"/>
      <c r="D1829" t="s">
        <v>24</v>
      </c>
      <c r="E1829" t="s">
        <v>386</v>
      </c>
      <c r="F1829" t="s">
        <v>359</v>
      </c>
      <c r="G1829" t="s">
        <v>1197</v>
      </c>
      <c r="H1829" t="s">
        <v>7315</v>
      </c>
      <c r="I1829">
        <v>13220</v>
      </c>
      <c r="J1829" t="s">
        <v>7316</v>
      </c>
      <c r="K1829" t="s">
        <v>7317</v>
      </c>
      <c r="L1829" t="s">
        <v>386</v>
      </c>
      <c r="M1829" t="s">
        <v>1193</v>
      </c>
      <c r="N1829">
        <v>15345</v>
      </c>
      <c r="O1829">
        <v>57</v>
      </c>
      <c r="Q1829" t="s">
        <v>7318</v>
      </c>
      <c r="R1829" t="s">
        <v>398</v>
      </c>
      <c r="S1829" t="s">
        <v>7319</v>
      </c>
      <c r="T1829">
        <v>200</v>
      </c>
      <c r="U1829">
        <v>0</v>
      </c>
      <c r="V1829" t="s">
        <v>1199</v>
      </c>
      <c r="W1829" t="s">
        <v>2107</v>
      </c>
      <c r="X1829">
        <v>272</v>
      </c>
      <c r="Y1829" t="s">
        <v>1317</v>
      </c>
      <c r="Z1829" t="s">
        <v>2113</v>
      </c>
      <c r="AA1829" t="s">
        <v>387</v>
      </c>
      <c r="AB1829">
        <v>49000</v>
      </c>
      <c r="AC1829">
        <v>4949</v>
      </c>
      <c r="AD1829" t="s">
        <v>1117</v>
      </c>
      <c r="AE1829">
        <v>2281</v>
      </c>
      <c r="AF1829" t="s">
        <v>5848</v>
      </c>
      <c r="AG1829" t="s">
        <v>1244</v>
      </c>
      <c r="AH1829" t="s">
        <v>7320</v>
      </c>
    </row>
    <row r="1830" spans="1:34" x14ac:dyDescent="0.25">
      <c r="A1830">
        <v>1</v>
      </c>
      <c r="C1830" s="185">
        <v>38100</v>
      </c>
      <c r="E1830" t="s">
        <v>386</v>
      </c>
      <c r="F1830" t="s">
        <v>7321</v>
      </c>
      <c r="G1830" t="s">
        <v>1197</v>
      </c>
      <c r="H1830" t="s">
        <v>5793</v>
      </c>
      <c r="I1830">
        <v>7999</v>
      </c>
      <c r="J1830" t="s">
        <v>7321</v>
      </c>
      <c r="K1830" t="s">
        <v>7321</v>
      </c>
      <c r="L1830" t="s">
        <v>386</v>
      </c>
      <c r="M1830" t="s">
        <v>1193</v>
      </c>
      <c r="N1830">
        <v>7999</v>
      </c>
      <c r="O1830">
        <v>0</v>
      </c>
      <c r="Q1830" t="s">
        <v>7322</v>
      </c>
      <c r="R1830" t="s">
        <v>398</v>
      </c>
      <c r="T1830">
        <v>571</v>
      </c>
      <c r="V1830" t="s">
        <v>2003</v>
      </c>
      <c r="W1830" t="s">
        <v>2727</v>
      </c>
      <c r="X1830">
        <v>146</v>
      </c>
      <c r="Z1830" t="s">
        <v>865</v>
      </c>
      <c r="AA1830" t="s">
        <v>387</v>
      </c>
      <c r="AB1830">
        <v>0</v>
      </c>
      <c r="AC1830">
        <v>1607</v>
      </c>
      <c r="AD1830" t="s">
        <v>6129</v>
      </c>
      <c r="AE1830">
        <v>114</v>
      </c>
      <c r="AF1830" t="s">
        <v>1218</v>
      </c>
      <c r="AG1830" t="s">
        <v>7323</v>
      </c>
      <c r="AH1830" t="s">
        <v>7324</v>
      </c>
    </row>
    <row r="1831" spans="1:34" x14ac:dyDescent="0.25">
      <c r="A1831">
        <v>25</v>
      </c>
      <c r="C1831" s="185"/>
      <c r="D1831" t="s">
        <v>24</v>
      </c>
      <c r="E1831" t="s">
        <v>386</v>
      </c>
      <c r="F1831" t="s">
        <v>7325</v>
      </c>
      <c r="G1831" t="s">
        <v>1192</v>
      </c>
      <c r="H1831" t="s">
        <v>7326</v>
      </c>
      <c r="I1831">
        <v>594</v>
      </c>
      <c r="J1831" t="s">
        <v>7325</v>
      </c>
      <c r="K1831" t="s">
        <v>7327</v>
      </c>
      <c r="L1831" t="s">
        <v>386</v>
      </c>
      <c r="M1831" t="s">
        <v>1193</v>
      </c>
      <c r="N1831">
        <v>594</v>
      </c>
      <c r="O1831">
        <v>0</v>
      </c>
      <c r="Q1831" t="s">
        <v>7328</v>
      </c>
      <c r="T1831">
        <v>571</v>
      </c>
      <c r="V1831" t="s">
        <v>2003</v>
      </c>
      <c r="W1831" t="s">
        <v>1200</v>
      </c>
      <c r="X1831">
        <v>340</v>
      </c>
      <c r="Z1831" t="s">
        <v>857</v>
      </c>
      <c r="AA1831" t="s">
        <v>387</v>
      </c>
      <c r="AB1831">
        <v>0</v>
      </c>
      <c r="AC1831">
        <v>562</v>
      </c>
      <c r="AD1831" t="s">
        <v>7329</v>
      </c>
      <c r="AE1831">
        <v>1</v>
      </c>
      <c r="AF1831" t="s">
        <v>1922</v>
      </c>
      <c r="AG1831" t="s">
        <v>6706</v>
      </c>
      <c r="AH1831" t="s">
        <v>7330</v>
      </c>
    </row>
    <row r="1832" spans="1:34" x14ac:dyDescent="0.25">
      <c r="A1832">
        <v>25</v>
      </c>
      <c r="C1832" s="185"/>
      <c r="E1832" t="s">
        <v>386</v>
      </c>
      <c r="F1832" t="s">
        <v>7331</v>
      </c>
      <c r="G1832" t="s">
        <v>1197</v>
      </c>
      <c r="H1832" t="s">
        <v>7332</v>
      </c>
      <c r="I1832">
        <v>17697</v>
      </c>
      <c r="J1832" t="s">
        <v>7331</v>
      </c>
      <c r="K1832" t="s">
        <v>7331</v>
      </c>
      <c r="L1832" t="s">
        <v>386</v>
      </c>
      <c r="M1832" t="s">
        <v>1193</v>
      </c>
      <c r="N1832">
        <v>17697</v>
      </c>
      <c r="O1832">
        <v>0</v>
      </c>
      <c r="Q1832" t="s">
        <v>7333</v>
      </c>
      <c r="R1832" t="s">
        <v>1208</v>
      </c>
      <c r="T1832">
        <v>260</v>
      </c>
      <c r="V1832" t="s">
        <v>1216</v>
      </c>
      <c r="W1832" t="s">
        <v>1216</v>
      </c>
      <c r="X1832">
        <v>260</v>
      </c>
      <c r="Z1832" t="s">
        <v>857</v>
      </c>
      <c r="AA1832" t="s">
        <v>387</v>
      </c>
      <c r="AB1832">
        <v>0</v>
      </c>
      <c r="AC1832">
        <v>6619</v>
      </c>
      <c r="AD1832" t="s">
        <v>7334</v>
      </c>
      <c r="AE1832">
        <v>3</v>
      </c>
      <c r="AF1832" t="s">
        <v>1235</v>
      </c>
      <c r="AG1832" t="s">
        <v>1244</v>
      </c>
    </row>
    <row r="1833" spans="1:34" x14ac:dyDescent="0.25">
      <c r="A1833">
        <v>25</v>
      </c>
      <c r="C1833" s="185"/>
      <c r="E1833" t="s">
        <v>386</v>
      </c>
      <c r="F1833" t="s">
        <v>15526</v>
      </c>
      <c r="G1833" t="s">
        <v>1197</v>
      </c>
      <c r="H1833" t="s">
        <v>15527</v>
      </c>
      <c r="I1833">
        <v>17782</v>
      </c>
      <c r="J1833" t="s">
        <v>15526</v>
      </c>
      <c r="K1833" t="s">
        <v>15528</v>
      </c>
      <c r="L1833" t="s">
        <v>386</v>
      </c>
      <c r="M1833" t="s">
        <v>1193</v>
      </c>
      <c r="N1833">
        <v>17782</v>
      </c>
      <c r="O1833">
        <v>0</v>
      </c>
      <c r="Q1833" t="s">
        <v>15529</v>
      </c>
      <c r="R1833" t="s">
        <v>1208</v>
      </c>
      <c r="T1833">
        <v>260</v>
      </c>
      <c r="V1833" t="s">
        <v>1216</v>
      </c>
      <c r="W1833" t="s">
        <v>1216</v>
      </c>
      <c r="X1833">
        <v>260</v>
      </c>
      <c r="Z1833" t="s">
        <v>857</v>
      </c>
      <c r="AA1833" t="s">
        <v>387</v>
      </c>
      <c r="AB1833">
        <v>0</v>
      </c>
      <c r="AC1833">
        <v>6638</v>
      </c>
      <c r="AD1833" t="s">
        <v>4778</v>
      </c>
      <c r="AE1833">
        <v>269</v>
      </c>
      <c r="AF1833" t="s">
        <v>11856</v>
      </c>
      <c r="AG1833" t="s">
        <v>15530</v>
      </c>
    </row>
    <row r="1834" spans="1:34" x14ac:dyDescent="0.25">
      <c r="A1834">
        <v>179</v>
      </c>
      <c r="B1834" t="s">
        <v>1313</v>
      </c>
      <c r="C1834" s="185"/>
      <c r="E1834" t="s">
        <v>386</v>
      </c>
      <c r="F1834" t="s">
        <v>7335</v>
      </c>
      <c r="G1834" t="s">
        <v>1197</v>
      </c>
      <c r="H1834" t="s">
        <v>7336</v>
      </c>
      <c r="I1834">
        <v>824</v>
      </c>
      <c r="J1834" t="s">
        <v>7335</v>
      </c>
      <c r="K1834" t="s">
        <v>7335</v>
      </c>
      <c r="L1834" t="s">
        <v>386</v>
      </c>
      <c r="M1834" t="s">
        <v>1193</v>
      </c>
      <c r="N1834">
        <v>824</v>
      </c>
      <c r="O1834">
        <v>65</v>
      </c>
      <c r="Q1834" t="s">
        <v>7337</v>
      </c>
      <c r="R1834" t="s">
        <v>398</v>
      </c>
      <c r="S1834" t="s">
        <v>1315</v>
      </c>
      <c r="T1834">
        <v>220</v>
      </c>
      <c r="U1834">
        <v>0</v>
      </c>
      <c r="V1834" t="s">
        <v>1194</v>
      </c>
      <c r="W1834" t="s">
        <v>1186</v>
      </c>
      <c r="X1834">
        <v>0</v>
      </c>
      <c r="Y1834" t="s">
        <v>1317</v>
      </c>
      <c r="Z1834" t="s">
        <v>7338</v>
      </c>
      <c r="AA1834" t="s">
        <v>387</v>
      </c>
      <c r="AB1834">
        <v>57000</v>
      </c>
      <c r="AC1834">
        <v>716</v>
      </c>
      <c r="AD1834" t="s">
        <v>7339</v>
      </c>
      <c r="AE1834">
        <v>347</v>
      </c>
      <c r="AF1834" t="s">
        <v>7340</v>
      </c>
      <c r="AG1834" t="s">
        <v>7341</v>
      </c>
      <c r="AH1834" t="s">
        <v>7342</v>
      </c>
    </row>
    <row r="1835" spans="1:34" x14ac:dyDescent="0.25">
      <c r="A1835">
        <v>1</v>
      </c>
      <c r="C1835" s="185"/>
      <c r="E1835" t="s">
        <v>386</v>
      </c>
      <c r="F1835" t="s">
        <v>7343</v>
      </c>
      <c r="G1835" t="s">
        <v>1192</v>
      </c>
      <c r="H1835" t="s">
        <v>7344</v>
      </c>
      <c r="I1835">
        <v>2113</v>
      </c>
      <c r="J1835" t="s">
        <v>7343</v>
      </c>
      <c r="K1835" t="s">
        <v>7343</v>
      </c>
      <c r="L1835" t="s">
        <v>386</v>
      </c>
      <c r="M1835" t="s">
        <v>1184</v>
      </c>
      <c r="N1835">
        <v>2113</v>
      </c>
      <c r="O1835">
        <v>0</v>
      </c>
      <c r="Q1835" t="s">
        <v>7345</v>
      </c>
      <c r="R1835" t="s">
        <v>1208</v>
      </c>
      <c r="T1835">
        <v>260</v>
      </c>
      <c r="V1835" t="s">
        <v>1216</v>
      </c>
      <c r="W1835" t="s">
        <v>1216</v>
      </c>
      <c r="X1835">
        <v>260</v>
      </c>
      <c r="Z1835" t="s">
        <v>865</v>
      </c>
      <c r="AA1835" t="s">
        <v>387</v>
      </c>
      <c r="AB1835">
        <v>0</v>
      </c>
      <c r="AC1835">
        <v>244</v>
      </c>
      <c r="AD1835" t="s">
        <v>7346</v>
      </c>
      <c r="AE1835">
        <v>186</v>
      </c>
      <c r="AF1835" t="s">
        <v>3636</v>
      </c>
      <c r="AG1835" t="s">
        <v>7341</v>
      </c>
      <c r="AH1835" t="s">
        <v>7347</v>
      </c>
    </row>
    <row r="1836" spans="1:34" x14ac:dyDescent="0.25">
      <c r="A1836">
        <v>130</v>
      </c>
      <c r="C1836" s="185"/>
      <c r="E1836" t="s">
        <v>386</v>
      </c>
      <c r="F1836" t="s">
        <v>7348</v>
      </c>
      <c r="G1836" t="s">
        <v>1197</v>
      </c>
      <c r="H1836" t="s">
        <v>7349</v>
      </c>
      <c r="I1836">
        <v>10322</v>
      </c>
      <c r="J1836" t="s">
        <v>7348</v>
      </c>
      <c r="K1836" t="s">
        <v>7350</v>
      </c>
      <c r="L1836" t="s">
        <v>386</v>
      </c>
      <c r="M1836" t="s">
        <v>1193</v>
      </c>
      <c r="N1836">
        <v>10322</v>
      </c>
      <c r="O1836">
        <v>0</v>
      </c>
      <c r="Q1836" t="s">
        <v>7351</v>
      </c>
      <c r="R1836" t="s">
        <v>1208</v>
      </c>
      <c r="T1836">
        <v>260</v>
      </c>
      <c r="V1836" t="s">
        <v>1216</v>
      </c>
      <c r="W1836" t="s">
        <v>1216</v>
      </c>
      <c r="X1836">
        <v>260</v>
      </c>
      <c r="Z1836" t="s">
        <v>7352</v>
      </c>
      <c r="AA1836" t="s">
        <v>387</v>
      </c>
      <c r="AB1836">
        <v>0</v>
      </c>
      <c r="AC1836">
        <v>6480</v>
      </c>
      <c r="AD1836" t="s">
        <v>7353</v>
      </c>
      <c r="AE1836">
        <v>607</v>
      </c>
      <c r="AF1836" t="s">
        <v>2880</v>
      </c>
      <c r="AG1836" t="s">
        <v>7354</v>
      </c>
      <c r="AH1836" t="s">
        <v>7355</v>
      </c>
    </row>
    <row r="1837" spans="1:34" x14ac:dyDescent="0.25">
      <c r="A1837">
        <v>89</v>
      </c>
      <c r="C1837" s="185"/>
      <c r="E1837" t="s">
        <v>386</v>
      </c>
      <c r="F1837" t="s">
        <v>7356</v>
      </c>
      <c r="G1837" t="s">
        <v>1197</v>
      </c>
      <c r="H1837" t="s">
        <v>7357</v>
      </c>
      <c r="I1837">
        <v>2631</v>
      </c>
      <c r="J1837" t="s">
        <v>7356</v>
      </c>
      <c r="K1837" t="s">
        <v>6099</v>
      </c>
      <c r="L1837" t="s">
        <v>386</v>
      </c>
      <c r="M1837" t="s">
        <v>1193</v>
      </c>
      <c r="N1837">
        <v>2631</v>
      </c>
      <c r="O1837">
        <v>0</v>
      </c>
      <c r="Q1837" t="s">
        <v>7358</v>
      </c>
      <c r="T1837">
        <v>52</v>
      </c>
      <c r="V1837" t="s">
        <v>2024</v>
      </c>
      <c r="Z1837" t="s">
        <v>6326</v>
      </c>
      <c r="AA1837" t="s">
        <v>387</v>
      </c>
      <c r="AB1837">
        <v>0</v>
      </c>
      <c r="AC1837">
        <v>1846</v>
      </c>
      <c r="AD1837" t="s">
        <v>7359</v>
      </c>
      <c r="AE1837">
        <v>14</v>
      </c>
      <c r="AF1837" t="s">
        <v>2615</v>
      </c>
      <c r="AG1837" t="s">
        <v>5668</v>
      </c>
    </row>
    <row r="1838" spans="1:34" x14ac:dyDescent="0.25">
      <c r="A1838">
        <v>153</v>
      </c>
      <c r="C1838" s="185"/>
      <c r="E1838" t="s">
        <v>386</v>
      </c>
      <c r="F1838" t="s">
        <v>7360</v>
      </c>
      <c r="G1838" t="s">
        <v>1197</v>
      </c>
      <c r="H1838" t="s">
        <v>7361</v>
      </c>
      <c r="I1838">
        <v>11852</v>
      </c>
      <c r="J1838" t="s">
        <v>7360</v>
      </c>
      <c r="K1838" t="s">
        <v>7362</v>
      </c>
      <c r="L1838" t="s">
        <v>386</v>
      </c>
      <c r="M1838" t="s">
        <v>1193</v>
      </c>
      <c r="N1838">
        <v>11852</v>
      </c>
      <c r="O1838">
        <v>0</v>
      </c>
      <c r="Q1838" t="s">
        <v>7363</v>
      </c>
      <c r="R1838" t="s">
        <v>1208</v>
      </c>
      <c r="T1838">
        <v>304</v>
      </c>
      <c r="V1838" t="s">
        <v>2067</v>
      </c>
      <c r="Z1838" t="s">
        <v>969</v>
      </c>
      <c r="AA1838" t="s">
        <v>387</v>
      </c>
      <c r="AB1838">
        <v>0</v>
      </c>
      <c r="AC1838">
        <v>4515</v>
      </c>
      <c r="AD1838" t="s">
        <v>7364</v>
      </c>
      <c r="AE1838">
        <v>2096</v>
      </c>
      <c r="AF1838" t="s">
        <v>7365</v>
      </c>
      <c r="AG1838" t="s">
        <v>7366</v>
      </c>
    </row>
    <row r="1839" spans="1:34" x14ac:dyDescent="0.25">
      <c r="A1839">
        <v>153</v>
      </c>
      <c r="C1839" s="185"/>
      <c r="E1839" t="s">
        <v>386</v>
      </c>
      <c r="F1839" t="s">
        <v>7367</v>
      </c>
      <c r="G1839" t="s">
        <v>1197</v>
      </c>
      <c r="H1839" t="s">
        <v>7368</v>
      </c>
      <c r="I1839">
        <v>11540</v>
      </c>
      <c r="J1839" t="s">
        <v>7367</v>
      </c>
      <c r="K1839" t="s">
        <v>7369</v>
      </c>
      <c r="L1839" t="s">
        <v>386</v>
      </c>
      <c r="M1839" t="s">
        <v>1193</v>
      </c>
      <c r="N1839">
        <v>11540</v>
      </c>
      <c r="O1839">
        <v>0</v>
      </c>
      <c r="Q1839" t="s">
        <v>7370</v>
      </c>
      <c r="T1839">
        <v>280</v>
      </c>
      <c r="V1839" t="s">
        <v>3202</v>
      </c>
      <c r="Z1839" t="s">
        <v>969</v>
      </c>
      <c r="AA1839" t="s">
        <v>387</v>
      </c>
      <c r="AB1839">
        <v>0</v>
      </c>
      <c r="AC1839">
        <v>2024</v>
      </c>
      <c r="AD1839" t="s">
        <v>7371</v>
      </c>
      <c r="AE1839">
        <v>1</v>
      </c>
      <c r="AF1839" t="s">
        <v>1922</v>
      </c>
      <c r="AG1839" t="s">
        <v>7372</v>
      </c>
      <c r="AH1839" t="s">
        <v>7373</v>
      </c>
    </row>
    <row r="1840" spans="1:34" x14ac:dyDescent="0.25">
      <c r="A1840">
        <v>153</v>
      </c>
      <c r="C1840" s="185"/>
      <c r="D1840" t="s">
        <v>157</v>
      </c>
      <c r="E1840" t="s">
        <v>386</v>
      </c>
      <c r="F1840" t="s">
        <v>365</v>
      </c>
      <c r="G1840" t="s">
        <v>1197</v>
      </c>
      <c r="H1840" t="s">
        <v>7374</v>
      </c>
      <c r="I1840">
        <v>8317</v>
      </c>
      <c r="J1840" t="s">
        <v>314</v>
      </c>
      <c r="K1840" t="s">
        <v>7375</v>
      </c>
      <c r="L1840" t="s">
        <v>386</v>
      </c>
      <c r="M1840" t="s">
        <v>1193</v>
      </c>
      <c r="N1840">
        <v>15356</v>
      </c>
      <c r="O1840">
        <v>25</v>
      </c>
      <c r="Q1840" t="s">
        <v>7376</v>
      </c>
      <c r="R1840" t="s">
        <v>398</v>
      </c>
      <c r="T1840">
        <v>220</v>
      </c>
      <c r="V1840" t="s">
        <v>1194</v>
      </c>
      <c r="W1840" t="s">
        <v>3321</v>
      </c>
      <c r="X1840">
        <v>246</v>
      </c>
      <c r="Z1840" t="s">
        <v>969</v>
      </c>
      <c r="AA1840" t="s">
        <v>387</v>
      </c>
      <c r="AB1840">
        <v>19000</v>
      </c>
      <c r="AC1840">
        <v>3333</v>
      </c>
      <c r="AD1840" t="s">
        <v>7377</v>
      </c>
      <c r="AE1840">
        <v>1021</v>
      </c>
      <c r="AF1840" t="s">
        <v>7378</v>
      </c>
      <c r="AG1840" t="s">
        <v>3490</v>
      </c>
      <c r="AH1840" t="s">
        <v>7379</v>
      </c>
    </row>
    <row r="1841" spans="1:34" x14ac:dyDescent="0.25">
      <c r="A1841">
        <v>2106</v>
      </c>
      <c r="C1841" s="185"/>
      <c r="E1841" t="s">
        <v>386</v>
      </c>
      <c r="F1841" t="s">
        <v>7380</v>
      </c>
      <c r="G1841" t="s">
        <v>1197</v>
      </c>
      <c r="H1841" t="s">
        <v>7381</v>
      </c>
      <c r="I1841">
        <v>14589</v>
      </c>
      <c r="J1841" t="s">
        <v>7380</v>
      </c>
      <c r="K1841" t="s">
        <v>7382</v>
      </c>
      <c r="L1841" t="s">
        <v>386</v>
      </c>
      <c r="M1841" t="s">
        <v>1193</v>
      </c>
      <c r="N1841">
        <v>14589</v>
      </c>
      <c r="O1841">
        <v>0</v>
      </c>
      <c r="Q1841" t="s">
        <v>7383</v>
      </c>
      <c r="R1841" t="s">
        <v>1208</v>
      </c>
      <c r="T1841">
        <v>260</v>
      </c>
      <c r="V1841" t="s">
        <v>1216</v>
      </c>
      <c r="W1841" t="s">
        <v>5591</v>
      </c>
      <c r="X1841">
        <v>407</v>
      </c>
      <c r="Z1841" t="s">
        <v>7384</v>
      </c>
      <c r="AA1841" t="s">
        <v>387</v>
      </c>
      <c r="AB1841">
        <v>0</v>
      </c>
      <c r="AC1841">
        <v>5543</v>
      </c>
      <c r="AD1841" t="s">
        <v>7385</v>
      </c>
      <c r="AE1841">
        <v>2571</v>
      </c>
      <c r="AF1841" t="s">
        <v>7386</v>
      </c>
      <c r="AG1841" t="s">
        <v>7387</v>
      </c>
      <c r="AH1841" t="s">
        <v>7388</v>
      </c>
    </row>
    <row r="1842" spans="1:34" x14ac:dyDescent="0.25">
      <c r="A1842">
        <v>110</v>
      </c>
      <c r="B1842" t="s">
        <v>1313</v>
      </c>
      <c r="C1842" s="185"/>
      <c r="D1842" t="s">
        <v>24</v>
      </c>
      <c r="E1842" t="s">
        <v>386</v>
      </c>
      <c r="F1842" t="s">
        <v>560</v>
      </c>
      <c r="G1842" t="s">
        <v>1197</v>
      </c>
      <c r="H1842" t="s">
        <v>7389</v>
      </c>
      <c r="I1842">
        <v>456</v>
      </c>
      <c r="J1842" t="s">
        <v>312</v>
      </c>
      <c r="K1842" t="s">
        <v>7390</v>
      </c>
      <c r="L1842" t="s">
        <v>386</v>
      </c>
      <c r="M1842" t="s">
        <v>1193</v>
      </c>
      <c r="N1842">
        <v>16146</v>
      </c>
      <c r="O1842">
        <v>65</v>
      </c>
      <c r="Q1842" t="s">
        <v>7391</v>
      </c>
      <c r="R1842" t="s">
        <v>398</v>
      </c>
      <c r="S1842" t="s">
        <v>1909</v>
      </c>
      <c r="T1842">
        <v>340</v>
      </c>
      <c r="U1842">
        <v>0</v>
      </c>
      <c r="V1842" t="s">
        <v>1200</v>
      </c>
      <c r="W1842" t="s">
        <v>1216</v>
      </c>
      <c r="X1842">
        <v>260</v>
      </c>
      <c r="Y1842" t="s">
        <v>1317</v>
      </c>
      <c r="Z1842" t="s">
        <v>876</v>
      </c>
      <c r="AA1842" t="s">
        <v>387</v>
      </c>
      <c r="AB1842">
        <v>57000</v>
      </c>
      <c r="AC1842">
        <v>473</v>
      </c>
      <c r="AD1842" t="s">
        <v>7392</v>
      </c>
      <c r="AE1842">
        <v>199</v>
      </c>
      <c r="AF1842" t="s">
        <v>876</v>
      </c>
      <c r="AG1842" t="s">
        <v>2044</v>
      </c>
      <c r="AH1842" t="s">
        <v>7393</v>
      </c>
    </row>
    <row r="1843" spans="1:34" x14ac:dyDescent="0.25">
      <c r="A1843">
        <v>1</v>
      </c>
      <c r="C1843" s="185"/>
      <c r="E1843" t="s">
        <v>386</v>
      </c>
      <c r="F1843" t="s">
        <v>7394</v>
      </c>
      <c r="G1843" t="s">
        <v>1197</v>
      </c>
      <c r="H1843" t="s">
        <v>1214</v>
      </c>
      <c r="I1843">
        <v>13267</v>
      </c>
      <c r="J1843" t="s">
        <v>7394</v>
      </c>
      <c r="K1843" t="s">
        <v>7394</v>
      </c>
      <c r="L1843" t="s">
        <v>386</v>
      </c>
      <c r="M1843" t="s">
        <v>1193</v>
      </c>
      <c r="N1843">
        <v>13267</v>
      </c>
      <c r="O1843">
        <v>0</v>
      </c>
      <c r="Q1843" t="s">
        <v>7395</v>
      </c>
      <c r="R1843" t="s">
        <v>1208</v>
      </c>
      <c r="T1843">
        <v>571</v>
      </c>
      <c r="V1843" t="s">
        <v>2003</v>
      </c>
      <c r="W1843" t="s">
        <v>1199</v>
      </c>
      <c r="X1843">
        <v>200</v>
      </c>
      <c r="Z1843" t="s">
        <v>865</v>
      </c>
      <c r="AA1843" t="s">
        <v>387</v>
      </c>
      <c r="AB1843">
        <v>0</v>
      </c>
      <c r="AC1843">
        <v>961</v>
      </c>
      <c r="AD1843" t="s">
        <v>7396</v>
      </c>
      <c r="AE1843">
        <v>50</v>
      </c>
      <c r="AF1843" t="s">
        <v>7397</v>
      </c>
      <c r="AG1843" t="s">
        <v>7398</v>
      </c>
      <c r="AH1843" t="s">
        <v>7399</v>
      </c>
    </row>
    <row r="1844" spans="1:34" x14ac:dyDescent="0.25">
      <c r="A1844">
        <v>18</v>
      </c>
      <c r="B1844" t="s">
        <v>1313</v>
      </c>
      <c r="C1844" s="185"/>
      <c r="D1844" t="s">
        <v>24</v>
      </c>
      <c r="E1844" t="s">
        <v>386</v>
      </c>
      <c r="F1844" t="s">
        <v>448</v>
      </c>
      <c r="G1844" t="s">
        <v>1197</v>
      </c>
      <c r="H1844" t="s">
        <v>7400</v>
      </c>
      <c r="I1844">
        <v>314</v>
      </c>
      <c r="J1844" t="s">
        <v>7401</v>
      </c>
      <c r="K1844" t="s">
        <v>7402</v>
      </c>
      <c r="L1844" t="s">
        <v>386</v>
      </c>
      <c r="M1844" t="s">
        <v>1193</v>
      </c>
      <c r="N1844">
        <v>15328</v>
      </c>
      <c r="O1844">
        <v>65</v>
      </c>
      <c r="Q1844" t="s">
        <v>7403</v>
      </c>
      <c r="R1844" t="s">
        <v>398</v>
      </c>
      <c r="S1844" t="s">
        <v>7404</v>
      </c>
      <c r="T1844">
        <v>220</v>
      </c>
      <c r="U1844">
        <v>0</v>
      </c>
      <c r="V1844" t="s">
        <v>1194</v>
      </c>
      <c r="W1844" t="s">
        <v>2107</v>
      </c>
      <c r="X1844">
        <v>272</v>
      </c>
      <c r="Y1844" t="s">
        <v>1317</v>
      </c>
      <c r="Z1844" t="s">
        <v>905</v>
      </c>
      <c r="AA1844" t="s">
        <v>387</v>
      </c>
      <c r="AB1844">
        <v>57000</v>
      </c>
      <c r="AC1844">
        <v>392</v>
      </c>
      <c r="AD1844" t="s">
        <v>7405</v>
      </c>
      <c r="AE1844">
        <v>23</v>
      </c>
      <c r="AF1844" t="s">
        <v>4621</v>
      </c>
      <c r="AG1844" t="s">
        <v>1244</v>
      </c>
      <c r="AH1844" t="s">
        <v>7406</v>
      </c>
    </row>
    <row r="1845" spans="1:34" x14ac:dyDescent="0.25">
      <c r="A1845">
        <v>110</v>
      </c>
      <c r="C1845" s="185"/>
      <c r="D1845" t="s">
        <v>24</v>
      </c>
      <c r="E1845" t="s">
        <v>386</v>
      </c>
      <c r="F1845" t="s">
        <v>655</v>
      </c>
      <c r="G1845" t="s">
        <v>1197</v>
      </c>
      <c r="H1845" t="s">
        <v>7407</v>
      </c>
      <c r="I1845">
        <v>2601</v>
      </c>
      <c r="J1845" t="s">
        <v>655</v>
      </c>
      <c r="K1845" t="s">
        <v>7408</v>
      </c>
      <c r="L1845" t="s">
        <v>386</v>
      </c>
      <c r="M1845" t="s">
        <v>1193</v>
      </c>
      <c r="N1845">
        <v>2601</v>
      </c>
      <c r="O1845">
        <v>65</v>
      </c>
      <c r="Q1845" t="s">
        <v>7409</v>
      </c>
      <c r="R1845" t="s">
        <v>398</v>
      </c>
      <c r="T1845">
        <v>103</v>
      </c>
      <c r="V1845" t="s">
        <v>1530</v>
      </c>
      <c r="W1845" t="s">
        <v>1530</v>
      </c>
      <c r="X1845">
        <v>103</v>
      </c>
      <c r="Z1845" t="s">
        <v>876</v>
      </c>
      <c r="AA1845" t="s">
        <v>387</v>
      </c>
      <c r="AB1845">
        <v>57000</v>
      </c>
      <c r="AC1845">
        <v>2488</v>
      </c>
      <c r="AD1845" t="s">
        <v>7410</v>
      </c>
      <c r="AE1845">
        <v>1199</v>
      </c>
      <c r="AF1845" t="s">
        <v>7411</v>
      </c>
      <c r="AG1845" t="s">
        <v>7412</v>
      </c>
      <c r="AH1845" t="s">
        <v>7413</v>
      </c>
    </row>
    <row r="1846" spans="1:34" x14ac:dyDescent="0.25">
      <c r="A1846">
        <v>110</v>
      </c>
      <c r="B1846" t="s">
        <v>1313</v>
      </c>
      <c r="C1846" s="185"/>
      <c r="D1846" t="s">
        <v>24</v>
      </c>
      <c r="E1846" t="s">
        <v>386</v>
      </c>
      <c r="F1846" t="s">
        <v>431</v>
      </c>
      <c r="G1846" t="s">
        <v>1197</v>
      </c>
      <c r="H1846" t="s">
        <v>7414</v>
      </c>
      <c r="I1846">
        <v>2949</v>
      </c>
      <c r="J1846" t="s">
        <v>720</v>
      </c>
      <c r="K1846" t="s">
        <v>4530</v>
      </c>
      <c r="L1846" t="s">
        <v>386</v>
      </c>
      <c r="M1846" t="s">
        <v>1193</v>
      </c>
      <c r="N1846">
        <v>15336</v>
      </c>
      <c r="O1846">
        <v>65</v>
      </c>
      <c r="Q1846" t="s">
        <v>7415</v>
      </c>
      <c r="R1846" t="s">
        <v>398</v>
      </c>
      <c r="S1846" t="s">
        <v>2293</v>
      </c>
      <c r="T1846">
        <v>340</v>
      </c>
      <c r="U1846">
        <v>0</v>
      </c>
      <c r="V1846" t="s">
        <v>1200</v>
      </c>
      <c r="W1846" t="s">
        <v>1200</v>
      </c>
      <c r="X1846">
        <v>340</v>
      </c>
      <c r="Y1846" t="s">
        <v>1317</v>
      </c>
      <c r="Z1846" t="s">
        <v>876</v>
      </c>
      <c r="AA1846" t="s">
        <v>387</v>
      </c>
      <c r="AB1846">
        <v>57000</v>
      </c>
      <c r="AC1846">
        <v>3180</v>
      </c>
      <c r="AD1846" t="s">
        <v>7416</v>
      </c>
      <c r="AE1846">
        <v>2931</v>
      </c>
      <c r="AF1846" t="s">
        <v>7417</v>
      </c>
      <c r="AG1846" t="s">
        <v>2044</v>
      </c>
      <c r="AH1846" t="s">
        <v>5687</v>
      </c>
    </row>
    <row r="1847" spans="1:34" x14ac:dyDescent="0.25">
      <c r="A1847">
        <v>1694</v>
      </c>
      <c r="C1847" s="185"/>
      <c r="E1847" t="s">
        <v>386</v>
      </c>
      <c r="F1847" t="s">
        <v>7418</v>
      </c>
      <c r="G1847" t="s">
        <v>1197</v>
      </c>
      <c r="H1847" t="s">
        <v>7419</v>
      </c>
      <c r="I1847">
        <v>5536</v>
      </c>
      <c r="J1847" t="s">
        <v>7418</v>
      </c>
      <c r="K1847" t="s">
        <v>7418</v>
      </c>
      <c r="L1847" t="s">
        <v>386</v>
      </c>
      <c r="M1847" t="s">
        <v>1193</v>
      </c>
      <c r="N1847">
        <v>5536</v>
      </c>
      <c r="O1847">
        <v>0</v>
      </c>
      <c r="Q1847" t="s">
        <v>7420</v>
      </c>
      <c r="T1847">
        <v>372</v>
      </c>
      <c r="V1847" t="s">
        <v>2073</v>
      </c>
      <c r="W1847" t="s">
        <v>1216</v>
      </c>
      <c r="X1847">
        <v>260</v>
      </c>
      <c r="Z1847" t="s">
        <v>7421</v>
      </c>
      <c r="AA1847" t="s">
        <v>387</v>
      </c>
      <c r="AB1847">
        <v>0</v>
      </c>
      <c r="AC1847">
        <v>2633</v>
      </c>
      <c r="AD1847" t="s">
        <v>3859</v>
      </c>
      <c r="AE1847">
        <v>1266</v>
      </c>
      <c r="AF1847" t="s">
        <v>7422</v>
      </c>
      <c r="AG1847" t="s">
        <v>2588</v>
      </c>
      <c r="AH1847" t="s">
        <v>7423</v>
      </c>
    </row>
    <row r="1848" spans="1:34" x14ac:dyDescent="0.25">
      <c r="A1848">
        <v>1</v>
      </c>
      <c r="C1848" s="185"/>
      <c r="E1848" t="s">
        <v>386</v>
      </c>
      <c r="F1848" t="s">
        <v>7424</v>
      </c>
      <c r="I1848">
        <v>17594</v>
      </c>
      <c r="J1848" t="s">
        <v>7424</v>
      </c>
      <c r="K1848" t="s">
        <v>7424</v>
      </c>
      <c r="L1848" t="s">
        <v>386</v>
      </c>
      <c r="M1848" t="s">
        <v>1193</v>
      </c>
      <c r="N1848">
        <v>17594</v>
      </c>
      <c r="O1848">
        <v>0</v>
      </c>
      <c r="Q1848" t="s">
        <v>7425</v>
      </c>
      <c r="R1848" t="s">
        <v>1208</v>
      </c>
      <c r="T1848">
        <v>152</v>
      </c>
      <c r="V1848" t="s">
        <v>1265</v>
      </c>
      <c r="W1848" t="s">
        <v>1265</v>
      </c>
      <c r="X1848">
        <v>152</v>
      </c>
      <c r="Z1848" t="s">
        <v>865</v>
      </c>
      <c r="AA1848" t="s">
        <v>386</v>
      </c>
      <c r="AB1848">
        <v>0</v>
      </c>
      <c r="AC1848">
        <v>0</v>
      </c>
      <c r="AD1848" t="s">
        <v>1187</v>
      </c>
      <c r="AE1848">
        <v>0</v>
      </c>
      <c r="AF1848" t="s">
        <v>1188</v>
      </c>
    </row>
    <row r="1849" spans="1:34" x14ac:dyDescent="0.25">
      <c r="A1849">
        <v>1</v>
      </c>
      <c r="C1849" s="185"/>
      <c r="E1849" t="s">
        <v>386</v>
      </c>
      <c r="F1849" t="s">
        <v>7426</v>
      </c>
      <c r="G1849" t="s">
        <v>1197</v>
      </c>
      <c r="H1849" t="s">
        <v>7427</v>
      </c>
      <c r="I1849">
        <v>1856</v>
      </c>
      <c r="J1849" t="s">
        <v>7426</v>
      </c>
      <c r="K1849" t="s">
        <v>7426</v>
      </c>
      <c r="L1849" t="s">
        <v>386</v>
      </c>
      <c r="M1849" t="s">
        <v>1193</v>
      </c>
      <c r="N1849">
        <v>1856</v>
      </c>
      <c r="O1849">
        <v>0</v>
      </c>
      <c r="Q1849" t="s">
        <v>7428</v>
      </c>
      <c r="T1849">
        <v>260</v>
      </c>
      <c r="V1849" t="s">
        <v>1216</v>
      </c>
      <c r="Z1849" t="s">
        <v>865</v>
      </c>
      <c r="AA1849" t="s">
        <v>387</v>
      </c>
      <c r="AB1849">
        <v>0</v>
      </c>
      <c r="AC1849">
        <v>826</v>
      </c>
      <c r="AD1849" t="s">
        <v>7429</v>
      </c>
      <c r="AE1849">
        <v>122</v>
      </c>
      <c r="AF1849" t="s">
        <v>4628</v>
      </c>
      <c r="AG1849" t="s">
        <v>3084</v>
      </c>
      <c r="AH1849" t="s">
        <v>7430</v>
      </c>
    </row>
    <row r="1850" spans="1:34" x14ac:dyDescent="0.25">
      <c r="A1850">
        <v>31</v>
      </c>
      <c r="C1850" s="185"/>
      <c r="E1850" t="s">
        <v>386</v>
      </c>
      <c r="F1850" t="s">
        <v>7431</v>
      </c>
      <c r="G1850" t="s">
        <v>1197</v>
      </c>
      <c r="H1850" t="s">
        <v>7432</v>
      </c>
      <c r="I1850">
        <v>13889</v>
      </c>
      <c r="J1850" t="s">
        <v>7431</v>
      </c>
      <c r="K1850" t="s">
        <v>7431</v>
      </c>
      <c r="L1850" t="s">
        <v>386</v>
      </c>
      <c r="M1850" t="s">
        <v>1193</v>
      </c>
      <c r="N1850">
        <v>13889</v>
      </c>
      <c r="O1850">
        <v>0</v>
      </c>
      <c r="Q1850" t="s">
        <v>7433</v>
      </c>
      <c r="R1850" t="s">
        <v>1208</v>
      </c>
      <c r="T1850">
        <v>304</v>
      </c>
      <c r="V1850" t="s">
        <v>2067</v>
      </c>
      <c r="W1850" t="s">
        <v>2067</v>
      </c>
      <c r="X1850">
        <v>304</v>
      </c>
      <c r="Z1850" t="s">
        <v>1132</v>
      </c>
      <c r="AA1850" t="s">
        <v>387</v>
      </c>
      <c r="AB1850">
        <v>0</v>
      </c>
      <c r="AC1850">
        <v>5242</v>
      </c>
      <c r="AD1850" t="s">
        <v>7434</v>
      </c>
      <c r="AE1850">
        <v>169</v>
      </c>
      <c r="AF1850" t="s">
        <v>7435</v>
      </c>
      <c r="AG1850" t="s">
        <v>7436</v>
      </c>
      <c r="AH1850" t="s">
        <v>7437</v>
      </c>
    </row>
    <row r="1851" spans="1:34" x14ac:dyDescent="0.25">
      <c r="A1851">
        <v>31</v>
      </c>
      <c r="C1851" s="185"/>
      <c r="E1851" t="s">
        <v>386</v>
      </c>
      <c r="F1851" t="s">
        <v>7438</v>
      </c>
      <c r="G1851" t="s">
        <v>1197</v>
      </c>
      <c r="H1851" t="s">
        <v>7439</v>
      </c>
      <c r="I1851">
        <v>16148</v>
      </c>
      <c r="J1851" t="s">
        <v>7438</v>
      </c>
      <c r="K1851" t="s">
        <v>7440</v>
      </c>
      <c r="L1851" t="s">
        <v>386</v>
      </c>
      <c r="M1851" t="s">
        <v>1193</v>
      </c>
      <c r="N1851">
        <v>16148</v>
      </c>
      <c r="O1851">
        <v>0</v>
      </c>
      <c r="Q1851" t="s">
        <v>7441</v>
      </c>
      <c r="T1851">
        <v>52</v>
      </c>
      <c r="V1851" t="s">
        <v>2024</v>
      </c>
      <c r="W1851" t="s">
        <v>1964</v>
      </c>
      <c r="X1851">
        <v>473</v>
      </c>
      <c r="Z1851" t="s">
        <v>1132</v>
      </c>
      <c r="AA1851" t="s">
        <v>387</v>
      </c>
      <c r="AB1851">
        <v>0</v>
      </c>
      <c r="AC1851">
        <v>4394</v>
      </c>
      <c r="AD1851" t="s">
        <v>7442</v>
      </c>
      <c r="AE1851">
        <v>1680</v>
      </c>
      <c r="AF1851" t="s">
        <v>4804</v>
      </c>
      <c r="AG1851" t="s">
        <v>3826</v>
      </c>
      <c r="AH1851" t="s">
        <v>7443</v>
      </c>
    </row>
    <row r="1852" spans="1:34" x14ac:dyDescent="0.25">
      <c r="A1852">
        <v>31</v>
      </c>
      <c r="C1852" s="185"/>
      <c r="E1852" t="s">
        <v>386</v>
      </c>
      <c r="F1852" t="s">
        <v>7444</v>
      </c>
      <c r="G1852" t="s">
        <v>1197</v>
      </c>
      <c r="H1852" t="s">
        <v>7445</v>
      </c>
      <c r="I1852">
        <v>13391</v>
      </c>
      <c r="J1852" t="s">
        <v>7444</v>
      </c>
      <c r="K1852" t="s">
        <v>7446</v>
      </c>
      <c r="L1852" t="s">
        <v>386</v>
      </c>
      <c r="M1852" t="s">
        <v>1193</v>
      </c>
      <c r="N1852">
        <v>13391</v>
      </c>
      <c r="O1852">
        <v>0</v>
      </c>
      <c r="Q1852" t="s">
        <v>7447</v>
      </c>
      <c r="R1852" t="s">
        <v>1208</v>
      </c>
      <c r="T1852">
        <v>304</v>
      </c>
      <c r="V1852" t="s">
        <v>2067</v>
      </c>
      <c r="W1852" t="s">
        <v>2067</v>
      </c>
      <c r="X1852">
        <v>304</v>
      </c>
      <c r="Z1852" t="s">
        <v>1132</v>
      </c>
      <c r="AA1852" t="s">
        <v>387</v>
      </c>
      <c r="AB1852">
        <v>0</v>
      </c>
      <c r="AC1852">
        <v>448</v>
      </c>
      <c r="AD1852" t="s">
        <v>4694</v>
      </c>
      <c r="AE1852">
        <v>243</v>
      </c>
      <c r="AF1852" t="s">
        <v>7448</v>
      </c>
      <c r="AG1852" t="s">
        <v>3472</v>
      </c>
      <c r="AH1852" t="s">
        <v>7449</v>
      </c>
    </row>
    <row r="1853" spans="1:34" x14ac:dyDescent="0.25">
      <c r="A1853">
        <v>136</v>
      </c>
      <c r="C1853" s="185"/>
      <c r="E1853" t="s">
        <v>386</v>
      </c>
      <c r="F1853" t="s">
        <v>7450</v>
      </c>
      <c r="G1853" t="s">
        <v>1197</v>
      </c>
      <c r="H1853" t="s">
        <v>7451</v>
      </c>
      <c r="I1853">
        <v>5046</v>
      </c>
      <c r="J1853" t="s">
        <v>7450</v>
      </c>
      <c r="K1853" t="s">
        <v>7450</v>
      </c>
      <c r="L1853" t="s">
        <v>386</v>
      </c>
      <c r="M1853" t="s">
        <v>1193</v>
      </c>
      <c r="N1853">
        <v>5046</v>
      </c>
      <c r="O1853">
        <v>0</v>
      </c>
      <c r="Q1853" t="s">
        <v>7452</v>
      </c>
      <c r="T1853">
        <v>52</v>
      </c>
      <c r="V1853" t="s">
        <v>2024</v>
      </c>
      <c r="Z1853" t="s">
        <v>7453</v>
      </c>
      <c r="AA1853" t="s">
        <v>387</v>
      </c>
      <c r="AB1853">
        <v>0</v>
      </c>
      <c r="AC1853">
        <v>2462</v>
      </c>
      <c r="AD1853" t="s">
        <v>7454</v>
      </c>
      <c r="AE1853">
        <v>246</v>
      </c>
      <c r="AF1853" t="s">
        <v>7455</v>
      </c>
      <c r="AG1853" t="s">
        <v>1999</v>
      </c>
      <c r="AH1853" t="s">
        <v>7456</v>
      </c>
    </row>
    <row r="1854" spans="1:34" x14ac:dyDescent="0.25">
      <c r="A1854">
        <v>31</v>
      </c>
      <c r="C1854" s="185"/>
      <c r="E1854" t="s">
        <v>386</v>
      </c>
      <c r="F1854" t="s">
        <v>7457</v>
      </c>
      <c r="G1854" t="s">
        <v>1197</v>
      </c>
      <c r="H1854" t="s">
        <v>7458</v>
      </c>
      <c r="I1854">
        <v>2076</v>
      </c>
      <c r="J1854" t="s">
        <v>7457</v>
      </c>
      <c r="K1854" t="s">
        <v>7457</v>
      </c>
      <c r="L1854" t="s">
        <v>386</v>
      </c>
      <c r="M1854" t="s">
        <v>1193</v>
      </c>
      <c r="N1854">
        <v>2076</v>
      </c>
      <c r="O1854">
        <v>0</v>
      </c>
      <c r="Q1854" t="s">
        <v>7459</v>
      </c>
      <c r="T1854">
        <v>35</v>
      </c>
      <c r="V1854" t="s">
        <v>2015</v>
      </c>
      <c r="Z1854" t="s">
        <v>1132</v>
      </c>
      <c r="AA1854" t="s">
        <v>387</v>
      </c>
      <c r="AB1854">
        <v>0</v>
      </c>
      <c r="AC1854">
        <v>1539</v>
      </c>
      <c r="AD1854" t="s">
        <v>7460</v>
      </c>
      <c r="AE1854">
        <v>748</v>
      </c>
      <c r="AF1854" t="s">
        <v>7461</v>
      </c>
      <c r="AG1854" t="s">
        <v>7462</v>
      </c>
      <c r="AH1854" t="s">
        <v>7463</v>
      </c>
    </row>
    <row r="1855" spans="1:34" x14ac:dyDescent="0.25">
      <c r="A1855">
        <v>89</v>
      </c>
      <c r="C1855" s="185"/>
      <c r="E1855" t="s">
        <v>386</v>
      </c>
      <c r="F1855" t="s">
        <v>7464</v>
      </c>
      <c r="G1855" t="s">
        <v>1197</v>
      </c>
      <c r="H1855" t="s">
        <v>7465</v>
      </c>
      <c r="I1855">
        <v>9724</v>
      </c>
      <c r="J1855" t="s">
        <v>7464</v>
      </c>
      <c r="K1855" t="s">
        <v>7464</v>
      </c>
      <c r="L1855" t="s">
        <v>386</v>
      </c>
      <c r="M1855" t="s">
        <v>1193</v>
      </c>
      <c r="N1855">
        <v>9724</v>
      </c>
      <c r="O1855">
        <v>0</v>
      </c>
      <c r="Q1855" t="s">
        <v>7466</v>
      </c>
      <c r="R1855" t="s">
        <v>1208</v>
      </c>
      <c r="T1855">
        <v>39</v>
      </c>
      <c r="V1855" t="s">
        <v>2144</v>
      </c>
      <c r="Z1855" t="s">
        <v>6326</v>
      </c>
      <c r="AA1855" t="s">
        <v>387</v>
      </c>
      <c r="AB1855">
        <v>0</v>
      </c>
      <c r="AC1855">
        <v>3872</v>
      </c>
      <c r="AD1855" t="s">
        <v>7467</v>
      </c>
      <c r="AE1855">
        <v>138</v>
      </c>
      <c r="AF1855" t="s">
        <v>2509</v>
      </c>
      <c r="AG1855" t="s">
        <v>7296</v>
      </c>
    </row>
    <row r="1856" spans="1:34" x14ac:dyDescent="0.25">
      <c r="A1856">
        <v>165</v>
      </c>
      <c r="C1856" s="185"/>
      <c r="E1856" t="s">
        <v>386</v>
      </c>
      <c r="F1856" t="s">
        <v>7468</v>
      </c>
      <c r="G1856" t="s">
        <v>1197</v>
      </c>
      <c r="H1856" t="s">
        <v>7469</v>
      </c>
      <c r="I1856">
        <v>13416</v>
      </c>
      <c r="J1856" t="s">
        <v>7468</v>
      </c>
      <c r="K1856" t="s">
        <v>7470</v>
      </c>
      <c r="L1856" t="s">
        <v>386</v>
      </c>
      <c r="M1856" t="s">
        <v>1193</v>
      </c>
      <c r="N1856">
        <v>13416</v>
      </c>
      <c r="O1856">
        <v>0</v>
      </c>
      <c r="Q1856" t="s">
        <v>7471</v>
      </c>
      <c r="R1856" t="s">
        <v>1208</v>
      </c>
      <c r="T1856">
        <v>372</v>
      </c>
      <c r="V1856" t="s">
        <v>2073</v>
      </c>
      <c r="W1856" t="s">
        <v>2073</v>
      </c>
      <c r="X1856">
        <v>372</v>
      </c>
      <c r="Z1856" t="s">
        <v>7472</v>
      </c>
      <c r="AA1856" t="s">
        <v>387</v>
      </c>
      <c r="AB1856">
        <v>0</v>
      </c>
      <c r="AC1856">
        <v>5029</v>
      </c>
      <c r="AD1856" t="s">
        <v>7473</v>
      </c>
      <c r="AE1856">
        <v>3</v>
      </c>
      <c r="AF1856" t="s">
        <v>1235</v>
      </c>
      <c r="AG1856" t="s">
        <v>7474</v>
      </c>
      <c r="AH1856" t="s">
        <v>7475</v>
      </c>
    </row>
    <row r="1857" spans="1:34" x14ac:dyDescent="0.25">
      <c r="A1857">
        <v>1973</v>
      </c>
      <c r="C1857" s="185"/>
      <c r="E1857" t="s">
        <v>386</v>
      </c>
      <c r="F1857" t="s">
        <v>7476</v>
      </c>
      <c r="G1857" t="s">
        <v>1197</v>
      </c>
      <c r="H1857" t="s">
        <v>7477</v>
      </c>
      <c r="I1857">
        <v>11765</v>
      </c>
      <c r="J1857" t="s">
        <v>7476</v>
      </c>
      <c r="K1857" t="s">
        <v>7478</v>
      </c>
      <c r="L1857" t="s">
        <v>386</v>
      </c>
      <c r="M1857" t="s">
        <v>1193</v>
      </c>
      <c r="N1857">
        <v>11765</v>
      </c>
      <c r="O1857">
        <v>0</v>
      </c>
      <c r="Q1857" t="s">
        <v>7479</v>
      </c>
      <c r="R1857" t="s">
        <v>398</v>
      </c>
      <c r="T1857">
        <v>220</v>
      </c>
      <c r="V1857" t="s">
        <v>1194</v>
      </c>
      <c r="Z1857" t="s">
        <v>7480</v>
      </c>
      <c r="AA1857" t="s">
        <v>387</v>
      </c>
      <c r="AB1857">
        <v>13000</v>
      </c>
      <c r="AC1857">
        <v>2029</v>
      </c>
      <c r="AD1857" t="s">
        <v>7481</v>
      </c>
      <c r="AE1857">
        <v>1</v>
      </c>
      <c r="AF1857" t="s">
        <v>1922</v>
      </c>
      <c r="AG1857" t="s">
        <v>6268</v>
      </c>
    </row>
    <row r="1858" spans="1:34" x14ac:dyDescent="0.25">
      <c r="A1858">
        <v>180</v>
      </c>
      <c r="C1858" s="185"/>
      <c r="E1858" t="s">
        <v>386</v>
      </c>
      <c r="F1858" t="s">
        <v>7482</v>
      </c>
      <c r="G1858" t="s">
        <v>1197</v>
      </c>
      <c r="H1858" t="s">
        <v>7483</v>
      </c>
      <c r="I1858">
        <v>7777</v>
      </c>
      <c r="J1858" t="s">
        <v>7482</v>
      </c>
      <c r="K1858" t="s">
        <v>7482</v>
      </c>
      <c r="L1858" t="s">
        <v>386</v>
      </c>
      <c r="M1858" t="s">
        <v>1193</v>
      </c>
      <c r="N1858">
        <v>7777</v>
      </c>
      <c r="O1858">
        <v>0</v>
      </c>
      <c r="Q1858" t="s">
        <v>7484</v>
      </c>
      <c r="R1858" t="s">
        <v>1208</v>
      </c>
      <c r="T1858">
        <v>2</v>
      </c>
      <c r="V1858" t="s">
        <v>1205</v>
      </c>
      <c r="Z1858" t="s">
        <v>7485</v>
      </c>
      <c r="AA1858" t="s">
        <v>387</v>
      </c>
      <c r="AB1858">
        <v>0</v>
      </c>
      <c r="AC1858">
        <v>3222</v>
      </c>
      <c r="AD1858" t="s">
        <v>7486</v>
      </c>
      <c r="AE1858">
        <v>1</v>
      </c>
      <c r="AF1858" t="s">
        <v>1922</v>
      </c>
      <c r="AG1858" t="s">
        <v>1244</v>
      </c>
      <c r="AH1858" t="s">
        <v>7487</v>
      </c>
    </row>
    <row r="1859" spans="1:34" x14ac:dyDescent="0.25">
      <c r="A1859">
        <v>1811</v>
      </c>
      <c r="C1859" s="185"/>
      <c r="D1859" t="s">
        <v>157</v>
      </c>
      <c r="E1859" t="s">
        <v>386</v>
      </c>
      <c r="F1859" t="s">
        <v>7488</v>
      </c>
      <c r="G1859" t="s">
        <v>4184</v>
      </c>
      <c r="H1859" t="s">
        <v>5237</v>
      </c>
      <c r="I1859">
        <v>8528</v>
      </c>
      <c r="J1859" t="s">
        <v>7488</v>
      </c>
      <c r="K1859" t="s">
        <v>7489</v>
      </c>
      <c r="L1859" t="s">
        <v>386</v>
      </c>
      <c r="M1859" t="s">
        <v>1193</v>
      </c>
      <c r="N1859">
        <v>8528</v>
      </c>
      <c r="O1859">
        <v>0</v>
      </c>
      <c r="Q1859" t="s">
        <v>7490</v>
      </c>
      <c r="R1859" t="s">
        <v>398</v>
      </c>
      <c r="T1859">
        <v>23</v>
      </c>
      <c r="V1859" t="s">
        <v>1981</v>
      </c>
      <c r="Z1859" t="s">
        <v>5159</v>
      </c>
      <c r="AA1859" t="s">
        <v>387</v>
      </c>
      <c r="AB1859">
        <v>0</v>
      </c>
      <c r="AC1859">
        <v>3421</v>
      </c>
      <c r="AD1859" t="s">
        <v>5240</v>
      </c>
      <c r="AE1859">
        <v>1195</v>
      </c>
      <c r="AF1859" t="s">
        <v>3845</v>
      </c>
      <c r="AG1859" t="s">
        <v>3539</v>
      </c>
    </row>
    <row r="1860" spans="1:34" x14ac:dyDescent="0.25">
      <c r="A1860">
        <v>1811</v>
      </c>
      <c r="C1860" s="185"/>
      <c r="E1860" t="s">
        <v>386</v>
      </c>
      <c r="F1860" t="s">
        <v>7488</v>
      </c>
      <c r="H1860" t="s">
        <v>5237</v>
      </c>
      <c r="I1860">
        <v>8548</v>
      </c>
      <c r="J1860" t="s">
        <v>7488</v>
      </c>
      <c r="K1860" t="s">
        <v>7489</v>
      </c>
      <c r="L1860" t="s">
        <v>386</v>
      </c>
      <c r="M1860" t="s">
        <v>1193</v>
      </c>
      <c r="N1860">
        <v>8528</v>
      </c>
      <c r="O1860">
        <v>0</v>
      </c>
      <c r="Q1860" t="s">
        <v>7491</v>
      </c>
      <c r="R1860" t="s">
        <v>398</v>
      </c>
      <c r="T1860">
        <v>23</v>
      </c>
      <c r="V1860" t="s">
        <v>1981</v>
      </c>
      <c r="Z1860" t="s">
        <v>5159</v>
      </c>
      <c r="AA1860" t="s">
        <v>387</v>
      </c>
      <c r="AB1860">
        <v>0</v>
      </c>
      <c r="AC1860">
        <v>3421</v>
      </c>
      <c r="AD1860" t="s">
        <v>5240</v>
      </c>
      <c r="AE1860">
        <v>1195</v>
      </c>
      <c r="AF1860" t="s">
        <v>3845</v>
      </c>
      <c r="AG1860" t="s">
        <v>3539</v>
      </c>
    </row>
    <row r="1861" spans="1:34" x14ac:dyDescent="0.25">
      <c r="A1861">
        <v>1246</v>
      </c>
      <c r="C1861" s="185"/>
      <c r="D1861" t="s">
        <v>24</v>
      </c>
      <c r="E1861" t="s">
        <v>386</v>
      </c>
      <c r="F1861" t="s">
        <v>7492</v>
      </c>
      <c r="G1861" t="s">
        <v>1197</v>
      </c>
      <c r="H1861" t="s">
        <v>4477</v>
      </c>
      <c r="I1861">
        <v>5651</v>
      </c>
      <c r="J1861" t="s">
        <v>7492</v>
      </c>
      <c r="K1861" t="s">
        <v>7493</v>
      </c>
      <c r="L1861" t="s">
        <v>386</v>
      </c>
      <c r="M1861" t="s">
        <v>1193</v>
      </c>
      <c r="N1861">
        <v>5651</v>
      </c>
      <c r="O1861">
        <v>0</v>
      </c>
      <c r="Q1861" t="s">
        <v>7494</v>
      </c>
      <c r="R1861" t="s">
        <v>398</v>
      </c>
      <c r="T1861">
        <v>39</v>
      </c>
      <c r="V1861" t="s">
        <v>2144</v>
      </c>
      <c r="Z1861" t="s">
        <v>961</v>
      </c>
      <c r="AA1861" t="s">
        <v>387</v>
      </c>
      <c r="AB1861">
        <v>0</v>
      </c>
      <c r="AC1861">
        <v>2663</v>
      </c>
      <c r="AD1861" t="s">
        <v>7495</v>
      </c>
      <c r="AE1861">
        <v>1283</v>
      </c>
      <c r="AF1861" t="s">
        <v>7496</v>
      </c>
      <c r="AG1861" t="s">
        <v>1244</v>
      </c>
      <c r="AH1861" t="s">
        <v>7497</v>
      </c>
    </row>
    <row r="1862" spans="1:34" x14ac:dyDescent="0.25">
      <c r="A1862">
        <v>110</v>
      </c>
      <c r="B1862" t="s">
        <v>1313</v>
      </c>
      <c r="C1862" s="185"/>
      <c r="D1862" t="s">
        <v>24</v>
      </c>
      <c r="E1862" t="s">
        <v>386</v>
      </c>
      <c r="F1862" t="s">
        <v>7498</v>
      </c>
      <c r="G1862" t="s">
        <v>1197</v>
      </c>
      <c r="H1862" t="s">
        <v>7389</v>
      </c>
      <c r="I1862">
        <v>2605</v>
      </c>
      <c r="J1862" t="s">
        <v>7498</v>
      </c>
      <c r="K1862" t="s">
        <v>7499</v>
      </c>
      <c r="L1862" t="s">
        <v>386</v>
      </c>
      <c r="M1862" t="s">
        <v>1193</v>
      </c>
      <c r="N1862">
        <v>2605</v>
      </c>
      <c r="O1862">
        <v>65</v>
      </c>
      <c r="Q1862" t="s">
        <v>7500</v>
      </c>
      <c r="S1862" t="s">
        <v>1909</v>
      </c>
      <c r="T1862">
        <v>340</v>
      </c>
      <c r="U1862">
        <v>0</v>
      </c>
      <c r="V1862" t="s">
        <v>1200</v>
      </c>
      <c r="W1862" t="s">
        <v>1194</v>
      </c>
      <c r="X1862">
        <v>220</v>
      </c>
      <c r="Y1862" t="s">
        <v>1317</v>
      </c>
      <c r="Z1862" t="s">
        <v>876</v>
      </c>
      <c r="AA1862" t="s">
        <v>387</v>
      </c>
      <c r="AB1862">
        <v>57000</v>
      </c>
      <c r="AC1862">
        <v>2439</v>
      </c>
      <c r="AD1862" t="s">
        <v>7501</v>
      </c>
      <c r="AE1862">
        <v>2850</v>
      </c>
      <c r="AF1862" t="s">
        <v>7502</v>
      </c>
      <c r="AG1862" t="s">
        <v>1244</v>
      </c>
      <c r="AH1862" t="s">
        <v>7503</v>
      </c>
    </row>
    <row r="1863" spans="1:34" x14ac:dyDescent="0.25">
      <c r="A1863">
        <v>110</v>
      </c>
      <c r="C1863" s="185"/>
      <c r="D1863" t="s">
        <v>24</v>
      </c>
      <c r="E1863" t="s">
        <v>386</v>
      </c>
      <c r="F1863" t="s">
        <v>7504</v>
      </c>
      <c r="G1863" t="s">
        <v>1197</v>
      </c>
      <c r="H1863" t="s">
        <v>7414</v>
      </c>
      <c r="I1863">
        <v>2611</v>
      </c>
      <c r="J1863" t="s">
        <v>7504</v>
      </c>
      <c r="K1863" t="s">
        <v>7505</v>
      </c>
      <c r="L1863" t="s">
        <v>386</v>
      </c>
      <c r="M1863" t="s">
        <v>1193</v>
      </c>
      <c r="N1863">
        <v>2611</v>
      </c>
      <c r="O1863">
        <v>65</v>
      </c>
      <c r="Q1863" t="s">
        <v>7506</v>
      </c>
      <c r="R1863" t="s">
        <v>398</v>
      </c>
      <c r="T1863">
        <v>340</v>
      </c>
      <c r="V1863" t="s">
        <v>1200</v>
      </c>
      <c r="W1863" t="s">
        <v>1194</v>
      </c>
      <c r="X1863">
        <v>220</v>
      </c>
      <c r="Z1863" t="s">
        <v>876</v>
      </c>
      <c r="AA1863" t="s">
        <v>387</v>
      </c>
      <c r="AB1863">
        <v>57000</v>
      </c>
      <c r="AC1863">
        <v>2057</v>
      </c>
      <c r="AD1863" t="s">
        <v>7507</v>
      </c>
      <c r="AE1863">
        <v>990</v>
      </c>
      <c r="AF1863" t="s">
        <v>7508</v>
      </c>
      <c r="AG1863" t="s">
        <v>1244</v>
      </c>
      <c r="AH1863" t="s">
        <v>7509</v>
      </c>
    </row>
    <row r="1864" spans="1:34" x14ac:dyDescent="0.25">
      <c r="A1864">
        <v>93</v>
      </c>
      <c r="C1864" s="185"/>
      <c r="E1864" t="s">
        <v>386</v>
      </c>
      <c r="F1864" t="s">
        <v>15531</v>
      </c>
      <c r="G1864" t="s">
        <v>1197</v>
      </c>
      <c r="H1864" t="s">
        <v>15532</v>
      </c>
      <c r="I1864">
        <v>17751</v>
      </c>
      <c r="J1864" t="s">
        <v>15531</v>
      </c>
      <c r="K1864" t="s">
        <v>15533</v>
      </c>
      <c r="L1864" t="s">
        <v>386</v>
      </c>
      <c r="M1864" t="s">
        <v>1193</v>
      </c>
      <c r="N1864">
        <v>17751</v>
      </c>
      <c r="O1864">
        <v>76</v>
      </c>
      <c r="Q1864" t="s">
        <v>15534</v>
      </c>
      <c r="R1864" t="s">
        <v>398</v>
      </c>
      <c r="T1864">
        <v>220</v>
      </c>
      <c r="V1864" t="s">
        <v>1194</v>
      </c>
      <c r="W1864" t="s">
        <v>1530</v>
      </c>
      <c r="X1864">
        <v>103</v>
      </c>
      <c r="Z1864" t="s">
        <v>1092</v>
      </c>
      <c r="AA1864" t="s">
        <v>387</v>
      </c>
      <c r="AB1864">
        <v>0</v>
      </c>
      <c r="AC1864">
        <v>6628</v>
      </c>
      <c r="AD1864" t="s">
        <v>15535</v>
      </c>
      <c r="AE1864">
        <v>3</v>
      </c>
      <c r="AF1864" t="s">
        <v>1235</v>
      </c>
      <c r="AG1864" t="s">
        <v>10308</v>
      </c>
      <c r="AH1864" t="s">
        <v>15536</v>
      </c>
    </row>
    <row r="1865" spans="1:34" x14ac:dyDescent="0.25">
      <c r="A1865">
        <v>55</v>
      </c>
      <c r="B1865" t="s">
        <v>1313</v>
      </c>
      <c r="C1865" s="185"/>
      <c r="D1865" t="s">
        <v>24</v>
      </c>
      <c r="E1865" t="s">
        <v>386</v>
      </c>
      <c r="F1865" t="s">
        <v>448</v>
      </c>
      <c r="G1865" t="s">
        <v>1197</v>
      </c>
      <c r="H1865" t="s">
        <v>7510</v>
      </c>
      <c r="I1865">
        <v>212</v>
      </c>
      <c r="J1865" t="s">
        <v>7511</v>
      </c>
      <c r="K1865" t="s">
        <v>7402</v>
      </c>
      <c r="L1865" t="s">
        <v>386</v>
      </c>
      <c r="M1865" t="s">
        <v>1193</v>
      </c>
      <c r="N1865">
        <v>15328</v>
      </c>
      <c r="O1865">
        <v>50</v>
      </c>
      <c r="Q1865" t="s">
        <v>7512</v>
      </c>
      <c r="R1865" t="s">
        <v>398</v>
      </c>
      <c r="S1865" t="s">
        <v>7513</v>
      </c>
      <c r="T1865">
        <v>272</v>
      </c>
      <c r="U1865">
        <v>0</v>
      </c>
      <c r="V1865" t="s">
        <v>2107</v>
      </c>
      <c r="W1865" t="s">
        <v>2186</v>
      </c>
      <c r="X1865">
        <v>396</v>
      </c>
      <c r="Y1865" t="s">
        <v>1317</v>
      </c>
      <c r="Z1865" t="s">
        <v>957</v>
      </c>
      <c r="AA1865" t="s">
        <v>387</v>
      </c>
      <c r="AB1865">
        <v>42000</v>
      </c>
      <c r="AC1865">
        <v>301</v>
      </c>
      <c r="AD1865" t="s">
        <v>7514</v>
      </c>
      <c r="AE1865">
        <v>63</v>
      </c>
      <c r="AF1865" t="s">
        <v>3896</v>
      </c>
      <c r="AG1865" t="s">
        <v>1244</v>
      </c>
      <c r="AH1865" t="s">
        <v>7515</v>
      </c>
    </row>
    <row r="1866" spans="1:34" x14ac:dyDescent="0.25">
      <c r="A1866">
        <v>1564</v>
      </c>
      <c r="C1866" s="185"/>
      <c r="E1866" t="s">
        <v>386</v>
      </c>
      <c r="F1866" t="s">
        <v>7516</v>
      </c>
      <c r="G1866" t="s">
        <v>1197</v>
      </c>
      <c r="H1866" t="s">
        <v>7517</v>
      </c>
      <c r="I1866">
        <v>5698</v>
      </c>
      <c r="J1866" t="s">
        <v>7516</v>
      </c>
      <c r="K1866" t="s">
        <v>7516</v>
      </c>
      <c r="L1866" t="s">
        <v>386</v>
      </c>
      <c r="M1866" t="s">
        <v>1193</v>
      </c>
      <c r="N1866">
        <v>5680</v>
      </c>
      <c r="O1866">
        <v>0</v>
      </c>
      <c r="Q1866" t="s">
        <v>7518</v>
      </c>
      <c r="T1866">
        <v>65</v>
      </c>
      <c r="V1866" t="s">
        <v>2315</v>
      </c>
      <c r="Z1866" t="s">
        <v>7519</v>
      </c>
      <c r="AA1866" t="s">
        <v>387</v>
      </c>
      <c r="AB1866">
        <v>0</v>
      </c>
      <c r="AC1866">
        <v>2681</v>
      </c>
      <c r="AD1866" t="s">
        <v>7520</v>
      </c>
      <c r="AE1866">
        <v>872</v>
      </c>
      <c r="AF1866" t="s">
        <v>7521</v>
      </c>
      <c r="AG1866" t="s">
        <v>1244</v>
      </c>
      <c r="AH1866" t="s">
        <v>7522</v>
      </c>
    </row>
    <row r="1867" spans="1:34" x14ac:dyDescent="0.25">
      <c r="A1867">
        <v>55</v>
      </c>
      <c r="C1867" s="185"/>
      <c r="E1867" t="s">
        <v>386</v>
      </c>
      <c r="F1867" t="s">
        <v>7523</v>
      </c>
      <c r="G1867" t="s">
        <v>1197</v>
      </c>
      <c r="H1867" t="s">
        <v>7510</v>
      </c>
      <c r="I1867">
        <v>10345</v>
      </c>
      <c r="J1867" t="s">
        <v>7524</v>
      </c>
      <c r="K1867" t="s">
        <v>7524</v>
      </c>
      <c r="L1867" t="s">
        <v>386</v>
      </c>
      <c r="M1867" t="s">
        <v>1193</v>
      </c>
      <c r="N1867">
        <v>556</v>
      </c>
      <c r="O1867">
        <v>0</v>
      </c>
      <c r="Q1867" t="s">
        <v>7525</v>
      </c>
      <c r="R1867" t="s">
        <v>1208</v>
      </c>
      <c r="T1867">
        <v>2</v>
      </c>
      <c r="V1867" t="s">
        <v>1205</v>
      </c>
      <c r="Z1867" t="s">
        <v>957</v>
      </c>
      <c r="AA1867" t="s">
        <v>387</v>
      </c>
      <c r="AB1867">
        <v>0</v>
      </c>
      <c r="AC1867">
        <v>301</v>
      </c>
      <c r="AD1867" t="s">
        <v>7514</v>
      </c>
      <c r="AE1867">
        <v>63</v>
      </c>
      <c r="AF1867" t="s">
        <v>3896</v>
      </c>
      <c r="AG1867" t="s">
        <v>1244</v>
      </c>
    </row>
    <row r="1868" spans="1:34" x14ac:dyDescent="0.25">
      <c r="A1868">
        <v>1310</v>
      </c>
      <c r="C1868" s="185"/>
      <c r="E1868" t="s">
        <v>386</v>
      </c>
      <c r="F1868" t="s">
        <v>7526</v>
      </c>
      <c r="G1868" t="s">
        <v>1197</v>
      </c>
      <c r="H1868" t="s">
        <v>7527</v>
      </c>
      <c r="I1868">
        <v>5525</v>
      </c>
      <c r="J1868" t="s">
        <v>7526</v>
      </c>
      <c r="K1868" t="s">
        <v>7528</v>
      </c>
      <c r="L1868" t="s">
        <v>386</v>
      </c>
      <c r="M1868" t="s">
        <v>1193</v>
      </c>
      <c r="N1868">
        <v>5525</v>
      </c>
      <c r="O1868">
        <v>0</v>
      </c>
      <c r="Q1868" t="s">
        <v>7529</v>
      </c>
      <c r="T1868">
        <v>39</v>
      </c>
      <c r="V1868" t="s">
        <v>2144</v>
      </c>
      <c r="Z1868" t="s">
        <v>7530</v>
      </c>
      <c r="AA1868" t="s">
        <v>387</v>
      </c>
      <c r="AB1868">
        <v>0</v>
      </c>
      <c r="AC1868">
        <v>2630</v>
      </c>
      <c r="AD1868" t="s">
        <v>7531</v>
      </c>
      <c r="AE1868">
        <v>1262</v>
      </c>
      <c r="AF1868" t="s">
        <v>7532</v>
      </c>
      <c r="AG1868" t="s">
        <v>1244</v>
      </c>
      <c r="AH1868" t="s">
        <v>7533</v>
      </c>
    </row>
    <row r="1869" spans="1:34" x14ac:dyDescent="0.25">
      <c r="A1869">
        <v>1310</v>
      </c>
      <c r="C1869" s="185"/>
      <c r="E1869" t="s">
        <v>386</v>
      </c>
      <c r="F1869" t="s">
        <v>7534</v>
      </c>
      <c r="G1869" t="s">
        <v>1197</v>
      </c>
      <c r="H1869" t="s">
        <v>7527</v>
      </c>
      <c r="I1869">
        <v>5577</v>
      </c>
      <c r="J1869" t="s">
        <v>7534</v>
      </c>
      <c r="K1869" t="s">
        <v>7534</v>
      </c>
      <c r="L1869" t="s">
        <v>386</v>
      </c>
      <c r="M1869" t="s">
        <v>1193</v>
      </c>
      <c r="N1869">
        <v>5577</v>
      </c>
      <c r="O1869">
        <v>0</v>
      </c>
      <c r="Q1869" t="s">
        <v>7535</v>
      </c>
      <c r="T1869">
        <v>39</v>
      </c>
      <c r="V1869" t="s">
        <v>2144</v>
      </c>
      <c r="Z1869" t="s">
        <v>7530</v>
      </c>
      <c r="AA1869" t="s">
        <v>387</v>
      </c>
      <c r="AB1869">
        <v>0</v>
      </c>
      <c r="AC1869">
        <v>2641</v>
      </c>
      <c r="AD1869" t="s">
        <v>7536</v>
      </c>
      <c r="AE1869">
        <v>18</v>
      </c>
      <c r="AF1869" t="s">
        <v>1259</v>
      </c>
      <c r="AG1869" t="s">
        <v>1244</v>
      </c>
      <c r="AH1869" t="s">
        <v>7537</v>
      </c>
    </row>
    <row r="1870" spans="1:34" x14ac:dyDescent="0.25">
      <c r="A1870">
        <v>1564</v>
      </c>
      <c r="C1870" s="185"/>
      <c r="E1870" t="s">
        <v>386</v>
      </c>
      <c r="F1870" t="s">
        <v>7538</v>
      </c>
      <c r="G1870" t="s">
        <v>1197</v>
      </c>
      <c r="H1870" t="s">
        <v>7539</v>
      </c>
      <c r="I1870">
        <v>16202</v>
      </c>
      <c r="J1870" t="s">
        <v>7538</v>
      </c>
      <c r="K1870" t="s">
        <v>7538</v>
      </c>
      <c r="L1870" t="s">
        <v>386</v>
      </c>
      <c r="M1870" t="s">
        <v>1193</v>
      </c>
      <c r="N1870">
        <v>16202</v>
      </c>
      <c r="O1870">
        <v>0</v>
      </c>
      <c r="Q1870" t="s">
        <v>7540</v>
      </c>
      <c r="T1870">
        <v>340</v>
      </c>
      <c r="V1870" t="s">
        <v>1200</v>
      </c>
      <c r="W1870" t="s">
        <v>2246</v>
      </c>
      <c r="X1870">
        <v>496</v>
      </c>
      <c r="Z1870" t="s">
        <v>7519</v>
      </c>
      <c r="AA1870" t="s">
        <v>387</v>
      </c>
      <c r="AB1870">
        <v>0</v>
      </c>
      <c r="AC1870">
        <v>6065</v>
      </c>
      <c r="AD1870" t="s">
        <v>7541</v>
      </c>
      <c r="AE1870">
        <v>2787</v>
      </c>
      <c r="AF1870" t="s">
        <v>7542</v>
      </c>
      <c r="AG1870" t="s">
        <v>1244</v>
      </c>
      <c r="AH1870" t="s">
        <v>7543</v>
      </c>
    </row>
    <row r="1871" spans="1:34" x14ac:dyDescent="0.25">
      <c r="A1871">
        <v>110</v>
      </c>
      <c r="B1871" t="s">
        <v>1313</v>
      </c>
      <c r="C1871" s="185"/>
      <c r="D1871" t="s">
        <v>24</v>
      </c>
      <c r="E1871" t="s">
        <v>386</v>
      </c>
      <c r="F1871" t="s">
        <v>7544</v>
      </c>
      <c r="G1871" t="s">
        <v>1197</v>
      </c>
      <c r="H1871" t="s">
        <v>7389</v>
      </c>
      <c r="I1871">
        <v>692</v>
      </c>
      <c r="J1871" t="s">
        <v>7544</v>
      </c>
      <c r="K1871" t="s">
        <v>7545</v>
      </c>
      <c r="L1871" t="s">
        <v>386</v>
      </c>
      <c r="M1871" t="s">
        <v>1193</v>
      </c>
      <c r="N1871">
        <v>692</v>
      </c>
      <c r="O1871">
        <v>65</v>
      </c>
      <c r="Q1871" t="s">
        <v>7546</v>
      </c>
      <c r="R1871" t="s">
        <v>398</v>
      </c>
      <c r="S1871" t="s">
        <v>1315</v>
      </c>
      <c r="T1871">
        <v>220</v>
      </c>
      <c r="U1871">
        <v>0</v>
      </c>
      <c r="V1871" t="s">
        <v>1194</v>
      </c>
      <c r="W1871" t="s">
        <v>1194</v>
      </c>
      <c r="X1871">
        <v>220</v>
      </c>
      <c r="Y1871" t="s">
        <v>1317</v>
      </c>
      <c r="Z1871" t="s">
        <v>876</v>
      </c>
      <c r="AA1871" t="s">
        <v>387</v>
      </c>
      <c r="AB1871">
        <v>57000</v>
      </c>
      <c r="AC1871">
        <v>631</v>
      </c>
      <c r="AD1871" t="s">
        <v>876</v>
      </c>
      <c r="AE1871">
        <v>3</v>
      </c>
      <c r="AF1871" t="s">
        <v>1235</v>
      </c>
      <c r="AG1871" t="s">
        <v>1244</v>
      </c>
      <c r="AH1871" t="s">
        <v>7547</v>
      </c>
    </row>
    <row r="1872" spans="1:34" x14ac:dyDescent="0.25">
      <c r="A1872">
        <v>1288</v>
      </c>
      <c r="C1872" s="185"/>
      <c r="E1872" t="s">
        <v>386</v>
      </c>
      <c r="F1872" t="s">
        <v>7548</v>
      </c>
      <c r="G1872" t="s">
        <v>1197</v>
      </c>
      <c r="H1872" t="s">
        <v>7549</v>
      </c>
      <c r="I1872">
        <v>12580</v>
      </c>
      <c r="J1872" t="s">
        <v>7548</v>
      </c>
      <c r="K1872" t="s">
        <v>7548</v>
      </c>
      <c r="L1872" t="s">
        <v>386</v>
      </c>
      <c r="M1872" t="s">
        <v>1193</v>
      </c>
      <c r="N1872">
        <v>12580</v>
      </c>
      <c r="O1872">
        <v>0</v>
      </c>
      <c r="Q1872" t="s">
        <v>7550</v>
      </c>
      <c r="R1872" t="s">
        <v>1208</v>
      </c>
      <c r="T1872">
        <v>35</v>
      </c>
      <c r="V1872" t="s">
        <v>2015</v>
      </c>
      <c r="Z1872" t="s">
        <v>4495</v>
      </c>
      <c r="AA1872" t="s">
        <v>387</v>
      </c>
      <c r="AB1872">
        <v>0</v>
      </c>
      <c r="AC1872">
        <v>4853</v>
      </c>
      <c r="AD1872" t="s">
        <v>7551</v>
      </c>
      <c r="AE1872">
        <v>2243</v>
      </c>
      <c r="AF1872" t="s">
        <v>7552</v>
      </c>
      <c r="AG1872" t="s">
        <v>4387</v>
      </c>
      <c r="AH1872" t="s">
        <v>7553</v>
      </c>
    </row>
    <row r="1873" spans="1:34" x14ac:dyDescent="0.25">
      <c r="A1873">
        <v>55</v>
      </c>
      <c r="B1873" t="s">
        <v>1313</v>
      </c>
      <c r="C1873" s="185"/>
      <c r="D1873" t="s">
        <v>24</v>
      </c>
      <c r="E1873" t="s">
        <v>386</v>
      </c>
      <c r="F1873" t="s">
        <v>448</v>
      </c>
      <c r="G1873" t="s">
        <v>1197</v>
      </c>
      <c r="H1873" t="s">
        <v>7510</v>
      </c>
      <c r="I1873">
        <v>13390</v>
      </c>
      <c r="J1873" t="s">
        <v>110</v>
      </c>
      <c r="K1873" t="s">
        <v>7402</v>
      </c>
      <c r="L1873" t="s">
        <v>386</v>
      </c>
      <c r="M1873" t="s">
        <v>1193</v>
      </c>
      <c r="N1873">
        <v>15328</v>
      </c>
      <c r="O1873">
        <v>76</v>
      </c>
      <c r="Q1873" t="s">
        <v>7554</v>
      </c>
      <c r="R1873" t="s">
        <v>398</v>
      </c>
      <c r="S1873" t="s">
        <v>7404</v>
      </c>
      <c r="T1873">
        <v>220</v>
      </c>
      <c r="U1873">
        <v>0</v>
      </c>
      <c r="V1873" t="s">
        <v>1194</v>
      </c>
      <c r="W1873" t="s">
        <v>2107</v>
      </c>
      <c r="X1873">
        <v>272</v>
      </c>
      <c r="Y1873" t="s">
        <v>1317</v>
      </c>
      <c r="Z1873" t="s">
        <v>957</v>
      </c>
      <c r="AA1873" t="s">
        <v>387</v>
      </c>
      <c r="AB1873">
        <v>0</v>
      </c>
      <c r="AC1873">
        <v>5019</v>
      </c>
      <c r="AD1873" t="s">
        <v>7514</v>
      </c>
      <c r="AE1873">
        <v>63</v>
      </c>
      <c r="AF1873" t="s">
        <v>3896</v>
      </c>
      <c r="AG1873" t="s">
        <v>1244</v>
      </c>
      <c r="AH1873" t="s">
        <v>7555</v>
      </c>
    </row>
    <row r="1874" spans="1:34" x14ac:dyDescent="0.25">
      <c r="A1874">
        <v>121</v>
      </c>
      <c r="C1874" s="185"/>
      <c r="E1874" t="s">
        <v>386</v>
      </c>
      <c r="F1874" t="s">
        <v>7556</v>
      </c>
      <c r="G1874" t="s">
        <v>1197</v>
      </c>
      <c r="H1874" t="s">
        <v>7557</v>
      </c>
      <c r="I1874">
        <v>4511</v>
      </c>
      <c r="J1874" t="s">
        <v>7556</v>
      </c>
      <c r="K1874" t="s">
        <v>7558</v>
      </c>
      <c r="L1874" t="s">
        <v>386</v>
      </c>
      <c r="M1874" t="s">
        <v>1193</v>
      </c>
      <c r="N1874">
        <v>4511</v>
      </c>
      <c r="O1874">
        <v>0</v>
      </c>
      <c r="Q1874" t="s">
        <v>7559</v>
      </c>
      <c r="T1874">
        <v>52</v>
      </c>
      <c r="V1874" t="s">
        <v>2024</v>
      </c>
      <c r="Z1874" t="s">
        <v>7560</v>
      </c>
      <c r="AA1874" t="s">
        <v>387</v>
      </c>
      <c r="AB1874">
        <v>0</v>
      </c>
      <c r="AC1874">
        <v>2352</v>
      </c>
      <c r="AD1874" t="s">
        <v>7561</v>
      </c>
      <c r="AE1874">
        <v>1127</v>
      </c>
      <c r="AF1874" t="s">
        <v>7562</v>
      </c>
      <c r="AG1874" t="s">
        <v>2644</v>
      </c>
      <c r="AH1874" t="s">
        <v>7563</v>
      </c>
    </row>
    <row r="1875" spans="1:34" x14ac:dyDescent="0.25">
      <c r="A1875">
        <v>110</v>
      </c>
      <c r="C1875" s="185"/>
      <c r="D1875" t="s">
        <v>24</v>
      </c>
      <c r="E1875" t="s">
        <v>386</v>
      </c>
      <c r="F1875" t="s">
        <v>7564</v>
      </c>
      <c r="G1875" t="s">
        <v>1197</v>
      </c>
      <c r="H1875" t="s">
        <v>7414</v>
      </c>
      <c r="I1875">
        <v>6461</v>
      </c>
      <c r="J1875" t="s">
        <v>7564</v>
      </c>
      <c r="K1875" t="s">
        <v>7564</v>
      </c>
      <c r="L1875" t="s">
        <v>386</v>
      </c>
      <c r="M1875" t="s">
        <v>1193</v>
      </c>
      <c r="N1875">
        <v>6461</v>
      </c>
      <c r="O1875">
        <v>0</v>
      </c>
      <c r="Q1875" t="s">
        <v>7565</v>
      </c>
      <c r="T1875">
        <v>52</v>
      </c>
      <c r="V1875" t="s">
        <v>2024</v>
      </c>
      <c r="Z1875" t="s">
        <v>876</v>
      </c>
      <c r="AA1875" t="s">
        <v>387</v>
      </c>
      <c r="AB1875">
        <v>0</v>
      </c>
      <c r="AC1875">
        <v>2919</v>
      </c>
      <c r="AD1875" t="s">
        <v>7566</v>
      </c>
      <c r="AE1875">
        <v>1</v>
      </c>
      <c r="AF1875" t="s">
        <v>1922</v>
      </c>
      <c r="AG1875" t="s">
        <v>1244</v>
      </c>
      <c r="AH1875" t="s">
        <v>7567</v>
      </c>
    </row>
    <row r="1876" spans="1:34" x14ac:dyDescent="0.25">
      <c r="A1876">
        <v>51</v>
      </c>
      <c r="C1876" s="185"/>
      <c r="E1876" t="s">
        <v>386</v>
      </c>
      <c r="F1876" t="s">
        <v>7568</v>
      </c>
      <c r="G1876" t="s">
        <v>1197</v>
      </c>
      <c r="H1876" t="s">
        <v>7569</v>
      </c>
      <c r="I1876">
        <v>2316</v>
      </c>
      <c r="J1876" t="s">
        <v>7568</v>
      </c>
      <c r="K1876" t="s">
        <v>7570</v>
      </c>
      <c r="L1876" t="s">
        <v>386</v>
      </c>
      <c r="M1876" t="s">
        <v>1193</v>
      </c>
      <c r="N1876">
        <v>2316</v>
      </c>
      <c r="O1876">
        <v>0</v>
      </c>
      <c r="Q1876" t="s">
        <v>7571</v>
      </c>
      <c r="T1876">
        <v>52</v>
      </c>
      <c r="V1876" t="s">
        <v>2024</v>
      </c>
      <c r="Z1876" t="s">
        <v>1109</v>
      </c>
      <c r="AA1876" t="s">
        <v>387</v>
      </c>
      <c r="AB1876">
        <v>0</v>
      </c>
      <c r="AC1876">
        <v>1699</v>
      </c>
      <c r="AD1876" t="s">
        <v>7572</v>
      </c>
      <c r="AE1876">
        <v>3</v>
      </c>
      <c r="AF1876" t="s">
        <v>1235</v>
      </c>
      <c r="AG1876" t="s">
        <v>7573</v>
      </c>
      <c r="AH1876" t="s">
        <v>7574</v>
      </c>
    </row>
    <row r="1877" spans="1:34" x14ac:dyDescent="0.25">
      <c r="A1877">
        <v>51</v>
      </c>
      <c r="C1877" s="185"/>
      <c r="E1877" t="s">
        <v>386</v>
      </c>
      <c r="F1877" t="s">
        <v>7575</v>
      </c>
      <c r="G1877" t="s">
        <v>1197</v>
      </c>
      <c r="H1877" t="s">
        <v>7576</v>
      </c>
      <c r="I1877">
        <v>16697</v>
      </c>
      <c r="J1877" t="s">
        <v>7575</v>
      </c>
      <c r="K1877" t="s">
        <v>7575</v>
      </c>
      <c r="L1877" t="s">
        <v>386</v>
      </c>
      <c r="M1877" t="s">
        <v>1193</v>
      </c>
      <c r="N1877">
        <v>16697</v>
      </c>
      <c r="O1877">
        <v>0</v>
      </c>
      <c r="Q1877" t="s">
        <v>7577</v>
      </c>
      <c r="R1877" t="s">
        <v>1208</v>
      </c>
      <c r="T1877">
        <v>103</v>
      </c>
      <c r="V1877" t="s">
        <v>1530</v>
      </c>
      <c r="W1877" t="s">
        <v>1530</v>
      </c>
      <c r="X1877">
        <v>103</v>
      </c>
      <c r="Z1877" t="s">
        <v>1109</v>
      </c>
      <c r="AA1877" t="s">
        <v>387</v>
      </c>
      <c r="AB1877">
        <v>0</v>
      </c>
      <c r="AC1877">
        <v>1625</v>
      </c>
      <c r="AD1877" t="s">
        <v>7578</v>
      </c>
      <c r="AE1877">
        <v>448</v>
      </c>
      <c r="AF1877" t="s">
        <v>7579</v>
      </c>
      <c r="AG1877" t="s">
        <v>7580</v>
      </c>
      <c r="AH1877" t="s">
        <v>7581</v>
      </c>
    </row>
    <row r="1878" spans="1:34" x14ac:dyDescent="0.25">
      <c r="A1878">
        <v>51</v>
      </c>
      <c r="B1878" t="s">
        <v>1313</v>
      </c>
      <c r="C1878" s="185"/>
      <c r="D1878" t="s">
        <v>24</v>
      </c>
      <c r="E1878" t="s">
        <v>386</v>
      </c>
      <c r="F1878" t="s">
        <v>369</v>
      </c>
      <c r="G1878" t="s">
        <v>1197</v>
      </c>
      <c r="H1878" t="s">
        <v>7582</v>
      </c>
      <c r="I1878">
        <v>201</v>
      </c>
      <c r="J1878" t="s">
        <v>288</v>
      </c>
      <c r="K1878" t="s">
        <v>7583</v>
      </c>
      <c r="L1878" t="s">
        <v>386</v>
      </c>
      <c r="M1878" t="s">
        <v>1193</v>
      </c>
      <c r="N1878">
        <v>15335</v>
      </c>
      <c r="O1878">
        <v>57</v>
      </c>
      <c r="Q1878" t="s">
        <v>7584</v>
      </c>
      <c r="R1878" t="s">
        <v>398</v>
      </c>
      <c r="S1878" t="s">
        <v>1909</v>
      </c>
      <c r="T1878">
        <v>470</v>
      </c>
      <c r="U1878">
        <v>0</v>
      </c>
      <c r="V1878" t="s">
        <v>4468</v>
      </c>
      <c r="W1878" t="s">
        <v>2107</v>
      </c>
      <c r="X1878">
        <v>272</v>
      </c>
      <c r="Y1878" t="s">
        <v>1317</v>
      </c>
      <c r="Z1878" t="s">
        <v>1109</v>
      </c>
      <c r="AA1878" t="s">
        <v>387</v>
      </c>
      <c r="AB1878">
        <v>49000</v>
      </c>
      <c r="AC1878">
        <v>276</v>
      </c>
      <c r="AD1878" t="s">
        <v>7585</v>
      </c>
      <c r="AE1878">
        <v>448</v>
      </c>
      <c r="AF1878" t="s">
        <v>7579</v>
      </c>
      <c r="AG1878" t="s">
        <v>7586</v>
      </c>
      <c r="AH1878" t="s">
        <v>7587</v>
      </c>
    </row>
    <row r="1879" spans="1:34" x14ac:dyDescent="0.25">
      <c r="A1879">
        <v>51</v>
      </c>
      <c r="B1879" t="s">
        <v>1313</v>
      </c>
      <c r="C1879" s="185"/>
      <c r="D1879" t="s">
        <v>24</v>
      </c>
      <c r="E1879" t="s">
        <v>386</v>
      </c>
      <c r="F1879" t="s">
        <v>231</v>
      </c>
      <c r="G1879" t="s">
        <v>1197</v>
      </c>
      <c r="H1879" t="s">
        <v>7588</v>
      </c>
      <c r="I1879">
        <v>12190</v>
      </c>
      <c r="J1879" t="s">
        <v>231</v>
      </c>
      <c r="K1879" t="s">
        <v>7589</v>
      </c>
      <c r="L1879" t="s">
        <v>386</v>
      </c>
      <c r="M1879" t="s">
        <v>1193</v>
      </c>
      <c r="N1879">
        <v>12190</v>
      </c>
      <c r="O1879">
        <v>57</v>
      </c>
      <c r="Q1879" t="s">
        <v>7590</v>
      </c>
      <c r="R1879" t="s">
        <v>398</v>
      </c>
      <c r="S1879" t="s">
        <v>1909</v>
      </c>
      <c r="T1879">
        <v>220</v>
      </c>
      <c r="U1879">
        <v>0</v>
      </c>
      <c r="V1879" t="s">
        <v>1194</v>
      </c>
      <c r="W1879" t="s">
        <v>1194</v>
      </c>
      <c r="X1879">
        <v>220</v>
      </c>
      <c r="Y1879" t="s">
        <v>1317</v>
      </c>
      <c r="Z1879" t="s">
        <v>1109</v>
      </c>
      <c r="AA1879" t="s">
        <v>387</v>
      </c>
      <c r="AB1879">
        <v>49000</v>
      </c>
      <c r="AC1879">
        <v>4613</v>
      </c>
      <c r="AD1879" t="s">
        <v>7591</v>
      </c>
      <c r="AE1879">
        <v>3</v>
      </c>
      <c r="AF1879" t="s">
        <v>1235</v>
      </c>
      <c r="AG1879" t="s">
        <v>7592</v>
      </c>
    </row>
    <row r="1880" spans="1:34" x14ac:dyDescent="0.25">
      <c r="A1880">
        <v>51</v>
      </c>
      <c r="C1880" s="185"/>
      <c r="E1880" t="s">
        <v>386</v>
      </c>
      <c r="F1880" t="s">
        <v>7593</v>
      </c>
      <c r="G1880" t="s">
        <v>1197</v>
      </c>
      <c r="H1880" t="s">
        <v>7576</v>
      </c>
      <c r="I1880">
        <v>2208</v>
      </c>
      <c r="J1880" t="s">
        <v>7593</v>
      </c>
      <c r="K1880" t="s">
        <v>7594</v>
      </c>
      <c r="L1880" t="s">
        <v>386</v>
      </c>
      <c r="M1880" t="s">
        <v>1193</v>
      </c>
      <c r="N1880">
        <v>2208</v>
      </c>
      <c r="O1880">
        <v>0</v>
      </c>
      <c r="Q1880" t="s">
        <v>7595</v>
      </c>
      <c r="T1880">
        <v>52</v>
      </c>
      <c r="V1880" t="s">
        <v>2024</v>
      </c>
      <c r="Z1880" t="s">
        <v>1109</v>
      </c>
      <c r="AA1880" t="s">
        <v>387</v>
      </c>
      <c r="AB1880">
        <v>0</v>
      </c>
      <c r="AC1880">
        <v>1625</v>
      </c>
      <c r="AD1880" t="s">
        <v>7578</v>
      </c>
      <c r="AE1880">
        <v>448</v>
      </c>
      <c r="AF1880" t="s">
        <v>7579</v>
      </c>
      <c r="AG1880" t="s">
        <v>7596</v>
      </c>
    </row>
    <row r="1881" spans="1:34" x14ac:dyDescent="0.25">
      <c r="A1881">
        <v>48</v>
      </c>
      <c r="C1881" s="185"/>
      <c r="E1881" t="s">
        <v>386</v>
      </c>
      <c r="F1881" t="s">
        <v>7597</v>
      </c>
      <c r="G1881" t="s">
        <v>1197</v>
      </c>
      <c r="H1881" t="s">
        <v>7598</v>
      </c>
      <c r="I1881">
        <v>5546</v>
      </c>
      <c r="J1881" t="s">
        <v>7597</v>
      </c>
      <c r="K1881" t="s">
        <v>7599</v>
      </c>
      <c r="L1881" t="s">
        <v>386</v>
      </c>
      <c r="M1881" t="s">
        <v>1193</v>
      </c>
      <c r="N1881">
        <v>5546</v>
      </c>
      <c r="O1881">
        <v>0</v>
      </c>
      <c r="Q1881" t="s">
        <v>7600</v>
      </c>
      <c r="T1881">
        <v>340</v>
      </c>
      <c r="V1881" t="s">
        <v>1200</v>
      </c>
      <c r="W1881" t="s">
        <v>2144</v>
      </c>
      <c r="X1881">
        <v>39</v>
      </c>
      <c r="Z1881" t="s">
        <v>2797</v>
      </c>
      <c r="AA1881" t="s">
        <v>387</v>
      </c>
      <c r="AB1881">
        <v>0</v>
      </c>
      <c r="AC1881">
        <v>2635</v>
      </c>
      <c r="AD1881" t="s">
        <v>7601</v>
      </c>
      <c r="AE1881">
        <v>1268</v>
      </c>
      <c r="AF1881" t="s">
        <v>7602</v>
      </c>
      <c r="AG1881" t="s">
        <v>7603</v>
      </c>
      <c r="AH1881" t="s">
        <v>7604</v>
      </c>
    </row>
    <row r="1882" spans="1:34" x14ac:dyDescent="0.25">
      <c r="A1882">
        <v>48</v>
      </c>
      <c r="C1882" s="185"/>
      <c r="D1882" t="s">
        <v>24</v>
      </c>
      <c r="E1882" t="s">
        <v>386</v>
      </c>
      <c r="F1882" t="s">
        <v>359</v>
      </c>
      <c r="G1882" t="s">
        <v>1197</v>
      </c>
      <c r="H1882" t="s">
        <v>7605</v>
      </c>
      <c r="I1882">
        <v>194</v>
      </c>
      <c r="J1882" t="s">
        <v>7606</v>
      </c>
      <c r="K1882" t="s">
        <v>7607</v>
      </c>
      <c r="L1882" t="s">
        <v>386</v>
      </c>
      <c r="M1882" t="s">
        <v>1193</v>
      </c>
      <c r="N1882">
        <v>15345</v>
      </c>
      <c r="O1882">
        <v>57</v>
      </c>
      <c r="Q1882" t="s">
        <v>7608</v>
      </c>
      <c r="R1882" t="s">
        <v>398</v>
      </c>
      <c r="T1882">
        <v>200</v>
      </c>
      <c r="V1882" t="s">
        <v>1199</v>
      </c>
      <c r="W1882" t="s">
        <v>1194</v>
      </c>
      <c r="X1882">
        <v>220</v>
      </c>
      <c r="Z1882" t="s">
        <v>2797</v>
      </c>
      <c r="AA1882" t="s">
        <v>387</v>
      </c>
      <c r="AB1882">
        <v>49000</v>
      </c>
      <c r="AC1882">
        <v>161</v>
      </c>
      <c r="AD1882" t="s">
        <v>7609</v>
      </c>
      <c r="AE1882">
        <v>90</v>
      </c>
      <c r="AF1882" t="s">
        <v>7610</v>
      </c>
      <c r="AG1882" t="s">
        <v>7611</v>
      </c>
      <c r="AH1882" t="s">
        <v>7612</v>
      </c>
    </row>
    <row r="1883" spans="1:34" x14ac:dyDescent="0.25">
      <c r="A1883">
        <v>48</v>
      </c>
      <c r="C1883" s="185"/>
      <c r="E1883" t="s">
        <v>386</v>
      </c>
      <c r="F1883" t="s">
        <v>7613</v>
      </c>
      <c r="G1883" t="s">
        <v>1197</v>
      </c>
      <c r="H1883" t="s">
        <v>7605</v>
      </c>
      <c r="I1883">
        <v>196</v>
      </c>
      <c r="J1883" t="s">
        <v>7613</v>
      </c>
      <c r="K1883" t="s">
        <v>7614</v>
      </c>
      <c r="L1883" t="s">
        <v>386</v>
      </c>
      <c r="M1883" t="s">
        <v>1193</v>
      </c>
      <c r="N1883">
        <v>196</v>
      </c>
      <c r="O1883">
        <v>1</v>
      </c>
      <c r="Q1883" t="s">
        <v>7615</v>
      </c>
      <c r="R1883" t="s">
        <v>398</v>
      </c>
      <c r="T1883">
        <v>220</v>
      </c>
      <c r="V1883" t="s">
        <v>1194</v>
      </c>
      <c r="W1883" t="s">
        <v>2015</v>
      </c>
      <c r="X1883">
        <v>35</v>
      </c>
      <c r="Z1883" t="s">
        <v>2797</v>
      </c>
      <c r="AA1883" t="s">
        <v>387</v>
      </c>
      <c r="AB1883">
        <v>1000</v>
      </c>
      <c r="AC1883">
        <v>161</v>
      </c>
      <c r="AD1883" t="s">
        <v>7609</v>
      </c>
      <c r="AE1883">
        <v>92</v>
      </c>
      <c r="AF1883" t="s">
        <v>7616</v>
      </c>
      <c r="AG1883" t="s">
        <v>7617</v>
      </c>
    </row>
    <row r="1884" spans="1:34" x14ac:dyDescent="0.25">
      <c r="A1884">
        <v>48</v>
      </c>
      <c r="C1884" s="185"/>
      <c r="D1884" t="s">
        <v>24</v>
      </c>
      <c r="E1884" t="s">
        <v>386</v>
      </c>
      <c r="F1884" t="s">
        <v>7618</v>
      </c>
      <c r="G1884" t="s">
        <v>1197</v>
      </c>
      <c r="H1884" t="s">
        <v>7605</v>
      </c>
      <c r="I1884">
        <v>312</v>
      </c>
      <c r="J1884" t="s">
        <v>7618</v>
      </c>
      <c r="K1884" t="s">
        <v>7619</v>
      </c>
      <c r="L1884" t="s">
        <v>386</v>
      </c>
      <c r="M1884" t="s">
        <v>1193</v>
      </c>
      <c r="N1884">
        <v>312</v>
      </c>
      <c r="O1884">
        <v>57</v>
      </c>
      <c r="Q1884" t="s">
        <v>7620</v>
      </c>
      <c r="R1884" t="s">
        <v>398</v>
      </c>
      <c r="T1884">
        <v>220</v>
      </c>
      <c r="V1884" t="s">
        <v>1194</v>
      </c>
      <c r="W1884" t="s">
        <v>2015</v>
      </c>
      <c r="X1884">
        <v>35</v>
      </c>
      <c r="Z1884" t="s">
        <v>2797</v>
      </c>
      <c r="AA1884" t="s">
        <v>387</v>
      </c>
      <c r="AB1884">
        <v>49000</v>
      </c>
      <c r="AC1884">
        <v>161</v>
      </c>
      <c r="AD1884" t="s">
        <v>7609</v>
      </c>
      <c r="AE1884">
        <v>90</v>
      </c>
      <c r="AF1884" t="s">
        <v>7610</v>
      </c>
      <c r="AG1884" t="s">
        <v>7621</v>
      </c>
      <c r="AH1884" t="s">
        <v>7622</v>
      </c>
    </row>
    <row r="1885" spans="1:34" x14ac:dyDescent="0.25">
      <c r="A1885">
        <v>48</v>
      </c>
      <c r="C1885" s="185"/>
      <c r="D1885" t="s">
        <v>24</v>
      </c>
      <c r="E1885" t="s">
        <v>386</v>
      </c>
      <c r="F1885" t="s">
        <v>7623</v>
      </c>
      <c r="G1885" t="s">
        <v>1197</v>
      </c>
      <c r="H1885" t="s">
        <v>7624</v>
      </c>
      <c r="I1885">
        <v>3050</v>
      </c>
      <c r="J1885" t="s">
        <v>7623</v>
      </c>
      <c r="K1885" t="s">
        <v>7625</v>
      </c>
      <c r="L1885" t="s">
        <v>386</v>
      </c>
      <c r="M1885" t="s">
        <v>1193</v>
      </c>
      <c r="N1885">
        <v>3050</v>
      </c>
      <c r="O1885">
        <v>57</v>
      </c>
      <c r="Q1885" t="s">
        <v>7626</v>
      </c>
      <c r="R1885" t="s">
        <v>398</v>
      </c>
      <c r="T1885">
        <v>220</v>
      </c>
      <c r="V1885" t="s">
        <v>1194</v>
      </c>
      <c r="W1885" t="s">
        <v>1194</v>
      </c>
      <c r="X1885">
        <v>220</v>
      </c>
      <c r="Z1885" t="s">
        <v>2797</v>
      </c>
      <c r="AA1885" t="s">
        <v>387</v>
      </c>
      <c r="AB1885">
        <v>49000</v>
      </c>
      <c r="AC1885">
        <v>2040</v>
      </c>
      <c r="AD1885" t="s">
        <v>7627</v>
      </c>
      <c r="AE1885">
        <v>260</v>
      </c>
      <c r="AF1885" t="s">
        <v>3125</v>
      </c>
      <c r="AG1885" t="s">
        <v>3714</v>
      </c>
      <c r="AH1885" t="s">
        <v>7628</v>
      </c>
    </row>
    <row r="1886" spans="1:34" x14ac:dyDescent="0.25">
      <c r="A1886">
        <v>110</v>
      </c>
      <c r="C1886" s="185"/>
      <c r="D1886" t="s">
        <v>24</v>
      </c>
      <c r="E1886" t="s">
        <v>386</v>
      </c>
      <c r="F1886" t="s">
        <v>7629</v>
      </c>
      <c r="G1886" t="s">
        <v>1197</v>
      </c>
      <c r="H1886" t="s">
        <v>7389</v>
      </c>
      <c r="I1886">
        <v>9771</v>
      </c>
      <c r="J1886" t="s">
        <v>7629</v>
      </c>
      <c r="K1886" t="s">
        <v>7629</v>
      </c>
      <c r="L1886" t="s">
        <v>386</v>
      </c>
      <c r="M1886" t="s">
        <v>1193</v>
      </c>
      <c r="N1886">
        <v>9771</v>
      </c>
      <c r="O1886">
        <v>0</v>
      </c>
      <c r="Q1886" t="s">
        <v>7630</v>
      </c>
      <c r="R1886" t="s">
        <v>398</v>
      </c>
      <c r="T1886">
        <v>220</v>
      </c>
      <c r="V1886" t="s">
        <v>1194</v>
      </c>
      <c r="Z1886" t="s">
        <v>876</v>
      </c>
      <c r="AA1886" t="s">
        <v>387</v>
      </c>
      <c r="AB1886">
        <v>0</v>
      </c>
      <c r="AC1886">
        <v>3847</v>
      </c>
      <c r="AD1886" t="s">
        <v>7631</v>
      </c>
      <c r="AE1886">
        <v>465</v>
      </c>
      <c r="AF1886" t="s">
        <v>7632</v>
      </c>
      <c r="AG1886" t="s">
        <v>1244</v>
      </c>
    </row>
    <row r="1887" spans="1:34" x14ac:dyDescent="0.25">
      <c r="A1887">
        <v>48</v>
      </c>
      <c r="B1887" t="s">
        <v>1313</v>
      </c>
      <c r="C1887" s="185"/>
      <c r="D1887" t="s">
        <v>24</v>
      </c>
      <c r="E1887" t="s">
        <v>386</v>
      </c>
      <c r="F1887" t="s">
        <v>448</v>
      </c>
      <c r="G1887" t="s">
        <v>1197</v>
      </c>
      <c r="H1887" t="s">
        <v>7633</v>
      </c>
      <c r="I1887">
        <v>524</v>
      </c>
      <c r="J1887" t="s">
        <v>7634</v>
      </c>
      <c r="K1887" t="s">
        <v>7402</v>
      </c>
      <c r="L1887" t="s">
        <v>386</v>
      </c>
      <c r="M1887" t="s">
        <v>1193</v>
      </c>
      <c r="N1887">
        <v>15328</v>
      </c>
      <c r="O1887">
        <v>57</v>
      </c>
      <c r="Q1887" t="s">
        <v>7635</v>
      </c>
      <c r="R1887" t="s">
        <v>398</v>
      </c>
      <c r="S1887" t="s">
        <v>7404</v>
      </c>
      <c r="T1887">
        <v>272</v>
      </c>
      <c r="U1887">
        <v>0</v>
      </c>
      <c r="V1887" t="s">
        <v>2107</v>
      </c>
      <c r="W1887" t="s">
        <v>1194</v>
      </c>
      <c r="X1887">
        <v>220</v>
      </c>
      <c r="Y1887" t="s">
        <v>1317</v>
      </c>
      <c r="Z1887" t="s">
        <v>2797</v>
      </c>
      <c r="AA1887" t="s">
        <v>387</v>
      </c>
      <c r="AB1887">
        <v>49000</v>
      </c>
      <c r="AC1887">
        <v>161</v>
      </c>
      <c r="AD1887" t="s">
        <v>7609</v>
      </c>
      <c r="AE1887">
        <v>231</v>
      </c>
      <c r="AF1887" t="s">
        <v>7636</v>
      </c>
      <c r="AG1887" t="s">
        <v>7617</v>
      </c>
    </row>
    <row r="1888" spans="1:34" x14ac:dyDescent="0.25">
      <c r="A1888">
        <v>48</v>
      </c>
      <c r="C1888" s="185"/>
      <c r="E1888" t="s">
        <v>386</v>
      </c>
      <c r="F1888" t="s">
        <v>7637</v>
      </c>
      <c r="G1888" t="s">
        <v>1197</v>
      </c>
      <c r="H1888" t="s">
        <v>7638</v>
      </c>
      <c r="I1888">
        <v>15639</v>
      </c>
      <c r="J1888" t="s">
        <v>7637</v>
      </c>
      <c r="K1888" t="s">
        <v>7637</v>
      </c>
      <c r="L1888" t="s">
        <v>386</v>
      </c>
      <c r="M1888" t="s">
        <v>1193</v>
      </c>
      <c r="N1888">
        <v>15639</v>
      </c>
      <c r="O1888">
        <v>0</v>
      </c>
      <c r="Q1888" t="s">
        <v>7639</v>
      </c>
      <c r="T1888">
        <v>435</v>
      </c>
      <c r="V1888" t="s">
        <v>3129</v>
      </c>
      <c r="W1888" t="s">
        <v>3129</v>
      </c>
      <c r="X1888">
        <v>435</v>
      </c>
      <c r="Z1888" t="s">
        <v>2797</v>
      </c>
      <c r="AA1888" t="s">
        <v>387</v>
      </c>
      <c r="AB1888">
        <v>0</v>
      </c>
      <c r="AC1888">
        <v>5899</v>
      </c>
      <c r="AD1888" t="s">
        <v>7640</v>
      </c>
      <c r="AE1888">
        <v>566</v>
      </c>
      <c r="AF1888" t="s">
        <v>7641</v>
      </c>
      <c r="AG1888" t="s">
        <v>4604</v>
      </c>
      <c r="AH1888" t="s">
        <v>7642</v>
      </c>
    </row>
    <row r="1889" spans="1:34" x14ac:dyDescent="0.25">
      <c r="A1889">
        <v>48</v>
      </c>
      <c r="C1889" s="185"/>
      <c r="E1889" t="s">
        <v>386</v>
      </c>
      <c r="F1889" t="s">
        <v>7643</v>
      </c>
      <c r="G1889" t="s">
        <v>1197</v>
      </c>
      <c r="H1889" t="s">
        <v>7644</v>
      </c>
      <c r="I1889">
        <v>15826</v>
      </c>
      <c r="J1889" t="s">
        <v>7643</v>
      </c>
      <c r="K1889" t="s">
        <v>7645</v>
      </c>
      <c r="L1889" t="s">
        <v>386</v>
      </c>
      <c r="M1889" t="s">
        <v>1193</v>
      </c>
      <c r="N1889">
        <v>15826</v>
      </c>
      <c r="O1889">
        <v>0</v>
      </c>
      <c r="Q1889" t="s">
        <v>7646</v>
      </c>
      <c r="R1889" t="s">
        <v>1208</v>
      </c>
      <c r="T1889">
        <v>103</v>
      </c>
      <c r="V1889" t="s">
        <v>1530</v>
      </c>
      <c r="W1889" t="s">
        <v>1530</v>
      </c>
      <c r="X1889">
        <v>103</v>
      </c>
      <c r="Z1889" t="s">
        <v>2797</v>
      </c>
      <c r="AA1889" t="s">
        <v>387</v>
      </c>
      <c r="AB1889">
        <v>0</v>
      </c>
      <c r="AC1889">
        <v>121</v>
      </c>
      <c r="AD1889" t="s">
        <v>5825</v>
      </c>
      <c r="AE1889">
        <v>1067</v>
      </c>
      <c r="AF1889" t="s">
        <v>7647</v>
      </c>
      <c r="AG1889" t="s">
        <v>5879</v>
      </c>
      <c r="AH1889" t="s">
        <v>7648</v>
      </c>
    </row>
    <row r="1890" spans="1:34" x14ac:dyDescent="0.25">
      <c r="A1890">
        <v>110</v>
      </c>
      <c r="B1890" t="s">
        <v>1313</v>
      </c>
      <c r="C1890" s="185"/>
      <c r="D1890" t="s">
        <v>24</v>
      </c>
      <c r="E1890" t="s">
        <v>386</v>
      </c>
      <c r="F1890" t="s">
        <v>448</v>
      </c>
      <c r="G1890" t="s">
        <v>1197</v>
      </c>
      <c r="H1890" t="s">
        <v>7649</v>
      </c>
      <c r="I1890">
        <v>1613</v>
      </c>
      <c r="J1890" t="s">
        <v>211</v>
      </c>
      <c r="K1890" t="s">
        <v>7402</v>
      </c>
      <c r="L1890" t="s">
        <v>386</v>
      </c>
      <c r="M1890" t="s">
        <v>1193</v>
      </c>
      <c r="N1890">
        <v>15328</v>
      </c>
      <c r="O1890">
        <v>65</v>
      </c>
      <c r="Q1890" t="s">
        <v>7650</v>
      </c>
      <c r="R1890" t="s">
        <v>398</v>
      </c>
      <c r="S1890" t="s">
        <v>7404</v>
      </c>
      <c r="T1890">
        <v>220</v>
      </c>
      <c r="U1890">
        <v>0</v>
      </c>
      <c r="V1890" t="s">
        <v>1194</v>
      </c>
      <c r="W1890" t="s">
        <v>2107</v>
      </c>
      <c r="X1890">
        <v>272</v>
      </c>
      <c r="Y1890" t="s">
        <v>1317</v>
      </c>
      <c r="Z1890" t="s">
        <v>876</v>
      </c>
      <c r="AA1890" t="s">
        <v>387</v>
      </c>
      <c r="AB1890">
        <v>57000</v>
      </c>
      <c r="AC1890">
        <v>1200</v>
      </c>
      <c r="AD1890" t="s">
        <v>7651</v>
      </c>
      <c r="AE1890">
        <v>3</v>
      </c>
      <c r="AF1890" t="s">
        <v>1235</v>
      </c>
      <c r="AG1890" t="s">
        <v>7652</v>
      </c>
      <c r="AH1890" t="s">
        <v>7653</v>
      </c>
    </row>
    <row r="1891" spans="1:34" x14ac:dyDescent="0.25">
      <c r="A1891">
        <v>1857</v>
      </c>
      <c r="C1891" s="185"/>
      <c r="E1891" t="s">
        <v>386</v>
      </c>
      <c r="F1891" t="s">
        <v>7654</v>
      </c>
      <c r="G1891" t="s">
        <v>1197</v>
      </c>
      <c r="H1891" t="s">
        <v>7655</v>
      </c>
      <c r="I1891">
        <v>13606</v>
      </c>
      <c r="J1891" t="s">
        <v>7654</v>
      </c>
      <c r="K1891" t="s">
        <v>7656</v>
      </c>
      <c r="L1891" t="s">
        <v>386</v>
      </c>
      <c r="M1891" t="s">
        <v>1193</v>
      </c>
      <c r="N1891">
        <v>13606</v>
      </c>
      <c r="O1891">
        <v>0</v>
      </c>
      <c r="Q1891" t="s">
        <v>7657</v>
      </c>
      <c r="R1891" t="s">
        <v>1208</v>
      </c>
      <c r="T1891">
        <v>35</v>
      </c>
      <c r="V1891" t="s">
        <v>2015</v>
      </c>
      <c r="W1891" t="s">
        <v>2015</v>
      </c>
      <c r="X1891">
        <v>35</v>
      </c>
      <c r="Z1891" t="s">
        <v>7658</v>
      </c>
      <c r="AA1891" t="s">
        <v>387</v>
      </c>
      <c r="AB1891">
        <v>0</v>
      </c>
      <c r="AC1891">
        <v>5123</v>
      </c>
      <c r="AD1891" t="s">
        <v>7659</v>
      </c>
      <c r="AE1891">
        <v>371</v>
      </c>
      <c r="AF1891" t="s">
        <v>5473</v>
      </c>
      <c r="AG1891" t="s">
        <v>4780</v>
      </c>
      <c r="AH1891" t="s">
        <v>7660</v>
      </c>
    </row>
    <row r="1892" spans="1:34" x14ac:dyDescent="0.25">
      <c r="A1892">
        <v>1</v>
      </c>
      <c r="C1892" s="185"/>
      <c r="E1892" t="s">
        <v>386</v>
      </c>
      <c r="F1892" t="s">
        <v>7661</v>
      </c>
      <c r="G1892" t="s">
        <v>1197</v>
      </c>
      <c r="H1892" t="s">
        <v>7662</v>
      </c>
      <c r="I1892">
        <v>2275</v>
      </c>
      <c r="J1892" t="s">
        <v>7661</v>
      </c>
      <c r="K1892" t="s">
        <v>7663</v>
      </c>
      <c r="L1892" t="s">
        <v>386</v>
      </c>
      <c r="M1892" t="s">
        <v>1193</v>
      </c>
      <c r="N1892">
        <v>2275</v>
      </c>
      <c r="O1892">
        <v>0</v>
      </c>
      <c r="Q1892" t="s">
        <v>7664</v>
      </c>
      <c r="T1892">
        <v>52</v>
      </c>
      <c r="V1892" t="s">
        <v>2024</v>
      </c>
      <c r="Z1892" t="s">
        <v>865</v>
      </c>
      <c r="AA1892" t="s">
        <v>387</v>
      </c>
      <c r="AB1892">
        <v>0</v>
      </c>
      <c r="AC1892">
        <v>1676</v>
      </c>
      <c r="AD1892" t="s">
        <v>7665</v>
      </c>
      <c r="AE1892">
        <v>18</v>
      </c>
      <c r="AF1892" t="s">
        <v>1259</v>
      </c>
      <c r="AG1892" t="s">
        <v>1244</v>
      </c>
      <c r="AH1892" t="s">
        <v>7666</v>
      </c>
    </row>
    <row r="1893" spans="1:34" x14ac:dyDescent="0.25">
      <c r="A1893">
        <v>66</v>
      </c>
      <c r="C1893" s="185"/>
      <c r="E1893" t="s">
        <v>386</v>
      </c>
      <c r="F1893" t="s">
        <v>7667</v>
      </c>
      <c r="G1893" t="s">
        <v>1197</v>
      </c>
      <c r="H1893" t="s">
        <v>7668</v>
      </c>
      <c r="I1893">
        <v>17471</v>
      </c>
      <c r="J1893" t="s">
        <v>7667</v>
      </c>
      <c r="K1893" t="s">
        <v>7667</v>
      </c>
      <c r="L1893" t="s">
        <v>386</v>
      </c>
      <c r="M1893" t="s">
        <v>1193</v>
      </c>
      <c r="N1893">
        <v>17471</v>
      </c>
      <c r="O1893">
        <v>0</v>
      </c>
      <c r="Q1893" t="s">
        <v>7669</v>
      </c>
      <c r="T1893">
        <v>473</v>
      </c>
      <c r="V1893" t="s">
        <v>1964</v>
      </c>
      <c r="W1893" t="s">
        <v>1964</v>
      </c>
      <c r="X1893">
        <v>473</v>
      </c>
      <c r="Z1893" t="s">
        <v>7670</v>
      </c>
      <c r="AA1893" t="s">
        <v>387</v>
      </c>
      <c r="AB1893">
        <v>0</v>
      </c>
      <c r="AC1893">
        <v>4379</v>
      </c>
      <c r="AD1893" t="s">
        <v>7671</v>
      </c>
      <c r="AE1893">
        <v>2520</v>
      </c>
      <c r="AF1893" t="s">
        <v>7672</v>
      </c>
      <c r="AG1893" t="s">
        <v>7673</v>
      </c>
      <c r="AH1893" t="s">
        <v>7674</v>
      </c>
    </row>
    <row r="1894" spans="1:34" x14ac:dyDescent="0.25">
      <c r="A1894">
        <v>1635</v>
      </c>
      <c r="C1894" s="185"/>
      <c r="E1894" t="s">
        <v>386</v>
      </c>
      <c r="F1894" t="s">
        <v>7675</v>
      </c>
      <c r="G1894" t="s">
        <v>1197</v>
      </c>
      <c r="H1894" t="s">
        <v>7676</v>
      </c>
      <c r="I1894">
        <v>17256</v>
      </c>
      <c r="J1894" t="s">
        <v>7675</v>
      </c>
      <c r="K1894" t="s">
        <v>7677</v>
      </c>
      <c r="L1894" t="s">
        <v>386</v>
      </c>
      <c r="M1894" t="s">
        <v>1193</v>
      </c>
      <c r="N1894">
        <v>17256</v>
      </c>
      <c r="O1894">
        <v>35</v>
      </c>
      <c r="Q1894" t="s">
        <v>7678</v>
      </c>
      <c r="R1894" t="s">
        <v>398</v>
      </c>
      <c r="T1894">
        <v>52</v>
      </c>
      <c r="V1894" t="s">
        <v>2024</v>
      </c>
      <c r="W1894" t="s">
        <v>1194</v>
      </c>
      <c r="X1894">
        <v>220</v>
      </c>
      <c r="Z1894" t="s">
        <v>7679</v>
      </c>
      <c r="AA1894" t="s">
        <v>387</v>
      </c>
      <c r="AB1894">
        <v>27000</v>
      </c>
      <c r="AC1894">
        <v>6499</v>
      </c>
      <c r="AD1894" t="s">
        <v>7680</v>
      </c>
      <c r="AE1894">
        <v>2998</v>
      </c>
      <c r="AF1894" t="s">
        <v>7680</v>
      </c>
      <c r="AG1894" t="s">
        <v>2044</v>
      </c>
      <c r="AH1894" t="s">
        <v>7681</v>
      </c>
    </row>
    <row r="1895" spans="1:34" x14ac:dyDescent="0.25">
      <c r="A1895">
        <v>11</v>
      </c>
      <c r="C1895" s="185"/>
      <c r="E1895" t="s">
        <v>386</v>
      </c>
      <c r="F1895" t="s">
        <v>7682</v>
      </c>
      <c r="G1895" t="s">
        <v>1197</v>
      </c>
      <c r="H1895" t="s">
        <v>7683</v>
      </c>
      <c r="I1895">
        <v>16334</v>
      </c>
      <c r="J1895" t="s">
        <v>7682</v>
      </c>
      <c r="K1895" t="s">
        <v>7684</v>
      </c>
      <c r="L1895" t="s">
        <v>386</v>
      </c>
      <c r="M1895" t="s">
        <v>1193</v>
      </c>
      <c r="N1895">
        <v>16334</v>
      </c>
      <c r="O1895">
        <v>0</v>
      </c>
      <c r="Q1895" t="s">
        <v>7685</v>
      </c>
      <c r="T1895">
        <v>571</v>
      </c>
      <c r="V1895" t="s">
        <v>2003</v>
      </c>
      <c r="W1895" t="s">
        <v>2246</v>
      </c>
      <c r="X1895">
        <v>496</v>
      </c>
      <c r="Z1895" t="s">
        <v>871</v>
      </c>
      <c r="AA1895" t="s">
        <v>387</v>
      </c>
      <c r="AB1895">
        <v>0</v>
      </c>
      <c r="AC1895">
        <v>6124</v>
      </c>
      <c r="AD1895" t="s">
        <v>7686</v>
      </c>
      <c r="AE1895">
        <v>2141</v>
      </c>
      <c r="AF1895" t="s">
        <v>7687</v>
      </c>
      <c r="AG1895" t="s">
        <v>4464</v>
      </c>
      <c r="AH1895" t="s">
        <v>7688</v>
      </c>
    </row>
    <row r="1896" spans="1:34" x14ac:dyDescent="0.25">
      <c r="A1896">
        <v>24</v>
      </c>
      <c r="B1896" t="s">
        <v>1313</v>
      </c>
      <c r="C1896" s="185"/>
      <c r="D1896" t="s">
        <v>24</v>
      </c>
      <c r="E1896" t="s">
        <v>386</v>
      </c>
      <c r="F1896" t="s">
        <v>7689</v>
      </c>
      <c r="G1896" t="s">
        <v>1197</v>
      </c>
      <c r="H1896" t="s">
        <v>7690</v>
      </c>
      <c r="I1896">
        <v>15029</v>
      </c>
      <c r="J1896" t="s">
        <v>7689</v>
      </c>
      <c r="K1896" t="s">
        <v>7691</v>
      </c>
      <c r="L1896" t="s">
        <v>386</v>
      </c>
      <c r="M1896" t="s">
        <v>1193</v>
      </c>
      <c r="N1896">
        <v>15029</v>
      </c>
      <c r="O1896">
        <v>35</v>
      </c>
      <c r="Q1896" t="s">
        <v>7692</v>
      </c>
      <c r="R1896" t="s">
        <v>398</v>
      </c>
      <c r="S1896" t="s">
        <v>7693</v>
      </c>
      <c r="T1896">
        <v>340</v>
      </c>
      <c r="U1896">
        <v>0</v>
      </c>
      <c r="V1896" t="s">
        <v>1200</v>
      </c>
      <c r="W1896" t="s">
        <v>2186</v>
      </c>
      <c r="X1896">
        <v>396</v>
      </c>
      <c r="Y1896" t="s">
        <v>1317</v>
      </c>
      <c r="Z1896" t="s">
        <v>955</v>
      </c>
      <c r="AA1896" t="s">
        <v>387</v>
      </c>
      <c r="AB1896">
        <v>27000</v>
      </c>
      <c r="AC1896">
        <v>210</v>
      </c>
      <c r="AD1896" t="s">
        <v>2615</v>
      </c>
      <c r="AE1896">
        <v>2634</v>
      </c>
      <c r="AF1896" t="s">
        <v>7694</v>
      </c>
      <c r="AG1896" t="s">
        <v>7695</v>
      </c>
      <c r="AH1896" t="s">
        <v>7696</v>
      </c>
    </row>
    <row r="1897" spans="1:34" x14ac:dyDescent="0.25">
      <c r="A1897">
        <v>35</v>
      </c>
      <c r="C1897" s="185"/>
      <c r="E1897" t="s">
        <v>386</v>
      </c>
      <c r="F1897" t="s">
        <v>7697</v>
      </c>
      <c r="G1897" t="s">
        <v>1197</v>
      </c>
      <c r="H1897" t="s">
        <v>7698</v>
      </c>
      <c r="I1897">
        <v>16371</v>
      </c>
      <c r="J1897" t="s">
        <v>7697</v>
      </c>
      <c r="K1897" t="s">
        <v>7699</v>
      </c>
      <c r="L1897" t="s">
        <v>386</v>
      </c>
      <c r="M1897" t="s">
        <v>1193</v>
      </c>
      <c r="N1897">
        <v>16371</v>
      </c>
      <c r="O1897">
        <v>35</v>
      </c>
      <c r="Q1897" t="s">
        <v>7700</v>
      </c>
      <c r="R1897" t="s">
        <v>398</v>
      </c>
      <c r="T1897">
        <v>220</v>
      </c>
      <c r="V1897" t="s">
        <v>1194</v>
      </c>
      <c r="W1897" t="s">
        <v>1194</v>
      </c>
      <c r="X1897">
        <v>220</v>
      </c>
      <c r="Z1897" t="s">
        <v>890</v>
      </c>
      <c r="AA1897" t="s">
        <v>387</v>
      </c>
      <c r="AB1897">
        <v>27000</v>
      </c>
      <c r="AC1897">
        <v>1826</v>
      </c>
      <c r="AD1897" t="s">
        <v>4737</v>
      </c>
      <c r="AE1897">
        <v>2810</v>
      </c>
      <c r="AF1897" t="s">
        <v>7701</v>
      </c>
      <c r="AG1897" t="s">
        <v>7702</v>
      </c>
      <c r="AH1897" t="s">
        <v>7703</v>
      </c>
    </row>
    <row r="1898" spans="1:34" x14ac:dyDescent="0.25">
      <c r="A1898">
        <v>50</v>
      </c>
      <c r="B1898" t="s">
        <v>1313</v>
      </c>
      <c r="C1898" s="185"/>
      <c r="D1898" t="s">
        <v>24</v>
      </c>
      <c r="E1898" t="s">
        <v>386</v>
      </c>
      <c r="F1898" t="s">
        <v>369</v>
      </c>
      <c r="G1898" t="s">
        <v>1197</v>
      </c>
      <c r="H1898" t="s">
        <v>7704</v>
      </c>
      <c r="I1898">
        <v>10207</v>
      </c>
      <c r="J1898" t="s">
        <v>229</v>
      </c>
      <c r="K1898" t="s">
        <v>7705</v>
      </c>
      <c r="L1898" t="s">
        <v>386</v>
      </c>
      <c r="M1898" t="s">
        <v>1193</v>
      </c>
      <c r="N1898">
        <v>15335</v>
      </c>
      <c r="O1898">
        <v>57</v>
      </c>
      <c r="Q1898" t="s">
        <v>7706</v>
      </c>
      <c r="R1898" t="s">
        <v>398</v>
      </c>
      <c r="S1898" t="s">
        <v>1909</v>
      </c>
      <c r="T1898">
        <v>220</v>
      </c>
      <c r="U1898">
        <v>0</v>
      </c>
      <c r="V1898" t="s">
        <v>1194</v>
      </c>
      <c r="W1898" t="s">
        <v>1530</v>
      </c>
      <c r="X1898">
        <v>103</v>
      </c>
      <c r="Y1898" t="s">
        <v>1317</v>
      </c>
      <c r="Z1898" t="s">
        <v>878</v>
      </c>
      <c r="AA1898" t="s">
        <v>387</v>
      </c>
      <c r="AB1898">
        <v>49000</v>
      </c>
      <c r="AC1898">
        <v>5977</v>
      </c>
      <c r="AD1898" t="s">
        <v>7707</v>
      </c>
      <c r="AE1898">
        <v>2750</v>
      </c>
      <c r="AF1898" t="s">
        <v>7708</v>
      </c>
      <c r="AG1898" t="s">
        <v>7709</v>
      </c>
      <c r="AH1898" t="s">
        <v>7710</v>
      </c>
    </row>
    <row r="1899" spans="1:34" x14ac:dyDescent="0.25">
      <c r="A1899">
        <v>50</v>
      </c>
      <c r="C1899" s="185"/>
      <c r="E1899" t="s">
        <v>386</v>
      </c>
      <c r="F1899" t="s">
        <v>7711</v>
      </c>
      <c r="G1899" t="s">
        <v>1197</v>
      </c>
      <c r="H1899" t="s">
        <v>7704</v>
      </c>
      <c r="I1899">
        <v>15855</v>
      </c>
      <c r="J1899" t="s">
        <v>7711</v>
      </c>
      <c r="K1899" t="s">
        <v>7712</v>
      </c>
      <c r="L1899" t="s">
        <v>386</v>
      </c>
      <c r="M1899" t="s">
        <v>1193</v>
      </c>
      <c r="N1899">
        <v>15855</v>
      </c>
      <c r="O1899">
        <v>57</v>
      </c>
      <c r="Q1899" t="s">
        <v>7713</v>
      </c>
      <c r="R1899" t="s">
        <v>398</v>
      </c>
      <c r="T1899">
        <v>220</v>
      </c>
      <c r="V1899" t="s">
        <v>1194</v>
      </c>
      <c r="W1899" t="s">
        <v>2024</v>
      </c>
      <c r="X1899">
        <v>52</v>
      </c>
      <c r="Z1899" t="s">
        <v>878</v>
      </c>
      <c r="AA1899" t="s">
        <v>387</v>
      </c>
      <c r="AB1899">
        <v>49000</v>
      </c>
      <c r="AC1899">
        <v>5977</v>
      </c>
      <c r="AD1899" t="s">
        <v>7707</v>
      </c>
      <c r="AE1899">
        <v>2750</v>
      </c>
      <c r="AF1899" t="s">
        <v>7708</v>
      </c>
      <c r="AG1899" t="s">
        <v>7709</v>
      </c>
      <c r="AH1899" t="s">
        <v>7714</v>
      </c>
    </row>
    <row r="1900" spans="1:34" x14ac:dyDescent="0.25">
      <c r="A1900">
        <v>27</v>
      </c>
      <c r="C1900" s="185"/>
      <c r="E1900" t="s">
        <v>386</v>
      </c>
      <c r="F1900" t="s">
        <v>7715</v>
      </c>
      <c r="G1900" t="s">
        <v>1197</v>
      </c>
      <c r="H1900" t="s">
        <v>7716</v>
      </c>
      <c r="I1900">
        <v>366</v>
      </c>
      <c r="J1900" t="s">
        <v>7715</v>
      </c>
      <c r="K1900" t="s">
        <v>7717</v>
      </c>
      <c r="L1900" t="s">
        <v>386</v>
      </c>
      <c r="M1900" t="s">
        <v>1193</v>
      </c>
      <c r="N1900">
        <v>366</v>
      </c>
      <c r="O1900">
        <v>0</v>
      </c>
      <c r="Q1900" t="s">
        <v>7718</v>
      </c>
      <c r="R1900" t="s">
        <v>398</v>
      </c>
      <c r="T1900">
        <v>0</v>
      </c>
      <c r="V1900" t="s">
        <v>1186</v>
      </c>
      <c r="Z1900" t="s">
        <v>1018</v>
      </c>
      <c r="AA1900" t="s">
        <v>387</v>
      </c>
      <c r="AB1900">
        <v>0</v>
      </c>
      <c r="AC1900">
        <v>71</v>
      </c>
      <c r="AD1900" t="s">
        <v>7719</v>
      </c>
      <c r="AE1900">
        <v>112</v>
      </c>
      <c r="AF1900" t="s">
        <v>7720</v>
      </c>
      <c r="AG1900" t="s">
        <v>7702</v>
      </c>
    </row>
    <row r="1901" spans="1:34" x14ac:dyDescent="0.25">
      <c r="A1901">
        <v>50</v>
      </c>
      <c r="B1901" t="s">
        <v>1313</v>
      </c>
      <c r="C1901" s="185"/>
      <c r="D1901" t="s">
        <v>24</v>
      </c>
      <c r="E1901" t="s">
        <v>386</v>
      </c>
      <c r="F1901" t="s">
        <v>359</v>
      </c>
      <c r="G1901" t="s">
        <v>1197</v>
      </c>
      <c r="H1901" t="s">
        <v>7721</v>
      </c>
      <c r="I1901">
        <v>1159</v>
      </c>
      <c r="J1901" t="s">
        <v>50</v>
      </c>
      <c r="K1901" t="s">
        <v>7607</v>
      </c>
      <c r="L1901" t="s">
        <v>386</v>
      </c>
      <c r="M1901" t="s">
        <v>1193</v>
      </c>
      <c r="N1901">
        <v>15345</v>
      </c>
      <c r="O1901">
        <v>57</v>
      </c>
      <c r="Q1901" t="s">
        <v>7722</v>
      </c>
      <c r="R1901" t="s">
        <v>398</v>
      </c>
      <c r="S1901" t="s">
        <v>7319</v>
      </c>
      <c r="T1901">
        <v>122</v>
      </c>
      <c r="U1901">
        <v>0</v>
      </c>
      <c r="V1901" t="s">
        <v>1988</v>
      </c>
      <c r="W1901" t="s">
        <v>1988</v>
      </c>
      <c r="X1901">
        <v>122</v>
      </c>
      <c r="Y1901" t="s">
        <v>1317</v>
      </c>
      <c r="Z1901" t="s">
        <v>878</v>
      </c>
      <c r="AA1901" t="s">
        <v>387</v>
      </c>
      <c r="AB1901">
        <v>49000</v>
      </c>
      <c r="AC1901">
        <v>927</v>
      </c>
      <c r="AD1901" t="s">
        <v>7723</v>
      </c>
      <c r="AE1901">
        <v>138</v>
      </c>
      <c r="AF1901" t="s">
        <v>2509</v>
      </c>
      <c r="AG1901" t="s">
        <v>7724</v>
      </c>
      <c r="AH1901" t="s">
        <v>7725</v>
      </c>
    </row>
    <row r="1902" spans="1:34" x14ac:dyDescent="0.25">
      <c r="A1902">
        <v>50</v>
      </c>
      <c r="C1902" s="185"/>
      <c r="D1902" t="s">
        <v>24</v>
      </c>
      <c r="E1902" t="s">
        <v>386</v>
      </c>
      <c r="F1902" t="s">
        <v>7726</v>
      </c>
      <c r="G1902" t="s">
        <v>1197</v>
      </c>
      <c r="H1902" t="s">
        <v>7721</v>
      </c>
      <c r="I1902">
        <v>10391</v>
      </c>
      <c r="J1902" t="s">
        <v>7726</v>
      </c>
      <c r="K1902" t="s">
        <v>7727</v>
      </c>
      <c r="L1902" t="s">
        <v>386</v>
      </c>
      <c r="M1902" t="s">
        <v>1193</v>
      </c>
      <c r="N1902">
        <v>10391</v>
      </c>
      <c r="O1902">
        <v>57</v>
      </c>
      <c r="Q1902" t="s">
        <v>7728</v>
      </c>
      <c r="T1902">
        <v>340</v>
      </c>
      <c r="V1902" t="s">
        <v>1200</v>
      </c>
      <c r="W1902" t="s">
        <v>2024</v>
      </c>
      <c r="X1902">
        <v>52</v>
      </c>
      <c r="Z1902" t="s">
        <v>878</v>
      </c>
      <c r="AA1902" t="s">
        <v>387</v>
      </c>
      <c r="AB1902">
        <v>49000</v>
      </c>
      <c r="AC1902">
        <v>52</v>
      </c>
      <c r="AD1902" t="s">
        <v>7729</v>
      </c>
      <c r="AE1902">
        <v>1</v>
      </c>
      <c r="AF1902" t="s">
        <v>1922</v>
      </c>
      <c r="AG1902" t="s">
        <v>7730</v>
      </c>
    </row>
    <row r="1903" spans="1:34" x14ac:dyDescent="0.25">
      <c r="A1903">
        <v>50</v>
      </c>
      <c r="C1903" s="185"/>
      <c r="E1903" t="s">
        <v>386</v>
      </c>
      <c r="F1903" t="s">
        <v>7731</v>
      </c>
      <c r="G1903" t="s">
        <v>1197</v>
      </c>
      <c r="H1903" t="s">
        <v>7732</v>
      </c>
      <c r="I1903">
        <v>13209</v>
      </c>
      <c r="J1903" t="s">
        <v>7731</v>
      </c>
      <c r="K1903" t="s">
        <v>7733</v>
      </c>
      <c r="L1903" t="s">
        <v>386</v>
      </c>
      <c r="M1903" t="s">
        <v>1193</v>
      </c>
      <c r="N1903">
        <v>13209</v>
      </c>
      <c r="O1903">
        <v>0</v>
      </c>
      <c r="Q1903" t="s">
        <v>7734</v>
      </c>
      <c r="R1903" t="s">
        <v>1208</v>
      </c>
      <c r="T1903">
        <v>340</v>
      </c>
      <c r="V1903" t="s">
        <v>1200</v>
      </c>
      <c r="W1903" t="s">
        <v>2067</v>
      </c>
      <c r="X1903">
        <v>304</v>
      </c>
      <c r="Z1903" t="s">
        <v>878</v>
      </c>
      <c r="AA1903" t="s">
        <v>387</v>
      </c>
      <c r="AB1903">
        <v>0</v>
      </c>
      <c r="AC1903">
        <v>898</v>
      </c>
      <c r="AD1903" t="s">
        <v>4012</v>
      </c>
      <c r="AE1903">
        <v>2280</v>
      </c>
      <c r="AF1903" t="s">
        <v>3538</v>
      </c>
      <c r="AG1903" t="s">
        <v>7735</v>
      </c>
      <c r="AH1903" t="s">
        <v>7736</v>
      </c>
    </row>
    <row r="1904" spans="1:34" x14ac:dyDescent="0.25">
      <c r="A1904">
        <v>50</v>
      </c>
      <c r="B1904" t="s">
        <v>1313</v>
      </c>
      <c r="C1904" s="185"/>
      <c r="D1904" t="s">
        <v>24</v>
      </c>
      <c r="E1904" t="s">
        <v>386</v>
      </c>
      <c r="F1904" t="s">
        <v>7737</v>
      </c>
      <c r="G1904" t="s">
        <v>1197</v>
      </c>
      <c r="H1904" t="s">
        <v>7721</v>
      </c>
      <c r="I1904">
        <v>1387</v>
      </c>
      <c r="J1904" t="s">
        <v>7737</v>
      </c>
      <c r="K1904" t="s">
        <v>7738</v>
      </c>
      <c r="L1904" t="s">
        <v>386</v>
      </c>
      <c r="M1904" t="s">
        <v>1193</v>
      </c>
      <c r="N1904">
        <v>1387</v>
      </c>
      <c r="O1904">
        <v>57</v>
      </c>
      <c r="Q1904" t="s">
        <v>7739</v>
      </c>
      <c r="R1904" t="s">
        <v>398</v>
      </c>
      <c r="S1904" t="s">
        <v>1909</v>
      </c>
      <c r="T1904">
        <v>220</v>
      </c>
      <c r="U1904">
        <v>0</v>
      </c>
      <c r="V1904" t="s">
        <v>1194</v>
      </c>
      <c r="Y1904" t="s">
        <v>1317</v>
      </c>
      <c r="Z1904" t="s">
        <v>878</v>
      </c>
      <c r="AA1904" t="s">
        <v>387</v>
      </c>
      <c r="AB1904">
        <v>49000</v>
      </c>
      <c r="AC1904">
        <v>52</v>
      </c>
      <c r="AD1904" t="s">
        <v>7729</v>
      </c>
      <c r="AE1904">
        <v>258</v>
      </c>
      <c r="AF1904" t="s">
        <v>5257</v>
      </c>
      <c r="AG1904" t="s">
        <v>7740</v>
      </c>
      <c r="AH1904" t="s">
        <v>7741</v>
      </c>
    </row>
    <row r="1905" spans="1:34" x14ac:dyDescent="0.25">
      <c r="A1905">
        <v>50</v>
      </c>
      <c r="B1905" t="s">
        <v>1313</v>
      </c>
      <c r="C1905" s="185"/>
      <c r="D1905" t="s">
        <v>24</v>
      </c>
      <c r="E1905" t="s">
        <v>386</v>
      </c>
      <c r="F1905" t="s">
        <v>7742</v>
      </c>
      <c r="G1905" t="s">
        <v>1197</v>
      </c>
      <c r="H1905" t="s">
        <v>7721</v>
      </c>
      <c r="I1905">
        <v>200</v>
      </c>
      <c r="J1905" t="s">
        <v>7742</v>
      </c>
      <c r="K1905" t="s">
        <v>7743</v>
      </c>
      <c r="L1905" t="s">
        <v>386</v>
      </c>
      <c r="M1905" t="s">
        <v>1193</v>
      </c>
      <c r="N1905">
        <v>200</v>
      </c>
      <c r="O1905">
        <v>57</v>
      </c>
      <c r="Q1905" t="s">
        <v>7744</v>
      </c>
      <c r="R1905" t="s">
        <v>398</v>
      </c>
      <c r="S1905" t="s">
        <v>1909</v>
      </c>
      <c r="T1905">
        <v>340</v>
      </c>
      <c r="U1905">
        <v>0</v>
      </c>
      <c r="V1905" t="s">
        <v>1200</v>
      </c>
      <c r="W1905" t="s">
        <v>1194</v>
      </c>
      <c r="X1905">
        <v>220</v>
      </c>
      <c r="Y1905" t="s">
        <v>1317</v>
      </c>
      <c r="Z1905" t="s">
        <v>878</v>
      </c>
      <c r="AA1905" t="s">
        <v>387</v>
      </c>
      <c r="AB1905">
        <v>49000</v>
      </c>
      <c r="AC1905">
        <v>52</v>
      </c>
      <c r="AD1905" t="s">
        <v>7729</v>
      </c>
      <c r="AE1905">
        <v>3</v>
      </c>
      <c r="AF1905" t="s">
        <v>1235</v>
      </c>
      <c r="AG1905" t="s">
        <v>7740</v>
      </c>
      <c r="AH1905" t="s">
        <v>7745</v>
      </c>
    </row>
    <row r="1906" spans="1:34" x14ac:dyDescent="0.25">
      <c r="A1906">
        <v>50</v>
      </c>
      <c r="C1906" s="185"/>
      <c r="D1906" t="s">
        <v>24</v>
      </c>
      <c r="E1906" t="s">
        <v>386</v>
      </c>
      <c r="F1906" t="s">
        <v>7746</v>
      </c>
      <c r="G1906" t="s">
        <v>1197</v>
      </c>
      <c r="H1906" t="s">
        <v>7721</v>
      </c>
      <c r="I1906">
        <v>74</v>
      </c>
      <c r="J1906" t="s">
        <v>7746</v>
      </c>
      <c r="K1906" t="s">
        <v>7619</v>
      </c>
      <c r="L1906" t="s">
        <v>386</v>
      </c>
      <c r="M1906" t="s">
        <v>1193</v>
      </c>
      <c r="N1906">
        <v>74</v>
      </c>
      <c r="O1906">
        <v>57</v>
      </c>
      <c r="Q1906" t="s">
        <v>7747</v>
      </c>
      <c r="R1906" t="s">
        <v>398</v>
      </c>
      <c r="T1906">
        <v>220</v>
      </c>
      <c r="V1906" t="s">
        <v>1194</v>
      </c>
      <c r="Z1906" t="s">
        <v>878</v>
      </c>
      <c r="AA1906" t="s">
        <v>387</v>
      </c>
      <c r="AB1906">
        <v>49000</v>
      </c>
      <c r="AC1906">
        <v>52</v>
      </c>
      <c r="AD1906" t="s">
        <v>7729</v>
      </c>
      <c r="AE1906">
        <v>3</v>
      </c>
      <c r="AF1906" t="s">
        <v>1235</v>
      </c>
      <c r="AG1906" t="s">
        <v>7748</v>
      </c>
      <c r="AH1906" t="s">
        <v>7749</v>
      </c>
    </row>
    <row r="1907" spans="1:34" x14ac:dyDescent="0.25">
      <c r="A1907">
        <v>50</v>
      </c>
      <c r="C1907" s="185"/>
      <c r="D1907" t="s">
        <v>24</v>
      </c>
      <c r="E1907" t="s">
        <v>386</v>
      </c>
      <c r="F1907" t="s">
        <v>7750</v>
      </c>
      <c r="G1907" t="s">
        <v>1197</v>
      </c>
      <c r="H1907" t="s">
        <v>7721</v>
      </c>
      <c r="I1907">
        <v>12191</v>
      </c>
      <c r="J1907" t="s">
        <v>7750</v>
      </c>
      <c r="K1907" t="s">
        <v>7751</v>
      </c>
      <c r="L1907" t="s">
        <v>386</v>
      </c>
      <c r="M1907" t="s">
        <v>1193</v>
      </c>
      <c r="N1907">
        <v>12191</v>
      </c>
      <c r="O1907">
        <v>57</v>
      </c>
      <c r="Q1907" t="s">
        <v>7752</v>
      </c>
      <c r="R1907" t="s">
        <v>398</v>
      </c>
      <c r="T1907">
        <v>220</v>
      </c>
      <c r="V1907" t="s">
        <v>1194</v>
      </c>
      <c r="Z1907" t="s">
        <v>878</v>
      </c>
      <c r="AA1907" t="s">
        <v>387</v>
      </c>
      <c r="AB1907">
        <v>49000</v>
      </c>
      <c r="AC1907">
        <v>52</v>
      </c>
      <c r="AD1907" t="s">
        <v>7729</v>
      </c>
      <c r="AE1907">
        <v>3</v>
      </c>
      <c r="AF1907" t="s">
        <v>1235</v>
      </c>
      <c r="AG1907" t="s">
        <v>7753</v>
      </c>
      <c r="AH1907" t="s">
        <v>7754</v>
      </c>
    </row>
    <row r="1908" spans="1:34" x14ac:dyDescent="0.25">
      <c r="A1908">
        <v>50</v>
      </c>
      <c r="C1908" s="185"/>
      <c r="E1908" t="s">
        <v>386</v>
      </c>
      <c r="F1908" t="s">
        <v>7755</v>
      </c>
      <c r="G1908" t="s">
        <v>1197</v>
      </c>
      <c r="H1908" t="s">
        <v>7721</v>
      </c>
      <c r="I1908">
        <v>3462</v>
      </c>
      <c r="J1908" t="s">
        <v>7755</v>
      </c>
      <c r="K1908" t="s">
        <v>7756</v>
      </c>
      <c r="L1908" t="s">
        <v>386</v>
      </c>
      <c r="M1908" t="s">
        <v>1193</v>
      </c>
      <c r="N1908">
        <v>3462</v>
      </c>
      <c r="O1908">
        <v>57</v>
      </c>
      <c r="Q1908" t="s">
        <v>7757</v>
      </c>
      <c r="R1908" t="s">
        <v>398</v>
      </c>
      <c r="T1908">
        <v>220</v>
      </c>
      <c r="V1908" t="s">
        <v>1194</v>
      </c>
      <c r="W1908" t="s">
        <v>1194</v>
      </c>
      <c r="X1908">
        <v>220</v>
      </c>
      <c r="Z1908" t="s">
        <v>878</v>
      </c>
      <c r="AA1908" t="s">
        <v>387</v>
      </c>
      <c r="AB1908">
        <v>49000</v>
      </c>
      <c r="AC1908">
        <v>2224</v>
      </c>
      <c r="AD1908" t="s">
        <v>7758</v>
      </c>
      <c r="AE1908">
        <v>3</v>
      </c>
      <c r="AF1908" t="s">
        <v>1235</v>
      </c>
      <c r="AG1908" t="s">
        <v>1244</v>
      </c>
      <c r="AH1908" t="s">
        <v>7759</v>
      </c>
    </row>
    <row r="1909" spans="1:34" x14ac:dyDescent="0.25">
      <c r="A1909">
        <v>50</v>
      </c>
      <c r="B1909" t="s">
        <v>1313</v>
      </c>
      <c r="C1909" s="185"/>
      <c r="D1909" t="s">
        <v>24</v>
      </c>
      <c r="E1909" t="s">
        <v>386</v>
      </c>
      <c r="F1909" t="s">
        <v>7760</v>
      </c>
      <c r="G1909" t="s">
        <v>1197</v>
      </c>
      <c r="H1909" t="s">
        <v>7761</v>
      </c>
      <c r="I1909">
        <v>5387</v>
      </c>
      <c r="J1909" t="s">
        <v>7762</v>
      </c>
      <c r="K1909" t="s">
        <v>7763</v>
      </c>
      <c r="L1909" t="s">
        <v>386</v>
      </c>
      <c r="M1909" t="s">
        <v>1193</v>
      </c>
      <c r="N1909">
        <v>8522</v>
      </c>
      <c r="O1909">
        <v>57</v>
      </c>
      <c r="Q1909" t="s">
        <v>7764</v>
      </c>
      <c r="R1909" t="s">
        <v>398</v>
      </c>
      <c r="S1909" t="s">
        <v>7765</v>
      </c>
      <c r="T1909">
        <v>200</v>
      </c>
      <c r="U1909">
        <v>0</v>
      </c>
      <c r="V1909" t="s">
        <v>1199</v>
      </c>
      <c r="W1909" t="s">
        <v>1194</v>
      </c>
      <c r="X1909">
        <v>220</v>
      </c>
      <c r="Y1909" t="s">
        <v>1317</v>
      </c>
      <c r="Z1909" t="s">
        <v>878</v>
      </c>
      <c r="AA1909" t="s">
        <v>387</v>
      </c>
      <c r="AB1909">
        <v>49000</v>
      </c>
      <c r="AC1909">
        <v>2581</v>
      </c>
      <c r="AD1909" t="s">
        <v>7766</v>
      </c>
      <c r="AE1909">
        <v>3</v>
      </c>
      <c r="AF1909" t="s">
        <v>1235</v>
      </c>
      <c r="AG1909" t="s">
        <v>7603</v>
      </c>
      <c r="AH1909" t="s">
        <v>7767</v>
      </c>
    </row>
    <row r="1910" spans="1:34" x14ac:dyDescent="0.25">
      <c r="A1910">
        <v>50</v>
      </c>
      <c r="C1910" s="185"/>
      <c r="E1910" t="s">
        <v>386</v>
      </c>
      <c r="F1910" t="s">
        <v>7768</v>
      </c>
      <c r="G1910" t="s">
        <v>1197</v>
      </c>
      <c r="H1910" t="s">
        <v>7769</v>
      </c>
      <c r="I1910">
        <v>13933</v>
      </c>
      <c r="J1910" t="s">
        <v>7768</v>
      </c>
      <c r="K1910" t="s">
        <v>7770</v>
      </c>
      <c r="L1910" t="s">
        <v>386</v>
      </c>
      <c r="M1910" t="s">
        <v>1193</v>
      </c>
      <c r="N1910">
        <v>13933</v>
      </c>
      <c r="O1910">
        <v>0</v>
      </c>
      <c r="Q1910" t="s">
        <v>7771</v>
      </c>
      <c r="R1910" t="s">
        <v>1208</v>
      </c>
      <c r="T1910">
        <v>304</v>
      </c>
      <c r="V1910" t="s">
        <v>2067</v>
      </c>
      <c r="W1910" t="s">
        <v>2067</v>
      </c>
      <c r="X1910">
        <v>304</v>
      </c>
      <c r="Z1910" t="s">
        <v>878</v>
      </c>
      <c r="AA1910" t="s">
        <v>387</v>
      </c>
      <c r="AB1910">
        <v>0</v>
      </c>
      <c r="AC1910">
        <v>3024</v>
      </c>
      <c r="AD1910" t="s">
        <v>7772</v>
      </c>
      <c r="AE1910">
        <v>1</v>
      </c>
      <c r="AF1910" t="s">
        <v>1922</v>
      </c>
      <c r="AG1910" t="s">
        <v>4058</v>
      </c>
      <c r="AH1910" t="s">
        <v>7773</v>
      </c>
    </row>
    <row r="1911" spans="1:34" x14ac:dyDescent="0.25">
      <c r="A1911">
        <v>50</v>
      </c>
      <c r="B1911" t="s">
        <v>1313</v>
      </c>
      <c r="C1911" s="185"/>
      <c r="D1911" t="s">
        <v>24</v>
      </c>
      <c r="E1911" t="s">
        <v>386</v>
      </c>
      <c r="F1911" t="s">
        <v>139</v>
      </c>
      <c r="G1911" t="s">
        <v>1197</v>
      </c>
      <c r="H1911" t="s">
        <v>7774</v>
      </c>
      <c r="I1911">
        <v>1345</v>
      </c>
      <c r="J1911" t="s">
        <v>139</v>
      </c>
      <c r="K1911" t="s">
        <v>7775</v>
      </c>
      <c r="L1911" t="s">
        <v>386</v>
      </c>
      <c r="M1911" t="s">
        <v>1193</v>
      </c>
      <c r="N1911">
        <v>1345</v>
      </c>
      <c r="O1911">
        <v>57</v>
      </c>
      <c r="Q1911" t="s">
        <v>7776</v>
      </c>
      <c r="R1911" t="s">
        <v>398</v>
      </c>
      <c r="S1911" t="s">
        <v>1315</v>
      </c>
      <c r="T1911">
        <v>220</v>
      </c>
      <c r="U1911">
        <v>0</v>
      </c>
      <c r="V1911" t="s">
        <v>1194</v>
      </c>
      <c r="Y1911" t="s">
        <v>1317</v>
      </c>
      <c r="Z1911" t="s">
        <v>878</v>
      </c>
      <c r="AA1911" t="s">
        <v>387</v>
      </c>
      <c r="AB1911">
        <v>49000</v>
      </c>
      <c r="AC1911">
        <v>906</v>
      </c>
      <c r="AD1911" t="s">
        <v>403</v>
      </c>
      <c r="AE1911">
        <v>258</v>
      </c>
      <c r="AF1911" t="s">
        <v>5257</v>
      </c>
      <c r="AG1911" t="s">
        <v>7777</v>
      </c>
    </row>
    <row r="1912" spans="1:34" x14ac:dyDescent="0.25">
      <c r="A1912">
        <v>50</v>
      </c>
      <c r="B1912" t="s">
        <v>1313</v>
      </c>
      <c r="C1912" s="185"/>
      <c r="D1912" t="s">
        <v>24</v>
      </c>
      <c r="E1912" t="s">
        <v>386</v>
      </c>
      <c r="F1912" t="s">
        <v>448</v>
      </c>
      <c r="G1912" t="s">
        <v>1197</v>
      </c>
      <c r="H1912" t="s">
        <v>7721</v>
      </c>
      <c r="I1912">
        <v>2003</v>
      </c>
      <c r="J1912" t="s">
        <v>316</v>
      </c>
      <c r="K1912" t="s">
        <v>7402</v>
      </c>
      <c r="L1912" t="s">
        <v>386</v>
      </c>
      <c r="M1912" t="s">
        <v>1193</v>
      </c>
      <c r="N1912">
        <v>15328</v>
      </c>
      <c r="O1912">
        <v>57</v>
      </c>
      <c r="Q1912" t="s">
        <v>7778</v>
      </c>
      <c r="R1912" t="s">
        <v>398</v>
      </c>
      <c r="S1912" t="s">
        <v>7404</v>
      </c>
      <c r="T1912">
        <v>340</v>
      </c>
      <c r="U1912">
        <v>0</v>
      </c>
      <c r="V1912" t="s">
        <v>1200</v>
      </c>
      <c r="W1912" t="s">
        <v>1200</v>
      </c>
      <c r="X1912">
        <v>340</v>
      </c>
      <c r="Y1912" t="s">
        <v>1317</v>
      </c>
      <c r="Z1912" t="s">
        <v>878</v>
      </c>
      <c r="AA1912" t="s">
        <v>387</v>
      </c>
      <c r="AB1912">
        <v>49000</v>
      </c>
      <c r="AC1912">
        <v>52</v>
      </c>
      <c r="AD1912" t="s">
        <v>7729</v>
      </c>
      <c r="AE1912">
        <v>721</v>
      </c>
      <c r="AF1912" t="s">
        <v>7779</v>
      </c>
      <c r="AG1912" t="s">
        <v>7780</v>
      </c>
      <c r="AH1912" t="s">
        <v>7781</v>
      </c>
    </row>
    <row r="1913" spans="1:34" x14ac:dyDescent="0.25">
      <c r="A1913">
        <v>50</v>
      </c>
      <c r="B1913" t="s">
        <v>1313</v>
      </c>
      <c r="C1913" s="185"/>
      <c r="E1913" t="s">
        <v>386</v>
      </c>
      <c r="F1913" t="s">
        <v>356</v>
      </c>
      <c r="G1913" t="s">
        <v>1197</v>
      </c>
      <c r="H1913" t="s">
        <v>7721</v>
      </c>
      <c r="I1913">
        <v>1795</v>
      </c>
      <c r="J1913" t="s">
        <v>7782</v>
      </c>
      <c r="K1913" t="s">
        <v>7275</v>
      </c>
      <c r="L1913" t="s">
        <v>386</v>
      </c>
      <c r="M1913" t="s">
        <v>1193</v>
      </c>
      <c r="N1913">
        <v>15344</v>
      </c>
      <c r="O1913">
        <v>57</v>
      </c>
      <c r="Q1913" t="s">
        <v>7783</v>
      </c>
      <c r="R1913" t="s">
        <v>398</v>
      </c>
      <c r="S1913" t="s">
        <v>1315</v>
      </c>
      <c r="T1913">
        <v>220</v>
      </c>
      <c r="U1913">
        <v>0</v>
      </c>
      <c r="V1913" t="s">
        <v>1194</v>
      </c>
      <c r="W1913" t="s">
        <v>2107</v>
      </c>
      <c r="X1913">
        <v>272</v>
      </c>
      <c r="Y1913" t="s">
        <v>1317</v>
      </c>
      <c r="Z1913" t="s">
        <v>878</v>
      </c>
      <c r="AA1913" t="s">
        <v>387</v>
      </c>
      <c r="AB1913">
        <v>49000</v>
      </c>
      <c r="AC1913">
        <v>52</v>
      </c>
      <c r="AD1913" t="s">
        <v>7729</v>
      </c>
      <c r="AE1913">
        <v>641</v>
      </c>
      <c r="AF1913" t="s">
        <v>7784</v>
      </c>
      <c r="AG1913" t="s">
        <v>7740</v>
      </c>
      <c r="AH1913" t="s">
        <v>7279</v>
      </c>
    </row>
    <row r="1914" spans="1:34" x14ac:dyDescent="0.25">
      <c r="A1914">
        <v>50</v>
      </c>
      <c r="B1914" t="s">
        <v>1313</v>
      </c>
      <c r="C1914" s="185"/>
      <c r="D1914" t="s">
        <v>24</v>
      </c>
      <c r="E1914" t="s">
        <v>386</v>
      </c>
      <c r="F1914" t="s">
        <v>431</v>
      </c>
      <c r="G1914" t="s">
        <v>1197</v>
      </c>
      <c r="H1914" t="s">
        <v>7761</v>
      </c>
      <c r="I1914">
        <v>2559</v>
      </c>
      <c r="J1914" t="s">
        <v>451</v>
      </c>
      <c r="K1914" t="s">
        <v>7785</v>
      </c>
      <c r="L1914" t="s">
        <v>386</v>
      </c>
      <c r="M1914" t="s">
        <v>1193</v>
      </c>
      <c r="N1914">
        <v>15336</v>
      </c>
      <c r="O1914">
        <v>57</v>
      </c>
      <c r="Q1914" t="s">
        <v>7786</v>
      </c>
      <c r="R1914" t="s">
        <v>398</v>
      </c>
      <c r="S1914" t="s">
        <v>2293</v>
      </c>
      <c r="T1914">
        <v>396</v>
      </c>
      <c r="U1914">
        <v>0</v>
      </c>
      <c r="V1914" t="s">
        <v>2186</v>
      </c>
      <c r="W1914" t="s">
        <v>4468</v>
      </c>
      <c r="X1914">
        <v>470</v>
      </c>
      <c r="Y1914" t="s">
        <v>1317</v>
      </c>
      <c r="Z1914" t="s">
        <v>878</v>
      </c>
      <c r="AA1914" t="s">
        <v>387</v>
      </c>
      <c r="AB1914">
        <v>49000</v>
      </c>
      <c r="AC1914">
        <v>2581</v>
      </c>
      <c r="AD1914" t="s">
        <v>7766</v>
      </c>
      <c r="AE1914">
        <v>721</v>
      </c>
      <c r="AF1914" t="s">
        <v>7779</v>
      </c>
      <c r="AG1914" t="s">
        <v>7787</v>
      </c>
      <c r="AH1914" t="s">
        <v>7788</v>
      </c>
    </row>
    <row r="1915" spans="1:34" x14ac:dyDescent="0.25">
      <c r="A1915">
        <v>50</v>
      </c>
      <c r="C1915" s="185"/>
      <c r="E1915" t="s">
        <v>386</v>
      </c>
      <c r="F1915" t="s">
        <v>7789</v>
      </c>
      <c r="G1915" t="s">
        <v>1197</v>
      </c>
      <c r="H1915" t="s">
        <v>7774</v>
      </c>
      <c r="I1915">
        <v>2340</v>
      </c>
      <c r="J1915" t="s">
        <v>7789</v>
      </c>
      <c r="K1915" t="s">
        <v>7790</v>
      </c>
      <c r="L1915" t="s">
        <v>386</v>
      </c>
      <c r="M1915" t="s">
        <v>1193</v>
      </c>
      <c r="N1915">
        <v>2340</v>
      </c>
      <c r="O1915">
        <v>57</v>
      </c>
      <c r="Q1915" t="s">
        <v>7791</v>
      </c>
      <c r="R1915" t="s">
        <v>398</v>
      </c>
      <c r="T1915">
        <v>220</v>
      </c>
      <c r="V1915" t="s">
        <v>1194</v>
      </c>
      <c r="W1915" t="s">
        <v>1194</v>
      </c>
      <c r="X1915">
        <v>220</v>
      </c>
      <c r="Z1915" t="s">
        <v>878</v>
      </c>
      <c r="AA1915" t="s">
        <v>387</v>
      </c>
      <c r="AB1915">
        <v>49000</v>
      </c>
      <c r="AC1915">
        <v>4904</v>
      </c>
      <c r="AD1915" t="s">
        <v>7792</v>
      </c>
      <c r="AE1915">
        <v>641</v>
      </c>
      <c r="AF1915" t="s">
        <v>7784</v>
      </c>
      <c r="AG1915" t="s">
        <v>7777</v>
      </c>
      <c r="AH1915" t="s">
        <v>7793</v>
      </c>
    </row>
    <row r="1916" spans="1:34" x14ac:dyDescent="0.25">
      <c r="A1916">
        <v>50</v>
      </c>
      <c r="B1916" t="s">
        <v>1313</v>
      </c>
      <c r="C1916" s="185"/>
      <c r="D1916" t="s">
        <v>24</v>
      </c>
      <c r="E1916" t="s">
        <v>386</v>
      </c>
      <c r="F1916" t="s">
        <v>355</v>
      </c>
      <c r="G1916" t="s">
        <v>1197</v>
      </c>
      <c r="H1916" t="s">
        <v>7721</v>
      </c>
      <c r="I1916">
        <v>2379</v>
      </c>
      <c r="J1916" t="s">
        <v>282</v>
      </c>
      <c r="K1916" t="s">
        <v>7794</v>
      </c>
      <c r="L1916" t="s">
        <v>386</v>
      </c>
      <c r="M1916" t="s">
        <v>1193</v>
      </c>
      <c r="N1916">
        <v>15325</v>
      </c>
      <c r="O1916">
        <v>57</v>
      </c>
      <c r="Q1916" t="s">
        <v>7795</v>
      </c>
      <c r="R1916" t="s">
        <v>398</v>
      </c>
      <c r="S1916" t="s">
        <v>1909</v>
      </c>
      <c r="T1916">
        <v>340</v>
      </c>
      <c r="U1916">
        <v>0</v>
      </c>
      <c r="V1916" t="s">
        <v>1200</v>
      </c>
      <c r="W1916" t="s">
        <v>2107</v>
      </c>
      <c r="X1916">
        <v>272</v>
      </c>
      <c r="Y1916" t="s">
        <v>1317</v>
      </c>
      <c r="Z1916" t="s">
        <v>878</v>
      </c>
      <c r="AA1916" t="s">
        <v>387</v>
      </c>
      <c r="AB1916">
        <v>49000</v>
      </c>
      <c r="AC1916">
        <v>52</v>
      </c>
      <c r="AD1916" t="s">
        <v>7729</v>
      </c>
      <c r="AE1916">
        <v>721</v>
      </c>
      <c r="AF1916" t="s">
        <v>7779</v>
      </c>
      <c r="AG1916" t="s">
        <v>7740</v>
      </c>
      <c r="AH1916" t="s">
        <v>7703</v>
      </c>
    </row>
    <row r="1917" spans="1:34" x14ac:dyDescent="0.25">
      <c r="A1917">
        <v>50</v>
      </c>
      <c r="B1917" t="s">
        <v>1313</v>
      </c>
      <c r="C1917" s="185"/>
      <c r="D1917" t="s">
        <v>157</v>
      </c>
      <c r="E1917" t="s">
        <v>386</v>
      </c>
      <c r="F1917" t="s">
        <v>7796</v>
      </c>
      <c r="G1917" t="s">
        <v>1197</v>
      </c>
      <c r="H1917" t="s">
        <v>7721</v>
      </c>
      <c r="I1917">
        <v>5039</v>
      </c>
      <c r="J1917" t="s">
        <v>7796</v>
      </c>
      <c r="K1917" t="s">
        <v>7797</v>
      </c>
      <c r="L1917" t="s">
        <v>386</v>
      </c>
      <c r="M1917" t="s">
        <v>1193</v>
      </c>
      <c r="N1917">
        <v>5039</v>
      </c>
      <c r="O1917">
        <v>0</v>
      </c>
      <c r="Q1917" t="s">
        <v>7798</v>
      </c>
      <c r="S1917" t="s">
        <v>1909</v>
      </c>
      <c r="T1917">
        <v>52</v>
      </c>
      <c r="U1917">
        <v>0</v>
      </c>
      <c r="V1917" t="s">
        <v>2024</v>
      </c>
      <c r="Y1917" t="s">
        <v>1317</v>
      </c>
      <c r="Z1917" t="s">
        <v>878</v>
      </c>
      <c r="AA1917" t="s">
        <v>387</v>
      </c>
      <c r="AB1917">
        <v>0</v>
      </c>
      <c r="AC1917">
        <v>52</v>
      </c>
      <c r="AD1917" t="s">
        <v>7729</v>
      </c>
      <c r="AE1917">
        <v>721</v>
      </c>
      <c r="AF1917" t="s">
        <v>7779</v>
      </c>
      <c r="AG1917" t="s">
        <v>7740</v>
      </c>
      <c r="AH1917" t="s">
        <v>7799</v>
      </c>
    </row>
    <row r="1918" spans="1:34" x14ac:dyDescent="0.25">
      <c r="A1918">
        <v>50</v>
      </c>
      <c r="B1918" t="s">
        <v>1313</v>
      </c>
      <c r="C1918" s="185"/>
      <c r="D1918" t="s">
        <v>24</v>
      </c>
      <c r="E1918" t="s">
        <v>386</v>
      </c>
      <c r="F1918" t="s">
        <v>486</v>
      </c>
      <c r="G1918" t="s">
        <v>1197</v>
      </c>
      <c r="H1918" t="s">
        <v>7761</v>
      </c>
      <c r="I1918">
        <v>16073</v>
      </c>
      <c r="J1918" t="s">
        <v>1095</v>
      </c>
      <c r="K1918" t="s">
        <v>7800</v>
      </c>
      <c r="L1918" t="s">
        <v>386</v>
      </c>
      <c r="M1918" t="s">
        <v>1193</v>
      </c>
      <c r="N1918">
        <v>16072</v>
      </c>
      <c r="O1918">
        <v>57</v>
      </c>
      <c r="Q1918" t="s">
        <v>7801</v>
      </c>
      <c r="R1918" t="s">
        <v>398</v>
      </c>
      <c r="S1918" t="s">
        <v>7765</v>
      </c>
      <c r="T1918">
        <v>470</v>
      </c>
      <c r="U1918">
        <v>0</v>
      </c>
      <c r="V1918" t="s">
        <v>4468</v>
      </c>
      <c r="W1918" t="s">
        <v>2186</v>
      </c>
      <c r="X1918">
        <v>396</v>
      </c>
      <c r="Y1918" t="s">
        <v>1317</v>
      </c>
      <c r="Z1918" t="s">
        <v>878</v>
      </c>
      <c r="AA1918" t="s">
        <v>387</v>
      </c>
      <c r="AB1918">
        <v>49000</v>
      </c>
      <c r="AC1918">
        <v>2581</v>
      </c>
      <c r="AD1918" t="s">
        <v>7766</v>
      </c>
      <c r="AE1918">
        <v>721</v>
      </c>
      <c r="AF1918" t="s">
        <v>7779</v>
      </c>
      <c r="AG1918" t="s">
        <v>7603</v>
      </c>
      <c r="AH1918" t="s">
        <v>7802</v>
      </c>
    </row>
    <row r="1919" spans="1:34" x14ac:dyDescent="0.25">
      <c r="A1919">
        <v>50</v>
      </c>
      <c r="C1919" s="185"/>
      <c r="D1919" t="s">
        <v>157</v>
      </c>
      <c r="E1919" t="s">
        <v>386</v>
      </c>
      <c r="F1919" t="s">
        <v>654</v>
      </c>
      <c r="G1919" t="s">
        <v>1197</v>
      </c>
      <c r="H1919" t="s">
        <v>7721</v>
      </c>
      <c r="I1919">
        <v>12972</v>
      </c>
      <c r="J1919" t="s">
        <v>654</v>
      </c>
      <c r="K1919" t="s">
        <v>7803</v>
      </c>
      <c r="L1919" t="s">
        <v>386</v>
      </c>
      <c r="M1919" t="s">
        <v>1193</v>
      </c>
      <c r="N1919">
        <v>12972</v>
      </c>
      <c r="O1919">
        <v>57</v>
      </c>
      <c r="Q1919" t="s">
        <v>7804</v>
      </c>
      <c r="R1919" t="s">
        <v>398</v>
      </c>
      <c r="T1919">
        <v>246</v>
      </c>
      <c r="V1919" t="s">
        <v>3321</v>
      </c>
      <c r="W1919" t="s">
        <v>6311</v>
      </c>
      <c r="X1919">
        <v>521</v>
      </c>
      <c r="Z1919" t="s">
        <v>878</v>
      </c>
      <c r="AA1919" t="s">
        <v>387</v>
      </c>
      <c r="AB1919">
        <v>49000</v>
      </c>
      <c r="AC1919">
        <v>52</v>
      </c>
      <c r="AD1919" t="s">
        <v>7729</v>
      </c>
      <c r="AE1919">
        <v>721</v>
      </c>
      <c r="AF1919" t="s">
        <v>7779</v>
      </c>
      <c r="AG1919" t="s">
        <v>7805</v>
      </c>
      <c r="AH1919" t="s">
        <v>7806</v>
      </c>
    </row>
    <row r="1920" spans="1:34" x14ac:dyDescent="0.25">
      <c r="A1920">
        <v>50</v>
      </c>
      <c r="B1920" t="s">
        <v>1313</v>
      </c>
      <c r="C1920" s="185"/>
      <c r="D1920" t="s">
        <v>24</v>
      </c>
      <c r="E1920" t="s">
        <v>386</v>
      </c>
      <c r="F1920" t="s">
        <v>356</v>
      </c>
      <c r="G1920" t="s">
        <v>1197</v>
      </c>
      <c r="H1920" t="s">
        <v>7721</v>
      </c>
      <c r="I1920">
        <v>10492</v>
      </c>
      <c r="J1920" t="s">
        <v>101</v>
      </c>
      <c r="K1920" t="s">
        <v>7807</v>
      </c>
      <c r="L1920" t="s">
        <v>386</v>
      </c>
      <c r="M1920" t="s">
        <v>1193</v>
      </c>
      <c r="N1920">
        <v>15344</v>
      </c>
      <c r="O1920">
        <v>57</v>
      </c>
      <c r="Q1920" t="s">
        <v>7808</v>
      </c>
      <c r="R1920" t="s">
        <v>398</v>
      </c>
      <c r="S1920" t="s">
        <v>1909</v>
      </c>
      <c r="T1920">
        <v>396</v>
      </c>
      <c r="U1920">
        <v>0</v>
      </c>
      <c r="V1920" t="s">
        <v>2186</v>
      </c>
      <c r="W1920" t="s">
        <v>4468</v>
      </c>
      <c r="X1920">
        <v>470</v>
      </c>
      <c r="Y1920" t="s">
        <v>1317</v>
      </c>
      <c r="Z1920" t="s">
        <v>878</v>
      </c>
      <c r="AA1920" t="s">
        <v>387</v>
      </c>
      <c r="AB1920">
        <v>49000</v>
      </c>
      <c r="AC1920">
        <v>52</v>
      </c>
      <c r="AD1920" t="s">
        <v>7729</v>
      </c>
      <c r="AE1920">
        <v>3</v>
      </c>
      <c r="AF1920" t="s">
        <v>1235</v>
      </c>
      <c r="AG1920" t="s">
        <v>7809</v>
      </c>
      <c r="AH1920" t="s">
        <v>7279</v>
      </c>
    </row>
    <row r="1921" spans="1:34" x14ac:dyDescent="0.25">
      <c r="A1921">
        <v>50</v>
      </c>
      <c r="C1921" s="185"/>
      <c r="E1921" t="s">
        <v>386</v>
      </c>
      <c r="F1921" t="s">
        <v>7810</v>
      </c>
      <c r="G1921" t="s">
        <v>1197</v>
      </c>
      <c r="H1921" t="s">
        <v>7732</v>
      </c>
      <c r="I1921">
        <v>14471</v>
      </c>
      <c r="J1921" t="s">
        <v>7810</v>
      </c>
      <c r="K1921" t="s">
        <v>7810</v>
      </c>
      <c r="L1921" t="s">
        <v>386</v>
      </c>
      <c r="M1921" t="s">
        <v>1193</v>
      </c>
      <c r="N1921">
        <v>14471</v>
      </c>
      <c r="O1921">
        <v>0</v>
      </c>
      <c r="Q1921" t="s">
        <v>7811</v>
      </c>
      <c r="R1921" t="s">
        <v>1208</v>
      </c>
      <c r="T1921">
        <v>103</v>
      </c>
      <c r="V1921" t="s">
        <v>1530</v>
      </c>
      <c r="W1921" t="s">
        <v>1530</v>
      </c>
      <c r="X1921">
        <v>103</v>
      </c>
      <c r="Z1921" t="s">
        <v>878</v>
      </c>
      <c r="AA1921" t="s">
        <v>387</v>
      </c>
      <c r="AB1921">
        <v>0</v>
      </c>
      <c r="AC1921">
        <v>898</v>
      </c>
      <c r="AD1921" t="s">
        <v>4012</v>
      </c>
      <c r="AE1921">
        <v>2280</v>
      </c>
      <c r="AF1921" t="s">
        <v>3538</v>
      </c>
      <c r="AG1921" t="s">
        <v>7812</v>
      </c>
      <c r="AH1921" t="s">
        <v>7813</v>
      </c>
    </row>
    <row r="1922" spans="1:34" x14ac:dyDescent="0.25">
      <c r="A1922">
        <v>11</v>
      </c>
      <c r="C1922" s="185"/>
      <c r="D1922" t="s">
        <v>24</v>
      </c>
      <c r="E1922" t="s">
        <v>386</v>
      </c>
      <c r="F1922" t="s">
        <v>7814</v>
      </c>
      <c r="G1922" t="s">
        <v>1197</v>
      </c>
      <c r="H1922" t="s">
        <v>7815</v>
      </c>
      <c r="I1922">
        <v>41</v>
      </c>
      <c r="J1922" t="s">
        <v>7814</v>
      </c>
      <c r="K1922" t="s">
        <v>7814</v>
      </c>
      <c r="L1922" t="s">
        <v>386</v>
      </c>
      <c r="M1922" t="s">
        <v>1193</v>
      </c>
      <c r="N1922">
        <v>41</v>
      </c>
      <c r="O1922">
        <v>10</v>
      </c>
      <c r="Q1922" t="s">
        <v>7816</v>
      </c>
      <c r="R1922" t="s">
        <v>398</v>
      </c>
      <c r="T1922">
        <v>0</v>
      </c>
      <c r="V1922" t="s">
        <v>1186</v>
      </c>
      <c r="Z1922" t="s">
        <v>871</v>
      </c>
      <c r="AA1922" t="s">
        <v>387</v>
      </c>
      <c r="AB1922">
        <v>6000</v>
      </c>
      <c r="AC1922">
        <v>35</v>
      </c>
      <c r="AD1922" t="s">
        <v>7817</v>
      </c>
      <c r="AE1922">
        <v>18</v>
      </c>
      <c r="AF1922" t="s">
        <v>1259</v>
      </c>
      <c r="AG1922" t="s">
        <v>1931</v>
      </c>
    </row>
    <row r="1923" spans="1:34" x14ac:dyDescent="0.25">
      <c r="A1923">
        <v>1874</v>
      </c>
      <c r="B1923" t="s">
        <v>1313</v>
      </c>
      <c r="C1923" s="185"/>
      <c r="D1923" t="s">
        <v>24</v>
      </c>
      <c r="E1923" t="s">
        <v>386</v>
      </c>
      <c r="F1923" t="s">
        <v>7818</v>
      </c>
      <c r="G1923" t="s">
        <v>1197</v>
      </c>
      <c r="H1923" t="s">
        <v>7819</v>
      </c>
      <c r="I1923">
        <v>10368</v>
      </c>
      <c r="J1923" t="s">
        <v>7818</v>
      </c>
      <c r="K1923" t="s">
        <v>7820</v>
      </c>
      <c r="L1923" t="s">
        <v>386</v>
      </c>
      <c r="M1923" t="s">
        <v>1193</v>
      </c>
      <c r="N1923">
        <v>10368</v>
      </c>
      <c r="O1923">
        <v>35</v>
      </c>
      <c r="Q1923" t="s">
        <v>7821</v>
      </c>
      <c r="R1923" t="s">
        <v>398</v>
      </c>
      <c r="S1923" t="s">
        <v>7404</v>
      </c>
      <c r="T1923">
        <v>220</v>
      </c>
      <c r="U1923">
        <v>0</v>
      </c>
      <c r="V1923" t="s">
        <v>1194</v>
      </c>
      <c r="W1923" t="s">
        <v>2024</v>
      </c>
      <c r="X1923">
        <v>52</v>
      </c>
      <c r="Y1923" t="s">
        <v>1317</v>
      </c>
      <c r="Z1923" t="s">
        <v>7822</v>
      </c>
      <c r="AA1923" t="s">
        <v>387</v>
      </c>
      <c r="AB1923">
        <v>27000</v>
      </c>
      <c r="AC1923">
        <v>4023</v>
      </c>
      <c r="AD1923" t="s">
        <v>7823</v>
      </c>
      <c r="AE1923">
        <v>18</v>
      </c>
      <c r="AF1923" t="s">
        <v>1259</v>
      </c>
      <c r="AG1923" t="s">
        <v>1244</v>
      </c>
      <c r="AH1923" t="s">
        <v>7824</v>
      </c>
    </row>
    <row r="1924" spans="1:34" x14ac:dyDescent="0.25">
      <c r="A1924">
        <v>415</v>
      </c>
      <c r="C1924" s="185"/>
      <c r="D1924" t="s">
        <v>24</v>
      </c>
      <c r="E1924" t="s">
        <v>386</v>
      </c>
      <c r="F1924" t="s">
        <v>7825</v>
      </c>
      <c r="G1924" t="s">
        <v>1192</v>
      </c>
      <c r="H1924" t="s">
        <v>7826</v>
      </c>
      <c r="I1924">
        <v>5831</v>
      </c>
      <c r="J1924" t="s">
        <v>7825</v>
      </c>
      <c r="K1924" t="s">
        <v>7825</v>
      </c>
      <c r="L1924" t="s">
        <v>386</v>
      </c>
      <c r="M1924" t="s">
        <v>1184</v>
      </c>
      <c r="N1924">
        <v>5831</v>
      </c>
      <c r="O1924">
        <v>9</v>
      </c>
      <c r="Q1924" t="s">
        <v>7827</v>
      </c>
      <c r="R1924" t="s">
        <v>398</v>
      </c>
      <c r="T1924">
        <v>39</v>
      </c>
      <c r="V1924" t="s">
        <v>2144</v>
      </c>
      <c r="Z1924" t="s">
        <v>7828</v>
      </c>
      <c r="AA1924" t="s">
        <v>387</v>
      </c>
      <c r="AB1924">
        <v>5000</v>
      </c>
      <c r="AC1924">
        <v>2739</v>
      </c>
      <c r="AD1924" t="s">
        <v>7829</v>
      </c>
      <c r="AE1924">
        <v>1</v>
      </c>
      <c r="AF1924" t="s">
        <v>1922</v>
      </c>
      <c r="AG1924" t="s">
        <v>7830</v>
      </c>
    </row>
    <row r="1925" spans="1:34" x14ac:dyDescent="0.25">
      <c r="A1925">
        <v>1</v>
      </c>
      <c r="C1925" s="185"/>
      <c r="E1925" t="s">
        <v>386</v>
      </c>
      <c r="F1925" t="s">
        <v>7831</v>
      </c>
      <c r="G1925" t="s">
        <v>1192</v>
      </c>
      <c r="I1925">
        <v>2115</v>
      </c>
      <c r="J1925" t="s">
        <v>7831</v>
      </c>
      <c r="K1925" t="s">
        <v>7831</v>
      </c>
      <c r="L1925" t="s">
        <v>386</v>
      </c>
      <c r="M1925" t="s">
        <v>1184</v>
      </c>
      <c r="N1925">
        <v>2115</v>
      </c>
      <c r="O1925">
        <v>0</v>
      </c>
      <c r="Q1925" t="s">
        <v>7832</v>
      </c>
      <c r="R1925" t="s">
        <v>1208</v>
      </c>
      <c r="T1925">
        <v>4</v>
      </c>
      <c r="V1925" t="s">
        <v>7833</v>
      </c>
      <c r="Z1925" t="s">
        <v>865</v>
      </c>
      <c r="AA1925" t="s">
        <v>387</v>
      </c>
      <c r="AB1925">
        <v>0</v>
      </c>
      <c r="AC1925">
        <v>1567</v>
      </c>
      <c r="AD1925" t="s">
        <v>7834</v>
      </c>
      <c r="AE1925">
        <v>764</v>
      </c>
      <c r="AF1925" t="s">
        <v>7835</v>
      </c>
      <c r="AG1925" t="s">
        <v>2865</v>
      </c>
      <c r="AH1925" t="s">
        <v>7836</v>
      </c>
    </row>
    <row r="1926" spans="1:34" x14ac:dyDescent="0.25">
      <c r="A1926">
        <v>1</v>
      </c>
      <c r="C1926" s="185"/>
      <c r="E1926" t="s">
        <v>386</v>
      </c>
      <c r="F1926" t="s">
        <v>7831</v>
      </c>
      <c r="G1926" t="s">
        <v>1192</v>
      </c>
      <c r="I1926">
        <v>2430</v>
      </c>
      <c r="J1926" t="s">
        <v>7831</v>
      </c>
      <c r="K1926" t="s">
        <v>7831</v>
      </c>
      <c r="L1926" t="s">
        <v>386</v>
      </c>
      <c r="M1926" t="s">
        <v>1184</v>
      </c>
      <c r="N1926">
        <v>2430</v>
      </c>
      <c r="O1926">
        <v>0</v>
      </c>
      <c r="Q1926" t="s">
        <v>7832</v>
      </c>
      <c r="R1926" t="s">
        <v>1208</v>
      </c>
      <c r="T1926">
        <v>4</v>
      </c>
      <c r="V1926" t="s">
        <v>7833</v>
      </c>
      <c r="Z1926" t="s">
        <v>865</v>
      </c>
      <c r="AA1926" t="s">
        <v>387</v>
      </c>
      <c r="AB1926">
        <v>0</v>
      </c>
      <c r="AC1926">
        <v>1762</v>
      </c>
      <c r="AD1926" t="s">
        <v>2864</v>
      </c>
      <c r="AE1926">
        <v>764</v>
      </c>
      <c r="AF1926" t="s">
        <v>7835</v>
      </c>
      <c r="AG1926" t="s">
        <v>2865</v>
      </c>
      <c r="AH1926" t="s">
        <v>7836</v>
      </c>
    </row>
    <row r="1927" spans="1:34" x14ac:dyDescent="0.25">
      <c r="A1927">
        <v>35</v>
      </c>
      <c r="B1927" t="s">
        <v>1313</v>
      </c>
      <c r="C1927" s="185"/>
      <c r="D1927" t="s">
        <v>24</v>
      </c>
      <c r="E1927" t="s">
        <v>386</v>
      </c>
      <c r="F1927" t="s">
        <v>32</v>
      </c>
      <c r="G1927" t="s">
        <v>1197</v>
      </c>
      <c r="H1927" t="s">
        <v>7837</v>
      </c>
      <c r="I1927">
        <v>139</v>
      </c>
      <c r="J1927" t="s">
        <v>32</v>
      </c>
      <c r="K1927" t="s">
        <v>7838</v>
      </c>
      <c r="L1927" t="s">
        <v>386</v>
      </c>
      <c r="M1927" t="s">
        <v>1193</v>
      </c>
      <c r="N1927">
        <v>139</v>
      </c>
      <c r="O1927">
        <v>35</v>
      </c>
      <c r="Q1927" t="s">
        <v>7839</v>
      </c>
      <c r="R1927" t="s">
        <v>398</v>
      </c>
      <c r="S1927" t="s">
        <v>1909</v>
      </c>
      <c r="T1927">
        <v>473</v>
      </c>
      <c r="U1927">
        <v>0</v>
      </c>
      <c r="V1927" t="s">
        <v>1964</v>
      </c>
      <c r="W1927" t="s">
        <v>6311</v>
      </c>
      <c r="X1927">
        <v>521</v>
      </c>
      <c r="Y1927" t="s">
        <v>1317</v>
      </c>
      <c r="Z1927" t="s">
        <v>890</v>
      </c>
      <c r="AA1927" t="s">
        <v>387</v>
      </c>
      <c r="AB1927">
        <v>27000</v>
      </c>
      <c r="AC1927">
        <v>4029</v>
      </c>
      <c r="AD1927" t="s">
        <v>7840</v>
      </c>
      <c r="AE1927">
        <v>64</v>
      </c>
      <c r="AF1927" t="s">
        <v>7841</v>
      </c>
      <c r="AG1927" t="s">
        <v>1931</v>
      </c>
      <c r="AH1927" t="s">
        <v>7842</v>
      </c>
    </row>
    <row r="1928" spans="1:34" x14ac:dyDescent="0.25">
      <c r="A1928">
        <v>110</v>
      </c>
      <c r="C1928" s="185"/>
      <c r="E1928" t="s">
        <v>386</v>
      </c>
      <c r="F1928" t="s">
        <v>653</v>
      </c>
      <c r="G1928" t="s">
        <v>1197</v>
      </c>
      <c r="H1928" t="s">
        <v>7389</v>
      </c>
      <c r="I1928">
        <v>16660</v>
      </c>
      <c r="J1928" t="s">
        <v>653</v>
      </c>
      <c r="K1928" t="s">
        <v>7843</v>
      </c>
      <c r="L1928" t="s">
        <v>386</v>
      </c>
      <c r="M1928" t="s">
        <v>1193</v>
      </c>
      <c r="N1928">
        <v>16660</v>
      </c>
      <c r="O1928">
        <v>0</v>
      </c>
      <c r="Q1928" t="s">
        <v>7844</v>
      </c>
      <c r="R1928" t="s">
        <v>398</v>
      </c>
      <c r="T1928">
        <v>52</v>
      </c>
      <c r="V1928" t="s">
        <v>2024</v>
      </c>
      <c r="W1928" t="s">
        <v>1194</v>
      </c>
      <c r="X1928">
        <v>220</v>
      </c>
      <c r="Z1928" t="s">
        <v>876</v>
      </c>
      <c r="AA1928" t="s">
        <v>387</v>
      </c>
      <c r="AB1928">
        <v>0</v>
      </c>
      <c r="AC1928">
        <v>473</v>
      </c>
      <c r="AD1928" t="s">
        <v>7392</v>
      </c>
      <c r="AE1928">
        <v>2850</v>
      </c>
      <c r="AF1928" t="s">
        <v>7502</v>
      </c>
      <c r="AG1928" t="s">
        <v>7845</v>
      </c>
      <c r="AH1928" t="s">
        <v>7846</v>
      </c>
    </row>
    <row r="1929" spans="1:34" x14ac:dyDescent="0.25">
      <c r="A1929">
        <v>39</v>
      </c>
      <c r="C1929" s="185"/>
      <c r="D1929" t="s">
        <v>24</v>
      </c>
      <c r="E1929" t="s">
        <v>386</v>
      </c>
      <c r="G1929" t="s">
        <v>1197</v>
      </c>
      <c r="H1929" t="s">
        <v>7847</v>
      </c>
      <c r="I1929">
        <v>187</v>
      </c>
      <c r="J1929" t="s">
        <v>7848</v>
      </c>
      <c r="K1929" t="s">
        <v>7849</v>
      </c>
      <c r="L1929" t="s">
        <v>386</v>
      </c>
      <c r="M1929" t="s">
        <v>1193</v>
      </c>
      <c r="O1929">
        <v>55</v>
      </c>
      <c r="Q1929" t="s">
        <v>7850</v>
      </c>
      <c r="R1929" t="s">
        <v>398</v>
      </c>
      <c r="T1929">
        <v>396</v>
      </c>
      <c r="V1929" t="s">
        <v>2186</v>
      </c>
      <c r="W1929" t="s">
        <v>1194</v>
      </c>
      <c r="X1929">
        <v>220</v>
      </c>
      <c r="Z1929" t="s">
        <v>2303</v>
      </c>
      <c r="AA1929" t="s">
        <v>387</v>
      </c>
      <c r="AB1929">
        <v>47000</v>
      </c>
      <c r="AC1929">
        <v>155</v>
      </c>
      <c r="AD1929" t="s">
        <v>7851</v>
      </c>
      <c r="AE1929">
        <v>85</v>
      </c>
      <c r="AF1929" t="s">
        <v>7852</v>
      </c>
      <c r="AG1929" t="s">
        <v>7853</v>
      </c>
      <c r="AH1929" t="s">
        <v>7854</v>
      </c>
    </row>
    <row r="1930" spans="1:34" x14ac:dyDescent="0.25">
      <c r="A1930">
        <v>1623</v>
      </c>
      <c r="C1930" s="185"/>
      <c r="E1930" t="s">
        <v>386</v>
      </c>
      <c r="F1930" t="s">
        <v>15537</v>
      </c>
      <c r="G1930" t="s">
        <v>1197</v>
      </c>
      <c r="H1930" t="s">
        <v>14471</v>
      </c>
      <c r="I1930">
        <v>17800</v>
      </c>
      <c r="J1930" t="s">
        <v>15537</v>
      </c>
      <c r="K1930" t="s">
        <v>15538</v>
      </c>
      <c r="L1930" t="s">
        <v>386</v>
      </c>
      <c r="M1930" t="s">
        <v>1193</v>
      </c>
      <c r="N1930">
        <v>17800</v>
      </c>
      <c r="O1930">
        <v>0</v>
      </c>
      <c r="Q1930" t="s">
        <v>15539</v>
      </c>
      <c r="R1930" t="s">
        <v>1208</v>
      </c>
      <c r="T1930">
        <v>103</v>
      </c>
      <c r="V1930" t="s">
        <v>1530</v>
      </c>
      <c r="W1930" t="s">
        <v>1530</v>
      </c>
      <c r="X1930">
        <v>103</v>
      </c>
      <c r="Z1930" t="s">
        <v>14474</v>
      </c>
      <c r="AA1930" t="s">
        <v>387</v>
      </c>
      <c r="AB1930">
        <v>0</v>
      </c>
      <c r="AC1930">
        <v>6644</v>
      </c>
      <c r="AD1930" t="s">
        <v>15540</v>
      </c>
      <c r="AE1930">
        <v>1</v>
      </c>
      <c r="AF1930" t="s">
        <v>1922</v>
      </c>
      <c r="AG1930" t="s">
        <v>15541</v>
      </c>
    </row>
    <row r="1931" spans="1:34" x14ac:dyDescent="0.25">
      <c r="A1931">
        <v>1874</v>
      </c>
      <c r="C1931" s="185"/>
      <c r="E1931" t="s">
        <v>386</v>
      </c>
      <c r="F1931" t="s">
        <v>7820</v>
      </c>
      <c r="G1931" t="s">
        <v>1197</v>
      </c>
      <c r="H1931" t="s">
        <v>7819</v>
      </c>
      <c r="I1931">
        <v>10369</v>
      </c>
      <c r="J1931" t="s">
        <v>7820</v>
      </c>
      <c r="K1931" t="s">
        <v>7820</v>
      </c>
      <c r="L1931" t="s">
        <v>386</v>
      </c>
      <c r="M1931" t="s">
        <v>1193</v>
      </c>
      <c r="N1931">
        <v>10369</v>
      </c>
      <c r="O1931">
        <v>0</v>
      </c>
      <c r="Q1931" t="s">
        <v>7855</v>
      </c>
      <c r="R1931" t="s">
        <v>398</v>
      </c>
      <c r="T1931">
        <v>52</v>
      </c>
      <c r="V1931" t="s">
        <v>2024</v>
      </c>
      <c r="W1931" t="s">
        <v>1199</v>
      </c>
      <c r="X1931">
        <v>200</v>
      </c>
      <c r="Z1931" t="s">
        <v>7822</v>
      </c>
      <c r="AA1931" t="s">
        <v>387</v>
      </c>
      <c r="AB1931">
        <v>0</v>
      </c>
      <c r="AC1931">
        <v>4023</v>
      </c>
      <c r="AD1931" t="s">
        <v>7823</v>
      </c>
      <c r="AE1931">
        <v>18</v>
      </c>
      <c r="AF1931" t="s">
        <v>1259</v>
      </c>
      <c r="AG1931" t="s">
        <v>1244</v>
      </c>
    </row>
    <row r="1932" spans="1:34" x14ac:dyDescent="0.25">
      <c r="A1932">
        <v>24</v>
      </c>
      <c r="B1932" t="s">
        <v>1313</v>
      </c>
      <c r="C1932" s="185"/>
      <c r="D1932" t="s">
        <v>24</v>
      </c>
      <c r="E1932" t="s">
        <v>386</v>
      </c>
      <c r="F1932" t="s">
        <v>358</v>
      </c>
      <c r="G1932" t="s">
        <v>1197</v>
      </c>
      <c r="H1932" t="s">
        <v>7856</v>
      </c>
      <c r="I1932">
        <v>86</v>
      </c>
      <c r="J1932" t="s">
        <v>31</v>
      </c>
      <c r="K1932" t="s">
        <v>7857</v>
      </c>
      <c r="L1932" t="s">
        <v>386</v>
      </c>
      <c r="M1932" t="s">
        <v>1193</v>
      </c>
      <c r="N1932">
        <v>15319</v>
      </c>
      <c r="O1932">
        <v>35</v>
      </c>
      <c r="Q1932" t="s">
        <v>7858</v>
      </c>
      <c r="R1932" t="s">
        <v>398</v>
      </c>
      <c r="S1932" t="s">
        <v>4594</v>
      </c>
      <c r="T1932">
        <v>396</v>
      </c>
      <c r="U1932">
        <v>0</v>
      </c>
      <c r="V1932" t="s">
        <v>2186</v>
      </c>
      <c r="W1932" t="s">
        <v>2186</v>
      </c>
      <c r="X1932">
        <v>396</v>
      </c>
      <c r="Y1932" t="s">
        <v>1317</v>
      </c>
      <c r="Z1932" t="s">
        <v>955</v>
      </c>
      <c r="AA1932" t="s">
        <v>387</v>
      </c>
      <c r="AB1932">
        <v>27000</v>
      </c>
      <c r="AC1932">
        <v>4378</v>
      </c>
      <c r="AD1932" t="s">
        <v>7859</v>
      </c>
      <c r="AE1932">
        <v>2340</v>
      </c>
      <c r="AF1932" t="s">
        <v>7860</v>
      </c>
      <c r="AG1932" t="s">
        <v>2044</v>
      </c>
      <c r="AH1932" t="s">
        <v>7861</v>
      </c>
    </row>
    <row r="1933" spans="1:34" x14ac:dyDescent="0.25">
      <c r="A1933">
        <v>480</v>
      </c>
      <c r="B1933" t="s">
        <v>1313</v>
      </c>
      <c r="C1933" s="185"/>
      <c r="D1933" t="s">
        <v>24</v>
      </c>
      <c r="E1933" t="s">
        <v>386</v>
      </c>
      <c r="F1933" t="s">
        <v>289</v>
      </c>
      <c r="G1933" t="s">
        <v>1197</v>
      </c>
      <c r="H1933" t="s">
        <v>7862</v>
      </c>
      <c r="I1933">
        <v>5731</v>
      </c>
      <c r="J1933" t="s">
        <v>289</v>
      </c>
      <c r="K1933" t="s">
        <v>7863</v>
      </c>
      <c r="L1933" t="s">
        <v>386</v>
      </c>
      <c r="M1933" t="s">
        <v>1193</v>
      </c>
      <c r="N1933">
        <v>5731</v>
      </c>
      <c r="O1933">
        <v>35</v>
      </c>
      <c r="Q1933" t="s">
        <v>7864</v>
      </c>
      <c r="R1933" t="s">
        <v>398</v>
      </c>
      <c r="S1933" t="s">
        <v>1909</v>
      </c>
      <c r="T1933">
        <v>200</v>
      </c>
      <c r="U1933">
        <v>0</v>
      </c>
      <c r="V1933" t="s">
        <v>1199</v>
      </c>
      <c r="W1933" t="s">
        <v>4468</v>
      </c>
      <c r="X1933">
        <v>470</v>
      </c>
      <c r="Y1933" t="s">
        <v>1317</v>
      </c>
      <c r="Z1933" t="s">
        <v>902</v>
      </c>
      <c r="AA1933" t="s">
        <v>387</v>
      </c>
      <c r="AB1933">
        <v>27000</v>
      </c>
      <c r="AC1933">
        <v>2698</v>
      </c>
      <c r="AD1933" t="s">
        <v>7865</v>
      </c>
      <c r="AE1933">
        <v>1294</v>
      </c>
      <c r="AF1933" t="s">
        <v>7866</v>
      </c>
      <c r="AG1933" t="s">
        <v>1244</v>
      </c>
    </row>
    <row r="1934" spans="1:34" x14ac:dyDescent="0.25">
      <c r="A1934">
        <v>149</v>
      </c>
      <c r="C1934" s="185"/>
      <c r="E1934" t="s">
        <v>386</v>
      </c>
      <c r="F1934" t="s">
        <v>7867</v>
      </c>
      <c r="G1934" t="s">
        <v>1197</v>
      </c>
      <c r="H1934" t="s">
        <v>7868</v>
      </c>
      <c r="I1934">
        <v>17574</v>
      </c>
      <c r="J1934" t="s">
        <v>7867</v>
      </c>
      <c r="K1934" t="s">
        <v>7867</v>
      </c>
      <c r="L1934" t="s">
        <v>386</v>
      </c>
      <c r="M1934" t="s">
        <v>1193</v>
      </c>
      <c r="N1934">
        <v>17574</v>
      </c>
      <c r="O1934">
        <v>55</v>
      </c>
      <c r="Q1934" t="s">
        <v>7869</v>
      </c>
      <c r="R1934" t="s">
        <v>398</v>
      </c>
      <c r="T1934">
        <v>220</v>
      </c>
      <c r="V1934" t="s">
        <v>1194</v>
      </c>
      <c r="W1934" t="s">
        <v>4502</v>
      </c>
      <c r="X1934">
        <v>556</v>
      </c>
      <c r="Z1934" t="s">
        <v>7870</v>
      </c>
      <c r="AA1934" t="s">
        <v>387</v>
      </c>
      <c r="AB1934">
        <v>0</v>
      </c>
      <c r="AC1934">
        <v>241</v>
      </c>
      <c r="AD1934" t="s">
        <v>7871</v>
      </c>
      <c r="AE1934">
        <v>290</v>
      </c>
      <c r="AF1934" t="s">
        <v>7872</v>
      </c>
      <c r="AG1934" t="s">
        <v>7873</v>
      </c>
      <c r="AH1934" t="s">
        <v>7874</v>
      </c>
    </row>
    <row r="1935" spans="1:34" x14ac:dyDescent="0.25">
      <c r="A1935">
        <v>1348</v>
      </c>
      <c r="B1935" t="s">
        <v>1313</v>
      </c>
      <c r="C1935" s="185"/>
      <c r="D1935" t="s">
        <v>24</v>
      </c>
      <c r="E1935" t="s">
        <v>386</v>
      </c>
      <c r="F1935" t="s">
        <v>7875</v>
      </c>
      <c r="G1935" t="s">
        <v>1197</v>
      </c>
      <c r="H1935" t="s">
        <v>7876</v>
      </c>
      <c r="I1935">
        <v>1798</v>
      </c>
      <c r="J1935" t="s">
        <v>7875</v>
      </c>
      <c r="K1935" t="s">
        <v>7875</v>
      </c>
      <c r="L1935" t="s">
        <v>386</v>
      </c>
      <c r="M1935" t="s">
        <v>1193</v>
      </c>
      <c r="N1935">
        <v>1798</v>
      </c>
      <c r="O1935">
        <v>55</v>
      </c>
      <c r="Q1935" t="s">
        <v>7877</v>
      </c>
      <c r="R1935" t="s">
        <v>398</v>
      </c>
      <c r="S1935" t="s">
        <v>1909</v>
      </c>
      <c r="T1935">
        <v>396</v>
      </c>
      <c r="U1935">
        <v>0</v>
      </c>
      <c r="V1935" t="s">
        <v>2186</v>
      </c>
      <c r="W1935" t="s">
        <v>1194</v>
      </c>
      <c r="X1935">
        <v>220</v>
      </c>
      <c r="Y1935" t="s">
        <v>1317</v>
      </c>
      <c r="Z1935" t="s">
        <v>1071</v>
      </c>
      <c r="AA1935" t="s">
        <v>387</v>
      </c>
      <c r="AB1935">
        <v>47000</v>
      </c>
      <c r="AC1935">
        <v>1342</v>
      </c>
      <c r="AD1935" t="s">
        <v>7878</v>
      </c>
      <c r="AE1935">
        <v>336</v>
      </c>
      <c r="AF1935" t="s">
        <v>7879</v>
      </c>
      <c r="AG1935" t="s">
        <v>1931</v>
      </c>
      <c r="AH1935" t="s">
        <v>7880</v>
      </c>
    </row>
    <row r="1936" spans="1:34" x14ac:dyDescent="0.25">
      <c r="A1936">
        <v>1</v>
      </c>
      <c r="C1936" s="185"/>
      <c r="E1936" t="s">
        <v>386</v>
      </c>
      <c r="F1936" t="s">
        <v>7881</v>
      </c>
      <c r="G1936" t="s">
        <v>1192</v>
      </c>
      <c r="I1936">
        <v>2904</v>
      </c>
      <c r="J1936" t="s">
        <v>7881</v>
      </c>
      <c r="K1936" t="s">
        <v>7881</v>
      </c>
      <c r="L1936" t="s">
        <v>386</v>
      </c>
      <c r="M1936" t="s">
        <v>1184</v>
      </c>
      <c r="N1936">
        <v>2904</v>
      </c>
      <c r="O1936">
        <v>0</v>
      </c>
      <c r="Q1936" t="s">
        <v>7882</v>
      </c>
      <c r="R1936" t="s">
        <v>1208</v>
      </c>
      <c r="T1936">
        <v>35</v>
      </c>
      <c r="V1936" t="s">
        <v>2015</v>
      </c>
      <c r="Z1936" t="s">
        <v>865</v>
      </c>
      <c r="AA1936" t="s">
        <v>387</v>
      </c>
      <c r="AB1936">
        <v>0</v>
      </c>
      <c r="AC1936">
        <v>1951</v>
      </c>
      <c r="AD1936" t="s">
        <v>7883</v>
      </c>
      <c r="AE1936">
        <v>8</v>
      </c>
      <c r="AF1936" t="s">
        <v>2805</v>
      </c>
      <c r="AG1936" t="s">
        <v>7884</v>
      </c>
      <c r="AH1936" t="s">
        <v>7885</v>
      </c>
    </row>
    <row r="1937" spans="1:34" x14ac:dyDescent="0.25">
      <c r="A1937">
        <v>43</v>
      </c>
      <c r="B1937" t="s">
        <v>1313</v>
      </c>
      <c r="C1937" s="185"/>
      <c r="D1937" t="s">
        <v>24</v>
      </c>
      <c r="E1937" t="s">
        <v>386</v>
      </c>
      <c r="F1937" t="s">
        <v>317</v>
      </c>
      <c r="G1937" t="s">
        <v>1197</v>
      </c>
      <c r="H1937" t="s">
        <v>7886</v>
      </c>
      <c r="I1937">
        <v>1152</v>
      </c>
      <c r="J1937" t="s">
        <v>317</v>
      </c>
      <c r="K1937" t="s">
        <v>7887</v>
      </c>
      <c r="L1937" t="s">
        <v>386</v>
      </c>
      <c r="M1937" t="s">
        <v>1193</v>
      </c>
      <c r="N1937">
        <v>1152</v>
      </c>
      <c r="O1937">
        <v>35</v>
      </c>
      <c r="Q1937" t="s">
        <v>7888</v>
      </c>
      <c r="R1937" t="s">
        <v>398</v>
      </c>
      <c r="S1937" t="s">
        <v>7889</v>
      </c>
      <c r="T1937">
        <v>340</v>
      </c>
      <c r="U1937">
        <v>0</v>
      </c>
      <c r="V1937" t="s">
        <v>1200</v>
      </c>
      <c r="W1937" t="s">
        <v>2186</v>
      </c>
      <c r="X1937">
        <v>396</v>
      </c>
      <c r="Y1937" t="s">
        <v>1317</v>
      </c>
      <c r="Z1937" t="s">
        <v>1015</v>
      </c>
      <c r="AA1937" t="s">
        <v>387</v>
      </c>
      <c r="AB1937">
        <v>27000</v>
      </c>
      <c r="AC1937">
        <v>6311</v>
      </c>
      <c r="AD1937" t="s">
        <v>7890</v>
      </c>
      <c r="AE1937">
        <v>2889</v>
      </c>
      <c r="AF1937" t="s">
        <v>7891</v>
      </c>
      <c r="AG1937" t="s">
        <v>1244</v>
      </c>
      <c r="AH1937" t="s">
        <v>7892</v>
      </c>
    </row>
    <row r="1938" spans="1:34" x14ac:dyDescent="0.25">
      <c r="A1938">
        <v>15</v>
      </c>
      <c r="B1938" t="s">
        <v>1313</v>
      </c>
      <c r="C1938" s="185"/>
      <c r="D1938" t="s">
        <v>24</v>
      </c>
      <c r="E1938" t="s">
        <v>386</v>
      </c>
      <c r="F1938" t="s">
        <v>261</v>
      </c>
      <c r="G1938" t="s">
        <v>1197</v>
      </c>
      <c r="H1938" t="s">
        <v>7893</v>
      </c>
      <c r="I1938">
        <v>31</v>
      </c>
      <c r="J1938" t="s">
        <v>261</v>
      </c>
      <c r="K1938" t="s">
        <v>7894</v>
      </c>
      <c r="L1938" t="s">
        <v>386</v>
      </c>
      <c r="M1938" t="s">
        <v>1193</v>
      </c>
      <c r="N1938">
        <v>31</v>
      </c>
      <c r="O1938">
        <v>35</v>
      </c>
      <c r="Q1938" t="s">
        <v>7895</v>
      </c>
      <c r="R1938" t="s">
        <v>398</v>
      </c>
      <c r="S1938" t="s">
        <v>1909</v>
      </c>
      <c r="T1938">
        <v>280</v>
      </c>
      <c r="U1938">
        <v>0</v>
      </c>
      <c r="V1938" t="s">
        <v>3202</v>
      </c>
      <c r="Y1938" t="s">
        <v>1317</v>
      </c>
      <c r="Z1938" t="s">
        <v>1020</v>
      </c>
      <c r="AA1938" t="s">
        <v>387</v>
      </c>
      <c r="AB1938">
        <v>27000</v>
      </c>
      <c r="AC1938">
        <v>26</v>
      </c>
      <c r="AD1938" t="s">
        <v>7896</v>
      </c>
      <c r="AE1938">
        <v>18</v>
      </c>
      <c r="AF1938" t="s">
        <v>1259</v>
      </c>
      <c r="AG1938" t="s">
        <v>7897</v>
      </c>
      <c r="AH1938" t="s">
        <v>7898</v>
      </c>
    </row>
    <row r="1939" spans="1:34" x14ac:dyDescent="0.25">
      <c r="A1939">
        <v>1</v>
      </c>
      <c r="C1939" s="185"/>
      <c r="E1939" t="s">
        <v>386</v>
      </c>
      <c r="F1939" t="s">
        <v>7899</v>
      </c>
      <c r="G1939" t="s">
        <v>1192</v>
      </c>
      <c r="H1939" t="s">
        <v>7900</v>
      </c>
      <c r="I1939">
        <v>6391</v>
      </c>
      <c r="J1939" t="s">
        <v>7899</v>
      </c>
      <c r="K1939" t="s">
        <v>7899</v>
      </c>
      <c r="L1939" t="s">
        <v>386</v>
      </c>
      <c r="M1939" t="s">
        <v>1193</v>
      </c>
      <c r="N1939">
        <v>6391</v>
      </c>
      <c r="O1939">
        <v>0</v>
      </c>
      <c r="Q1939" t="s">
        <v>7901</v>
      </c>
      <c r="R1939" t="s">
        <v>1208</v>
      </c>
      <c r="T1939">
        <v>468</v>
      </c>
      <c r="V1939" t="s">
        <v>6293</v>
      </c>
      <c r="W1939" t="s">
        <v>6293</v>
      </c>
      <c r="X1939">
        <v>468</v>
      </c>
      <c r="Z1939" t="s">
        <v>865</v>
      </c>
      <c r="AA1939" t="s">
        <v>387</v>
      </c>
      <c r="AB1939">
        <v>0</v>
      </c>
      <c r="AC1939">
        <v>2357</v>
      </c>
      <c r="AD1939" t="s">
        <v>7902</v>
      </c>
      <c r="AE1939">
        <v>707</v>
      </c>
      <c r="AF1939" t="s">
        <v>7903</v>
      </c>
      <c r="AG1939" t="s">
        <v>7904</v>
      </c>
      <c r="AH1939" t="s">
        <v>7905</v>
      </c>
    </row>
    <row r="1940" spans="1:34" x14ac:dyDescent="0.25">
      <c r="A1940">
        <v>11</v>
      </c>
      <c r="C1940" s="185"/>
      <c r="E1940" t="s">
        <v>386</v>
      </c>
      <c r="F1940" t="s">
        <v>7906</v>
      </c>
      <c r="G1940" t="s">
        <v>1197</v>
      </c>
      <c r="H1940" t="s">
        <v>7907</v>
      </c>
      <c r="I1940">
        <v>2813</v>
      </c>
      <c r="J1940" t="s">
        <v>7906</v>
      </c>
      <c r="K1940" t="s">
        <v>7908</v>
      </c>
      <c r="L1940" t="s">
        <v>386</v>
      </c>
      <c r="M1940" t="s">
        <v>1193</v>
      </c>
      <c r="N1940">
        <v>2813</v>
      </c>
      <c r="O1940">
        <v>10</v>
      </c>
      <c r="Q1940" t="s">
        <v>7909</v>
      </c>
      <c r="R1940" t="s">
        <v>398</v>
      </c>
      <c r="T1940">
        <v>52</v>
      </c>
      <c r="V1940" t="s">
        <v>2024</v>
      </c>
      <c r="Z1940" t="s">
        <v>871</v>
      </c>
      <c r="AA1940" t="s">
        <v>387</v>
      </c>
      <c r="AB1940">
        <v>6000</v>
      </c>
      <c r="AC1940">
        <v>1893</v>
      </c>
      <c r="AD1940" t="s">
        <v>7910</v>
      </c>
      <c r="AE1940">
        <v>719</v>
      </c>
      <c r="AF1940" t="s">
        <v>7911</v>
      </c>
      <c r="AG1940" t="s">
        <v>1244</v>
      </c>
      <c r="AH1940" t="s">
        <v>7912</v>
      </c>
    </row>
    <row r="1941" spans="1:34" x14ac:dyDescent="0.25">
      <c r="A1941">
        <v>11</v>
      </c>
      <c r="C1941" s="185"/>
      <c r="D1941" t="s">
        <v>24</v>
      </c>
      <c r="E1941" t="s">
        <v>386</v>
      </c>
      <c r="F1941" t="s">
        <v>7913</v>
      </c>
      <c r="G1941" t="s">
        <v>1197</v>
      </c>
      <c r="H1941" t="s">
        <v>7914</v>
      </c>
      <c r="I1941">
        <v>165</v>
      </c>
      <c r="J1941" t="s">
        <v>7913</v>
      </c>
      <c r="K1941" t="s">
        <v>7915</v>
      </c>
      <c r="L1941" t="s">
        <v>386</v>
      </c>
      <c r="M1941" t="s">
        <v>1193</v>
      </c>
      <c r="N1941">
        <v>165</v>
      </c>
      <c r="O1941">
        <v>10</v>
      </c>
      <c r="Q1941" t="s">
        <v>7916</v>
      </c>
      <c r="R1941" t="s">
        <v>398</v>
      </c>
      <c r="T1941">
        <v>0</v>
      </c>
      <c r="V1941" t="s">
        <v>1186</v>
      </c>
      <c r="Z1941" t="s">
        <v>871</v>
      </c>
      <c r="AA1941" t="s">
        <v>387</v>
      </c>
      <c r="AB1941">
        <v>6000</v>
      </c>
      <c r="AC1941">
        <v>134</v>
      </c>
      <c r="AD1941" t="s">
        <v>7917</v>
      </c>
      <c r="AE1941">
        <v>77</v>
      </c>
      <c r="AF1941" t="s">
        <v>7918</v>
      </c>
      <c r="AG1941" t="s">
        <v>1931</v>
      </c>
      <c r="AH1941" t="s">
        <v>7919</v>
      </c>
    </row>
    <row r="1942" spans="1:34" x14ac:dyDescent="0.25">
      <c r="A1942">
        <v>24</v>
      </c>
      <c r="C1942" s="185"/>
      <c r="D1942" t="s">
        <v>24</v>
      </c>
      <c r="E1942" t="s">
        <v>386</v>
      </c>
      <c r="F1942" t="s">
        <v>358</v>
      </c>
      <c r="G1942" t="s">
        <v>1197</v>
      </c>
      <c r="H1942" t="s">
        <v>7690</v>
      </c>
      <c r="I1942">
        <v>14121</v>
      </c>
      <c r="J1942" t="s">
        <v>7920</v>
      </c>
      <c r="K1942" t="s">
        <v>7857</v>
      </c>
      <c r="L1942" t="s">
        <v>386</v>
      </c>
      <c r="M1942" t="s">
        <v>1193</v>
      </c>
      <c r="N1942">
        <v>15319</v>
      </c>
      <c r="O1942">
        <v>0</v>
      </c>
      <c r="Q1942" t="s">
        <v>7921</v>
      </c>
      <c r="R1942" t="s">
        <v>1208</v>
      </c>
      <c r="T1942">
        <v>396</v>
      </c>
      <c r="V1942" t="s">
        <v>2186</v>
      </c>
      <c r="W1942" t="s">
        <v>2186</v>
      </c>
      <c r="X1942">
        <v>396</v>
      </c>
      <c r="Z1942" t="s">
        <v>955</v>
      </c>
      <c r="AA1942" t="s">
        <v>387</v>
      </c>
      <c r="AB1942">
        <v>0</v>
      </c>
      <c r="AC1942">
        <v>210</v>
      </c>
      <c r="AD1942" t="s">
        <v>2615</v>
      </c>
      <c r="AE1942">
        <v>2481</v>
      </c>
      <c r="AF1942" t="s">
        <v>7922</v>
      </c>
      <c r="AG1942" t="s">
        <v>7923</v>
      </c>
      <c r="AH1942" t="s">
        <v>7924</v>
      </c>
    </row>
    <row r="1943" spans="1:34" x14ac:dyDescent="0.25">
      <c r="A1943">
        <v>37</v>
      </c>
      <c r="C1943" s="185"/>
      <c r="E1943" t="s">
        <v>386</v>
      </c>
      <c r="F1943" t="s">
        <v>7925</v>
      </c>
      <c r="G1943" t="s">
        <v>1197</v>
      </c>
      <c r="H1943" t="s">
        <v>7926</v>
      </c>
      <c r="I1943">
        <v>4584</v>
      </c>
      <c r="J1943" t="s">
        <v>7925</v>
      </c>
      <c r="K1943" t="s">
        <v>7927</v>
      </c>
      <c r="L1943" t="s">
        <v>386</v>
      </c>
      <c r="M1943" t="s">
        <v>1193</v>
      </c>
      <c r="N1943">
        <v>4584</v>
      </c>
      <c r="O1943">
        <v>55</v>
      </c>
      <c r="Q1943" t="s">
        <v>7928</v>
      </c>
      <c r="R1943" t="s">
        <v>398</v>
      </c>
      <c r="T1943">
        <v>396</v>
      </c>
      <c r="V1943" t="s">
        <v>2186</v>
      </c>
      <c r="W1943" t="s">
        <v>1194</v>
      </c>
      <c r="X1943">
        <v>220</v>
      </c>
      <c r="Z1943" t="s">
        <v>1121</v>
      </c>
      <c r="AA1943" t="s">
        <v>387</v>
      </c>
      <c r="AB1943">
        <v>47000</v>
      </c>
      <c r="AC1943">
        <v>2366</v>
      </c>
      <c r="AD1943" t="s">
        <v>7929</v>
      </c>
      <c r="AE1943">
        <v>1</v>
      </c>
      <c r="AF1943" t="s">
        <v>1922</v>
      </c>
      <c r="AG1943" t="s">
        <v>7930</v>
      </c>
    </row>
    <row r="1944" spans="1:34" x14ac:dyDescent="0.25">
      <c r="A1944">
        <v>37</v>
      </c>
      <c r="C1944" s="185"/>
      <c r="E1944" t="s">
        <v>386</v>
      </c>
      <c r="G1944" t="s">
        <v>1197</v>
      </c>
      <c r="H1944" t="s">
        <v>7931</v>
      </c>
      <c r="I1944">
        <v>203</v>
      </c>
      <c r="J1944" t="s">
        <v>7932</v>
      </c>
      <c r="K1944" t="s">
        <v>7933</v>
      </c>
      <c r="L1944" t="s">
        <v>386</v>
      </c>
      <c r="M1944" t="s">
        <v>1193</v>
      </c>
      <c r="O1944">
        <v>55</v>
      </c>
      <c r="Q1944" t="s">
        <v>7934</v>
      </c>
      <c r="R1944" t="s">
        <v>398</v>
      </c>
      <c r="T1944">
        <v>396</v>
      </c>
      <c r="V1944" t="s">
        <v>2186</v>
      </c>
      <c r="W1944" t="s">
        <v>1194</v>
      </c>
      <c r="X1944">
        <v>220</v>
      </c>
      <c r="Z1944" t="s">
        <v>1121</v>
      </c>
      <c r="AA1944" t="s">
        <v>387</v>
      </c>
      <c r="AB1944">
        <v>47000</v>
      </c>
      <c r="AC1944">
        <v>110</v>
      </c>
      <c r="AD1944" t="s">
        <v>7935</v>
      </c>
      <c r="AE1944">
        <v>1</v>
      </c>
      <c r="AF1944" t="s">
        <v>1922</v>
      </c>
      <c r="AG1944" t="s">
        <v>7936</v>
      </c>
      <c r="AH1944" t="s">
        <v>7937</v>
      </c>
    </row>
    <row r="1945" spans="1:34" x14ac:dyDescent="0.25">
      <c r="A1945">
        <v>37</v>
      </c>
      <c r="C1945" s="185"/>
      <c r="E1945" t="s">
        <v>386</v>
      </c>
      <c r="G1945" t="s">
        <v>1197</v>
      </c>
      <c r="H1945" t="s">
        <v>7938</v>
      </c>
      <c r="I1945">
        <v>4585</v>
      </c>
      <c r="J1945" t="s">
        <v>7939</v>
      </c>
      <c r="K1945" t="s">
        <v>7940</v>
      </c>
      <c r="L1945" t="s">
        <v>386</v>
      </c>
      <c r="M1945" t="s">
        <v>1193</v>
      </c>
      <c r="O1945">
        <v>55</v>
      </c>
      <c r="Q1945" t="s">
        <v>7941</v>
      </c>
      <c r="R1945" t="s">
        <v>1208</v>
      </c>
      <c r="T1945">
        <v>427</v>
      </c>
      <c r="V1945" t="s">
        <v>5630</v>
      </c>
      <c r="W1945" t="s">
        <v>2186</v>
      </c>
      <c r="X1945">
        <v>396</v>
      </c>
      <c r="Z1945" t="s">
        <v>1121</v>
      </c>
      <c r="AA1945" t="s">
        <v>387</v>
      </c>
      <c r="AB1945">
        <v>47000</v>
      </c>
      <c r="AC1945">
        <v>2052</v>
      </c>
      <c r="AD1945" t="s">
        <v>7942</v>
      </c>
      <c r="AE1945">
        <v>985</v>
      </c>
      <c r="AF1945" t="s">
        <v>7943</v>
      </c>
      <c r="AG1945" t="s">
        <v>7944</v>
      </c>
    </row>
    <row r="1946" spans="1:34" x14ac:dyDescent="0.25">
      <c r="A1946">
        <v>1444</v>
      </c>
      <c r="C1946" s="185"/>
      <c r="E1946" t="s">
        <v>386</v>
      </c>
      <c r="F1946" t="s">
        <v>7945</v>
      </c>
      <c r="G1946" t="s">
        <v>1197</v>
      </c>
      <c r="H1946" t="s">
        <v>7946</v>
      </c>
      <c r="I1946">
        <v>3471</v>
      </c>
      <c r="J1946" t="s">
        <v>7945</v>
      </c>
      <c r="K1946" t="s">
        <v>7947</v>
      </c>
      <c r="L1946" t="s">
        <v>386</v>
      </c>
      <c r="M1946" t="s">
        <v>1193</v>
      </c>
      <c r="N1946">
        <v>3471</v>
      </c>
      <c r="O1946">
        <v>10</v>
      </c>
      <c r="Q1946" t="s">
        <v>7948</v>
      </c>
      <c r="T1946">
        <v>52</v>
      </c>
      <c r="V1946" t="s">
        <v>2024</v>
      </c>
      <c r="Z1946" t="s">
        <v>869</v>
      </c>
      <c r="AA1946" t="s">
        <v>387</v>
      </c>
      <c r="AB1946">
        <v>6000</v>
      </c>
      <c r="AC1946">
        <v>2227</v>
      </c>
      <c r="AD1946" t="s">
        <v>7949</v>
      </c>
      <c r="AE1946">
        <v>3</v>
      </c>
      <c r="AF1946" t="s">
        <v>1235</v>
      </c>
      <c r="AG1946" t="s">
        <v>1244</v>
      </c>
    </row>
    <row r="1947" spans="1:34" x14ac:dyDescent="0.25">
      <c r="A1947">
        <v>16</v>
      </c>
      <c r="B1947" t="s">
        <v>1313</v>
      </c>
      <c r="C1947" s="185"/>
      <c r="D1947" t="s">
        <v>24</v>
      </c>
      <c r="E1947" t="s">
        <v>386</v>
      </c>
      <c r="F1947" t="s">
        <v>747</v>
      </c>
      <c r="G1947" t="s">
        <v>1197</v>
      </c>
      <c r="H1947" t="s">
        <v>7950</v>
      </c>
      <c r="I1947">
        <v>37</v>
      </c>
      <c r="J1947" t="s">
        <v>747</v>
      </c>
      <c r="K1947" t="s">
        <v>7951</v>
      </c>
      <c r="L1947" t="s">
        <v>386</v>
      </c>
      <c r="M1947" t="s">
        <v>1193</v>
      </c>
      <c r="N1947">
        <v>37</v>
      </c>
      <c r="O1947">
        <v>35</v>
      </c>
      <c r="Q1947" t="s">
        <v>7952</v>
      </c>
      <c r="R1947" t="s">
        <v>398</v>
      </c>
      <c r="S1947" t="s">
        <v>1909</v>
      </c>
      <c r="T1947">
        <v>220</v>
      </c>
      <c r="U1947">
        <v>0</v>
      </c>
      <c r="V1947" t="s">
        <v>1194</v>
      </c>
      <c r="Y1947" t="s">
        <v>1317</v>
      </c>
      <c r="Z1947" t="s">
        <v>7953</v>
      </c>
      <c r="AA1947" t="s">
        <v>387</v>
      </c>
      <c r="AB1947">
        <v>27000</v>
      </c>
      <c r="AC1947">
        <v>31</v>
      </c>
      <c r="AD1947" t="s">
        <v>7954</v>
      </c>
      <c r="AE1947">
        <v>6</v>
      </c>
      <c r="AF1947" t="s">
        <v>7955</v>
      </c>
      <c r="AG1947" t="s">
        <v>1931</v>
      </c>
    </row>
    <row r="1948" spans="1:34" x14ac:dyDescent="0.25">
      <c r="A1948">
        <v>35</v>
      </c>
      <c r="B1948" t="s">
        <v>1313</v>
      </c>
      <c r="C1948" s="185"/>
      <c r="D1948" t="s">
        <v>24</v>
      </c>
      <c r="E1948" t="s">
        <v>386</v>
      </c>
      <c r="F1948" t="s">
        <v>1134</v>
      </c>
      <c r="G1948" t="s">
        <v>1197</v>
      </c>
      <c r="H1948" t="s">
        <v>7956</v>
      </c>
      <c r="I1948">
        <v>207</v>
      </c>
      <c r="J1948" t="s">
        <v>1134</v>
      </c>
      <c r="K1948" t="s">
        <v>7957</v>
      </c>
      <c r="L1948" t="s">
        <v>386</v>
      </c>
      <c r="M1948" t="s">
        <v>1193</v>
      </c>
      <c r="N1948">
        <v>207</v>
      </c>
      <c r="O1948">
        <v>35</v>
      </c>
      <c r="Q1948" t="s">
        <v>7958</v>
      </c>
      <c r="R1948" t="s">
        <v>398</v>
      </c>
      <c r="S1948" t="s">
        <v>1315</v>
      </c>
      <c r="T1948">
        <v>220</v>
      </c>
      <c r="U1948">
        <v>0</v>
      </c>
      <c r="V1948" t="s">
        <v>1194</v>
      </c>
      <c r="W1948" t="s">
        <v>1194</v>
      </c>
      <c r="X1948">
        <v>220</v>
      </c>
      <c r="Y1948" t="s">
        <v>1317</v>
      </c>
      <c r="Z1948" t="s">
        <v>890</v>
      </c>
      <c r="AA1948" t="s">
        <v>387</v>
      </c>
      <c r="AB1948">
        <v>27000</v>
      </c>
      <c r="AC1948">
        <v>245</v>
      </c>
      <c r="AD1948" t="s">
        <v>7959</v>
      </c>
      <c r="AE1948">
        <v>3</v>
      </c>
      <c r="AF1948" t="s">
        <v>1235</v>
      </c>
      <c r="AG1948" t="s">
        <v>1931</v>
      </c>
      <c r="AH1948" t="s">
        <v>7960</v>
      </c>
    </row>
    <row r="1949" spans="1:34" x14ac:dyDescent="0.25">
      <c r="A1949">
        <v>1444</v>
      </c>
      <c r="C1949" s="185"/>
      <c r="D1949" t="s">
        <v>24</v>
      </c>
      <c r="E1949" t="s">
        <v>386</v>
      </c>
      <c r="F1949" t="s">
        <v>657</v>
      </c>
      <c r="G1949" t="s">
        <v>1197</v>
      </c>
      <c r="H1949" t="s">
        <v>7946</v>
      </c>
      <c r="I1949">
        <v>1756</v>
      </c>
      <c r="J1949" t="s">
        <v>7961</v>
      </c>
      <c r="K1949" t="s">
        <v>7962</v>
      </c>
      <c r="L1949" t="s">
        <v>386</v>
      </c>
      <c r="M1949" t="s">
        <v>1193</v>
      </c>
      <c r="N1949">
        <v>15331</v>
      </c>
      <c r="O1949">
        <v>10</v>
      </c>
      <c r="Q1949" t="s">
        <v>7963</v>
      </c>
      <c r="R1949" t="s">
        <v>398</v>
      </c>
      <c r="T1949">
        <v>272</v>
      </c>
      <c r="V1949" t="s">
        <v>2107</v>
      </c>
      <c r="W1949" t="s">
        <v>1194</v>
      </c>
      <c r="X1949">
        <v>220</v>
      </c>
      <c r="Z1949" t="s">
        <v>869</v>
      </c>
      <c r="AA1949" t="s">
        <v>387</v>
      </c>
      <c r="AB1949">
        <v>6000</v>
      </c>
      <c r="AC1949">
        <v>1316</v>
      </c>
      <c r="AD1949" t="s">
        <v>7964</v>
      </c>
      <c r="AE1949">
        <v>6</v>
      </c>
      <c r="AF1949" t="s">
        <v>7955</v>
      </c>
      <c r="AG1949" t="s">
        <v>1931</v>
      </c>
      <c r="AH1949" t="s">
        <v>7965</v>
      </c>
    </row>
    <row r="1950" spans="1:34" x14ac:dyDescent="0.25">
      <c r="A1950">
        <v>35</v>
      </c>
      <c r="B1950" t="s">
        <v>1313</v>
      </c>
      <c r="C1950" s="185"/>
      <c r="D1950" t="s">
        <v>24</v>
      </c>
      <c r="E1950" t="s">
        <v>386</v>
      </c>
      <c r="F1950" t="s">
        <v>431</v>
      </c>
      <c r="G1950" t="s">
        <v>1197</v>
      </c>
      <c r="H1950" t="s">
        <v>7966</v>
      </c>
      <c r="I1950">
        <v>7103</v>
      </c>
      <c r="J1950" t="s">
        <v>482</v>
      </c>
      <c r="K1950" t="s">
        <v>4530</v>
      </c>
      <c r="L1950" t="s">
        <v>386</v>
      </c>
      <c r="M1950" t="s">
        <v>1193</v>
      </c>
      <c r="N1950">
        <v>15336</v>
      </c>
      <c r="O1950">
        <v>35</v>
      </c>
      <c r="Q1950" t="s">
        <v>7967</v>
      </c>
      <c r="R1950" t="s">
        <v>398</v>
      </c>
      <c r="S1950" t="s">
        <v>2293</v>
      </c>
      <c r="T1950">
        <v>340</v>
      </c>
      <c r="U1950">
        <v>0</v>
      </c>
      <c r="V1950" t="s">
        <v>1200</v>
      </c>
      <c r="W1950" t="s">
        <v>1200</v>
      </c>
      <c r="X1950">
        <v>340</v>
      </c>
      <c r="Y1950" t="s">
        <v>1317</v>
      </c>
      <c r="Z1950" t="s">
        <v>890</v>
      </c>
      <c r="AA1950" t="s">
        <v>387</v>
      </c>
      <c r="AB1950">
        <v>27000</v>
      </c>
      <c r="AC1950">
        <v>3102</v>
      </c>
      <c r="AD1950" t="s">
        <v>7968</v>
      </c>
      <c r="AE1950">
        <v>18</v>
      </c>
      <c r="AF1950" t="s">
        <v>1259</v>
      </c>
      <c r="AG1950" t="s">
        <v>1244</v>
      </c>
      <c r="AH1950" t="s">
        <v>5687</v>
      </c>
    </row>
    <row r="1951" spans="1:34" x14ac:dyDescent="0.25">
      <c r="A1951">
        <v>43</v>
      </c>
      <c r="C1951" s="185"/>
      <c r="E1951" t="s">
        <v>386</v>
      </c>
      <c r="F1951" t="s">
        <v>7969</v>
      </c>
      <c r="G1951" t="s">
        <v>1197</v>
      </c>
      <c r="H1951" t="s">
        <v>7970</v>
      </c>
      <c r="I1951">
        <v>17679</v>
      </c>
      <c r="J1951" t="s">
        <v>7969</v>
      </c>
      <c r="K1951" t="s">
        <v>7969</v>
      </c>
      <c r="L1951" t="s">
        <v>386</v>
      </c>
      <c r="M1951" t="s">
        <v>1193</v>
      </c>
      <c r="N1951">
        <v>17679</v>
      </c>
      <c r="O1951">
        <v>0</v>
      </c>
      <c r="Q1951" t="s">
        <v>7971</v>
      </c>
      <c r="R1951" t="s">
        <v>1208</v>
      </c>
      <c r="T1951">
        <v>103</v>
      </c>
      <c r="V1951" t="s">
        <v>1530</v>
      </c>
      <c r="W1951" t="s">
        <v>1530</v>
      </c>
      <c r="X1951">
        <v>103</v>
      </c>
      <c r="Z1951" t="s">
        <v>1015</v>
      </c>
      <c r="AA1951" t="s">
        <v>387</v>
      </c>
      <c r="AB1951">
        <v>0</v>
      </c>
      <c r="AC1951">
        <v>6612</v>
      </c>
      <c r="AD1951" t="s">
        <v>7972</v>
      </c>
      <c r="AE1951">
        <v>639</v>
      </c>
      <c r="AF1951" t="s">
        <v>6129</v>
      </c>
      <c r="AG1951" t="s">
        <v>6208</v>
      </c>
      <c r="AH1951" t="s">
        <v>7973</v>
      </c>
    </row>
    <row r="1952" spans="1:34" x14ac:dyDescent="0.25">
      <c r="A1952">
        <v>11</v>
      </c>
      <c r="C1952" s="185"/>
      <c r="D1952" t="s">
        <v>24</v>
      </c>
      <c r="E1952" t="s">
        <v>386</v>
      </c>
      <c r="F1952" t="s">
        <v>7974</v>
      </c>
      <c r="G1952" t="s">
        <v>1197</v>
      </c>
      <c r="H1952" t="s">
        <v>7914</v>
      </c>
      <c r="I1952">
        <v>28</v>
      </c>
      <c r="J1952" t="s">
        <v>7974</v>
      </c>
      <c r="K1952" t="s">
        <v>7951</v>
      </c>
      <c r="L1952" t="s">
        <v>386</v>
      </c>
      <c r="M1952" t="s">
        <v>1193</v>
      </c>
      <c r="N1952">
        <v>28</v>
      </c>
      <c r="O1952">
        <v>10</v>
      </c>
      <c r="Q1952" t="s">
        <v>7975</v>
      </c>
      <c r="R1952" t="s">
        <v>398</v>
      </c>
      <c r="T1952">
        <v>0</v>
      </c>
      <c r="V1952" t="s">
        <v>1186</v>
      </c>
      <c r="Z1952" t="s">
        <v>871</v>
      </c>
      <c r="AA1952" t="s">
        <v>387</v>
      </c>
      <c r="AB1952">
        <v>6000</v>
      </c>
      <c r="AC1952">
        <v>22</v>
      </c>
      <c r="AD1952" t="s">
        <v>7976</v>
      </c>
      <c r="AE1952">
        <v>18</v>
      </c>
      <c r="AF1952" t="s">
        <v>1259</v>
      </c>
      <c r="AG1952" t="s">
        <v>1931</v>
      </c>
      <c r="AH1952" t="s">
        <v>7977</v>
      </c>
    </row>
    <row r="1953" spans="1:34" x14ac:dyDescent="0.25">
      <c r="A1953">
        <v>1</v>
      </c>
      <c r="C1953" s="185"/>
      <c r="E1953" t="s">
        <v>386</v>
      </c>
      <c r="F1953" t="s">
        <v>7978</v>
      </c>
      <c r="G1953" t="s">
        <v>1192</v>
      </c>
      <c r="H1953" t="s">
        <v>7979</v>
      </c>
      <c r="I1953">
        <v>1707</v>
      </c>
      <c r="J1953" t="s">
        <v>7978</v>
      </c>
      <c r="K1953" t="s">
        <v>7978</v>
      </c>
      <c r="L1953" t="s">
        <v>386</v>
      </c>
      <c r="M1953" t="s">
        <v>1184</v>
      </c>
      <c r="N1953">
        <v>1707</v>
      </c>
      <c r="O1953">
        <v>0</v>
      </c>
      <c r="Q1953" t="s">
        <v>7980</v>
      </c>
      <c r="R1953" t="s">
        <v>1208</v>
      </c>
      <c r="T1953">
        <v>1</v>
      </c>
      <c r="V1953" t="s">
        <v>1921</v>
      </c>
      <c r="Z1953" t="s">
        <v>865</v>
      </c>
      <c r="AA1953" t="s">
        <v>387</v>
      </c>
      <c r="AB1953">
        <v>0</v>
      </c>
      <c r="AC1953">
        <v>936</v>
      </c>
      <c r="AD1953" t="s">
        <v>2956</v>
      </c>
      <c r="AE1953">
        <v>9</v>
      </c>
      <c r="AF1953" t="s">
        <v>2957</v>
      </c>
      <c r="AG1953" t="s">
        <v>7981</v>
      </c>
    </row>
    <row r="1954" spans="1:34" x14ac:dyDescent="0.25">
      <c r="A1954">
        <v>35</v>
      </c>
      <c r="C1954" s="185"/>
      <c r="E1954" t="s">
        <v>386</v>
      </c>
      <c r="F1954" t="s">
        <v>357</v>
      </c>
      <c r="G1954" t="s">
        <v>1197</v>
      </c>
      <c r="H1954" t="s">
        <v>7966</v>
      </c>
      <c r="I1954">
        <v>2626</v>
      </c>
      <c r="J1954" t="s">
        <v>7982</v>
      </c>
      <c r="K1954" t="s">
        <v>7983</v>
      </c>
      <c r="L1954" t="s">
        <v>386</v>
      </c>
      <c r="M1954" t="s">
        <v>1193</v>
      </c>
      <c r="N1954">
        <v>15324</v>
      </c>
      <c r="O1954">
        <v>0</v>
      </c>
      <c r="Q1954" t="s">
        <v>7984</v>
      </c>
      <c r="T1954">
        <v>272</v>
      </c>
      <c r="V1954" t="s">
        <v>2107</v>
      </c>
      <c r="W1954" t="s">
        <v>1921</v>
      </c>
      <c r="X1954">
        <v>1</v>
      </c>
      <c r="Z1954" t="s">
        <v>890</v>
      </c>
      <c r="AA1954" t="s">
        <v>387</v>
      </c>
      <c r="AB1954">
        <v>0</v>
      </c>
      <c r="AC1954">
        <v>1842</v>
      </c>
      <c r="AD1954" t="s">
        <v>7985</v>
      </c>
      <c r="AE1954">
        <v>18</v>
      </c>
      <c r="AF1954" t="s">
        <v>1259</v>
      </c>
      <c r="AG1954" t="s">
        <v>1244</v>
      </c>
      <c r="AH1954" t="s">
        <v>7986</v>
      </c>
    </row>
    <row r="1955" spans="1:34" x14ac:dyDescent="0.25">
      <c r="A1955">
        <v>1534</v>
      </c>
      <c r="C1955" s="185"/>
      <c r="E1955" t="s">
        <v>386</v>
      </c>
      <c r="F1955" t="s">
        <v>7987</v>
      </c>
      <c r="G1955" t="s">
        <v>1197</v>
      </c>
      <c r="H1955" t="s">
        <v>7988</v>
      </c>
      <c r="I1955">
        <v>3470</v>
      </c>
      <c r="J1955" t="s">
        <v>7987</v>
      </c>
      <c r="K1955" t="s">
        <v>7989</v>
      </c>
      <c r="L1955" t="s">
        <v>386</v>
      </c>
      <c r="M1955" t="s">
        <v>1193</v>
      </c>
      <c r="N1955">
        <v>3470</v>
      </c>
      <c r="O1955">
        <v>10</v>
      </c>
      <c r="Q1955" t="s">
        <v>7990</v>
      </c>
      <c r="T1955">
        <v>52</v>
      </c>
      <c r="V1955" t="s">
        <v>2024</v>
      </c>
      <c r="Z1955" t="s">
        <v>7991</v>
      </c>
      <c r="AA1955" t="s">
        <v>387</v>
      </c>
      <c r="AB1955">
        <v>6000</v>
      </c>
      <c r="AC1955">
        <v>2226</v>
      </c>
      <c r="AD1955" t="s">
        <v>7992</v>
      </c>
      <c r="AE1955">
        <v>3</v>
      </c>
      <c r="AF1955" t="s">
        <v>1235</v>
      </c>
      <c r="AG1955" t="s">
        <v>1244</v>
      </c>
      <c r="AH1955" t="s">
        <v>7993</v>
      </c>
    </row>
    <row r="1956" spans="1:34" x14ac:dyDescent="0.25">
      <c r="A1956">
        <v>11</v>
      </c>
      <c r="C1956" s="185"/>
      <c r="E1956" t="s">
        <v>386</v>
      </c>
      <c r="F1956" t="s">
        <v>7994</v>
      </c>
      <c r="G1956" t="s">
        <v>1197</v>
      </c>
      <c r="H1956" t="s">
        <v>7914</v>
      </c>
      <c r="I1956">
        <v>17333</v>
      </c>
      <c r="J1956" t="s">
        <v>7994</v>
      </c>
      <c r="K1956" t="s">
        <v>485</v>
      </c>
      <c r="L1956" t="s">
        <v>386</v>
      </c>
      <c r="M1956" t="s">
        <v>1193</v>
      </c>
      <c r="N1956">
        <v>17333</v>
      </c>
      <c r="O1956">
        <v>35</v>
      </c>
      <c r="Q1956" t="s">
        <v>7995</v>
      </c>
      <c r="R1956" t="s">
        <v>398</v>
      </c>
      <c r="T1956">
        <v>52</v>
      </c>
      <c r="V1956" t="s">
        <v>2024</v>
      </c>
      <c r="W1956" t="s">
        <v>1194</v>
      </c>
      <c r="X1956">
        <v>220</v>
      </c>
      <c r="Z1956" t="s">
        <v>871</v>
      </c>
      <c r="AA1956" t="s">
        <v>387</v>
      </c>
      <c r="AB1956">
        <v>27000</v>
      </c>
      <c r="AC1956">
        <v>2731</v>
      </c>
      <c r="AD1956" t="s">
        <v>7996</v>
      </c>
      <c r="AE1956">
        <v>18</v>
      </c>
      <c r="AF1956" t="s">
        <v>1259</v>
      </c>
      <c r="AG1956" t="s">
        <v>1244</v>
      </c>
    </row>
    <row r="1957" spans="1:34" x14ac:dyDescent="0.25">
      <c r="A1957">
        <v>11</v>
      </c>
      <c r="B1957" t="s">
        <v>1313</v>
      </c>
      <c r="C1957" s="185"/>
      <c r="D1957" t="s">
        <v>24</v>
      </c>
      <c r="E1957" t="s">
        <v>386</v>
      </c>
      <c r="F1957" t="s">
        <v>7997</v>
      </c>
      <c r="G1957" t="s">
        <v>1197</v>
      </c>
      <c r="H1957" t="s">
        <v>7998</v>
      </c>
      <c r="I1957">
        <v>26</v>
      </c>
      <c r="J1957" t="s">
        <v>7997</v>
      </c>
      <c r="K1957" t="s">
        <v>7999</v>
      </c>
      <c r="L1957" t="s">
        <v>386</v>
      </c>
      <c r="M1957" t="s">
        <v>1193</v>
      </c>
      <c r="N1957">
        <v>26</v>
      </c>
      <c r="O1957">
        <v>35</v>
      </c>
      <c r="Q1957" t="s">
        <v>8000</v>
      </c>
      <c r="R1957" t="s">
        <v>398</v>
      </c>
      <c r="S1957" t="s">
        <v>1909</v>
      </c>
      <c r="T1957">
        <v>52</v>
      </c>
      <c r="U1957">
        <v>0</v>
      </c>
      <c r="V1957" t="s">
        <v>2024</v>
      </c>
      <c r="Y1957" t="s">
        <v>1317</v>
      </c>
      <c r="Z1957" t="s">
        <v>871</v>
      </c>
      <c r="AA1957" t="s">
        <v>387</v>
      </c>
      <c r="AB1957">
        <v>6000</v>
      </c>
      <c r="AC1957">
        <v>2731</v>
      </c>
      <c r="AD1957" t="s">
        <v>7996</v>
      </c>
      <c r="AE1957">
        <v>18</v>
      </c>
      <c r="AF1957" t="s">
        <v>1259</v>
      </c>
      <c r="AG1957" t="s">
        <v>1244</v>
      </c>
      <c r="AH1957" t="s">
        <v>8001</v>
      </c>
    </row>
    <row r="1958" spans="1:34" x14ac:dyDescent="0.25">
      <c r="A1958">
        <v>11</v>
      </c>
      <c r="B1958" t="s">
        <v>1313</v>
      </c>
      <c r="C1958" s="185"/>
      <c r="D1958" t="s">
        <v>24</v>
      </c>
      <c r="E1958" t="s">
        <v>386</v>
      </c>
      <c r="F1958" t="s">
        <v>358</v>
      </c>
      <c r="G1958" t="s">
        <v>1197</v>
      </c>
      <c r="H1958" t="s">
        <v>8002</v>
      </c>
      <c r="I1958">
        <v>87</v>
      </c>
      <c r="J1958" t="s">
        <v>218</v>
      </c>
      <c r="K1958" t="s">
        <v>8003</v>
      </c>
      <c r="L1958" t="s">
        <v>386</v>
      </c>
      <c r="M1958" t="s">
        <v>1193</v>
      </c>
      <c r="N1958">
        <v>15319</v>
      </c>
      <c r="O1958">
        <v>35</v>
      </c>
      <c r="Q1958" t="s">
        <v>8004</v>
      </c>
      <c r="R1958" t="s">
        <v>398</v>
      </c>
      <c r="S1958" t="s">
        <v>4594</v>
      </c>
      <c r="T1958">
        <v>272</v>
      </c>
      <c r="U1958">
        <v>0</v>
      </c>
      <c r="V1958" t="s">
        <v>2107</v>
      </c>
      <c r="W1958" t="s">
        <v>1530</v>
      </c>
      <c r="X1958">
        <v>103</v>
      </c>
      <c r="Y1958" t="s">
        <v>1317</v>
      </c>
      <c r="Z1958" t="s">
        <v>871</v>
      </c>
      <c r="AA1958" t="s">
        <v>387</v>
      </c>
      <c r="AB1958">
        <v>27000</v>
      </c>
      <c r="AC1958">
        <v>64</v>
      </c>
      <c r="AD1958" t="s">
        <v>8005</v>
      </c>
      <c r="AE1958">
        <v>18</v>
      </c>
      <c r="AF1958" t="s">
        <v>1259</v>
      </c>
      <c r="AG1958" t="s">
        <v>1244</v>
      </c>
      <c r="AH1958" t="s">
        <v>8006</v>
      </c>
    </row>
    <row r="1959" spans="1:34" x14ac:dyDescent="0.25">
      <c r="A1959">
        <v>1479</v>
      </c>
      <c r="C1959" s="185"/>
      <c r="E1959" t="s">
        <v>386</v>
      </c>
      <c r="F1959" t="s">
        <v>8007</v>
      </c>
      <c r="G1959" t="s">
        <v>1197</v>
      </c>
      <c r="H1959" t="s">
        <v>8008</v>
      </c>
      <c r="I1959">
        <v>2446</v>
      </c>
      <c r="J1959" t="s">
        <v>8007</v>
      </c>
      <c r="K1959" t="s">
        <v>8009</v>
      </c>
      <c r="L1959" t="s">
        <v>386</v>
      </c>
      <c r="M1959" t="s">
        <v>1193</v>
      </c>
      <c r="N1959">
        <v>2446</v>
      </c>
      <c r="O1959">
        <v>0</v>
      </c>
      <c r="Q1959" t="s">
        <v>8010</v>
      </c>
      <c r="T1959">
        <v>340</v>
      </c>
      <c r="V1959" t="s">
        <v>1200</v>
      </c>
      <c r="W1959" t="s">
        <v>6218</v>
      </c>
      <c r="X1959">
        <v>181</v>
      </c>
      <c r="Z1959" t="s">
        <v>2665</v>
      </c>
      <c r="AA1959" t="s">
        <v>387</v>
      </c>
      <c r="AB1959">
        <v>0</v>
      </c>
      <c r="AC1959">
        <v>1769</v>
      </c>
      <c r="AD1959" t="s">
        <v>8011</v>
      </c>
      <c r="AE1959">
        <v>865</v>
      </c>
      <c r="AF1959" t="s">
        <v>8012</v>
      </c>
      <c r="AG1959" t="s">
        <v>7830</v>
      </c>
      <c r="AH1959" t="s">
        <v>8013</v>
      </c>
    </row>
    <row r="1960" spans="1:34" x14ac:dyDescent="0.25">
      <c r="A1960">
        <v>1333</v>
      </c>
      <c r="B1960" t="s">
        <v>1313</v>
      </c>
      <c r="C1960" s="185"/>
      <c r="D1960" t="s">
        <v>24</v>
      </c>
      <c r="E1960" t="s">
        <v>386</v>
      </c>
      <c r="F1960" t="s">
        <v>159</v>
      </c>
      <c r="G1960" t="s">
        <v>1197</v>
      </c>
      <c r="H1960" t="s">
        <v>8014</v>
      </c>
      <c r="I1960">
        <v>2809</v>
      </c>
      <c r="J1960" t="s">
        <v>159</v>
      </c>
      <c r="K1960" t="s">
        <v>8015</v>
      </c>
      <c r="L1960" t="s">
        <v>386</v>
      </c>
      <c r="M1960" t="s">
        <v>1193</v>
      </c>
      <c r="N1960">
        <v>2809</v>
      </c>
      <c r="O1960">
        <v>35</v>
      </c>
      <c r="Q1960" t="s">
        <v>8016</v>
      </c>
      <c r="R1960" t="s">
        <v>398</v>
      </c>
      <c r="S1960" t="s">
        <v>1909</v>
      </c>
      <c r="T1960">
        <v>470</v>
      </c>
      <c r="U1960">
        <v>0</v>
      </c>
      <c r="V1960" t="s">
        <v>4468</v>
      </c>
      <c r="W1960" t="s">
        <v>1200</v>
      </c>
      <c r="X1960">
        <v>340</v>
      </c>
      <c r="Y1960" t="s">
        <v>1317</v>
      </c>
      <c r="Z1960" t="s">
        <v>886</v>
      </c>
      <c r="AA1960" t="s">
        <v>387</v>
      </c>
      <c r="AB1960">
        <v>27000</v>
      </c>
      <c r="AC1960">
        <v>4583</v>
      </c>
      <c r="AD1960" t="s">
        <v>8017</v>
      </c>
      <c r="AE1960">
        <v>2932</v>
      </c>
      <c r="AF1960" t="s">
        <v>8018</v>
      </c>
      <c r="AG1960" t="s">
        <v>8019</v>
      </c>
      <c r="AH1960" t="s">
        <v>8020</v>
      </c>
    </row>
    <row r="1961" spans="1:34" x14ac:dyDescent="0.25">
      <c r="A1961">
        <v>480</v>
      </c>
      <c r="C1961" s="185"/>
      <c r="E1961" t="s">
        <v>386</v>
      </c>
      <c r="F1961" t="s">
        <v>8021</v>
      </c>
      <c r="G1961" t="s">
        <v>1197</v>
      </c>
      <c r="H1961" t="s">
        <v>8022</v>
      </c>
      <c r="I1961">
        <v>7944</v>
      </c>
      <c r="J1961" t="s">
        <v>8021</v>
      </c>
      <c r="K1961" t="s">
        <v>8021</v>
      </c>
      <c r="L1961" t="s">
        <v>386</v>
      </c>
      <c r="M1961" t="s">
        <v>1193</v>
      </c>
      <c r="N1961">
        <v>7944</v>
      </c>
      <c r="O1961">
        <v>0</v>
      </c>
      <c r="Q1961" t="s">
        <v>8023</v>
      </c>
      <c r="R1961" t="s">
        <v>398</v>
      </c>
      <c r="T1961">
        <v>146</v>
      </c>
      <c r="V1961" t="s">
        <v>2727</v>
      </c>
      <c r="Z1961" t="s">
        <v>902</v>
      </c>
      <c r="AA1961" t="s">
        <v>387</v>
      </c>
      <c r="AB1961">
        <v>0</v>
      </c>
      <c r="AC1961">
        <v>3255</v>
      </c>
      <c r="AD1961" t="s">
        <v>8024</v>
      </c>
      <c r="AE1961">
        <v>1528</v>
      </c>
      <c r="AF1961" t="s">
        <v>8025</v>
      </c>
      <c r="AG1961" t="s">
        <v>1244</v>
      </c>
    </row>
    <row r="1962" spans="1:34" x14ac:dyDescent="0.25">
      <c r="A1962">
        <v>1586</v>
      </c>
      <c r="C1962" s="185"/>
      <c r="E1962" t="s">
        <v>386</v>
      </c>
      <c r="F1962" t="s">
        <v>8026</v>
      </c>
      <c r="G1962" t="s">
        <v>1197</v>
      </c>
      <c r="H1962" t="s">
        <v>8027</v>
      </c>
      <c r="I1962">
        <v>17042</v>
      </c>
      <c r="J1962" t="s">
        <v>8026</v>
      </c>
      <c r="K1962" t="s">
        <v>8026</v>
      </c>
      <c r="L1962" t="s">
        <v>386</v>
      </c>
      <c r="M1962" t="s">
        <v>1193</v>
      </c>
      <c r="N1962">
        <v>17042</v>
      </c>
      <c r="O1962">
        <v>0</v>
      </c>
      <c r="Q1962" t="s">
        <v>8028</v>
      </c>
      <c r="T1962">
        <v>473</v>
      </c>
      <c r="V1962" t="s">
        <v>1964</v>
      </c>
      <c r="W1962" t="s">
        <v>1964</v>
      </c>
      <c r="X1962">
        <v>473</v>
      </c>
      <c r="Z1962" t="s">
        <v>5018</v>
      </c>
      <c r="AA1962" t="s">
        <v>387</v>
      </c>
      <c r="AB1962">
        <v>0</v>
      </c>
      <c r="AC1962">
        <v>3447</v>
      </c>
      <c r="AD1962" t="s">
        <v>5463</v>
      </c>
      <c r="AE1962">
        <v>2956</v>
      </c>
      <c r="AF1962" t="s">
        <v>8029</v>
      </c>
      <c r="AG1962" t="s">
        <v>2044</v>
      </c>
      <c r="AH1962" t="s">
        <v>8030</v>
      </c>
    </row>
    <row r="1963" spans="1:34" x14ac:dyDescent="0.25">
      <c r="A1963">
        <v>66</v>
      </c>
      <c r="C1963" s="185"/>
      <c r="E1963" t="s">
        <v>386</v>
      </c>
      <c r="F1963" t="s">
        <v>15542</v>
      </c>
      <c r="G1963" t="s">
        <v>1197</v>
      </c>
      <c r="H1963" t="s">
        <v>15543</v>
      </c>
      <c r="I1963">
        <v>2248</v>
      </c>
      <c r="J1963" t="s">
        <v>15542</v>
      </c>
      <c r="K1963" t="s">
        <v>15544</v>
      </c>
      <c r="L1963" t="s">
        <v>386</v>
      </c>
      <c r="M1963" t="s">
        <v>1193</v>
      </c>
      <c r="N1963">
        <v>2248</v>
      </c>
      <c r="O1963">
        <v>0</v>
      </c>
      <c r="Q1963" t="s">
        <v>15545</v>
      </c>
      <c r="R1963" t="s">
        <v>1208</v>
      </c>
      <c r="T1963">
        <v>260</v>
      </c>
      <c r="V1963" t="s">
        <v>1216</v>
      </c>
      <c r="W1963" t="s">
        <v>2024</v>
      </c>
      <c r="X1963">
        <v>52</v>
      </c>
      <c r="Z1963" t="s">
        <v>7670</v>
      </c>
      <c r="AA1963" t="s">
        <v>387</v>
      </c>
      <c r="AB1963">
        <v>0</v>
      </c>
      <c r="AC1963">
        <v>6632</v>
      </c>
      <c r="AD1963" t="s">
        <v>15546</v>
      </c>
      <c r="AE1963">
        <v>3062</v>
      </c>
      <c r="AF1963" t="s">
        <v>15547</v>
      </c>
      <c r="AG1963" t="s">
        <v>1244</v>
      </c>
      <c r="AH1963" t="s">
        <v>15548</v>
      </c>
    </row>
    <row r="1964" spans="1:34" x14ac:dyDescent="0.25">
      <c r="A1964">
        <v>15</v>
      </c>
      <c r="C1964" s="185"/>
      <c r="E1964" t="s">
        <v>386</v>
      </c>
      <c r="F1964" t="s">
        <v>8031</v>
      </c>
      <c r="H1964" t="s">
        <v>7893</v>
      </c>
      <c r="I1964">
        <v>9689</v>
      </c>
      <c r="J1964" t="s">
        <v>8032</v>
      </c>
      <c r="K1964" t="s">
        <v>8032</v>
      </c>
      <c r="L1964" t="s">
        <v>386</v>
      </c>
      <c r="M1964" t="s">
        <v>1193</v>
      </c>
      <c r="N1964">
        <v>6049</v>
      </c>
      <c r="O1964">
        <v>0</v>
      </c>
      <c r="Q1964" t="s">
        <v>8033</v>
      </c>
      <c r="R1964" t="s">
        <v>1223</v>
      </c>
      <c r="T1964">
        <v>560</v>
      </c>
      <c r="V1964" t="s">
        <v>2602</v>
      </c>
      <c r="W1964" t="s">
        <v>1205</v>
      </c>
      <c r="X1964">
        <v>2</v>
      </c>
      <c r="Z1964" t="s">
        <v>1020</v>
      </c>
      <c r="AA1964" t="s">
        <v>387</v>
      </c>
      <c r="AB1964">
        <v>0</v>
      </c>
      <c r="AC1964">
        <v>3856</v>
      </c>
      <c r="AD1964" t="s">
        <v>8034</v>
      </c>
      <c r="AE1964">
        <v>996</v>
      </c>
      <c r="AF1964" t="s">
        <v>8035</v>
      </c>
      <c r="AG1964" t="s">
        <v>8036</v>
      </c>
      <c r="AH1964" t="s">
        <v>8037</v>
      </c>
    </row>
    <row r="1965" spans="1:34" x14ac:dyDescent="0.25">
      <c r="A1965">
        <v>11</v>
      </c>
      <c r="B1965" t="s">
        <v>1313</v>
      </c>
      <c r="C1965" s="185"/>
      <c r="D1965" t="s">
        <v>24</v>
      </c>
      <c r="E1965" t="s">
        <v>386</v>
      </c>
      <c r="F1965" t="s">
        <v>448</v>
      </c>
      <c r="G1965" t="s">
        <v>1197</v>
      </c>
      <c r="H1965" t="s">
        <v>7914</v>
      </c>
      <c r="I1965">
        <v>34</v>
      </c>
      <c r="J1965" t="s">
        <v>281</v>
      </c>
      <c r="K1965" t="s">
        <v>7402</v>
      </c>
      <c r="L1965" t="s">
        <v>386</v>
      </c>
      <c r="M1965" t="s">
        <v>1193</v>
      </c>
      <c r="N1965">
        <v>15328</v>
      </c>
      <c r="O1965">
        <v>35</v>
      </c>
      <c r="Q1965" t="s">
        <v>8038</v>
      </c>
      <c r="R1965" t="s">
        <v>398</v>
      </c>
      <c r="S1965" t="s">
        <v>7404</v>
      </c>
      <c r="T1965">
        <v>340</v>
      </c>
      <c r="U1965">
        <v>0</v>
      </c>
      <c r="V1965" t="s">
        <v>1200</v>
      </c>
      <c r="W1965" t="s">
        <v>1200</v>
      </c>
      <c r="X1965">
        <v>340</v>
      </c>
      <c r="Y1965" t="s">
        <v>1317</v>
      </c>
      <c r="Z1965" t="s">
        <v>871</v>
      </c>
      <c r="AA1965" t="s">
        <v>387</v>
      </c>
      <c r="AB1965">
        <v>27000</v>
      </c>
      <c r="AC1965">
        <v>2731</v>
      </c>
      <c r="AD1965" t="s">
        <v>7996</v>
      </c>
      <c r="AE1965">
        <v>18</v>
      </c>
      <c r="AF1965" t="s">
        <v>1259</v>
      </c>
      <c r="AG1965" t="s">
        <v>1244</v>
      </c>
      <c r="AH1965" t="s">
        <v>8039</v>
      </c>
    </row>
    <row r="1966" spans="1:34" x14ac:dyDescent="0.25">
      <c r="A1966">
        <v>35</v>
      </c>
      <c r="B1966" t="s">
        <v>1313</v>
      </c>
      <c r="C1966" s="185"/>
      <c r="D1966" t="s">
        <v>24</v>
      </c>
      <c r="E1966" t="s">
        <v>386</v>
      </c>
      <c r="F1966" t="s">
        <v>448</v>
      </c>
      <c r="G1966" t="s">
        <v>1197</v>
      </c>
      <c r="H1966" t="s">
        <v>7966</v>
      </c>
      <c r="I1966">
        <v>208</v>
      </c>
      <c r="J1966" t="s">
        <v>36</v>
      </c>
      <c r="K1966" t="s">
        <v>7402</v>
      </c>
      <c r="L1966" t="s">
        <v>386</v>
      </c>
      <c r="M1966" t="s">
        <v>1193</v>
      </c>
      <c r="N1966">
        <v>15328</v>
      </c>
      <c r="O1966">
        <v>35</v>
      </c>
      <c r="Q1966" t="s">
        <v>8040</v>
      </c>
      <c r="R1966" t="s">
        <v>398</v>
      </c>
      <c r="S1966" t="s">
        <v>7404</v>
      </c>
      <c r="T1966">
        <v>272</v>
      </c>
      <c r="U1966">
        <v>0</v>
      </c>
      <c r="V1966" t="s">
        <v>2107</v>
      </c>
      <c r="W1966" t="s">
        <v>1216</v>
      </c>
      <c r="X1966">
        <v>260</v>
      </c>
      <c r="Y1966" t="s">
        <v>1317</v>
      </c>
      <c r="Z1966" t="s">
        <v>890</v>
      </c>
      <c r="AA1966" t="s">
        <v>387</v>
      </c>
      <c r="AB1966">
        <v>27000</v>
      </c>
      <c r="AC1966">
        <v>256</v>
      </c>
      <c r="AD1966" t="s">
        <v>8041</v>
      </c>
      <c r="AE1966">
        <v>18</v>
      </c>
      <c r="AF1966" t="s">
        <v>1259</v>
      </c>
      <c r="AG1966" t="s">
        <v>1931</v>
      </c>
      <c r="AH1966" t="s">
        <v>8042</v>
      </c>
    </row>
    <row r="1967" spans="1:34" x14ac:dyDescent="0.25">
      <c r="A1967">
        <v>43</v>
      </c>
      <c r="C1967" s="185"/>
      <c r="E1967" t="s">
        <v>386</v>
      </c>
      <c r="F1967" t="s">
        <v>8043</v>
      </c>
      <c r="G1967" t="s">
        <v>1197</v>
      </c>
      <c r="H1967" t="s">
        <v>8044</v>
      </c>
      <c r="I1967">
        <v>1859</v>
      </c>
      <c r="J1967" t="s">
        <v>8043</v>
      </c>
      <c r="K1967" t="s">
        <v>8043</v>
      </c>
      <c r="L1967" t="s">
        <v>386</v>
      </c>
      <c r="M1967" t="s">
        <v>1193</v>
      </c>
      <c r="N1967">
        <v>1859</v>
      </c>
      <c r="O1967">
        <v>0</v>
      </c>
      <c r="Q1967" t="s">
        <v>8045</v>
      </c>
      <c r="T1967">
        <v>260</v>
      </c>
      <c r="V1967" t="s">
        <v>1216</v>
      </c>
      <c r="W1967" t="s">
        <v>2015</v>
      </c>
      <c r="X1967">
        <v>35</v>
      </c>
      <c r="Z1967" t="s">
        <v>1015</v>
      </c>
      <c r="AA1967" t="s">
        <v>387</v>
      </c>
      <c r="AB1967">
        <v>0</v>
      </c>
      <c r="AC1967">
        <v>1384</v>
      </c>
      <c r="AD1967" t="s">
        <v>8046</v>
      </c>
      <c r="AE1967">
        <v>663</v>
      </c>
      <c r="AF1967" t="s">
        <v>8047</v>
      </c>
      <c r="AG1967" t="s">
        <v>2502</v>
      </c>
      <c r="AH1967" t="s">
        <v>8048</v>
      </c>
    </row>
    <row r="1968" spans="1:34" x14ac:dyDescent="0.25">
      <c r="A1968">
        <v>24</v>
      </c>
      <c r="B1968" t="s">
        <v>1313</v>
      </c>
      <c r="C1968" s="185"/>
      <c r="D1968" t="s">
        <v>24</v>
      </c>
      <c r="E1968" t="s">
        <v>386</v>
      </c>
      <c r="F1968" t="s">
        <v>448</v>
      </c>
      <c r="G1968" t="s">
        <v>1197</v>
      </c>
      <c r="H1968" t="s">
        <v>8049</v>
      </c>
      <c r="I1968">
        <v>168</v>
      </c>
      <c r="J1968" t="s">
        <v>8050</v>
      </c>
      <c r="K1968" t="s">
        <v>7402</v>
      </c>
      <c r="L1968" t="s">
        <v>386</v>
      </c>
      <c r="M1968" t="s">
        <v>1193</v>
      </c>
      <c r="N1968">
        <v>15328</v>
      </c>
      <c r="O1968">
        <v>10</v>
      </c>
      <c r="Q1968" t="s">
        <v>8051</v>
      </c>
      <c r="R1968" t="s">
        <v>398</v>
      </c>
      <c r="S1968" t="s">
        <v>7404</v>
      </c>
      <c r="T1968">
        <v>272</v>
      </c>
      <c r="U1968">
        <v>0</v>
      </c>
      <c r="V1968" t="s">
        <v>2107</v>
      </c>
      <c r="W1968" t="s">
        <v>1186</v>
      </c>
      <c r="X1968">
        <v>0</v>
      </c>
      <c r="Y1968" t="s">
        <v>1317</v>
      </c>
      <c r="Z1968" t="s">
        <v>955</v>
      </c>
      <c r="AA1968" t="s">
        <v>387</v>
      </c>
      <c r="AB1968">
        <v>6000</v>
      </c>
      <c r="AC1968">
        <v>137</v>
      </c>
      <c r="AD1968" t="s">
        <v>8052</v>
      </c>
      <c r="AE1968">
        <v>39</v>
      </c>
      <c r="AF1968" t="s">
        <v>8053</v>
      </c>
      <c r="AG1968" t="s">
        <v>1931</v>
      </c>
      <c r="AH1968" t="s">
        <v>8054</v>
      </c>
    </row>
    <row r="1969" spans="1:34" x14ac:dyDescent="0.25">
      <c r="A1969">
        <v>1333</v>
      </c>
      <c r="C1969" s="185"/>
      <c r="D1969" t="s">
        <v>24</v>
      </c>
      <c r="E1969" t="s">
        <v>386</v>
      </c>
      <c r="F1969" t="s">
        <v>8055</v>
      </c>
      <c r="G1969" t="s">
        <v>1197</v>
      </c>
      <c r="H1969" t="s">
        <v>8056</v>
      </c>
      <c r="I1969">
        <v>2808</v>
      </c>
      <c r="J1969" t="s">
        <v>8055</v>
      </c>
      <c r="K1969" t="s">
        <v>8057</v>
      </c>
      <c r="L1969" t="s">
        <v>386</v>
      </c>
      <c r="M1969" t="s">
        <v>1193</v>
      </c>
      <c r="N1969">
        <v>2808</v>
      </c>
      <c r="O1969">
        <v>35</v>
      </c>
      <c r="Q1969" t="s">
        <v>8058</v>
      </c>
      <c r="R1969" t="s">
        <v>398</v>
      </c>
      <c r="T1969">
        <v>220</v>
      </c>
      <c r="V1969" t="s">
        <v>1194</v>
      </c>
      <c r="W1969" t="s">
        <v>1186</v>
      </c>
      <c r="X1969">
        <v>0</v>
      </c>
      <c r="Z1969" t="s">
        <v>886</v>
      </c>
      <c r="AA1969" t="s">
        <v>387</v>
      </c>
      <c r="AB1969">
        <v>27000</v>
      </c>
      <c r="AC1969">
        <v>1890</v>
      </c>
      <c r="AD1969" t="s">
        <v>8059</v>
      </c>
      <c r="AE1969">
        <v>925</v>
      </c>
      <c r="AF1969" t="s">
        <v>8060</v>
      </c>
      <c r="AG1969" t="s">
        <v>1244</v>
      </c>
      <c r="AH1969" t="s">
        <v>8061</v>
      </c>
    </row>
    <row r="1970" spans="1:34" x14ac:dyDescent="0.25">
      <c r="A1970">
        <v>11</v>
      </c>
      <c r="C1970" s="185"/>
      <c r="E1970" t="s">
        <v>386</v>
      </c>
      <c r="F1970" t="s">
        <v>8062</v>
      </c>
      <c r="G1970" t="s">
        <v>1197</v>
      </c>
      <c r="H1970" t="s">
        <v>7914</v>
      </c>
      <c r="I1970">
        <v>11718</v>
      </c>
      <c r="J1970" t="s">
        <v>8062</v>
      </c>
      <c r="K1970" t="s">
        <v>8063</v>
      </c>
      <c r="L1970" t="s">
        <v>386</v>
      </c>
      <c r="M1970" t="s">
        <v>1193</v>
      </c>
      <c r="N1970">
        <v>11718</v>
      </c>
      <c r="O1970">
        <v>0</v>
      </c>
      <c r="Q1970" t="s">
        <v>8064</v>
      </c>
      <c r="R1970" t="s">
        <v>398</v>
      </c>
      <c r="T1970">
        <v>220</v>
      </c>
      <c r="V1970" t="s">
        <v>1194</v>
      </c>
      <c r="W1970" t="s">
        <v>1194</v>
      </c>
      <c r="X1970">
        <v>220</v>
      </c>
      <c r="Z1970" t="s">
        <v>871</v>
      </c>
      <c r="AA1970" t="s">
        <v>387</v>
      </c>
      <c r="AB1970">
        <v>0</v>
      </c>
      <c r="AC1970">
        <v>2731</v>
      </c>
      <c r="AD1970" t="s">
        <v>7996</v>
      </c>
      <c r="AE1970">
        <v>18</v>
      </c>
      <c r="AF1970" t="s">
        <v>1259</v>
      </c>
      <c r="AG1970" t="s">
        <v>1244</v>
      </c>
    </row>
    <row r="1971" spans="1:34" x14ac:dyDescent="0.25">
      <c r="A1971">
        <v>1160</v>
      </c>
      <c r="C1971" s="185"/>
      <c r="D1971" t="s">
        <v>24</v>
      </c>
      <c r="E1971" t="s">
        <v>386</v>
      </c>
      <c r="F1971" t="s">
        <v>8065</v>
      </c>
      <c r="G1971" t="s">
        <v>1197</v>
      </c>
      <c r="I1971">
        <v>1305</v>
      </c>
      <c r="J1971" t="s">
        <v>8065</v>
      </c>
      <c r="K1971" t="s">
        <v>8066</v>
      </c>
      <c r="L1971" t="s">
        <v>386</v>
      </c>
      <c r="M1971" t="s">
        <v>1193</v>
      </c>
      <c r="N1971">
        <v>1305</v>
      </c>
      <c r="O1971">
        <v>10</v>
      </c>
      <c r="Q1971" t="s">
        <v>8067</v>
      </c>
      <c r="R1971" t="s">
        <v>398</v>
      </c>
      <c r="T1971">
        <v>24</v>
      </c>
      <c r="V1971" t="s">
        <v>5186</v>
      </c>
      <c r="Z1971" t="s">
        <v>8068</v>
      </c>
      <c r="AA1971" t="s">
        <v>387</v>
      </c>
      <c r="AB1971">
        <v>6000</v>
      </c>
      <c r="AC1971">
        <v>1021</v>
      </c>
      <c r="AD1971" t="s">
        <v>8069</v>
      </c>
      <c r="AE1971">
        <v>479</v>
      </c>
      <c r="AF1971" t="s">
        <v>8070</v>
      </c>
      <c r="AG1971" t="s">
        <v>1931</v>
      </c>
      <c r="AH1971" t="s">
        <v>8071</v>
      </c>
    </row>
    <row r="1972" spans="1:34" x14ac:dyDescent="0.25">
      <c r="A1972">
        <v>90</v>
      </c>
      <c r="C1972" s="185"/>
      <c r="E1972" t="s">
        <v>386</v>
      </c>
      <c r="F1972" t="s">
        <v>8072</v>
      </c>
      <c r="G1972" t="s">
        <v>1197</v>
      </c>
      <c r="H1972" t="s">
        <v>8073</v>
      </c>
      <c r="I1972">
        <v>4661</v>
      </c>
      <c r="J1972" t="s">
        <v>8072</v>
      </c>
      <c r="K1972" t="s">
        <v>8072</v>
      </c>
      <c r="L1972" t="s">
        <v>386</v>
      </c>
      <c r="M1972" t="s">
        <v>1193</v>
      </c>
      <c r="N1972">
        <v>4661</v>
      </c>
      <c r="O1972">
        <v>0</v>
      </c>
      <c r="Q1972" t="s">
        <v>8074</v>
      </c>
      <c r="T1972">
        <v>427</v>
      </c>
      <c r="V1972" t="s">
        <v>5630</v>
      </c>
      <c r="W1972" t="s">
        <v>1257</v>
      </c>
      <c r="X1972">
        <v>426</v>
      </c>
      <c r="Z1972" t="s">
        <v>8075</v>
      </c>
      <c r="AA1972" t="s">
        <v>387</v>
      </c>
      <c r="AB1972">
        <v>0</v>
      </c>
      <c r="AC1972">
        <v>2384</v>
      </c>
      <c r="AD1972" t="s">
        <v>8076</v>
      </c>
      <c r="AE1972">
        <v>0</v>
      </c>
      <c r="AF1972" t="s">
        <v>1188</v>
      </c>
      <c r="AG1972" t="s">
        <v>1244</v>
      </c>
      <c r="AH1972" t="s">
        <v>8077</v>
      </c>
    </row>
    <row r="1973" spans="1:34" x14ac:dyDescent="0.25">
      <c r="A1973">
        <v>11</v>
      </c>
      <c r="C1973" s="185"/>
      <c r="E1973" t="s">
        <v>386</v>
      </c>
      <c r="F1973" t="s">
        <v>8078</v>
      </c>
      <c r="G1973" t="s">
        <v>1197</v>
      </c>
      <c r="H1973" t="s">
        <v>8079</v>
      </c>
      <c r="I1973">
        <v>5407</v>
      </c>
      <c r="J1973" t="s">
        <v>8078</v>
      </c>
      <c r="K1973" t="s">
        <v>8078</v>
      </c>
      <c r="L1973" t="s">
        <v>386</v>
      </c>
      <c r="M1973" t="s">
        <v>1193</v>
      </c>
      <c r="N1973">
        <v>5407</v>
      </c>
      <c r="O1973">
        <v>0</v>
      </c>
      <c r="Q1973" t="s">
        <v>8080</v>
      </c>
      <c r="T1973">
        <v>103</v>
      </c>
      <c r="V1973" t="s">
        <v>1530</v>
      </c>
      <c r="Z1973" t="s">
        <v>871</v>
      </c>
      <c r="AA1973" t="s">
        <v>387</v>
      </c>
      <c r="AB1973">
        <v>0</v>
      </c>
      <c r="AC1973">
        <v>2587</v>
      </c>
      <c r="AD1973" t="s">
        <v>8081</v>
      </c>
      <c r="AE1973">
        <v>1243</v>
      </c>
      <c r="AF1973" t="s">
        <v>8082</v>
      </c>
      <c r="AG1973" t="s">
        <v>3084</v>
      </c>
    </row>
    <row r="1974" spans="1:34" x14ac:dyDescent="0.25">
      <c r="A1974">
        <v>11</v>
      </c>
      <c r="C1974" s="185"/>
      <c r="D1974" t="s">
        <v>24</v>
      </c>
      <c r="E1974" t="s">
        <v>386</v>
      </c>
      <c r="F1974" t="s">
        <v>8083</v>
      </c>
      <c r="G1974" t="s">
        <v>1197</v>
      </c>
      <c r="H1974" t="s">
        <v>8002</v>
      </c>
      <c r="I1974">
        <v>209</v>
      </c>
      <c r="J1974" t="s">
        <v>8083</v>
      </c>
      <c r="K1974" t="s">
        <v>7957</v>
      </c>
      <c r="L1974" t="s">
        <v>386</v>
      </c>
      <c r="M1974" t="s">
        <v>1193</v>
      </c>
      <c r="N1974">
        <v>209</v>
      </c>
      <c r="O1974">
        <v>10</v>
      </c>
      <c r="Q1974" t="s">
        <v>8084</v>
      </c>
      <c r="R1974" t="s">
        <v>398</v>
      </c>
      <c r="T1974">
        <v>0</v>
      </c>
      <c r="V1974" t="s">
        <v>1186</v>
      </c>
      <c r="Z1974" t="s">
        <v>871</v>
      </c>
      <c r="AA1974" t="s">
        <v>387</v>
      </c>
      <c r="AB1974">
        <v>6000</v>
      </c>
      <c r="AC1974">
        <v>315</v>
      </c>
      <c r="AD1974" t="s">
        <v>8085</v>
      </c>
      <c r="AE1974">
        <v>3</v>
      </c>
      <c r="AF1974" t="s">
        <v>1235</v>
      </c>
      <c r="AG1974" t="s">
        <v>1931</v>
      </c>
      <c r="AH1974" t="s">
        <v>8086</v>
      </c>
    </row>
    <row r="1975" spans="1:34" x14ac:dyDescent="0.25">
      <c r="A1975">
        <v>11</v>
      </c>
      <c r="B1975" t="s">
        <v>1313</v>
      </c>
      <c r="C1975" s="185"/>
      <c r="D1975" t="s">
        <v>24</v>
      </c>
      <c r="E1975" t="s">
        <v>386</v>
      </c>
      <c r="F1975" t="s">
        <v>449</v>
      </c>
      <c r="G1975" t="s">
        <v>1197</v>
      </c>
      <c r="H1975" t="s">
        <v>8087</v>
      </c>
      <c r="I1975">
        <v>1792</v>
      </c>
      <c r="J1975" t="s">
        <v>697</v>
      </c>
      <c r="K1975" t="s">
        <v>5676</v>
      </c>
      <c r="L1975" t="s">
        <v>386</v>
      </c>
      <c r="M1975" t="s">
        <v>1193</v>
      </c>
      <c r="N1975">
        <v>15710</v>
      </c>
      <c r="O1975">
        <v>35</v>
      </c>
      <c r="Q1975" t="s">
        <v>8088</v>
      </c>
      <c r="R1975" t="s">
        <v>398</v>
      </c>
      <c r="S1975" t="s">
        <v>2293</v>
      </c>
      <c r="T1975">
        <v>220</v>
      </c>
      <c r="U1975">
        <v>0</v>
      </c>
      <c r="V1975" t="s">
        <v>1194</v>
      </c>
      <c r="W1975" t="s">
        <v>5678</v>
      </c>
      <c r="X1975">
        <v>449</v>
      </c>
      <c r="Y1975" t="s">
        <v>1317</v>
      </c>
      <c r="Z1975" t="s">
        <v>871</v>
      </c>
      <c r="AA1975" t="s">
        <v>387</v>
      </c>
      <c r="AB1975">
        <v>27000</v>
      </c>
      <c r="AC1975">
        <v>1338</v>
      </c>
      <c r="AD1975" t="s">
        <v>8089</v>
      </c>
      <c r="AE1975">
        <v>345</v>
      </c>
      <c r="AF1975" t="s">
        <v>8090</v>
      </c>
      <c r="AG1975" t="s">
        <v>1931</v>
      </c>
      <c r="AH1975" t="s">
        <v>7788</v>
      </c>
    </row>
    <row r="1976" spans="1:34" x14ac:dyDescent="0.25">
      <c r="A1976">
        <v>11</v>
      </c>
      <c r="B1976" t="s">
        <v>1313</v>
      </c>
      <c r="C1976" s="185"/>
      <c r="E1976" t="s">
        <v>386</v>
      </c>
      <c r="F1976" t="s">
        <v>8091</v>
      </c>
      <c r="G1976" t="s">
        <v>1197</v>
      </c>
      <c r="H1976" t="s">
        <v>7914</v>
      </c>
      <c r="I1976">
        <v>17412</v>
      </c>
      <c r="J1976" t="s">
        <v>8091</v>
      </c>
      <c r="K1976" t="s">
        <v>5682</v>
      </c>
      <c r="L1976" t="s">
        <v>386</v>
      </c>
      <c r="M1976" t="s">
        <v>1193</v>
      </c>
      <c r="N1976">
        <v>17412</v>
      </c>
      <c r="O1976">
        <v>35</v>
      </c>
      <c r="Q1976" t="s">
        <v>8092</v>
      </c>
      <c r="R1976" t="s">
        <v>398</v>
      </c>
      <c r="S1976" t="s">
        <v>2293</v>
      </c>
      <c r="T1976">
        <v>52</v>
      </c>
      <c r="U1976">
        <v>0</v>
      </c>
      <c r="V1976" t="s">
        <v>2024</v>
      </c>
      <c r="W1976" t="s">
        <v>1194</v>
      </c>
      <c r="X1976">
        <v>220</v>
      </c>
      <c r="Y1976" t="s">
        <v>1317</v>
      </c>
      <c r="Z1976" t="s">
        <v>871</v>
      </c>
      <c r="AA1976" t="s">
        <v>387</v>
      </c>
      <c r="AB1976">
        <v>27000</v>
      </c>
      <c r="AC1976">
        <v>6537</v>
      </c>
      <c r="AD1976" t="s">
        <v>8093</v>
      </c>
      <c r="AE1976">
        <v>18</v>
      </c>
      <c r="AF1976" t="s">
        <v>1259</v>
      </c>
      <c r="AG1976" t="s">
        <v>1244</v>
      </c>
      <c r="AH1976" t="s">
        <v>8094</v>
      </c>
    </row>
    <row r="1977" spans="1:34" x14ac:dyDescent="0.25">
      <c r="A1977">
        <v>35</v>
      </c>
      <c r="C1977" s="185"/>
      <c r="E1977" t="s">
        <v>386</v>
      </c>
      <c r="F1977" t="s">
        <v>8095</v>
      </c>
      <c r="G1977" t="s">
        <v>4184</v>
      </c>
      <c r="H1977" t="s">
        <v>7966</v>
      </c>
      <c r="I1977">
        <v>16331</v>
      </c>
      <c r="J1977" t="s">
        <v>8095</v>
      </c>
      <c r="K1977" t="s">
        <v>8096</v>
      </c>
      <c r="L1977" t="s">
        <v>386</v>
      </c>
      <c r="M1977" t="s">
        <v>1193</v>
      </c>
      <c r="N1977">
        <v>16331</v>
      </c>
      <c r="O1977">
        <v>0</v>
      </c>
      <c r="Q1977" t="s">
        <v>8097</v>
      </c>
      <c r="R1977" t="s">
        <v>398</v>
      </c>
      <c r="T1977">
        <v>396</v>
      </c>
      <c r="V1977" t="s">
        <v>2186</v>
      </c>
      <c r="W1977" t="s">
        <v>1215</v>
      </c>
      <c r="X1977">
        <v>259</v>
      </c>
      <c r="Z1977" t="s">
        <v>890</v>
      </c>
      <c r="AA1977" t="s">
        <v>387</v>
      </c>
      <c r="AB1977">
        <v>0</v>
      </c>
      <c r="AC1977">
        <v>6121</v>
      </c>
      <c r="AD1977" t="s">
        <v>8098</v>
      </c>
      <c r="AE1977">
        <v>18</v>
      </c>
      <c r="AF1977" t="s">
        <v>1259</v>
      </c>
      <c r="AG1977" t="s">
        <v>2044</v>
      </c>
    </row>
    <row r="1978" spans="1:34" x14ac:dyDescent="0.25">
      <c r="A1978">
        <v>11</v>
      </c>
      <c r="B1978" t="s">
        <v>1313</v>
      </c>
      <c r="C1978" s="185"/>
      <c r="D1978" t="s">
        <v>24</v>
      </c>
      <c r="E1978" t="s">
        <v>386</v>
      </c>
      <c r="F1978" t="s">
        <v>8099</v>
      </c>
      <c r="G1978" t="s">
        <v>1197</v>
      </c>
      <c r="H1978" t="s">
        <v>8100</v>
      </c>
      <c r="I1978">
        <v>871</v>
      </c>
      <c r="J1978" t="s">
        <v>8099</v>
      </c>
      <c r="K1978" t="s">
        <v>8099</v>
      </c>
      <c r="L1978" t="s">
        <v>386</v>
      </c>
      <c r="M1978" t="s">
        <v>1193</v>
      </c>
      <c r="N1978">
        <v>871</v>
      </c>
      <c r="O1978">
        <v>10</v>
      </c>
      <c r="Q1978" t="s">
        <v>8101</v>
      </c>
      <c r="R1978" t="s">
        <v>398</v>
      </c>
      <c r="S1978" t="s">
        <v>1315</v>
      </c>
      <c r="T1978">
        <v>0</v>
      </c>
      <c r="U1978">
        <v>0</v>
      </c>
      <c r="V1978" t="s">
        <v>1186</v>
      </c>
      <c r="Y1978" t="s">
        <v>1317</v>
      </c>
      <c r="Z1978" t="s">
        <v>871</v>
      </c>
      <c r="AA1978" t="s">
        <v>387</v>
      </c>
      <c r="AB1978">
        <v>6000</v>
      </c>
      <c r="AC1978">
        <v>1778</v>
      </c>
      <c r="AD1978" t="s">
        <v>8102</v>
      </c>
      <c r="AE1978">
        <v>3</v>
      </c>
      <c r="AF1978" t="s">
        <v>1235</v>
      </c>
      <c r="AG1978" t="s">
        <v>8103</v>
      </c>
      <c r="AH1978" t="s">
        <v>8104</v>
      </c>
    </row>
    <row r="1979" spans="1:34" x14ac:dyDescent="0.25">
      <c r="A1979">
        <v>11</v>
      </c>
      <c r="B1979" t="s">
        <v>1313</v>
      </c>
      <c r="C1979" s="185"/>
      <c r="D1979" t="s">
        <v>24</v>
      </c>
      <c r="E1979" t="s">
        <v>386</v>
      </c>
      <c r="F1979" t="s">
        <v>339</v>
      </c>
      <c r="G1979" t="s">
        <v>1197</v>
      </c>
      <c r="H1979" t="s">
        <v>8105</v>
      </c>
      <c r="I1979">
        <v>668</v>
      </c>
      <c r="J1979" t="s">
        <v>339</v>
      </c>
      <c r="K1979" t="s">
        <v>8106</v>
      </c>
      <c r="L1979" t="s">
        <v>386</v>
      </c>
      <c r="M1979" t="s">
        <v>1193</v>
      </c>
      <c r="N1979">
        <v>668</v>
      </c>
      <c r="O1979">
        <v>35</v>
      </c>
      <c r="Q1979" t="s">
        <v>8107</v>
      </c>
      <c r="R1979" t="s">
        <v>398</v>
      </c>
      <c r="S1979" t="s">
        <v>1909</v>
      </c>
      <c r="T1979">
        <v>260</v>
      </c>
      <c r="U1979">
        <v>0</v>
      </c>
      <c r="V1979" t="s">
        <v>1216</v>
      </c>
      <c r="W1979" t="s">
        <v>2073</v>
      </c>
      <c r="X1979">
        <v>372</v>
      </c>
      <c r="Y1979" t="s">
        <v>1317</v>
      </c>
      <c r="Z1979" t="s">
        <v>871</v>
      </c>
      <c r="AA1979" t="s">
        <v>387</v>
      </c>
      <c r="AB1979">
        <v>27000</v>
      </c>
      <c r="AC1979">
        <v>617</v>
      </c>
      <c r="AD1979" t="s">
        <v>8108</v>
      </c>
      <c r="AE1979">
        <v>18</v>
      </c>
      <c r="AF1979" t="s">
        <v>1259</v>
      </c>
      <c r="AG1979" t="s">
        <v>1244</v>
      </c>
      <c r="AH1979" t="s">
        <v>8109</v>
      </c>
    </row>
    <row r="1980" spans="1:34" x14ac:dyDescent="0.25">
      <c r="A1980">
        <v>11</v>
      </c>
      <c r="C1980" s="185"/>
      <c r="D1980" t="s">
        <v>24</v>
      </c>
      <c r="E1980" t="s">
        <v>386</v>
      </c>
      <c r="F1980" t="s">
        <v>144</v>
      </c>
      <c r="G1980" t="s">
        <v>1197</v>
      </c>
      <c r="H1980" t="s">
        <v>8110</v>
      </c>
      <c r="I1980">
        <v>617</v>
      </c>
      <c r="J1980" t="s">
        <v>144</v>
      </c>
      <c r="K1980" t="s">
        <v>8111</v>
      </c>
      <c r="L1980" t="s">
        <v>386</v>
      </c>
      <c r="M1980" t="s">
        <v>1193</v>
      </c>
      <c r="N1980">
        <v>617</v>
      </c>
      <c r="O1980">
        <v>10</v>
      </c>
      <c r="Q1980" t="s">
        <v>8112</v>
      </c>
      <c r="R1980" t="s">
        <v>398</v>
      </c>
      <c r="T1980">
        <v>88</v>
      </c>
      <c r="V1980" t="s">
        <v>2774</v>
      </c>
      <c r="Z1980" t="s">
        <v>871</v>
      </c>
      <c r="AA1980" t="s">
        <v>387</v>
      </c>
      <c r="AB1980">
        <v>6000</v>
      </c>
      <c r="AC1980">
        <v>573</v>
      </c>
      <c r="AD1980" t="s">
        <v>8113</v>
      </c>
      <c r="AE1980">
        <v>262</v>
      </c>
      <c r="AF1980" t="s">
        <v>8114</v>
      </c>
      <c r="AG1980" t="s">
        <v>8115</v>
      </c>
    </row>
    <row r="1981" spans="1:34" x14ac:dyDescent="0.25">
      <c r="A1981">
        <v>1</v>
      </c>
      <c r="B1981" t="s">
        <v>1313</v>
      </c>
      <c r="C1981" s="185"/>
      <c r="E1981" t="s">
        <v>386</v>
      </c>
      <c r="F1981" t="s">
        <v>3190</v>
      </c>
      <c r="G1981" t="s">
        <v>1192</v>
      </c>
      <c r="H1981" t="s">
        <v>8116</v>
      </c>
      <c r="I1981">
        <v>5664</v>
      </c>
      <c r="J1981" t="s">
        <v>630</v>
      </c>
      <c r="K1981" t="s">
        <v>630</v>
      </c>
      <c r="L1981" t="s">
        <v>386</v>
      </c>
      <c r="M1981" t="s">
        <v>1184</v>
      </c>
      <c r="N1981">
        <v>11388</v>
      </c>
      <c r="O1981">
        <v>0</v>
      </c>
      <c r="Q1981" t="s">
        <v>8117</v>
      </c>
      <c r="R1981" t="s">
        <v>1208</v>
      </c>
      <c r="S1981" t="s">
        <v>1315</v>
      </c>
      <c r="T1981">
        <v>122</v>
      </c>
      <c r="U1981">
        <v>0</v>
      </c>
      <c r="V1981" t="s">
        <v>1988</v>
      </c>
      <c r="W1981" t="s">
        <v>1216</v>
      </c>
      <c r="X1981">
        <v>260</v>
      </c>
      <c r="Y1981" t="s">
        <v>1317</v>
      </c>
      <c r="Z1981" t="s">
        <v>865</v>
      </c>
      <c r="AA1981" t="s">
        <v>387</v>
      </c>
      <c r="AB1981">
        <v>0</v>
      </c>
      <c r="AC1981">
        <v>6449</v>
      </c>
      <c r="AD1981" t="s">
        <v>8118</v>
      </c>
      <c r="AE1981">
        <v>1578</v>
      </c>
      <c r="AF1981" t="s">
        <v>8119</v>
      </c>
      <c r="AG1981" t="s">
        <v>6307</v>
      </c>
    </row>
    <row r="1982" spans="1:34" x14ac:dyDescent="0.25">
      <c r="A1982">
        <v>66</v>
      </c>
      <c r="C1982" s="185"/>
      <c r="E1982" t="s">
        <v>386</v>
      </c>
      <c r="F1982" t="s">
        <v>8120</v>
      </c>
      <c r="G1982" t="s">
        <v>1197</v>
      </c>
      <c r="H1982" t="s">
        <v>8121</v>
      </c>
      <c r="I1982">
        <v>16847</v>
      </c>
      <c r="J1982" t="s">
        <v>8120</v>
      </c>
      <c r="K1982" t="s">
        <v>8122</v>
      </c>
      <c r="L1982" t="s">
        <v>386</v>
      </c>
      <c r="M1982" t="s">
        <v>1193</v>
      </c>
      <c r="N1982">
        <v>16847</v>
      </c>
      <c r="O1982">
        <v>0</v>
      </c>
      <c r="Q1982" t="s">
        <v>8123</v>
      </c>
      <c r="T1982">
        <v>496</v>
      </c>
      <c r="V1982" t="s">
        <v>2246</v>
      </c>
      <c r="W1982" t="s">
        <v>2246</v>
      </c>
      <c r="X1982">
        <v>496</v>
      </c>
      <c r="Z1982" t="s">
        <v>7670</v>
      </c>
      <c r="AA1982" t="s">
        <v>387</v>
      </c>
      <c r="AB1982">
        <v>0</v>
      </c>
      <c r="AC1982">
        <v>6268</v>
      </c>
      <c r="AD1982" t="s">
        <v>8124</v>
      </c>
      <c r="AE1982">
        <v>2872</v>
      </c>
      <c r="AF1982" t="s">
        <v>8125</v>
      </c>
      <c r="AG1982" t="s">
        <v>7366</v>
      </c>
      <c r="AH1982" t="s">
        <v>8126</v>
      </c>
    </row>
    <row r="1983" spans="1:34" x14ac:dyDescent="0.25">
      <c r="A1983">
        <v>11</v>
      </c>
      <c r="B1983" t="s">
        <v>1313</v>
      </c>
      <c r="C1983" s="185"/>
      <c r="D1983" t="s">
        <v>24</v>
      </c>
      <c r="E1983" t="s">
        <v>386</v>
      </c>
      <c r="F1983" t="s">
        <v>8127</v>
      </c>
      <c r="G1983" t="s">
        <v>1197</v>
      </c>
      <c r="H1983" t="s">
        <v>7914</v>
      </c>
      <c r="I1983">
        <v>1879</v>
      </c>
      <c r="J1983" t="s">
        <v>8127</v>
      </c>
      <c r="K1983" t="s">
        <v>8128</v>
      </c>
      <c r="L1983" t="s">
        <v>386</v>
      </c>
      <c r="M1983" t="s">
        <v>1193</v>
      </c>
      <c r="N1983">
        <v>1879</v>
      </c>
      <c r="O1983">
        <v>35</v>
      </c>
      <c r="Q1983" t="s">
        <v>8129</v>
      </c>
      <c r="R1983" t="s">
        <v>398</v>
      </c>
      <c r="S1983" t="s">
        <v>1909</v>
      </c>
      <c r="T1983">
        <v>220</v>
      </c>
      <c r="U1983">
        <v>0</v>
      </c>
      <c r="V1983" t="s">
        <v>1194</v>
      </c>
      <c r="Y1983" t="s">
        <v>1317</v>
      </c>
      <c r="Z1983" t="s">
        <v>871</v>
      </c>
      <c r="AA1983" t="s">
        <v>387</v>
      </c>
      <c r="AB1983">
        <v>27000</v>
      </c>
      <c r="AC1983">
        <v>1397</v>
      </c>
      <c r="AD1983" t="s">
        <v>8130</v>
      </c>
      <c r="AE1983">
        <v>18</v>
      </c>
      <c r="AF1983" t="s">
        <v>1259</v>
      </c>
      <c r="AG1983" t="s">
        <v>1244</v>
      </c>
      <c r="AH1983" t="s">
        <v>8131</v>
      </c>
    </row>
    <row r="1984" spans="1:34" x14ac:dyDescent="0.25">
      <c r="A1984">
        <v>35</v>
      </c>
      <c r="C1984" s="185"/>
      <c r="E1984" t="s">
        <v>386</v>
      </c>
      <c r="F1984" t="s">
        <v>8132</v>
      </c>
      <c r="G1984" t="s">
        <v>1197</v>
      </c>
      <c r="H1984" t="s">
        <v>8133</v>
      </c>
      <c r="I1984">
        <v>16608</v>
      </c>
      <c r="J1984" t="s">
        <v>8132</v>
      </c>
      <c r="K1984" t="s">
        <v>8134</v>
      </c>
      <c r="L1984" t="s">
        <v>386</v>
      </c>
      <c r="M1984" t="s">
        <v>1193</v>
      </c>
      <c r="N1984">
        <v>16608</v>
      </c>
      <c r="O1984">
        <v>0</v>
      </c>
      <c r="Q1984" t="s">
        <v>8135</v>
      </c>
      <c r="T1984">
        <v>52</v>
      </c>
      <c r="V1984" t="s">
        <v>2024</v>
      </c>
      <c r="W1984" t="s">
        <v>2246</v>
      </c>
      <c r="X1984">
        <v>496</v>
      </c>
      <c r="Z1984" t="s">
        <v>890</v>
      </c>
      <c r="AA1984" t="s">
        <v>387</v>
      </c>
      <c r="AB1984">
        <v>0</v>
      </c>
      <c r="AC1984">
        <v>356</v>
      </c>
      <c r="AD1984" t="s">
        <v>3603</v>
      </c>
      <c r="AE1984">
        <v>2679</v>
      </c>
      <c r="AF1984" t="s">
        <v>8136</v>
      </c>
      <c r="AG1984" t="s">
        <v>2044</v>
      </c>
      <c r="AH1984" t="s">
        <v>8137</v>
      </c>
    </row>
    <row r="1985" spans="1:34" x14ac:dyDescent="0.25">
      <c r="A1985">
        <v>1333</v>
      </c>
      <c r="C1985" s="185"/>
      <c r="E1985" t="s">
        <v>386</v>
      </c>
      <c r="F1985" t="s">
        <v>8138</v>
      </c>
      <c r="G1985" t="s">
        <v>1197</v>
      </c>
      <c r="H1985" t="s">
        <v>8139</v>
      </c>
      <c r="I1985">
        <v>2814</v>
      </c>
      <c r="J1985" t="s">
        <v>8138</v>
      </c>
      <c r="K1985" t="s">
        <v>8140</v>
      </c>
      <c r="L1985" t="s">
        <v>386</v>
      </c>
      <c r="M1985" t="s">
        <v>1193</v>
      </c>
      <c r="N1985">
        <v>2814</v>
      </c>
      <c r="O1985">
        <v>35</v>
      </c>
      <c r="Q1985" t="s">
        <v>8141</v>
      </c>
      <c r="R1985" t="s">
        <v>398</v>
      </c>
      <c r="T1985">
        <v>220</v>
      </c>
      <c r="V1985" t="s">
        <v>1194</v>
      </c>
      <c r="W1985" t="s">
        <v>1186</v>
      </c>
      <c r="X1985">
        <v>0</v>
      </c>
      <c r="Z1985" t="s">
        <v>886</v>
      </c>
      <c r="AA1985" t="s">
        <v>387</v>
      </c>
      <c r="AB1985">
        <v>27000</v>
      </c>
      <c r="AC1985">
        <v>1894</v>
      </c>
      <c r="AD1985" t="s">
        <v>8142</v>
      </c>
      <c r="AE1985">
        <v>926</v>
      </c>
      <c r="AF1985" t="s">
        <v>8143</v>
      </c>
      <c r="AG1985" t="s">
        <v>8144</v>
      </c>
      <c r="AH1985" t="s">
        <v>8145</v>
      </c>
    </row>
    <row r="1986" spans="1:34" x14ac:dyDescent="0.25">
      <c r="A1986">
        <v>1357</v>
      </c>
      <c r="C1986" s="185"/>
      <c r="D1986" t="s">
        <v>157</v>
      </c>
      <c r="E1986" t="s">
        <v>386</v>
      </c>
      <c r="F1986" t="s">
        <v>389</v>
      </c>
      <c r="G1986" t="s">
        <v>1197</v>
      </c>
      <c r="H1986" t="s">
        <v>8146</v>
      </c>
      <c r="I1986">
        <v>10646</v>
      </c>
      <c r="J1986" t="s">
        <v>389</v>
      </c>
      <c r="K1986" t="s">
        <v>8147</v>
      </c>
      <c r="L1986" t="s">
        <v>386</v>
      </c>
      <c r="M1986" t="s">
        <v>1193</v>
      </c>
      <c r="N1986">
        <v>10646</v>
      </c>
      <c r="O1986">
        <v>25</v>
      </c>
      <c r="Q1986" t="s">
        <v>8148</v>
      </c>
      <c r="T1986">
        <v>280</v>
      </c>
      <c r="V1986" t="s">
        <v>3202</v>
      </c>
      <c r="Z1986" t="s">
        <v>8149</v>
      </c>
      <c r="AA1986" t="s">
        <v>386</v>
      </c>
      <c r="AB1986">
        <v>19000</v>
      </c>
      <c r="AC1986">
        <v>1097</v>
      </c>
      <c r="AD1986" t="s">
        <v>8150</v>
      </c>
      <c r="AE1986">
        <v>373</v>
      </c>
      <c r="AF1986" t="s">
        <v>8151</v>
      </c>
      <c r="AG1986" t="s">
        <v>2044</v>
      </c>
      <c r="AH1986" t="s">
        <v>8152</v>
      </c>
    </row>
    <row r="1987" spans="1:34" x14ac:dyDescent="0.25">
      <c r="A1987">
        <v>2038</v>
      </c>
      <c r="B1987" t="s">
        <v>1313</v>
      </c>
      <c r="C1987" s="185"/>
      <c r="D1987" t="s">
        <v>24</v>
      </c>
      <c r="E1987" t="s">
        <v>386</v>
      </c>
      <c r="F1987" t="s">
        <v>8153</v>
      </c>
      <c r="G1987" t="s">
        <v>1197</v>
      </c>
      <c r="H1987" t="s">
        <v>8154</v>
      </c>
      <c r="I1987">
        <v>13044</v>
      </c>
      <c r="J1987" t="s">
        <v>8153</v>
      </c>
      <c r="K1987" t="s">
        <v>8155</v>
      </c>
      <c r="L1987" t="s">
        <v>386</v>
      </c>
      <c r="M1987" t="s">
        <v>1193</v>
      </c>
      <c r="N1987">
        <v>13044</v>
      </c>
      <c r="O1987">
        <v>35</v>
      </c>
      <c r="Q1987" t="s">
        <v>8156</v>
      </c>
      <c r="R1987" t="s">
        <v>398</v>
      </c>
      <c r="S1987" t="s">
        <v>1909</v>
      </c>
      <c r="T1987">
        <v>272</v>
      </c>
      <c r="U1987">
        <v>0</v>
      </c>
      <c r="V1987" t="s">
        <v>2107</v>
      </c>
      <c r="W1987" t="s">
        <v>2073</v>
      </c>
      <c r="X1987">
        <v>372</v>
      </c>
      <c r="Y1987" t="s">
        <v>1317</v>
      </c>
      <c r="Z1987" t="s">
        <v>8157</v>
      </c>
      <c r="AA1987" t="s">
        <v>387</v>
      </c>
      <c r="AB1987">
        <v>27000</v>
      </c>
      <c r="AC1987">
        <v>4872</v>
      </c>
      <c r="AD1987" t="s">
        <v>8158</v>
      </c>
      <c r="AE1987">
        <v>18</v>
      </c>
      <c r="AF1987" t="s">
        <v>1259</v>
      </c>
      <c r="AG1987" t="s">
        <v>1244</v>
      </c>
      <c r="AH1987" t="s">
        <v>8159</v>
      </c>
    </row>
    <row r="1988" spans="1:34" x14ac:dyDescent="0.25">
      <c r="A1988">
        <v>11</v>
      </c>
      <c r="B1988" t="s">
        <v>1313</v>
      </c>
      <c r="C1988" s="185"/>
      <c r="D1988" t="s">
        <v>24</v>
      </c>
      <c r="E1988" t="s">
        <v>386</v>
      </c>
      <c r="F1988" t="s">
        <v>431</v>
      </c>
      <c r="G1988" t="s">
        <v>1197</v>
      </c>
      <c r="H1988" t="s">
        <v>8100</v>
      </c>
      <c r="I1988">
        <v>7443</v>
      </c>
      <c r="J1988" t="s">
        <v>696</v>
      </c>
      <c r="K1988" t="s">
        <v>7785</v>
      </c>
      <c r="L1988" t="s">
        <v>386</v>
      </c>
      <c r="M1988" t="s">
        <v>1193</v>
      </c>
      <c r="N1988">
        <v>15336</v>
      </c>
      <c r="O1988">
        <v>35</v>
      </c>
      <c r="Q1988" t="s">
        <v>8160</v>
      </c>
      <c r="R1988" t="s">
        <v>398</v>
      </c>
      <c r="S1988" t="s">
        <v>2293</v>
      </c>
      <c r="T1988">
        <v>220</v>
      </c>
      <c r="U1988">
        <v>0</v>
      </c>
      <c r="V1988" t="s">
        <v>1194</v>
      </c>
      <c r="W1988" t="s">
        <v>1199</v>
      </c>
      <c r="X1988">
        <v>200</v>
      </c>
      <c r="Y1988" t="s">
        <v>1317</v>
      </c>
      <c r="Z1988" t="s">
        <v>871</v>
      </c>
      <c r="AA1988" t="s">
        <v>387</v>
      </c>
      <c r="AB1988">
        <v>27000</v>
      </c>
      <c r="AC1988">
        <v>1893</v>
      </c>
      <c r="AD1988" t="s">
        <v>7910</v>
      </c>
      <c r="AE1988">
        <v>3</v>
      </c>
      <c r="AF1988" t="s">
        <v>1235</v>
      </c>
      <c r="AG1988" t="s">
        <v>1244</v>
      </c>
      <c r="AH1988" t="s">
        <v>7788</v>
      </c>
    </row>
    <row r="1989" spans="1:34" x14ac:dyDescent="0.25">
      <c r="A1989">
        <v>1726</v>
      </c>
      <c r="B1989" t="s">
        <v>1313</v>
      </c>
      <c r="C1989" s="185"/>
      <c r="D1989" t="s">
        <v>24</v>
      </c>
      <c r="E1989" t="s">
        <v>386</v>
      </c>
      <c r="F1989" t="s">
        <v>8161</v>
      </c>
      <c r="G1989" t="s">
        <v>1197</v>
      </c>
      <c r="H1989" t="s">
        <v>8162</v>
      </c>
      <c r="I1989">
        <v>1517</v>
      </c>
      <c r="J1989" t="s">
        <v>8161</v>
      </c>
      <c r="K1989" t="s">
        <v>8163</v>
      </c>
      <c r="L1989" t="s">
        <v>386</v>
      </c>
      <c r="M1989" t="s">
        <v>1193</v>
      </c>
      <c r="N1989">
        <v>1517</v>
      </c>
      <c r="O1989">
        <v>35</v>
      </c>
      <c r="Q1989" t="s">
        <v>8164</v>
      </c>
      <c r="R1989" t="s">
        <v>398</v>
      </c>
      <c r="S1989" t="s">
        <v>1909</v>
      </c>
      <c r="T1989">
        <v>220</v>
      </c>
      <c r="U1989">
        <v>0</v>
      </c>
      <c r="V1989" t="s">
        <v>1194</v>
      </c>
      <c r="Y1989" t="s">
        <v>1317</v>
      </c>
      <c r="Z1989" t="s">
        <v>8165</v>
      </c>
      <c r="AA1989" t="s">
        <v>387</v>
      </c>
      <c r="AB1989">
        <v>27000</v>
      </c>
      <c r="AC1989">
        <v>2770</v>
      </c>
      <c r="AD1989" t="s">
        <v>8166</v>
      </c>
      <c r="AE1989">
        <v>18</v>
      </c>
      <c r="AF1989" t="s">
        <v>1259</v>
      </c>
      <c r="AG1989" t="s">
        <v>1244</v>
      </c>
    </row>
    <row r="1990" spans="1:34" x14ac:dyDescent="0.25">
      <c r="A1990">
        <v>1246</v>
      </c>
      <c r="B1990" t="s">
        <v>1313</v>
      </c>
      <c r="C1990" s="185"/>
      <c r="D1990" t="s">
        <v>24</v>
      </c>
      <c r="E1990" t="s">
        <v>386</v>
      </c>
      <c r="F1990" t="s">
        <v>450</v>
      </c>
      <c r="G1990" t="s">
        <v>1197</v>
      </c>
      <c r="H1990" t="s">
        <v>4477</v>
      </c>
      <c r="I1990">
        <v>6566</v>
      </c>
      <c r="J1990" t="s">
        <v>8167</v>
      </c>
      <c r="K1990" t="s">
        <v>6366</v>
      </c>
      <c r="L1990" t="s">
        <v>386</v>
      </c>
      <c r="M1990" t="s">
        <v>1193</v>
      </c>
      <c r="N1990">
        <v>15720</v>
      </c>
      <c r="O1990">
        <v>65</v>
      </c>
      <c r="Q1990" t="s">
        <v>8168</v>
      </c>
      <c r="R1990" t="s">
        <v>398</v>
      </c>
      <c r="S1990" t="s">
        <v>4594</v>
      </c>
      <c r="T1990">
        <v>220</v>
      </c>
      <c r="U1990">
        <v>0</v>
      </c>
      <c r="V1990" t="s">
        <v>1194</v>
      </c>
      <c r="W1990" t="s">
        <v>1199</v>
      </c>
      <c r="X1990">
        <v>200</v>
      </c>
      <c r="Y1990" t="s">
        <v>1317</v>
      </c>
      <c r="Z1990" t="s">
        <v>961</v>
      </c>
      <c r="AA1990" t="s">
        <v>387</v>
      </c>
      <c r="AB1990">
        <v>57000</v>
      </c>
      <c r="AC1990">
        <v>969</v>
      </c>
      <c r="AD1990" t="s">
        <v>8169</v>
      </c>
      <c r="AE1990">
        <v>1389</v>
      </c>
      <c r="AF1990" t="s">
        <v>8170</v>
      </c>
      <c r="AG1990" t="s">
        <v>3051</v>
      </c>
      <c r="AH1990" t="s">
        <v>8171</v>
      </c>
    </row>
    <row r="1991" spans="1:34" x14ac:dyDescent="0.25">
      <c r="A1991">
        <v>11</v>
      </c>
      <c r="B1991" t="s">
        <v>1313</v>
      </c>
      <c r="C1991" s="185"/>
      <c r="D1991" t="s">
        <v>24</v>
      </c>
      <c r="E1991" t="s">
        <v>386</v>
      </c>
      <c r="F1991" t="s">
        <v>644</v>
      </c>
      <c r="G1991" t="s">
        <v>1197</v>
      </c>
      <c r="H1991" t="s">
        <v>7914</v>
      </c>
      <c r="I1991">
        <v>1998</v>
      </c>
      <c r="J1991" t="s">
        <v>644</v>
      </c>
      <c r="K1991" t="s">
        <v>8172</v>
      </c>
      <c r="L1991" t="s">
        <v>386</v>
      </c>
      <c r="M1991" t="s">
        <v>1193</v>
      </c>
      <c r="N1991">
        <v>1998</v>
      </c>
      <c r="O1991">
        <v>35</v>
      </c>
      <c r="Q1991" t="s">
        <v>8173</v>
      </c>
      <c r="R1991" t="s">
        <v>398</v>
      </c>
      <c r="S1991" t="s">
        <v>1909</v>
      </c>
      <c r="T1991">
        <v>340</v>
      </c>
      <c r="U1991">
        <v>0</v>
      </c>
      <c r="V1991" t="s">
        <v>1200</v>
      </c>
      <c r="W1991" t="s">
        <v>2246</v>
      </c>
      <c r="X1991">
        <v>496</v>
      </c>
      <c r="Y1991" t="s">
        <v>1317</v>
      </c>
      <c r="Z1991" t="s">
        <v>871</v>
      </c>
      <c r="AA1991" t="s">
        <v>387</v>
      </c>
      <c r="AB1991">
        <v>27000</v>
      </c>
      <c r="AC1991">
        <v>2385</v>
      </c>
      <c r="AD1991" t="s">
        <v>4848</v>
      </c>
      <c r="AE1991">
        <v>18</v>
      </c>
      <c r="AF1991" t="s">
        <v>1259</v>
      </c>
      <c r="AG1991" t="s">
        <v>2044</v>
      </c>
      <c r="AH1991" t="s">
        <v>8174</v>
      </c>
    </row>
    <row r="1992" spans="1:34" x14ac:dyDescent="0.25">
      <c r="A1992">
        <v>35</v>
      </c>
      <c r="C1992" s="185"/>
      <c r="E1992" t="s">
        <v>386</v>
      </c>
      <c r="F1992" t="s">
        <v>8175</v>
      </c>
      <c r="G1992" t="s">
        <v>1197</v>
      </c>
      <c r="H1992" t="s">
        <v>8176</v>
      </c>
      <c r="I1992">
        <v>15541</v>
      </c>
      <c r="J1992" t="s">
        <v>8175</v>
      </c>
      <c r="K1992" t="s">
        <v>8177</v>
      </c>
      <c r="L1992" t="s">
        <v>386</v>
      </c>
      <c r="M1992" t="s">
        <v>1193</v>
      </c>
      <c r="N1992">
        <v>15541</v>
      </c>
      <c r="O1992">
        <v>0</v>
      </c>
      <c r="Q1992" t="s">
        <v>8178</v>
      </c>
      <c r="R1992" t="s">
        <v>1208</v>
      </c>
      <c r="T1992">
        <v>560</v>
      </c>
      <c r="V1992" t="s">
        <v>2602</v>
      </c>
      <c r="W1992" t="s">
        <v>1216</v>
      </c>
      <c r="X1992">
        <v>260</v>
      </c>
      <c r="Z1992" t="s">
        <v>890</v>
      </c>
      <c r="AA1992" t="s">
        <v>387</v>
      </c>
      <c r="AB1992">
        <v>0</v>
      </c>
      <c r="AC1992">
        <v>5860</v>
      </c>
      <c r="AD1992" t="s">
        <v>8179</v>
      </c>
      <c r="AE1992">
        <v>2696</v>
      </c>
      <c r="AF1992" t="s">
        <v>8180</v>
      </c>
      <c r="AG1992" t="s">
        <v>2044</v>
      </c>
      <c r="AH1992" t="s">
        <v>8181</v>
      </c>
    </row>
    <row r="1993" spans="1:34" x14ac:dyDescent="0.25">
      <c r="A1993">
        <v>1444</v>
      </c>
      <c r="B1993" t="s">
        <v>1313</v>
      </c>
      <c r="C1993" s="185"/>
      <c r="D1993" t="s">
        <v>24</v>
      </c>
      <c r="E1993" t="s">
        <v>386</v>
      </c>
      <c r="F1993" t="s">
        <v>370</v>
      </c>
      <c r="G1993" t="s">
        <v>1197</v>
      </c>
      <c r="H1993" t="s">
        <v>7946</v>
      </c>
      <c r="I1993">
        <v>2531</v>
      </c>
      <c r="J1993" t="s">
        <v>8182</v>
      </c>
      <c r="K1993" t="s">
        <v>8183</v>
      </c>
      <c r="L1993" t="s">
        <v>386</v>
      </c>
      <c r="M1993" t="s">
        <v>1193</v>
      </c>
      <c r="N1993">
        <v>15333</v>
      </c>
      <c r="O1993">
        <v>35</v>
      </c>
      <c r="Q1993" t="s">
        <v>8184</v>
      </c>
      <c r="R1993" t="s">
        <v>398</v>
      </c>
      <c r="S1993" t="s">
        <v>1909</v>
      </c>
      <c r="T1993">
        <v>272</v>
      </c>
      <c r="U1993">
        <v>0</v>
      </c>
      <c r="V1993" t="s">
        <v>2107</v>
      </c>
      <c r="W1993" t="s">
        <v>1194</v>
      </c>
      <c r="X1993">
        <v>220</v>
      </c>
      <c r="Y1993" t="s">
        <v>1317</v>
      </c>
      <c r="Z1993" t="s">
        <v>869</v>
      </c>
      <c r="AA1993" t="s">
        <v>387</v>
      </c>
      <c r="AB1993">
        <v>27000</v>
      </c>
      <c r="AC1993">
        <v>1316</v>
      </c>
      <c r="AD1993" t="s">
        <v>7964</v>
      </c>
      <c r="AE1993">
        <v>0</v>
      </c>
      <c r="AF1993" t="s">
        <v>1188</v>
      </c>
      <c r="AG1993" t="s">
        <v>1244</v>
      </c>
      <c r="AH1993" t="s">
        <v>8185</v>
      </c>
    </row>
    <row r="1994" spans="1:34" x14ac:dyDescent="0.25">
      <c r="A1994">
        <v>1357</v>
      </c>
      <c r="B1994" t="s">
        <v>1313</v>
      </c>
      <c r="C1994" s="185"/>
      <c r="D1994" t="s">
        <v>24</v>
      </c>
      <c r="E1994" t="s">
        <v>386</v>
      </c>
      <c r="F1994" t="s">
        <v>355</v>
      </c>
      <c r="G1994" t="s">
        <v>1197</v>
      </c>
      <c r="H1994" t="s">
        <v>8146</v>
      </c>
      <c r="I1994">
        <v>2005</v>
      </c>
      <c r="J1994" t="s">
        <v>8186</v>
      </c>
      <c r="K1994" t="s">
        <v>8187</v>
      </c>
      <c r="L1994" t="s">
        <v>386</v>
      </c>
      <c r="M1994" t="s">
        <v>1193</v>
      </c>
      <c r="N1994">
        <v>15325</v>
      </c>
      <c r="O1994">
        <v>35</v>
      </c>
      <c r="Q1994" t="s">
        <v>8188</v>
      </c>
      <c r="R1994" t="s">
        <v>398</v>
      </c>
      <c r="S1994" t="s">
        <v>1909</v>
      </c>
      <c r="T1994">
        <v>272</v>
      </c>
      <c r="U1994">
        <v>0</v>
      </c>
      <c r="V1994" t="s">
        <v>2107</v>
      </c>
      <c r="W1994" t="s">
        <v>1988</v>
      </c>
      <c r="X1994">
        <v>122</v>
      </c>
      <c r="Y1994" t="s">
        <v>1317</v>
      </c>
      <c r="Z1994" t="s">
        <v>8149</v>
      </c>
      <c r="AA1994" t="s">
        <v>387</v>
      </c>
      <c r="AB1994">
        <v>27000</v>
      </c>
      <c r="AC1994">
        <v>1490</v>
      </c>
      <c r="AD1994" t="s">
        <v>8189</v>
      </c>
      <c r="AE1994">
        <v>18</v>
      </c>
      <c r="AF1994" t="s">
        <v>1259</v>
      </c>
      <c r="AG1994" t="s">
        <v>1931</v>
      </c>
      <c r="AH1994" t="s">
        <v>8190</v>
      </c>
    </row>
    <row r="1995" spans="1:34" x14ac:dyDescent="0.25">
      <c r="A1995">
        <v>24</v>
      </c>
      <c r="C1995" s="185"/>
      <c r="D1995" t="s">
        <v>24</v>
      </c>
      <c r="E1995" t="s">
        <v>386</v>
      </c>
      <c r="F1995" t="s">
        <v>8191</v>
      </c>
      <c r="G1995" t="s">
        <v>1197</v>
      </c>
      <c r="H1995" t="s">
        <v>8049</v>
      </c>
      <c r="I1995">
        <v>2416</v>
      </c>
      <c r="J1995" t="s">
        <v>8191</v>
      </c>
      <c r="K1995" t="s">
        <v>8191</v>
      </c>
      <c r="L1995" t="s">
        <v>386</v>
      </c>
      <c r="M1995" t="s">
        <v>1193</v>
      </c>
      <c r="N1995">
        <v>2416</v>
      </c>
      <c r="O1995">
        <v>10</v>
      </c>
      <c r="Q1995" t="s">
        <v>8192</v>
      </c>
      <c r="R1995" t="s">
        <v>398</v>
      </c>
      <c r="T1995">
        <v>2</v>
      </c>
      <c r="V1995" t="s">
        <v>1205</v>
      </c>
      <c r="Z1995" t="s">
        <v>955</v>
      </c>
      <c r="AA1995" t="s">
        <v>387</v>
      </c>
      <c r="AB1995">
        <v>6000</v>
      </c>
      <c r="AC1995">
        <v>1759</v>
      </c>
      <c r="AD1995" t="s">
        <v>8193</v>
      </c>
      <c r="AE1995">
        <v>860</v>
      </c>
      <c r="AF1995" t="s">
        <v>8194</v>
      </c>
      <c r="AG1995" t="s">
        <v>1931</v>
      </c>
      <c r="AH1995" t="s">
        <v>8195</v>
      </c>
    </row>
    <row r="1996" spans="1:34" x14ac:dyDescent="0.25">
      <c r="A1996">
        <v>1444</v>
      </c>
      <c r="B1996" t="s">
        <v>1313</v>
      </c>
      <c r="C1996" s="185"/>
      <c r="D1996" t="s">
        <v>24</v>
      </c>
      <c r="E1996" t="s">
        <v>386</v>
      </c>
      <c r="F1996" t="s">
        <v>657</v>
      </c>
      <c r="G1996" t="s">
        <v>1197</v>
      </c>
      <c r="H1996" t="s">
        <v>7946</v>
      </c>
      <c r="I1996">
        <v>3251</v>
      </c>
      <c r="J1996" t="s">
        <v>866</v>
      </c>
      <c r="K1996" t="s">
        <v>8196</v>
      </c>
      <c r="L1996" t="s">
        <v>386</v>
      </c>
      <c r="M1996" t="s">
        <v>1193</v>
      </c>
      <c r="N1996">
        <v>15331</v>
      </c>
      <c r="O1996">
        <v>35</v>
      </c>
      <c r="Q1996" t="s">
        <v>8197</v>
      </c>
      <c r="R1996" t="s">
        <v>398</v>
      </c>
      <c r="S1996" t="s">
        <v>1909</v>
      </c>
      <c r="T1996">
        <v>272</v>
      </c>
      <c r="U1996">
        <v>0</v>
      </c>
      <c r="V1996" t="s">
        <v>2107</v>
      </c>
      <c r="W1996" t="s">
        <v>3202</v>
      </c>
      <c r="X1996">
        <v>280</v>
      </c>
      <c r="Y1996" t="s">
        <v>1317</v>
      </c>
      <c r="Z1996" t="s">
        <v>869</v>
      </c>
      <c r="AA1996" t="s">
        <v>387</v>
      </c>
      <c r="AB1996">
        <v>27000</v>
      </c>
      <c r="AC1996">
        <v>996</v>
      </c>
      <c r="AD1996" t="s">
        <v>8198</v>
      </c>
      <c r="AE1996">
        <v>3</v>
      </c>
      <c r="AF1996" t="s">
        <v>1235</v>
      </c>
      <c r="AG1996" t="s">
        <v>1931</v>
      </c>
      <c r="AH1996" t="s">
        <v>7965</v>
      </c>
    </row>
    <row r="1997" spans="1:34" x14ac:dyDescent="0.25">
      <c r="A1997">
        <v>2199</v>
      </c>
      <c r="B1997" t="s">
        <v>1313</v>
      </c>
      <c r="C1997" s="185"/>
      <c r="E1997" t="s">
        <v>386</v>
      </c>
      <c r="F1997" t="s">
        <v>637</v>
      </c>
      <c r="G1997" t="s">
        <v>1197</v>
      </c>
      <c r="H1997" t="s">
        <v>8199</v>
      </c>
      <c r="I1997">
        <v>16951</v>
      </c>
      <c r="J1997" t="s">
        <v>637</v>
      </c>
      <c r="K1997" t="s">
        <v>8200</v>
      </c>
      <c r="L1997" t="s">
        <v>386</v>
      </c>
      <c r="M1997" t="s">
        <v>1193</v>
      </c>
      <c r="N1997">
        <v>16951</v>
      </c>
      <c r="O1997">
        <v>57</v>
      </c>
      <c r="Q1997" t="s">
        <v>8201</v>
      </c>
      <c r="R1997" t="s">
        <v>398</v>
      </c>
      <c r="S1997" t="s">
        <v>1909</v>
      </c>
      <c r="T1997">
        <v>220</v>
      </c>
      <c r="U1997">
        <v>0</v>
      </c>
      <c r="V1997" t="s">
        <v>1194</v>
      </c>
      <c r="W1997" t="s">
        <v>1194</v>
      </c>
      <c r="X1997">
        <v>220</v>
      </c>
      <c r="Y1997" t="s">
        <v>1317</v>
      </c>
      <c r="Z1997" t="s">
        <v>1117</v>
      </c>
      <c r="AA1997" t="s">
        <v>387</v>
      </c>
      <c r="AB1997">
        <v>49000</v>
      </c>
      <c r="AC1997">
        <v>1652</v>
      </c>
      <c r="AD1997" t="s">
        <v>8202</v>
      </c>
      <c r="AE1997">
        <v>3</v>
      </c>
      <c r="AF1997" t="s">
        <v>1235</v>
      </c>
      <c r="AG1997" t="s">
        <v>8203</v>
      </c>
      <c r="AH1997" t="s">
        <v>8204</v>
      </c>
    </row>
    <row r="1998" spans="1:34" x14ac:dyDescent="0.25">
      <c r="A1998">
        <v>125</v>
      </c>
      <c r="B1998" t="s">
        <v>1313</v>
      </c>
      <c r="C1998" s="185"/>
      <c r="D1998" t="s">
        <v>24</v>
      </c>
      <c r="E1998" t="s">
        <v>386</v>
      </c>
      <c r="F1998" t="s">
        <v>578</v>
      </c>
      <c r="G1998" t="s">
        <v>1197</v>
      </c>
      <c r="H1998" t="s">
        <v>8205</v>
      </c>
      <c r="I1998">
        <v>4737</v>
      </c>
      <c r="J1998" t="s">
        <v>578</v>
      </c>
      <c r="K1998" t="s">
        <v>578</v>
      </c>
      <c r="L1998" t="s">
        <v>386</v>
      </c>
      <c r="M1998" t="s">
        <v>1193</v>
      </c>
      <c r="N1998">
        <v>4737</v>
      </c>
      <c r="O1998">
        <v>55</v>
      </c>
      <c r="Q1998" t="s">
        <v>8206</v>
      </c>
      <c r="R1998" t="s">
        <v>398</v>
      </c>
      <c r="S1998" t="s">
        <v>7404</v>
      </c>
      <c r="T1998">
        <v>521</v>
      </c>
      <c r="U1998">
        <v>0</v>
      </c>
      <c r="V1998" t="s">
        <v>6311</v>
      </c>
      <c r="W1998" t="s">
        <v>2186</v>
      </c>
      <c r="X1998">
        <v>396</v>
      </c>
      <c r="Y1998" t="s">
        <v>1317</v>
      </c>
      <c r="Z1998" t="s">
        <v>1029</v>
      </c>
      <c r="AA1998" t="s">
        <v>387</v>
      </c>
      <c r="AB1998">
        <v>47000</v>
      </c>
      <c r="AC1998">
        <v>2402</v>
      </c>
      <c r="AD1998" t="s">
        <v>8207</v>
      </c>
      <c r="AE1998">
        <v>500</v>
      </c>
      <c r="AF1998" t="s">
        <v>8208</v>
      </c>
      <c r="AG1998" t="s">
        <v>8209</v>
      </c>
    </row>
    <row r="1999" spans="1:34" x14ac:dyDescent="0.25">
      <c r="A1999">
        <v>11</v>
      </c>
      <c r="B1999" t="s">
        <v>1313</v>
      </c>
      <c r="C1999" s="185"/>
      <c r="D1999" t="s">
        <v>24</v>
      </c>
      <c r="E1999" t="s">
        <v>386</v>
      </c>
      <c r="F1999" t="s">
        <v>450</v>
      </c>
      <c r="G1999" t="s">
        <v>1197</v>
      </c>
      <c r="H1999" t="s">
        <v>7914</v>
      </c>
      <c r="I1999">
        <v>2891</v>
      </c>
      <c r="J1999" t="s">
        <v>74</v>
      </c>
      <c r="K1999" t="s">
        <v>6366</v>
      </c>
      <c r="L1999" t="s">
        <v>386</v>
      </c>
      <c r="M1999" t="s">
        <v>1193</v>
      </c>
      <c r="N1999">
        <v>15720</v>
      </c>
      <c r="O1999">
        <v>35</v>
      </c>
      <c r="Q1999" t="s">
        <v>8210</v>
      </c>
      <c r="R1999" t="s">
        <v>398</v>
      </c>
      <c r="S1999" t="s">
        <v>4594</v>
      </c>
      <c r="T1999">
        <v>200</v>
      </c>
      <c r="U1999">
        <v>0</v>
      </c>
      <c r="V1999" t="s">
        <v>1199</v>
      </c>
      <c r="W1999" t="s">
        <v>2107</v>
      </c>
      <c r="X1999">
        <v>272</v>
      </c>
      <c r="Y1999" t="s">
        <v>1317</v>
      </c>
      <c r="Z1999" t="s">
        <v>871</v>
      </c>
      <c r="AA1999" t="s">
        <v>387</v>
      </c>
      <c r="AB1999">
        <v>27000</v>
      </c>
      <c r="AC1999">
        <v>398</v>
      </c>
      <c r="AD1999" t="s">
        <v>8211</v>
      </c>
      <c r="AE1999">
        <v>18</v>
      </c>
      <c r="AF1999" t="s">
        <v>1259</v>
      </c>
      <c r="AG1999" t="s">
        <v>1244</v>
      </c>
      <c r="AH1999" t="s">
        <v>8212</v>
      </c>
    </row>
    <row r="2000" spans="1:34" x14ac:dyDescent="0.25">
      <c r="A2000">
        <v>125</v>
      </c>
      <c r="B2000" t="s">
        <v>1313</v>
      </c>
      <c r="C2000" s="185"/>
      <c r="D2000" t="s">
        <v>24</v>
      </c>
      <c r="E2000" t="s">
        <v>386</v>
      </c>
      <c r="F2000" t="s">
        <v>43</v>
      </c>
      <c r="G2000" t="s">
        <v>1197</v>
      </c>
      <c r="H2000" t="s">
        <v>8213</v>
      </c>
      <c r="I2000">
        <v>542</v>
      </c>
      <c r="J2000" t="s">
        <v>43</v>
      </c>
      <c r="K2000" t="s">
        <v>8214</v>
      </c>
      <c r="L2000" t="s">
        <v>386</v>
      </c>
      <c r="M2000" t="s">
        <v>1193</v>
      </c>
      <c r="N2000">
        <v>542</v>
      </c>
      <c r="O2000">
        <v>55</v>
      </c>
      <c r="Q2000" t="s">
        <v>8215</v>
      </c>
      <c r="R2000" t="s">
        <v>398</v>
      </c>
      <c r="S2000" t="s">
        <v>8216</v>
      </c>
      <c r="T2000">
        <v>396</v>
      </c>
      <c r="U2000">
        <v>0</v>
      </c>
      <c r="V2000" t="s">
        <v>2186</v>
      </c>
      <c r="W2000" t="s">
        <v>1194</v>
      </c>
      <c r="X2000">
        <v>220</v>
      </c>
      <c r="Y2000" t="s">
        <v>1317</v>
      </c>
      <c r="Z2000" t="s">
        <v>1029</v>
      </c>
      <c r="AA2000" t="s">
        <v>387</v>
      </c>
      <c r="AB2000">
        <v>47000</v>
      </c>
      <c r="AC2000">
        <v>534</v>
      </c>
      <c r="AD2000" t="s">
        <v>8217</v>
      </c>
      <c r="AE2000">
        <v>238</v>
      </c>
      <c r="AF2000" t="s">
        <v>8218</v>
      </c>
      <c r="AG2000" t="s">
        <v>23</v>
      </c>
      <c r="AH2000" t="s">
        <v>8219</v>
      </c>
    </row>
    <row r="2001" spans="1:34" x14ac:dyDescent="0.25">
      <c r="A2001">
        <v>125</v>
      </c>
      <c r="C2001" s="185"/>
      <c r="E2001" t="s">
        <v>386</v>
      </c>
      <c r="F2001" t="s">
        <v>8220</v>
      </c>
      <c r="G2001" t="s">
        <v>1197</v>
      </c>
      <c r="H2001" t="s">
        <v>8221</v>
      </c>
      <c r="I2001">
        <v>16790</v>
      </c>
      <c r="J2001" t="s">
        <v>8220</v>
      </c>
      <c r="K2001" t="s">
        <v>8220</v>
      </c>
      <c r="L2001" t="s">
        <v>386</v>
      </c>
      <c r="M2001" t="s">
        <v>1193</v>
      </c>
      <c r="N2001">
        <v>16790</v>
      </c>
      <c r="O2001">
        <v>0</v>
      </c>
      <c r="Q2001" t="s">
        <v>8222</v>
      </c>
      <c r="T2001">
        <v>52</v>
      </c>
      <c r="V2001" t="s">
        <v>2024</v>
      </c>
      <c r="W2001" t="s">
        <v>5803</v>
      </c>
      <c r="X2001">
        <v>509</v>
      </c>
      <c r="Z2001" t="s">
        <v>1029</v>
      </c>
      <c r="AA2001" t="s">
        <v>387</v>
      </c>
      <c r="AB2001">
        <v>0</v>
      </c>
      <c r="AC2001">
        <v>2402</v>
      </c>
      <c r="AD2001" t="s">
        <v>8207</v>
      </c>
      <c r="AE2001">
        <v>2863</v>
      </c>
      <c r="AF2001" t="s">
        <v>8223</v>
      </c>
      <c r="AG2001" t="s">
        <v>8224</v>
      </c>
      <c r="AH2001" t="s">
        <v>8225</v>
      </c>
    </row>
    <row r="2002" spans="1:34" x14ac:dyDescent="0.25">
      <c r="A2002">
        <v>480</v>
      </c>
      <c r="B2002" t="s">
        <v>1313</v>
      </c>
      <c r="C2002" s="185"/>
      <c r="E2002" t="s">
        <v>386</v>
      </c>
      <c r="F2002" t="s">
        <v>8226</v>
      </c>
      <c r="G2002" t="s">
        <v>1197</v>
      </c>
      <c r="H2002" t="s">
        <v>8227</v>
      </c>
      <c r="I2002">
        <v>10147</v>
      </c>
      <c r="J2002" t="s">
        <v>8226</v>
      </c>
      <c r="K2002" t="s">
        <v>8226</v>
      </c>
      <c r="L2002" t="s">
        <v>386</v>
      </c>
      <c r="M2002" t="s">
        <v>1193</v>
      </c>
      <c r="N2002">
        <v>10147</v>
      </c>
      <c r="O2002">
        <v>0</v>
      </c>
      <c r="Q2002" t="s">
        <v>8228</v>
      </c>
      <c r="S2002" t="s">
        <v>1315</v>
      </c>
      <c r="T2002">
        <v>52</v>
      </c>
      <c r="U2002">
        <v>0</v>
      </c>
      <c r="V2002" t="s">
        <v>2024</v>
      </c>
      <c r="W2002" t="s">
        <v>1216</v>
      </c>
      <c r="X2002">
        <v>260</v>
      </c>
      <c r="Y2002" t="s">
        <v>1317</v>
      </c>
      <c r="Z2002" t="s">
        <v>902</v>
      </c>
      <c r="AA2002" t="s">
        <v>387</v>
      </c>
      <c r="AB2002">
        <v>0</v>
      </c>
      <c r="AC2002">
        <v>3966</v>
      </c>
      <c r="AD2002" t="s">
        <v>8229</v>
      </c>
      <c r="AE2002">
        <v>1</v>
      </c>
      <c r="AF2002" t="s">
        <v>1922</v>
      </c>
      <c r="AG2002" t="s">
        <v>2044</v>
      </c>
    </row>
    <row r="2003" spans="1:34" x14ac:dyDescent="0.25">
      <c r="A2003">
        <v>50</v>
      </c>
      <c r="C2003" s="185"/>
      <c r="E2003" t="s">
        <v>386</v>
      </c>
      <c r="F2003" t="s">
        <v>8230</v>
      </c>
      <c r="G2003" t="s">
        <v>1192</v>
      </c>
      <c r="H2003" t="s">
        <v>8231</v>
      </c>
      <c r="I2003">
        <v>3298</v>
      </c>
      <c r="J2003" t="s">
        <v>8230</v>
      </c>
      <c r="K2003" t="s">
        <v>8230</v>
      </c>
      <c r="L2003" t="s">
        <v>386</v>
      </c>
      <c r="M2003" t="s">
        <v>1184</v>
      </c>
      <c r="N2003">
        <v>3298</v>
      </c>
      <c r="O2003">
        <v>0</v>
      </c>
      <c r="Q2003" t="s">
        <v>8232</v>
      </c>
      <c r="R2003" t="s">
        <v>1208</v>
      </c>
      <c r="T2003">
        <v>65</v>
      </c>
      <c r="V2003" t="s">
        <v>2315</v>
      </c>
      <c r="Z2003" t="s">
        <v>878</v>
      </c>
      <c r="AA2003" t="s">
        <v>387</v>
      </c>
      <c r="AB2003">
        <v>6000</v>
      </c>
      <c r="AC2003">
        <v>1722</v>
      </c>
      <c r="AD2003" t="s">
        <v>5271</v>
      </c>
      <c r="AE2003">
        <v>1051</v>
      </c>
      <c r="AF2003" t="s">
        <v>8233</v>
      </c>
      <c r="AG2003" t="s">
        <v>8234</v>
      </c>
    </row>
    <row r="2004" spans="1:34" x14ac:dyDescent="0.25">
      <c r="A2004">
        <v>1333</v>
      </c>
      <c r="B2004" t="s">
        <v>1313</v>
      </c>
      <c r="C2004" s="185"/>
      <c r="D2004" t="s">
        <v>24</v>
      </c>
      <c r="E2004" t="s">
        <v>386</v>
      </c>
      <c r="F2004" t="s">
        <v>8235</v>
      </c>
      <c r="G2004" t="s">
        <v>1197</v>
      </c>
      <c r="H2004" t="s">
        <v>8014</v>
      </c>
      <c r="I2004">
        <v>3437</v>
      </c>
      <c r="J2004" t="s">
        <v>8235</v>
      </c>
      <c r="K2004" t="s">
        <v>8015</v>
      </c>
      <c r="L2004" t="s">
        <v>386</v>
      </c>
      <c r="M2004" t="s">
        <v>1193</v>
      </c>
      <c r="N2004">
        <v>3437</v>
      </c>
      <c r="O2004">
        <v>13</v>
      </c>
      <c r="Q2004" t="s">
        <v>8236</v>
      </c>
      <c r="R2004" t="s">
        <v>398</v>
      </c>
      <c r="S2004" t="s">
        <v>1909</v>
      </c>
      <c r="T2004">
        <v>146</v>
      </c>
      <c r="U2004">
        <v>0</v>
      </c>
      <c r="V2004" t="s">
        <v>2727</v>
      </c>
      <c r="Y2004" t="s">
        <v>1317</v>
      </c>
      <c r="Z2004" t="s">
        <v>886</v>
      </c>
      <c r="AA2004" t="s">
        <v>387</v>
      </c>
      <c r="AB2004">
        <v>8000</v>
      </c>
      <c r="AC2004">
        <v>2213</v>
      </c>
      <c r="AD2004" t="s">
        <v>8237</v>
      </c>
      <c r="AE2004">
        <v>18</v>
      </c>
      <c r="AF2004" t="s">
        <v>1259</v>
      </c>
      <c r="AG2004" t="s">
        <v>6381</v>
      </c>
      <c r="AH2004" t="s">
        <v>8238</v>
      </c>
    </row>
    <row r="2005" spans="1:34" x14ac:dyDescent="0.25">
      <c r="A2005">
        <v>11</v>
      </c>
      <c r="C2005" s="185"/>
      <c r="D2005" t="s">
        <v>24</v>
      </c>
      <c r="E2005" t="s">
        <v>386</v>
      </c>
      <c r="F2005" t="s">
        <v>8239</v>
      </c>
      <c r="G2005" t="s">
        <v>1197</v>
      </c>
      <c r="H2005" t="s">
        <v>8100</v>
      </c>
      <c r="I2005">
        <v>6837</v>
      </c>
      <c r="J2005" t="s">
        <v>8239</v>
      </c>
      <c r="K2005" t="s">
        <v>8240</v>
      </c>
      <c r="L2005" t="s">
        <v>386</v>
      </c>
      <c r="M2005" t="s">
        <v>1193</v>
      </c>
      <c r="N2005">
        <v>6837</v>
      </c>
      <c r="O2005">
        <v>0</v>
      </c>
      <c r="Q2005" t="s">
        <v>8241</v>
      </c>
      <c r="R2005" t="s">
        <v>398</v>
      </c>
      <c r="T2005">
        <v>172</v>
      </c>
      <c r="V2005" t="s">
        <v>8242</v>
      </c>
      <c r="Z2005" t="s">
        <v>871</v>
      </c>
      <c r="AA2005" t="s">
        <v>387</v>
      </c>
      <c r="AB2005">
        <v>0</v>
      </c>
      <c r="AC2005">
        <v>3029</v>
      </c>
      <c r="AD2005" t="s">
        <v>8243</v>
      </c>
      <c r="AE2005">
        <v>1435</v>
      </c>
      <c r="AF2005" t="s">
        <v>8244</v>
      </c>
      <c r="AG2005" t="s">
        <v>1244</v>
      </c>
    </row>
    <row r="2006" spans="1:34" x14ac:dyDescent="0.25">
      <c r="A2006">
        <v>1874</v>
      </c>
      <c r="C2006" s="185"/>
      <c r="E2006" t="s">
        <v>386</v>
      </c>
      <c r="F2006" t="s">
        <v>8245</v>
      </c>
      <c r="G2006" t="s">
        <v>1197</v>
      </c>
      <c r="H2006" t="s">
        <v>7819</v>
      </c>
      <c r="I2006">
        <v>13777</v>
      </c>
      <c r="J2006" t="s">
        <v>8245</v>
      </c>
      <c r="K2006" t="s">
        <v>8246</v>
      </c>
      <c r="L2006" t="s">
        <v>386</v>
      </c>
      <c r="M2006" t="s">
        <v>1193</v>
      </c>
      <c r="N2006">
        <v>13777</v>
      </c>
      <c r="O2006">
        <v>0</v>
      </c>
      <c r="Q2006" t="s">
        <v>8247</v>
      </c>
      <c r="R2006" t="s">
        <v>1208</v>
      </c>
      <c r="T2006">
        <v>571</v>
      </c>
      <c r="V2006" t="s">
        <v>2003</v>
      </c>
      <c r="W2006" t="s">
        <v>2067</v>
      </c>
      <c r="X2006">
        <v>304</v>
      </c>
      <c r="Z2006" t="s">
        <v>7822</v>
      </c>
      <c r="AA2006" t="s">
        <v>387</v>
      </c>
      <c r="AB2006">
        <v>0</v>
      </c>
      <c r="AC2006">
        <v>1290</v>
      </c>
      <c r="AD2006" t="s">
        <v>8248</v>
      </c>
      <c r="AE2006">
        <v>311</v>
      </c>
      <c r="AF2006" t="s">
        <v>4126</v>
      </c>
      <c r="AG2006" t="s">
        <v>8249</v>
      </c>
      <c r="AH2006" t="s">
        <v>8250</v>
      </c>
    </row>
    <row r="2007" spans="1:34" x14ac:dyDescent="0.25">
      <c r="A2007">
        <v>16</v>
      </c>
      <c r="C2007" s="185"/>
      <c r="E2007" t="s">
        <v>386</v>
      </c>
      <c r="F2007" t="s">
        <v>8251</v>
      </c>
      <c r="G2007" t="s">
        <v>1197</v>
      </c>
      <c r="H2007" t="s">
        <v>8252</v>
      </c>
      <c r="I2007">
        <v>13322</v>
      </c>
      <c r="J2007" t="s">
        <v>8251</v>
      </c>
      <c r="K2007" t="s">
        <v>8253</v>
      </c>
      <c r="L2007" t="s">
        <v>386</v>
      </c>
      <c r="M2007" t="s">
        <v>1193</v>
      </c>
      <c r="N2007">
        <v>13322</v>
      </c>
      <c r="O2007">
        <v>0</v>
      </c>
      <c r="Q2007" t="s">
        <v>8254</v>
      </c>
      <c r="R2007" t="s">
        <v>1208</v>
      </c>
      <c r="T2007">
        <v>571</v>
      </c>
      <c r="V2007" t="s">
        <v>2003</v>
      </c>
      <c r="W2007" t="s">
        <v>1200</v>
      </c>
      <c r="X2007">
        <v>340</v>
      </c>
      <c r="Z2007" t="s">
        <v>7953</v>
      </c>
      <c r="AA2007" t="s">
        <v>387</v>
      </c>
      <c r="AB2007">
        <v>0</v>
      </c>
      <c r="AC2007">
        <v>3030</v>
      </c>
      <c r="AD2007" t="s">
        <v>8255</v>
      </c>
      <c r="AE2007">
        <v>2310</v>
      </c>
      <c r="AF2007" t="s">
        <v>8256</v>
      </c>
      <c r="AG2007" t="s">
        <v>8257</v>
      </c>
      <c r="AH2007" t="s">
        <v>8258</v>
      </c>
    </row>
    <row r="2008" spans="1:34" x14ac:dyDescent="0.25">
      <c r="A2008">
        <v>11</v>
      </c>
      <c r="B2008" t="s">
        <v>1313</v>
      </c>
      <c r="C2008" s="185"/>
      <c r="D2008" t="s">
        <v>24</v>
      </c>
      <c r="E2008" t="s">
        <v>386</v>
      </c>
      <c r="F2008" t="s">
        <v>8259</v>
      </c>
      <c r="G2008" t="s">
        <v>1197</v>
      </c>
      <c r="H2008" t="s">
        <v>8105</v>
      </c>
      <c r="I2008">
        <v>5135</v>
      </c>
      <c r="J2008" t="s">
        <v>8259</v>
      </c>
      <c r="K2008" t="s">
        <v>8106</v>
      </c>
      <c r="L2008" t="s">
        <v>386</v>
      </c>
      <c r="M2008" t="s">
        <v>1193</v>
      </c>
      <c r="N2008">
        <v>5135</v>
      </c>
      <c r="O2008">
        <v>35</v>
      </c>
      <c r="Q2008" t="s">
        <v>8260</v>
      </c>
      <c r="R2008" t="s">
        <v>398</v>
      </c>
      <c r="S2008" t="s">
        <v>1909</v>
      </c>
      <c r="T2008">
        <v>220</v>
      </c>
      <c r="U2008">
        <v>0</v>
      </c>
      <c r="V2008" t="s">
        <v>1194</v>
      </c>
      <c r="Y2008" t="s">
        <v>1317</v>
      </c>
      <c r="Z2008" t="s">
        <v>871</v>
      </c>
      <c r="AA2008" t="s">
        <v>387</v>
      </c>
      <c r="AB2008">
        <v>27000</v>
      </c>
      <c r="AC2008">
        <v>1613</v>
      </c>
      <c r="AD2008" t="s">
        <v>8261</v>
      </c>
      <c r="AE2008">
        <v>1724</v>
      </c>
      <c r="AF2008" t="s">
        <v>8262</v>
      </c>
      <c r="AG2008" t="s">
        <v>1931</v>
      </c>
    </row>
    <row r="2009" spans="1:34" x14ac:dyDescent="0.25">
      <c r="A2009">
        <v>1357</v>
      </c>
      <c r="C2009" s="185"/>
      <c r="D2009" t="s">
        <v>24</v>
      </c>
      <c r="E2009" t="s">
        <v>386</v>
      </c>
      <c r="F2009" t="s">
        <v>8263</v>
      </c>
      <c r="G2009" t="s">
        <v>1197</v>
      </c>
      <c r="H2009" t="s">
        <v>8146</v>
      </c>
      <c r="I2009">
        <v>6037</v>
      </c>
      <c r="J2009" t="s">
        <v>8263</v>
      </c>
      <c r="K2009" t="s">
        <v>6244</v>
      </c>
      <c r="L2009" t="s">
        <v>386</v>
      </c>
      <c r="M2009" t="s">
        <v>1193</v>
      </c>
      <c r="N2009">
        <v>6037</v>
      </c>
      <c r="O2009">
        <v>35</v>
      </c>
      <c r="Q2009" t="s">
        <v>8264</v>
      </c>
      <c r="R2009" t="s">
        <v>398</v>
      </c>
      <c r="T2009">
        <v>220</v>
      </c>
      <c r="V2009" t="s">
        <v>1194</v>
      </c>
      <c r="W2009" t="s">
        <v>1194</v>
      </c>
      <c r="X2009">
        <v>220</v>
      </c>
      <c r="Z2009" t="s">
        <v>8149</v>
      </c>
      <c r="AA2009" t="s">
        <v>387</v>
      </c>
      <c r="AB2009">
        <v>27000</v>
      </c>
      <c r="AC2009">
        <v>1613</v>
      </c>
      <c r="AD2009" t="s">
        <v>8261</v>
      </c>
      <c r="AE2009">
        <v>18</v>
      </c>
      <c r="AF2009" t="s">
        <v>1259</v>
      </c>
      <c r="AG2009" t="s">
        <v>1244</v>
      </c>
    </row>
    <row r="2010" spans="1:34" x14ac:dyDescent="0.25">
      <c r="A2010">
        <v>11</v>
      </c>
      <c r="B2010" t="s">
        <v>1313</v>
      </c>
      <c r="C2010" s="185"/>
      <c r="D2010" t="s">
        <v>24</v>
      </c>
      <c r="E2010" t="s">
        <v>386</v>
      </c>
      <c r="F2010" t="s">
        <v>83</v>
      </c>
      <c r="G2010" t="s">
        <v>1197</v>
      </c>
      <c r="H2010" t="s">
        <v>8265</v>
      </c>
      <c r="I2010">
        <v>5209</v>
      </c>
      <c r="J2010" t="s">
        <v>83</v>
      </c>
      <c r="K2010" t="s">
        <v>8266</v>
      </c>
      <c r="L2010" t="s">
        <v>386</v>
      </c>
      <c r="M2010" t="s">
        <v>1193</v>
      </c>
      <c r="N2010">
        <v>5209</v>
      </c>
      <c r="O2010">
        <v>35</v>
      </c>
      <c r="Q2010" t="s">
        <v>8267</v>
      </c>
      <c r="R2010" t="s">
        <v>398</v>
      </c>
      <c r="S2010" t="s">
        <v>1909</v>
      </c>
      <c r="T2010">
        <v>340</v>
      </c>
      <c r="U2010">
        <v>0</v>
      </c>
      <c r="V2010" t="s">
        <v>1200</v>
      </c>
      <c r="W2010" t="s">
        <v>1200</v>
      </c>
      <c r="X2010">
        <v>340</v>
      </c>
      <c r="Y2010" t="s">
        <v>1317</v>
      </c>
      <c r="Z2010" t="s">
        <v>871</v>
      </c>
      <c r="AA2010" t="s">
        <v>387</v>
      </c>
      <c r="AB2010">
        <v>27000</v>
      </c>
      <c r="AC2010">
        <v>6385</v>
      </c>
      <c r="AD2010" t="s">
        <v>8268</v>
      </c>
      <c r="AE2010">
        <v>2935</v>
      </c>
      <c r="AF2010" t="s">
        <v>8269</v>
      </c>
      <c r="AG2010" t="s">
        <v>2044</v>
      </c>
      <c r="AH2010" t="s">
        <v>8270</v>
      </c>
    </row>
    <row r="2011" spans="1:34" x14ac:dyDescent="0.25">
      <c r="A2011">
        <v>11</v>
      </c>
      <c r="B2011" t="s">
        <v>1313</v>
      </c>
      <c r="C2011" s="185"/>
      <c r="D2011" t="s">
        <v>24</v>
      </c>
      <c r="E2011" t="s">
        <v>386</v>
      </c>
      <c r="F2011" t="s">
        <v>8271</v>
      </c>
      <c r="G2011" t="s">
        <v>1197</v>
      </c>
      <c r="H2011" t="s">
        <v>8002</v>
      </c>
      <c r="I2011">
        <v>5750</v>
      </c>
      <c r="J2011" t="s">
        <v>8271</v>
      </c>
      <c r="K2011" t="s">
        <v>8272</v>
      </c>
      <c r="L2011" t="s">
        <v>386</v>
      </c>
      <c r="M2011" t="s">
        <v>1193</v>
      </c>
      <c r="N2011">
        <v>5750</v>
      </c>
      <c r="O2011">
        <v>35</v>
      </c>
      <c r="Q2011" t="s">
        <v>8273</v>
      </c>
      <c r="R2011" t="s">
        <v>398</v>
      </c>
      <c r="S2011" t="s">
        <v>1909</v>
      </c>
      <c r="T2011">
        <v>220</v>
      </c>
      <c r="U2011">
        <v>0</v>
      </c>
      <c r="V2011" t="s">
        <v>1194</v>
      </c>
      <c r="W2011" t="s">
        <v>2024</v>
      </c>
      <c r="X2011">
        <v>52</v>
      </c>
      <c r="Y2011" t="s">
        <v>1317</v>
      </c>
      <c r="Z2011" t="s">
        <v>871</v>
      </c>
      <c r="AA2011" t="s">
        <v>387</v>
      </c>
      <c r="AB2011">
        <v>27000</v>
      </c>
      <c r="AC2011">
        <v>2059</v>
      </c>
      <c r="AD2011" t="s">
        <v>8274</v>
      </c>
      <c r="AE2011">
        <v>18</v>
      </c>
      <c r="AF2011" t="s">
        <v>1259</v>
      </c>
      <c r="AG2011" t="s">
        <v>1244</v>
      </c>
    </row>
    <row r="2012" spans="1:34" x14ac:dyDescent="0.25">
      <c r="A2012">
        <v>1760</v>
      </c>
      <c r="C2012" s="185"/>
      <c r="D2012" t="s">
        <v>24</v>
      </c>
      <c r="E2012" t="s">
        <v>386</v>
      </c>
      <c r="F2012" t="s">
        <v>8275</v>
      </c>
      <c r="G2012" t="s">
        <v>1197</v>
      </c>
      <c r="H2012" t="s">
        <v>8276</v>
      </c>
      <c r="I2012">
        <v>6483</v>
      </c>
      <c r="J2012" t="s">
        <v>8275</v>
      </c>
      <c r="K2012" t="s">
        <v>6244</v>
      </c>
      <c r="L2012" t="s">
        <v>386</v>
      </c>
      <c r="M2012" t="s">
        <v>1193</v>
      </c>
      <c r="N2012">
        <v>6483</v>
      </c>
      <c r="O2012">
        <v>35</v>
      </c>
      <c r="Q2012" t="s">
        <v>8277</v>
      </c>
      <c r="R2012" t="s">
        <v>398</v>
      </c>
      <c r="T2012">
        <v>220</v>
      </c>
      <c r="V2012" t="s">
        <v>1194</v>
      </c>
      <c r="W2012" t="s">
        <v>5186</v>
      </c>
      <c r="X2012">
        <v>24</v>
      </c>
      <c r="Z2012" t="s">
        <v>8278</v>
      </c>
      <c r="AA2012" t="s">
        <v>387</v>
      </c>
      <c r="AB2012">
        <v>27000</v>
      </c>
      <c r="AC2012">
        <v>1021</v>
      </c>
      <c r="AD2012" t="s">
        <v>8069</v>
      </c>
      <c r="AE2012">
        <v>6</v>
      </c>
      <c r="AF2012" t="s">
        <v>7955</v>
      </c>
      <c r="AG2012" t="s">
        <v>2064</v>
      </c>
    </row>
    <row r="2013" spans="1:34" x14ac:dyDescent="0.25">
      <c r="A2013">
        <v>1784</v>
      </c>
      <c r="C2013" s="185"/>
      <c r="D2013" t="s">
        <v>24</v>
      </c>
      <c r="E2013" t="s">
        <v>386</v>
      </c>
      <c r="F2013" t="s">
        <v>135</v>
      </c>
      <c r="G2013" t="s">
        <v>4184</v>
      </c>
      <c r="H2013" t="s">
        <v>8279</v>
      </c>
      <c r="I2013">
        <v>6853</v>
      </c>
      <c r="J2013" t="s">
        <v>135</v>
      </c>
      <c r="K2013" t="s">
        <v>8280</v>
      </c>
      <c r="L2013" t="s">
        <v>386</v>
      </c>
      <c r="M2013" t="s">
        <v>1193</v>
      </c>
      <c r="N2013">
        <v>6853</v>
      </c>
      <c r="O2013">
        <v>35</v>
      </c>
      <c r="Q2013" t="s">
        <v>8281</v>
      </c>
      <c r="R2013" t="s">
        <v>398</v>
      </c>
      <c r="T2013">
        <v>220</v>
      </c>
      <c r="V2013" t="s">
        <v>1194</v>
      </c>
      <c r="W2013" t="s">
        <v>1215</v>
      </c>
      <c r="X2013">
        <v>259</v>
      </c>
      <c r="Z2013" t="s">
        <v>8282</v>
      </c>
      <c r="AA2013" t="s">
        <v>387</v>
      </c>
      <c r="AB2013">
        <v>27000</v>
      </c>
      <c r="AC2013">
        <v>3035</v>
      </c>
      <c r="AD2013" t="s">
        <v>8283</v>
      </c>
      <c r="AE2013">
        <v>81</v>
      </c>
      <c r="AF2013" t="s">
        <v>8284</v>
      </c>
      <c r="AG2013" t="s">
        <v>3109</v>
      </c>
    </row>
    <row r="2014" spans="1:34" x14ac:dyDescent="0.25">
      <c r="A2014">
        <v>1213</v>
      </c>
      <c r="C2014" s="185"/>
      <c r="D2014" t="s">
        <v>157</v>
      </c>
      <c r="E2014" t="s">
        <v>386</v>
      </c>
      <c r="F2014" t="s">
        <v>8285</v>
      </c>
      <c r="G2014" t="s">
        <v>1197</v>
      </c>
      <c r="H2014" t="s">
        <v>8286</v>
      </c>
      <c r="I2014">
        <v>6532</v>
      </c>
      <c r="J2014" t="s">
        <v>8285</v>
      </c>
      <c r="K2014" t="s">
        <v>8287</v>
      </c>
      <c r="L2014" t="s">
        <v>386</v>
      </c>
      <c r="M2014" t="s">
        <v>1193</v>
      </c>
      <c r="N2014">
        <v>6532</v>
      </c>
      <c r="O2014">
        <v>35</v>
      </c>
      <c r="Q2014" t="s">
        <v>8288</v>
      </c>
      <c r="T2014">
        <v>220</v>
      </c>
      <c r="V2014" t="s">
        <v>1194</v>
      </c>
      <c r="W2014" t="s">
        <v>2879</v>
      </c>
      <c r="X2014">
        <v>114</v>
      </c>
      <c r="Z2014" t="s">
        <v>8289</v>
      </c>
      <c r="AA2014" t="s">
        <v>387</v>
      </c>
      <c r="AB2014">
        <v>27000</v>
      </c>
      <c r="AC2014">
        <v>2940</v>
      </c>
      <c r="AD2014" t="s">
        <v>8290</v>
      </c>
      <c r="AE2014">
        <v>120</v>
      </c>
      <c r="AF2014" t="s">
        <v>5014</v>
      </c>
      <c r="AG2014" t="s">
        <v>1244</v>
      </c>
      <c r="AH2014" t="s">
        <v>8291</v>
      </c>
    </row>
    <row r="2015" spans="1:34" x14ac:dyDescent="0.25">
      <c r="A2015">
        <v>1</v>
      </c>
      <c r="C2015" s="185"/>
      <c r="E2015" t="s">
        <v>386</v>
      </c>
      <c r="F2015" t="s">
        <v>8292</v>
      </c>
      <c r="G2015" t="s">
        <v>1197</v>
      </c>
      <c r="H2015" t="s">
        <v>8293</v>
      </c>
      <c r="I2015">
        <v>11052</v>
      </c>
      <c r="J2015" t="s">
        <v>8292</v>
      </c>
      <c r="K2015" t="s">
        <v>8294</v>
      </c>
      <c r="L2015" t="s">
        <v>386</v>
      </c>
      <c r="M2015" t="s">
        <v>1193</v>
      </c>
      <c r="N2015">
        <v>11052</v>
      </c>
      <c r="O2015">
        <v>0</v>
      </c>
      <c r="Q2015" t="s">
        <v>8295</v>
      </c>
      <c r="R2015" t="s">
        <v>1208</v>
      </c>
      <c r="T2015">
        <v>340</v>
      </c>
      <c r="V2015" t="s">
        <v>1200</v>
      </c>
      <c r="W2015" t="s">
        <v>1216</v>
      </c>
      <c r="X2015">
        <v>260</v>
      </c>
      <c r="Z2015" t="s">
        <v>865</v>
      </c>
      <c r="AA2015" t="s">
        <v>387</v>
      </c>
      <c r="AB2015">
        <v>0</v>
      </c>
      <c r="AC2015">
        <v>4227</v>
      </c>
      <c r="AD2015" t="s">
        <v>8296</v>
      </c>
      <c r="AE2015">
        <v>557</v>
      </c>
      <c r="AF2015" t="s">
        <v>2598</v>
      </c>
      <c r="AG2015" t="s">
        <v>8297</v>
      </c>
      <c r="AH2015" t="s">
        <v>8298</v>
      </c>
    </row>
    <row r="2016" spans="1:34" x14ac:dyDescent="0.25">
      <c r="A2016">
        <v>3</v>
      </c>
      <c r="C2016" s="185"/>
      <c r="E2016" t="s">
        <v>386</v>
      </c>
      <c r="F2016" t="s">
        <v>8299</v>
      </c>
      <c r="G2016" t="s">
        <v>1197</v>
      </c>
      <c r="H2016" t="s">
        <v>8300</v>
      </c>
      <c r="I2016">
        <v>2831</v>
      </c>
      <c r="J2016" t="s">
        <v>8299</v>
      </c>
      <c r="K2016" t="s">
        <v>8299</v>
      </c>
      <c r="L2016" t="s">
        <v>386</v>
      </c>
      <c r="M2016" t="s">
        <v>1193</v>
      </c>
      <c r="N2016">
        <v>2831</v>
      </c>
      <c r="O2016">
        <v>0</v>
      </c>
      <c r="Q2016" t="s">
        <v>8301</v>
      </c>
      <c r="T2016">
        <v>146</v>
      </c>
      <c r="V2016" t="s">
        <v>2727</v>
      </c>
      <c r="Z2016" t="s">
        <v>1935</v>
      </c>
      <c r="AA2016" t="s">
        <v>387</v>
      </c>
      <c r="AB2016">
        <v>0</v>
      </c>
      <c r="AC2016">
        <v>1902</v>
      </c>
      <c r="AD2016" t="s">
        <v>8302</v>
      </c>
      <c r="AE2016">
        <v>662</v>
      </c>
      <c r="AF2016" t="s">
        <v>8303</v>
      </c>
      <c r="AG2016" t="s">
        <v>8304</v>
      </c>
      <c r="AH2016" t="s">
        <v>8305</v>
      </c>
    </row>
    <row r="2017" spans="1:34" x14ac:dyDescent="0.25">
      <c r="A2017">
        <v>1338</v>
      </c>
      <c r="B2017" t="s">
        <v>1313</v>
      </c>
      <c r="C2017" s="185"/>
      <c r="D2017" t="s">
        <v>24</v>
      </c>
      <c r="E2017" t="s">
        <v>386</v>
      </c>
      <c r="F2017" t="s">
        <v>370</v>
      </c>
      <c r="G2017" t="s">
        <v>1197</v>
      </c>
      <c r="H2017" t="s">
        <v>7946</v>
      </c>
      <c r="I2017">
        <v>10598</v>
      </c>
      <c r="J2017" t="s">
        <v>292</v>
      </c>
      <c r="K2017" t="s">
        <v>8306</v>
      </c>
      <c r="L2017" t="s">
        <v>386</v>
      </c>
      <c r="M2017" t="s">
        <v>1193</v>
      </c>
      <c r="N2017">
        <v>15333</v>
      </c>
      <c r="O2017">
        <v>35</v>
      </c>
      <c r="Q2017" t="s">
        <v>8307</v>
      </c>
      <c r="R2017" t="s">
        <v>398</v>
      </c>
      <c r="S2017" t="s">
        <v>1909</v>
      </c>
      <c r="T2017">
        <v>272</v>
      </c>
      <c r="U2017">
        <v>0</v>
      </c>
      <c r="V2017" t="s">
        <v>2107</v>
      </c>
      <c r="W2017" t="s">
        <v>1199</v>
      </c>
      <c r="X2017">
        <v>200</v>
      </c>
      <c r="Y2017" t="s">
        <v>1317</v>
      </c>
      <c r="Z2017" t="s">
        <v>1034</v>
      </c>
      <c r="AA2017" t="s">
        <v>387</v>
      </c>
      <c r="AB2017">
        <v>27000</v>
      </c>
      <c r="AC2017">
        <v>4082</v>
      </c>
      <c r="AD2017" t="s">
        <v>8308</v>
      </c>
      <c r="AE2017">
        <v>1878</v>
      </c>
      <c r="AF2017" t="s">
        <v>8309</v>
      </c>
      <c r="AG2017" t="s">
        <v>2044</v>
      </c>
      <c r="AH2017" t="s">
        <v>8310</v>
      </c>
    </row>
    <row r="2018" spans="1:34" x14ac:dyDescent="0.25">
      <c r="A2018">
        <v>11</v>
      </c>
      <c r="B2018" t="s">
        <v>1313</v>
      </c>
      <c r="C2018" s="185"/>
      <c r="D2018" t="s">
        <v>24</v>
      </c>
      <c r="E2018" t="s">
        <v>386</v>
      </c>
      <c r="F2018" t="s">
        <v>364</v>
      </c>
      <c r="G2018" t="s">
        <v>1197</v>
      </c>
      <c r="H2018" t="s">
        <v>8105</v>
      </c>
      <c r="I2018">
        <v>9426</v>
      </c>
      <c r="J2018" t="s">
        <v>8311</v>
      </c>
      <c r="K2018" t="s">
        <v>8312</v>
      </c>
      <c r="L2018" t="s">
        <v>386</v>
      </c>
      <c r="M2018" t="s">
        <v>1193</v>
      </c>
      <c r="N2018">
        <v>15327</v>
      </c>
      <c r="O2018">
        <v>35</v>
      </c>
      <c r="Q2018" t="s">
        <v>8313</v>
      </c>
      <c r="R2018" t="s">
        <v>398</v>
      </c>
      <c r="S2018" t="s">
        <v>8314</v>
      </c>
      <c r="T2018">
        <v>272</v>
      </c>
      <c r="U2018">
        <v>0</v>
      </c>
      <c r="V2018" t="s">
        <v>2107</v>
      </c>
      <c r="W2018" t="s">
        <v>1194</v>
      </c>
      <c r="X2018">
        <v>220</v>
      </c>
      <c r="Y2018" t="s">
        <v>1317</v>
      </c>
      <c r="Z2018" t="s">
        <v>871</v>
      </c>
      <c r="AA2018" t="s">
        <v>387</v>
      </c>
      <c r="AB2018">
        <v>27000</v>
      </c>
      <c r="AC2018">
        <v>3761</v>
      </c>
      <c r="AD2018" t="s">
        <v>4687</v>
      </c>
      <c r="AE2018">
        <v>654</v>
      </c>
      <c r="AF2018" t="s">
        <v>8315</v>
      </c>
      <c r="AG2018" t="s">
        <v>1244</v>
      </c>
    </row>
    <row r="2019" spans="1:34" x14ac:dyDescent="0.25">
      <c r="A2019">
        <v>1479</v>
      </c>
      <c r="C2019" s="185"/>
      <c r="E2019" t="s">
        <v>386</v>
      </c>
      <c r="F2019" t="s">
        <v>7431</v>
      </c>
      <c r="G2019" t="s">
        <v>1197</v>
      </c>
      <c r="H2019" t="s">
        <v>8316</v>
      </c>
      <c r="I2019">
        <v>13676</v>
      </c>
      <c r="J2019" t="s">
        <v>7431</v>
      </c>
      <c r="K2019" t="s">
        <v>7431</v>
      </c>
      <c r="L2019" t="s">
        <v>386</v>
      </c>
      <c r="M2019" t="s">
        <v>1193</v>
      </c>
      <c r="N2019">
        <v>13676</v>
      </c>
      <c r="O2019">
        <v>0</v>
      </c>
      <c r="Q2019" t="s">
        <v>8317</v>
      </c>
      <c r="R2019" t="s">
        <v>1208</v>
      </c>
      <c r="T2019">
        <v>103</v>
      </c>
      <c r="V2019" t="s">
        <v>1530</v>
      </c>
      <c r="W2019" t="s">
        <v>1530</v>
      </c>
      <c r="X2019">
        <v>103</v>
      </c>
      <c r="Z2019" t="s">
        <v>2665</v>
      </c>
      <c r="AA2019" t="s">
        <v>387</v>
      </c>
      <c r="AB2019">
        <v>0</v>
      </c>
      <c r="AC2019">
        <v>2599</v>
      </c>
      <c r="AD2019" t="s">
        <v>8318</v>
      </c>
      <c r="AE2019">
        <v>2009</v>
      </c>
      <c r="AF2019" t="s">
        <v>4423</v>
      </c>
      <c r="AG2019" t="s">
        <v>8319</v>
      </c>
      <c r="AH2019" t="s">
        <v>8320</v>
      </c>
    </row>
    <row r="2020" spans="1:34" x14ac:dyDescent="0.25">
      <c r="A2020">
        <v>212</v>
      </c>
      <c r="C2020" s="185"/>
      <c r="E2020" t="s">
        <v>386</v>
      </c>
      <c r="F2020" t="s">
        <v>8321</v>
      </c>
      <c r="G2020" t="s">
        <v>1197</v>
      </c>
      <c r="H2020" t="s">
        <v>8322</v>
      </c>
      <c r="I2020">
        <v>14964</v>
      </c>
      <c r="J2020" t="s">
        <v>8321</v>
      </c>
      <c r="K2020" t="s">
        <v>7857</v>
      </c>
      <c r="L2020" t="s">
        <v>386</v>
      </c>
      <c r="M2020" t="s">
        <v>1193</v>
      </c>
      <c r="N2020">
        <v>14964</v>
      </c>
      <c r="O2020">
        <v>0</v>
      </c>
      <c r="Q2020" t="s">
        <v>8323</v>
      </c>
      <c r="R2020" t="s">
        <v>398</v>
      </c>
      <c r="T2020">
        <v>103</v>
      </c>
      <c r="V2020" t="s">
        <v>1530</v>
      </c>
      <c r="W2020" t="s">
        <v>1530</v>
      </c>
      <c r="X2020">
        <v>103</v>
      </c>
      <c r="Z2020" t="s">
        <v>8324</v>
      </c>
      <c r="AA2020" t="s">
        <v>387</v>
      </c>
      <c r="AB2020">
        <v>0</v>
      </c>
      <c r="AC2020">
        <v>5694</v>
      </c>
      <c r="AD2020" t="s">
        <v>8325</v>
      </c>
      <c r="AE2020">
        <v>18</v>
      </c>
      <c r="AF2020" t="s">
        <v>1259</v>
      </c>
      <c r="AG2020" t="s">
        <v>2044</v>
      </c>
      <c r="AH2020" t="s">
        <v>7861</v>
      </c>
    </row>
    <row r="2021" spans="1:34" x14ac:dyDescent="0.25">
      <c r="A2021">
        <v>2015</v>
      </c>
      <c r="C2021" s="185"/>
      <c r="E2021" t="s">
        <v>386</v>
      </c>
      <c r="F2021" t="s">
        <v>8326</v>
      </c>
      <c r="G2021" t="s">
        <v>1197</v>
      </c>
      <c r="H2021" t="s">
        <v>8327</v>
      </c>
      <c r="I2021">
        <v>12686</v>
      </c>
      <c r="J2021" t="s">
        <v>8326</v>
      </c>
      <c r="K2021" t="s">
        <v>8328</v>
      </c>
      <c r="L2021" t="s">
        <v>386</v>
      </c>
      <c r="M2021" t="s">
        <v>1193</v>
      </c>
      <c r="N2021">
        <v>12686</v>
      </c>
      <c r="O2021">
        <v>0</v>
      </c>
      <c r="Q2021" t="s">
        <v>8329</v>
      </c>
      <c r="R2021" t="s">
        <v>1208</v>
      </c>
      <c r="T2021">
        <v>571</v>
      </c>
      <c r="V2021" t="s">
        <v>2003</v>
      </c>
      <c r="W2021" t="s">
        <v>2067</v>
      </c>
      <c r="X2021">
        <v>304</v>
      </c>
      <c r="Z2021" t="s">
        <v>8330</v>
      </c>
      <c r="AA2021" t="s">
        <v>387</v>
      </c>
      <c r="AB2021">
        <v>0</v>
      </c>
      <c r="AC2021">
        <v>2186</v>
      </c>
      <c r="AD2021" t="s">
        <v>2599</v>
      </c>
      <c r="AE2021">
        <v>2188</v>
      </c>
      <c r="AF2021" t="s">
        <v>8331</v>
      </c>
      <c r="AG2021" t="s">
        <v>2044</v>
      </c>
    </row>
    <row r="2022" spans="1:34" x14ac:dyDescent="0.25">
      <c r="A2022">
        <v>1348</v>
      </c>
      <c r="C2022" s="185"/>
      <c r="D2022" t="s">
        <v>24</v>
      </c>
      <c r="E2022" t="s">
        <v>386</v>
      </c>
      <c r="F2022" t="s">
        <v>636</v>
      </c>
      <c r="G2022" t="s">
        <v>1197</v>
      </c>
      <c r="H2022" t="s">
        <v>7876</v>
      </c>
      <c r="I2022">
        <v>12930</v>
      </c>
      <c r="J2022" t="s">
        <v>636</v>
      </c>
      <c r="K2022" t="s">
        <v>8332</v>
      </c>
      <c r="L2022" t="s">
        <v>386</v>
      </c>
      <c r="M2022" t="s">
        <v>1193</v>
      </c>
      <c r="N2022">
        <v>12930</v>
      </c>
      <c r="O2022">
        <v>55</v>
      </c>
      <c r="Q2022" t="s">
        <v>8333</v>
      </c>
      <c r="R2022" t="s">
        <v>398</v>
      </c>
      <c r="T2022">
        <v>200</v>
      </c>
      <c r="V2022" t="s">
        <v>1199</v>
      </c>
      <c r="W2022" t="s">
        <v>7257</v>
      </c>
      <c r="X2022">
        <v>119</v>
      </c>
      <c r="Z2022" t="s">
        <v>1071</v>
      </c>
      <c r="AA2022" t="s">
        <v>387</v>
      </c>
      <c r="AB2022">
        <v>47000</v>
      </c>
      <c r="AC2022">
        <v>4819</v>
      </c>
      <c r="AD2022" t="s">
        <v>8334</v>
      </c>
      <c r="AE2022">
        <v>1259</v>
      </c>
      <c r="AF2022" t="s">
        <v>8335</v>
      </c>
      <c r="AG2022" t="s">
        <v>2044</v>
      </c>
      <c r="AH2022" t="s">
        <v>8336</v>
      </c>
    </row>
    <row r="2023" spans="1:34" x14ac:dyDescent="0.25">
      <c r="A2023">
        <v>1348</v>
      </c>
      <c r="C2023" s="185"/>
      <c r="E2023" t="s">
        <v>386</v>
      </c>
      <c r="F2023" t="s">
        <v>8337</v>
      </c>
      <c r="G2023" t="s">
        <v>1197</v>
      </c>
      <c r="H2023" t="s">
        <v>7876</v>
      </c>
      <c r="I2023">
        <v>5517</v>
      </c>
      <c r="J2023" t="s">
        <v>8337</v>
      </c>
      <c r="K2023" t="s">
        <v>8337</v>
      </c>
      <c r="L2023" t="s">
        <v>386</v>
      </c>
      <c r="M2023" t="s">
        <v>1193</v>
      </c>
      <c r="N2023">
        <v>5517</v>
      </c>
      <c r="O2023">
        <v>0</v>
      </c>
      <c r="Q2023" t="s">
        <v>8338</v>
      </c>
      <c r="T2023">
        <v>39</v>
      </c>
      <c r="V2023" t="s">
        <v>2144</v>
      </c>
      <c r="Z2023" t="s">
        <v>1071</v>
      </c>
      <c r="AA2023" t="s">
        <v>387</v>
      </c>
      <c r="AB2023">
        <v>0</v>
      </c>
      <c r="AC2023">
        <v>1367</v>
      </c>
      <c r="AD2023" t="s">
        <v>8339</v>
      </c>
      <c r="AE2023">
        <v>1259</v>
      </c>
      <c r="AF2023" t="s">
        <v>8335</v>
      </c>
      <c r="AG2023" t="s">
        <v>2044</v>
      </c>
      <c r="AH2023" t="s">
        <v>8340</v>
      </c>
    </row>
    <row r="2024" spans="1:34" x14ac:dyDescent="0.25">
      <c r="A2024">
        <v>1448</v>
      </c>
      <c r="C2024" s="185">
        <v>31071</v>
      </c>
      <c r="D2024" t="s">
        <v>24</v>
      </c>
      <c r="E2024" t="s">
        <v>386</v>
      </c>
      <c r="F2024" t="s">
        <v>7760</v>
      </c>
      <c r="G2024" t="s">
        <v>1197</v>
      </c>
      <c r="H2024" t="s">
        <v>8341</v>
      </c>
      <c r="I2024">
        <v>8522</v>
      </c>
      <c r="J2024" t="s">
        <v>7760</v>
      </c>
      <c r="K2024" t="s">
        <v>8342</v>
      </c>
      <c r="L2024" t="s">
        <v>386</v>
      </c>
      <c r="M2024" t="s">
        <v>1193</v>
      </c>
      <c r="N2024">
        <v>8522</v>
      </c>
      <c r="O2024">
        <v>0</v>
      </c>
      <c r="Q2024" t="s">
        <v>8343</v>
      </c>
      <c r="R2024" t="s">
        <v>398</v>
      </c>
      <c r="T2024">
        <v>210</v>
      </c>
      <c r="V2024" t="s">
        <v>6031</v>
      </c>
      <c r="Z2024" t="s">
        <v>2115</v>
      </c>
      <c r="AA2024" t="s">
        <v>387</v>
      </c>
      <c r="AB2024">
        <v>0</v>
      </c>
      <c r="AC2024">
        <v>912</v>
      </c>
      <c r="AD2024" t="s">
        <v>8344</v>
      </c>
      <c r="AE2024">
        <v>1589</v>
      </c>
      <c r="AF2024" t="s">
        <v>8345</v>
      </c>
      <c r="AG2024" t="s">
        <v>1244</v>
      </c>
      <c r="AH2024" t="s">
        <v>8346</v>
      </c>
    </row>
    <row r="2025" spans="1:34" x14ac:dyDescent="0.25">
      <c r="A2025">
        <v>1448</v>
      </c>
      <c r="B2025" t="s">
        <v>1313</v>
      </c>
      <c r="C2025" s="185"/>
      <c r="D2025" t="s">
        <v>24</v>
      </c>
      <c r="E2025" t="s">
        <v>386</v>
      </c>
      <c r="F2025" t="s">
        <v>486</v>
      </c>
      <c r="G2025" t="s">
        <v>1197</v>
      </c>
      <c r="H2025" t="s">
        <v>8341</v>
      </c>
      <c r="I2025">
        <v>16072</v>
      </c>
      <c r="J2025" t="s">
        <v>486</v>
      </c>
      <c r="K2025" t="s">
        <v>7800</v>
      </c>
      <c r="L2025" t="s">
        <v>386</v>
      </c>
      <c r="M2025" t="s">
        <v>1193</v>
      </c>
      <c r="N2025">
        <v>16072</v>
      </c>
      <c r="O2025">
        <v>57</v>
      </c>
      <c r="Q2025" t="s">
        <v>8347</v>
      </c>
      <c r="S2025" t="s">
        <v>7765</v>
      </c>
      <c r="T2025">
        <v>396</v>
      </c>
      <c r="U2025">
        <v>0</v>
      </c>
      <c r="V2025" t="s">
        <v>2186</v>
      </c>
      <c r="W2025" t="s">
        <v>1199</v>
      </c>
      <c r="X2025">
        <v>200</v>
      </c>
      <c r="Y2025" t="s">
        <v>1317</v>
      </c>
      <c r="Z2025" t="s">
        <v>2115</v>
      </c>
      <c r="AA2025" t="s">
        <v>387</v>
      </c>
      <c r="AB2025">
        <v>49000</v>
      </c>
      <c r="AC2025">
        <v>912</v>
      </c>
      <c r="AD2025" t="s">
        <v>8344</v>
      </c>
      <c r="AE2025">
        <v>1589</v>
      </c>
      <c r="AF2025" t="s">
        <v>8345</v>
      </c>
      <c r="AG2025" t="s">
        <v>6439</v>
      </c>
      <c r="AH2025" t="s">
        <v>7802</v>
      </c>
    </row>
    <row r="2026" spans="1:34" x14ac:dyDescent="0.25">
      <c r="A2026">
        <v>1213</v>
      </c>
      <c r="C2026" s="185"/>
      <c r="E2026" t="s">
        <v>386</v>
      </c>
      <c r="F2026" t="s">
        <v>8348</v>
      </c>
      <c r="G2026" t="s">
        <v>1197</v>
      </c>
      <c r="H2026" t="s">
        <v>8286</v>
      </c>
      <c r="I2026">
        <v>15635</v>
      </c>
      <c r="J2026" t="s">
        <v>8348</v>
      </c>
      <c r="K2026" t="s">
        <v>8348</v>
      </c>
      <c r="L2026" t="s">
        <v>386</v>
      </c>
      <c r="M2026" t="s">
        <v>1193</v>
      </c>
      <c r="N2026">
        <v>15635</v>
      </c>
      <c r="O2026">
        <v>35</v>
      </c>
      <c r="Q2026" t="s">
        <v>8349</v>
      </c>
      <c r="R2026" t="s">
        <v>398</v>
      </c>
      <c r="T2026">
        <v>220</v>
      </c>
      <c r="V2026" t="s">
        <v>1194</v>
      </c>
      <c r="W2026" t="s">
        <v>1530</v>
      </c>
      <c r="X2026">
        <v>103</v>
      </c>
      <c r="Z2026" t="s">
        <v>8289</v>
      </c>
      <c r="AA2026" t="s">
        <v>387</v>
      </c>
      <c r="AB2026">
        <v>27000</v>
      </c>
      <c r="AC2026">
        <v>5897</v>
      </c>
      <c r="AD2026" t="s">
        <v>8350</v>
      </c>
      <c r="AE2026">
        <v>18</v>
      </c>
      <c r="AF2026" t="s">
        <v>1259</v>
      </c>
      <c r="AG2026" t="s">
        <v>2044</v>
      </c>
    </row>
    <row r="2027" spans="1:34" x14ac:dyDescent="0.25">
      <c r="A2027">
        <v>3</v>
      </c>
      <c r="C2027" s="185"/>
      <c r="E2027" t="s">
        <v>386</v>
      </c>
      <c r="F2027" t="s">
        <v>8351</v>
      </c>
      <c r="G2027" t="s">
        <v>1197</v>
      </c>
      <c r="H2027" t="s">
        <v>8352</v>
      </c>
      <c r="I2027">
        <v>5840</v>
      </c>
      <c r="J2027" t="s">
        <v>8351</v>
      </c>
      <c r="K2027" t="s">
        <v>8351</v>
      </c>
      <c r="L2027" t="s">
        <v>386</v>
      </c>
      <c r="M2027" t="s">
        <v>1193</v>
      </c>
      <c r="N2027">
        <v>5840</v>
      </c>
      <c r="O2027">
        <v>0</v>
      </c>
      <c r="Q2027" t="s">
        <v>8353</v>
      </c>
      <c r="R2027" t="s">
        <v>1208</v>
      </c>
      <c r="T2027">
        <v>39</v>
      </c>
      <c r="V2027" t="s">
        <v>2144</v>
      </c>
      <c r="W2027" t="s">
        <v>2067</v>
      </c>
      <c r="X2027">
        <v>304</v>
      </c>
      <c r="Z2027" t="s">
        <v>1935</v>
      </c>
      <c r="AA2027" t="s">
        <v>387</v>
      </c>
      <c r="AB2027">
        <v>0</v>
      </c>
      <c r="AC2027">
        <v>2745</v>
      </c>
      <c r="AD2027" t="s">
        <v>8354</v>
      </c>
      <c r="AE2027">
        <v>974</v>
      </c>
      <c r="AF2027" t="s">
        <v>8355</v>
      </c>
      <c r="AG2027" t="s">
        <v>8356</v>
      </c>
      <c r="AH2027" t="s">
        <v>8357</v>
      </c>
    </row>
    <row r="2028" spans="1:34" x14ac:dyDescent="0.25">
      <c r="A2028">
        <v>1154</v>
      </c>
      <c r="C2028" s="185"/>
      <c r="E2028" t="s">
        <v>386</v>
      </c>
      <c r="F2028" t="s">
        <v>8358</v>
      </c>
      <c r="G2028" t="s">
        <v>1197</v>
      </c>
      <c r="H2028" t="s">
        <v>5428</v>
      </c>
      <c r="I2028">
        <v>15374</v>
      </c>
      <c r="J2028" t="s">
        <v>8358</v>
      </c>
      <c r="K2028" t="s">
        <v>8359</v>
      </c>
      <c r="L2028" t="s">
        <v>386</v>
      </c>
      <c r="M2028" t="s">
        <v>1193</v>
      </c>
      <c r="N2028">
        <v>15374</v>
      </c>
      <c r="O2028">
        <v>0</v>
      </c>
      <c r="Q2028" t="s">
        <v>8360</v>
      </c>
      <c r="T2028">
        <v>571</v>
      </c>
      <c r="V2028" t="s">
        <v>2003</v>
      </c>
      <c r="W2028" t="s">
        <v>1257</v>
      </c>
      <c r="X2028">
        <v>426</v>
      </c>
      <c r="Z2028" t="s">
        <v>5431</v>
      </c>
      <c r="AA2028" t="s">
        <v>387</v>
      </c>
      <c r="AB2028">
        <v>0</v>
      </c>
      <c r="AC2028">
        <v>5817</v>
      </c>
      <c r="AD2028" t="s">
        <v>8361</v>
      </c>
      <c r="AE2028">
        <v>2680</v>
      </c>
      <c r="AF2028" t="s">
        <v>8362</v>
      </c>
      <c r="AG2028" t="s">
        <v>8363</v>
      </c>
      <c r="AH2028" t="s">
        <v>8364</v>
      </c>
    </row>
    <row r="2029" spans="1:34" x14ac:dyDescent="0.25">
      <c r="A2029">
        <v>440</v>
      </c>
      <c r="C2029" s="185"/>
      <c r="E2029" t="s">
        <v>386</v>
      </c>
      <c r="F2029" t="s">
        <v>8365</v>
      </c>
      <c r="G2029" t="s">
        <v>1238</v>
      </c>
      <c r="H2029" t="s">
        <v>4873</v>
      </c>
      <c r="I2029">
        <v>14786</v>
      </c>
      <c r="J2029" t="s">
        <v>8365</v>
      </c>
      <c r="K2029" t="s">
        <v>8366</v>
      </c>
      <c r="L2029" t="s">
        <v>386</v>
      </c>
      <c r="M2029" t="s">
        <v>1184</v>
      </c>
      <c r="N2029">
        <v>14786</v>
      </c>
      <c r="O2029">
        <v>0</v>
      </c>
      <c r="Q2029" t="s">
        <v>8367</v>
      </c>
      <c r="T2029">
        <v>35</v>
      </c>
      <c r="V2029" t="s">
        <v>2015</v>
      </c>
      <c r="W2029" t="s">
        <v>1257</v>
      </c>
      <c r="X2029">
        <v>426</v>
      </c>
      <c r="Z2029" t="s">
        <v>4875</v>
      </c>
      <c r="AA2029" t="s">
        <v>387</v>
      </c>
      <c r="AB2029">
        <v>0</v>
      </c>
      <c r="AC2029">
        <v>5623</v>
      </c>
      <c r="AD2029" t="s">
        <v>8365</v>
      </c>
      <c r="AE2029">
        <v>18</v>
      </c>
      <c r="AF2029" t="s">
        <v>1259</v>
      </c>
      <c r="AG2029" t="s">
        <v>1244</v>
      </c>
      <c r="AH2029" t="s">
        <v>8368</v>
      </c>
    </row>
    <row r="2030" spans="1:34" x14ac:dyDescent="0.25">
      <c r="A2030">
        <v>3</v>
      </c>
      <c r="B2030" t="s">
        <v>1313</v>
      </c>
      <c r="C2030" s="185"/>
      <c r="E2030" t="s">
        <v>386</v>
      </c>
      <c r="F2030" t="s">
        <v>8369</v>
      </c>
      <c r="G2030" t="s">
        <v>1197</v>
      </c>
      <c r="H2030" t="s">
        <v>8370</v>
      </c>
      <c r="I2030">
        <v>342</v>
      </c>
      <c r="J2030" t="s">
        <v>8369</v>
      </c>
      <c r="K2030" t="s">
        <v>8369</v>
      </c>
      <c r="L2030" t="s">
        <v>386</v>
      </c>
      <c r="M2030" t="s">
        <v>1193</v>
      </c>
      <c r="N2030">
        <v>342</v>
      </c>
      <c r="O2030">
        <v>0</v>
      </c>
      <c r="Q2030" t="s">
        <v>8371</v>
      </c>
      <c r="S2030" t="s">
        <v>1315</v>
      </c>
      <c r="T2030">
        <v>16</v>
      </c>
      <c r="U2030">
        <v>0</v>
      </c>
      <c r="V2030" t="s">
        <v>8372</v>
      </c>
      <c r="Y2030" t="s">
        <v>1317</v>
      </c>
      <c r="Z2030" t="s">
        <v>1935</v>
      </c>
      <c r="AA2030" t="s">
        <v>387</v>
      </c>
      <c r="AB2030">
        <v>0</v>
      </c>
      <c r="AC2030">
        <v>176</v>
      </c>
      <c r="AD2030" t="s">
        <v>8373</v>
      </c>
      <c r="AE2030">
        <v>139</v>
      </c>
      <c r="AF2030" t="s">
        <v>8374</v>
      </c>
      <c r="AG2030" t="s">
        <v>8375</v>
      </c>
      <c r="AH2030" t="s">
        <v>8376</v>
      </c>
    </row>
    <row r="2031" spans="1:34" x14ac:dyDescent="0.25">
      <c r="A2031">
        <v>1479</v>
      </c>
      <c r="C2031" s="185"/>
      <c r="E2031" t="s">
        <v>386</v>
      </c>
      <c r="F2031" t="s">
        <v>8377</v>
      </c>
      <c r="G2031" t="s">
        <v>1197</v>
      </c>
      <c r="H2031" t="s">
        <v>8378</v>
      </c>
      <c r="I2031">
        <v>9019</v>
      </c>
      <c r="J2031" t="s">
        <v>8377</v>
      </c>
      <c r="K2031" t="s">
        <v>8377</v>
      </c>
      <c r="L2031" t="s">
        <v>386</v>
      </c>
      <c r="M2031" t="s">
        <v>1193</v>
      </c>
      <c r="N2031">
        <v>9019</v>
      </c>
      <c r="O2031">
        <v>0</v>
      </c>
      <c r="Q2031" t="s">
        <v>8379</v>
      </c>
      <c r="R2031" t="s">
        <v>1208</v>
      </c>
      <c r="T2031">
        <v>39</v>
      </c>
      <c r="V2031" t="s">
        <v>2144</v>
      </c>
      <c r="Z2031" t="s">
        <v>2665</v>
      </c>
      <c r="AA2031" t="s">
        <v>387</v>
      </c>
      <c r="AB2031">
        <v>0</v>
      </c>
      <c r="AC2031">
        <v>3597</v>
      </c>
      <c r="AD2031" t="s">
        <v>8380</v>
      </c>
      <c r="AE2031">
        <v>623</v>
      </c>
      <c r="AF2031" t="s">
        <v>8381</v>
      </c>
      <c r="AG2031" t="s">
        <v>8382</v>
      </c>
      <c r="AH2031" t="s">
        <v>8383</v>
      </c>
    </row>
    <row r="2032" spans="1:34" x14ac:dyDescent="0.25">
      <c r="A2032">
        <v>1</v>
      </c>
      <c r="C2032" s="185"/>
      <c r="E2032" t="s">
        <v>386</v>
      </c>
      <c r="F2032" t="s">
        <v>8384</v>
      </c>
      <c r="G2032" t="s">
        <v>1197</v>
      </c>
      <c r="H2032" t="s">
        <v>8385</v>
      </c>
      <c r="I2032">
        <v>15984</v>
      </c>
      <c r="J2032" t="s">
        <v>8384</v>
      </c>
      <c r="K2032" t="s">
        <v>8384</v>
      </c>
      <c r="L2032" t="s">
        <v>386</v>
      </c>
      <c r="M2032" t="s">
        <v>1193</v>
      </c>
      <c r="N2032">
        <v>15984</v>
      </c>
      <c r="O2032">
        <v>0</v>
      </c>
      <c r="Q2032" t="s">
        <v>8386</v>
      </c>
      <c r="T2032">
        <v>571</v>
      </c>
      <c r="V2032" t="s">
        <v>2003</v>
      </c>
      <c r="W2032" t="s">
        <v>1215</v>
      </c>
      <c r="X2032">
        <v>259</v>
      </c>
      <c r="Z2032" t="s">
        <v>865</v>
      </c>
      <c r="AA2032" t="s">
        <v>387</v>
      </c>
      <c r="AB2032">
        <v>0</v>
      </c>
      <c r="AC2032">
        <v>298</v>
      </c>
      <c r="AD2032" t="s">
        <v>8387</v>
      </c>
      <c r="AE2032">
        <v>26</v>
      </c>
      <c r="AF2032" t="s">
        <v>2075</v>
      </c>
      <c r="AG2032" t="s">
        <v>8388</v>
      </c>
      <c r="AH2032" t="s">
        <v>8389</v>
      </c>
    </row>
    <row r="2033" spans="1:34" x14ac:dyDescent="0.25">
      <c r="A2033">
        <v>3</v>
      </c>
      <c r="C2033" s="185"/>
      <c r="E2033" t="s">
        <v>386</v>
      </c>
      <c r="F2033" t="s">
        <v>8390</v>
      </c>
      <c r="G2033" t="s">
        <v>1197</v>
      </c>
      <c r="H2033" t="s">
        <v>8391</v>
      </c>
      <c r="I2033">
        <v>11730</v>
      </c>
      <c r="J2033" t="s">
        <v>8390</v>
      </c>
      <c r="K2033" t="s">
        <v>8390</v>
      </c>
      <c r="L2033" t="s">
        <v>386</v>
      </c>
      <c r="M2033" t="s">
        <v>1193</v>
      </c>
      <c r="N2033">
        <v>11730</v>
      </c>
      <c r="O2033">
        <v>0</v>
      </c>
      <c r="Q2033" t="s">
        <v>8392</v>
      </c>
      <c r="R2033" t="s">
        <v>1208</v>
      </c>
      <c r="T2033">
        <v>103</v>
      </c>
      <c r="V2033" t="s">
        <v>1530</v>
      </c>
      <c r="Z2033" t="s">
        <v>1935</v>
      </c>
      <c r="AA2033" t="s">
        <v>387</v>
      </c>
      <c r="AB2033">
        <v>0</v>
      </c>
      <c r="AC2033">
        <v>4474</v>
      </c>
      <c r="AD2033" t="s">
        <v>8393</v>
      </c>
      <c r="AE2033">
        <v>974</v>
      </c>
      <c r="AF2033" t="s">
        <v>8355</v>
      </c>
      <c r="AG2033" t="s">
        <v>8394</v>
      </c>
    </row>
    <row r="2034" spans="1:34" x14ac:dyDescent="0.25">
      <c r="A2034">
        <v>44</v>
      </c>
      <c r="C2034" s="185"/>
      <c r="E2034" t="s">
        <v>386</v>
      </c>
      <c r="F2034" t="s">
        <v>8395</v>
      </c>
      <c r="G2034" t="s">
        <v>1197</v>
      </c>
      <c r="H2034" t="s">
        <v>8396</v>
      </c>
      <c r="I2034">
        <v>16985</v>
      </c>
      <c r="J2034" t="s">
        <v>8395</v>
      </c>
      <c r="K2034" t="s">
        <v>8397</v>
      </c>
      <c r="L2034" t="s">
        <v>386</v>
      </c>
      <c r="M2034" t="s">
        <v>1193</v>
      </c>
      <c r="N2034">
        <v>16985</v>
      </c>
      <c r="O2034">
        <v>0</v>
      </c>
      <c r="Q2034" t="s">
        <v>8398</v>
      </c>
      <c r="T2034">
        <v>52</v>
      </c>
      <c r="V2034" t="s">
        <v>2024</v>
      </c>
      <c r="W2034" t="s">
        <v>1964</v>
      </c>
      <c r="X2034">
        <v>473</v>
      </c>
      <c r="Z2034" t="s">
        <v>1052</v>
      </c>
      <c r="AA2034" t="s">
        <v>387</v>
      </c>
      <c r="AB2034">
        <v>0</v>
      </c>
      <c r="AC2034">
        <v>6358</v>
      </c>
      <c r="AD2034" t="s">
        <v>8399</v>
      </c>
      <c r="AE2034">
        <v>2920</v>
      </c>
      <c r="AF2034" t="s">
        <v>8400</v>
      </c>
      <c r="AG2034" t="s">
        <v>4438</v>
      </c>
      <c r="AH2034" t="s">
        <v>8401</v>
      </c>
    </row>
    <row r="2035" spans="1:34" x14ac:dyDescent="0.25">
      <c r="A2035">
        <v>1479</v>
      </c>
      <c r="C2035" s="185"/>
      <c r="E2035" t="s">
        <v>386</v>
      </c>
      <c r="F2035" t="s">
        <v>8402</v>
      </c>
      <c r="G2035" t="s">
        <v>1197</v>
      </c>
      <c r="H2035" t="s">
        <v>8403</v>
      </c>
      <c r="I2035">
        <v>16640</v>
      </c>
      <c r="J2035" t="s">
        <v>8402</v>
      </c>
      <c r="K2035" t="s">
        <v>8402</v>
      </c>
      <c r="L2035" t="s">
        <v>386</v>
      </c>
      <c r="M2035" t="s">
        <v>1193</v>
      </c>
      <c r="N2035">
        <v>16640</v>
      </c>
      <c r="O2035">
        <v>0</v>
      </c>
      <c r="Q2035" t="s">
        <v>8404</v>
      </c>
      <c r="R2035" t="s">
        <v>1208</v>
      </c>
      <c r="T2035">
        <v>260</v>
      </c>
      <c r="V2035" t="s">
        <v>1216</v>
      </c>
      <c r="W2035" t="s">
        <v>1530</v>
      </c>
      <c r="X2035">
        <v>103</v>
      </c>
      <c r="Z2035" t="s">
        <v>2665</v>
      </c>
      <c r="AA2035" t="s">
        <v>387</v>
      </c>
      <c r="AB2035">
        <v>0</v>
      </c>
      <c r="AC2035">
        <v>6216</v>
      </c>
      <c r="AD2035" t="s">
        <v>8405</v>
      </c>
      <c r="AE2035">
        <v>2848</v>
      </c>
      <c r="AF2035" t="s">
        <v>8406</v>
      </c>
      <c r="AG2035" t="s">
        <v>8407</v>
      </c>
      <c r="AH2035" t="s">
        <v>8408</v>
      </c>
    </row>
    <row r="2036" spans="1:34" x14ac:dyDescent="0.25">
      <c r="A2036">
        <v>3</v>
      </c>
      <c r="C2036" s="185"/>
      <c r="D2036" t="s">
        <v>24</v>
      </c>
      <c r="E2036" t="s">
        <v>386</v>
      </c>
      <c r="F2036" t="s">
        <v>8409</v>
      </c>
      <c r="G2036" t="s">
        <v>1197</v>
      </c>
      <c r="H2036" t="s">
        <v>8410</v>
      </c>
      <c r="I2036">
        <v>2584</v>
      </c>
      <c r="J2036" t="s">
        <v>8409</v>
      </c>
      <c r="K2036" t="s">
        <v>8411</v>
      </c>
      <c r="L2036" t="s">
        <v>386</v>
      </c>
      <c r="M2036" t="s">
        <v>1193</v>
      </c>
      <c r="N2036">
        <v>2584</v>
      </c>
      <c r="O2036">
        <v>10</v>
      </c>
      <c r="Q2036" t="s">
        <v>8412</v>
      </c>
      <c r="R2036" t="s">
        <v>398</v>
      </c>
      <c r="T2036">
        <v>0</v>
      </c>
      <c r="V2036" t="s">
        <v>1186</v>
      </c>
      <c r="Z2036" t="s">
        <v>1935</v>
      </c>
      <c r="AA2036" t="s">
        <v>387</v>
      </c>
      <c r="AB2036">
        <v>6000</v>
      </c>
      <c r="AC2036">
        <v>1869</v>
      </c>
      <c r="AD2036" t="s">
        <v>8413</v>
      </c>
      <c r="AE2036">
        <v>266</v>
      </c>
      <c r="AF2036" t="s">
        <v>8414</v>
      </c>
      <c r="AG2036" t="s">
        <v>8415</v>
      </c>
    </row>
    <row r="2037" spans="1:34" x14ac:dyDescent="0.25">
      <c r="A2037">
        <v>3</v>
      </c>
      <c r="C2037" s="185"/>
      <c r="E2037" t="s">
        <v>386</v>
      </c>
      <c r="F2037" t="s">
        <v>8416</v>
      </c>
      <c r="G2037" t="s">
        <v>1197</v>
      </c>
      <c r="H2037" t="s">
        <v>8417</v>
      </c>
      <c r="I2037">
        <v>2966</v>
      </c>
      <c r="J2037" t="s">
        <v>8416</v>
      </c>
      <c r="K2037" t="s">
        <v>8418</v>
      </c>
      <c r="L2037" t="s">
        <v>386</v>
      </c>
      <c r="M2037" t="s">
        <v>1193</v>
      </c>
      <c r="N2037">
        <v>2966</v>
      </c>
      <c r="O2037">
        <v>0</v>
      </c>
      <c r="Q2037" t="s">
        <v>8419</v>
      </c>
      <c r="T2037">
        <v>39</v>
      </c>
      <c r="V2037" t="s">
        <v>2144</v>
      </c>
      <c r="Z2037" t="s">
        <v>1935</v>
      </c>
      <c r="AA2037" t="s">
        <v>387</v>
      </c>
      <c r="AB2037">
        <v>0</v>
      </c>
      <c r="AC2037">
        <v>1990</v>
      </c>
      <c r="AD2037" t="s">
        <v>8420</v>
      </c>
      <c r="AE2037">
        <v>959</v>
      </c>
      <c r="AF2037" t="s">
        <v>5657</v>
      </c>
      <c r="AG2037" t="s">
        <v>8421</v>
      </c>
      <c r="AH2037" t="s">
        <v>8422</v>
      </c>
    </row>
    <row r="2038" spans="1:34" x14ac:dyDescent="0.25">
      <c r="A2038">
        <v>1</v>
      </c>
      <c r="C2038" s="185"/>
      <c r="E2038" t="s">
        <v>386</v>
      </c>
      <c r="F2038" t="s">
        <v>8423</v>
      </c>
      <c r="G2038" t="s">
        <v>1192</v>
      </c>
      <c r="I2038">
        <v>3052</v>
      </c>
      <c r="J2038" t="s">
        <v>8423</v>
      </c>
      <c r="K2038" t="s">
        <v>8423</v>
      </c>
      <c r="L2038" t="s">
        <v>386</v>
      </c>
      <c r="M2038" t="s">
        <v>1184</v>
      </c>
      <c r="N2038">
        <v>3052</v>
      </c>
      <c r="O2038">
        <v>0</v>
      </c>
      <c r="Q2038" t="s">
        <v>8424</v>
      </c>
      <c r="R2038" t="s">
        <v>1208</v>
      </c>
      <c r="T2038">
        <v>35</v>
      </c>
      <c r="V2038" t="s">
        <v>2015</v>
      </c>
      <c r="Z2038" t="s">
        <v>865</v>
      </c>
      <c r="AA2038" t="s">
        <v>387</v>
      </c>
      <c r="AB2038">
        <v>0</v>
      </c>
      <c r="AC2038">
        <v>2042</v>
      </c>
      <c r="AD2038" t="s">
        <v>8425</v>
      </c>
      <c r="AE2038">
        <v>270</v>
      </c>
      <c r="AF2038" t="s">
        <v>1030</v>
      </c>
      <c r="AG2038" t="s">
        <v>8426</v>
      </c>
      <c r="AH2038" t="s">
        <v>8427</v>
      </c>
    </row>
    <row r="2039" spans="1:34" x14ac:dyDescent="0.25">
      <c r="A2039">
        <v>1479</v>
      </c>
      <c r="C2039" s="185"/>
      <c r="E2039" t="s">
        <v>386</v>
      </c>
      <c r="F2039" t="s">
        <v>8428</v>
      </c>
      <c r="G2039" t="s">
        <v>1197</v>
      </c>
      <c r="H2039" t="s">
        <v>8429</v>
      </c>
      <c r="I2039">
        <v>11436</v>
      </c>
      <c r="J2039" t="s">
        <v>8428</v>
      </c>
      <c r="K2039" t="s">
        <v>8430</v>
      </c>
      <c r="L2039" t="s">
        <v>386</v>
      </c>
      <c r="M2039" t="s">
        <v>1193</v>
      </c>
      <c r="N2039">
        <v>11436</v>
      </c>
      <c r="O2039">
        <v>0</v>
      </c>
      <c r="Q2039" t="s">
        <v>8431</v>
      </c>
      <c r="R2039" t="s">
        <v>1208</v>
      </c>
      <c r="T2039">
        <v>340</v>
      </c>
      <c r="V2039" t="s">
        <v>1200</v>
      </c>
      <c r="W2039" t="s">
        <v>2144</v>
      </c>
      <c r="X2039">
        <v>39</v>
      </c>
      <c r="Z2039" t="s">
        <v>2665</v>
      </c>
      <c r="AA2039" t="s">
        <v>387</v>
      </c>
      <c r="AB2039">
        <v>0</v>
      </c>
      <c r="AC2039">
        <v>2768</v>
      </c>
      <c r="AD2039" t="s">
        <v>8432</v>
      </c>
      <c r="AE2039">
        <v>266</v>
      </c>
      <c r="AF2039" t="s">
        <v>8414</v>
      </c>
      <c r="AG2039" t="s">
        <v>7010</v>
      </c>
      <c r="AH2039" t="s">
        <v>8433</v>
      </c>
    </row>
    <row r="2040" spans="1:34" x14ac:dyDescent="0.25">
      <c r="A2040">
        <v>1035</v>
      </c>
      <c r="C2040" s="185"/>
      <c r="E2040" t="s">
        <v>386</v>
      </c>
      <c r="F2040" t="s">
        <v>8434</v>
      </c>
      <c r="G2040" t="s">
        <v>1238</v>
      </c>
      <c r="H2040" t="s">
        <v>8435</v>
      </c>
      <c r="I2040">
        <v>6301</v>
      </c>
      <c r="J2040" t="s">
        <v>8434</v>
      </c>
      <c r="K2040" t="s">
        <v>8434</v>
      </c>
      <c r="L2040" t="s">
        <v>386</v>
      </c>
      <c r="M2040" t="s">
        <v>1184</v>
      </c>
      <c r="N2040">
        <v>6301</v>
      </c>
      <c r="O2040">
        <v>0</v>
      </c>
      <c r="Q2040" t="s">
        <v>8436</v>
      </c>
      <c r="T2040">
        <v>388</v>
      </c>
      <c r="V2040" t="s">
        <v>1712</v>
      </c>
      <c r="W2040" t="s">
        <v>2144</v>
      </c>
      <c r="X2040">
        <v>39</v>
      </c>
      <c r="Z2040" t="s">
        <v>8437</v>
      </c>
      <c r="AA2040" t="s">
        <v>387</v>
      </c>
      <c r="AB2040">
        <v>0</v>
      </c>
      <c r="AC2040">
        <v>1891</v>
      </c>
      <c r="AD2040" t="s">
        <v>8438</v>
      </c>
      <c r="AE2040">
        <v>18</v>
      </c>
      <c r="AF2040" t="s">
        <v>1259</v>
      </c>
      <c r="AG2040" t="s">
        <v>1244</v>
      </c>
    </row>
    <row r="2041" spans="1:34" x14ac:dyDescent="0.25">
      <c r="A2041">
        <v>1479</v>
      </c>
      <c r="C2041" s="185"/>
      <c r="E2041" t="s">
        <v>386</v>
      </c>
      <c r="F2041" t="s">
        <v>6543</v>
      </c>
      <c r="G2041" t="s">
        <v>1197</v>
      </c>
      <c r="H2041" t="s">
        <v>8439</v>
      </c>
      <c r="I2041">
        <v>15036</v>
      </c>
      <c r="J2041" t="s">
        <v>6543</v>
      </c>
      <c r="K2041" t="s">
        <v>8440</v>
      </c>
      <c r="L2041" t="s">
        <v>386</v>
      </c>
      <c r="M2041" t="s">
        <v>1193</v>
      </c>
      <c r="N2041">
        <v>15036</v>
      </c>
      <c r="O2041">
        <v>0</v>
      </c>
      <c r="Q2041" t="s">
        <v>8441</v>
      </c>
      <c r="R2041" t="s">
        <v>1208</v>
      </c>
      <c r="T2041">
        <v>103</v>
      </c>
      <c r="V2041" t="s">
        <v>1530</v>
      </c>
      <c r="W2041" t="s">
        <v>1530</v>
      </c>
      <c r="X2041">
        <v>103</v>
      </c>
      <c r="Z2041" t="s">
        <v>2665</v>
      </c>
      <c r="AA2041" t="s">
        <v>387</v>
      </c>
      <c r="AB2041">
        <v>0</v>
      </c>
      <c r="AC2041">
        <v>5709</v>
      </c>
      <c r="AD2041" t="s">
        <v>8442</v>
      </c>
      <c r="AE2041">
        <v>145</v>
      </c>
      <c r="AF2041" t="s">
        <v>8443</v>
      </c>
      <c r="AG2041" t="s">
        <v>8444</v>
      </c>
      <c r="AH2041" t="s">
        <v>8445</v>
      </c>
    </row>
    <row r="2042" spans="1:34" x14ac:dyDescent="0.25">
      <c r="A2042">
        <v>1898</v>
      </c>
      <c r="C2042" s="185"/>
      <c r="D2042" t="s">
        <v>157</v>
      </c>
      <c r="E2042" t="s">
        <v>386</v>
      </c>
      <c r="F2042" t="s">
        <v>8446</v>
      </c>
      <c r="G2042" t="s">
        <v>1192</v>
      </c>
      <c r="H2042" t="s">
        <v>4287</v>
      </c>
      <c r="I2042">
        <v>10421</v>
      </c>
      <c r="J2042" t="s">
        <v>8446</v>
      </c>
      <c r="K2042" t="s">
        <v>8447</v>
      </c>
      <c r="L2042" t="s">
        <v>386</v>
      </c>
      <c r="M2042" t="s">
        <v>1184</v>
      </c>
      <c r="N2042">
        <v>10421</v>
      </c>
      <c r="O2042">
        <v>38</v>
      </c>
      <c r="Q2042" t="s">
        <v>8448</v>
      </c>
      <c r="R2042" t="s">
        <v>398</v>
      </c>
      <c r="T2042">
        <v>388</v>
      </c>
      <c r="V2042" t="s">
        <v>1712</v>
      </c>
      <c r="W2042" t="s">
        <v>1216</v>
      </c>
      <c r="X2042">
        <v>260</v>
      </c>
      <c r="Z2042" t="s">
        <v>4289</v>
      </c>
      <c r="AA2042" t="s">
        <v>387</v>
      </c>
      <c r="AB2042">
        <v>0</v>
      </c>
      <c r="AC2042">
        <v>4042</v>
      </c>
      <c r="AD2042" t="s">
        <v>8449</v>
      </c>
      <c r="AE2042">
        <v>18</v>
      </c>
      <c r="AF2042" t="s">
        <v>1259</v>
      </c>
    </row>
    <row r="2043" spans="1:34" x14ac:dyDescent="0.25">
      <c r="A2043">
        <v>63</v>
      </c>
      <c r="C2043" s="185"/>
      <c r="E2043" t="s">
        <v>386</v>
      </c>
      <c r="F2043" t="s">
        <v>8450</v>
      </c>
      <c r="H2043" t="s">
        <v>8451</v>
      </c>
      <c r="I2043">
        <v>8728</v>
      </c>
      <c r="J2043" t="s">
        <v>8450</v>
      </c>
      <c r="K2043" t="s">
        <v>8452</v>
      </c>
      <c r="L2043" t="s">
        <v>386</v>
      </c>
      <c r="M2043" t="s">
        <v>1193</v>
      </c>
      <c r="N2043">
        <v>8728</v>
      </c>
      <c r="O2043">
        <v>0</v>
      </c>
      <c r="Q2043" t="s">
        <v>8453</v>
      </c>
      <c r="R2043" t="s">
        <v>1208</v>
      </c>
      <c r="T2043">
        <v>103</v>
      </c>
      <c r="V2043" t="s">
        <v>1530</v>
      </c>
      <c r="Z2043" t="s">
        <v>3649</v>
      </c>
      <c r="AA2043" t="s">
        <v>387</v>
      </c>
      <c r="AB2043">
        <v>0</v>
      </c>
      <c r="AC2043">
        <v>3494</v>
      </c>
      <c r="AD2043" t="s">
        <v>8454</v>
      </c>
      <c r="AE2043">
        <v>1623</v>
      </c>
      <c r="AF2043" t="s">
        <v>8455</v>
      </c>
      <c r="AG2043" t="s">
        <v>4064</v>
      </c>
      <c r="AH2043" t="s">
        <v>8456</v>
      </c>
    </row>
    <row r="2044" spans="1:34" x14ac:dyDescent="0.25">
      <c r="A2044">
        <v>1479</v>
      </c>
      <c r="C2044" s="185"/>
      <c r="E2044" t="s">
        <v>386</v>
      </c>
      <c r="F2044" t="s">
        <v>8457</v>
      </c>
      <c r="G2044" t="s">
        <v>1197</v>
      </c>
      <c r="H2044" t="s">
        <v>8458</v>
      </c>
      <c r="I2044">
        <v>5521</v>
      </c>
      <c r="J2044" t="s">
        <v>8457</v>
      </c>
      <c r="K2044" t="s">
        <v>8459</v>
      </c>
      <c r="L2044" t="s">
        <v>386</v>
      </c>
      <c r="M2044" t="s">
        <v>1193</v>
      </c>
      <c r="N2044">
        <v>5521</v>
      </c>
      <c r="O2044">
        <v>0</v>
      </c>
      <c r="Q2044" t="s">
        <v>8460</v>
      </c>
      <c r="T2044">
        <v>39</v>
      </c>
      <c r="V2044" t="s">
        <v>2144</v>
      </c>
      <c r="Z2044" t="s">
        <v>2665</v>
      </c>
      <c r="AA2044" t="s">
        <v>387</v>
      </c>
      <c r="AB2044">
        <v>0</v>
      </c>
      <c r="AC2044">
        <v>796</v>
      </c>
      <c r="AD2044" t="s">
        <v>8461</v>
      </c>
      <c r="AE2044">
        <v>1098</v>
      </c>
      <c r="AF2044" t="s">
        <v>4119</v>
      </c>
      <c r="AG2044" t="s">
        <v>8462</v>
      </c>
    </row>
    <row r="2045" spans="1:34" x14ac:dyDescent="0.25">
      <c r="A2045">
        <v>3</v>
      </c>
      <c r="B2045" t="s">
        <v>1313</v>
      </c>
      <c r="C2045" s="185"/>
      <c r="E2045" t="s">
        <v>386</v>
      </c>
      <c r="F2045" t="s">
        <v>8463</v>
      </c>
      <c r="G2045" t="s">
        <v>1197</v>
      </c>
      <c r="H2045" t="s">
        <v>8464</v>
      </c>
      <c r="I2045">
        <v>371</v>
      </c>
      <c r="J2045" t="s">
        <v>8463</v>
      </c>
      <c r="K2045" t="s">
        <v>8463</v>
      </c>
      <c r="L2045" t="s">
        <v>386</v>
      </c>
      <c r="M2045" t="s">
        <v>1193</v>
      </c>
      <c r="N2045">
        <v>371</v>
      </c>
      <c r="O2045">
        <v>0</v>
      </c>
      <c r="Q2045" t="s">
        <v>8465</v>
      </c>
      <c r="S2045" t="s">
        <v>1315</v>
      </c>
      <c r="T2045">
        <v>0</v>
      </c>
      <c r="U2045">
        <v>0</v>
      </c>
      <c r="V2045" t="s">
        <v>1186</v>
      </c>
      <c r="Y2045" t="s">
        <v>1317</v>
      </c>
      <c r="Z2045" t="s">
        <v>1935</v>
      </c>
      <c r="AA2045" t="s">
        <v>387</v>
      </c>
      <c r="AB2045">
        <v>0</v>
      </c>
      <c r="AC2045">
        <v>211</v>
      </c>
      <c r="AD2045" t="s">
        <v>8466</v>
      </c>
      <c r="AE2045">
        <v>158</v>
      </c>
      <c r="AF2045" t="s">
        <v>8467</v>
      </c>
      <c r="AG2045" t="s">
        <v>7366</v>
      </c>
      <c r="AH2045" t="s">
        <v>8468</v>
      </c>
    </row>
    <row r="2046" spans="1:34" x14ac:dyDescent="0.25">
      <c r="A2046">
        <v>1</v>
      </c>
      <c r="C2046" s="185"/>
      <c r="E2046" t="s">
        <v>386</v>
      </c>
      <c r="F2046" t="s">
        <v>8469</v>
      </c>
      <c r="G2046" t="s">
        <v>1192</v>
      </c>
      <c r="H2046" t="s">
        <v>2690</v>
      </c>
      <c r="I2046">
        <v>272</v>
      </c>
      <c r="J2046" t="s">
        <v>8469</v>
      </c>
      <c r="K2046" t="s">
        <v>8469</v>
      </c>
      <c r="L2046" t="s">
        <v>386</v>
      </c>
      <c r="M2046" t="s">
        <v>1184</v>
      </c>
      <c r="N2046">
        <v>272</v>
      </c>
      <c r="O2046">
        <v>0</v>
      </c>
      <c r="Q2046" t="s">
        <v>8470</v>
      </c>
      <c r="R2046" t="s">
        <v>1208</v>
      </c>
      <c r="T2046">
        <v>200</v>
      </c>
      <c r="V2046" t="s">
        <v>1199</v>
      </c>
      <c r="W2046" t="s">
        <v>5408</v>
      </c>
      <c r="X2046">
        <v>383</v>
      </c>
      <c r="Z2046" t="s">
        <v>865</v>
      </c>
      <c r="AA2046" t="s">
        <v>386</v>
      </c>
      <c r="AB2046">
        <v>0</v>
      </c>
      <c r="AC2046">
        <v>82</v>
      </c>
      <c r="AD2046" t="s">
        <v>2692</v>
      </c>
      <c r="AE2046">
        <v>326</v>
      </c>
      <c r="AF2046" t="s">
        <v>8471</v>
      </c>
      <c r="AG2046" t="s">
        <v>8472</v>
      </c>
    </row>
    <row r="2047" spans="1:34" x14ac:dyDescent="0.25">
      <c r="A2047">
        <v>63</v>
      </c>
      <c r="C2047" s="185"/>
      <c r="E2047" t="s">
        <v>386</v>
      </c>
      <c r="F2047" t="s">
        <v>8473</v>
      </c>
      <c r="G2047" t="s">
        <v>1197</v>
      </c>
      <c r="H2047" t="s">
        <v>8474</v>
      </c>
      <c r="I2047">
        <v>10988</v>
      </c>
      <c r="J2047" t="s">
        <v>8473</v>
      </c>
      <c r="K2047" t="s">
        <v>8473</v>
      </c>
      <c r="L2047" t="s">
        <v>386</v>
      </c>
      <c r="M2047" t="s">
        <v>1193</v>
      </c>
      <c r="N2047">
        <v>10988</v>
      </c>
      <c r="O2047">
        <v>0</v>
      </c>
      <c r="Q2047" t="s">
        <v>8475</v>
      </c>
      <c r="T2047">
        <v>260</v>
      </c>
      <c r="V2047" t="s">
        <v>1216</v>
      </c>
      <c r="Z2047" t="s">
        <v>3649</v>
      </c>
      <c r="AA2047" t="s">
        <v>387</v>
      </c>
      <c r="AB2047">
        <v>0</v>
      </c>
      <c r="AC2047">
        <v>4208</v>
      </c>
      <c r="AD2047" t="s">
        <v>8476</v>
      </c>
      <c r="AE2047">
        <v>1371</v>
      </c>
      <c r="AF2047" t="s">
        <v>8477</v>
      </c>
      <c r="AG2047" t="s">
        <v>8478</v>
      </c>
      <c r="AH2047" t="s">
        <v>8479</v>
      </c>
    </row>
    <row r="2048" spans="1:34" x14ac:dyDescent="0.25">
      <c r="A2048">
        <v>3</v>
      </c>
      <c r="C2048" s="185"/>
      <c r="E2048" t="s">
        <v>386</v>
      </c>
      <c r="F2048" t="s">
        <v>8480</v>
      </c>
      <c r="G2048" t="s">
        <v>1197</v>
      </c>
      <c r="H2048" t="s">
        <v>8481</v>
      </c>
      <c r="I2048">
        <v>1982</v>
      </c>
      <c r="J2048" t="s">
        <v>8480</v>
      </c>
      <c r="K2048" t="s">
        <v>8480</v>
      </c>
      <c r="L2048" t="s">
        <v>386</v>
      </c>
      <c r="M2048" t="s">
        <v>1193</v>
      </c>
      <c r="N2048">
        <v>1982</v>
      </c>
      <c r="O2048">
        <v>0</v>
      </c>
      <c r="Q2048" t="s">
        <v>8482</v>
      </c>
      <c r="R2048" t="s">
        <v>398</v>
      </c>
      <c r="T2048">
        <v>35</v>
      </c>
      <c r="V2048" t="s">
        <v>2015</v>
      </c>
      <c r="Z2048" t="s">
        <v>1935</v>
      </c>
      <c r="AA2048" t="s">
        <v>387</v>
      </c>
      <c r="AB2048">
        <v>0</v>
      </c>
      <c r="AC2048">
        <v>1473</v>
      </c>
      <c r="AD2048" t="s">
        <v>8483</v>
      </c>
      <c r="AE2048">
        <v>1</v>
      </c>
      <c r="AF2048" t="s">
        <v>1922</v>
      </c>
      <c r="AG2048" t="s">
        <v>8484</v>
      </c>
      <c r="AH2048" t="s">
        <v>8485</v>
      </c>
    </row>
    <row r="2049" spans="1:34" x14ac:dyDescent="0.25">
      <c r="A2049">
        <v>3</v>
      </c>
      <c r="C2049" s="185"/>
      <c r="E2049" t="s">
        <v>386</v>
      </c>
      <c r="F2049" t="s">
        <v>8486</v>
      </c>
      <c r="G2049" t="s">
        <v>1197</v>
      </c>
      <c r="H2049" t="s">
        <v>8487</v>
      </c>
      <c r="I2049">
        <v>284</v>
      </c>
      <c r="J2049" t="s">
        <v>8486</v>
      </c>
      <c r="K2049" t="s">
        <v>8488</v>
      </c>
      <c r="L2049" t="s">
        <v>386</v>
      </c>
      <c r="M2049" t="s">
        <v>1193</v>
      </c>
      <c r="N2049">
        <v>284</v>
      </c>
      <c r="O2049">
        <v>0</v>
      </c>
      <c r="Q2049" t="s">
        <v>8489</v>
      </c>
      <c r="T2049">
        <v>12</v>
      </c>
      <c r="V2049" t="s">
        <v>8490</v>
      </c>
      <c r="Z2049" t="s">
        <v>1935</v>
      </c>
      <c r="AA2049" t="s">
        <v>387</v>
      </c>
      <c r="AB2049">
        <v>0</v>
      </c>
      <c r="AC2049">
        <v>380</v>
      </c>
      <c r="AD2049" t="s">
        <v>4362</v>
      </c>
      <c r="AE2049">
        <v>117</v>
      </c>
      <c r="AF2049" t="s">
        <v>8491</v>
      </c>
      <c r="AG2049" t="s">
        <v>8492</v>
      </c>
      <c r="AH2049" t="s">
        <v>8493</v>
      </c>
    </row>
    <row r="2050" spans="1:34" x14ac:dyDescent="0.25">
      <c r="A2050">
        <v>1479</v>
      </c>
      <c r="C2050" s="185"/>
      <c r="E2050" t="s">
        <v>386</v>
      </c>
      <c r="F2050" t="s">
        <v>8494</v>
      </c>
      <c r="G2050" t="s">
        <v>1197</v>
      </c>
      <c r="H2050" t="s">
        <v>8495</v>
      </c>
      <c r="I2050">
        <v>16528</v>
      </c>
      <c r="J2050" t="s">
        <v>8494</v>
      </c>
      <c r="K2050" t="s">
        <v>8496</v>
      </c>
      <c r="L2050" t="s">
        <v>386</v>
      </c>
      <c r="M2050" t="s">
        <v>1193</v>
      </c>
      <c r="N2050">
        <v>16528</v>
      </c>
      <c r="O2050">
        <v>0</v>
      </c>
      <c r="Q2050" t="s">
        <v>8497</v>
      </c>
      <c r="T2050">
        <v>502</v>
      </c>
      <c r="V2050" t="s">
        <v>4156</v>
      </c>
      <c r="W2050" t="s">
        <v>4156</v>
      </c>
      <c r="X2050">
        <v>502</v>
      </c>
      <c r="Z2050" t="s">
        <v>2665</v>
      </c>
      <c r="AA2050" t="s">
        <v>387</v>
      </c>
      <c r="AB2050">
        <v>0</v>
      </c>
      <c r="AC2050">
        <v>6175</v>
      </c>
      <c r="AD2050" t="s">
        <v>8498</v>
      </c>
      <c r="AE2050">
        <v>2833</v>
      </c>
      <c r="AF2050" t="s">
        <v>8499</v>
      </c>
      <c r="AG2050" t="s">
        <v>8500</v>
      </c>
      <c r="AH2050" t="s">
        <v>8501</v>
      </c>
    </row>
    <row r="2051" spans="1:34" x14ac:dyDescent="0.25">
      <c r="A2051">
        <v>1479</v>
      </c>
      <c r="C2051" s="185"/>
      <c r="E2051" t="s">
        <v>386</v>
      </c>
      <c r="F2051" t="s">
        <v>8502</v>
      </c>
      <c r="G2051" t="s">
        <v>1197</v>
      </c>
      <c r="H2051" t="s">
        <v>8503</v>
      </c>
      <c r="I2051">
        <v>16787</v>
      </c>
      <c r="J2051" t="s">
        <v>8502</v>
      </c>
      <c r="K2051" t="s">
        <v>8504</v>
      </c>
      <c r="L2051" t="s">
        <v>386</v>
      </c>
      <c r="M2051" t="s">
        <v>1193</v>
      </c>
      <c r="N2051">
        <v>16787</v>
      </c>
      <c r="O2051">
        <v>0</v>
      </c>
      <c r="Q2051" t="s">
        <v>8505</v>
      </c>
      <c r="T2051">
        <v>259</v>
      </c>
      <c r="V2051" t="s">
        <v>1215</v>
      </c>
      <c r="W2051" t="s">
        <v>1216</v>
      </c>
      <c r="X2051">
        <v>260</v>
      </c>
      <c r="Z2051" t="s">
        <v>2665</v>
      </c>
      <c r="AA2051" t="s">
        <v>387</v>
      </c>
      <c r="AB2051">
        <v>0</v>
      </c>
      <c r="AC2051">
        <v>259</v>
      </c>
      <c r="AD2051" t="s">
        <v>5656</v>
      </c>
      <c r="AE2051">
        <v>68</v>
      </c>
      <c r="AF2051" t="s">
        <v>5656</v>
      </c>
      <c r="AG2051" t="s">
        <v>6670</v>
      </c>
      <c r="AH2051" t="s">
        <v>8506</v>
      </c>
    </row>
    <row r="2052" spans="1:34" x14ac:dyDescent="0.25">
      <c r="A2052">
        <v>1479</v>
      </c>
      <c r="C2052" s="185"/>
      <c r="E2052" t="s">
        <v>386</v>
      </c>
      <c r="F2052" t="s">
        <v>713</v>
      </c>
      <c r="G2052" t="s">
        <v>1197</v>
      </c>
      <c r="H2052" t="s">
        <v>8507</v>
      </c>
      <c r="I2052">
        <v>17435</v>
      </c>
      <c r="J2052" t="s">
        <v>713</v>
      </c>
      <c r="K2052" t="s">
        <v>713</v>
      </c>
      <c r="L2052" t="s">
        <v>386</v>
      </c>
      <c r="M2052" t="s">
        <v>1193</v>
      </c>
      <c r="N2052">
        <v>17435</v>
      </c>
      <c r="O2052">
        <v>0</v>
      </c>
      <c r="Q2052" t="s">
        <v>8508</v>
      </c>
      <c r="R2052" t="s">
        <v>398</v>
      </c>
      <c r="T2052">
        <v>52</v>
      </c>
      <c r="V2052" t="s">
        <v>2024</v>
      </c>
      <c r="W2052" t="s">
        <v>4468</v>
      </c>
      <c r="X2052">
        <v>470</v>
      </c>
      <c r="Z2052" t="s">
        <v>2665</v>
      </c>
      <c r="AA2052" t="s">
        <v>387</v>
      </c>
      <c r="AB2052">
        <v>0</v>
      </c>
      <c r="AC2052">
        <v>6541</v>
      </c>
      <c r="AD2052" t="s">
        <v>8509</v>
      </c>
      <c r="AE2052">
        <v>617</v>
      </c>
      <c r="AF2052" t="s">
        <v>8510</v>
      </c>
      <c r="AG2052" t="s">
        <v>8511</v>
      </c>
      <c r="AH2052" t="s">
        <v>8512</v>
      </c>
    </row>
    <row r="2053" spans="1:34" x14ac:dyDescent="0.25">
      <c r="A2053">
        <v>2129</v>
      </c>
      <c r="C2053" s="185"/>
      <c r="E2053" t="s">
        <v>386</v>
      </c>
      <c r="F2053" t="s">
        <v>8513</v>
      </c>
      <c r="G2053" t="s">
        <v>1238</v>
      </c>
      <c r="H2053" t="s">
        <v>8514</v>
      </c>
      <c r="I2053">
        <v>15125</v>
      </c>
      <c r="J2053" t="s">
        <v>8513</v>
      </c>
      <c r="K2053" t="s">
        <v>8515</v>
      </c>
      <c r="L2053" t="s">
        <v>386</v>
      </c>
      <c r="M2053" t="s">
        <v>1184</v>
      </c>
      <c r="N2053">
        <v>15125</v>
      </c>
      <c r="O2053">
        <v>0</v>
      </c>
      <c r="Q2053" t="s">
        <v>8516</v>
      </c>
      <c r="T2053">
        <v>571</v>
      </c>
      <c r="V2053" t="s">
        <v>2003</v>
      </c>
      <c r="W2053" t="s">
        <v>3129</v>
      </c>
      <c r="X2053">
        <v>435</v>
      </c>
      <c r="Z2053" t="s">
        <v>8517</v>
      </c>
      <c r="AA2053" t="s">
        <v>387</v>
      </c>
      <c r="AB2053">
        <v>0</v>
      </c>
      <c r="AC2053">
        <v>5744</v>
      </c>
      <c r="AD2053" t="s">
        <v>8518</v>
      </c>
      <c r="AE2053">
        <v>18</v>
      </c>
      <c r="AF2053" t="s">
        <v>1259</v>
      </c>
      <c r="AG2053" t="s">
        <v>1244</v>
      </c>
      <c r="AH2053" t="s">
        <v>8519</v>
      </c>
    </row>
    <row r="2054" spans="1:34" x14ac:dyDescent="0.25">
      <c r="A2054">
        <v>1275</v>
      </c>
      <c r="C2054" s="185"/>
      <c r="E2054" t="s">
        <v>386</v>
      </c>
      <c r="F2054" t="s">
        <v>8520</v>
      </c>
      <c r="G2054" t="s">
        <v>1238</v>
      </c>
      <c r="H2054" t="s">
        <v>3185</v>
      </c>
      <c r="I2054">
        <v>6086</v>
      </c>
      <c r="J2054" t="s">
        <v>8520</v>
      </c>
      <c r="K2054" t="s">
        <v>3186</v>
      </c>
      <c r="L2054" t="s">
        <v>386</v>
      </c>
      <c r="M2054" t="s">
        <v>1184</v>
      </c>
      <c r="N2054">
        <v>6086</v>
      </c>
      <c r="O2054">
        <v>25</v>
      </c>
      <c r="Q2054" t="s">
        <v>8521</v>
      </c>
      <c r="R2054" t="s">
        <v>1208</v>
      </c>
      <c r="T2054">
        <v>260</v>
      </c>
      <c r="V2054" t="s">
        <v>1216</v>
      </c>
      <c r="W2054" t="s">
        <v>2003</v>
      </c>
      <c r="X2054">
        <v>571</v>
      </c>
      <c r="Z2054" t="s">
        <v>2124</v>
      </c>
      <c r="AA2054" t="s">
        <v>387</v>
      </c>
      <c r="AB2054">
        <v>0</v>
      </c>
      <c r="AC2054">
        <v>5785</v>
      </c>
      <c r="AD2054" t="s">
        <v>3187</v>
      </c>
      <c r="AE2054">
        <v>398</v>
      </c>
      <c r="AF2054" t="s">
        <v>3188</v>
      </c>
      <c r="AG2054" t="s">
        <v>3189</v>
      </c>
      <c r="AH2054" t="s">
        <v>8522</v>
      </c>
    </row>
    <row r="2055" spans="1:34" x14ac:dyDescent="0.25">
      <c r="A2055">
        <v>3</v>
      </c>
      <c r="C2055" s="185"/>
      <c r="E2055" t="s">
        <v>386</v>
      </c>
      <c r="F2055" t="s">
        <v>8523</v>
      </c>
      <c r="G2055" t="s">
        <v>1197</v>
      </c>
      <c r="H2055" t="s">
        <v>8524</v>
      </c>
      <c r="I2055">
        <v>924</v>
      </c>
      <c r="J2055" t="s">
        <v>8523</v>
      </c>
      <c r="K2055" t="s">
        <v>8523</v>
      </c>
      <c r="L2055" t="s">
        <v>386</v>
      </c>
      <c r="M2055" t="s">
        <v>1193</v>
      </c>
      <c r="N2055">
        <v>924</v>
      </c>
      <c r="O2055">
        <v>0</v>
      </c>
      <c r="Q2055" t="s">
        <v>8525</v>
      </c>
      <c r="T2055">
        <v>0</v>
      </c>
      <c r="V2055" t="s">
        <v>1186</v>
      </c>
      <c r="Z2055" t="s">
        <v>1935</v>
      </c>
      <c r="AA2055" t="s">
        <v>387</v>
      </c>
      <c r="AB2055">
        <v>0</v>
      </c>
      <c r="AC2055">
        <v>783</v>
      </c>
      <c r="AD2055" t="s">
        <v>8526</v>
      </c>
      <c r="AE2055">
        <v>117</v>
      </c>
      <c r="AF2055" t="s">
        <v>8491</v>
      </c>
      <c r="AG2055" t="s">
        <v>3526</v>
      </c>
      <c r="AH2055" t="s">
        <v>8527</v>
      </c>
    </row>
    <row r="2056" spans="1:34" x14ac:dyDescent="0.25">
      <c r="A2056">
        <v>1261</v>
      </c>
      <c r="C2056" s="185"/>
      <c r="E2056" t="s">
        <v>386</v>
      </c>
      <c r="F2056" t="s">
        <v>7637</v>
      </c>
      <c r="G2056" t="s">
        <v>1197</v>
      </c>
      <c r="H2056" t="s">
        <v>8528</v>
      </c>
      <c r="I2056">
        <v>14478</v>
      </c>
      <c r="J2056" t="s">
        <v>7637</v>
      </c>
      <c r="K2056" t="s">
        <v>7637</v>
      </c>
      <c r="L2056" t="s">
        <v>386</v>
      </c>
      <c r="M2056" t="s">
        <v>1193</v>
      </c>
      <c r="N2056">
        <v>14478</v>
      </c>
      <c r="O2056">
        <v>0</v>
      </c>
      <c r="Q2056" t="s">
        <v>8529</v>
      </c>
      <c r="R2056" t="s">
        <v>1208</v>
      </c>
      <c r="T2056">
        <v>103</v>
      </c>
      <c r="V2056" t="s">
        <v>1530</v>
      </c>
      <c r="W2056" t="s">
        <v>1530</v>
      </c>
      <c r="X2056">
        <v>103</v>
      </c>
      <c r="Z2056" t="s">
        <v>8530</v>
      </c>
      <c r="AA2056" t="s">
        <v>387</v>
      </c>
      <c r="AB2056">
        <v>0</v>
      </c>
      <c r="AC2056">
        <v>5502</v>
      </c>
      <c r="AD2056" t="s">
        <v>8531</v>
      </c>
      <c r="AE2056">
        <v>2549</v>
      </c>
      <c r="AF2056" t="s">
        <v>8532</v>
      </c>
      <c r="AG2056" t="s">
        <v>3861</v>
      </c>
      <c r="AH2056" t="s">
        <v>8533</v>
      </c>
    </row>
    <row r="2057" spans="1:34" x14ac:dyDescent="0.25">
      <c r="A2057">
        <v>2007</v>
      </c>
      <c r="C2057" s="185"/>
      <c r="E2057" t="s">
        <v>386</v>
      </c>
      <c r="F2057" t="s">
        <v>8534</v>
      </c>
      <c r="G2057" t="s">
        <v>1197</v>
      </c>
      <c r="H2057" t="s">
        <v>8535</v>
      </c>
      <c r="I2057">
        <v>13572</v>
      </c>
      <c r="J2057" t="s">
        <v>8534</v>
      </c>
      <c r="K2057" t="s">
        <v>8534</v>
      </c>
      <c r="L2057" t="s">
        <v>386</v>
      </c>
      <c r="M2057" t="s">
        <v>1193</v>
      </c>
      <c r="N2057">
        <v>13572</v>
      </c>
      <c r="O2057">
        <v>0</v>
      </c>
      <c r="Q2057" t="s">
        <v>8536</v>
      </c>
      <c r="R2057" t="s">
        <v>1208</v>
      </c>
      <c r="T2057">
        <v>304</v>
      </c>
      <c r="V2057" t="s">
        <v>2067</v>
      </c>
      <c r="W2057" t="s">
        <v>2067</v>
      </c>
      <c r="X2057">
        <v>304</v>
      </c>
      <c r="Z2057" t="s">
        <v>8537</v>
      </c>
      <c r="AA2057" t="s">
        <v>387</v>
      </c>
      <c r="AB2057">
        <v>0</v>
      </c>
      <c r="AC2057">
        <v>5105</v>
      </c>
      <c r="AD2057" t="s">
        <v>8538</v>
      </c>
      <c r="AE2057">
        <v>1</v>
      </c>
      <c r="AF2057" t="s">
        <v>1922</v>
      </c>
      <c r="AG2057" t="s">
        <v>8539</v>
      </c>
      <c r="AH2057" t="s">
        <v>8540</v>
      </c>
    </row>
    <row r="2058" spans="1:34" x14ac:dyDescent="0.25">
      <c r="A2058">
        <v>3</v>
      </c>
      <c r="C2058" s="185"/>
      <c r="D2058" t="s">
        <v>24</v>
      </c>
      <c r="E2058" t="s">
        <v>386</v>
      </c>
      <c r="F2058" t="s">
        <v>8541</v>
      </c>
      <c r="G2058" t="s">
        <v>1197</v>
      </c>
      <c r="H2058" t="s">
        <v>8542</v>
      </c>
      <c r="I2058">
        <v>4643</v>
      </c>
      <c r="J2058" t="s">
        <v>8541</v>
      </c>
      <c r="K2058" t="s">
        <v>8543</v>
      </c>
      <c r="L2058" t="s">
        <v>386</v>
      </c>
      <c r="M2058" t="s">
        <v>1193</v>
      </c>
      <c r="N2058">
        <v>4643</v>
      </c>
      <c r="O2058">
        <v>10</v>
      </c>
      <c r="Q2058" t="s">
        <v>8544</v>
      </c>
      <c r="R2058" t="s">
        <v>398</v>
      </c>
      <c r="T2058">
        <v>65</v>
      </c>
      <c r="V2058" t="s">
        <v>2315</v>
      </c>
      <c r="Z2058" t="s">
        <v>1935</v>
      </c>
      <c r="AA2058" t="s">
        <v>387</v>
      </c>
      <c r="AB2058">
        <v>6000</v>
      </c>
      <c r="AC2058">
        <v>685</v>
      </c>
      <c r="AD2058" t="s">
        <v>8545</v>
      </c>
      <c r="AE2058">
        <v>544</v>
      </c>
      <c r="AF2058" t="s">
        <v>8546</v>
      </c>
      <c r="AG2058" t="s">
        <v>8547</v>
      </c>
      <c r="AH2058" t="s">
        <v>8548</v>
      </c>
    </row>
    <row r="2059" spans="1:34" x14ac:dyDescent="0.25">
      <c r="A2059">
        <v>3</v>
      </c>
      <c r="C2059" s="185"/>
      <c r="E2059" t="s">
        <v>386</v>
      </c>
      <c r="F2059" t="s">
        <v>8549</v>
      </c>
      <c r="G2059" t="s">
        <v>1197</v>
      </c>
      <c r="H2059" t="s">
        <v>8550</v>
      </c>
      <c r="I2059">
        <v>2725</v>
      </c>
      <c r="J2059" t="s">
        <v>8549</v>
      </c>
      <c r="K2059" t="s">
        <v>8551</v>
      </c>
      <c r="L2059" t="s">
        <v>386</v>
      </c>
      <c r="M2059" t="s">
        <v>1193</v>
      </c>
      <c r="N2059">
        <v>2725</v>
      </c>
      <c r="O2059">
        <v>0</v>
      </c>
      <c r="Q2059" t="s">
        <v>8552</v>
      </c>
      <c r="T2059">
        <v>181</v>
      </c>
      <c r="V2059" t="s">
        <v>6218</v>
      </c>
      <c r="Z2059" t="s">
        <v>1935</v>
      </c>
      <c r="AA2059" t="s">
        <v>387</v>
      </c>
      <c r="AB2059">
        <v>0</v>
      </c>
      <c r="AC2059">
        <v>1856</v>
      </c>
      <c r="AD2059" t="s">
        <v>8553</v>
      </c>
      <c r="AE2059">
        <v>906</v>
      </c>
      <c r="AF2059" t="s">
        <v>8554</v>
      </c>
      <c r="AG2059" t="s">
        <v>8555</v>
      </c>
      <c r="AH2059" t="s">
        <v>8556</v>
      </c>
    </row>
    <row r="2060" spans="1:34" x14ac:dyDescent="0.25">
      <c r="A2060">
        <v>3</v>
      </c>
      <c r="C2060" s="185"/>
      <c r="E2060" t="s">
        <v>386</v>
      </c>
      <c r="F2060" t="s">
        <v>8557</v>
      </c>
      <c r="G2060" t="s">
        <v>1197</v>
      </c>
      <c r="H2060" t="s">
        <v>8558</v>
      </c>
      <c r="I2060">
        <v>5551</v>
      </c>
      <c r="J2060" t="s">
        <v>8557</v>
      </c>
      <c r="K2060" t="s">
        <v>8557</v>
      </c>
      <c r="L2060" t="s">
        <v>386</v>
      </c>
      <c r="M2060" t="s">
        <v>1193</v>
      </c>
      <c r="N2060">
        <v>5551</v>
      </c>
      <c r="O2060">
        <v>0</v>
      </c>
      <c r="Q2060" t="s">
        <v>8559</v>
      </c>
      <c r="T2060">
        <v>39</v>
      </c>
      <c r="V2060" t="s">
        <v>2144</v>
      </c>
      <c r="Z2060" t="s">
        <v>1935</v>
      </c>
      <c r="AA2060" t="s">
        <v>387</v>
      </c>
      <c r="AB2060">
        <v>0</v>
      </c>
      <c r="AC2060">
        <v>117</v>
      </c>
      <c r="AD2060" t="s">
        <v>8560</v>
      </c>
      <c r="AE2060">
        <v>1269</v>
      </c>
      <c r="AF2060" t="s">
        <v>8561</v>
      </c>
      <c r="AG2060" t="s">
        <v>8562</v>
      </c>
    </row>
    <row r="2061" spans="1:34" x14ac:dyDescent="0.25">
      <c r="A2061">
        <v>1553</v>
      </c>
      <c r="C2061" s="185"/>
      <c r="D2061" t="s">
        <v>157</v>
      </c>
      <c r="E2061" t="s">
        <v>386</v>
      </c>
      <c r="F2061" t="s">
        <v>240</v>
      </c>
      <c r="G2061" t="s">
        <v>1238</v>
      </c>
      <c r="H2061" t="s">
        <v>2830</v>
      </c>
      <c r="I2061">
        <v>14194</v>
      </c>
      <c r="J2061" t="s">
        <v>240</v>
      </c>
      <c r="K2061" t="s">
        <v>8563</v>
      </c>
      <c r="L2061" t="s">
        <v>386</v>
      </c>
      <c r="M2061" t="s">
        <v>1184</v>
      </c>
      <c r="N2061">
        <v>14194</v>
      </c>
      <c r="O2061">
        <v>59</v>
      </c>
      <c r="Q2061" t="s">
        <v>8564</v>
      </c>
      <c r="R2061" t="s">
        <v>398</v>
      </c>
      <c r="T2061">
        <v>571</v>
      </c>
      <c r="V2061" t="s">
        <v>2003</v>
      </c>
      <c r="W2061" t="s">
        <v>1216</v>
      </c>
      <c r="X2061">
        <v>260</v>
      </c>
      <c r="Z2061" t="s">
        <v>968</v>
      </c>
      <c r="AA2061" t="s">
        <v>387</v>
      </c>
      <c r="AB2061">
        <v>0</v>
      </c>
      <c r="AC2061">
        <v>5366</v>
      </c>
      <c r="AD2061" t="s">
        <v>240</v>
      </c>
      <c r="AE2061">
        <v>18</v>
      </c>
      <c r="AF2061" t="s">
        <v>1259</v>
      </c>
      <c r="AG2061" t="s">
        <v>1244</v>
      </c>
      <c r="AH2061" t="s">
        <v>5572</v>
      </c>
    </row>
    <row r="2062" spans="1:34" x14ac:dyDescent="0.25">
      <c r="A2062">
        <v>9</v>
      </c>
      <c r="B2062" t="s">
        <v>1313</v>
      </c>
      <c r="C2062" s="185"/>
      <c r="D2062" t="s">
        <v>24</v>
      </c>
      <c r="E2062" t="s">
        <v>386</v>
      </c>
      <c r="F2062" t="s">
        <v>431</v>
      </c>
      <c r="G2062" t="s">
        <v>1197</v>
      </c>
      <c r="H2062" t="s">
        <v>8565</v>
      </c>
      <c r="I2062">
        <v>7302</v>
      </c>
      <c r="J2062" t="s">
        <v>93</v>
      </c>
      <c r="K2062" t="s">
        <v>7785</v>
      </c>
      <c r="L2062" t="s">
        <v>386</v>
      </c>
      <c r="M2062" t="s">
        <v>1193</v>
      </c>
      <c r="N2062">
        <v>15336</v>
      </c>
      <c r="O2062">
        <v>55</v>
      </c>
      <c r="Q2062" t="s">
        <v>8566</v>
      </c>
      <c r="R2062" t="s">
        <v>398</v>
      </c>
      <c r="S2062" t="s">
        <v>2293</v>
      </c>
      <c r="T2062">
        <v>396</v>
      </c>
      <c r="U2062">
        <v>0</v>
      </c>
      <c r="V2062" t="s">
        <v>2186</v>
      </c>
      <c r="W2062" t="s">
        <v>1194</v>
      </c>
      <c r="X2062">
        <v>220</v>
      </c>
      <c r="Y2062" t="s">
        <v>1317</v>
      </c>
      <c r="Z2062" t="s">
        <v>864</v>
      </c>
      <c r="AA2062" t="s">
        <v>387</v>
      </c>
      <c r="AB2062">
        <v>47000</v>
      </c>
      <c r="AC2062">
        <v>225</v>
      </c>
      <c r="AD2062" t="s">
        <v>8567</v>
      </c>
      <c r="AE2062">
        <v>109</v>
      </c>
      <c r="AF2062" t="s">
        <v>8568</v>
      </c>
      <c r="AG2062" t="s">
        <v>8209</v>
      </c>
      <c r="AH2062" t="s">
        <v>7788</v>
      </c>
    </row>
    <row r="2063" spans="1:34" x14ac:dyDescent="0.25">
      <c r="A2063">
        <v>1479</v>
      </c>
      <c r="C2063" s="185"/>
      <c r="E2063" t="s">
        <v>386</v>
      </c>
      <c r="F2063" t="s">
        <v>8569</v>
      </c>
      <c r="G2063" t="s">
        <v>1197</v>
      </c>
      <c r="H2063" t="s">
        <v>8570</v>
      </c>
      <c r="I2063">
        <v>16178</v>
      </c>
      <c r="J2063" t="s">
        <v>8569</v>
      </c>
      <c r="K2063" t="s">
        <v>8571</v>
      </c>
      <c r="L2063" t="s">
        <v>386</v>
      </c>
      <c r="M2063" t="s">
        <v>1193</v>
      </c>
      <c r="N2063">
        <v>16178</v>
      </c>
      <c r="O2063">
        <v>0</v>
      </c>
      <c r="Q2063" t="s">
        <v>8572</v>
      </c>
      <c r="T2063">
        <v>496</v>
      </c>
      <c r="V2063" t="s">
        <v>2246</v>
      </c>
      <c r="W2063" t="s">
        <v>2246</v>
      </c>
      <c r="X2063">
        <v>496</v>
      </c>
      <c r="Z2063" t="s">
        <v>2665</v>
      </c>
      <c r="AA2063" t="s">
        <v>387</v>
      </c>
      <c r="AB2063">
        <v>0</v>
      </c>
      <c r="AC2063">
        <v>1383</v>
      </c>
      <c r="AD2063" t="s">
        <v>8573</v>
      </c>
      <c r="AE2063">
        <v>999</v>
      </c>
      <c r="AF2063" t="s">
        <v>8574</v>
      </c>
      <c r="AG2063" t="s">
        <v>8575</v>
      </c>
      <c r="AH2063" t="s">
        <v>8576</v>
      </c>
    </row>
    <row r="2064" spans="1:34" x14ac:dyDescent="0.25">
      <c r="A2064">
        <v>9</v>
      </c>
      <c r="C2064" s="185"/>
      <c r="D2064" t="s">
        <v>24</v>
      </c>
      <c r="E2064" t="s">
        <v>386</v>
      </c>
      <c r="F2064" t="s">
        <v>739</v>
      </c>
      <c r="G2064" t="s">
        <v>1197</v>
      </c>
      <c r="H2064" t="s">
        <v>8577</v>
      </c>
      <c r="I2064">
        <v>2619</v>
      </c>
      <c r="J2064" t="s">
        <v>739</v>
      </c>
      <c r="K2064" t="s">
        <v>8578</v>
      </c>
      <c r="L2064" t="s">
        <v>386</v>
      </c>
      <c r="M2064" t="s">
        <v>1193</v>
      </c>
      <c r="N2064">
        <v>2619</v>
      </c>
      <c r="O2064">
        <v>55</v>
      </c>
      <c r="Q2064" t="s">
        <v>8579</v>
      </c>
      <c r="R2064" t="s">
        <v>398</v>
      </c>
      <c r="T2064">
        <v>220</v>
      </c>
      <c r="V2064" t="s">
        <v>1194</v>
      </c>
      <c r="W2064" t="s">
        <v>3202</v>
      </c>
      <c r="X2064">
        <v>280</v>
      </c>
      <c r="Z2064" t="s">
        <v>864</v>
      </c>
      <c r="AA2064" t="s">
        <v>387</v>
      </c>
      <c r="AB2064">
        <v>47000</v>
      </c>
      <c r="AC2064">
        <v>1971</v>
      </c>
      <c r="AD2064" t="s">
        <v>8580</v>
      </c>
      <c r="AE2064">
        <v>951</v>
      </c>
      <c r="AF2064" t="s">
        <v>8581</v>
      </c>
      <c r="AG2064" t="s">
        <v>8582</v>
      </c>
      <c r="AH2064" t="s">
        <v>7788</v>
      </c>
    </row>
    <row r="2065" spans="1:34" x14ac:dyDescent="0.25">
      <c r="A2065">
        <v>9</v>
      </c>
      <c r="B2065" t="s">
        <v>1313</v>
      </c>
      <c r="C2065" s="185"/>
      <c r="D2065" t="s">
        <v>24</v>
      </c>
      <c r="E2065" t="s">
        <v>386</v>
      </c>
      <c r="F2065" t="s">
        <v>514</v>
      </c>
      <c r="G2065" t="s">
        <v>1197</v>
      </c>
      <c r="H2065" t="s">
        <v>8583</v>
      </c>
      <c r="I2065">
        <v>252</v>
      </c>
      <c r="J2065" t="s">
        <v>37</v>
      </c>
      <c r="K2065" t="s">
        <v>8584</v>
      </c>
      <c r="L2065" t="s">
        <v>386</v>
      </c>
      <c r="M2065" t="s">
        <v>1193</v>
      </c>
      <c r="N2065">
        <v>16143</v>
      </c>
      <c r="O2065">
        <v>55</v>
      </c>
      <c r="Q2065" t="s">
        <v>8585</v>
      </c>
      <c r="R2065" t="s">
        <v>398</v>
      </c>
      <c r="S2065" t="s">
        <v>1909</v>
      </c>
      <c r="T2065">
        <v>220</v>
      </c>
      <c r="U2065">
        <v>0</v>
      </c>
      <c r="V2065" t="s">
        <v>1194</v>
      </c>
      <c r="W2065" t="s">
        <v>5678</v>
      </c>
      <c r="X2065">
        <v>449</v>
      </c>
      <c r="Y2065" t="s">
        <v>1317</v>
      </c>
      <c r="Z2065" t="s">
        <v>864</v>
      </c>
      <c r="AA2065" t="s">
        <v>387</v>
      </c>
      <c r="AB2065">
        <v>47000</v>
      </c>
      <c r="AC2065">
        <v>373</v>
      </c>
      <c r="AD2065" t="s">
        <v>8586</v>
      </c>
      <c r="AE2065">
        <v>109</v>
      </c>
      <c r="AF2065" t="s">
        <v>8568</v>
      </c>
      <c r="AG2065" t="s">
        <v>8587</v>
      </c>
      <c r="AH2065" t="s">
        <v>8588</v>
      </c>
    </row>
    <row r="2066" spans="1:34" x14ac:dyDescent="0.25">
      <c r="A2066">
        <v>9</v>
      </c>
      <c r="C2066" s="185"/>
      <c r="E2066" t="s">
        <v>386</v>
      </c>
      <c r="F2066" t="s">
        <v>8589</v>
      </c>
      <c r="G2066" t="s">
        <v>1197</v>
      </c>
      <c r="H2066" t="s">
        <v>8590</v>
      </c>
      <c r="I2066">
        <v>2200</v>
      </c>
      <c r="J2066" t="s">
        <v>8589</v>
      </c>
      <c r="K2066" t="s">
        <v>8591</v>
      </c>
      <c r="L2066" t="s">
        <v>386</v>
      </c>
      <c r="M2066" t="s">
        <v>1193</v>
      </c>
      <c r="N2066">
        <v>2200</v>
      </c>
      <c r="O2066">
        <v>0</v>
      </c>
      <c r="Q2066" t="s">
        <v>8592</v>
      </c>
      <c r="T2066">
        <v>52</v>
      </c>
      <c r="V2066" t="s">
        <v>2024</v>
      </c>
      <c r="Z2066" t="s">
        <v>864</v>
      </c>
      <c r="AA2066" t="s">
        <v>387</v>
      </c>
      <c r="AB2066">
        <v>0</v>
      </c>
      <c r="AC2066">
        <v>1620</v>
      </c>
      <c r="AD2066" t="s">
        <v>8593</v>
      </c>
      <c r="AE2066">
        <v>791</v>
      </c>
      <c r="AF2066" t="s">
        <v>8594</v>
      </c>
      <c r="AG2066" t="s">
        <v>8595</v>
      </c>
      <c r="AH2066" t="s">
        <v>8596</v>
      </c>
    </row>
    <row r="2067" spans="1:34" x14ac:dyDescent="0.25">
      <c r="A2067">
        <v>3</v>
      </c>
      <c r="C2067" s="185"/>
      <c r="E2067" t="s">
        <v>386</v>
      </c>
      <c r="F2067" t="s">
        <v>8597</v>
      </c>
      <c r="G2067" t="s">
        <v>1197</v>
      </c>
      <c r="H2067" t="s">
        <v>8598</v>
      </c>
      <c r="I2067">
        <v>12227</v>
      </c>
      <c r="J2067" t="s">
        <v>8597</v>
      </c>
      <c r="K2067" t="s">
        <v>8597</v>
      </c>
      <c r="L2067" t="s">
        <v>386</v>
      </c>
      <c r="M2067" t="s">
        <v>1193</v>
      </c>
      <c r="N2067">
        <v>12227</v>
      </c>
      <c r="O2067">
        <v>0</v>
      </c>
      <c r="Q2067" t="s">
        <v>8599</v>
      </c>
      <c r="T2067">
        <v>280</v>
      </c>
      <c r="V2067" t="s">
        <v>3202</v>
      </c>
      <c r="Z2067" t="s">
        <v>1935</v>
      </c>
      <c r="AA2067" t="s">
        <v>387</v>
      </c>
      <c r="AB2067">
        <v>0</v>
      </c>
      <c r="AC2067">
        <v>4620</v>
      </c>
      <c r="AD2067" t="s">
        <v>4180</v>
      </c>
      <c r="AE2067">
        <v>240</v>
      </c>
      <c r="AF2067" t="s">
        <v>8600</v>
      </c>
      <c r="AG2067" t="s">
        <v>8601</v>
      </c>
    </row>
    <row r="2068" spans="1:34" x14ac:dyDescent="0.25">
      <c r="A2068">
        <v>1</v>
      </c>
      <c r="C2068" s="185"/>
      <c r="E2068" t="s">
        <v>386</v>
      </c>
      <c r="F2068" t="s">
        <v>8602</v>
      </c>
      <c r="G2068" t="s">
        <v>1197</v>
      </c>
      <c r="H2068" t="s">
        <v>8603</v>
      </c>
      <c r="I2068">
        <v>2193</v>
      </c>
      <c r="J2068" t="s">
        <v>8602</v>
      </c>
      <c r="K2068" t="s">
        <v>8604</v>
      </c>
      <c r="L2068" t="s">
        <v>386</v>
      </c>
      <c r="M2068" t="s">
        <v>1193</v>
      </c>
      <c r="N2068">
        <v>2193</v>
      </c>
      <c r="O2068">
        <v>0</v>
      </c>
      <c r="Q2068" t="s">
        <v>8605</v>
      </c>
      <c r="T2068">
        <v>340</v>
      </c>
      <c r="V2068" t="s">
        <v>1200</v>
      </c>
      <c r="W2068" t="s">
        <v>1199</v>
      </c>
      <c r="X2068">
        <v>200</v>
      </c>
      <c r="Z2068" t="s">
        <v>865</v>
      </c>
      <c r="AA2068" t="s">
        <v>387</v>
      </c>
      <c r="AB2068">
        <v>0</v>
      </c>
      <c r="AC2068">
        <v>1614</v>
      </c>
      <c r="AD2068" t="s">
        <v>6517</v>
      </c>
      <c r="AE2068">
        <v>1</v>
      </c>
      <c r="AF2068" t="s">
        <v>1922</v>
      </c>
      <c r="AG2068" t="s">
        <v>4526</v>
      </c>
      <c r="AH2068" t="s">
        <v>8606</v>
      </c>
    </row>
    <row r="2069" spans="1:34" x14ac:dyDescent="0.25">
      <c r="A2069">
        <v>25</v>
      </c>
      <c r="C2069" s="185"/>
      <c r="E2069" t="s">
        <v>386</v>
      </c>
      <c r="F2069" t="s">
        <v>8607</v>
      </c>
      <c r="G2069" t="s">
        <v>1192</v>
      </c>
      <c r="H2069" t="s">
        <v>8608</v>
      </c>
      <c r="I2069">
        <v>271</v>
      </c>
      <c r="J2069" t="s">
        <v>8607</v>
      </c>
      <c r="K2069" t="s">
        <v>8607</v>
      </c>
      <c r="L2069" t="s">
        <v>386</v>
      </c>
      <c r="M2069" t="s">
        <v>1184</v>
      </c>
      <c r="N2069">
        <v>271</v>
      </c>
      <c r="O2069">
        <v>0</v>
      </c>
      <c r="Q2069" t="s">
        <v>8609</v>
      </c>
      <c r="R2069" t="s">
        <v>1208</v>
      </c>
      <c r="T2069">
        <v>115</v>
      </c>
      <c r="V2069" t="s">
        <v>2344</v>
      </c>
      <c r="Z2069" t="s">
        <v>857</v>
      </c>
      <c r="AA2069" t="s">
        <v>386</v>
      </c>
      <c r="AB2069">
        <v>0</v>
      </c>
      <c r="AC2069">
        <v>375</v>
      </c>
      <c r="AD2069" t="s">
        <v>8610</v>
      </c>
      <c r="AE2069">
        <v>1</v>
      </c>
      <c r="AF2069" t="s">
        <v>1922</v>
      </c>
      <c r="AG2069" t="s">
        <v>1923</v>
      </c>
      <c r="AH2069" t="s">
        <v>8611</v>
      </c>
    </row>
    <row r="2070" spans="1:34" x14ac:dyDescent="0.25">
      <c r="A2070">
        <v>3</v>
      </c>
      <c r="C2070" s="185"/>
      <c r="E2070" t="s">
        <v>386</v>
      </c>
      <c r="F2070" t="s">
        <v>8612</v>
      </c>
      <c r="G2070" t="s">
        <v>1197</v>
      </c>
      <c r="H2070" t="s">
        <v>8613</v>
      </c>
      <c r="I2070">
        <v>11873</v>
      </c>
      <c r="J2070" t="s">
        <v>8612</v>
      </c>
      <c r="K2070" t="s">
        <v>8612</v>
      </c>
      <c r="L2070" t="s">
        <v>386</v>
      </c>
      <c r="M2070" t="s">
        <v>1193</v>
      </c>
      <c r="N2070">
        <v>11873</v>
      </c>
      <c r="O2070">
        <v>0</v>
      </c>
      <c r="Q2070" t="s">
        <v>8614</v>
      </c>
      <c r="R2070" t="s">
        <v>1208</v>
      </c>
      <c r="T2070">
        <v>571</v>
      </c>
      <c r="V2070" t="s">
        <v>2003</v>
      </c>
      <c r="W2070" t="s">
        <v>1216</v>
      </c>
      <c r="X2070">
        <v>260</v>
      </c>
      <c r="Z2070" t="s">
        <v>1935</v>
      </c>
      <c r="AA2070" t="s">
        <v>387</v>
      </c>
      <c r="AB2070">
        <v>0</v>
      </c>
      <c r="AC2070">
        <v>4525</v>
      </c>
      <c r="AD2070" t="s">
        <v>8615</v>
      </c>
      <c r="AE2070">
        <v>2101</v>
      </c>
      <c r="AF2070" t="s">
        <v>8616</v>
      </c>
      <c r="AG2070" t="s">
        <v>8617</v>
      </c>
    </row>
    <row r="2071" spans="1:34" x14ac:dyDescent="0.25">
      <c r="A2071">
        <v>3</v>
      </c>
      <c r="C2071" s="185"/>
      <c r="E2071" t="s">
        <v>386</v>
      </c>
      <c r="F2071" t="s">
        <v>8618</v>
      </c>
      <c r="G2071" t="s">
        <v>1197</v>
      </c>
      <c r="H2071" t="s">
        <v>8619</v>
      </c>
      <c r="I2071">
        <v>15482</v>
      </c>
      <c r="J2071" t="s">
        <v>8618</v>
      </c>
      <c r="K2071" t="s">
        <v>8618</v>
      </c>
      <c r="L2071" t="s">
        <v>386</v>
      </c>
      <c r="M2071" t="s">
        <v>1193</v>
      </c>
      <c r="N2071">
        <v>15482</v>
      </c>
      <c r="O2071">
        <v>0</v>
      </c>
      <c r="Q2071" t="s">
        <v>8620</v>
      </c>
      <c r="R2071" t="s">
        <v>398</v>
      </c>
      <c r="T2071">
        <v>259</v>
      </c>
      <c r="V2071" t="s">
        <v>1215</v>
      </c>
      <c r="W2071" t="s">
        <v>1530</v>
      </c>
      <c r="X2071">
        <v>103</v>
      </c>
      <c r="Z2071" t="s">
        <v>1935</v>
      </c>
      <c r="AA2071" t="s">
        <v>387</v>
      </c>
      <c r="AB2071">
        <v>0</v>
      </c>
      <c r="AC2071">
        <v>5404</v>
      </c>
      <c r="AD2071" t="s">
        <v>8621</v>
      </c>
      <c r="AE2071">
        <v>2009</v>
      </c>
      <c r="AF2071" t="s">
        <v>4423</v>
      </c>
      <c r="AG2071" t="s">
        <v>4226</v>
      </c>
      <c r="AH2071" t="s">
        <v>8622</v>
      </c>
    </row>
    <row r="2072" spans="1:34" x14ac:dyDescent="0.25">
      <c r="A2072">
        <v>1</v>
      </c>
      <c r="C2072" s="185"/>
      <c r="E2072" t="s">
        <v>386</v>
      </c>
      <c r="F2072" t="s">
        <v>8623</v>
      </c>
      <c r="G2072" t="s">
        <v>1192</v>
      </c>
      <c r="H2072" t="s">
        <v>8624</v>
      </c>
      <c r="I2072">
        <v>2123</v>
      </c>
      <c r="J2072" t="s">
        <v>8623</v>
      </c>
      <c r="K2072" t="s">
        <v>8623</v>
      </c>
      <c r="L2072" t="s">
        <v>386</v>
      </c>
      <c r="M2072" t="s">
        <v>1184</v>
      </c>
      <c r="N2072">
        <v>2123</v>
      </c>
      <c r="O2072">
        <v>0</v>
      </c>
      <c r="Q2072" t="s">
        <v>8625</v>
      </c>
      <c r="R2072" t="s">
        <v>1208</v>
      </c>
      <c r="T2072">
        <v>260</v>
      </c>
      <c r="V2072" t="s">
        <v>1216</v>
      </c>
      <c r="W2072" t="s">
        <v>7833</v>
      </c>
      <c r="X2072">
        <v>4</v>
      </c>
      <c r="Z2072" t="s">
        <v>865</v>
      </c>
      <c r="AA2072" t="s">
        <v>387</v>
      </c>
      <c r="AB2072">
        <v>0</v>
      </c>
      <c r="AC2072">
        <v>6118</v>
      </c>
      <c r="AD2072" t="s">
        <v>8626</v>
      </c>
      <c r="AE2072">
        <v>36</v>
      </c>
      <c r="AF2072" t="s">
        <v>3664</v>
      </c>
      <c r="AG2072" t="s">
        <v>8627</v>
      </c>
      <c r="AH2072" t="s">
        <v>8628</v>
      </c>
    </row>
    <row r="2073" spans="1:34" x14ac:dyDescent="0.25">
      <c r="A2073">
        <v>1</v>
      </c>
      <c r="C2073" s="185"/>
      <c r="E2073" t="s">
        <v>386</v>
      </c>
      <c r="F2073" t="s">
        <v>8629</v>
      </c>
      <c r="G2073" t="s">
        <v>1192</v>
      </c>
      <c r="I2073">
        <v>2428</v>
      </c>
      <c r="J2073" t="s">
        <v>8629</v>
      </c>
      <c r="K2073" t="s">
        <v>8629</v>
      </c>
      <c r="L2073" t="s">
        <v>386</v>
      </c>
      <c r="M2073" t="s">
        <v>1184</v>
      </c>
      <c r="N2073">
        <v>2428</v>
      </c>
      <c r="O2073">
        <v>0</v>
      </c>
      <c r="Q2073" t="s">
        <v>8625</v>
      </c>
      <c r="R2073" t="s">
        <v>1208</v>
      </c>
      <c r="T2073">
        <v>260</v>
      </c>
      <c r="V2073" t="s">
        <v>1216</v>
      </c>
      <c r="W2073" t="s">
        <v>7833</v>
      </c>
      <c r="X2073">
        <v>4</v>
      </c>
      <c r="Z2073" t="s">
        <v>865</v>
      </c>
      <c r="AA2073" t="s">
        <v>387</v>
      </c>
      <c r="AB2073">
        <v>0</v>
      </c>
      <c r="AC2073">
        <v>1571</v>
      </c>
      <c r="AD2073" t="s">
        <v>8630</v>
      </c>
      <c r="AE2073">
        <v>36</v>
      </c>
      <c r="AF2073" t="s">
        <v>3664</v>
      </c>
      <c r="AG2073" t="s">
        <v>2058</v>
      </c>
      <c r="AH2073" t="s">
        <v>8628</v>
      </c>
    </row>
    <row r="2074" spans="1:34" x14ac:dyDescent="0.25">
      <c r="A2074">
        <v>3</v>
      </c>
      <c r="C2074" s="185"/>
      <c r="E2074" t="s">
        <v>386</v>
      </c>
      <c r="F2074" t="s">
        <v>6450</v>
      </c>
      <c r="G2074" t="s">
        <v>1197</v>
      </c>
      <c r="H2074" t="s">
        <v>8631</v>
      </c>
      <c r="I2074">
        <v>5031</v>
      </c>
      <c r="J2074" t="s">
        <v>6450</v>
      </c>
      <c r="K2074" t="s">
        <v>6450</v>
      </c>
      <c r="L2074" t="s">
        <v>386</v>
      </c>
      <c r="M2074" t="s">
        <v>1193</v>
      </c>
      <c r="N2074">
        <v>5031</v>
      </c>
      <c r="O2074">
        <v>0</v>
      </c>
      <c r="Q2074" t="s">
        <v>8632</v>
      </c>
      <c r="T2074">
        <v>52</v>
      </c>
      <c r="V2074" t="s">
        <v>2024</v>
      </c>
      <c r="Z2074" t="s">
        <v>1935</v>
      </c>
      <c r="AA2074" t="s">
        <v>387</v>
      </c>
      <c r="AB2074">
        <v>0</v>
      </c>
      <c r="AC2074">
        <v>2458</v>
      </c>
      <c r="AD2074" t="s">
        <v>8633</v>
      </c>
      <c r="AE2074">
        <v>451</v>
      </c>
      <c r="AF2074" t="s">
        <v>8634</v>
      </c>
      <c r="AG2074" t="s">
        <v>8635</v>
      </c>
    </row>
    <row r="2075" spans="1:34" x14ac:dyDescent="0.25">
      <c r="A2075">
        <v>2089</v>
      </c>
      <c r="C2075" s="185"/>
      <c r="E2075" t="s">
        <v>386</v>
      </c>
      <c r="F2075" t="s">
        <v>7170</v>
      </c>
      <c r="G2075" t="s">
        <v>1238</v>
      </c>
      <c r="H2075" t="s">
        <v>8636</v>
      </c>
      <c r="I2075">
        <v>14219</v>
      </c>
      <c r="J2075" t="s">
        <v>7170</v>
      </c>
      <c r="K2075" t="s">
        <v>8637</v>
      </c>
      <c r="L2075" t="s">
        <v>386</v>
      </c>
      <c r="M2075" t="s">
        <v>1184</v>
      </c>
      <c r="N2075">
        <v>14219</v>
      </c>
      <c r="O2075">
        <v>0</v>
      </c>
      <c r="Q2075" t="s">
        <v>8638</v>
      </c>
      <c r="T2075">
        <v>372</v>
      </c>
      <c r="V2075" t="s">
        <v>2073</v>
      </c>
      <c r="W2075" t="s">
        <v>1257</v>
      </c>
      <c r="X2075">
        <v>426</v>
      </c>
      <c r="Z2075" t="s">
        <v>8639</v>
      </c>
      <c r="AA2075" t="s">
        <v>387</v>
      </c>
      <c r="AB2075">
        <v>0</v>
      </c>
      <c r="AC2075">
        <v>5381</v>
      </c>
      <c r="AD2075" t="s">
        <v>8640</v>
      </c>
      <c r="AE2075">
        <v>18</v>
      </c>
      <c r="AF2075" t="s">
        <v>1259</v>
      </c>
      <c r="AG2075" t="s">
        <v>1244</v>
      </c>
      <c r="AH2075" t="s">
        <v>8641</v>
      </c>
    </row>
    <row r="2076" spans="1:34" x14ac:dyDescent="0.25">
      <c r="A2076">
        <v>59</v>
      </c>
      <c r="C2076" s="185"/>
      <c r="E2076" t="s">
        <v>386</v>
      </c>
      <c r="F2076" t="s">
        <v>8642</v>
      </c>
      <c r="G2076" t="s">
        <v>1197</v>
      </c>
      <c r="H2076" t="s">
        <v>8643</v>
      </c>
      <c r="I2076">
        <v>13221</v>
      </c>
      <c r="J2076" t="s">
        <v>8642</v>
      </c>
      <c r="K2076" t="s">
        <v>8644</v>
      </c>
      <c r="L2076" t="s">
        <v>386</v>
      </c>
      <c r="M2076" t="s">
        <v>1193</v>
      </c>
      <c r="N2076">
        <v>13221</v>
      </c>
      <c r="O2076">
        <v>0</v>
      </c>
      <c r="Q2076" t="s">
        <v>8645</v>
      </c>
      <c r="R2076" t="s">
        <v>398</v>
      </c>
      <c r="T2076">
        <v>571</v>
      </c>
      <c r="V2076" t="s">
        <v>2003</v>
      </c>
      <c r="W2076" t="s">
        <v>2073</v>
      </c>
      <c r="X2076">
        <v>372</v>
      </c>
      <c r="Z2076" t="s">
        <v>8646</v>
      </c>
      <c r="AA2076" t="s">
        <v>387</v>
      </c>
      <c r="AB2076">
        <v>0</v>
      </c>
      <c r="AC2076">
        <v>4950</v>
      </c>
      <c r="AD2076" t="s">
        <v>8647</v>
      </c>
      <c r="AE2076">
        <v>225</v>
      </c>
      <c r="AF2076" t="s">
        <v>8648</v>
      </c>
      <c r="AG2076" t="s">
        <v>8649</v>
      </c>
      <c r="AH2076" t="s">
        <v>8650</v>
      </c>
    </row>
    <row r="2077" spans="1:34" x14ac:dyDescent="0.25">
      <c r="A2077">
        <v>59</v>
      </c>
      <c r="C2077" s="185"/>
      <c r="E2077" t="s">
        <v>386</v>
      </c>
      <c r="F2077" t="s">
        <v>8651</v>
      </c>
      <c r="G2077" t="s">
        <v>1197</v>
      </c>
      <c r="H2077" t="s">
        <v>8652</v>
      </c>
      <c r="I2077">
        <v>14467</v>
      </c>
      <c r="J2077" t="s">
        <v>8651</v>
      </c>
      <c r="K2077" t="s">
        <v>8653</v>
      </c>
      <c r="L2077" t="s">
        <v>386</v>
      </c>
      <c r="M2077" t="s">
        <v>1193</v>
      </c>
      <c r="N2077">
        <v>14467</v>
      </c>
      <c r="O2077">
        <v>0</v>
      </c>
      <c r="Q2077" t="s">
        <v>8654</v>
      </c>
      <c r="R2077" t="s">
        <v>1223</v>
      </c>
      <c r="T2077">
        <v>200</v>
      </c>
      <c r="V2077" t="s">
        <v>1199</v>
      </c>
      <c r="W2077" t="s">
        <v>1530</v>
      </c>
      <c r="X2077">
        <v>103</v>
      </c>
      <c r="Z2077" t="s">
        <v>8646</v>
      </c>
      <c r="AA2077" t="s">
        <v>387</v>
      </c>
      <c r="AB2077">
        <v>0</v>
      </c>
      <c r="AC2077">
        <v>3746</v>
      </c>
      <c r="AD2077" t="s">
        <v>8655</v>
      </c>
      <c r="AE2077">
        <v>2546</v>
      </c>
      <c r="AF2077" t="s">
        <v>8656</v>
      </c>
      <c r="AG2077" t="s">
        <v>8657</v>
      </c>
      <c r="AH2077" t="s">
        <v>8658</v>
      </c>
    </row>
    <row r="2078" spans="1:34" x14ac:dyDescent="0.25">
      <c r="A2078">
        <v>59</v>
      </c>
      <c r="C2078" s="185"/>
      <c r="E2078" t="s">
        <v>386</v>
      </c>
      <c r="F2078" t="s">
        <v>8659</v>
      </c>
      <c r="G2078" t="s">
        <v>1197</v>
      </c>
      <c r="H2078" t="s">
        <v>8660</v>
      </c>
      <c r="I2078">
        <v>11820</v>
      </c>
      <c r="J2078" t="s">
        <v>8659</v>
      </c>
      <c r="K2078" t="s">
        <v>8659</v>
      </c>
      <c r="L2078" t="s">
        <v>386</v>
      </c>
      <c r="M2078" t="s">
        <v>1193</v>
      </c>
      <c r="N2078">
        <v>11820</v>
      </c>
      <c r="O2078">
        <v>0</v>
      </c>
      <c r="Q2078" t="s">
        <v>8661</v>
      </c>
      <c r="R2078" t="s">
        <v>1208</v>
      </c>
      <c r="T2078">
        <v>304</v>
      </c>
      <c r="V2078" t="s">
        <v>2067</v>
      </c>
      <c r="Z2078" t="s">
        <v>8646</v>
      </c>
      <c r="AA2078" t="s">
        <v>387</v>
      </c>
      <c r="AB2078">
        <v>0</v>
      </c>
      <c r="AC2078">
        <v>4186</v>
      </c>
      <c r="AD2078" t="s">
        <v>8662</v>
      </c>
      <c r="AE2078">
        <v>255</v>
      </c>
      <c r="AF2078" t="s">
        <v>8663</v>
      </c>
      <c r="AG2078" t="s">
        <v>5732</v>
      </c>
    </row>
    <row r="2079" spans="1:34" x14ac:dyDescent="0.25">
      <c r="A2079">
        <v>1479</v>
      </c>
      <c r="C2079" s="185"/>
      <c r="E2079" t="s">
        <v>386</v>
      </c>
      <c r="F2079" t="s">
        <v>8664</v>
      </c>
      <c r="G2079" t="s">
        <v>1197</v>
      </c>
      <c r="H2079" t="s">
        <v>8665</v>
      </c>
      <c r="I2079">
        <v>12301</v>
      </c>
      <c r="J2079" t="s">
        <v>8664</v>
      </c>
      <c r="K2079" t="s">
        <v>8666</v>
      </c>
      <c r="L2079" t="s">
        <v>386</v>
      </c>
      <c r="M2079" t="s">
        <v>1193</v>
      </c>
      <c r="N2079">
        <v>12301</v>
      </c>
      <c r="O2079">
        <v>0</v>
      </c>
      <c r="Q2079" t="s">
        <v>8667</v>
      </c>
      <c r="R2079" t="s">
        <v>1208</v>
      </c>
      <c r="T2079">
        <v>52</v>
      </c>
      <c r="V2079" t="s">
        <v>2024</v>
      </c>
      <c r="Z2079" t="s">
        <v>2665</v>
      </c>
      <c r="AA2079" t="s">
        <v>387</v>
      </c>
      <c r="AB2079">
        <v>0</v>
      </c>
      <c r="AC2079">
        <v>856</v>
      </c>
      <c r="AD2079" t="s">
        <v>8668</v>
      </c>
      <c r="AE2079">
        <v>1043</v>
      </c>
      <c r="AF2079" t="s">
        <v>8669</v>
      </c>
      <c r="AG2079" t="s">
        <v>2048</v>
      </c>
      <c r="AH2079" t="s">
        <v>8670</v>
      </c>
    </row>
    <row r="2080" spans="1:34" x14ac:dyDescent="0.25">
      <c r="A2080">
        <v>67</v>
      </c>
      <c r="C2080" s="185"/>
      <c r="E2080" t="s">
        <v>386</v>
      </c>
      <c r="F2080" t="s">
        <v>8671</v>
      </c>
      <c r="G2080" t="s">
        <v>1192</v>
      </c>
      <c r="H2080" t="s">
        <v>8672</v>
      </c>
      <c r="I2080">
        <v>2408</v>
      </c>
      <c r="J2080" t="s">
        <v>8671</v>
      </c>
      <c r="K2080" t="s">
        <v>8671</v>
      </c>
      <c r="L2080" t="s">
        <v>386</v>
      </c>
      <c r="M2080" t="s">
        <v>1184</v>
      </c>
      <c r="N2080">
        <v>2408</v>
      </c>
      <c r="O2080">
        <v>13</v>
      </c>
      <c r="Q2080" t="s">
        <v>8673</v>
      </c>
      <c r="R2080" t="s">
        <v>1208</v>
      </c>
      <c r="T2080">
        <v>260</v>
      </c>
      <c r="V2080" t="s">
        <v>1216</v>
      </c>
      <c r="W2080" t="s">
        <v>1199</v>
      </c>
      <c r="X2080">
        <v>200</v>
      </c>
      <c r="Z2080" t="s">
        <v>8674</v>
      </c>
      <c r="AA2080" t="s">
        <v>387</v>
      </c>
      <c r="AB2080">
        <v>0</v>
      </c>
      <c r="AC2080">
        <v>5783</v>
      </c>
      <c r="AD2080" t="s">
        <v>8675</v>
      </c>
      <c r="AE2080">
        <v>2664</v>
      </c>
      <c r="AF2080" t="s">
        <v>8676</v>
      </c>
      <c r="AG2080" t="s">
        <v>1952</v>
      </c>
    </row>
    <row r="2081" spans="1:34" x14ac:dyDescent="0.25">
      <c r="A2081">
        <v>1</v>
      </c>
      <c r="C2081" s="185"/>
      <c r="D2081" t="s">
        <v>24</v>
      </c>
      <c r="E2081" t="s">
        <v>386</v>
      </c>
      <c r="F2081" t="s">
        <v>8677</v>
      </c>
      <c r="G2081" t="s">
        <v>1192</v>
      </c>
      <c r="I2081">
        <v>2176</v>
      </c>
      <c r="J2081" t="s">
        <v>8677</v>
      </c>
      <c r="K2081" t="s">
        <v>8677</v>
      </c>
      <c r="L2081" t="s">
        <v>386</v>
      </c>
      <c r="M2081" t="s">
        <v>1184</v>
      </c>
      <c r="N2081">
        <v>2176</v>
      </c>
      <c r="O2081">
        <v>0</v>
      </c>
      <c r="Q2081" t="s">
        <v>8678</v>
      </c>
      <c r="R2081" t="s">
        <v>1208</v>
      </c>
      <c r="T2081">
        <v>52</v>
      </c>
      <c r="V2081" t="s">
        <v>2024</v>
      </c>
      <c r="Z2081" t="s">
        <v>865</v>
      </c>
      <c r="AA2081" t="s">
        <v>386</v>
      </c>
      <c r="AB2081">
        <v>0</v>
      </c>
      <c r="AC2081">
        <v>1599</v>
      </c>
      <c r="AD2081" t="s">
        <v>8679</v>
      </c>
      <c r="AE2081">
        <v>784</v>
      </c>
      <c r="AF2081" t="s">
        <v>8680</v>
      </c>
      <c r="AG2081" t="s">
        <v>3073</v>
      </c>
      <c r="AH2081" t="s">
        <v>8681</v>
      </c>
    </row>
    <row r="2082" spans="1:34" x14ac:dyDescent="0.25">
      <c r="A2082">
        <v>1</v>
      </c>
      <c r="C2082" s="185"/>
      <c r="E2082" t="s">
        <v>386</v>
      </c>
      <c r="F2082" t="s">
        <v>8682</v>
      </c>
      <c r="G2082" t="s">
        <v>1197</v>
      </c>
      <c r="H2082" t="s">
        <v>8683</v>
      </c>
      <c r="I2082">
        <v>15026</v>
      </c>
      <c r="J2082" t="s">
        <v>8682</v>
      </c>
      <c r="K2082" t="s">
        <v>8682</v>
      </c>
      <c r="L2082" t="s">
        <v>386</v>
      </c>
      <c r="M2082" t="s">
        <v>1193</v>
      </c>
      <c r="N2082">
        <v>15026</v>
      </c>
      <c r="O2082">
        <v>0</v>
      </c>
      <c r="Q2082" t="s">
        <v>8684</v>
      </c>
      <c r="T2082">
        <v>340</v>
      </c>
      <c r="V2082" t="s">
        <v>1200</v>
      </c>
      <c r="W2082" t="s">
        <v>1257</v>
      </c>
      <c r="X2082">
        <v>426</v>
      </c>
      <c r="Z2082" t="s">
        <v>865</v>
      </c>
      <c r="AA2082" t="s">
        <v>387</v>
      </c>
      <c r="AB2082">
        <v>0</v>
      </c>
      <c r="AC2082">
        <v>2385</v>
      </c>
      <c r="AD2082" t="s">
        <v>4848</v>
      </c>
      <c r="AE2082">
        <v>217</v>
      </c>
      <c r="AF2082" t="s">
        <v>3067</v>
      </c>
      <c r="AG2082" t="s">
        <v>1244</v>
      </c>
      <c r="AH2082" t="s">
        <v>6295</v>
      </c>
    </row>
    <row r="2083" spans="1:34" x14ac:dyDescent="0.25">
      <c r="A2083">
        <v>675</v>
      </c>
      <c r="B2083" t="s">
        <v>1313</v>
      </c>
      <c r="C2083" s="185"/>
      <c r="D2083" t="s">
        <v>24</v>
      </c>
      <c r="E2083" t="s">
        <v>386</v>
      </c>
      <c r="F2083" t="s">
        <v>641</v>
      </c>
      <c r="G2083" t="s">
        <v>1197</v>
      </c>
      <c r="H2083" t="s">
        <v>8685</v>
      </c>
      <c r="I2083">
        <v>2607</v>
      </c>
      <c r="J2083" t="s">
        <v>641</v>
      </c>
      <c r="K2083" t="s">
        <v>8686</v>
      </c>
      <c r="L2083" t="s">
        <v>386</v>
      </c>
      <c r="M2083" t="s">
        <v>1193</v>
      </c>
      <c r="N2083">
        <v>2607</v>
      </c>
      <c r="O2083">
        <v>64</v>
      </c>
      <c r="Q2083" t="s">
        <v>8687</v>
      </c>
      <c r="R2083" t="s">
        <v>398</v>
      </c>
      <c r="S2083" t="s">
        <v>1909</v>
      </c>
      <c r="T2083">
        <v>220</v>
      </c>
      <c r="U2083">
        <v>0</v>
      </c>
      <c r="V2083" t="s">
        <v>1194</v>
      </c>
      <c r="W2083" t="s">
        <v>1194</v>
      </c>
      <c r="X2083">
        <v>220</v>
      </c>
      <c r="Y2083" t="s">
        <v>1317</v>
      </c>
      <c r="Z2083" t="s">
        <v>8688</v>
      </c>
      <c r="AA2083" t="s">
        <v>387</v>
      </c>
      <c r="AB2083">
        <v>56000</v>
      </c>
      <c r="AC2083">
        <v>2578</v>
      </c>
      <c r="AD2083" t="s">
        <v>8689</v>
      </c>
      <c r="AE2083">
        <v>18</v>
      </c>
      <c r="AF2083" t="s">
        <v>1259</v>
      </c>
      <c r="AG2083" t="s">
        <v>1244</v>
      </c>
    </row>
    <row r="2084" spans="1:34" x14ac:dyDescent="0.25">
      <c r="A2084">
        <v>133</v>
      </c>
      <c r="C2084" s="185"/>
      <c r="E2084" t="s">
        <v>386</v>
      </c>
      <c r="F2084" t="s">
        <v>8690</v>
      </c>
      <c r="G2084" t="s">
        <v>1197</v>
      </c>
      <c r="H2084" t="s">
        <v>8691</v>
      </c>
      <c r="I2084">
        <v>13420</v>
      </c>
      <c r="J2084" t="s">
        <v>8690</v>
      </c>
      <c r="K2084" t="s">
        <v>8692</v>
      </c>
      <c r="L2084" t="s">
        <v>386</v>
      </c>
      <c r="M2084" t="s">
        <v>1193</v>
      </c>
      <c r="N2084">
        <v>13420</v>
      </c>
      <c r="O2084">
        <v>0</v>
      </c>
      <c r="Q2084" t="s">
        <v>8693</v>
      </c>
      <c r="R2084" t="s">
        <v>1223</v>
      </c>
      <c r="T2084">
        <v>103</v>
      </c>
      <c r="V2084" t="s">
        <v>1530</v>
      </c>
      <c r="W2084" t="s">
        <v>1530</v>
      </c>
      <c r="X2084">
        <v>103</v>
      </c>
      <c r="Z2084" t="s">
        <v>3195</v>
      </c>
      <c r="AA2084" t="s">
        <v>387</v>
      </c>
      <c r="AB2084">
        <v>0</v>
      </c>
      <c r="AC2084">
        <v>5031</v>
      </c>
      <c r="AD2084" t="s">
        <v>8694</v>
      </c>
      <c r="AE2084">
        <v>2329</v>
      </c>
      <c r="AF2084" t="s">
        <v>8695</v>
      </c>
      <c r="AG2084" t="s">
        <v>8696</v>
      </c>
      <c r="AH2084" t="s">
        <v>8697</v>
      </c>
    </row>
    <row r="2085" spans="1:34" x14ac:dyDescent="0.25">
      <c r="A2085">
        <v>133</v>
      </c>
      <c r="C2085" s="185"/>
      <c r="E2085" t="s">
        <v>386</v>
      </c>
      <c r="F2085" t="s">
        <v>8698</v>
      </c>
      <c r="G2085" t="s">
        <v>1197</v>
      </c>
      <c r="H2085" t="s">
        <v>8699</v>
      </c>
      <c r="I2085">
        <v>14228</v>
      </c>
      <c r="J2085" t="s">
        <v>8698</v>
      </c>
      <c r="K2085" t="s">
        <v>8700</v>
      </c>
      <c r="L2085" t="s">
        <v>386</v>
      </c>
      <c r="M2085" t="s">
        <v>1193</v>
      </c>
      <c r="N2085">
        <v>14228</v>
      </c>
      <c r="O2085">
        <v>0</v>
      </c>
      <c r="Q2085" t="s">
        <v>8701</v>
      </c>
      <c r="R2085" t="s">
        <v>1208</v>
      </c>
      <c r="T2085">
        <v>372</v>
      </c>
      <c r="V2085" t="s">
        <v>2073</v>
      </c>
      <c r="W2085" t="s">
        <v>2073</v>
      </c>
      <c r="X2085">
        <v>372</v>
      </c>
      <c r="Z2085" t="s">
        <v>3195</v>
      </c>
      <c r="AA2085" t="s">
        <v>387</v>
      </c>
      <c r="AB2085">
        <v>0</v>
      </c>
      <c r="AC2085">
        <v>5388</v>
      </c>
      <c r="AD2085" t="s">
        <v>8702</v>
      </c>
      <c r="AE2085">
        <v>2503</v>
      </c>
      <c r="AF2085" t="s">
        <v>8703</v>
      </c>
      <c r="AG2085" t="s">
        <v>8704</v>
      </c>
      <c r="AH2085" t="s">
        <v>8705</v>
      </c>
    </row>
    <row r="2086" spans="1:34" x14ac:dyDescent="0.25">
      <c r="A2086">
        <v>108</v>
      </c>
      <c r="B2086" t="s">
        <v>1313</v>
      </c>
      <c r="C2086" s="185"/>
      <c r="D2086" t="s">
        <v>24</v>
      </c>
      <c r="E2086" t="s">
        <v>386</v>
      </c>
      <c r="F2086" t="s">
        <v>491</v>
      </c>
      <c r="G2086" t="s">
        <v>1197</v>
      </c>
      <c r="H2086" t="s">
        <v>8706</v>
      </c>
      <c r="I2086">
        <v>452</v>
      </c>
      <c r="J2086" t="s">
        <v>38</v>
      </c>
      <c r="K2086" t="s">
        <v>8707</v>
      </c>
      <c r="L2086" t="s">
        <v>386</v>
      </c>
      <c r="M2086" t="s">
        <v>1193</v>
      </c>
      <c r="N2086">
        <v>16144</v>
      </c>
      <c r="O2086">
        <v>64</v>
      </c>
      <c r="Q2086" t="s">
        <v>8708</v>
      </c>
      <c r="R2086" t="s">
        <v>398</v>
      </c>
      <c r="S2086" t="s">
        <v>1909</v>
      </c>
      <c r="T2086">
        <v>372</v>
      </c>
      <c r="U2086">
        <v>0</v>
      </c>
      <c r="V2086" t="s">
        <v>2073</v>
      </c>
      <c r="W2086" t="s">
        <v>1199</v>
      </c>
      <c r="X2086">
        <v>200</v>
      </c>
      <c r="Y2086" t="s">
        <v>1317</v>
      </c>
      <c r="Z2086" t="s">
        <v>899</v>
      </c>
      <c r="AA2086" t="s">
        <v>387</v>
      </c>
      <c r="AB2086">
        <v>56000</v>
      </c>
      <c r="AC2086">
        <v>468</v>
      </c>
      <c r="AD2086" t="s">
        <v>8709</v>
      </c>
      <c r="AE2086">
        <v>196</v>
      </c>
      <c r="AF2086" t="s">
        <v>8710</v>
      </c>
      <c r="AG2086" t="s">
        <v>8711</v>
      </c>
      <c r="AH2086" t="s">
        <v>7273</v>
      </c>
    </row>
    <row r="2087" spans="1:34" x14ac:dyDescent="0.25">
      <c r="A2087">
        <v>108</v>
      </c>
      <c r="B2087" t="s">
        <v>1313</v>
      </c>
      <c r="C2087" s="185"/>
      <c r="D2087" t="s">
        <v>24</v>
      </c>
      <c r="E2087" t="s">
        <v>386</v>
      </c>
      <c r="F2087" t="s">
        <v>450</v>
      </c>
      <c r="G2087" t="s">
        <v>1197</v>
      </c>
      <c r="H2087" t="s">
        <v>8712</v>
      </c>
      <c r="I2087">
        <v>729</v>
      </c>
      <c r="J2087" t="s">
        <v>46</v>
      </c>
      <c r="K2087" t="s">
        <v>6366</v>
      </c>
      <c r="L2087" t="s">
        <v>386</v>
      </c>
      <c r="M2087" t="s">
        <v>1193</v>
      </c>
      <c r="N2087">
        <v>15720</v>
      </c>
      <c r="O2087">
        <v>64</v>
      </c>
      <c r="Q2087" t="s">
        <v>8713</v>
      </c>
      <c r="R2087" t="s">
        <v>398</v>
      </c>
      <c r="S2087" t="s">
        <v>4594</v>
      </c>
      <c r="T2087">
        <v>470</v>
      </c>
      <c r="U2087">
        <v>0</v>
      </c>
      <c r="V2087" t="s">
        <v>4468</v>
      </c>
      <c r="W2087" t="s">
        <v>1194</v>
      </c>
      <c r="X2087">
        <v>220</v>
      </c>
      <c r="Y2087" t="s">
        <v>1317</v>
      </c>
      <c r="Z2087" t="s">
        <v>899</v>
      </c>
      <c r="AA2087" t="s">
        <v>387</v>
      </c>
      <c r="AB2087">
        <v>56000</v>
      </c>
      <c r="AC2087">
        <v>468</v>
      </c>
      <c r="AD2087" t="s">
        <v>8709</v>
      </c>
      <c r="AE2087">
        <v>308</v>
      </c>
      <c r="AF2087" t="s">
        <v>8714</v>
      </c>
      <c r="AG2087" t="s">
        <v>7992</v>
      </c>
      <c r="AH2087" t="s">
        <v>8715</v>
      </c>
    </row>
    <row r="2088" spans="1:34" x14ac:dyDescent="0.25">
      <c r="A2088">
        <v>1819</v>
      </c>
      <c r="C2088" s="185"/>
      <c r="E2088" t="s">
        <v>386</v>
      </c>
      <c r="F2088" t="s">
        <v>8716</v>
      </c>
      <c r="G2088" t="s">
        <v>1238</v>
      </c>
      <c r="H2088" t="s">
        <v>5991</v>
      </c>
      <c r="I2088">
        <v>15501</v>
      </c>
      <c r="J2088" t="s">
        <v>8716</v>
      </c>
      <c r="K2088" t="s">
        <v>8717</v>
      </c>
      <c r="L2088" t="s">
        <v>386</v>
      </c>
      <c r="M2088" t="s">
        <v>1184</v>
      </c>
      <c r="N2088">
        <v>15501</v>
      </c>
      <c r="O2088">
        <v>0</v>
      </c>
      <c r="Q2088" t="s">
        <v>8718</v>
      </c>
      <c r="T2088">
        <v>260</v>
      </c>
      <c r="V2088" t="s">
        <v>1216</v>
      </c>
      <c r="W2088" t="s">
        <v>1216</v>
      </c>
      <c r="X2088">
        <v>260</v>
      </c>
      <c r="Z2088" t="s">
        <v>5994</v>
      </c>
      <c r="AA2088" t="s">
        <v>387</v>
      </c>
      <c r="AB2088">
        <v>0</v>
      </c>
      <c r="AC2088">
        <v>5851</v>
      </c>
      <c r="AD2088" t="s">
        <v>8719</v>
      </c>
      <c r="AE2088">
        <v>18</v>
      </c>
      <c r="AF2088" t="s">
        <v>1259</v>
      </c>
      <c r="AG2088" t="s">
        <v>1244</v>
      </c>
    </row>
    <row r="2089" spans="1:34" x14ac:dyDescent="0.25">
      <c r="A2089">
        <v>108</v>
      </c>
      <c r="B2089" t="s">
        <v>1313</v>
      </c>
      <c r="C2089" s="185"/>
      <c r="D2089" t="s">
        <v>24</v>
      </c>
      <c r="E2089" t="s">
        <v>386</v>
      </c>
      <c r="F2089" t="s">
        <v>431</v>
      </c>
      <c r="G2089" t="s">
        <v>1197</v>
      </c>
      <c r="H2089" t="s">
        <v>8720</v>
      </c>
      <c r="I2089">
        <v>2603</v>
      </c>
      <c r="J2089" t="s">
        <v>71</v>
      </c>
      <c r="K2089" t="s">
        <v>7785</v>
      </c>
      <c r="L2089" t="s">
        <v>386</v>
      </c>
      <c r="M2089" t="s">
        <v>1193</v>
      </c>
      <c r="N2089">
        <v>15336</v>
      </c>
      <c r="O2089">
        <v>64</v>
      </c>
      <c r="Q2089" t="s">
        <v>8721</v>
      </c>
      <c r="R2089" t="s">
        <v>398</v>
      </c>
      <c r="S2089" t="s">
        <v>2293</v>
      </c>
      <c r="T2089">
        <v>470</v>
      </c>
      <c r="U2089">
        <v>0</v>
      </c>
      <c r="V2089" t="s">
        <v>4468</v>
      </c>
      <c r="W2089" t="s">
        <v>4156</v>
      </c>
      <c r="X2089">
        <v>502</v>
      </c>
      <c r="Y2089" t="s">
        <v>1317</v>
      </c>
      <c r="Z2089" t="s">
        <v>899</v>
      </c>
      <c r="AA2089" t="s">
        <v>387</v>
      </c>
      <c r="AB2089">
        <v>56000</v>
      </c>
      <c r="AC2089">
        <v>3168</v>
      </c>
      <c r="AD2089" t="s">
        <v>1235</v>
      </c>
      <c r="AE2089">
        <v>164</v>
      </c>
      <c r="AF2089" t="s">
        <v>2743</v>
      </c>
      <c r="AG2089" t="s">
        <v>8711</v>
      </c>
      <c r="AH2089" t="s">
        <v>7788</v>
      </c>
    </row>
    <row r="2090" spans="1:34" x14ac:dyDescent="0.25">
      <c r="A2090">
        <v>108</v>
      </c>
      <c r="B2090" t="s">
        <v>1313</v>
      </c>
      <c r="C2090" s="185"/>
      <c r="D2090" t="s">
        <v>24</v>
      </c>
      <c r="E2090" t="s">
        <v>386</v>
      </c>
      <c r="F2090" t="s">
        <v>616</v>
      </c>
      <c r="G2090" t="s">
        <v>1197</v>
      </c>
      <c r="H2090" t="s">
        <v>8706</v>
      </c>
      <c r="I2090">
        <v>2011</v>
      </c>
      <c r="J2090" t="s">
        <v>616</v>
      </c>
      <c r="K2090" t="s">
        <v>616</v>
      </c>
      <c r="L2090" t="s">
        <v>386</v>
      </c>
      <c r="M2090" t="s">
        <v>1193</v>
      </c>
      <c r="N2090">
        <v>2011</v>
      </c>
      <c r="O2090">
        <v>64</v>
      </c>
      <c r="Q2090" t="s">
        <v>8722</v>
      </c>
      <c r="R2090" t="s">
        <v>398</v>
      </c>
      <c r="S2090" t="s">
        <v>1909</v>
      </c>
      <c r="T2090">
        <v>122</v>
      </c>
      <c r="U2090">
        <v>0</v>
      </c>
      <c r="V2090" t="s">
        <v>1988</v>
      </c>
      <c r="W2090" t="s">
        <v>1988</v>
      </c>
      <c r="X2090">
        <v>122</v>
      </c>
      <c r="Y2090" t="s">
        <v>1317</v>
      </c>
      <c r="Z2090" t="s">
        <v>899</v>
      </c>
      <c r="AA2090" t="s">
        <v>387</v>
      </c>
      <c r="AB2090">
        <v>56000</v>
      </c>
      <c r="AC2090">
        <v>2264</v>
      </c>
      <c r="AD2090" t="s">
        <v>8723</v>
      </c>
      <c r="AE2090">
        <v>196</v>
      </c>
      <c r="AF2090" t="s">
        <v>8710</v>
      </c>
      <c r="AG2090" t="s">
        <v>2794</v>
      </c>
      <c r="AH2090" t="s">
        <v>8724</v>
      </c>
    </row>
    <row r="2091" spans="1:34" x14ac:dyDescent="0.25">
      <c r="A2091">
        <v>1813</v>
      </c>
      <c r="C2091" s="185"/>
      <c r="D2091" t="s">
        <v>24</v>
      </c>
      <c r="E2091" t="s">
        <v>386</v>
      </c>
      <c r="F2091" t="s">
        <v>8725</v>
      </c>
      <c r="G2091" t="s">
        <v>1197</v>
      </c>
      <c r="H2091" t="s">
        <v>8726</v>
      </c>
      <c r="I2091">
        <v>8135</v>
      </c>
      <c r="J2091" t="s">
        <v>8725</v>
      </c>
      <c r="K2091" t="s">
        <v>8725</v>
      </c>
      <c r="L2091" t="s">
        <v>386</v>
      </c>
      <c r="M2091" t="s">
        <v>1193</v>
      </c>
      <c r="N2091">
        <v>8135</v>
      </c>
      <c r="O2091">
        <v>0</v>
      </c>
      <c r="Q2091" t="s">
        <v>8727</v>
      </c>
      <c r="R2091" t="s">
        <v>398</v>
      </c>
      <c r="T2091">
        <v>146</v>
      </c>
      <c r="V2091" t="s">
        <v>2727</v>
      </c>
      <c r="Z2091" t="s">
        <v>8728</v>
      </c>
      <c r="AA2091" t="s">
        <v>387</v>
      </c>
      <c r="AB2091">
        <v>21000</v>
      </c>
      <c r="AC2091">
        <v>3283</v>
      </c>
      <c r="AD2091" t="s">
        <v>8729</v>
      </c>
      <c r="AE2091">
        <v>1546</v>
      </c>
      <c r="AF2091" t="s">
        <v>8730</v>
      </c>
      <c r="AG2091" t="s">
        <v>2105</v>
      </c>
    </row>
    <row r="2092" spans="1:34" x14ac:dyDescent="0.25">
      <c r="A2092">
        <v>108</v>
      </c>
      <c r="C2092" s="185"/>
      <c r="E2092" t="s">
        <v>386</v>
      </c>
      <c r="F2092" t="s">
        <v>8698</v>
      </c>
      <c r="G2092" t="s">
        <v>1197</v>
      </c>
      <c r="H2092" t="s">
        <v>8731</v>
      </c>
      <c r="I2092">
        <v>13729</v>
      </c>
      <c r="J2092" t="s">
        <v>8698</v>
      </c>
      <c r="K2092" t="s">
        <v>8732</v>
      </c>
      <c r="L2092" t="s">
        <v>386</v>
      </c>
      <c r="M2092" t="s">
        <v>1193</v>
      </c>
      <c r="N2092">
        <v>13729</v>
      </c>
      <c r="O2092">
        <v>0</v>
      </c>
      <c r="Q2092" t="s">
        <v>8733</v>
      </c>
      <c r="R2092" t="s">
        <v>1208</v>
      </c>
      <c r="T2092">
        <v>304</v>
      </c>
      <c r="V2092" t="s">
        <v>2067</v>
      </c>
      <c r="W2092" t="s">
        <v>2067</v>
      </c>
      <c r="X2092">
        <v>304</v>
      </c>
      <c r="Z2092" t="s">
        <v>899</v>
      </c>
      <c r="AA2092" t="s">
        <v>387</v>
      </c>
      <c r="AB2092">
        <v>0</v>
      </c>
      <c r="AC2092">
        <v>5171</v>
      </c>
      <c r="AD2092" t="s">
        <v>8734</v>
      </c>
      <c r="AE2092">
        <v>1433</v>
      </c>
      <c r="AF2092" t="s">
        <v>8735</v>
      </c>
      <c r="AG2092" t="s">
        <v>8736</v>
      </c>
      <c r="AH2092" t="s">
        <v>8705</v>
      </c>
    </row>
    <row r="2093" spans="1:34" x14ac:dyDescent="0.25">
      <c r="A2093">
        <v>85</v>
      </c>
      <c r="B2093" t="s">
        <v>1313</v>
      </c>
      <c r="C2093" s="185"/>
      <c r="D2093" t="s">
        <v>24</v>
      </c>
      <c r="E2093" t="s">
        <v>386</v>
      </c>
      <c r="F2093" t="s">
        <v>8737</v>
      </c>
      <c r="G2093" t="s">
        <v>1197</v>
      </c>
      <c r="H2093" t="s">
        <v>8738</v>
      </c>
      <c r="I2093">
        <v>337</v>
      </c>
      <c r="J2093" t="s">
        <v>8737</v>
      </c>
      <c r="K2093" t="s">
        <v>8739</v>
      </c>
      <c r="L2093" t="s">
        <v>386</v>
      </c>
      <c r="M2093" t="s">
        <v>1193</v>
      </c>
      <c r="N2093">
        <v>337</v>
      </c>
      <c r="O2093">
        <v>0</v>
      </c>
      <c r="Q2093" t="s">
        <v>8740</v>
      </c>
      <c r="S2093" t="s">
        <v>1315</v>
      </c>
      <c r="T2093">
        <v>340</v>
      </c>
      <c r="U2093">
        <v>0</v>
      </c>
      <c r="V2093" t="s">
        <v>1200</v>
      </c>
      <c r="W2093" t="s">
        <v>2144</v>
      </c>
      <c r="X2093">
        <v>39</v>
      </c>
      <c r="Y2093" t="s">
        <v>1317</v>
      </c>
      <c r="Z2093" t="s">
        <v>7659</v>
      </c>
      <c r="AA2093" t="s">
        <v>387</v>
      </c>
      <c r="AB2093">
        <v>0</v>
      </c>
      <c r="AC2093">
        <v>220</v>
      </c>
      <c r="AD2093" t="s">
        <v>8741</v>
      </c>
      <c r="AE2093">
        <v>136</v>
      </c>
      <c r="AF2093" t="s">
        <v>8742</v>
      </c>
      <c r="AG2093" t="s">
        <v>2702</v>
      </c>
      <c r="AH2093" t="s">
        <v>8743</v>
      </c>
    </row>
    <row r="2094" spans="1:34" x14ac:dyDescent="0.25">
      <c r="A2094">
        <v>108</v>
      </c>
      <c r="B2094" t="s">
        <v>1313</v>
      </c>
      <c r="C2094" s="185"/>
      <c r="D2094" t="s">
        <v>24</v>
      </c>
      <c r="E2094" t="s">
        <v>386</v>
      </c>
      <c r="F2094" t="s">
        <v>8744</v>
      </c>
      <c r="G2094" t="s">
        <v>1197</v>
      </c>
      <c r="H2094" t="s">
        <v>8745</v>
      </c>
      <c r="I2094">
        <v>4254</v>
      </c>
      <c r="J2094" t="s">
        <v>8744</v>
      </c>
      <c r="K2094" t="s">
        <v>8686</v>
      </c>
      <c r="L2094" t="s">
        <v>386</v>
      </c>
      <c r="M2094" t="s">
        <v>1193</v>
      </c>
      <c r="N2094">
        <v>4254</v>
      </c>
      <c r="O2094">
        <v>64</v>
      </c>
      <c r="Q2094" t="s">
        <v>8746</v>
      </c>
      <c r="R2094" t="s">
        <v>398</v>
      </c>
      <c r="S2094" t="s">
        <v>1909</v>
      </c>
      <c r="T2094">
        <v>220</v>
      </c>
      <c r="U2094">
        <v>0</v>
      </c>
      <c r="V2094" t="s">
        <v>1194</v>
      </c>
      <c r="W2094" t="s">
        <v>1194</v>
      </c>
      <c r="X2094">
        <v>220</v>
      </c>
      <c r="Y2094" t="s">
        <v>1317</v>
      </c>
      <c r="Z2094" t="s">
        <v>899</v>
      </c>
      <c r="AA2094" t="s">
        <v>387</v>
      </c>
      <c r="AB2094">
        <v>56000</v>
      </c>
      <c r="AC2094">
        <v>2264</v>
      </c>
      <c r="AD2094" t="s">
        <v>8723</v>
      </c>
      <c r="AE2094">
        <v>196</v>
      </c>
      <c r="AF2094" t="s">
        <v>8710</v>
      </c>
      <c r="AG2094" t="s">
        <v>3472</v>
      </c>
    </row>
    <row r="2095" spans="1:34" x14ac:dyDescent="0.25">
      <c r="A2095">
        <v>675</v>
      </c>
      <c r="B2095" t="s">
        <v>1313</v>
      </c>
      <c r="C2095" s="185"/>
      <c r="D2095" t="s">
        <v>24</v>
      </c>
      <c r="E2095" t="s">
        <v>386</v>
      </c>
      <c r="F2095" t="s">
        <v>8747</v>
      </c>
      <c r="G2095" t="s">
        <v>1197</v>
      </c>
      <c r="H2095" t="s">
        <v>8685</v>
      </c>
      <c r="I2095">
        <v>3255</v>
      </c>
      <c r="J2095" t="s">
        <v>8747</v>
      </c>
      <c r="K2095" t="s">
        <v>8686</v>
      </c>
      <c r="L2095" t="s">
        <v>386</v>
      </c>
      <c r="M2095" t="s">
        <v>1193</v>
      </c>
      <c r="N2095">
        <v>3255</v>
      </c>
      <c r="O2095">
        <v>64</v>
      </c>
      <c r="Q2095" t="s">
        <v>8748</v>
      </c>
      <c r="R2095" t="s">
        <v>398</v>
      </c>
      <c r="S2095" t="s">
        <v>1909</v>
      </c>
      <c r="T2095">
        <v>220</v>
      </c>
      <c r="U2095">
        <v>0</v>
      </c>
      <c r="V2095" t="s">
        <v>1194</v>
      </c>
      <c r="W2095" t="s">
        <v>1194</v>
      </c>
      <c r="X2095">
        <v>220</v>
      </c>
      <c r="Y2095" t="s">
        <v>1317</v>
      </c>
      <c r="Z2095" t="s">
        <v>8688</v>
      </c>
      <c r="AA2095" t="s">
        <v>387</v>
      </c>
      <c r="AB2095">
        <v>56000</v>
      </c>
      <c r="AC2095">
        <v>2151</v>
      </c>
      <c r="AD2095" t="s">
        <v>8749</v>
      </c>
      <c r="AE2095">
        <v>18</v>
      </c>
      <c r="AF2095" t="s">
        <v>1259</v>
      </c>
      <c r="AG2095" t="s">
        <v>1931</v>
      </c>
      <c r="AH2095" t="s">
        <v>8750</v>
      </c>
    </row>
    <row r="2096" spans="1:34" x14ac:dyDescent="0.25">
      <c r="A2096">
        <v>108</v>
      </c>
      <c r="B2096" t="s">
        <v>1313</v>
      </c>
      <c r="C2096" s="185"/>
      <c r="D2096" t="s">
        <v>24</v>
      </c>
      <c r="E2096" t="s">
        <v>386</v>
      </c>
      <c r="F2096" t="s">
        <v>8751</v>
      </c>
      <c r="G2096" t="s">
        <v>1197</v>
      </c>
      <c r="H2096" t="s">
        <v>8706</v>
      </c>
      <c r="I2096">
        <v>7125</v>
      </c>
      <c r="J2096" t="s">
        <v>8751</v>
      </c>
      <c r="K2096" t="s">
        <v>8752</v>
      </c>
      <c r="L2096" t="s">
        <v>386</v>
      </c>
      <c r="M2096" t="s">
        <v>1193</v>
      </c>
      <c r="N2096">
        <v>7125</v>
      </c>
      <c r="O2096">
        <v>64</v>
      </c>
      <c r="Q2096" t="s">
        <v>8753</v>
      </c>
      <c r="R2096" t="s">
        <v>398</v>
      </c>
      <c r="S2096" t="s">
        <v>1909</v>
      </c>
      <c r="T2096">
        <v>470</v>
      </c>
      <c r="U2096">
        <v>0</v>
      </c>
      <c r="V2096" t="s">
        <v>4468</v>
      </c>
      <c r="W2096" t="s">
        <v>1194</v>
      </c>
      <c r="X2096">
        <v>220</v>
      </c>
      <c r="Y2096" t="s">
        <v>1317</v>
      </c>
      <c r="Z2096" t="s">
        <v>899</v>
      </c>
      <c r="AA2096" t="s">
        <v>387</v>
      </c>
      <c r="AB2096">
        <v>56000</v>
      </c>
      <c r="AC2096">
        <v>2264</v>
      </c>
      <c r="AD2096" t="s">
        <v>8723</v>
      </c>
      <c r="AE2096">
        <v>196</v>
      </c>
      <c r="AF2096" t="s">
        <v>8710</v>
      </c>
      <c r="AG2096" t="s">
        <v>8754</v>
      </c>
      <c r="AH2096" t="s">
        <v>8755</v>
      </c>
    </row>
    <row r="2097" spans="1:34" x14ac:dyDescent="0.25">
      <c r="A2097">
        <v>2157</v>
      </c>
      <c r="C2097" s="185"/>
      <c r="E2097" t="s">
        <v>386</v>
      </c>
      <c r="F2097" t="s">
        <v>8756</v>
      </c>
      <c r="G2097" t="s">
        <v>1238</v>
      </c>
      <c r="H2097" t="s">
        <v>8757</v>
      </c>
      <c r="I2097">
        <v>15824</v>
      </c>
      <c r="J2097" t="s">
        <v>8756</v>
      </c>
      <c r="K2097" t="s">
        <v>8758</v>
      </c>
      <c r="L2097" t="s">
        <v>386</v>
      </c>
      <c r="M2097" t="s">
        <v>1184</v>
      </c>
      <c r="N2097">
        <v>15824</v>
      </c>
      <c r="O2097">
        <v>0</v>
      </c>
      <c r="Q2097" t="s">
        <v>8759</v>
      </c>
      <c r="T2097">
        <v>103</v>
      </c>
      <c r="V2097" t="s">
        <v>1530</v>
      </c>
      <c r="W2097" t="s">
        <v>1257</v>
      </c>
      <c r="X2097">
        <v>426</v>
      </c>
      <c r="Z2097" t="s">
        <v>8760</v>
      </c>
      <c r="AA2097" t="s">
        <v>387</v>
      </c>
      <c r="AB2097">
        <v>0</v>
      </c>
      <c r="AC2097">
        <v>5958</v>
      </c>
      <c r="AD2097" t="s">
        <v>8761</v>
      </c>
      <c r="AE2097">
        <v>2742</v>
      </c>
      <c r="AF2097" t="s">
        <v>8762</v>
      </c>
      <c r="AG2097" t="s">
        <v>1244</v>
      </c>
      <c r="AH2097" t="s">
        <v>8763</v>
      </c>
    </row>
    <row r="2098" spans="1:34" x14ac:dyDescent="0.25">
      <c r="A2098">
        <v>1865</v>
      </c>
      <c r="C2098" s="185"/>
      <c r="D2098" t="s">
        <v>157</v>
      </c>
      <c r="E2098" t="s">
        <v>386</v>
      </c>
      <c r="F2098" t="s">
        <v>784</v>
      </c>
      <c r="G2098" t="s">
        <v>1197</v>
      </c>
      <c r="H2098" t="s">
        <v>8764</v>
      </c>
      <c r="I2098">
        <v>15908</v>
      </c>
      <c r="J2098" t="s">
        <v>748</v>
      </c>
      <c r="K2098" t="s">
        <v>7189</v>
      </c>
      <c r="L2098" t="s">
        <v>386</v>
      </c>
      <c r="M2098" t="s">
        <v>1193</v>
      </c>
      <c r="N2098">
        <v>17696</v>
      </c>
      <c r="O2098">
        <v>70</v>
      </c>
      <c r="Q2098" t="s">
        <v>8765</v>
      </c>
      <c r="R2098" t="s">
        <v>398</v>
      </c>
      <c r="T2098">
        <v>200</v>
      </c>
      <c r="V2098" t="s">
        <v>1199</v>
      </c>
      <c r="W2098" t="s">
        <v>1199</v>
      </c>
      <c r="X2098">
        <v>200</v>
      </c>
      <c r="Z2098" t="s">
        <v>984</v>
      </c>
      <c r="AA2098" t="s">
        <v>387</v>
      </c>
      <c r="AB2098">
        <v>62000</v>
      </c>
      <c r="AC2098">
        <v>4386</v>
      </c>
      <c r="AD2098" t="s">
        <v>8766</v>
      </c>
      <c r="AE2098">
        <v>2757</v>
      </c>
      <c r="AF2098" t="s">
        <v>8767</v>
      </c>
      <c r="AG2098" t="s">
        <v>8768</v>
      </c>
      <c r="AH2098" t="s">
        <v>7193</v>
      </c>
    </row>
    <row r="2099" spans="1:34" x14ac:dyDescent="0.25">
      <c r="A2099">
        <v>110</v>
      </c>
      <c r="B2099" t="s">
        <v>1313</v>
      </c>
      <c r="C2099" s="185"/>
      <c r="D2099" t="s">
        <v>24</v>
      </c>
      <c r="E2099" t="s">
        <v>386</v>
      </c>
      <c r="F2099" t="s">
        <v>355</v>
      </c>
      <c r="G2099" t="s">
        <v>1197</v>
      </c>
      <c r="H2099" t="s">
        <v>7389</v>
      </c>
      <c r="I2099">
        <v>2060</v>
      </c>
      <c r="J2099" t="s">
        <v>216</v>
      </c>
      <c r="K2099" t="s">
        <v>8769</v>
      </c>
      <c r="L2099" t="s">
        <v>386</v>
      </c>
      <c r="M2099" t="s">
        <v>1193</v>
      </c>
      <c r="N2099">
        <v>15325</v>
      </c>
      <c r="O2099">
        <v>65</v>
      </c>
      <c r="Q2099" t="s">
        <v>8770</v>
      </c>
      <c r="R2099" t="s">
        <v>398</v>
      </c>
      <c r="S2099" t="s">
        <v>1909</v>
      </c>
      <c r="T2099">
        <v>340</v>
      </c>
      <c r="U2099">
        <v>0</v>
      </c>
      <c r="V2099" t="s">
        <v>1200</v>
      </c>
      <c r="W2099" t="s">
        <v>1194</v>
      </c>
      <c r="X2099">
        <v>220</v>
      </c>
      <c r="Y2099" t="s">
        <v>1317</v>
      </c>
      <c r="Z2099" t="s">
        <v>876</v>
      </c>
      <c r="AA2099" t="s">
        <v>387</v>
      </c>
      <c r="AB2099">
        <v>57000</v>
      </c>
      <c r="AC2099">
        <v>473</v>
      </c>
      <c r="AD2099" t="s">
        <v>7392</v>
      </c>
      <c r="AE2099">
        <v>3</v>
      </c>
      <c r="AF2099" t="s">
        <v>1235</v>
      </c>
      <c r="AG2099" t="s">
        <v>1244</v>
      </c>
      <c r="AH2099" t="s">
        <v>7703</v>
      </c>
    </row>
    <row r="2100" spans="1:34" x14ac:dyDescent="0.25">
      <c r="A2100">
        <v>1</v>
      </c>
      <c r="C2100" s="185"/>
      <c r="E2100" t="s">
        <v>386</v>
      </c>
      <c r="F2100" t="s">
        <v>631</v>
      </c>
      <c r="G2100" t="s">
        <v>1192</v>
      </c>
      <c r="H2100" t="s">
        <v>3567</v>
      </c>
      <c r="I2100">
        <v>15135</v>
      </c>
      <c r="J2100" t="s">
        <v>631</v>
      </c>
      <c r="K2100" t="s">
        <v>631</v>
      </c>
      <c r="L2100" t="s">
        <v>386</v>
      </c>
      <c r="M2100" t="s">
        <v>1184</v>
      </c>
      <c r="N2100">
        <v>15135</v>
      </c>
      <c r="O2100">
        <v>0</v>
      </c>
      <c r="Q2100" t="s">
        <v>8771</v>
      </c>
      <c r="R2100" t="s">
        <v>1208</v>
      </c>
      <c r="T2100">
        <v>260</v>
      </c>
      <c r="V2100" t="s">
        <v>1216</v>
      </c>
      <c r="W2100" t="s">
        <v>1988</v>
      </c>
      <c r="X2100">
        <v>122</v>
      </c>
      <c r="Z2100" t="s">
        <v>865</v>
      </c>
      <c r="AA2100" t="s">
        <v>387</v>
      </c>
      <c r="AB2100">
        <v>0</v>
      </c>
      <c r="AC2100">
        <v>5117</v>
      </c>
      <c r="AD2100" t="s">
        <v>3568</v>
      </c>
      <c r="AE2100">
        <v>53</v>
      </c>
      <c r="AF2100" t="s">
        <v>2455</v>
      </c>
      <c r="AG2100" t="s">
        <v>2385</v>
      </c>
    </row>
    <row r="2101" spans="1:34" x14ac:dyDescent="0.25">
      <c r="A2101">
        <v>108</v>
      </c>
      <c r="B2101" t="s">
        <v>1313</v>
      </c>
      <c r="C2101" s="185"/>
      <c r="D2101" t="s">
        <v>24</v>
      </c>
      <c r="E2101" t="s">
        <v>386</v>
      </c>
      <c r="F2101" t="s">
        <v>8772</v>
      </c>
      <c r="G2101" t="s">
        <v>1197</v>
      </c>
      <c r="H2101" t="s">
        <v>8773</v>
      </c>
      <c r="I2101">
        <v>9888</v>
      </c>
      <c r="J2101" t="s">
        <v>8772</v>
      </c>
      <c r="K2101" t="s">
        <v>8774</v>
      </c>
      <c r="L2101" t="s">
        <v>386</v>
      </c>
      <c r="M2101" t="s">
        <v>1193</v>
      </c>
      <c r="N2101">
        <v>9888</v>
      </c>
      <c r="O2101">
        <v>0</v>
      </c>
      <c r="Q2101" t="s">
        <v>8775</v>
      </c>
      <c r="R2101" t="s">
        <v>398</v>
      </c>
      <c r="S2101" t="s">
        <v>1909</v>
      </c>
      <c r="T2101">
        <v>220</v>
      </c>
      <c r="U2101">
        <v>0</v>
      </c>
      <c r="V2101" t="s">
        <v>1194</v>
      </c>
      <c r="Y2101" t="s">
        <v>1317</v>
      </c>
      <c r="Z2101" t="s">
        <v>899</v>
      </c>
      <c r="AA2101" t="s">
        <v>387</v>
      </c>
      <c r="AB2101">
        <v>0</v>
      </c>
      <c r="AC2101">
        <v>3918</v>
      </c>
      <c r="AD2101" t="s">
        <v>8776</v>
      </c>
      <c r="AE2101">
        <v>708</v>
      </c>
      <c r="AF2101" t="s">
        <v>7480</v>
      </c>
      <c r="AG2101" t="s">
        <v>1244</v>
      </c>
    </row>
    <row r="2102" spans="1:34" x14ac:dyDescent="0.25">
      <c r="A2102">
        <v>108</v>
      </c>
      <c r="C2102" s="185"/>
      <c r="E2102" t="s">
        <v>386</v>
      </c>
      <c r="F2102" t="s">
        <v>8777</v>
      </c>
      <c r="G2102" t="s">
        <v>1197</v>
      </c>
      <c r="H2102" t="s">
        <v>8778</v>
      </c>
      <c r="I2102">
        <v>17251</v>
      </c>
      <c r="J2102" t="s">
        <v>8777</v>
      </c>
      <c r="K2102" t="s">
        <v>8779</v>
      </c>
      <c r="L2102" t="s">
        <v>386</v>
      </c>
      <c r="M2102" t="s">
        <v>1193</v>
      </c>
      <c r="N2102">
        <v>17251</v>
      </c>
      <c r="O2102">
        <v>0</v>
      </c>
      <c r="Q2102" t="s">
        <v>8780</v>
      </c>
      <c r="R2102" t="s">
        <v>1208</v>
      </c>
      <c r="T2102">
        <v>260</v>
      </c>
      <c r="V2102" t="s">
        <v>1216</v>
      </c>
      <c r="W2102" t="s">
        <v>1216</v>
      </c>
      <c r="X2102">
        <v>260</v>
      </c>
      <c r="Z2102" t="s">
        <v>899</v>
      </c>
      <c r="AA2102" t="s">
        <v>387</v>
      </c>
      <c r="AB2102">
        <v>0</v>
      </c>
      <c r="AC2102">
        <v>6496</v>
      </c>
      <c r="AD2102" t="s">
        <v>8781</v>
      </c>
      <c r="AE2102">
        <v>2997</v>
      </c>
      <c r="AF2102" t="s">
        <v>8782</v>
      </c>
      <c r="AG2102" t="s">
        <v>4424</v>
      </c>
      <c r="AH2102" t="s">
        <v>8783</v>
      </c>
    </row>
    <row r="2103" spans="1:34" x14ac:dyDescent="0.25">
      <c r="A2103">
        <v>108</v>
      </c>
      <c r="C2103" s="185"/>
      <c r="E2103" t="s">
        <v>386</v>
      </c>
      <c r="F2103" t="s">
        <v>15549</v>
      </c>
      <c r="G2103" t="s">
        <v>1197</v>
      </c>
      <c r="H2103" t="s">
        <v>15550</v>
      </c>
      <c r="I2103">
        <v>17734</v>
      </c>
      <c r="J2103" t="s">
        <v>15549</v>
      </c>
      <c r="K2103" t="s">
        <v>15551</v>
      </c>
      <c r="L2103" t="s">
        <v>386</v>
      </c>
      <c r="M2103" t="s">
        <v>1193</v>
      </c>
      <c r="N2103">
        <v>17734</v>
      </c>
      <c r="O2103">
        <v>0</v>
      </c>
      <c r="Q2103" t="s">
        <v>15552</v>
      </c>
      <c r="R2103" t="s">
        <v>398</v>
      </c>
      <c r="T2103">
        <v>52</v>
      </c>
      <c r="V2103" t="s">
        <v>2024</v>
      </c>
      <c r="W2103" t="s">
        <v>4468</v>
      </c>
      <c r="X2103">
        <v>470</v>
      </c>
      <c r="Z2103" t="s">
        <v>899</v>
      </c>
      <c r="AA2103" t="s">
        <v>387</v>
      </c>
      <c r="AB2103">
        <v>0</v>
      </c>
      <c r="AC2103">
        <v>6202</v>
      </c>
      <c r="AD2103" t="s">
        <v>15553</v>
      </c>
      <c r="AE2103">
        <v>3</v>
      </c>
      <c r="AF2103" t="s">
        <v>1235</v>
      </c>
      <c r="AG2103" t="s">
        <v>15554</v>
      </c>
      <c r="AH2103" t="s">
        <v>15555</v>
      </c>
    </row>
    <row r="2104" spans="1:34" x14ac:dyDescent="0.25">
      <c r="A2104">
        <v>133</v>
      </c>
      <c r="C2104" s="185"/>
      <c r="E2104" t="s">
        <v>386</v>
      </c>
      <c r="F2104" t="s">
        <v>8784</v>
      </c>
      <c r="G2104" t="s">
        <v>1197</v>
      </c>
      <c r="H2104" t="s">
        <v>8785</v>
      </c>
      <c r="I2104">
        <v>16746</v>
      </c>
      <c r="J2104" t="s">
        <v>8784</v>
      </c>
      <c r="K2104" t="s">
        <v>8786</v>
      </c>
      <c r="L2104" t="s">
        <v>386</v>
      </c>
      <c r="M2104" t="s">
        <v>1193</v>
      </c>
      <c r="N2104">
        <v>16746</v>
      </c>
      <c r="O2104">
        <v>0</v>
      </c>
      <c r="Q2104" t="s">
        <v>8787</v>
      </c>
      <c r="R2104" t="s">
        <v>398</v>
      </c>
      <c r="T2104">
        <v>571</v>
      </c>
      <c r="V2104" t="s">
        <v>2003</v>
      </c>
      <c r="W2104" t="s">
        <v>2602</v>
      </c>
      <c r="X2104">
        <v>560</v>
      </c>
      <c r="Z2104" t="s">
        <v>3195</v>
      </c>
      <c r="AA2104" t="s">
        <v>387</v>
      </c>
      <c r="AB2104">
        <v>0</v>
      </c>
      <c r="AC2104">
        <v>6236</v>
      </c>
      <c r="AD2104" t="s">
        <v>8788</v>
      </c>
      <c r="AE2104">
        <v>2859</v>
      </c>
      <c r="AF2104" t="s">
        <v>8789</v>
      </c>
      <c r="AG2104" t="s">
        <v>2702</v>
      </c>
      <c r="AH2104" t="s">
        <v>8790</v>
      </c>
    </row>
    <row r="2105" spans="1:34" x14ac:dyDescent="0.25">
      <c r="A2105">
        <v>2097</v>
      </c>
      <c r="C2105" s="185"/>
      <c r="E2105" t="s">
        <v>386</v>
      </c>
      <c r="F2105" t="s">
        <v>8791</v>
      </c>
      <c r="G2105" t="s">
        <v>1238</v>
      </c>
      <c r="H2105" t="s">
        <v>8792</v>
      </c>
      <c r="I2105">
        <v>15054</v>
      </c>
      <c r="J2105" t="s">
        <v>8791</v>
      </c>
      <c r="K2105" t="s">
        <v>8793</v>
      </c>
      <c r="L2105" t="s">
        <v>386</v>
      </c>
      <c r="M2105" t="s">
        <v>1184</v>
      </c>
      <c r="N2105">
        <v>15054</v>
      </c>
      <c r="O2105">
        <v>0</v>
      </c>
      <c r="Q2105" t="s">
        <v>8794</v>
      </c>
      <c r="T2105">
        <v>35</v>
      </c>
      <c r="V2105" t="s">
        <v>2015</v>
      </c>
      <c r="W2105" t="s">
        <v>1216</v>
      </c>
      <c r="X2105">
        <v>260</v>
      </c>
      <c r="Z2105" t="s">
        <v>4011</v>
      </c>
      <c r="AA2105" t="s">
        <v>387</v>
      </c>
      <c r="AB2105">
        <v>0</v>
      </c>
      <c r="AC2105">
        <v>5719</v>
      </c>
      <c r="AD2105" t="s">
        <v>8795</v>
      </c>
      <c r="AE2105">
        <v>18</v>
      </c>
      <c r="AF2105" t="s">
        <v>1259</v>
      </c>
      <c r="AG2105" t="s">
        <v>1244</v>
      </c>
      <c r="AH2105" t="s">
        <v>8796</v>
      </c>
    </row>
    <row r="2106" spans="1:34" x14ac:dyDescent="0.25">
      <c r="A2106">
        <v>108</v>
      </c>
      <c r="C2106" s="185"/>
      <c r="E2106" t="s">
        <v>386</v>
      </c>
      <c r="F2106" t="s">
        <v>8797</v>
      </c>
      <c r="G2106" t="s">
        <v>1197</v>
      </c>
      <c r="H2106" t="s">
        <v>8798</v>
      </c>
      <c r="I2106">
        <v>16335</v>
      </c>
      <c r="J2106" t="s">
        <v>8797</v>
      </c>
      <c r="K2106" t="s">
        <v>8797</v>
      </c>
      <c r="L2106" t="s">
        <v>386</v>
      </c>
      <c r="M2106" t="s">
        <v>1193</v>
      </c>
      <c r="N2106">
        <v>16335</v>
      </c>
      <c r="O2106">
        <v>0</v>
      </c>
      <c r="Q2106" t="s">
        <v>8799</v>
      </c>
      <c r="T2106">
        <v>496</v>
      </c>
      <c r="V2106" t="s">
        <v>2246</v>
      </c>
      <c r="W2106" t="s">
        <v>2246</v>
      </c>
      <c r="X2106">
        <v>496</v>
      </c>
      <c r="Z2106" t="s">
        <v>899</v>
      </c>
      <c r="AA2106" t="s">
        <v>387</v>
      </c>
      <c r="AB2106">
        <v>0</v>
      </c>
      <c r="AC2106">
        <v>6125</v>
      </c>
      <c r="AD2106" t="s">
        <v>8800</v>
      </c>
      <c r="AE2106">
        <v>2807</v>
      </c>
      <c r="AF2106" t="s">
        <v>8801</v>
      </c>
      <c r="AG2106" t="s">
        <v>2599</v>
      </c>
      <c r="AH2106" t="s">
        <v>8802</v>
      </c>
    </row>
    <row r="2107" spans="1:34" x14ac:dyDescent="0.25">
      <c r="A2107">
        <v>61</v>
      </c>
      <c r="C2107" s="185"/>
      <c r="E2107" t="s">
        <v>386</v>
      </c>
      <c r="F2107" t="s">
        <v>8803</v>
      </c>
      <c r="G2107" t="s">
        <v>1197</v>
      </c>
      <c r="H2107" t="s">
        <v>8804</v>
      </c>
      <c r="I2107">
        <v>15292</v>
      </c>
      <c r="J2107" t="s">
        <v>8803</v>
      </c>
      <c r="K2107" t="s">
        <v>8805</v>
      </c>
      <c r="L2107" t="s">
        <v>386</v>
      </c>
      <c r="M2107" t="s">
        <v>1193</v>
      </c>
      <c r="N2107">
        <v>15292</v>
      </c>
      <c r="O2107">
        <v>0</v>
      </c>
      <c r="Q2107" t="s">
        <v>8806</v>
      </c>
      <c r="T2107">
        <v>571</v>
      </c>
      <c r="V2107" t="s">
        <v>2003</v>
      </c>
      <c r="W2107" t="s">
        <v>2073</v>
      </c>
      <c r="X2107">
        <v>372</v>
      </c>
      <c r="Z2107" t="s">
        <v>4548</v>
      </c>
      <c r="AA2107" t="s">
        <v>387</v>
      </c>
      <c r="AB2107">
        <v>0</v>
      </c>
      <c r="AC2107">
        <v>5797</v>
      </c>
      <c r="AD2107" t="s">
        <v>8807</v>
      </c>
      <c r="AE2107">
        <v>2405</v>
      </c>
      <c r="AF2107" t="s">
        <v>8808</v>
      </c>
      <c r="AG2107" t="s">
        <v>8809</v>
      </c>
      <c r="AH2107" t="s">
        <v>8810</v>
      </c>
    </row>
    <row r="2108" spans="1:34" x14ac:dyDescent="0.25">
      <c r="A2108">
        <v>61</v>
      </c>
      <c r="C2108" s="185"/>
      <c r="E2108" t="s">
        <v>386</v>
      </c>
      <c r="F2108" t="s">
        <v>8811</v>
      </c>
      <c r="G2108" t="s">
        <v>1197</v>
      </c>
      <c r="H2108" t="s">
        <v>8812</v>
      </c>
      <c r="I2108">
        <v>5718</v>
      </c>
      <c r="J2108" t="s">
        <v>8811</v>
      </c>
      <c r="K2108" t="s">
        <v>8811</v>
      </c>
      <c r="L2108" t="s">
        <v>386</v>
      </c>
      <c r="M2108" t="s">
        <v>1193</v>
      </c>
      <c r="N2108">
        <v>5718</v>
      </c>
      <c r="O2108">
        <v>0</v>
      </c>
      <c r="Q2108" t="s">
        <v>8813</v>
      </c>
      <c r="T2108">
        <v>39</v>
      </c>
      <c r="V2108" t="s">
        <v>2144</v>
      </c>
      <c r="Z2108" t="s">
        <v>4548</v>
      </c>
      <c r="AA2108" t="s">
        <v>387</v>
      </c>
      <c r="AB2108">
        <v>0</v>
      </c>
      <c r="AC2108">
        <v>2689</v>
      </c>
      <c r="AD2108" t="s">
        <v>8814</v>
      </c>
      <c r="AE2108">
        <v>1293</v>
      </c>
      <c r="AF2108" t="s">
        <v>8815</v>
      </c>
      <c r="AG2108" t="s">
        <v>8816</v>
      </c>
      <c r="AH2108" t="s">
        <v>8817</v>
      </c>
    </row>
    <row r="2109" spans="1:34" x14ac:dyDescent="0.25">
      <c r="A2109">
        <v>108</v>
      </c>
      <c r="C2109" s="185"/>
      <c r="E2109" t="s">
        <v>386</v>
      </c>
      <c r="F2109" t="s">
        <v>8818</v>
      </c>
      <c r="G2109" t="s">
        <v>1197</v>
      </c>
      <c r="H2109" t="s">
        <v>8819</v>
      </c>
      <c r="I2109">
        <v>16848</v>
      </c>
      <c r="J2109" t="s">
        <v>8818</v>
      </c>
      <c r="K2109" t="s">
        <v>8820</v>
      </c>
      <c r="L2109" t="s">
        <v>386</v>
      </c>
      <c r="M2109" t="s">
        <v>1193</v>
      </c>
      <c r="N2109">
        <v>16848</v>
      </c>
      <c r="O2109">
        <v>0</v>
      </c>
      <c r="Q2109" t="s">
        <v>8821</v>
      </c>
      <c r="T2109">
        <v>571</v>
      </c>
      <c r="V2109" t="s">
        <v>2003</v>
      </c>
      <c r="W2109" t="s">
        <v>2246</v>
      </c>
      <c r="X2109">
        <v>496</v>
      </c>
      <c r="Z2109" t="s">
        <v>899</v>
      </c>
      <c r="AA2109" t="s">
        <v>387</v>
      </c>
      <c r="AB2109">
        <v>0</v>
      </c>
      <c r="AC2109">
        <v>5658</v>
      </c>
      <c r="AD2109" t="s">
        <v>8822</v>
      </c>
      <c r="AE2109">
        <v>1433</v>
      </c>
      <c r="AF2109" t="s">
        <v>8735</v>
      </c>
      <c r="AG2109" t="s">
        <v>6439</v>
      </c>
      <c r="AH2109" t="s">
        <v>8823</v>
      </c>
    </row>
    <row r="2110" spans="1:34" x14ac:dyDescent="0.25">
      <c r="A2110">
        <v>1815</v>
      </c>
      <c r="C2110" s="185"/>
      <c r="D2110" t="s">
        <v>157</v>
      </c>
      <c r="E2110" t="s">
        <v>386</v>
      </c>
      <c r="F2110" t="s">
        <v>8824</v>
      </c>
      <c r="G2110" t="s">
        <v>1238</v>
      </c>
      <c r="H2110" t="s">
        <v>4951</v>
      </c>
      <c r="I2110">
        <v>12135</v>
      </c>
      <c r="J2110" t="s">
        <v>8824</v>
      </c>
      <c r="K2110" t="s">
        <v>5113</v>
      </c>
      <c r="L2110" t="s">
        <v>386</v>
      </c>
      <c r="M2110" t="s">
        <v>1184</v>
      </c>
      <c r="N2110">
        <v>12135</v>
      </c>
      <c r="O2110">
        <v>59</v>
      </c>
      <c r="Q2110" t="s">
        <v>8825</v>
      </c>
      <c r="R2110" t="s">
        <v>398</v>
      </c>
      <c r="T2110">
        <v>246</v>
      </c>
      <c r="V2110" t="s">
        <v>3321</v>
      </c>
      <c r="W2110" t="s">
        <v>3202</v>
      </c>
      <c r="X2110">
        <v>280</v>
      </c>
      <c r="Z2110" t="s">
        <v>4953</v>
      </c>
      <c r="AA2110" t="s">
        <v>387</v>
      </c>
      <c r="AB2110">
        <v>35000</v>
      </c>
      <c r="AC2110">
        <v>4594</v>
      </c>
      <c r="AD2110" t="s">
        <v>5115</v>
      </c>
      <c r="AE2110">
        <v>18</v>
      </c>
      <c r="AF2110" t="s">
        <v>1259</v>
      </c>
      <c r="AG2110" t="s">
        <v>8826</v>
      </c>
    </row>
    <row r="2111" spans="1:34" x14ac:dyDescent="0.25">
      <c r="A2111">
        <v>108</v>
      </c>
      <c r="B2111" t="s">
        <v>1313</v>
      </c>
      <c r="C2111" s="185"/>
      <c r="D2111" t="s">
        <v>24</v>
      </c>
      <c r="E2111" t="s">
        <v>386</v>
      </c>
      <c r="F2111" t="s">
        <v>15465</v>
      </c>
      <c r="G2111" t="s">
        <v>1197</v>
      </c>
      <c r="H2111" t="s">
        <v>8827</v>
      </c>
      <c r="I2111">
        <v>12623</v>
      </c>
      <c r="J2111" t="s">
        <v>233</v>
      </c>
      <c r="K2111" t="s">
        <v>6577</v>
      </c>
      <c r="L2111" t="s">
        <v>386</v>
      </c>
      <c r="M2111" t="s">
        <v>1193</v>
      </c>
      <c r="N2111">
        <v>17798</v>
      </c>
      <c r="O2111">
        <v>64</v>
      </c>
      <c r="Q2111" t="s">
        <v>8828</v>
      </c>
      <c r="R2111" t="s">
        <v>398</v>
      </c>
      <c r="S2111" t="s">
        <v>1909</v>
      </c>
      <c r="T2111">
        <v>200</v>
      </c>
      <c r="U2111">
        <v>0</v>
      </c>
      <c r="V2111" t="s">
        <v>1199</v>
      </c>
      <c r="W2111" t="s">
        <v>1194</v>
      </c>
      <c r="X2111">
        <v>220</v>
      </c>
      <c r="Y2111" t="s">
        <v>1317</v>
      </c>
      <c r="Z2111" t="s">
        <v>899</v>
      </c>
      <c r="AA2111" t="s">
        <v>387</v>
      </c>
      <c r="AB2111">
        <v>56000</v>
      </c>
      <c r="AC2111">
        <v>3699</v>
      </c>
      <c r="AD2111" t="s">
        <v>8829</v>
      </c>
      <c r="AE2111">
        <v>2176</v>
      </c>
      <c r="AF2111" t="s">
        <v>8830</v>
      </c>
      <c r="AG2111" t="s">
        <v>7702</v>
      </c>
      <c r="AH2111" t="s">
        <v>7703</v>
      </c>
    </row>
    <row r="2112" spans="1:34" x14ac:dyDescent="0.25">
      <c r="A2112">
        <v>675</v>
      </c>
      <c r="B2112" t="s">
        <v>1313</v>
      </c>
      <c r="C2112" s="185"/>
      <c r="E2112" t="s">
        <v>386</v>
      </c>
      <c r="F2112" t="s">
        <v>370</v>
      </c>
      <c r="G2112" t="s">
        <v>1197</v>
      </c>
      <c r="H2112" t="s">
        <v>8685</v>
      </c>
      <c r="I2112">
        <v>12772</v>
      </c>
      <c r="J2112" t="s">
        <v>8831</v>
      </c>
      <c r="K2112" t="s">
        <v>8306</v>
      </c>
      <c r="L2112" t="s">
        <v>386</v>
      </c>
      <c r="M2112" t="s">
        <v>1193</v>
      </c>
      <c r="N2112">
        <v>15333</v>
      </c>
      <c r="O2112">
        <v>64</v>
      </c>
      <c r="Q2112" t="s">
        <v>8832</v>
      </c>
      <c r="R2112" t="s">
        <v>398</v>
      </c>
      <c r="S2112" t="s">
        <v>1909</v>
      </c>
      <c r="T2112">
        <v>220</v>
      </c>
      <c r="U2112">
        <v>0</v>
      </c>
      <c r="V2112" t="s">
        <v>1194</v>
      </c>
      <c r="W2112" t="s">
        <v>2107</v>
      </c>
      <c r="X2112">
        <v>272</v>
      </c>
      <c r="Y2112" t="s">
        <v>1317</v>
      </c>
      <c r="Z2112" t="s">
        <v>8688</v>
      </c>
      <c r="AA2112" t="s">
        <v>387</v>
      </c>
      <c r="AB2112">
        <v>56000</v>
      </c>
      <c r="AC2112">
        <v>4770</v>
      </c>
      <c r="AD2112" t="s">
        <v>8833</v>
      </c>
      <c r="AE2112">
        <v>1</v>
      </c>
      <c r="AF2112" t="s">
        <v>1922</v>
      </c>
      <c r="AG2112" t="s">
        <v>3696</v>
      </c>
      <c r="AH2112" t="s">
        <v>8834</v>
      </c>
    </row>
    <row r="2113" spans="1:34" x14ac:dyDescent="0.25">
      <c r="A2113">
        <v>108</v>
      </c>
      <c r="C2113" s="185"/>
      <c r="E2113" t="s">
        <v>386</v>
      </c>
      <c r="F2113" t="s">
        <v>8835</v>
      </c>
      <c r="G2113" t="s">
        <v>1197</v>
      </c>
      <c r="H2113" t="s">
        <v>8798</v>
      </c>
      <c r="I2113">
        <v>12619</v>
      </c>
      <c r="J2113" t="s">
        <v>8835</v>
      </c>
      <c r="K2113" t="s">
        <v>8836</v>
      </c>
      <c r="L2113" t="s">
        <v>386</v>
      </c>
      <c r="M2113" t="s">
        <v>1193</v>
      </c>
      <c r="N2113">
        <v>12619</v>
      </c>
      <c r="O2113">
        <v>64</v>
      </c>
      <c r="Q2113" t="s">
        <v>8837</v>
      </c>
      <c r="R2113" t="s">
        <v>398</v>
      </c>
      <c r="T2113">
        <v>496</v>
      </c>
      <c r="V2113" t="s">
        <v>2246</v>
      </c>
      <c r="W2113" t="s">
        <v>1194</v>
      </c>
      <c r="X2113">
        <v>220</v>
      </c>
      <c r="Z2113" t="s">
        <v>899</v>
      </c>
      <c r="AA2113" t="s">
        <v>387</v>
      </c>
      <c r="AB2113">
        <v>56000</v>
      </c>
      <c r="AC2113">
        <v>4717</v>
      </c>
      <c r="AD2113" t="s">
        <v>8838</v>
      </c>
      <c r="AE2113">
        <v>196</v>
      </c>
      <c r="AF2113" t="s">
        <v>8710</v>
      </c>
      <c r="AG2113" t="s">
        <v>2599</v>
      </c>
      <c r="AH2113" t="s">
        <v>8802</v>
      </c>
    </row>
    <row r="2114" spans="1:34" x14ac:dyDescent="0.25">
      <c r="A2114">
        <v>3</v>
      </c>
      <c r="C2114" s="185"/>
      <c r="E2114" t="s">
        <v>386</v>
      </c>
      <c r="F2114" t="s">
        <v>8839</v>
      </c>
      <c r="G2114" t="s">
        <v>1197</v>
      </c>
      <c r="H2114" t="s">
        <v>8840</v>
      </c>
      <c r="I2114">
        <v>5883</v>
      </c>
      <c r="J2114" t="s">
        <v>8839</v>
      </c>
      <c r="K2114" t="s">
        <v>8839</v>
      </c>
      <c r="L2114" t="s">
        <v>386</v>
      </c>
      <c r="M2114" t="s">
        <v>1193</v>
      </c>
      <c r="N2114">
        <v>5883</v>
      </c>
      <c r="O2114">
        <v>0</v>
      </c>
      <c r="Q2114" t="s">
        <v>8841</v>
      </c>
      <c r="T2114">
        <v>39</v>
      </c>
      <c r="V2114" t="s">
        <v>2144</v>
      </c>
      <c r="Z2114" t="s">
        <v>1935</v>
      </c>
      <c r="AA2114" t="s">
        <v>387</v>
      </c>
      <c r="AB2114">
        <v>0</v>
      </c>
      <c r="AC2114">
        <v>2756</v>
      </c>
      <c r="AD2114" t="s">
        <v>8842</v>
      </c>
      <c r="AE2114">
        <v>513</v>
      </c>
      <c r="AF2114" t="s">
        <v>8843</v>
      </c>
      <c r="AG2114" t="s">
        <v>8844</v>
      </c>
    </row>
    <row r="2115" spans="1:34" x14ac:dyDescent="0.25">
      <c r="A2115">
        <v>2126</v>
      </c>
      <c r="C2115" s="185"/>
      <c r="E2115" t="s">
        <v>386</v>
      </c>
      <c r="F2115" t="s">
        <v>8845</v>
      </c>
      <c r="G2115" t="s">
        <v>1197</v>
      </c>
      <c r="H2115" t="s">
        <v>8846</v>
      </c>
      <c r="I2115">
        <v>15052</v>
      </c>
      <c r="J2115" t="s">
        <v>8845</v>
      </c>
      <c r="K2115" t="s">
        <v>8847</v>
      </c>
      <c r="L2115" t="s">
        <v>386</v>
      </c>
      <c r="M2115" t="s">
        <v>1193</v>
      </c>
      <c r="N2115">
        <v>15052</v>
      </c>
      <c r="O2115">
        <v>0</v>
      </c>
      <c r="Q2115" t="s">
        <v>8848</v>
      </c>
      <c r="T2115">
        <v>372</v>
      </c>
      <c r="V2115" t="s">
        <v>2073</v>
      </c>
      <c r="W2115" t="s">
        <v>1257</v>
      </c>
      <c r="X2115">
        <v>426</v>
      </c>
      <c r="Z2115" t="s">
        <v>8849</v>
      </c>
      <c r="AA2115" t="s">
        <v>387</v>
      </c>
      <c r="AB2115">
        <v>0</v>
      </c>
      <c r="AC2115">
        <v>5718</v>
      </c>
      <c r="AD2115" t="s">
        <v>8850</v>
      </c>
      <c r="AE2115">
        <v>2640</v>
      </c>
      <c r="AF2115" t="s">
        <v>8851</v>
      </c>
      <c r="AG2115" t="s">
        <v>6736</v>
      </c>
      <c r="AH2115" t="s">
        <v>8852</v>
      </c>
    </row>
    <row r="2116" spans="1:34" x14ac:dyDescent="0.25">
      <c r="A2116">
        <v>108</v>
      </c>
      <c r="C2116" s="185"/>
      <c r="E2116" t="s">
        <v>386</v>
      </c>
      <c r="F2116" t="s">
        <v>8853</v>
      </c>
      <c r="G2116" t="s">
        <v>1197</v>
      </c>
      <c r="H2116" t="s">
        <v>8854</v>
      </c>
      <c r="I2116">
        <v>16655</v>
      </c>
      <c r="J2116" t="s">
        <v>8853</v>
      </c>
      <c r="K2116" t="s">
        <v>8855</v>
      </c>
      <c r="L2116" t="s">
        <v>386</v>
      </c>
      <c r="M2116" t="s">
        <v>1193</v>
      </c>
      <c r="N2116">
        <v>16655</v>
      </c>
      <c r="O2116">
        <v>64</v>
      </c>
      <c r="Q2116" t="s">
        <v>8856</v>
      </c>
      <c r="R2116" t="s">
        <v>398</v>
      </c>
      <c r="T2116">
        <v>52</v>
      </c>
      <c r="V2116" t="s">
        <v>2024</v>
      </c>
      <c r="W2116" t="s">
        <v>1194</v>
      </c>
      <c r="X2116">
        <v>220</v>
      </c>
      <c r="Z2116" t="s">
        <v>899</v>
      </c>
      <c r="AA2116" t="s">
        <v>387</v>
      </c>
      <c r="AB2116">
        <v>56000</v>
      </c>
      <c r="AC2116">
        <v>6219</v>
      </c>
      <c r="AD2116" t="s">
        <v>8857</v>
      </c>
      <c r="AE2116">
        <v>2807</v>
      </c>
      <c r="AF2116" t="s">
        <v>8801</v>
      </c>
      <c r="AG2116" t="s">
        <v>1244</v>
      </c>
      <c r="AH2116" t="s">
        <v>8858</v>
      </c>
    </row>
    <row r="2117" spans="1:34" x14ac:dyDescent="0.25">
      <c r="A2117">
        <v>18</v>
      </c>
      <c r="B2117" t="s">
        <v>1313</v>
      </c>
      <c r="C2117" s="185"/>
      <c r="D2117" t="s">
        <v>24</v>
      </c>
      <c r="E2117" t="s">
        <v>386</v>
      </c>
      <c r="F2117" t="s">
        <v>8859</v>
      </c>
      <c r="G2117" t="s">
        <v>1197</v>
      </c>
      <c r="H2117" t="s">
        <v>8860</v>
      </c>
      <c r="I2117">
        <v>6050</v>
      </c>
      <c r="J2117" t="s">
        <v>8859</v>
      </c>
      <c r="K2117" t="s">
        <v>8859</v>
      </c>
      <c r="L2117" t="s">
        <v>386</v>
      </c>
      <c r="M2117" t="s">
        <v>1193</v>
      </c>
      <c r="N2117">
        <v>6050</v>
      </c>
      <c r="O2117">
        <v>65</v>
      </c>
      <c r="Q2117" t="s">
        <v>8861</v>
      </c>
      <c r="R2117" t="s">
        <v>398</v>
      </c>
      <c r="S2117" t="s">
        <v>1909</v>
      </c>
      <c r="T2117">
        <v>220</v>
      </c>
      <c r="U2117">
        <v>0</v>
      </c>
      <c r="V2117" t="s">
        <v>1194</v>
      </c>
      <c r="W2117" t="s">
        <v>1194</v>
      </c>
      <c r="X2117">
        <v>220</v>
      </c>
      <c r="Y2117" t="s">
        <v>1317</v>
      </c>
      <c r="Z2117" t="s">
        <v>905</v>
      </c>
      <c r="AA2117" t="s">
        <v>387</v>
      </c>
      <c r="AB2117">
        <v>57000</v>
      </c>
      <c r="AC2117">
        <v>2802</v>
      </c>
      <c r="AD2117" t="s">
        <v>8862</v>
      </c>
      <c r="AE2117">
        <v>1094</v>
      </c>
      <c r="AF2117" t="s">
        <v>8863</v>
      </c>
      <c r="AG2117" t="s">
        <v>8864</v>
      </c>
    </row>
    <row r="2118" spans="1:34" x14ac:dyDescent="0.25">
      <c r="A2118">
        <v>2115</v>
      </c>
      <c r="C2118" s="185"/>
      <c r="E2118" t="s">
        <v>386</v>
      </c>
      <c r="F2118" t="s">
        <v>8865</v>
      </c>
      <c r="G2118" t="s">
        <v>1238</v>
      </c>
      <c r="H2118" t="s">
        <v>8866</v>
      </c>
      <c r="I2118">
        <v>14743</v>
      </c>
      <c r="J2118" t="s">
        <v>8865</v>
      </c>
      <c r="K2118" t="s">
        <v>8867</v>
      </c>
      <c r="L2118" t="s">
        <v>386</v>
      </c>
      <c r="M2118" t="s">
        <v>1184</v>
      </c>
      <c r="N2118">
        <v>14743</v>
      </c>
      <c r="O2118">
        <v>0</v>
      </c>
      <c r="Q2118" t="s">
        <v>8868</v>
      </c>
      <c r="T2118">
        <v>260</v>
      </c>
      <c r="V2118" t="s">
        <v>1216</v>
      </c>
      <c r="W2118" t="s">
        <v>1216</v>
      </c>
      <c r="X2118">
        <v>260</v>
      </c>
      <c r="Z2118" t="s">
        <v>8869</v>
      </c>
      <c r="AA2118" t="s">
        <v>387</v>
      </c>
      <c r="AB2118">
        <v>0</v>
      </c>
      <c r="AC2118">
        <v>5605</v>
      </c>
      <c r="AD2118" t="s">
        <v>8865</v>
      </c>
      <c r="AE2118">
        <v>18</v>
      </c>
      <c r="AF2118" t="s">
        <v>1259</v>
      </c>
      <c r="AG2118" t="s">
        <v>1244</v>
      </c>
      <c r="AH2118" t="s">
        <v>8870</v>
      </c>
    </row>
    <row r="2119" spans="1:34" x14ac:dyDescent="0.25">
      <c r="A2119">
        <v>1792</v>
      </c>
      <c r="C2119" s="185"/>
      <c r="D2119" t="s">
        <v>157</v>
      </c>
      <c r="E2119" t="s">
        <v>386</v>
      </c>
      <c r="F2119" t="s">
        <v>8871</v>
      </c>
      <c r="G2119" t="s">
        <v>1238</v>
      </c>
      <c r="H2119" t="s">
        <v>4919</v>
      </c>
      <c r="I2119">
        <v>12172</v>
      </c>
      <c r="J2119" t="s">
        <v>8871</v>
      </c>
      <c r="K2119" t="s">
        <v>8872</v>
      </c>
      <c r="L2119" t="s">
        <v>386</v>
      </c>
      <c r="M2119" t="s">
        <v>1184</v>
      </c>
      <c r="N2119">
        <v>12172</v>
      </c>
      <c r="O2119">
        <v>25</v>
      </c>
      <c r="Q2119" t="s">
        <v>8873</v>
      </c>
      <c r="T2119">
        <v>246</v>
      </c>
      <c r="V2119" t="s">
        <v>3321</v>
      </c>
      <c r="W2119" t="s">
        <v>1712</v>
      </c>
      <c r="X2119">
        <v>388</v>
      </c>
      <c r="Z2119" t="s">
        <v>1053</v>
      </c>
      <c r="AA2119" t="s">
        <v>387</v>
      </c>
      <c r="AB2119">
        <v>0</v>
      </c>
      <c r="AC2119">
        <v>4609</v>
      </c>
      <c r="AD2119" t="s">
        <v>8874</v>
      </c>
      <c r="AE2119">
        <v>18</v>
      </c>
      <c r="AF2119" t="s">
        <v>1259</v>
      </c>
      <c r="AH2119" t="s">
        <v>8875</v>
      </c>
    </row>
    <row r="2120" spans="1:34" x14ac:dyDescent="0.25">
      <c r="A2120">
        <v>1811</v>
      </c>
      <c r="C2120" s="185"/>
      <c r="E2120" t="s">
        <v>386</v>
      </c>
      <c r="F2120" t="s">
        <v>8876</v>
      </c>
      <c r="G2120" t="s">
        <v>1238</v>
      </c>
      <c r="H2120" t="s">
        <v>5237</v>
      </c>
      <c r="I2120">
        <v>14942</v>
      </c>
      <c r="J2120" t="s">
        <v>8876</v>
      </c>
      <c r="K2120" t="s">
        <v>8877</v>
      </c>
      <c r="L2120" t="s">
        <v>386</v>
      </c>
      <c r="M2120" t="s">
        <v>1184</v>
      </c>
      <c r="N2120">
        <v>14942</v>
      </c>
      <c r="O2120">
        <v>0</v>
      </c>
      <c r="Q2120" t="s">
        <v>8878</v>
      </c>
      <c r="T2120">
        <v>246</v>
      </c>
      <c r="V2120" t="s">
        <v>3321</v>
      </c>
      <c r="W2120" t="s">
        <v>1216</v>
      </c>
      <c r="X2120">
        <v>260</v>
      </c>
      <c r="Z2120" t="s">
        <v>5159</v>
      </c>
      <c r="AA2120" t="s">
        <v>387</v>
      </c>
      <c r="AB2120">
        <v>19000</v>
      </c>
      <c r="AC2120">
        <v>5683</v>
      </c>
      <c r="AD2120" t="s">
        <v>8879</v>
      </c>
      <c r="AE2120">
        <v>18</v>
      </c>
      <c r="AF2120" t="s">
        <v>1259</v>
      </c>
      <c r="AG2120" t="s">
        <v>1244</v>
      </c>
      <c r="AH2120" t="s">
        <v>8880</v>
      </c>
    </row>
    <row r="2121" spans="1:34" x14ac:dyDescent="0.25">
      <c r="A2121">
        <v>71</v>
      </c>
      <c r="C2121" s="185"/>
      <c r="E2121" t="s">
        <v>386</v>
      </c>
      <c r="F2121" t="s">
        <v>8881</v>
      </c>
      <c r="G2121" t="s">
        <v>1197</v>
      </c>
      <c r="H2121" t="s">
        <v>5635</v>
      </c>
      <c r="I2121">
        <v>16555</v>
      </c>
      <c r="J2121" t="s">
        <v>8881</v>
      </c>
      <c r="K2121" t="s">
        <v>8881</v>
      </c>
      <c r="L2121" t="s">
        <v>386</v>
      </c>
      <c r="M2121" t="s">
        <v>1193</v>
      </c>
      <c r="N2121">
        <v>16555</v>
      </c>
      <c r="O2121">
        <v>0</v>
      </c>
      <c r="Q2121" t="s">
        <v>8882</v>
      </c>
      <c r="T2121">
        <v>52</v>
      </c>
      <c r="V2121" t="s">
        <v>2024</v>
      </c>
      <c r="W2121" t="s">
        <v>2246</v>
      </c>
      <c r="X2121">
        <v>496</v>
      </c>
      <c r="Z2121" t="s">
        <v>5638</v>
      </c>
      <c r="AA2121" t="s">
        <v>387</v>
      </c>
      <c r="AB2121">
        <v>0</v>
      </c>
      <c r="AC2121">
        <v>6184</v>
      </c>
      <c r="AD2121" t="s">
        <v>8883</v>
      </c>
      <c r="AE2121">
        <v>18</v>
      </c>
      <c r="AF2121" t="s">
        <v>1259</v>
      </c>
      <c r="AG2121" t="s">
        <v>8884</v>
      </c>
      <c r="AH2121" t="s">
        <v>8885</v>
      </c>
    </row>
    <row r="2122" spans="1:34" x14ac:dyDescent="0.25">
      <c r="A2122">
        <v>1361</v>
      </c>
      <c r="C2122" s="185"/>
      <c r="E2122" t="s">
        <v>386</v>
      </c>
      <c r="F2122" t="s">
        <v>7091</v>
      </c>
      <c r="G2122" t="s">
        <v>1238</v>
      </c>
      <c r="H2122" t="s">
        <v>5226</v>
      </c>
      <c r="I2122">
        <v>15038</v>
      </c>
      <c r="J2122" t="s">
        <v>7091</v>
      </c>
      <c r="K2122" t="s">
        <v>8886</v>
      </c>
      <c r="L2122" t="s">
        <v>386</v>
      </c>
      <c r="M2122" t="s">
        <v>1184</v>
      </c>
      <c r="N2122">
        <v>15038</v>
      </c>
      <c r="O2122">
        <v>0</v>
      </c>
      <c r="Q2122" t="s">
        <v>8887</v>
      </c>
      <c r="T2122">
        <v>435</v>
      </c>
      <c r="V2122" t="s">
        <v>3129</v>
      </c>
      <c r="W2122" t="s">
        <v>3129</v>
      </c>
      <c r="X2122">
        <v>435</v>
      </c>
      <c r="Z2122" t="s">
        <v>1113</v>
      </c>
      <c r="AA2122" t="s">
        <v>387</v>
      </c>
      <c r="AB2122">
        <v>0</v>
      </c>
      <c r="AC2122">
        <v>5711</v>
      </c>
      <c r="AD2122" t="s">
        <v>7091</v>
      </c>
      <c r="AE2122">
        <v>2637</v>
      </c>
      <c r="AF2122" t="s">
        <v>8888</v>
      </c>
      <c r="AG2122" t="s">
        <v>1244</v>
      </c>
      <c r="AH2122" t="s">
        <v>8889</v>
      </c>
    </row>
    <row r="2123" spans="1:34" x14ac:dyDescent="0.25">
      <c r="A2123">
        <v>1765</v>
      </c>
      <c r="C2123" s="185"/>
      <c r="E2123" t="s">
        <v>386</v>
      </c>
      <c r="F2123" t="s">
        <v>8890</v>
      </c>
      <c r="G2123" t="s">
        <v>1238</v>
      </c>
      <c r="H2123" t="s">
        <v>4900</v>
      </c>
      <c r="I2123">
        <v>13669</v>
      </c>
      <c r="J2123" t="s">
        <v>8890</v>
      </c>
      <c r="K2123" t="s">
        <v>8891</v>
      </c>
      <c r="L2123" t="s">
        <v>386</v>
      </c>
      <c r="M2123" t="s">
        <v>1184</v>
      </c>
      <c r="N2123">
        <v>13669</v>
      </c>
      <c r="O2123">
        <v>59</v>
      </c>
      <c r="Q2123" t="s">
        <v>8892</v>
      </c>
      <c r="R2123" t="s">
        <v>398</v>
      </c>
      <c r="T2123">
        <v>571</v>
      </c>
      <c r="V2123" t="s">
        <v>2003</v>
      </c>
      <c r="W2123" t="s">
        <v>3321</v>
      </c>
      <c r="X2123">
        <v>246</v>
      </c>
      <c r="Z2123" t="s">
        <v>4903</v>
      </c>
      <c r="AA2123" t="s">
        <v>387</v>
      </c>
      <c r="AB2123">
        <v>51000</v>
      </c>
      <c r="AC2123">
        <v>5140</v>
      </c>
      <c r="AD2123" t="s">
        <v>8890</v>
      </c>
      <c r="AE2123">
        <v>18</v>
      </c>
      <c r="AF2123" t="s">
        <v>1259</v>
      </c>
      <c r="AG2123" t="s">
        <v>1244</v>
      </c>
    </row>
    <row r="2124" spans="1:34" x14ac:dyDescent="0.25">
      <c r="A2124">
        <v>2207</v>
      </c>
      <c r="C2124" s="185"/>
      <c r="D2124" t="s">
        <v>157</v>
      </c>
      <c r="E2124" t="s">
        <v>386</v>
      </c>
      <c r="F2124" t="s">
        <v>8893</v>
      </c>
      <c r="G2124" t="s">
        <v>1238</v>
      </c>
      <c r="H2124" t="s">
        <v>8894</v>
      </c>
      <c r="I2124">
        <v>17670</v>
      </c>
      <c r="J2124" t="s">
        <v>8893</v>
      </c>
      <c r="K2124" t="s">
        <v>8895</v>
      </c>
      <c r="L2124" t="s">
        <v>386</v>
      </c>
      <c r="M2124" t="s">
        <v>1184</v>
      </c>
      <c r="N2124">
        <v>17670</v>
      </c>
      <c r="O2124">
        <v>0</v>
      </c>
      <c r="Q2124" t="s">
        <v>8896</v>
      </c>
      <c r="R2124" t="s">
        <v>398</v>
      </c>
      <c r="T2124">
        <v>52</v>
      </c>
      <c r="V2124" t="s">
        <v>2024</v>
      </c>
      <c r="W2124" t="s">
        <v>4468</v>
      </c>
      <c r="X2124">
        <v>470</v>
      </c>
      <c r="Z2124" t="s">
        <v>8897</v>
      </c>
      <c r="AA2124" t="s">
        <v>387</v>
      </c>
      <c r="AB2124">
        <v>0</v>
      </c>
      <c r="AC2124">
        <v>6609</v>
      </c>
      <c r="AD2124" t="s">
        <v>8898</v>
      </c>
      <c r="AE2124">
        <v>18</v>
      </c>
      <c r="AF2124" t="s">
        <v>1259</v>
      </c>
      <c r="AG2124" t="s">
        <v>1244</v>
      </c>
      <c r="AH2124" t="s">
        <v>8899</v>
      </c>
    </row>
    <row r="2125" spans="1:34" x14ac:dyDescent="0.25">
      <c r="A2125">
        <v>2000</v>
      </c>
      <c r="C2125" s="185"/>
      <c r="E2125" t="s">
        <v>386</v>
      </c>
      <c r="F2125" t="s">
        <v>8900</v>
      </c>
      <c r="G2125" t="s">
        <v>1238</v>
      </c>
      <c r="H2125" t="s">
        <v>8901</v>
      </c>
      <c r="I2125">
        <v>14847</v>
      </c>
      <c r="J2125" t="s">
        <v>8900</v>
      </c>
      <c r="K2125" t="s">
        <v>8902</v>
      </c>
      <c r="L2125" t="s">
        <v>386</v>
      </c>
      <c r="M2125" t="s">
        <v>1184</v>
      </c>
      <c r="N2125">
        <v>14847</v>
      </c>
      <c r="O2125">
        <v>0</v>
      </c>
      <c r="Q2125" t="s">
        <v>8903</v>
      </c>
      <c r="R2125" t="s">
        <v>398</v>
      </c>
      <c r="T2125">
        <v>103</v>
      </c>
      <c r="V2125" t="s">
        <v>1530</v>
      </c>
      <c r="W2125" t="s">
        <v>1530</v>
      </c>
      <c r="X2125">
        <v>103</v>
      </c>
      <c r="Z2125" t="s">
        <v>8904</v>
      </c>
      <c r="AA2125" t="s">
        <v>387</v>
      </c>
      <c r="AB2125">
        <v>0</v>
      </c>
      <c r="AC2125">
        <v>5649</v>
      </c>
      <c r="AD2125" t="s">
        <v>8905</v>
      </c>
      <c r="AE2125">
        <v>1974</v>
      </c>
      <c r="AF2125" t="s">
        <v>1243</v>
      </c>
      <c r="AG2125" t="s">
        <v>1244</v>
      </c>
    </row>
    <row r="2126" spans="1:34" x14ac:dyDescent="0.25">
      <c r="A2126">
        <v>32</v>
      </c>
      <c r="C2126" s="185"/>
      <c r="E2126" t="s">
        <v>386</v>
      </c>
      <c r="F2126" t="s">
        <v>8906</v>
      </c>
      <c r="G2126" t="s">
        <v>1238</v>
      </c>
      <c r="H2126" t="s">
        <v>3843</v>
      </c>
      <c r="I2126">
        <v>14850</v>
      </c>
      <c r="J2126" t="s">
        <v>8906</v>
      </c>
      <c r="K2126" t="s">
        <v>8907</v>
      </c>
      <c r="L2126" t="s">
        <v>386</v>
      </c>
      <c r="M2126" t="s">
        <v>1184</v>
      </c>
      <c r="N2126">
        <v>14850</v>
      </c>
      <c r="O2126">
        <v>0</v>
      </c>
      <c r="Q2126" t="s">
        <v>8908</v>
      </c>
      <c r="R2126" t="s">
        <v>398</v>
      </c>
      <c r="T2126">
        <v>122</v>
      </c>
      <c r="V2126" t="s">
        <v>1988</v>
      </c>
      <c r="W2126" t="s">
        <v>1530</v>
      </c>
      <c r="X2126">
        <v>103</v>
      </c>
      <c r="Z2126" t="s">
        <v>874</v>
      </c>
      <c r="AA2126" t="s">
        <v>387</v>
      </c>
      <c r="AB2126">
        <v>0</v>
      </c>
      <c r="AC2126">
        <v>5652</v>
      </c>
      <c r="AD2126" t="s">
        <v>8909</v>
      </c>
      <c r="AE2126">
        <v>1974</v>
      </c>
      <c r="AF2126" t="s">
        <v>1243</v>
      </c>
      <c r="AG2126" t="s">
        <v>1244</v>
      </c>
    </row>
    <row r="2127" spans="1:34" x14ac:dyDescent="0.25">
      <c r="A2127">
        <v>32</v>
      </c>
      <c r="C2127" s="185"/>
      <c r="E2127" t="s">
        <v>386</v>
      </c>
      <c r="F2127" t="s">
        <v>726</v>
      </c>
      <c r="G2127" t="s">
        <v>1197</v>
      </c>
      <c r="H2127" t="s">
        <v>8910</v>
      </c>
      <c r="I2127">
        <v>17472</v>
      </c>
      <c r="J2127" t="s">
        <v>726</v>
      </c>
      <c r="K2127" t="s">
        <v>8911</v>
      </c>
      <c r="L2127" t="s">
        <v>386</v>
      </c>
      <c r="M2127" t="s">
        <v>1193</v>
      </c>
      <c r="N2127">
        <v>17472</v>
      </c>
      <c r="O2127">
        <v>41</v>
      </c>
      <c r="Q2127" t="s">
        <v>8912</v>
      </c>
      <c r="R2127" t="s">
        <v>398</v>
      </c>
      <c r="T2127">
        <v>246</v>
      </c>
      <c r="V2127" t="s">
        <v>3321</v>
      </c>
      <c r="W2127" t="s">
        <v>3321</v>
      </c>
      <c r="X2127">
        <v>246</v>
      </c>
      <c r="Z2127" t="s">
        <v>874</v>
      </c>
      <c r="AA2127" t="s">
        <v>387</v>
      </c>
      <c r="AB2127">
        <v>33000</v>
      </c>
      <c r="AC2127">
        <v>6553</v>
      </c>
      <c r="AD2127" t="s">
        <v>8913</v>
      </c>
      <c r="AE2127">
        <v>3026</v>
      </c>
      <c r="AF2127" t="s">
        <v>8914</v>
      </c>
      <c r="AG2127" t="s">
        <v>8915</v>
      </c>
      <c r="AH2127" t="s">
        <v>8916</v>
      </c>
    </row>
    <row r="2128" spans="1:34" x14ac:dyDescent="0.25">
      <c r="A2128">
        <v>5</v>
      </c>
      <c r="C2128" s="185"/>
      <c r="E2128" t="s">
        <v>386</v>
      </c>
      <c r="F2128" t="s">
        <v>8917</v>
      </c>
      <c r="G2128" t="s">
        <v>1197</v>
      </c>
      <c r="H2128" t="s">
        <v>8918</v>
      </c>
      <c r="I2128">
        <v>16378</v>
      </c>
      <c r="J2128" t="s">
        <v>8917</v>
      </c>
      <c r="K2128" t="s">
        <v>7699</v>
      </c>
      <c r="L2128" t="s">
        <v>386</v>
      </c>
      <c r="M2128" t="s">
        <v>1193</v>
      </c>
      <c r="N2128">
        <v>16378</v>
      </c>
      <c r="O2128">
        <v>39</v>
      </c>
      <c r="Q2128" t="s">
        <v>8919</v>
      </c>
      <c r="R2128" t="s">
        <v>398</v>
      </c>
      <c r="T2128">
        <v>220</v>
      </c>
      <c r="V2128" t="s">
        <v>1194</v>
      </c>
      <c r="W2128" t="s">
        <v>1194</v>
      </c>
      <c r="X2128">
        <v>220</v>
      </c>
      <c r="Z2128" t="s">
        <v>861</v>
      </c>
      <c r="AA2128" t="s">
        <v>387</v>
      </c>
      <c r="AB2128">
        <v>31000</v>
      </c>
      <c r="AC2128">
        <v>6134</v>
      </c>
      <c r="AD2128" t="s">
        <v>8920</v>
      </c>
      <c r="AE2128">
        <v>2812</v>
      </c>
      <c r="AF2128" t="s">
        <v>8921</v>
      </c>
      <c r="AG2128" t="s">
        <v>1244</v>
      </c>
      <c r="AH2128" t="s">
        <v>8922</v>
      </c>
    </row>
    <row r="2129" spans="1:34" x14ac:dyDescent="0.25">
      <c r="A2129">
        <v>2003</v>
      </c>
      <c r="C2129" s="185"/>
      <c r="D2129" t="s">
        <v>157</v>
      </c>
      <c r="E2129" t="s">
        <v>386</v>
      </c>
      <c r="F2129" t="s">
        <v>330</v>
      </c>
      <c r="G2129" t="s">
        <v>1238</v>
      </c>
      <c r="H2129" t="s">
        <v>8923</v>
      </c>
      <c r="I2129">
        <v>14848</v>
      </c>
      <c r="J2129" t="s">
        <v>330</v>
      </c>
      <c r="K2129" t="s">
        <v>8924</v>
      </c>
      <c r="L2129" t="s">
        <v>386</v>
      </c>
      <c r="M2129" t="s">
        <v>1184</v>
      </c>
      <c r="N2129">
        <v>14848</v>
      </c>
      <c r="O2129">
        <v>41</v>
      </c>
      <c r="Q2129" t="s">
        <v>8925</v>
      </c>
      <c r="R2129" t="s">
        <v>398</v>
      </c>
      <c r="T2129">
        <v>246</v>
      </c>
      <c r="V2129" t="s">
        <v>3321</v>
      </c>
      <c r="W2129" t="s">
        <v>3321</v>
      </c>
      <c r="X2129">
        <v>246</v>
      </c>
      <c r="Z2129" t="s">
        <v>1135</v>
      </c>
      <c r="AA2129" t="s">
        <v>387</v>
      </c>
      <c r="AB2129">
        <v>33000</v>
      </c>
      <c r="AC2129">
        <v>5651</v>
      </c>
      <c r="AD2129" t="s">
        <v>330</v>
      </c>
      <c r="AE2129">
        <v>1974</v>
      </c>
      <c r="AF2129" t="s">
        <v>1243</v>
      </c>
      <c r="AG2129" t="s">
        <v>1244</v>
      </c>
    </row>
    <row r="2130" spans="1:34" x14ac:dyDescent="0.25">
      <c r="A2130">
        <v>1239</v>
      </c>
      <c r="C2130" s="185"/>
      <c r="E2130" t="s">
        <v>386</v>
      </c>
      <c r="F2130" t="s">
        <v>8926</v>
      </c>
      <c r="G2130" t="s">
        <v>1238</v>
      </c>
      <c r="H2130" t="s">
        <v>8927</v>
      </c>
      <c r="I2130">
        <v>14811</v>
      </c>
      <c r="J2130" t="s">
        <v>8926</v>
      </c>
      <c r="K2130" t="s">
        <v>8928</v>
      </c>
      <c r="L2130" t="s">
        <v>386</v>
      </c>
      <c r="M2130" t="s">
        <v>1184</v>
      </c>
      <c r="N2130">
        <v>14811</v>
      </c>
      <c r="O2130">
        <v>0</v>
      </c>
      <c r="Q2130" t="s">
        <v>8929</v>
      </c>
      <c r="T2130">
        <v>426</v>
      </c>
      <c r="V2130" t="s">
        <v>1257</v>
      </c>
      <c r="W2130" t="s">
        <v>1257</v>
      </c>
      <c r="X2130">
        <v>426</v>
      </c>
      <c r="Z2130" t="s">
        <v>876</v>
      </c>
      <c r="AA2130" t="s">
        <v>387</v>
      </c>
      <c r="AB2130">
        <v>0</v>
      </c>
      <c r="AC2130">
        <v>5639</v>
      </c>
      <c r="AD2130" t="s">
        <v>8926</v>
      </c>
      <c r="AE2130">
        <v>18</v>
      </c>
      <c r="AF2130" t="s">
        <v>1259</v>
      </c>
      <c r="AG2130" t="s">
        <v>1244</v>
      </c>
    </row>
    <row r="2131" spans="1:34" x14ac:dyDescent="0.25">
      <c r="A2131">
        <v>1589</v>
      </c>
      <c r="C2131" s="185"/>
      <c r="E2131" t="s">
        <v>386</v>
      </c>
      <c r="F2131" t="s">
        <v>8930</v>
      </c>
      <c r="G2131" t="s">
        <v>1238</v>
      </c>
      <c r="H2131" t="s">
        <v>8931</v>
      </c>
      <c r="I2131">
        <v>15414</v>
      </c>
      <c r="J2131" t="s">
        <v>8930</v>
      </c>
      <c r="K2131" t="s">
        <v>8932</v>
      </c>
      <c r="L2131" t="s">
        <v>386</v>
      </c>
      <c r="M2131" t="s">
        <v>1184</v>
      </c>
      <c r="N2131">
        <v>15414</v>
      </c>
      <c r="O2131">
        <v>0</v>
      </c>
      <c r="Q2131" t="s">
        <v>8933</v>
      </c>
      <c r="R2131" t="s">
        <v>1208</v>
      </c>
      <c r="T2131">
        <v>103</v>
      </c>
      <c r="V2131" t="s">
        <v>1530</v>
      </c>
      <c r="W2131" t="s">
        <v>1530</v>
      </c>
      <c r="X2131">
        <v>103</v>
      </c>
      <c r="Z2131" t="s">
        <v>8934</v>
      </c>
      <c r="AA2131" t="s">
        <v>387</v>
      </c>
      <c r="AB2131">
        <v>0</v>
      </c>
      <c r="AC2131">
        <v>5829</v>
      </c>
      <c r="AD2131" t="s">
        <v>8935</v>
      </c>
      <c r="AE2131">
        <v>18</v>
      </c>
      <c r="AF2131" t="s">
        <v>1259</v>
      </c>
      <c r="AG2131" t="s">
        <v>1244</v>
      </c>
      <c r="AH2131" t="s">
        <v>8936</v>
      </c>
    </row>
    <row r="2132" spans="1:34" x14ac:dyDescent="0.25">
      <c r="A2132">
        <v>2223</v>
      </c>
      <c r="C2132" s="185"/>
      <c r="E2132" t="s">
        <v>386</v>
      </c>
      <c r="F2132" t="s">
        <v>729</v>
      </c>
      <c r="G2132" t="s">
        <v>1197</v>
      </c>
      <c r="H2132" t="s">
        <v>8937</v>
      </c>
      <c r="I2132">
        <v>17473</v>
      </c>
      <c r="J2132" t="s">
        <v>729</v>
      </c>
      <c r="K2132" t="s">
        <v>8938</v>
      </c>
      <c r="L2132" t="s">
        <v>386</v>
      </c>
      <c r="M2132" t="s">
        <v>1193</v>
      </c>
      <c r="N2132">
        <v>17473</v>
      </c>
      <c r="O2132">
        <v>73</v>
      </c>
      <c r="Q2132" t="s">
        <v>8939</v>
      </c>
      <c r="R2132" t="s">
        <v>398</v>
      </c>
      <c r="T2132">
        <v>246</v>
      </c>
      <c r="V2132" t="s">
        <v>3321</v>
      </c>
      <c r="W2132" t="s">
        <v>3321</v>
      </c>
      <c r="X2132">
        <v>246</v>
      </c>
      <c r="Z2132" t="s">
        <v>8940</v>
      </c>
      <c r="AA2132" t="s">
        <v>387</v>
      </c>
      <c r="AB2132">
        <v>64000</v>
      </c>
      <c r="AC2132">
        <v>6554</v>
      </c>
      <c r="AD2132" t="s">
        <v>8941</v>
      </c>
      <c r="AE2132">
        <v>18</v>
      </c>
      <c r="AF2132" t="s">
        <v>1259</v>
      </c>
      <c r="AG2132" t="s">
        <v>1244</v>
      </c>
      <c r="AH2132" t="s">
        <v>8942</v>
      </c>
    </row>
    <row r="2133" spans="1:34" x14ac:dyDescent="0.25">
      <c r="A2133">
        <v>1904</v>
      </c>
      <c r="B2133" t="s">
        <v>1313</v>
      </c>
      <c r="C2133" s="185"/>
      <c r="D2133" t="s">
        <v>24</v>
      </c>
      <c r="E2133" t="s">
        <v>386</v>
      </c>
      <c r="F2133" t="s">
        <v>693</v>
      </c>
      <c r="G2133" t="s">
        <v>1197</v>
      </c>
      <c r="H2133" t="s">
        <v>8943</v>
      </c>
      <c r="I2133">
        <v>17379</v>
      </c>
      <c r="J2133" t="s">
        <v>8944</v>
      </c>
      <c r="K2133" t="s">
        <v>8945</v>
      </c>
      <c r="L2133" t="s">
        <v>386</v>
      </c>
      <c r="M2133" t="s">
        <v>1193</v>
      </c>
      <c r="N2133">
        <v>14766</v>
      </c>
      <c r="O2133">
        <v>39</v>
      </c>
      <c r="Q2133" t="s">
        <v>8946</v>
      </c>
      <c r="R2133" t="s">
        <v>398</v>
      </c>
      <c r="S2133" t="s">
        <v>1909</v>
      </c>
      <c r="T2133">
        <v>521</v>
      </c>
      <c r="U2133">
        <v>0</v>
      </c>
      <c r="V2133" t="s">
        <v>6311</v>
      </c>
      <c r="W2133" t="s">
        <v>2073</v>
      </c>
      <c r="X2133">
        <v>372</v>
      </c>
      <c r="Y2133" t="s">
        <v>1317</v>
      </c>
      <c r="Z2133" t="s">
        <v>8947</v>
      </c>
      <c r="AA2133" t="s">
        <v>387</v>
      </c>
      <c r="AB2133">
        <v>31000</v>
      </c>
      <c r="AC2133">
        <v>6525</v>
      </c>
      <c r="AD2133" t="s">
        <v>8948</v>
      </c>
      <c r="AE2133">
        <v>138</v>
      </c>
      <c r="AF2133" t="s">
        <v>2509</v>
      </c>
      <c r="AG2133" t="s">
        <v>8949</v>
      </c>
      <c r="AH2133" t="s">
        <v>8950</v>
      </c>
    </row>
    <row r="2134" spans="1:34" x14ac:dyDescent="0.25">
      <c r="A2134">
        <v>1119</v>
      </c>
      <c r="C2134" s="185"/>
      <c r="E2134" t="s">
        <v>386</v>
      </c>
      <c r="F2134" t="s">
        <v>8951</v>
      </c>
      <c r="G2134" t="s">
        <v>1238</v>
      </c>
      <c r="H2134" t="s">
        <v>8952</v>
      </c>
      <c r="I2134">
        <v>15011</v>
      </c>
      <c r="J2134" t="s">
        <v>8951</v>
      </c>
      <c r="K2134" t="s">
        <v>8953</v>
      </c>
      <c r="L2134" t="s">
        <v>386</v>
      </c>
      <c r="M2134" t="s">
        <v>1184</v>
      </c>
      <c r="N2134">
        <v>15011</v>
      </c>
      <c r="O2134">
        <v>0</v>
      </c>
      <c r="Q2134" t="s">
        <v>8954</v>
      </c>
      <c r="T2134">
        <v>435</v>
      </c>
      <c r="V2134" t="s">
        <v>3129</v>
      </c>
      <c r="W2134" t="s">
        <v>3129</v>
      </c>
      <c r="X2134">
        <v>435</v>
      </c>
      <c r="Z2134" t="s">
        <v>8955</v>
      </c>
      <c r="AA2134" t="s">
        <v>387</v>
      </c>
      <c r="AB2134">
        <v>0</v>
      </c>
      <c r="AC2134">
        <v>5705</v>
      </c>
      <c r="AD2134" t="s">
        <v>8956</v>
      </c>
      <c r="AE2134">
        <v>2630</v>
      </c>
      <c r="AF2134" t="s">
        <v>8957</v>
      </c>
      <c r="AG2134" t="s">
        <v>1244</v>
      </c>
      <c r="AH2134" t="s">
        <v>8958</v>
      </c>
    </row>
    <row r="2135" spans="1:34" x14ac:dyDescent="0.25">
      <c r="A2135">
        <v>1342</v>
      </c>
      <c r="C2135" s="185"/>
      <c r="E2135" t="s">
        <v>386</v>
      </c>
      <c r="F2135" t="s">
        <v>746</v>
      </c>
      <c r="G2135" t="s">
        <v>1197</v>
      </c>
      <c r="H2135" t="s">
        <v>8959</v>
      </c>
      <c r="I2135">
        <v>17512</v>
      </c>
      <c r="J2135" t="s">
        <v>746</v>
      </c>
      <c r="K2135" t="s">
        <v>8960</v>
      </c>
      <c r="L2135" t="s">
        <v>386</v>
      </c>
      <c r="M2135" t="s">
        <v>1193</v>
      </c>
      <c r="N2135">
        <v>17512</v>
      </c>
      <c r="O2135">
        <v>73</v>
      </c>
      <c r="Q2135" t="s">
        <v>8961</v>
      </c>
      <c r="R2135" t="s">
        <v>398</v>
      </c>
      <c r="T2135">
        <v>246</v>
      </c>
      <c r="V2135" t="s">
        <v>3321</v>
      </c>
      <c r="W2135" t="s">
        <v>3321</v>
      </c>
      <c r="X2135">
        <v>246</v>
      </c>
      <c r="Z2135" t="s">
        <v>2156</v>
      </c>
      <c r="AA2135" t="s">
        <v>387</v>
      </c>
      <c r="AB2135">
        <v>64000</v>
      </c>
      <c r="AC2135">
        <v>6567</v>
      </c>
      <c r="AD2135" t="s">
        <v>1041</v>
      </c>
      <c r="AE2135">
        <v>138</v>
      </c>
      <c r="AF2135" t="s">
        <v>2509</v>
      </c>
      <c r="AG2135" t="s">
        <v>15556</v>
      </c>
      <c r="AH2135" t="s">
        <v>8962</v>
      </c>
    </row>
    <row r="2136" spans="1:34" x14ac:dyDescent="0.25">
      <c r="A2136">
        <v>1342</v>
      </c>
      <c r="C2136" s="185"/>
      <c r="D2136" t="s">
        <v>157</v>
      </c>
      <c r="E2136" t="s">
        <v>386</v>
      </c>
      <c r="F2136" t="s">
        <v>684</v>
      </c>
      <c r="G2136" t="s">
        <v>1197</v>
      </c>
      <c r="H2136" t="s">
        <v>8963</v>
      </c>
      <c r="I2136">
        <v>17276</v>
      </c>
      <c r="J2136" t="s">
        <v>684</v>
      </c>
      <c r="K2136" t="s">
        <v>8964</v>
      </c>
      <c r="L2136" t="s">
        <v>386</v>
      </c>
      <c r="M2136" t="s">
        <v>1193</v>
      </c>
      <c r="N2136">
        <v>17276</v>
      </c>
      <c r="O2136">
        <v>41</v>
      </c>
      <c r="Q2136" t="s">
        <v>8965</v>
      </c>
      <c r="R2136" t="s">
        <v>398</v>
      </c>
      <c r="T2136">
        <v>246</v>
      </c>
      <c r="V2136" t="s">
        <v>3321</v>
      </c>
      <c r="W2136" t="s">
        <v>3321</v>
      </c>
      <c r="X2136">
        <v>246</v>
      </c>
      <c r="Z2136" t="s">
        <v>2156</v>
      </c>
      <c r="AA2136" t="s">
        <v>387</v>
      </c>
      <c r="AB2136">
        <v>33000</v>
      </c>
      <c r="AC2136">
        <v>6501</v>
      </c>
      <c r="AD2136" t="s">
        <v>8966</v>
      </c>
      <c r="AE2136">
        <v>1164</v>
      </c>
      <c r="AF2136" t="s">
        <v>8967</v>
      </c>
      <c r="AG2136" t="s">
        <v>8968</v>
      </c>
      <c r="AH2136" t="s">
        <v>8969</v>
      </c>
    </row>
    <row r="2137" spans="1:34" x14ac:dyDescent="0.25">
      <c r="A2137">
        <v>1278</v>
      </c>
      <c r="C2137" s="185"/>
      <c r="D2137" t="s">
        <v>157</v>
      </c>
      <c r="E2137" t="s">
        <v>386</v>
      </c>
      <c r="F2137" t="s">
        <v>723</v>
      </c>
      <c r="G2137" t="s">
        <v>1197</v>
      </c>
      <c r="H2137" t="s">
        <v>8970</v>
      </c>
      <c r="I2137">
        <v>17497</v>
      </c>
      <c r="J2137" t="s">
        <v>723</v>
      </c>
      <c r="K2137" t="s">
        <v>8971</v>
      </c>
      <c r="L2137" t="s">
        <v>386</v>
      </c>
      <c r="M2137" t="s">
        <v>1193</v>
      </c>
      <c r="N2137">
        <v>17497</v>
      </c>
      <c r="O2137">
        <v>73</v>
      </c>
      <c r="Q2137" t="s">
        <v>8972</v>
      </c>
      <c r="R2137" t="s">
        <v>398</v>
      </c>
      <c r="T2137">
        <v>246</v>
      </c>
      <c r="V2137" t="s">
        <v>3321</v>
      </c>
      <c r="W2137" t="s">
        <v>1194</v>
      </c>
      <c r="X2137">
        <v>220</v>
      </c>
      <c r="Z2137" t="s">
        <v>1128</v>
      </c>
      <c r="AA2137" t="s">
        <v>387</v>
      </c>
      <c r="AB2137">
        <v>64000</v>
      </c>
      <c r="AC2137">
        <v>6563</v>
      </c>
      <c r="AD2137" t="s">
        <v>8973</v>
      </c>
      <c r="AE2137">
        <v>3030</v>
      </c>
      <c r="AF2137" t="s">
        <v>8974</v>
      </c>
      <c r="AG2137" t="s">
        <v>8975</v>
      </c>
      <c r="AH2137" t="s">
        <v>8976</v>
      </c>
    </row>
    <row r="2138" spans="1:34" x14ac:dyDescent="0.25">
      <c r="A2138">
        <v>3</v>
      </c>
      <c r="C2138" s="185">
        <v>40360</v>
      </c>
      <c r="E2138" t="s">
        <v>386</v>
      </c>
      <c r="F2138" t="s">
        <v>8977</v>
      </c>
      <c r="G2138" t="s">
        <v>1197</v>
      </c>
      <c r="H2138" t="s">
        <v>8978</v>
      </c>
      <c r="I2138">
        <v>8458</v>
      </c>
      <c r="J2138" t="s">
        <v>8977</v>
      </c>
      <c r="K2138" t="s">
        <v>8977</v>
      </c>
      <c r="L2138" t="s">
        <v>386</v>
      </c>
      <c r="M2138" t="s">
        <v>1193</v>
      </c>
      <c r="N2138">
        <v>8458</v>
      </c>
      <c r="O2138">
        <v>0</v>
      </c>
      <c r="Q2138" t="s">
        <v>8979</v>
      </c>
      <c r="R2138" t="s">
        <v>398</v>
      </c>
      <c r="T2138">
        <v>189</v>
      </c>
      <c r="V2138" t="s">
        <v>1910</v>
      </c>
      <c r="Z2138" t="s">
        <v>1935</v>
      </c>
      <c r="AA2138" t="s">
        <v>387</v>
      </c>
      <c r="AB2138">
        <v>0</v>
      </c>
      <c r="AC2138">
        <v>3383</v>
      </c>
      <c r="AD2138" t="s">
        <v>8980</v>
      </c>
      <c r="AE2138">
        <v>1577</v>
      </c>
      <c r="AF2138" t="s">
        <v>8981</v>
      </c>
      <c r="AG2138" t="s">
        <v>4027</v>
      </c>
    </row>
    <row r="2139" spans="1:34" x14ac:dyDescent="0.25">
      <c r="A2139">
        <v>1</v>
      </c>
      <c r="C2139" s="185"/>
      <c r="E2139" t="s">
        <v>386</v>
      </c>
      <c r="F2139" t="s">
        <v>8982</v>
      </c>
      <c r="G2139" t="s">
        <v>1192</v>
      </c>
      <c r="H2139" t="s">
        <v>2141</v>
      </c>
      <c r="I2139">
        <v>2429</v>
      </c>
      <c r="J2139" t="s">
        <v>8982</v>
      </c>
      <c r="K2139" t="s">
        <v>6772</v>
      </c>
      <c r="L2139" t="s">
        <v>386</v>
      </c>
      <c r="M2139" t="s">
        <v>1184</v>
      </c>
      <c r="N2139">
        <v>2429</v>
      </c>
      <c r="O2139">
        <v>0</v>
      </c>
      <c r="Q2139" t="s">
        <v>8983</v>
      </c>
      <c r="R2139" t="s">
        <v>1208</v>
      </c>
      <c r="T2139">
        <v>246</v>
      </c>
      <c r="V2139" t="s">
        <v>3321</v>
      </c>
      <c r="Z2139" t="s">
        <v>865</v>
      </c>
      <c r="AA2139" t="s">
        <v>387</v>
      </c>
      <c r="AB2139">
        <v>0</v>
      </c>
      <c r="AC2139">
        <v>1710</v>
      </c>
      <c r="AD2139" t="s">
        <v>6774</v>
      </c>
      <c r="AE2139">
        <v>26</v>
      </c>
      <c r="AF2139" t="s">
        <v>2075</v>
      </c>
      <c r="AG2139" t="s">
        <v>5437</v>
      </c>
      <c r="AH2139" t="s">
        <v>6775</v>
      </c>
    </row>
    <row r="2140" spans="1:34" x14ac:dyDescent="0.25">
      <c r="A2140">
        <v>3</v>
      </c>
      <c r="C2140" s="185"/>
      <c r="E2140" t="s">
        <v>386</v>
      </c>
      <c r="F2140" t="s">
        <v>8984</v>
      </c>
      <c r="G2140" t="s">
        <v>1197</v>
      </c>
      <c r="H2140" t="s">
        <v>8985</v>
      </c>
      <c r="I2140">
        <v>11785</v>
      </c>
      <c r="J2140" t="s">
        <v>8984</v>
      </c>
      <c r="K2140" t="s">
        <v>8984</v>
      </c>
      <c r="L2140" t="s">
        <v>386</v>
      </c>
      <c r="M2140" t="s">
        <v>1193</v>
      </c>
      <c r="N2140">
        <v>11785</v>
      </c>
      <c r="O2140">
        <v>0</v>
      </c>
      <c r="Q2140" t="s">
        <v>8986</v>
      </c>
      <c r="R2140" t="s">
        <v>1208</v>
      </c>
      <c r="T2140">
        <v>287</v>
      </c>
      <c r="V2140" t="s">
        <v>1233</v>
      </c>
      <c r="Z2140" t="s">
        <v>1935</v>
      </c>
      <c r="AA2140" t="s">
        <v>387</v>
      </c>
      <c r="AB2140">
        <v>0</v>
      </c>
      <c r="AC2140">
        <v>4494</v>
      </c>
      <c r="AD2140" t="s">
        <v>5145</v>
      </c>
      <c r="AE2140">
        <v>1403</v>
      </c>
      <c r="AF2140" t="s">
        <v>8987</v>
      </c>
      <c r="AG2140" t="s">
        <v>3599</v>
      </c>
    </row>
    <row r="2141" spans="1:34" x14ac:dyDescent="0.25">
      <c r="A2141">
        <v>1342</v>
      </c>
      <c r="C2141" s="185"/>
      <c r="D2141" t="s">
        <v>24</v>
      </c>
      <c r="E2141" t="s">
        <v>386</v>
      </c>
      <c r="F2141" t="s">
        <v>8988</v>
      </c>
      <c r="G2141" t="s">
        <v>1197</v>
      </c>
      <c r="H2141" t="s">
        <v>3092</v>
      </c>
      <c r="I2141">
        <v>2986</v>
      </c>
      <c r="J2141" t="s">
        <v>8988</v>
      </c>
      <c r="K2141" t="s">
        <v>8988</v>
      </c>
      <c r="L2141" t="s">
        <v>386</v>
      </c>
      <c r="M2141" t="s">
        <v>1193</v>
      </c>
      <c r="N2141">
        <v>2986</v>
      </c>
      <c r="O2141">
        <v>20</v>
      </c>
      <c r="Q2141" t="s">
        <v>8989</v>
      </c>
      <c r="R2141" t="s">
        <v>398</v>
      </c>
      <c r="T2141">
        <v>0</v>
      </c>
      <c r="V2141" t="s">
        <v>1186</v>
      </c>
      <c r="Z2141" t="s">
        <v>2156</v>
      </c>
      <c r="AA2141" t="s">
        <v>387</v>
      </c>
      <c r="AB2141">
        <v>14000</v>
      </c>
      <c r="AC2141">
        <v>2002</v>
      </c>
      <c r="AD2141" t="s">
        <v>8990</v>
      </c>
      <c r="AE2141">
        <v>18</v>
      </c>
      <c r="AF2141" t="s">
        <v>1259</v>
      </c>
      <c r="AG2141" t="s">
        <v>2044</v>
      </c>
      <c r="AH2141" t="s">
        <v>8991</v>
      </c>
    </row>
    <row r="2142" spans="1:34" x14ac:dyDescent="0.25">
      <c r="A2142">
        <v>32</v>
      </c>
      <c r="C2142" s="185"/>
      <c r="E2142" t="s">
        <v>386</v>
      </c>
      <c r="F2142" t="s">
        <v>8992</v>
      </c>
      <c r="G2142" t="s">
        <v>1197</v>
      </c>
      <c r="H2142" t="s">
        <v>8993</v>
      </c>
      <c r="I2142">
        <v>12633</v>
      </c>
      <c r="J2142" t="s">
        <v>8992</v>
      </c>
      <c r="K2142" t="s">
        <v>8994</v>
      </c>
      <c r="L2142" t="s">
        <v>386</v>
      </c>
      <c r="M2142" t="s">
        <v>1193</v>
      </c>
      <c r="N2142">
        <v>12633</v>
      </c>
      <c r="O2142">
        <v>0</v>
      </c>
      <c r="Q2142" t="s">
        <v>8995</v>
      </c>
      <c r="R2142" t="s">
        <v>1208</v>
      </c>
      <c r="T2142">
        <v>571</v>
      </c>
      <c r="V2142" t="s">
        <v>2003</v>
      </c>
      <c r="W2142" t="s">
        <v>2067</v>
      </c>
      <c r="X2142">
        <v>304</v>
      </c>
      <c r="Z2142" t="s">
        <v>874</v>
      </c>
      <c r="AA2142" t="s">
        <v>387</v>
      </c>
      <c r="AB2142">
        <v>0</v>
      </c>
      <c r="AC2142">
        <v>2376</v>
      </c>
      <c r="AD2142" t="s">
        <v>8996</v>
      </c>
      <c r="AE2142">
        <v>1854</v>
      </c>
      <c r="AF2142" t="s">
        <v>3482</v>
      </c>
      <c r="AG2142" t="s">
        <v>8997</v>
      </c>
      <c r="AH2142" t="s">
        <v>8998</v>
      </c>
    </row>
    <row r="2143" spans="1:34" x14ac:dyDescent="0.25">
      <c r="A2143">
        <v>1456</v>
      </c>
      <c r="B2143" t="s">
        <v>1313</v>
      </c>
      <c r="C2143" s="185"/>
      <c r="D2143" t="s">
        <v>24</v>
      </c>
      <c r="E2143" t="s">
        <v>386</v>
      </c>
      <c r="F2143" t="s">
        <v>353</v>
      </c>
      <c r="G2143" t="s">
        <v>1197</v>
      </c>
      <c r="H2143" t="s">
        <v>3955</v>
      </c>
      <c r="I2143">
        <v>8413</v>
      </c>
      <c r="J2143" t="s">
        <v>97</v>
      </c>
      <c r="K2143" t="s">
        <v>4592</v>
      </c>
      <c r="L2143" t="s">
        <v>386</v>
      </c>
      <c r="M2143" t="s">
        <v>1193</v>
      </c>
      <c r="N2143">
        <v>15320</v>
      </c>
      <c r="O2143">
        <v>68</v>
      </c>
      <c r="Q2143" t="s">
        <v>8999</v>
      </c>
      <c r="R2143" t="s">
        <v>398</v>
      </c>
      <c r="S2143" t="s">
        <v>4594</v>
      </c>
      <c r="T2143">
        <v>449</v>
      </c>
      <c r="U2143">
        <v>0</v>
      </c>
      <c r="V2143" t="s">
        <v>5678</v>
      </c>
      <c r="W2143" t="s">
        <v>5678</v>
      </c>
      <c r="X2143">
        <v>449</v>
      </c>
      <c r="Y2143" t="s">
        <v>1317</v>
      </c>
      <c r="Z2143" t="s">
        <v>915</v>
      </c>
      <c r="AA2143" t="s">
        <v>387</v>
      </c>
      <c r="AB2143">
        <v>60000</v>
      </c>
      <c r="AC2143">
        <v>2104</v>
      </c>
      <c r="AD2143" t="s">
        <v>9000</v>
      </c>
      <c r="AE2143">
        <v>1571</v>
      </c>
      <c r="AF2143" t="s">
        <v>9001</v>
      </c>
      <c r="AG2143" t="s">
        <v>9002</v>
      </c>
      <c r="AH2143" t="s">
        <v>4597</v>
      </c>
    </row>
    <row r="2144" spans="1:34" x14ac:dyDescent="0.25">
      <c r="A2144">
        <v>5</v>
      </c>
      <c r="C2144" s="185"/>
      <c r="D2144" t="s">
        <v>24</v>
      </c>
      <c r="E2144" t="s">
        <v>386</v>
      </c>
      <c r="F2144" t="s">
        <v>9003</v>
      </c>
      <c r="G2144" t="s">
        <v>1197</v>
      </c>
      <c r="H2144" t="s">
        <v>9004</v>
      </c>
      <c r="I2144">
        <v>2545</v>
      </c>
      <c r="J2144" t="s">
        <v>9003</v>
      </c>
      <c r="K2144" t="s">
        <v>9003</v>
      </c>
      <c r="L2144" t="s">
        <v>386</v>
      </c>
      <c r="M2144" t="s">
        <v>1193</v>
      </c>
      <c r="N2144">
        <v>2545</v>
      </c>
      <c r="O2144">
        <v>20</v>
      </c>
      <c r="Q2144" t="s">
        <v>9005</v>
      </c>
      <c r="R2144" t="s">
        <v>398</v>
      </c>
      <c r="T2144">
        <v>0</v>
      </c>
      <c r="V2144" t="s">
        <v>1186</v>
      </c>
      <c r="Z2144" t="s">
        <v>861</v>
      </c>
      <c r="AA2144" t="s">
        <v>387</v>
      </c>
      <c r="AB2144">
        <v>14000</v>
      </c>
      <c r="AC2144">
        <v>1834</v>
      </c>
      <c r="AD2144" t="s">
        <v>9006</v>
      </c>
      <c r="AE2144">
        <v>897</v>
      </c>
      <c r="AF2144" t="s">
        <v>9007</v>
      </c>
      <c r="AG2144" t="s">
        <v>2044</v>
      </c>
      <c r="AH2144" t="s">
        <v>9008</v>
      </c>
    </row>
    <row r="2145" spans="1:34" x14ac:dyDescent="0.25">
      <c r="A2145">
        <v>5</v>
      </c>
      <c r="C2145" s="185"/>
      <c r="E2145" t="s">
        <v>386</v>
      </c>
      <c r="F2145" t="s">
        <v>359</v>
      </c>
      <c r="G2145" t="s">
        <v>1197</v>
      </c>
      <c r="H2145" t="s">
        <v>9009</v>
      </c>
      <c r="I2145">
        <v>14079</v>
      </c>
      <c r="J2145" t="s">
        <v>9010</v>
      </c>
      <c r="K2145" t="s">
        <v>7317</v>
      </c>
      <c r="L2145" t="s">
        <v>386</v>
      </c>
      <c r="M2145" t="s">
        <v>1193</v>
      </c>
      <c r="N2145">
        <v>15345</v>
      </c>
      <c r="O2145">
        <v>0</v>
      </c>
      <c r="Q2145" t="s">
        <v>9011</v>
      </c>
      <c r="R2145" t="s">
        <v>398</v>
      </c>
      <c r="T2145">
        <v>200</v>
      </c>
      <c r="V2145" t="s">
        <v>1199</v>
      </c>
      <c r="W2145" t="s">
        <v>1530</v>
      </c>
      <c r="X2145">
        <v>103</v>
      </c>
      <c r="Z2145" t="s">
        <v>861</v>
      </c>
      <c r="AA2145" t="s">
        <v>387</v>
      </c>
      <c r="AB2145">
        <v>0</v>
      </c>
      <c r="AC2145">
        <v>5323</v>
      </c>
      <c r="AD2145" t="s">
        <v>9006</v>
      </c>
      <c r="AE2145">
        <v>2470</v>
      </c>
      <c r="AF2145" t="s">
        <v>9012</v>
      </c>
      <c r="AG2145" t="s">
        <v>9013</v>
      </c>
      <c r="AH2145" t="s">
        <v>7320</v>
      </c>
    </row>
    <row r="2146" spans="1:34" x14ac:dyDescent="0.25">
      <c r="A2146">
        <v>32</v>
      </c>
      <c r="C2146" s="185"/>
      <c r="E2146" t="s">
        <v>386</v>
      </c>
      <c r="F2146" t="s">
        <v>9014</v>
      </c>
      <c r="G2146" t="s">
        <v>1238</v>
      </c>
      <c r="H2146" t="s">
        <v>3843</v>
      </c>
      <c r="I2146">
        <v>13242</v>
      </c>
      <c r="J2146" t="s">
        <v>9014</v>
      </c>
      <c r="K2146" t="s">
        <v>9015</v>
      </c>
      <c r="L2146" t="s">
        <v>386</v>
      </c>
      <c r="M2146" t="s">
        <v>1184</v>
      </c>
      <c r="N2146">
        <v>13242</v>
      </c>
      <c r="O2146">
        <v>0</v>
      </c>
      <c r="Q2146" t="s">
        <v>9016</v>
      </c>
      <c r="R2146" t="s">
        <v>398</v>
      </c>
      <c r="T2146">
        <v>246</v>
      </c>
      <c r="V2146" t="s">
        <v>3321</v>
      </c>
      <c r="W2146" t="s">
        <v>2067</v>
      </c>
      <c r="X2146">
        <v>304</v>
      </c>
      <c r="Z2146" t="s">
        <v>874</v>
      </c>
      <c r="AA2146" t="s">
        <v>387</v>
      </c>
      <c r="AB2146">
        <v>19000</v>
      </c>
      <c r="AC2146">
        <v>4960</v>
      </c>
      <c r="AD2146" t="s">
        <v>9017</v>
      </c>
      <c r="AE2146">
        <v>18</v>
      </c>
      <c r="AF2146" t="s">
        <v>1259</v>
      </c>
      <c r="AG2146" t="s">
        <v>1244</v>
      </c>
    </row>
    <row r="2147" spans="1:34" x14ac:dyDescent="0.25">
      <c r="A2147">
        <v>32</v>
      </c>
      <c r="C2147" s="185"/>
      <c r="E2147" t="s">
        <v>386</v>
      </c>
      <c r="F2147" t="s">
        <v>4918</v>
      </c>
      <c r="G2147" t="s">
        <v>1238</v>
      </c>
      <c r="H2147" t="s">
        <v>3843</v>
      </c>
      <c r="I2147">
        <v>13239</v>
      </c>
      <c r="J2147" t="s">
        <v>4918</v>
      </c>
      <c r="K2147" t="s">
        <v>9018</v>
      </c>
      <c r="L2147" t="s">
        <v>386</v>
      </c>
      <c r="M2147" t="s">
        <v>1184</v>
      </c>
      <c r="N2147">
        <v>13239</v>
      </c>
      <c r="O2147">
        <v>0</v>
      </c>
      <c r="Q2147" t="s">
        <v>9019</v>
      </c>
      <c r="R2147" t="s">
        <v>398</v>
      </c>
      <c r="T2147">
        <v>388</v>
      </c>
      <c r="V2147" t="s">
        <v>1712</v>
      </c>
      <c r="W2147" t="s">
        <v>3321</v>
      </c>
      <c r="X2147">
        <v>246</v>
      </c>
      <c r="Z2147" t="s">
        <v>874</v>
      </c>
      <c r="AA2147" t="s">
        <v>387</v>
      </c>
      <c r="AB2147">
        <v>19000</v>
      </c>
      <c r="AC2147">
        <v>4957</v>
      </c>
      <c r="AD2147" t="s">
        <v>9020</v>
      </c>
      <c r="AE2147">
        <v>2289</v>
      </c>
      <c r="AF2147" t="s">
        <v>9021</v>
      </c>
      <c r="AG2147" t="s">
        <v>1244</v>
      </c>
    </row>
    <row r="2148" spans="1:34" x14ac:dyDescent="0.25">
      <c r="A2148">
        <v>1218</v>
      </c>
      <c r="C2148" s="185"/>
      <c r="E2148" t="s">
        <v>386</v>
      </c>
      <c r="F2148" t="s">
        <v>9022</v>
      </c>
      <c r="G2148" t="s">
        <v>1238</v>
      </c>
      <c r="H2148" t="s">
        <v>9023</v>
      </c>
      <c r="I2148">
        <v>13163</v>
      </c>
      <c r="J2148" t="s">
        <v>9022</v>
      </c>
      <c r="K2148" t="s">
        <v>9024</v>
      </c>
      <c r="L2148" t="s">
        <v>386</v>
      </c>
      <c r="M2148" t="s">
        <v>1184</v>
      </c>
      <c r="N2148">
        <v>13163</v>
      </c>
      <c r="O2148">
        <v>0</v>
      </c>
      <c r="Q2148" t="s">
        <v>9025</v>
      </c>
      <c r="R2148" t="s">
        <v>398</v>
      </c>
      <c r="T2148">
        <v>571</v>
      </c>
      <c r="V2148" t="s">
        <v>2003</v>
      </c>
      <c r="W2148" t="s">
        <v>1712</v>
      </c>
      <c r="X2148">
        <v>388</v>
      </c>
      <c r="Z2148" t="s">
        <v>9026</v>
      </c>
      <c r="AA2148" t="s">
        <v>387</v>
      </c>
      <c r="AB2148">
        <v>0</v>
      </c>
      <c r="AC2148">
        <v>4925</v>
      </c>
      <c r="AD2148" t="s">
        <v>9027</v>
      </c>
      <c r="AE2148">
        <v>1974</v>
      </c>
      <c r="AF2148" t="s">
        <v>1243</v>
      </c>
      <c r="AG2148" t="s">
        <v>1244</v>
      </c>
    </row>
    <row r="2149" spans="1:34" x14ac:dyDescent="0.25">
      <c r="A2149">
        <v>5</v>
      </c>
      <c r="B2149" t="s">
        <v>1313</v>
      </c>
      <c r="C2149" s="185"/>
      <c r="D2149" t="s">
        <v>24</v>
      </c>
      <c r="E2149" t="s">
        <v>386</v>
      </c>
      <c r="F2149" t="s">
        <v>9028</v>
      </c>
      <c r="G2149" t="s">
        <v>1197</v>
      </c>
      <c r="H2149" t="s">
        <v>9029</v>
      </c>
      <c r="I2149">
        <v>88</v>
      </c>
      <c r="J2149" t="s">
        <v>9028</v>
      </c>
      <c r="K2149" t="s">
        <v>7951</v>
      </c>
      <c r="L2149" t="s">
        <v>386</v>
      </c>
      <c r="M2149" t="s">
        <v>1193</v>
      </c>
      <c r="N2149">
        <v>88</v>
      </c>
      <c r="O2149">
        <v>39</v>
      </c>
      <c r="Q2149" t="s">
        <v>9030</v>
      </c>
      <c r="R2149" t="s">
        <v>398</v>
      </c>
      <c r="S2149" t="s">
        <v>1909</v>
      </c>
      <c r="T2149">
        <v>220</v>
      </c>
      <c r="U2149">
        <v>0</v>
      </c>
      <c r="V2149" t="s">
        <v>1194</v>
      </c>
      <c r="W2149" t="s">
        <v>1186</v>
      </c>
      <c r="X2149">
        <v>0</v>
      </c>
      <c r="Y2149" t="s">
        <v>1317</v>
      </c>
      <c r="Z2149" t="s">
        <v>861</v>
      </c>
      <c r="AA2149" t="s">
        <v>387</v>
      </c>
      <c r="AB2149">
        <v>31000</v>
      </c>
      <c r="AC2149">
        <v>65</v>
      </c>
      <c r="AD2149" t="s">
        <v>9031</v>
      </c>
      <c r="AE2149">
        <v>3</v>
      </c>
      <c r="AF2149" t="s">
        <v>1235</v>
      </c>
      <c r="AG2149" t="s">
        <v>9032</v>
      </c>
      <c r="AH2149" t="s">
        <v>9033</v>
      </c>
    </row>
    <row r="2150" spans="1:34" x14ac:dyDescent="0.25">
      <c r="A2150">
        <v>5</v>
      </c>
      <c r="C2150" s="185"/>
      <c r="D2150" t="s">
        <v>24</v>
      </c>
      <c r="E2150" t="s">
        <v>386</v>
      </c>
      <c r="F2150" t="s">
        <v>9034</v>
      </c>
      <c r="G2150" t="s">
        <v>1197</v>
      </c>
      <c r="H2150" t="s">
        <v>9035</v>
      </c>
      <c r="I2150">
        <v>173</v>
      </c>
      <c r="J2150" t="s">
        <v>9034</v>
      </c>
      <c r="K2150" t="s">
        <v>7915</v>
      </c>
      <c r="L2150" t="s">
        <v>386</v>
      </c>
      <c r="M2150" t="s">
        <v>1193</v>
      </c>
      <c r="N2150">
        <v>173</v>
      </c>
      <c r="O2150">
        <v>20</v>
      </c>
      <c r="Q2150" t="s">
        <v>9036</v>
      </c>
      <c r="R2150" t="s">
        <v>398</v>
      </c>
      <c r="T2150">
        <v>0</v>
      </c>
      <c r="V2150" t="s">
        <v>1186</v>
      </c>
      <c r="Z2150" t="s">
        <v>861</v>
      </c>
      <c r="AA2150" t="s">
        <v>387</v>
      </c>
      <c r="AB2150">
        <v>14000</v>
      </c>
      <c r="AC2150">
        <v>114</v>
      </c>
      <c r="AD2150" t="s">
        <v>3408</v>
      </c>
      <c r="AE2150">
        <v>3</v>
      </c>
      <c r="AF2150" t="s">
        <v>1235</v>
      </c>
      <c r="AG2150" t="s">
        <v>4780</v>
      </c>
      <c r="AH2150" t="s">
        <v>9037</v>
      </c>
    </row>
    <row r="2151" spans="1:34" x14ac:dyDescent="0.25">
      <c r="A2151">
        <v>32</v>
      </c>
      <c r="C2151" s="185"/>
      <c r="D2151" t="s">
        <v>24</v>
      </c>
      <c r="E2151" t="s">
        <v>386</v>
      </c>
      <c r="F2151" t="s">
        <v>9038</v>
      </c>
      <c r="G2151" t="s">
        <v>1197</v>
      </c>
      <c r="H2151" t="s">
        <v>3843</v>
      </c>
      <c r="I2151">
        <v>109</v>
      </c>
      <c r="J2151" t="s">
        <v>9038</v>
      </c>
      <c r="K2151" t="s">
        <v>9039</v>
      </c>
      <c r="L2151" t="s">
        <v>386</v>
      </c>
      <c r="M2151" t="s">
        <v>1193</v>
      </c>
      <c r="N2151">
        <v>109</v>
      </c>
      <c r="O2151">
        <v>20</v>
      </c>
      <c r="Q2151" t="s">
        <v>9040</v>
      </c>
      <c r="R2151" t="s">
        <v>398</v>
      </c>
      <c r="T2151">
        <v>0</v>
      </c>
      <c r="V2151" t="s">
        <v>1186</v>
      </c>
      <c r="Z2151" t="s">
        <v>874</v>
      </c>
      <c r="AA2151" t="s">
        <v>387</v>
      </c>
      <c r="AB2151">
        <v>14000</v>
      </c>
      <c r="AC2151">
        <v>415</v>
      </c>
      <c r="AD2151" t="s">
        <v>9041</v>
      </c>
      <c r="AE2151">
        <v>149</v>
      </c>
      <c r="AF2151" t="s">
        <v>9042</v>
      </c>
      <c r="AG2151" t="s">
        <v>1931</v>
      </c>
      <c r="AH2151" t="s">
        <v>9043</v>
      </c>
    </row>
    <row r="2152" spans="1:34" x14ac:dyDescent="0.25">
      <c r="A2152">
        <v>74</v>
      </c>
      <c r="B2152" t="s">
        <v>1313</v>
      </c>
      <c r="C2152" s="185"/>
      <c r="D2152" t="s">
        <v>24</v>
      </c>
      <c r="E2152" t="s">
        <v>386</v>
      </c>
      <c r="F2152" t="s">
        <v>9044</v>
      </c>
      <c r="G2152" t="s">
        <v>1197</v>
      </c>
      <c r="H2152" t="s">
        <v>9045</v>
      </c>
      <c r="I2152">
        <v>282</v>
      </c>
      <c r="J2152" t="s">
        <v>9044</v>
      </c>
      <c r="K2152" t="s">
        <v>9044</v>
      </c>
      <c r="L2152" t="s">
        <v>386</v>
      </c>
      <c r="M2152" t="s">
        <v>1193</v>
      </c>
      <c r="N2152">
        <v>282</v>
      </c>
      <c r="O2152">
        <v>20</v>
      </c>
      <c r="Q2152" t="s">
        <v>9046</v>
      </c>
      <c r="R2152" t="s">
        <v>398</v>
      </c>
      <c r="S2152" t="s">
        <v>1315</v>
      </c>
      <c r="T2152">
        <v>0</v>
      </c>
      <c r="U2152">
        <v>0</v>
      </c>
      <c r="V2152" t="s">
        <v>1186</v>
      </c>
      <c r="Y2152" t="s">
        <v>1317</v>
      </c>
      <c r="Z2152" t="s">
        <v>9047</v>
      </c>
      <c r="AA2152" t="s">
        <v>387</v>
      </c>
      <c r="AB2152">
        <v>14000</v>
      </c>
      <c r="AC2152">
        <v>378</v>
      </c>
      <c r="AD2152" t="s">
        <v>9048</v>
      </c>
      <c r="AE2152">
        <v>18</v>
      </c>
      <c r="AF2152" t="s">
        <v>1259</v>
      </c>
    </row>
    <row r="2153" spans="1:34" x14ac:dyDescent="0.25">
      <c r="A2153">
        <v>32</v>
      </c>
      <c r="C2153" s="185"/>
      <c r="D2153" t="s">
        <v>157</v>
      </c>
      <c r="E2153" t="s">
        <v>386</v>
      </c>
      <c r="F2153" t="s">
        <v>9049</v>
      </c>
      <c r="G2153" t="s">
        <v>1238</v>
      </c>
      <c r="H2153" t="s">
        <v>3843</v>
      </c>
      <c r="I2153">
        <v>12425</v>
      </c>
      <c r="J2153" t="s">
        <v>9049</v>
      </c>
      <c r="K2153" t="s">
        <v>9050</v>
      </c>
      <c r="L2153" t="s">
        <v>386</v>
      </c>
      <c r="M2153" t="s">
        <v>1184</v>
      </c>
      <c r="N2153">
        <v>12425</v>
      </c>
      <c r="O2153">
        <v>41</v>
      </c>
      <c r="Q2153" t="s">
        <v>9051</v>
      </c>
      <c r="T2153">
        <v>52</v>
      </c>
      <c r="V2153" t="s">
        <v>2024</v>
      </c>
      <c r="W2153" t="s">
        <v>3321</v>
      </c>
      <c r="X2153">
        <v>246</v>
      </c>
      <c r="Z2153" t="s">
        <v>874</v>
      </c>
      <c r="AA2153" t="s">
        <v>387</v>
      </c>
      <c r="AB2153">
        <v>0</v>
      </c>
      <c r="AC2153">
        <v>4667</v>
      </c>
      <c r="AD2153" t="s">
        <v>9052</v>
      </c>
      <c r="AE2153">
        <v>2158</v>
      </c>
      <c r="AF2153" t="s">
        <v>9053</v>
      </c>
      <c r="AG2153" t="s">
        <v>1244</v>
      </c>
      <c r="AH2153" t="s">
        <v>9054</v>
      </c>
    </row>
    <row r="2154" spans="1:34" x14ac:dyDescent="0.25">
      <c r="A2154">
        <v>32</v>
      </c>
      <c r="B2154" t="s">
        <v>1313</v>
      </c>
      <c r="C2154" s="185"/>
      <c r="D2154" t="s">
        <v>24</v>
      </c>
      <c r="E2154" t="s">
        <v>386</v>
      </c>
      <c r="F2154" t="s">
        <v>431</v>
      </c>
      <c r="G2154" t="s">
        <v>1197</v>
      </c>
      <c r="H2154" t="s">
        <v>3843</v>
      </c>
      <c r="I2154">
        <v>7024</v>
      </c>
      <c r="J2154" t="s">
        <v>721</v>
      </c>
      <c r="K2154" t="s">
        <v>7785</v>
      </c>
      <c r="L2154" t="s">
        <v>386</v>
      </c>
      <c r="M2154" t="s">
        <v>1193</v>
      </c>
      <c r="N2154">
        <v>15336</v>
      </c>
      <c r="O2154">
        <v>68</v>
      </c>
      <c r="Q2154" t="s">
        <v>9055</v>
      </c>
      <c r="R2154" t="s">
        <v>398</v>
      </c>
      <c r="S2154" t="s">
        <v>2293</v>
      </c>
      <c r="T2154">
        <v>220</v>
      </c>
      <c r="U2154">
        <v>0</v>
      </c>
      <c r="V2154" t="s">
        <v>1194</v>
      </c>
      <c r="W2154" t="s">
        <v>2186</v>
      </c>
      <c r="X2154">
        <v>396</v>
      </c>
      <c r="Y2154" t="s">
        <v>1317</v>
      </c>
      <c r="Z2154" t="s">
        <v>874</v>
      </c>
      <c r="AA2154" t="s">
        <v>387</v>
      </c>
      <c r="AB2154">
        <v>60000</v>
      </c>
      <c r="AC2154">
        <v>3080</v>
      </c>
      <c r="AD2154" t="s">
        <v>9056</v>
      </c>
      <c r="AE2154">
        <v>18</v>
      </c>
      <c r="AF2154" t="s">
        <v>1259</v>
      </c>
      <c r="AG2154" t="s">
        <v>9057</v>
      </c>
      <c r="AH2154" t="s">
        <v>7788</v>
      </c>
    </row>
    <row r="2155" spans="1:34" x14ac:dyDescent="0.25">
      <c r="A2155">
        <v>2000</v>
      </c>
      <c r="C2155" s="185"/>
      <c r="D2155" t="s">
        <v>157</v>
      </c>
      <c r="E2155" t="s">
        <v>386</v>
      </c>
      <c r="F2155" t="s">
        <v>9058</v>
      </c>
      <c r="G2155" t="s">
        <v>1238</v>
      </c>
      <c r="H2155" t="s">
        <v>8901</v>
      </c>
      <c r="I2155">
        <v>12426</v>
      </c>
      <c r="J2155" t="s">
        <v>9058</v>
      </c>
      <c r="K2155" t="s">
        <v>9059</v>
      </c>
      <c r="L2155" t="s">
        <v>386</v>
      </c>
      <c r="M2155" t="s">
        <v>1184</v>
      </c>
      <c r="N2155">
        <v>12426</v>
      </c>
      <c r="O2155">
        <v>41</v>
      </c>
      <c r="Q2155" t="s">
        <v>9060</v>
      </c>
      <c r="T2155">
        <v>52</v>
      </c>
      <c r="V2155" t="s">
        <v>2024</v>
      </c>
      <c r="W2155" t="s">
        <v>3321</v>
      </c>
      <c r="X2155">
        <v>246</v>
      </c>
      <c r="Z2155" t="s">
        <v>8904</v>
      </c>
      <c r="AA2155" t="s">
        <v>387</v>
      </c>
      <c r="AB2155">
        <v>0</v>
      </c>
      <c r="AC2155">
        <v>4668</v>
      </c>
      <c r="AD2155" t="s">
        <v>9061</v>
      </c>
      <c r="AE2155">
        <v>18</v>
      </c>
      <c r="AF2155" t="s">
        <v>1259</v>
      </c>
      <c r="AG2155" t="s">
        <v>1244</v>
      </c>
      <c r="AH2155" t="s">
        <v>9054</v>
      </c>
    </row>
    <row r="2156" spans="1:34" x14ac:dyDescent="0.25">
      <c r="A2156">
        <v>1904</v>
      </c>
      <c r="C2156" s="185"/>
      <c r="D2156" t="s">
        <v>157</v>
      </c>
      <c r="E2156" t="s">
        <v>386</v>
      </c>
      <c r="F2156" t="s">
        <v>9062</v>
      </c>
      <c r="G2156" t="s">
        <v>1192</v>
      </c>
      <c r="H2156" t="s">
        <v>8943</v>
      </c>
      <c r="I2156">
        <v>10546</v>
      </c>
      <c r="J2156" t="s">
        <v>9062</v>
      </c>
      <c r="K2156" t="s">
        <v>9062</v>
      </c>
      <c r="L2156" t="s">
        <v>386</v>
      </c>
      <c r="M2156" t="s">
        <v>1184</v>
      </c>
      <c r="N2156">
        <v>10546</v>
      </c>
      <c r="O2156">
        <v>0</v>
      </c>
      <c r="Q2156" t="s">
        <v>9063</v>
      </c>
      <c r="T2156">
        <v>388</v>
      </c>
      <c r="V2156" t="s">
        <v>1712</v>
      </c>
      <c r="W2156" t="s">
        <v>3123</v>
      </c>
      <c r="X2156">
        <v>199</v>
      </c>
      <c r="Z2156" t="s">
        <v>8947</v>
      </c>
      <c r="AA2156" t="s">
        <v>387</v>
      </c>
      <c r="AB2156">
        <v>0</v>
      </c>
      <c r="AC2156">
        <v>4074</v>
      </c>
      <c r="AD2156" t="s">
        <v>9064</v>
      </c>
      <c r="AE2156">
        <v>18</v>
      </c>
      <c r="AF2156" t="s">
        <v>1259</v>
      </c>
      <c r="AG2156" t="s">
        <v>9065</v>
      </c>
    </row>
    <row r="2157" spans="1:34" x14ac:dyDescent="0.25">
      <c r="A2157">
        <v>5</v>
      </c>
      <c r="C2157" s="185"/>
      <c r="D2157" t="s">
        <v>157</v>
      </c>
      <c r="E2157" t="s">
        <v>386</v>
      </c>
      <c r="F2157" t="s">
        <v>9066</v>
      </c>
      <c r="G2157" t="s">
        <v>1197</v>
      </c>
      <c r="H2157" t="s">
        <v>9067</v>
      </c>
      <c r="I2157">
        <v>1207</v>
      </c>
      <c r="J2157" t="s">
        <v>9066</v>
      </c>
      <c r="K2157" t="s">
        <v>9068</v>
      </c>
      <c r="L2157" t="s">
        <v>386</v>
      </c>
      <c r="M2157" t="s">
        <v>1193</v>
      </c>
      <c r="N2157">
        <v>1207</v>
      </c>
      <c r="O2157">
        <v>0</v>
      </c>
      <c r="Q2157" t="s">
        <v>9069</v>
      </c>
      <c r="T2157">
        <v>340</v>
      </c>
      <c r="V2157" t="s">
        <v>1200</v>
      </c>
      <c r="W2157" t="s">
        <v>1216</v>
      </c>
      <c r="X2157">
        <v>260</v>
      </c>
      <c r="Z2157" t="s">
        <v>861</v>
      </c>
      <c r="AA2157" t="s">
        <v>387</v>
      </c>
      <c r="AB2157">
        <v>7000</v>
      </c>
      <c r="AC2157">
        <v>963</v>
      </c>
      <c r="AD2157" t="s">
        <v>9070</v>
      </c>
      <c r="AE2157">
        <v>1558</v>
      </c>
      <c r="AF2157" t="s">
        <v>9071</v>
      </c>
      <c r="AG2157" t="s">
        <v>9072</v>
      </c>
      <c r="AH2157" t="s">
        <v>9073</v>
      </c>
    </row>
    <row r="2158" spans="1:34" x14ac:dyDescent="0.25">
      <c r="A2158">
        <v>32</v>
      </c>
      <c r="C2158" s="185"/>
      <c r="D2158" t="s">
        <v>157</v>
      </c>
      <c r="E2158" t="s">
        <v>386</v>
      </c>
      <c r="F2158" t="s">
        <v>9074</v>
      </c>
      <c r="G2158" t="s">
        <v>1192</v>
      </c>
      <c r="H2158" t="s">
        <v>3843</v>
      </c>
      <c r="I2158">
        <v>10544</v>
      </c>
      <c r="J2158" t="s">
        <v>9074</v>
      </c>
      <c r="K2158" t="s">
        <v>9074</v>
      </c>
      <c r="L2158" t="s">
        <v>386</v>
      </c>
      <c r="M2158" t="s">
        <v>1184</v>
      </c>
      <c r="N2158">
        <v>10544</v>
      </c>
      <c r="O2158">
        <v>0</v>
      </c>
      <c r="Q2158" t="s">
        <v>9075</v>
      </c>
      <c r="T2158">
        <v>388</v>
      </c>
      <c r="V2158" t="s">
        <v>1712</v>
      </c>
      <c r="W2158" t="s">
        <v>3123</v>
      </c>
      <c r="X2158">
        <v>199</v>
      </c>
      <c r="Z2158" t="s">
        <v>874</v>
      </c>
      <c r="AA2158" t="s">
        <v>387</v>
      </c>
      <c r="AB2158">
        <v>0</v>
      </c>
      <c r="AC2158">
        <v>0</v>
      </c>
      <c r="AD2158" t="s">
        <v>1187</v>
      </c>
      <c r="AE2158">
        <v>0</v>
      </c>
      <c r="AF2158" t="s">
        <v>1188</v>
      </c>
    </row>
    <row r="2159" spans="1:34" x14ac:dyDescent="0.25">
      <c r="A2159">
        <v>5</v>
      </c>
      <c r="B2159" t="s">
        <v>1313</v>
      </c>
      <c r="C2159" s="185"/>
      <c r="D2159" t="s">
        <v>24</v>
      </c>
      <c r="E2159" t="s">
        <v>386</v>
      </c>
      <c r="F2159" t="s">
        <v>448</v>
      </c>
      <c r="G2159" t="s">
        <v>1197</v>
      </c>
      <c r="H2159" t="s">
        <v>9029</v>
      </c>
      <c r="I2159">
        <v>182</v>
      </c>
      <c r="J2159" t="s">
        <v>9076</v>
      </c>
      <c r="K2159" t="s">
        <v>7402</v>
      </c>
      <c r="L2159" t="s">
        <v>386</v>
      </c>
      <c r="M2159" t="s">
        <v>1193</v>
      </c>
      <c r="N2159">
        <v>15328</v>
      </c>
      <c r="O2159">
        <v>20</v>
      </c>
      <c r="Q2159" t="s">
        <v>9077</v>
      </c>
      <c r="R2159" t="s">
        <v>398</v>
      </c>
      <c r="S2159" t="s">
        <v>7404</v>
      </c>
      <c r="T2159">
        <v>272</v>
      </c>
      <c r="U2159">
        <v>0</v>
      </c>
      <c r="V2159" t="s">
        <v>2107</v>
      </c>
      <c r="W2159" t="s">
        <v>1988</v>
      </c>
      <c r="X2159">
        <v>122</v>
      </c>
      <c r="Y2159" t="s">
        <v>1317</v>
      </c>
      <c r="Z2159" t="s">
        <v>861</v>
      </c>
      <c r="AA2159" t="s">
        <v>387</v>
      </c>
      <c r="AB2159">
        <v>14000</v>
      </c>
      <c r="AC2159">
        <v>65</v>
      </c>
      <c r="AD2159" t="s">
        <v>9031</v>
      </c>
      <c r="AE2159">
        <v>3</v>
      </c>
      <c r="AF2159" t="s">
        <v>1235</v>
      </c>
      <c r="AG2159" t="s">
        <v>9078</v>
      </c>
      <c r="AH2159" t="s">
        <v>9079</v>
      </c>
    </row>
    <row r="2160" spans="1:34" x14ac:dyDescent="0.25">
      <c r="A2160">
        <v>32</v>
      </c>
      <c r="C2160" s="185"/>
      <c r="E2160" t="s">
        <v>386</v>
      </c>
      <c r="F2160" t="s">
        <v>9080</v>
      </c>
      <c r="G2160" t="s">
        <v>1197</v>
      </c>
      <c r="H2160" t="s">
        <v>3843</v>
      </c>
      <c r="I2160">
        <v>13240</v>
      </c>
      <c r="J2160" t="s">
        <v>9080</v>
      </c>
      <c r="K2160" t="s">
        <v>9081</v>
      </c>
      <c r="L2160" t="s">
        <v>386</v>
      </c>
      <c r="M2160" t="s">
        <v>1193</v>
      </c>
      <c r="N2160">
        <v>13240</v>
      </c>
      <c r="O2160">
        <v>0</v>
      </c>
      <c r="Q2160" t="s">
        <v>9082</v>
      </c>
      <c r="R2160" t="s">
        <v>1208</v>
      </c>
      <c r="T2160">
        <v>246</v>
      </c>
      <c r="V2160" t="s">
        <v>3321</v>
      </c>
      <c r="W2160" t="s">
        <v>2067</v>
      </c>
      <c r="X2160">
        <v>304</v>
      </c>
      <c r="Z2160" t="s">
        <v>874</v>
      </c>
      <c r="AA2160" t="s">
        <v>387</v>
      </c>
      <c r="AB2160">
        <v>19000</v>
      </c>
      <c r="AC2160">
        <v>4958</v>
      </c>
      <c r="AD2160" t="s">
        <v>9083</v>
      </c>
      <c r="AE2160">
        <v>18</v>
      </c>
      <c r="AF2160" t="s">
        <v>1259</v>
      </c>
      <c r="AG2160" t="s">
        <v>1244</v>
      </c>
      <c r="AH2160" t="s">
        <v>9084</v>
      </c>
    </row>
    <row r="2161" spans="1:34" x14ac:dyDescent="0.25">
      <c r="A2161">
        <v>1342</v>
      </c>
      <c r="C2161" s="185"/>
      <c r="E2161" t="s">
        <v>386</v>
      </c>
      <c r="F2161" t="s">
        <v>9085</v>
      </c>
      <c r="G2161" t="s">
        <v>1197</v>
      </c>
      <c r="H2161" t="s">
        <v>3092</v>
      </c>
      <c r="I2161">
        <v>12831</v>
      </c>
      <c r="J2161" t="s">
        <v>9085</v>
      </c>
      <c r="K2161" t="s">
        <v>9086</v>
      </c>
      <c r="L2161" t="s">
        <v>386</v>
      </c>
      <c r="M2161" t="s">
        <v>1193</v>
      </c>
      <c r="N2161">
        <v>12831</v>
      </c>
      <c r="O2161">
        <v>0</v>
      </c>
      <c r="Q2161" t="s">
        <v>9087</v>
      </c>
      <c r="R2161" t="s">
        <v>1208</v>
      </c>
      <c r="T2161">
        <v>571</v>
      </c>
      <c r="V2161" t="s">
        <v>2003</v>
      </c>
      <c r="W2161" t="s">
        <v>2067</v>
      </c>
      <c r="X2161">
        <v>304</v>
      </c>
      <c r="Z2161" t="s">
        <v>2156</v>
      </c>
      <c r="AA2161" t="s">
        <v>387</v>
      </c>
      <c r="AB2161">
        <v>0</v>
      </c>
      <c r="AC2161">
        <v>132</v>
      </c>
      <c r="AD2161" t="s">
        <v>4778</v>
      </c>
      <c r="AE2161">
        <v>105</v>
      </c>
      <c r="AF2161" t="s">
        <v>9088</v>
      </c>
      <c r="AG2161" t="s">
        <v>9089</v>
      </c>
      <c r="AH2161" t="s">
        <v>9090</v>
      </c>
    </row>
    <row r="2162" spans="1:34" x14ac:dyDescent="0.25">
      <c r="A2162">
        <v>2108</v>
      </c>
      <c r="C2162" s="185"/>
      <c r="E2162" t="s">
        <v>386</v>
      </c>
      <c r="F2162" t="s">
        <v>344</v>
      </c>
      <c r="G2162" t="s">
        <v>1238</v>
      </c>
      <c r="H2162" t="s">
        <v>9091</v>
      </c>
      <c r="I2162">
        <v>15444</v>
      </c>
      <c r="J2162" t="s">
        <v>344</v>
      </c>
      <c r="K2162" t="s">
        <v>9092</v>
      </c>
      <c r="L2162" t="s">
        <v>386</v>
      </c>
      <c r="M2162" t="s">
        <v>1184</v>
      </c>
      <c r="N2162">
        <v>15444</v>
      </c>
      <c r="O2162">
        <v>0</v>
      </c>
      <c r="Q2162" t="s">
        <v>9093</v>
      </c>
      <c r="T2162">
        <v>260</v>
      </c>
      <c r="V2162" t="s">
        <v>1216</v>
      </c>
      <c r="W2162" t="s">
        <v>1216</v>
      </c>
      <c r="X2162">
        <v>260</v>
      </c>
      <c r="Z2162" t="s">
        <v>9094</v>
      </c>
      <c r="AA2162" t="s">
        <v>387</v>
      </c>
      <c r="AB2162">
        <v>0</v>
      </c>
      <c r="AC2162">
        <v>5838</v>
      </c>
      <c r="AD2162" t="s">
        <v>9095</v>
      </c>
      <c r="AE2162">
        <v>18</v>
      </c>
      <c r="AF2162" t="s">
        <v>1259</v>
      </c>
      <c r="AG2162" t="s">
        <v>4930</v>
      </c>
    </row>
    <row r="2163" spans="1:34" x14ac:dyDescent="0.25">
      <c r="A2163">
        <v>1456</v>
      </c>
      <c r="C2163" s="185"/>
      <c r="E2163" t="s">
        <v>386</v>
      </c>
      <c r="F2163" t="s">
        <v>9096</v>
      </c>
      <c r="G2163" t="s">
        <v>1197</v>
      </c>
      <c r="H2163" t="s">
        <v>9097</v>
      </c>
      <c r="I2163">
        <v>5534</v>
      </c>
      <c r="J2163" t="s">
        <v>9096</v>
      </c>
      <c r="K2163" t="s">
        <v>9098</v>
      </c>
      <c r="L2163" t="s">
        <v>386</v>
      </c>
      <c r="M2163" t="s">
        <v>1193</v>
      </c>
      <c r="N2163">
        <v>5534</v>
      </c>
      <c r="O2163">
        <v>0</v>
      </c>
      <c r="Q2163" t="s">
        <v>9099</v>
      </c>
      <c r="T2163">
        <v>39</v>
      </c>
      <c r="V2163" t="s">
        <v>2144</v>
      </c>
      <c r="Z2163" t="s">
        <v>915</v>
      </c>
      <c r="AA2163" t="s">
        <v>387</v>
      </c>
      <c r="AB2163">
        <v>0</v>
      </c>
      <c r="AC2163">
        <v>2104</v>
      </c>
      <c r="AD2163" t="s">
        <v>9000</v>
      </c>
      <c r="AE2163">
        <v>1265</v>
      </c>
      <c r="AF2163" t="s">
        <v>9100</v>
      </c>
      <c r="AG2163" t="s">
        <v>6258</v>
      </c>
      <c r="AH2163" t="s">
        <v>9101</v>
      </c>
    </row>
    <row r="2164" spans="1:34" x14ac:dyDescent="0.25">
      <c r="A2164">
        <v>5</v>
      </c>
      <c r="B2164" t="s">
        <v>1313</v>
      </c>
      <c r="C2164" s="185"/>
      <c r="D2164" t="s">
        <v>24</v>
      </c>
      <c r="E2164" t="s">
        <v>386</v>
      </c>
      <c r="F2164" t="s">
        <v>448</v>
      </c>
      <c r="G2164" t="s">
        <v>1197</v>
      </c>
      <c r="H2164" t="s">
        <v>9029</v>
      </c>
      <c r="I2164">
        <v>183</v>
      </c>
      <c r="J2164" t="s">
        <v>33</v>
      </c>
      <c r="K2164" t="s">
        <v>7402</v>
      </c>
      <c r="L2164" t="s">
        <v>386</v>
      </c>
      <c r="M2164" t="s">
        <v>1193</v>
      </c>
      <c r="N2164">
        <v>15328</v>
      </c>
      <c r="O2164">
        <v>20</v>
      </c>
      <c r="Q2164" t="s">
        <v>9102</v>
      </c>
      <c r="R2164" t="s">
        <v>398</v>
      </c>
      <c r="S2164" t="s">
        <v>7404</v>
      </c>
      <c r="T2164">
        <v>272</v>
      </c>
      <c r="U2164">
        <v>0</v>
      </c>
      <c r="V2164" t="s">
        <v>2107</v>
      </c>
      <c r="W2164" t="s">
        <v>1988</v>
      </c>
      <c r="X2164">
        <v>122</v>
      </c>
      <c r="Y2164" t="s">
        <v>1317</v>
      </c>
      <c r="Z2164" t="s">
        <v>861</v>
      </c>
      <c r="AA2164" t="s">
        <v>387</v>
      </c>
      <c r="AB2164">
        <v>14000</v>
      </c>
      <c r="AC2164">
        <v>153</v>
      </c>
      <c r="AD2164" t="s">
        <v>9031</v>
      </c>
      <c r="AE2164">
        <v>3</v>
      </c>
      <c r="AF2164" t="s">
        <v>1235</v>
      </c>
      <c r="AG2164" t="s">
        <v>9103</v>
      </c>
      <c r="AH2164" t="s">
        <v>9079</v>
      </c>
    </row>
    <row r="2165" spans="1:34" x14ac:dyDescent="0.25">
      <c r="A2165">
        <v>3</v>
      </c>
      <c r="C2165" s="185"/>
      <c r="E2165" t="s">
        <v>386</v>
      </c>
      <c r="F2165" t="s">
        <v>9104</v>
      </c>
      <c r="H2165" t="s">
        <v>9105</v>
      </c>
      <c r="I2165">
        <v>9968</v>
      </c>
      <c r="J2165" t="s">
        <v>9104</v>
      </c>
      <c r="K2165" t="s">
        <v>9104</v>
      </c>
      <c r="L2165" t="s">
        <v>386</v>
      </c>
      <c r="M2165" t="s">
        <v>1193</v>
      </c>
      <c r="N2165">
        <v>9968</v>
      </c>
      <c r="O2165">
        <v>0</v>
      </c>
      <c r="Q2165" t="s">
        <v>9106</v>
      </c>
      <c r="T2165">
        <v>260</v>
      </c>
      <c r="V2165" t="s">
        <v>1216</v>
      </c>
      <c r="Z2165" t="s">
        <v>1935</v>
      </c>
      <c r="AA2165" t="s">
        <v>387</v>
      </c>
      <c r="AB2165">
        <v>0</v>
      </c>
      <c r="AC2165">
        <v>3811</v>
      </c>
      <c r="AD2165" t="s">
        <v>9107</v>
      </c>
      <c r="AE2165">
        <v>430</v>
      </c>
      <c r="AF2165" t="s">
        <v>9108</v>
      </c>
      <c r="AG2165" t="s">
        <v>9109</v>
      </c>
    </row>
    <row r="2166" spans="1:34" x14ac:dyDescent="0.25">
      <c r="A2166">
        <v>1479</v>
      </c>
      <c r="C2166" s="185"/>
      <c r="E2166" t="s">
        <v>386</v>
      </c>
      <c r="F2166" t="s">
        <v>9110</v>
      </c>
      <c r="G2166" t="s">
        <v>1197</v>
      </c>
      <c r="H2166" t="s">
        <v>9111</v>
      </c>
      <c r="I2166">
        <v>13222</v>
      </c>
      <c r="J2166" t="s">
        <v>9110</v>
      </c>
      <c r="K2166" t="s">
        <v>9110</v>
      </c>
      <c r="L2166" t="s">
        <v>386</v>
      </c>
      <c r="M2166" t="s">
        <v>1193</v>
      </c>
      <c r="N2166">
        <v>13222</v>
      </c>
      <c r="O2166">
        <v>0</v>
      </c>
      <c r="Q2166" t="s">
        <v>9112</v>
      </c>
      <c r="R2166" t="s">
        <v>398</v>
      </c>
      <c r="T2166">
        <v>571</v>
      </c>
      <c r="V2166" t="s">
        <v>2003</v>
      </c>
      <c r="W2166" t="s">
        <v>2073</v>
      </c>
      <c r="X2166">
        <v>372</v>
      </c>
      <c r="Z2166" t="s">
        <v>2665</v>
      </c>
      <c r="AA2166" t="s">
        <v>387</v>
      </c>
      <c r="AB2166">
        <v>0</v>
      </c>
      <c r="AC2166">
        <v>4951</v>
      </c>
      <c r="AD2166" t="s">
        <v>9113</v>
      </c>
      <c r="AE2166">
        <v>2284</v>
      </c>
      <c r="AF2166" t="s">
        <v>9114</v>
      </c>
      <c r="AG2166" t="s">
        <v>9115</v>
      </c>
      <c r="AH2166" t="s">
        <v>9116</v>
      </c>
    </row>
    <row r="2167" spans="1:34" x14ac:dyDescent="0.25">
      <c r="A2167">
        <v>2050</v>
      </c>
      <c r="C2167" s="185"/>
      <c r="E2167" t="s">
        <v>386</v>
      </c>
      <c r="F2167" t="s">
        <v>9117</v>
      </c>
      <c r="G2167" t="s">
        <v>1197</v>
      </c>
      <c r="H2167" t="s">
        <v>9118</v>
      </c>
      <c r="I2167">
        <v>13378</v>
      </c>
      <c r="J2167" t="s">
        <v>9117</v>
      </c>
      <c r="K2167" t="s">
        <v>9119</v>
      </c>
      <c r="L2167" t="s">
        <v>386</v>
      </c>
      <c r="M2167" t="s">
        <v>1193</v>
      </c>
      <c r="N2167">
        <v>13378</v>
      </c>
      <c r="O2167">
        <v>0</v>
      </c>
      <c r="Q2167" t="s">
        <v>9120</v>
      </c>
      <c r="R2167" t="s">
        <v>1208</v>
      </c>
      <c r="T2167">
        <v>259</v>
      </c>
      <c r="V2167" t="s">
        <v>1215</v>
      </c>
      <c r="W2167" t="s">
        <v>2067</v>
      </c>
      <c r="X2167">
        <v>304</v>
      </c>
      <c r="Z2167" t="s">
        <v>9121</v>
      </c>
      <c r="AA2167" t="s">
        <v>387</v>
      </c>
      <c r="AB2167">
        <v>0</v>
      </c>
      <c r="AC2167">
        <v>210</v>
      </c>
      <c r="AD2167" t="s">
        <v>2615</v>
      </c>
      <c r="AE2167">
        <v>1</v>
      </c>
      <c r="AF2167" t="s">
        <v>1922</v>
      </c>
      <c r="AG2167" t="s">
        <v>9122</v>
      </c>
      <c r="AH2167" t="s">
        <v>9123</v>
      </c>
    </row>
    <row r="2168" spans="1:34" x14ac:dyDescent="0.25">
      <c r="A2168">
        <v>2026</v>
      </c>
      <c r="C2168" s="185"/>
      <c r="E2168" t="s">
        <v>386</v>
      </c>
      <c r="F2168" t="s">
        <v>9124</v>
      </c>
      <c r="G2168" t="s">
        <v>1238</v>
      </c>
      <c r="H2168" t="s">
        <v>9125</v>
      </c>
      <c r="I2168">
        <v>14794</v>
      </c>
      <c r="J2168" t="s">
        <v>9124</v>
      </c>
      <c r="K2168" t="s">
        <v>9126</v>
      </c>
      <c r="L2168" t="s">
        <v>386</v>
      </c>
      <c r="M2168" t="s">
        <v>1184</v>
      </c>
      <c r="N2168">
        <v>14794</v>
      </c>
      <c r="O2168">
        <v>0</v>
      </c>
      <c r="Q2168" t="s">
        <v>9127</v>
      </c>
      <c r="R2168" t="s">
        <v>398</v>
      </c>
      <c r="T2168">
        <v>426</v>
      </c>
      <c r="V2168" t="s">
        <v>1257</v>
      </c>
      <c r="W2168" t="s">
        <v>1530</v>
      </c>
      <c r="X2168">
        <v>103</v>
      </c>
      <c r="Z2168" t="s">
        <v>9128</v>
      </c>
      <c r="AA2168" t="s">
        <v>387</v>
      </c>
      <c r="AB2168">
        <v>0</v>
      </c>
      <c r="AC2168">
        <v>5629</v>
      </c>
      <c r="AD2168" t="s">
        <v>9129</v>
      </c>
      <c r="AE2168">
        <v>0</v>
      </c>
      <c r="AF2168" t="s">
        <v>1188</v>
      </c>
      <c r="AG2168" t="s">
        <v>1244</v>
      </c>
      <c r="AH2168" t="s">
        <v>9130</v>
      </c>
    </row>
    <row r="2169" spans="1:34" x14ac:dyDescent="0.25">
      <c r="A2169">
        <v>52</v>
      </c>
      <c r="C2169" s="185"/>
      <c r="D2169" t="s">
        <v>24</v>
      </c>
      <c r="E2169" t="s">
        <v>386</v>
      </c>
      <c r="F2169" t="s">
        <v>9131</v>
      </c>
      <c r="G2169" t="s">
        <v>1197</v>
      </c>
      <c r="H2169" t="s">
        <v>9132</v>
      </c>
      <c r="I2169">
        <v>2805</v>
      </c>
      <c r="J2169" t="s">
        <v>9131</v>
      </c>
      <c r="K2169" t="s">
        <v>9133</v>
      </c>
      <c r="L2169" t="s">
        <v>386</v>
      </c>
      <c r="M2169" t="s">
        <v>1193</v>
      </c>
      <c r="N2169">
        <v>2805</v>
      </c>
      <c r="O2169">
        <v>20</v>
      </c>
      <c r="Q2169" t="s">
        <v>9134</v>
      </c>
      <c r="R2169" t="s">
        <v>398</v>
      </c>
      <c r="T2169">
        <v>0</v>
      </c>
      <c r="V2169" t="s">
        <v>1186</v>
      </c>
      <c r="Z2169" t="s">
        <v>9135</v>
      </c>
      <c r="AA2169" t="s">
        <v>387</v>
      </c>
      <c r="AB2169">
        <v>14000</v>
      </c>
      <c r="AC2169">
        <v>1792</v>
      </c>
      <c r="AD2169" t="s">
        <v>9136</v>
      </c>
      <c r="AE2169">
        <v>3</v>
      </c>
      <c r="AF2169" t="s">
        <v>1235</v>
      </c>
      <c r="AG2169" t="s">
        <v>1244</v>
      </c>
      <c r="AH2169" t="s">
        <v>9137</v>
      </c>
    </row>
    <row r="2170" spans="1:34" x14ac:dyDescent="0.25">
      <c r="A2170">
        <v>1838</v>
      </c>
      <c r="C2170" s="185"/>
      <c r="D2170" t="s">
        <v>157</v>
      </c>
      <c r="E2170" t="s">
        <v>386</v>
      </c>
      <c r="F2170" t="s">
        <v>9138</v>
      </c>
      <c r="G2170" t="s">
        <v>1238</v>
      </c>
      <c r="H2170" t="s">
        <v>9139</v>
      </c>
      <c r="I2170">
        <v>12424</v>
      </c>
      <c r="J2170" t="s">
        <v>9138</v>
      </c>
      <c r="K2170" t="s">
        <v>9140</v>
      </c>
      <c r="L2170" t="s">
        <v>386</v>
      </c>
      <c r="M2170" t="s">
        <v>1184</v>
      </c>
      <c r="N2170">
        <v>12424</v>
      </c>
      <c r="O2170">
        <v>41</v>
      </c>
      <c r="Q2170" t="s">
        <v>9141</v>
      </c>
      <c r="T2170">
        <v>52</v>
      </c>
      <c r="V2170" t="s">
        <v>2024</v>
      </c>
      <c r="W2170" t="s">
        <v>3321</v>
      </c>
      <c r="X2170">
        <v>246</v>
      </c>
      <c r="Z2170" t="s">
        <v>9142</v>
      </c>
      <c r="AA2170" t="s">
        <v>387</v>
      </c>
      <c r="AB2170">
        <v>0</v>
      </c>
      <c r="AC2170">
        <v>4666</v>
      </c>
      <c r="AD2170" t="s">
        <v>9143</v>
      </c>
      <c r="AE2170">
        <v>18</v>
      </c>
      <c r="AF2170" t="s">
        <v>1259</v>
      </c>
      <c r="AG2170" t="s">
        <v>1244</v>
      </c>
      <c r="AH2170" t="s">
        <v>9144</v>
      </c>
    </row>
    <row r="2171" spans="1:34" x14ac:dyDescent="0.25">
      <c r="A2171">
        <v>32</v>
      </c>
      <c r="C2171" s="185"/>
      <c r="D2171" t="s">
        <v>157</v>
      </c>
      <c r="E2171" t="s">
        <v>386</v>
      </c>
      <c r="F2171" t="s">
        <v>9145</v>
      </c>
      <c r="G2171" t="s">
        <v>1238</v>
      </c>
      <c r="H2171" t="s">
        <v>3843</v>
      </c>
      <c r="I2171">
        <v>12429</v>
      </c>
      <c r="J2171" t="s">
        <v>9145</v>
      </c>
      <c r="K2171" t="s">
        <v>9146</v>
      </c>
      <c r="L2171" t="s">
        <v>386</v>
      </c>
      <c r="M2171" t="s">
        <v>1184</v>
      </c>
      <c r="N2171">
        <v>12429</v>
      </c>
      <c r="O2171">
        <v>0</v>
      </c>
      <c r="Q2171" t="s">
        <v>9147</v>
      </c>
      <c r="T2171">
        <v>52</v>
      </c>
      <c r="V2171" t="s">
        <v>2024</v>
      </c>
      <c r="W2171" t="s">
        <v>1712</v>
      </c>
      <c r="X2171">
        <v>388</v>
      </c>
      <c r="Z2171" t="s">
        <v>874</v>
      </c>
      <c r="AA2171" t="s">
        <v>387</v>
      </c>
      <c r="AB2171">
        <v>0</v>
      </c>
      <c r="AC2171">
        <v>4671</v>
      </c>
      <c r="AD2171" t="s">
        <v>9148</v>
      </c>
      <c r="AE2171">
        <v>18</v>
      </c>
      <c r="AF2171" t="s">
        <v>1259</v>
      </c>
      <c r="AG2171" t="s">
        <v>1244</v>
      </c>
      <c r="AH2171" t="s">
        <v>9054</v>
      </c>
    </row>
    <row r="2172" spans="1:34" x14ac:dyDescent="0.25">
      <c r="A2172">
        <v>5</v>
      </c>
      <c r="B2172" t="s">
        <v>1313</v>
      </c>
      <c r="C2172" s="185"/>
      <c r="D2172" t="s">
        <v>24</v>
      </c>
      <c r="E2172" t="s">
        <v>386</v>
      </c>
      <c r="F2172" t="s">
        <v>489</v>
      </c>
      <c r="G2172" t="s">
        <v>1197</v>
      </c>
      <c r="H2172" t="s">
        <v>9149</v>
      </c>
      <c r="I2172">
        <v>205</v>
      </c>
      <c r="J2172" t="s">
        <v>35</v>
      </c>
      <c r="K2172" t="s">
        <v>9150</v>
      </c>
      <c r="L2172" t="s">
        <v>386</v>
      </c>
      <c r="M2172" t="s">
        <v>1193</v>
      </c>
      <c r="N2172">
        <v>15332</v>
      </c>
      <c r="O2172">
        <v>39</v>
      </c>
      <c r="Q2172" t="s">
        <v>9151</v>
      </c>
      <c r="R2172" t="s">
        <v>398</v>
      </c>
      <c r="S2172" t="s">
        <v>1909</v>
      </c>
      <c r="T2172">
        <v>470</v>
      </c>
      <c r="U2172">
        <v>0</v>
      </c>
      <c r="V2172" t="s">
        <v>4468</v>
      </c>
      <c r="W2172" t="s">
        <v>1216</v>
      </c>
      <c r="X2172">
        <v>260</v>
      </c>
      <c r="Y2172" t="s">
        <v>1317</v>
      </c>
      <c r="Z2172" t="s">
        <v>861</v>
      </c>
      <c r="AA2172" t="s">
        <v>387</v>
      </c>
      <c r="AB2172">
        <v>31000</v>
      </c>
      <c r="AC2172">
        <v>280</v>
      </c>
      <c r="AD2172" t="s">
        <v>5513</v>
      </c>
      <c r="AE2172">
        <v>63</v>
      </c>
      <c r="AF2172" t="s">
        <v>3896</v>
      </c>
      <c r="AG2172" t="s">
        <v>9152</v>
      </c>
      <c r="AH2172" t="s">
        <v>7273</v>
      </c>
    </row>
    <row r="2173" spans="1:34" x14ac:dyDescent="0.25">
      <c r="A2173">
        <v>362</v>
      </c>
      <c r="B2173" t="s">
        <v>1313</v>
      </c>
      <c r="C2173" s="185"/>
      <c r="D2173" t="s">
        <v>24</v>
      </c>
      <c r="E2173" t="s">
        <v>386</v>
      </c>
      <c r="F2173" t="s">
        <v>9153</v>
      </c>
      <c r="G2173" t="s">
        <v>1197</v>
      </c>
      <c r="H2173" t="s">
        <v>9154</v>
      </c>
      <c r="I2173">
        <v>8034</v>
      </c>
      <c r="J2173" t="s">
        <v>9153</v>
      </c>
      <c r="K2173" t="s">
        <v>9153</v>
      </c>
      <c r="L2173" t="s">
        <v>386</v>
      </c>
      <c r="M2173" t="s">
        <v>1193</v>
      </c>
      <c r="N2173">
        <v>8034</v>
      </c>
      <c r="O2173">
        <v>39</v>
      </c>
      <c r="Q2173" t="s">
        <v>9155</v>
      </c>
      <c r="R2173" t="s">
        <v>398</v>
      </c>
      <c r="S2173" t="s">
        <v>4594</v>
      </c>
      <c r="T2173">
        <v>220</v>
      </c>
      <c r="U2173">
        <v>0</v>
      </c>
      <c r="V2173" t="s">
        <v>1194</v>
      </c>
      <c r="W2173" t="s">
        <v>2015</v>
      </c>
      <c r="X2173">
        <v>35</v>
      </c>
      <c r="Y2173" t="s">
        <v>1317</v>
      </c>
      <c r="Z2173" t="s">
        <v>2158</v>
      </c>
      <c r="AA2173" t="s">
        <v>387</v>
      </c>
      <c r="AB2173">
        <v>31000</v>
      </c>
      <c r="AC2173">
        <v>1833</v>
      </c>
      <c r="AD2173" t="s">
        <v>9156</v>
      </c>
      <c r="AE2173">
        <v>18</v>
      </c>
      <c r="AF2173" t="s">
        <v>1259</v>
      </c>
      <c r="AG2173" t="s">
        <v>2044</v>
      </c>
    </row>
    <row r="2174" spans="1:34" x14ac:dyDescent="0.25">
      <c r="A2174">
        <v>1479</v>
      </c>
      <c r="C2174" s="185"/>
      <c r="E2174" t="s">
        <v>386</v>
      </c>
      <c r="F2174" t="s">
        <v>9157</v>
      </c>
      <c r="G2174" t="s">
        <v>1197</v>
      </c>
      <c r="H2174" t="s">
        <v>9158</v>
      </c>
      <c r="I2174">
        <v>13268</v>
      </c>
      <c r="J2174" t="s">
        <v>9157</v>
      </c>
      <c r="K2174" t="s">
        <v>9159</v>
      </c>
      <c r="L2174" t="s">
        <v>386</v>
      </c>
      <c r="M2174" t="s">
        <v>1193</v>
      </c>
      <c r="N2174">
        <v>13268</v>
      </c>
      <c r="O2174">
        <v>0</v>
      </c>
      <c r="Q2174" t="s">
        <v>9160</v>
      </c>
      <c r="R2174" t="s">
        <v>398</v>
      </c>
      <c r="T2174">
        <v>571</v>
      </c>
      <c r="V2174" t="s">
        <v>2003</v>
      </c>
      <c r="W2174" t="s">
        <v>2073</v>
      </c>
      <c r="X2174">
        <v>372</v>
      </c>
      <c r="Z2174" t="s">
        <v>2665</v>
      </c>
      <c r="AA2174" t="s">
        <v>387</v>
      </c>
      <c r="AB2174">
        <v>0</v>
      </c>
      <c r="AC2174">
        <v>4971</v>
      </c>
      <c r="AD2174" t="s">
        <v>9161</v>
      </c>
      <c r="AE2174">
        <v>851</v>
      </c>
      <c r="AF2174" t="s">
        <v>9162</v>
      </c>
      <c r="AG2174" t="s">
        <v>2554</v>
      </c>
      <c r="AH2174" t="s">
        <v>9163</v>
      </c>
    </row>
    <row r="2175" spans="1:34" x14ac:dyDescent="0.25">
      <c r="A2175">
        <v>129</v>
      </c>
      <c r="B2175" t="s">
        <v>1313</v>
      </c>
      <c r="C2175" s="185"/>
      <c r="D2175" t="s">
        <v>24</v>
      </c>
      <c r="E2175" t="s">
        <v>386</v>
      </c>
      <c r="F2175" t="s">
        <v>9164</v>
      </c>
      <c r="G2175" t="s">
        <v>1192</v>
      </c>
      <c r="H2175" t="s">
        <v>9165</v>
      </c>
      <c r="I2175">
        <v>569</v>
      </c>
      <c r="J2175" t="s">
        <v>9164</v>
      </c>
      <c r="K2175" t="s">
        <v>9166</v>
      </c>
      <c r="L2175" t="s">
        <v>386</v>
      </c>
      <c r="M2175" t="s">
        <v>1184</v>
      </c>
      <c r="N2175">
        <v>569</v>
      </c>
      <c r="O2175">
        <v>20</v>
      </c>
      <c r="Q2175" t="s">
        <v>9167</v>
      </c>
      <c r="R2175" t="s">
        <v>398</v>
      </c>
      <c r="S2175" t="s">
        <v>1315</v>
      </c>
      <c r="T2175">
        <v>0</v>
      </c>
      <c r="U2175">
        <v>0</v>
      </c>
      <c r="V2175" t="s">
        <v>1186</v>
      </c>
      <c r="Y2175" t="s">
        <v>1317</v>
      </c>
      <c r="Z2175" t="s">
        <v>9168</v>
      </c>
      <c r="AA2175" t="s">
        <v>387</v>
      </c>
      <c r="AB2175">
        <v>14000</v>
      </c>
      <c r="AC2175">
        <v>477</v>
      </c>
      <c r="AD2175" t="s">
        <v>9169</v>
      </c>
      <c r="AE2175">
        <v>18</v>
      </c>
      <c r="AF2175" t="s">
        <v>1259</v>
      </c>
      <c r="AG2175" t="s">
        <v>1931</v>
      </c>
      <c r="AH2175" t="s">
        <v>9170</v>
      </c>
    </row>
    <row r="2176" spans="1:34" x14ac:dyDescent="0.25">
      <c r="A2176">
        <v>2084</v>
      </c>
      <c r="C2176" s="185"/>
      <c r="E2176" t="s">
        <v>386</v>
      </c>
      <c r="F2176" t="s">
        <v>9171</v>
      </c>
      <c r="G2176" t="s">
        <v>1197</v>
      </c>
      <c r="H2176" t="s">
        <v>3812</v>
      </c>
      <c r="I2176">
        <v>17158</v>
      </c>
      <c r="J2176" t="s">
        <v>9171</v>
      </c>
      <c r="K2176" t="s">
        <v>9172</v>
      </c>
      <c r="L2176" t="s">
        <v>386</v>
      </c>
      <c r="M2176" t="s">
        <v>1193</v>
      </c>
      <c r="N2176">
        <v>17158</v>
      </c>
      <c r="O2176">
        <v>0</v>
      </c>
      <c r="Q2176" t="s">
        <v>9173</v>
      </c>
      <c r="R2176" t="s">
        <v>1208</v>
      </c>
      <c r="T2176">
        <v>509</v>
      </c>
      <c r="V2176" t="s">
        <v>5803</v>
      </c>
      <c r="W2176" t="s">
        <v>5803</v>
      </c>
      <c r="X2176">
        <v>509</v>
      </c>
      <c r="Z2176" t="s">
        <v>3814</v>
      </c>
      <c r="AA2176" t="s">
        <v>387</v>
      </c>
      <c r="AB2176">
        <v>0</v>
      </c>
      <c r="AC2176">
        <v>3187</v>
      </c>
      <c r="AD2176" t="s">
        <v>9174</v>
      </c>
      <c r="AE2176">
        <v>57</v>
      </c>
      <c r="AF2176" t="s">
        <v>4069</v>
      </c>
      <c r="AG2176" t="s">
        <v>9175</v>
      </c>
      <c r="AH2176" t="s">
        <v>9176</v>
      </c>
    </row>
    <row r="2177" spans="1:34" x14ac:dyDescent="0.25">
      <c r="A2177">
        <v>1884</v>
      </c>
      <c r="C2177" s="185"/>
      <c r="E2177" t="s">
        <v>386</v>
      </c>
      <c r="F2177" t="s">
        <v>9177</v>
      </c>
      <c r="G2177" t="s">
        <v>1238</v>
      </c>
      <c r="H2177" t="s">
        <v>9178</v>
      </c>
      <c r="I2177">
        <v>13241</v>
      </c>
      <c r="J2177" t="s">
        <v>9177</v>
      </c>
      <c r="K2177" t="s">
        <v>9179</v>
      </c>
      <c r="L2177" t="s">
        <v>386</v>
      </c>
      <c r="M2177" t="s">
        <v>1184</v>
      </c>
      <c r="N2177">
        <v>13241</v>
      </c>
      <c r="O2177">
        <v>0</v>
      </c>
      <c r="Q2177" t="s">
        <v>9180</v>
      </c>
      <c r="R2177" t="s">
        <v>398</v>
      </c>
      <c r="T2177">
        <v>259</v>
      </c>
      <c r="V2177" t="s">
        <v>1215</v>
      </c>
      <c r="W2177" t="s">
        <v>3321</v>
      </c>
      <c r="X2177">
        <v>246</v>
      </c>
      <c r="Z2177" t="s">
        <v>9181</v>
      </c>
      <c r="AA2177" t="s">
        <v>387</v>
      </c>
      <c r="AB2177">
        <v>19000</v>
      </c>
      <c r="AC2177">
        <v>4959</v>
      </c>
      <c r="AD2177" t="s">
        <v>9182</v>
      </c>
      <c r="AE2177">
        <v>2289</v>
      </c>
      <c r="AF2177" t="s">
        <v>9021</v>
      </c>
      <c r="AG2177" t="s">
        <v>1244</v>
      </c>
      <c r="AH2177" t="s">
        <v>9183</v>
      </c>
    </row>
    <row r="2178" spans="1:34" x14ac:dyDescent="0.25">
      <c r="A2178">
        <v>158</v>
      </c>
      <c r="B2178" t="s">
        <v>1313</v>
      </c>
      <c r="C2178" s="185"/>
      <c r="D2178" t="s">
        <v>24</v>
      </c>
      <c r="E2178" t="s">
        <v>386</v>
      </c>
      <c r="F2178" t="s">
        <v>450</v>
      </c>
      <c r="G2178" t="s">
        <v>1197</v>
      </c>
      <c r="H2178" t="s">
        <v>9184</v>
      </c>
      <c r="I2178">
        <v>728</v>
      </c>
      <c r="J2178" t="s">
        <v>9185</v>
      </c>
      <c r="K2178" t="s">
        <v>9186</v>
      </c>
      <c r="L2178" t="s">
        <v>386</v>
      </c>
      <c r="M2178" t="s">
        <v>1193</v>
      </c>
      <c r="N2178">
        <v>15720</v>
      </c>
      <c r="O2178">
        <v>68</v>
      </c>
      <c r="Q2178" t="s">
        <v>9187</v>
      </c>
      <c r="R2178" t="s">
        <v>398</v>
      </c>
      <c r="S2178" t="s">
        <v>4594</v>
      </c>
      <c r="T2178">
        <v>220</v>
      </c>
      <c r="U2178">
        <v>0</v>
      </c>
      <c r="V2178" t="s">
        <v>1194</v>
      </c>
      <c r="W2178" t="s">
        <v>1200</v>
      </c>
      <c r="X2178">
        <v>340</v>
      </c>
      <c r="Y2178" t="s">
        <v>1317</v>
      </c>
      <c r="Z2178" t="s">
        <v>9188</v>
      </c>
      <c r="AA2178" t="s">
        <v>387</v>
      </c>
      <c r="AB2178">
        <v>60000</v>
      </c>
      <c r="AC2178">
        <v>6312</v>
      </c>
      <c r="AD2178" t="s">
        <v>9189</v>
      </c>
      <c r="AE2178">
        <v>307</v>
      </c>
      <c r="AF2178" t="s">
        <v>9190</v>
      </c>
      <c r="AG2178" t="s">
        <v>2044</v>
      </c>
      <c r="AH2178" t="s">
        <v>9191</v>
      </c>
    </row>
    <row r="2179" spans="1:34" x14ac:dyDescent="0.25">
      <c r="A2179">
        <v>1481</v>
      </c>
      <c r="C2179" s="185"/>
      <c r="E2179" t="s">
        <v>386</v>
      </c>
      <c r="F2179" t="s">
        <v>9192</v>
      </c>
      <c r="G2179" t="s">
        <v>1197</v>
      </c>
      <c r="H2179" t="s">
        <v>9193</v>
      </c>
      <c r="I2179">
        <v>15715</v>
      </c>
      <c r="J2179" t="s">
        <v>9192</v>
      </c>
      <c r="K2179" t="s">
        <v>9194</v>
      </c>
      <c r="L2179" t="s">
        <v>386</v>
      </c>
      <c r="M2179" t="s">
        <v>1193</v>
      </c>
      <c r="N2179">
        <v>15715</v>
      </c>
      <c r="O2179">
        <v>0</v>
      </c>
      <c r="Q2179" t="s">
        <v>9195</v>
      </c>
      <c r="T2179">
        <v>571</v>
      </c>
      <c r="V2179" t="s">
        <v>2003</v>
      </c>
      <c r="W2179" t="s">
        <v>3129</v>
      </c>
      <c r="X2179">
        <v>435</v>
      </c>
      <c r="Z2179" t="s">
        <v>9196</v>
      </c>
      <c r="AA2179" t="s">
        <v>387</v>
      </c>
      <c r="AB2179">
        <v>0</v>
      </c>
      <c r="AC2179">
        <v>5924</v>
      </c>
      <c r="AD2179" t="s">
        <v>9197</v>
      </c>
      <c r="AE2179">
        <v>2727</v>
      </c>
      <c r="AF2179" t="s">
        <v>9198</v>
      </c>
      <c r="AG2179" t="s">
        <v>9199</v>
      </c>
      <c r="AH2179" t="s">
        <v>9200</v>
      </c>
    </row>
    <row r="2180" spans="1:34" x14ac:dyDescent="0.25">
      <c r="A2180">
        <v>1767</v>
      </c>
      <c r="C2180" s="185"/>
      <c r="D2180" t="s">
        <v>24</v>
      </c>
      <c r="E2180" t="s">
        <v>386</v>
      </c>
      <c r="F2180" t="s">
        <v>141</v>
      </c>
      <c r="G2180" t="s">
        <v>1197</v>
      </c>
      <c r="H2180" t="s">
        <v>9201</v>
      </c>
      <c r="I2180">
        <v>9591</v>
      </c>
      <c r="J2180" t="s">
        <v>141</v>
      </c>
      <c r="K2180" t="s">
        <v>141</v>
      </c>
      <c r="L2180" t="s">
        <v>386</v>
      </c>
      <c r="M2180" t="s">
        <v>1193</v>
      </c>
      <c r="N2180">
        <v>9591</v>
      </c>
      <c r="O2180">
        <v>39</v>
      </c>
      <c r="Q2180" t="s">
        <v>9202</v>
      </c>
      <c r="R2180" t="s">
        <v>398</v>
      </c>
      <c r="T2180">
        <v>220</v>
      </c>
      <c r="V2180" t="s">
        <v>1194</v>
      </c>
      <c r="W2180" t="s">
        <v>1205</v>
      </c>
      <c r="X2180">
        <v>2</v>
      </c>
      <c r="Z2180" t="s">
        <v>9203</v>
      </c>
      <c r="AA2180" t="s">
        <v>387</v>
      </c>
      <c r="AB2180">
        <v>31000</v>
      </c>
      <c r="AC2180">
        <v>3819</v>
      </c>
      <c r="AD2180" t="s">
        <v>9204</v>
      </c>
      <c r="AE2180">
        <v>1766</v>
      </c>
      <c r="AF2180" t="s">
        <v>9205</v>
      </c>
    </row>
    <row r="2181" spans="1:34" x14ac:dyDescent="0.25">
      <c r="A2181">
        <v>32</v>
      </c>
      <c r="B2181" t="s">
        <v>1313</v>
      </c>
      <c r="C2181" s="185"/>
      <c r="D2181" t="s">
        <v>24</v>
      </c>
      <c r="E2181" t="s">
        <v>386</v>
      </c>
      <c r="F2181" t="s">
        <v>358</v>
      </c>
      <c r="G2181" t="s">
        <v>1197</v>
      </c>
      <c r="H2181" t="s">
        <v>3843</v>
      </c>
      <c r="I2181">
        <v>466</v>
      </c>
      <c r="J2181" t="s">
        <v>40</v>
      </c>
      <c r="K2181" t="s">
        <v>8003</v>
      </c>
      <c r="L2181" t="s">
        <v>386</v>
      </c>
      <c r="M2181" t="s">
        <v>1193</v>
      </c>
      <c r="N2181">
        <v>15319</v>
      </c>
      <c r="O2181">
        <v>68</v>
      </c>
      <c r="Q2181" t="s">
        <v>9206</v>
      </c>
      <c r="R2181" t="s">
        <v>398</v>
      </c>
      <c r="S2181" t="s">
        <v>4594</v>
      </c>
      <c r="T2181">
        <v>220</v>
      </c>
      <c r="U2181">
        <v>0</v>
      </c>
      <c r="V2181" t="s">
        <v>1194</v>
      </c>
      <c r="W2181" t="s">
        <v>2186</v>
      </c>
      <c r="X2181">
        <v>396</v>
      </c>
      <c r="Y2181" t="s">
        <v>1317</v>
      </c>
      <c r="Z2181" t="s">
        <v>874</v>
      </c>
      <c r="AA2181" t="s">
        <v>387</v>
      </c>
      <c r="AB2181">
        <v>60000</v>
      </c>
      <c r="AC2181">
        <v>477</v>
      </c>
      <c r="AD2181" t="s">
        <v>9169</v>
      </c>
      <c r="AE2181">
        <v>149</v>
      </c>
      <c r="AF2181" t="s">
        <v>9042</v>
      </c>
      <c r="AG2181" t="s">
        <v>9207</v>
      </c>
    </row>
    <row r="2182" spans="1:34" x14ac:dyDescent="0.25">
      <c r="A2182">
        <v>5</v>
      </c>
      <c r="B2182" t="s">
        <v>1313</v>
      </c>
      <c r="C2182" s="185"/>
      <c r="D2182" t="s">
        <v>24</v>
      </c>
      <c r="E2182" t="s">
        <v>386</v>
      </c>
      <c r="F2182" t="s">
        <v>358</v>
      </c>
      <c r="G2182" t="s">
        <v>1197</v>
      </c>
      <c r="H2182" t="s">
        <v>9208</v>
      </c>
      <c r="I2182">
        <v>1023</v>
      </c>
      <c r="J2182" t="s">
        <v>49</v>
      </c>
      <c r="K2182" t="s">
        <v>8003</v>
      </c>
      <c r="L2182" t="s">
        <v>386</v>
      </c>
      <c r="M2182" t="s">
        <v>1193</v>
      </c>
      <c r="N2182">
        <v>15319</v>
      </c>
      <c r="O2182">
        <v>39</v>
      </c>
      <c r="Q2182" t="s">
        <v>9209</v>
      </c>
      <c r="R2182" t="s">
        <v>398</v>
      </c>
      <c r="S2182" t="s">
        <v>4594</v>
      </c>
      <c r="T2182">
        <v>470</v>
      </c>
      <c r="U2182">
        <v>0</v>
      </c>
      <c r="V2182" t="s">
        <v>4468</v>
      </c>
      <c r="W2182" t="s">
        <v>1194</v>
      </c>
      <c r="X2182">
        <v>220</v>
      </c>
      <c r="Y2182" t="s">
        <v>1317</v>
      </c>
      <c r="Z2182" t="s">
        <v>861</v>
      </c>
      <c r="AA2182" t="s">
        <v>387</v>
      </c>
      <c r="AB2182">
        <v>31000</v>
      </c>
      <c r="AC2182">
        <v>846</v>
      </c>
      <c r="AD2182" t="s">
        <v>9210</v>
      </c>
      <c r="AE2182">
        <v>395</v>
      </c>
      <c r="AF2182" t="s">
        <v>9211</v>
      </c>
      <c r="AG2182" t="s">
        <v>9212</v>
      </c>
    </row>
    <row r="2183" spans="1:34" x14ac:dyDescent="0.25">
      <c r="A2183">
        <v>5</v>
      </c>
      <c r="B2183" t="s">
        <v>1313</v>
      </c>
      <c r="C2183" s="185"/>
      <c r="D2183" t="s">
        <v>24</v>
      </c>
      <c r="E2183" t="s">
        <v>386</v>
      </c>
      <c r="F2183" t="s">
        <v>9213</v>
      </c>
      <c r="G2183" t="s">
        <v>1197</v>
      </c>
      <c r="H2183" t="s">
        <v>9214</v>
      </c>
      <c r="I2183">
        <v>866</v>
      </c>
      <c r="J2183" t="s">
        <v>9213</v>
      </c>
      <c r="K2183" t="s">
        <v>9215</v>
      </c>
      <c r="L2183" t="s">
        <v>386</v>
      </c>
      <c r="M2183" t="s">
        <v>1193</v>
      </c>
      <c r="N2183">
        <v>866</v>
      </c>
      <c r="O2183">
        <v>20</v>
      </c>
      <c r="Q2183" t="s">
        <v>9216</v>
      </c>
      <c r="R2183" t="s">
        <v>398</v>
      </c>
      <c r="S2183" t="s">
        <v>1315</v>
      </c>
      <c r="T2183">
        <v>0</v>
      </c>
      <c r="U2183">
        <v>0</v>
      </c>
      <c r="V2183" t="s">
        <v>1186</v>
      </c>
      <c r="Y2183" t="s">
        <v>1317</v>
      </c>
      <c r="Z2183" t="s">
        <v>861</v>
      </c>
      <c r="AA2183" t="s">
        <v>387</v>
      </c>
      <c r="AB2183">
        <v>14000</v>
      </c>
      <c r="AC2183">
        <v>703</v>
      </c>
      <c r="AD2183" t="s">
        <v>3645</v>
      </c>
      <c r="AE2183">
        <v>213</v>
      </c>
      <c r="AF2183" t="s">
        <v>9217</v>
      </c>
      <c r="AG2183" t="s">
        <v>9218</v>
      </c>
    </row>
    <row r="2184" spans="1:34" x14ac:dyDescent="0.25">
      <c r="A2184">
        <v>32</v>
      </c>
      <c r="C2184" s="185"/>
      <c r="E2184" t="s">
        <v>386</v>
      </c>
      <c r="F2184" t="s">
        <v>9219</v>
      </c>
      <c r="G2184" t="s">
        <v>1197</v>
      </c>
      <c r="H2184" t="s">
        <v>9220</v>
      </c>
      <c r="I2184">
        <v>12627</v>
      </c>
      <c r="J2184" t="s">
        <v>9219</v>
      </c>
      <c r="K2184" t="s">
        <v>9221</v>
      </c>
      <c r="L2184" t="s">
        <v>386</v>
      </c>
      <c r="M2184" t="s">
        <v>1193</v>
      </c>
      <c r="N2184">
        <v>12627</v>
      </c>
      <c r="O2184">
        <v>39</v>
      </c>
      <c r="Q2184" t="s">
        <v>9222</v>
      </c>
      <c r="R2184" t="s">
        <v>398</v>
      </c>
      <c r="T2184">
        <v>220</v>
      </c>
      <c r="V2184" t="s">
        <v>1194</v>
      </c>
      <c r="W2184" t="s">
        <v>1194</v>
      </c>
      <c r="X2184">
        <v>220</v>
      </c>
      <c r="Z2184" t="s">
        <v>874</v>
      </c>
      <c r="AA2184" t="s">
        <v>387</v>
      </c>
      <c r="AB2184">
        <v>31000</v>
      </c>
      <c r="AC2184">
        <v>4720</v>
      </c>
      <c r="AD2184" t="s">
        <v>9223</v>
      </c>
      <c r="AE2184">
        <v>2177</v>
      </c>
      <c r="AF2184" t="s">
        <v>9224</v>
      </c>
      <c r="AG2184" t="s">
        <v>2044</v>
      </c>
      <c r="AH2184" t="s">
        <v>9225</v>
      </c>
    </row>
    <row r="2185" spans="1:34" x14ac:dyDescent="0.25">
      <c r="A2185">
        <v>5</v>
      </c>
      <c r="B2185" t="s">
        <v>1313</v>
      </c>
      <c r="C2185" s="185"/>
      <c r="D2185" t="s">
        <v>24</v>
      </c>
      <c r="E2185" t="s">
        <v>386</v>
      </c>
      <c r="F2185" t="s">
        <v>9213</v>
      </c>
      <c r="G2185" t="s">
        <v>1197</v>
      </c>
      <c r="H2185" t="s">
        <v>9226</v>
      </c>
      <c r="I2185">
        <v>568</v>
      </c>
      <c r="J2185" t="s">
        <v>9213</v>
      </c>
      <c r="K2185" t="s">
        <v>9227</v>
      </c>
      <c r="L2185" t="s">
        <v>386</v>
      </c>
      <c r="M2185" t="s">
        <v>1193</v>
      </c>
      <c r="N2185">
        <v>568</v>
      </c>
      <c r="O2185">
        <v>20</v>
      </c>
      <c r="Q2185" t="s">
        <v>9228</v>
      </c>
      <c r="R2185" t="s">
        <v>398</v>
      </c>
      <c r="S2185" t="s">
        <v>1315</v>
      </c>
      <c r="T2185">
        <v>0</v>
      </c>
      <c r="U2185">
        <v>0</v>
      </c>
      <c r="V2185" t="s">
        <v>1186</v>
      </c>
      <c r="Y2185" t="s">
        <v>1317</v>
      </c>
      <c r="Z2185" t="s">
        <v>861</v>
      </c>
      <c r="AA2185" t="s">
        <v>387</v>
      </c>
      <c r="AB2185">
        <v>14000</v>
      </c>
      <c r="AC2185">
        <v>546</v>
      </c>
      <c r="AD2185" t="s">
        <v>9229</v>
      </c>
      <c r="AE2185">
        <v>248</v>
      </c>
      <c r="AF2185" t="s">
        <v>9230</v>
      </c>
      <c r="AG2185" t="s">
        <v>9231</v>
      </c>
      <c r="AH2185" t="s">
        <v>9232</v>
      </c>
    </row>
    <row r="2186" spans="1:34" x14ac:dyDescent="0.25">
      <c r="A2186">
        <v>1479</v>
      </c>
      <c r="C2186" s="185"/>
      <c r="E2186" t="s">
        <v>386</v>
      </c>
      <c r="F2186" t="s">
        <v>9233</v>
      </c>
      <c r="G2186" t="s">
        <v>1197</v>
      </c>
      <c r="H2186" t="s">
        <v>9234</v>
      </c>
      <c r="I2186">
        <v>15628</v>
      </c>
      <c r="J2186" t="s">
        <v>9233</v>
      </c>
      <c r="K2186" t="s">
        <v>9233</v>
      </c>
      <c r="L2186" t="s">
        <v>386</v>
      </c>
      <c r="M2186" t="s">
        <v>1193</v>
      </c>
      <c r="N2186">
        <v>15628</v>
      </c>
      <c r="O2186">
        <v>0</v>
      </c>
      <c r="Q2186" t="s">
        <v>9235</v>
      </c>
      <c r="T2186">
        <v>260</v>
      </c>
      <c r="V2186" t="s">
        <v>1216</v>
      </c>
      <c r="W2186" t="s">
        <v>1216</v>
      </c>
      <c r="X2186">
        <v>260</v>
      </c>
      <c r="Z2186" t="s">
        <v>2665</v>
      </c>
      <c r="AA2186" t="s">
        <v>387</v>
      </c>
      <c r="AB2186">
        <v>0</v>
      </c>
      <c r="AC2186">
        <v>5893</v>
      </c>
      <c r="AD2186" t="s">
        <v>9236</v>
      </c>
      <c r="AE2186">
        <v>117</v>
      </c>
      <c r="AF2186" t="s">
        <v>8491</v>
      </c>
      <c r="AG2186" t="s">
        <v>2080</v>
      </c>
      <c r="AH2186" t="s">
        <v>9237</v>
      </c>
    </row>
    <row r="2187" spans="1:34" x14ac:dyDescent="0.25">
      <c r="A2187">
        <v>5</v>
      </c>
      <c r="B2187" t="s">
        <v>1313</v>
      </c>
      <c r="C2187" s="185"/>
      <c r="D2187" t="s">
        <v>24</v>
      </c>
      <c r="E2187" t="s">
        <v>386</v>
      </c>
      <c r="F2187" t="s">
        <v>9238</v>
      </c>
      <c r="G2187" t="s">
        <v>1197</v>
      </c>
      <c r="H2187" t="s">
        <v>8918</v>
      </c>
      <c r="I2187">
        <v>1495</v>
      </c>
      <c r="J2187" t="s">
        <v>9238</v>
      </c>
      <c r="K2187" t="s">
        <v>9239</v>
      </c>
      <c r="L2187" t="s">
        <v>386</v>
      </c>
      <c r="M2187" t="s">
        <v>1193</v>
      </c>
      <c r="N2187">
        <v>1495</v>
      </c>
      <c r="O2187">
        <v>39</v>
      </c>
      <c r="Q2187" t="s">
        <v>9240</v>
      </c>
      <c r="R2187" t="s">
        <v>398</v>
      </c>
      <c r="S2187" t="s">
        <v>1909</v>
      </c>
      <c r="T2187">
        <v>220</v>
      </c>
      <c r="U2187">
        <v>0</v>
      </c>
      <c r="V2187" t="s">
        <v>1194</v>
      </c>
      <c r="W2187" t="s">
        <v>2144</v>
      </c>
      <c r="X2187">
        <v>39</v>
      </c>
      <c r="Y2187" t="s">
        <v>1317</v>
      </c>
      <c r="Z2187" t="s">
        <v>861</v>
      </c>
      <c r="AA2187" t="s">
        <v>387</v>
      </c>
      <c r="AB2187">
        <v>31000</v>
      </c>
      <c r="AC2187">
        <v>477</v>
      </c>
      <c r="AD2187" t="s">
        <v>9169</v>
      </c>
      <c r="AE2187">
        <v>542</v>
      </c>
      <c r="AF2187" t="s">
        <v>9241</v>
      </c>
      <c r="AG2187" t="s">
        <v>1931</v>
      </c>
      <c r="AH2187" t="s">
        <v>9242</v>
      </c>
    </row>
    <row r="2188" spans="1:34" x14ac:dyDescent="0.25">
      <c r="A2188">
        <v>362</v>
      </c>
      <c r="C2188" s="185"/>
      <c r="E2188" t="s">
        <v>386</v>
      </c>
      <c r="F2188" t="s">
        <v>9243</v>
      </c>
      <c r="G2188" t="s">
        <v>1197</v>
      </c>
      <c r="H2188" t="s">
        <v>9154</v>
      </c>
      <c r="I2188">
        <v>17283</v>
      </c>
      <c r="J2188" t="s">
        <v>9243</v>
      </c>
      <c r="K2188" t="s">
        <v>9244</v>
      </c>
      <c r="L2188" t="s">
        <v>386</v>
      </c>
      <c r="M2188" t="s">
        <v>1193</v>
      </c>
      <c r="N2188">
        <v>17283</v>
      </c>
      <c r="O2188">
        <v>0</v>
      </c>
      <c r="Q2188" t="s">
        <v>9245</v>
      </c>
      <c r="T2188">
        <v>52</v>
      </c>
      <c r="V2188" t="s">
        <v>2024</v>
      </c>
      <c r="W2188" t="s">
        <v>1964</v>
      </c>
      <c r="X2188">
        <v>473</v>
      </c>
      <c r="Z2188" t="s">
        <v>2158</v>
      </c>
      <c r="AA2188" t="s">
        <v>387</v>
      </c>
      <c r="AB2188">
        <v>0</v>
      </c>
      <c r="AC2188">
        <v>1061</v>
      </c>
      <c r="AD2188" t="s">
        <v>1195</v>
      </c>
      <c r="AE2188">
        <v>3000</v>
      </c>
      <c r="AF2188" t="s">
        <v>9246</v>
      </c>
      <c r="AG2188" t="s">
        <v>9247</v>
      </c>
      <c r="AH2188" t="s">
        <v>9248</v>
      </c>
    </row>
    <row r="2189" spans="1:34" x14ac:dyDescent="0.25">
      <c r="A2189">
        <v>1863</v>
      </c>
      <c r="C2189" s="185"/>
      <c r="E2189" t="s">
        <v>386</v>
      </c>
      <c r="F2189" t="s">
        <v>9249</v>
      </c>
      <c r="G2189" t="s">
        <v>1197</v>
      </c>
      <c r="H2189" t="s">
        <v>9250</v>
      </c>
      <c r="I2189">
        <v>14071</v>
      </c>
      <c r="J2189" t="s">
        <v>9249</v>
      </c>
      <c r="K2189" t="s">
        <v>9251</v>
      </c>
      <c r="L2189" t="s">
        <v>386</v>
      </c>
      <c r="M2189" t="s">
        <v>1193</v>
      </c>
      <c r="N2189">
        <v>14071</v>
      </c>
      <c r="O2189">
        <v>0</v>
      </c>
      <c r="Q2189" t="s">
        <v>9252</v>
      </c>
      <c r="R2189" t="s">
        <v>398</v>
      </c>
      <c r="T2189">
        <v>103</v>
      </c>
      <c r="V2189" t="s">
        <v>1530</v>
      </c>
      <c r="W2189" t="s">
        <v>1530</v>
      </c>
      <c r="X2189">
        <v>103</v>
      </c>
      <c r="Z2189" t="s">
        <v>9253</v>
      </c>
      <c r="AA2189" t="s">
        <v>387</v>
      </c>
      <c r="AB2189">
        <v>0</v>
      </c>
      <c r="AC2189">
        <v>3791</v>
      </c>
      <c r="AD2189" t="s">
        <v>9254</v>
      </c>
      <c r="AE2189">
        <v>2467</v>
      </c>
      <c r="AF2189" t="s">
        <v>9255</v>
      </c>
      <c r="AG2189" t="s">
        <v>3730</v>
      </c>
      <c r="AH2189" t="s">
        <v>9256</v>
      </c>
    </row>
    <row r="2190" spans="1:34" x14ac:dyDescent="0.25">
      <c r="A2190">
        <v>5</v>
      </c>
      <c r="C2190" s="185"/>
      <c r="E2190" t="s">
        <v>386</v>
      </c>
      <c r="F2190" t="s">
        <v>9257</v>
      </c>
      <c r="G2190" t="s">
        <v>1197</v>
      </c>
      <c r="H2190" t="s">
        <v>9208</v>
      </c>
      <c r="I2190">
        <v>10476</v>
      </c>
      <c r="J2190" t="s">
        <v>9257</v>
      </c>
      <c r="K2190" t="s">
        <v>9258</v>
      </c>
      <c r="L2190" t="s">
        <v>386</v>
      </c>
      <c r="M2190" t="s">
        <v>1193</v>
      </c>
      <c r="N2190">
        <v>10476</v>
      </c>
      <c r="O2190">
        <v>31</v>
      </c>
      <c r="Q2190" t="s">
        <v>9259</v>
      </c>
      <c r="R2190" t="s">
        <v>398</v>
      </c>
      <c r="T2190">
        <v>220</v>
      </c>
      <c r="V2190" t="s">
        <v>1194</v>
      </c>
      <c r="W2190" t="s">
        <v>2067</v>
      </c>
      <c r="X2190">
        <v>304</v>
      </c>
      <c r="Z2190" t="s">
        <v>861</v>
      </c>
      <c r="AA2190" t="s">
        <v>387</v>
      </c>
      <c r="AB2190">
        <v>23000</v>
      </c>
      <c r="AC2190">
        <v>166</v>
      </c>
      <c r="AD2190" t="s">
        <v>9260</v>
      </c>
      <c r="AE2190">
        <v>1865</v>
      </c>
      <c r="AF2190" t="s">
        <v>9261</v>
      </c>
      <c r="AG2190" t="s">
        <v>1244</v>
      </c>
      <c r="AH2190" t="s">
        <v>9262</v>
      </c>
    </row>
    <row r="2191" spans="1:34" x14ac:dyDescent="0.25">
      <c r="A2191">
        <v>5</v>
      </c>
      <c r="B2191" t="s">
        <v>1313</v>
      </c>
      <c r="C2191" s="185"/>
      <c r="D2191" t="s">
        <v>24</v>
      </c>
      <c r="E2191" t="s">
        <v>386</v>
      </c>
      <c r="F2191" t="s">
        <v>431</v>
      </c>
      <c r="G2191" t="s">
        <v>1197</v>
      </c>
      <c r="H2191" t="s">
        <v>9263</v>
      </c>
      <c r="I2191">
        <v>7102</v>
      </c>
      <c r="J2191" t="s">
        <v>676</v>
      </c>
      <c r="K2191" t="s">
        <v>7785</v>
      </c>
      <c r="L2191" t="s">
        <v>386</v>
      </c>
      <c r="M2191" t="s">
        <v>1193</v>
      </c>
      <c r="N2191">
        <v>15336</v>
      </c>
      <c r="O2191">
        <v>39</v>
      </c>
      <c r="Q2191" t="s">
        <v>9264</v>
      </c>
      <c r="R2191" t="s">
        <v>398</v>
      </c>
      <c r="S2191" t="s">
        <v>2293</v>
      </c>
      <c r="T2191">
        <v>220</v>
      </c>
      <c r="U2191">
        <v>0</v>
      </c>
      <c r="V2191" t="s">
        <v>1194</v>
      </c>
      <c r="W2191" t="s">
        <v>1530</v>
      </c>
      <c r="X2191">
        <v>103</v>
      </c>
      <c r="Y2191" t="s">
        <v>1317</v>
      </c>
      <c r="Z2191" t="s">
        <v>861</v>
      </c>
      <c r="AA2191" t="s">
        <v>387</v>
      </c>
      <c r="AB2191">
        <v>31000</v>
      </c>
      <c r="AC2191">
        <v>3101</v>
      </c>
      <c r="AD2191" t="s">
        <v>9265</v>
      </c>
      <c r="AE2191">
        <v>3</v>
      </c>
      <c r="AF2191" t="s">
        <v>1235</v>
      </c>
      <c r="AG2191" t="s">
        <v>3733</v>
      </c>
      <c r="AH2191" t="s">
        <v>7788</v>
      </c>
    </row>
    <row r="2192" spans="1:34" x14ac:dyDescent="0.25">
      <c r="A2192">
        <v>1589</v>
      </c>
      <c r="C2192" s="185"/>
      <c r="D2192" t="s">
        <v>157</v>
      </c>
      <c r="E2192" t="s">
        <v>386</v>
      </c>
      <c r="F2192" t="s">
        <v>9266</v>
      </c>
      <c r="G2192" t="s">
        <v>1238</v>
      </c>
      <c r="H2192" t="s">
        <v>8931</v>
      </c>
      <c r="I2192">
        <v>12428</v>
      </c>
      <c r="J2192" t="s">
        <v>9266</v>
      </c>
      <c r="K2192" t="s">
        <v>9267</v>
      </c>
      <c r="L2192" t="s">
        <v>386</v>
      </c>
      <c r="M2192" t="s">
        <v>1184</v>
      </c>
      <c r="N2192">
        <v>12428</v>
      </c>
      <c r="O2192">
        <v>41</v>
      </c>
      <c r="Q2192" t="s">
        <v>9268</v>
      </c>
      <c r="T2192">
        <v>52</v>
      </c>
      <c r="V2192" t="s">
        <v>2024</v>
      </c>
      <c r="W2192" t="s">
        <v>3321</v>
      </c>
      <c r="X2192">
        <v>246</v>
      </c>
      <c r="Z2192" t="s">
        <v>8934</v>
      </c>
      <c r="AA2192" t="s">
        <v>387</v>
      </c>
      <c r="AB2192">
        <v>0</v>
      </c>
      <c r="AC2192">
        <v>4670</v>
      </c>
      <c r="AD2192" t="s">
        <v>9269</v>
      </c>
      <c r="AE2192">
        <v>18</v>
      </c>
      <c r="AF2192" t="s">
        <v>1259</v>
      </c>
      <c r="AG2192" t="s">
        <v>1244</v>
      </c>
      <c r="AH2192" t="s">
        <v>9270</v>
      </c>
    </row>
    <row r="2193" spans="1:34" x14ac:dyDescent="0.25">
      <c r="A2193">
        <v>1737</v>
      </c>
      <c r="C2193" s="185"/>
      <c r="D2193" t="s">
        <v>24</v>
      </c>
      <c r="E2193" t="s">
        <v>386</v>
      </c>
      <c r="F2193" t="s">
        <v>9271</v>
      </c>
      <c r="G2193" t="s">
        <v>1197</v>
      </c>
      <c r="H2193" t="s">
        <v>9272</v>
      </c>
      <c r="I2193">
        <v>6145</v>
      </c>
      <c r="J2193" t="s">
        <v>9271</v>
      </c>
      <c r="K2193" t="s">
        <v>9273</v>
      </c>
      <c r="L2193" t="s">
        <v>386</v>
      </c>
      <c r="M2193" t="s">
        <v>1193</v>
      </c>
      <c r="N2193">
        <v>6145</v>
      </c>
      <c r="O2193">
        <v>0</v>
      </c>
      <c r="Q2193" t="s">
        <v>9274</v>
      </c>
      <c r="R2193" t="s">
        <v>398</v>
      </c>
      <c r="T2193">
        <v>52</v>
      </c>
      <c r="V2193" t="s">
        <v>2024</v>
      </c>
      <c r="Z2193" t="s">
        <v>9275</v>
      </c>
      <c r="AA2193" t="s">
        <v>387</v>
      </c>
      <c r="AB2193">
        <v>14000</v>
      </c>
      <c r="AC2193">
        <v>477</v>
      </c>
      <c r="AD2193" t="s">
        <v>9169</v>
      </c>
      <c r="AE2193">
        <v>3</v>
      </c>
      <c r="AF2193" t="s">
        <v>1235</v>
      </c>
      <c r="AG2193" t="s">
        <v>1244</v>
      </c>
      <c r="AH2193" t="s">
        <v>9276</v>
      </c>
    </row>
    <row r="2194" spans="1:34" x14ac:dyDescent="0.25">
      <c r="A2194">
        <v>1321</v>
      </c>
      <c r="B2194" t="s">
        <v>1313</v>
      </c>
      <c r="C2194" s="185"/>
      <c r="D2194" t="s">
        <v>24</v>
      </c>
      <c r="E2194" t="s">
        <v>386</v>
      </c>
      <c r="F2194" t="s">
        <v>353</v>
      </c>
      <c r="G2194" t="s">
        <v>1197</v>
      </c>
      <c r="H2194" t="s">
        <v>9277</v>
      </c>
      <c r="I2194">
        <v>1953</v>
      </c>
      <c r="J2194" t="s">
        <v>66</v>
      </c>
      <c r="K2194" t="s">
        <v>4592</v>
      </c>
      <c r="L2194" t="s">
        <v>386</v>
      </c>
      <c r="M2194" t="s">
        <v>1193</v>
      </c>
      <c r="N2194">
        <v>15320</v>
      </c>
      <c r="O2194">
        <v>39</v>
      </c>
      <c r="Q2194" t="s">
        <v>9278</v>
      </c>
      <c r="R2194" t="s">
        <v>398</v>
      </c>
      <c r="S2194" t="s">
        <v>4594</v>
      </c>
      <c r="T2194">
        <v>220</v>
      </c>
      <c r="U2194">
        <v>0</v>
      </c>
      <c r="V2194" t="s">
        <v>1194</v>
      </c>
      <c r="W2194" t="s">
        <v>5678</v>
      </c>
      <c r="X2194">
        <v>449</v>
      </c>
      <c r="Y2194" t="s">
        <v>1317</v>
      </c>
      <c r="Z2194" t="s">
        <v>1008</v>
      </c>
      <c r="AA2194" t="s">
        <v>387</v>
      </c>
      <c r="AB2194">
        <v>31000</v>
      </c>
      <c r="AC2194">
        <v>1447</v>
      </c>
      <c r="AD2194" t="s">
        <v>9279</v>
      </c>
      <c r="AE2194">
        <v>0</v>
      </c>
      <c r="AF2194" t="s">
        <v>1188</v>
      </c>
      <c r="AG2194" t="s">
        <v>1931</v>
      </c>
      <c r="AH2194" t="s">
        <v>4597</v>
      </c>
    </row>
    <row r="2195" spans="1:34" x14ac:dyDescent="0.25">
      <c r="A2195">
        <v>1479</v>
      </c>
      <c r="C2195" s="185"/>
      <c r="E2195" t="s">
        <v>386</v>
      </c>
      <c r="F2195" t="s">
        <v>9280</v>
      </c>
      <c r="G2195" t="s">
        <v>1197</v>
      </c>
      <c r="H2195" t="s">
        <v>9281</v>
      </c>
      <c r="I2195">
        <v>13436</v>
      </c>
      <c r="J2195" t="s">
        <v>9280</v>
      </c>
      <c r="K2195" t="s">
        <v>9282</v>
      </c>
      <c r="L2195" t="s">
        <v>386</v>
      </c>
      <c r="M2195" t="s">
        <v>1193</v>
      </c>
      <c r="N2195">
        <v>13436</v>
      </c>
      <c r="O2195">
        <v>0</v>
      </c>
      <c r="Q2195" t="s">
        <v>9283</v>
      </c>
      <c r="T2195">
        <v>304</v>
      </c>
      <c r="V2195" t="s">
        <v>2067</v>
      </c>
      <c r="W2195" t="s">
        <v>1216</v>
      </c>
      <c r="X2195">
        <v>260</v>
      </c>
      <c r="Z2195" t="s">
        <v>2665</v>
      </c>
      <c r="AA2195" t="s">
        <v>387</v>
      </c>
      <c r="AB2195">
        <v>0</v>
      </c>
      <c r="AC2195">
        <v>349</v>
      </c>
      <c r="AD2195" t="s">
        <v>9284</v>
      </c>
      <c r="AE2195">
        <v>277</v>
      </c>
      <c r="AF2195" t="s">
        <v>9285</v>
      </c>
      <c r="AG2195" t="s">
        <v>9286</v>
      </c>
      <c r="AH2195" t="s">
        <v>9287</v>
      </c>
    </row>
    <row r="2196" spans="1:34" x14ac:dyDescent="0.25">
      <c r="A2196">
        <v>1342</v>
      </c>
      <c r="C2196" s="185"/>
      <c r="E2196" t="s">
        <v>386</v>
      </c>
      <c r="F2196" t="s">
        <v>9288</v>
      </c>
      <c r="G2196" t="s">
        <v>1197</v>
      </c>
      <c r="H2196" t="s">
        <v>3092</v>
      </c>
      <c r="I2196">
        <v>13009</v>
      </c>
      <c r="J2196" t="s">
        <v>9288</v>
      </c>
      <c r="K2196" t="s">
        <v>9289</v>
      </c>
      <c r="L2196" t="s">
        <v>386</v>
      </c>
      <c r="M2196" t="s">
        <v>1193</v>
      </c>
      <c r="N2196">
        <v>13009</v>
      </c>
      <c r="O2196">
        <v>0</v>
      </c>
      <c r="Q2196" t="s">
        <v>9290</v>
      </c>
      <c r="R2196" t="s">
        <v>398</v>
      </c>
      <c r="T2196">
        <v>571</v>
      </c>
      <c r="V2196" t="s">
        <v>2003</v>
      </c>
      <c r="W2196" t="s">
        <v>2073</v>
      </c>
      <c r="X2196">
        <v>372</v>
      </c>
      <c r="Z2196" t="s">
        <v>2156</v>
      </c>
      <c r="AA2196" t="s">
        <v>387</v>
      </c>
      <c r="AB2196">
        <v>0</v>
      </c>
      <c r="AC2196">
        <v>215</v>
      </c>
      <c r="AD2196" t="s">
        <v>9291</v>
      </c>
      <c r="AE2196">
        <v>57</v>
      </c>
      <c r="AF2196" t="s">
        <v>4069</v>
      </c>
      <c r="AG2196" t="s">
        <v>9292</v>
      </c>
      <c r="AH2196" t="s">
        <v>9293</v>
      </c>
    </row>
    <row r="2197" spans="1:34" x14ac:dyDescent="0.25">
      <c r="A2197">
        <v>1456</v>
      </c>
      <c r="B2197" t="s">
        <v>1313</v>
      </c>
      <c r="C2197" s="185"/>
      <c r="D2197" t="s">
        <v>24</v>
      </c>
      <c r="E2197" t="s">
        <v>386</v>
      </c>
      <c r="F2197" t="s">
        <v>489</v>
      </c>
      <c r="G2197" t="s">
        <v>1197</v>
      </c>
      <c r="H2197" t="s">
        <v>3955</v>
      </c>
      <c r="I2197">
        <v>5182</v>
      </c>
      <c r="J2197" t="s">
        <v>82</v>
      </c>
      <c r="K2197" t="s">
        <v>9294</v>
      </c>
      <c r="L2197" t="s">
        <v>386</v>
      </c>
      <c r="M2197" t="s">
        <v>1193</v>
      </c>
      <c r="N2197">
        <v>15332</v>
      </c>
      <c r="O2197">
        <v>68</v>
      </c>
      <c r="Q2197" t="s">
        <v>9295</v>
      </c>
      <c r="R2197" t="s">
        <v>398</v>
      </c>
      <c r="S2197" t="s">
        <v>1909</v>
      </c>
      <c r="T2197">
        <v>220</v>
      </c>
      <c r="U2197">
        <v>0</v>
      </c>
      <c r="V2197" t="s">
        <v>1194</v>
      </c>
      <c r="W2197" t="s">
        <v>2186</v>
      </c>
      <c r="X2197">
        <v>396</v>
      </c>
      <c r="Y2197" t="s">
        <v>1317</v>
      </c>
      <c r="Z2197" t="s">
        <v>915</v>
      </c>
      <c r="AA2197" t="s">
        <v>387</v>
      </c>
      <c r="AB2197">
        <v>60000</v>
      </c>
      <c r="AC2197">
        <v>6326</v>
      </c>
      <c r="AD2197" t="s">
        <v>9296</v>
      </c>
      <c r="AE2197">
        <v>2693</v>
      </c>
      <c r="AF2197" t="s">
        <v>3958</v>
      </c>
      <c r="AG2197" t="s">
        <v>1244</v>
      </c>
      <c r="AH2197" t="s">
        <v>9297</v>
      </c>
    </row>
    <row r="2198" spans="1:34" x14ac:dyDescent="0.25">
      <c r="A2198">
        <v>5</v>
      </c>
      <c r="B2198" t="s">
        <v>1313</v>
      </c>
      <c r="C2198" s="185"/>
      <c r="D2198" t="s">
        <v>157</v>
      </c>
      <c r="E2198" t="s">
        <v>386</v>
      </c>
      <c r="F2198" t="s">
        <v>9298</v>
      </c>
      <c r="G2198" t="s">
        <v>1197</v>
      </c>
      <c r="H2198" t="s">
        <v>8918</v>
      </c>
      <c r="I2198">
        <v>4588</v>
      </c>
      <c r="J2198" t="s">
        <v>9298</v>
      </c>
      <c r="K2198" t="s">
        <v>7797</v>
      </c>
      <c r="L2198" t="s">
        <v>386</v>
      </c>
      <c r="M2198" t="s">
        <v>1193</v>
      </c>
      <c r="N2198">
        <v>4588</v>
      </c>
      <c r="O2198">
        <v>20</v>
      </c>
      <c r="Q2198" t="s">
        <v>9299</v>
      </c>
      <c r="R2198" t="s">
        <v>398</v>
      </c>
      <c r="S2198" t="s">
        <v>1909</v>
      </c>
      <c r="T2198">
        <v>52</v>
      </c>
      <c r="U2198">
        <v>0</v>
      </c>
      <c r="V2198" t="s">
        <v>2024</v>
      </c>
      <c r="Y2198" t="s">
        <v>1317</v>
      </c>
      <c r="Z2198" t="s">
        <v>861</v>
      </c>
      <c r="AA2198" t="s">
        <v>387</v>
      </c>
      <c r="AB2198">
        <v>14000</v>
      </c>
      <c r="AC2198">
        <v>2367</v>
      </c>
      <c r="AD2198" t="s">
        <v>391</v>
      </c>
      <c r="AE2198">
        <v>1137</v>
      </c>
      <c r="AF2198" t="s">
        <v>9300</v>
      </c>
      <c r="AG2198" t="s">
        <v>1931</v>
      </c>
      <c r="AH2198" t="s">
        <v>7799</v>
      </c>
    </row>
    <row r="2199" spans="1:34" x14ac:dyDescent="0.25">
      <c r="A2199">
        <v>1737</v>
      </c>
      <c r="C2199" s="185"/>
      <c r="D2199" t="s">
        <v>157</v>
      </c>
      <c r="E2199" t="s">
        <v>386</v>
      </c>
      <c r="F2199" t="s">
        <v>9301</v>
      </c>
      <c r="G2199" t="s">
        <v>1238</v>
      </c>
      <c r="H2199" t="s">
        <v>9302</v>
      </c>
      <c r="I2199">
        <v>12423</v>
      </c>
      <c r="J2199" t="s">
        <v>9301</v>
      </c>
      <c r="K2199" t="s">
        <v>9303</v>
      </c>
      <c r="L2199" t="s">
        <v>386</v>
      </c>
      <c r="M2199" t="s">
        <v>1184</v>
      </c>
      <c r="N2199">
        <v>12423</v>
      </c>
      <c r="O2199">
        <v>0</v>
      </c>
      <c r="Q2199" t="s">
        <v>9304</v>
      </c>
      <c r="R2199" t="s">
        <v>398</v>
      </c>
      <c r="T2199">
        <v>304</v>
      </c>
      <c r="V2199" t="s">
        <v>2067</v>
      </c>
      <c r="Z2199" t="s">
        <v>9275</v>
      </c>
      <c r="AA2199" t="s">
        <v>387</v>
      </c>
      <c r="AB2199">
        <v>14000</v>
      </c>
      <c r="AC2199">
        <v>4664</v>
      </c>
      <c r="AD2199" t="s">
        <v>9305</v>
      </c>
      <c r="AE2199">
        <v>18</v>
      </c>
      <c r="AF2199" t="s">
        <v>1259</v>
      </c>
      <c r="AG2199" t="s">
        <v>1244</v>
      </c>
      <c r="AH2199" t="s">
        <v>9306</v>
      </c>
    </row>
    <row r="2200" spans="1:34" x14ac:dyDescent="0.25">
      <c r="A2200">
        <v>1589</v>
      </c>
      <c r="B2200" t="s">
        <v>1313</v>
      </c>
      <c r="C2200" s="185"/>
      <c r="D2200" t="s">
        <v>24</v>
      </c>
      <c r="E2200" t="s">
        <v>386</v>
      </c>
      <c r="F2200" t="s">
        <v>592</v>
      </c>
      <c r="G2200" t="s">
        <v>1197</v>
      </c>
      <c r="H2200" t="s">
        <v>8931</v>
      </c>
      <c r="I2200">
        <v>6981</v>
      </c>
      <c r="J2200" t="s">
        <v>9307</v>
      </c>
      <c r="K2200" t="s">
        <v>9308</v>
      </c>
      <c r="L2200" t="s">
        <v>386</v>
      </c>
      <c r="M2200" t="s">
        <v>1193</v>
      </c>
      <c r="N2200">
        <v>15323</v>
      </c>
      <c r="O2200">
        <v>68</v>
      </c>
      <c r="Q2200" t="s">
        <v>9309</v>
      </c>
      <c r="R2200" t="s">
        <v>398</v>
      </c>
      <c r="S2200" t="s">
        <v>7404</v>
      </c>
      <c r="T2200">
        <v>259</v>
      </c>
      <c r="U2200">
        <v>0</v>
      </c>
      <c r="V2200" t="s">
        <v>1215</v>
      </c>
      <c r="W2200" t="s">
        <v>1194</v>
      </c>
      <c r="X2200">
        <v>220</v>
      </c>
      <c r="Y2200" t="s">
        <v>1317</v>
      </c>
      <c r="Z2200" t="s">
        <v>8934</v>
      </c>
      <c r="AA2200" t="s">
        <v>387</v>
      </c>
      <c r="AB2200">
        <v>60000</v>
      </c>
      <c r="AC2200">
        <v>477</v>
      </c>
      <c r="AD2200" t="s">
        <v>9169</v>
      </c>
      <c r="AE2200">
        <v>3</v>
      </c>
      <c r="AF2200" t="s">
        <v>1235</v>
      </c>
      <c r="AG2200" t="s">
        <v>1244</v>
      </c>
      <c r="AH2200" t="s">
        <v>9310</v>
      </c>
    </row>
    <row r="2201" spans="1:34" x14ac:dyDescent="0.25">
      <c r="A2201">
        <v>1479</v>
      </c>
      <c r="C2201" s="185"/>
      <c r="E2201" t="s">
        <v>386</v>
      </c>
      <c r="F2201" t="s">
        <v>9311</v>
      </c>
      <c r="G2201" t="s">
        <v>1197</v>
      </c>
      <c r="H2201" t="s">
        <v>3576</v>
      </c>
      <c r="I2201">
        <v>16864</v>
      </c>
      <c r="J2201" t="s">
        <v>9311</v>
      </c>
      <c r="K2201" t="s">
        <v>9312</v>
      </c>
      <c r="L2201" t="s">
        <v>386</v>
      </c>
      <c r="M2201" t="s">
        <v>1193</v>
      </c>
      <c r="N2201">
        <v>16864</v>
      </c>
      <c r="O2201">
        <v>0</v>
      </c>
      <c r="Q2201" t="s">
        <v>9313</v>
      </c>
      <c r="T2201">
        <v>52</v>
      </c>
      <c r="V2201" t="s">
        <v>2024</v>
      </c>
      <c r="W2201" t="s">
        <v>5803</v>
      </c>
      <c r="X2201">
        <v>509</v>
      </c>
      <c r="Z2201" t="s">
        <v>2665</v>
      </c>
      <c r="AA2201" t="s">
        <v>387</v>
      </c>
      <c r="AB2201">
        <v>0</v>
      </c>
      <c r="AC2201">
        <v>4680</v>
      </c>
      <c r="AD2201" t="s">
        <v>3577</v>
      </c>
      <c r="AE2201">
        <v>2257</v>
      </c>
      <c r="AF2201" t="s">
        <v>3578</v>
      </c>
      <c r="AG2201" t="s">
        <v>7730</v>
      </c>
      <c r="AH2201" t="s">
        <v>9314</v>
      </c>
    </row>
    <row r="2202" spans="1:34" x14ac:dyDescent="0.25">
      <c r="A2202">
        <v>1590</v>
      </c>
      <c r="B2202" t="s">
        <v>1313</v>
      </c>
      <c r="C2202" s="185"/>
      <c r="D2202" t="s">
        <v>24</v>
      </c>
      <c r="E2202" t="s">
        <v>386</v>
      </c>
      <c r="F2202" t="s">
        <v>358</v>
      </c>
      <c r="G2202" t="s">
        <v>1197</v>
      </c>
      <c r="H2202" t="s">
        <v>9315</v>
      </c>
      <c r="I2202">
        <v>5053</v>
      </c>
      <c r="J2202" t="s">
        <v>223</v>
      </c>
      <c r="K2202" t="s">
        <v>7857</v>
      </c>
      <c r="L2202" t="s">
        <v>386</v>
      </c>
      <c r="M2202" t="s">
        <v>1193</v>
      </c>
      <c r="N2202">
        <v>15319</v>
      </c>
      <c r="O2202">
        <v>39</v>
      </c>
      <c r="Q2202" t="s">
        <v>9316</v>
      </c>
      <c r="R2202" t="s">
        <v>398</v>
      </c>
      <c r="S2202" t="s">
        <v>4594</v>
      </c>
      <c r="T2202">
        <v>340</v>
      </c>
      <c r="U2202">
        <v>0</v>
      </c>
      <c r="V2202" t="s">
        <v>1200</v>
      </c>
      <c r="W2202" t="s">
        <v>1200</v>
      </c>
      <c r="X2202">
        <v>340</v>
      </c>
      <c r="Y2202" t="s">
        <v>1317</v>
      </c>
      <c r="Z2202" t="s">
        <v>842</v>
      </c>
      <c r="AA2202" t="s">
        <v>387</v>
      </c>
      <c r="AB2202">
        <v>31000</v>
      </c>
      <c r="AC2202">
        <v>6329</v>
      </c>
      <c r="AD2202" t="s">
        <v>9317</v>
      </c>
      <c r="AE2202">
        <v>18</v>
      </c>
      <c r="AF2202" t="s">
        <v>1259</v>
      </c>
      <c r="AG2202" t="s">
        <v>2044</v>
      </c>
      <c r="AH2202" t="s">
        <v>7861</v>
      </c>
    </row>
    <row r="2203" spans="1:34" x14ac:dyDescent="0.25">
      <c r="A2203">
        <v>1342</v>
      </c>
      <c r="C2203" s="185"/>
      <c r="D2203" t="s">
        <v>157</v>
      </c>
      <c r="E2203" t="s">
        <v>386</v>
      </c>
      <c r="F2203" t="s">
        <v>6666</v>
      </c>
      <c r="G2203" t="s">
        <v>1197</v>
      </c>
      <c r="H2203" t="s">
        <v>3092</v>
      </c>
      <c r="I2203">
        <v>6917</v>
      </c>
      <c r="J2203" t="s">
        <v>6666</v>
      </c>
      <c r="K2203" t="s">
        <v>6666</v>
      </c>
      <c r="L2203" t="s">
        <v>386</v>
      </c>
      <c r="M2203" t="s">
        <v>1193</v>
      </c>
      <c r="N2203">
        <v>6917</v>
      </c>
      <c r="O2203">
        <v>30</v>
      </c>
      <c r="Q2203" t="s">
        <v>9318</v>
      </c>
      <c r="T2203">
        <v>260</v>
      </c>
      <c r="V2203" t="s">
        <v>1216</v>
      </c>
      <c r="Z2203" t="s">
        <v>2156</v>
      </c>
      <c r="AA2203" t="s">
        <v>387</v>
      </c>
      <c r="AB2203">
        <v>0</v>
      </c>
      <c r="AC2203">
        <v>3053</v>
      </c>
      <c r="AD2203" t="s">
        <v>3476</v>
      </c>
      <c r="AE2203">
        <v>138</v>
      </c>
      <c r="AF2203" t="s">
        <v>2509</v>
      </c>
      <c r="AG2203" t="s">
        <v>9319</v>
      </c>
      <c r="AH2203" t="s">
        <v>9320</v>
      </c>
    </row>
    <row r="2204" spans="1:34" x14ac:dyDescent="0.25">
      <c r="A2204">
        <v>32</v>
      </c>
      <c r="B2204" t="s">
        <v>1313</v>
      </c>
      <c r="C2204" s="185"/>
      <c r="D2204" t="s">
        <v>24</v>
      </c>
      <c r="E2204" t="s">
        <v>386</v>
      </c>
      <c r="F2204" t="s">
        <v>355</v>
      </c>
      <c r="G2204" t="s">
        <v>1197</v>
      </c>
      <c r="H2204" t="s">
        <v>3843</v>
      </c>
      <c r="I2204">
        <v>488</v>
      </c>
      <c r="J2204" t="s">
        <v>9321</v>
      </c>
      <c r="K2204" t="s">
        <v>8187</v>
      </c>
      <c r="L2204" t="s">
        <v>386</v>
      </c>
      <c r="M2204" t="s">
        <v>1193</v>
      </c>
      <c r="N2204">
        <v>15325</v>
      </c>
      <c r="O2204">
        <v>39</v>
      </c>
      <c r="Q2204" t="s">
        <v>9322</v>
      </c>
      <c r="R2204" t="s">
        <v>398</v>
      </c>
      <c r="S2204" t="s">
        <v>1909</v>
      </c>
      <c r="T2204">
        <v>220</v>
      </c>
      <c r="U2204">
        <v>0</v>
      </c>
      <c r="V2204" t="s">
        <v>1194</v>
      </c>
      <c r="W2204" t="s">
        <v>2107</v>
      </c>
      <c r="X2204">
        <v>272</v>
      </c>
      <c r="Y2204" t="s">
        <v>1317</v>
      </c>
      <c r="Z2204" t="s">
        <v>874</v>
      </c>
      <c r="AA2204" t="s">
        <v>387</v>
      </c>
      <c r="AB2204">
        <v>31000</v>
      </c>
      <c r="AC2204">
        <v>477</v>
      </c>
      <c r="AD2204" t="s">
        <v>9169</v>
      </c>
      <c r="AE2204">
        <v>149</v>
      </c>
      <c r="AF2204" t="s">
        <v>9042</v>
      </c>
      <c r="AG2204" t="s">
        <v>1931</v>
      </c>
      <c r="AH2204" t="s">
        <v>9323</v>
      </c>
    </row>
    <row r="2205" spans="1:34" x14ac:dyDescent="0.25">
      <c r="A2205">
        <v>1456</v>
      </c>
      <c r="B2205" t="s">
        <v>1313</v>
      </c>
      <c r="C2205" s="185"/>
      <c r="D2205" t="s">
        <v>24</v>
      </c>
      <c r="E2205" t="s">
        <v>386</v>
      </c>
      <c r="F2205" t="s">
        <v>450</v>
      </c>
      <c r="G2205" t="s">
        <v>1197</v>
      </c>
      <c r="H2205" t="s">
        <v>9324</v>
      </c>
      <c r="I2205">
        <v>2588</v>
      </c>
      <c r="J2205" t="s">
        <v>70</v>
      </c>
      <c r="K2205" t="s">
        <v>6366</v>
      </c>
      <c r="L2205" t="s">
        <v>386</v>
      </c>
      <c r="M2205" t="s">
        <v>1193</v>
      </c>
      <c r="N2205">
        <v>15720</v>
      </c>
      <c r="O2205">
        <v>68</v>
      </c>
      <c r="Q2205" t="s">
        <v>9325</v>
      </c>
      <c r="R2205" t="s">
        <v>398</v>
      </c>
      <c r="S2205" t="s">
        <v>4594</v>
      </c>
      <c r="T2205">
        <v>470</v>
      </c>
      <c r="U2205">
        <v>0</v>
      </c>
      <c r="V2205" t="s">
        <v>4468</v>
      </c>
      <c r="W2205" t="s">
        <v>1194</v>
      </c>
      <c r="X2205">
        <v>220</v>
      </c>
      <c r="Y2205" t="s">
        <v>1317</v>
      </c>
      <c r="Z2205" t="s">
        <v>915</v>
      </c>
      <c r="AA2205" t="s">
        <v>387</v>
      </c>
      <c r="AB2205">
        <v>60000</v>
      </c>
      <c r="AC2205">
        <v>1996</v>
      </c>
      <c r="AD2205" t="s">
        <v>9326</v>
      </c>
      <c r="AE2205">
        <v>962</v>
      </c>
      <c r="AF2205" t="s">
        <v>9327</v>
      </c>
      <c r="AG2205" t="s">
        <v>1244</v>
      </c>
      <c r="AH2205" t="s">
        <v>9328</v>
      </c>
    </row>
    <row r="2206" spans="1:34" x14ac:dyDescent="0.25">
      <c r="A2206">
        <v>1776</v>
      </c>
      <c r="C2206" s="185"/>
      <c r="E2206" t="s">
        <v>386</v>
      </c>
      <c r="F2206" t="s">
        <v>9329</v>
      </c>
      <c r="G2206" t="s">
        <v>1238</v>
      </c>
      <c r="H2206" t="s">
        <v>4945</v>
      </c>
      <c r="I2206">
        <v>15155</v>
      </c>
      <c r="J2206" t="s">
        <v>9329</v>
      </c>
      <c r="K2206" t="s">
        <v>9330</v>
      </c>
      <c r="L2206" t="s">
        <v>386</v>
      </c>
      <c r="M2206" t="s">
        <v>1184</v>
      </c>
      <c r="N2206">
        <v>15155</v>
      </c>
      <c r="O2206">
        <v>0</v>
      </c>
      <c r="Q2206" t="s">
        <v>9331</v>
      </c>
      <c r="T2206">
        <v>571</v>
      </c>
      <c r="V2206" t="s">
        <v>2003</v>
      </c>
      <c r="W2206" t="s">
        <v>1216</v>
      </c>
      <c r="X2206">
        <v>260</v>
      </c>
      <c r="Z2206" t="s">
        <v>4948</v>
      </c>
      <c r="AA2206" t="s">
        <v>387</v>
      </c>
      <c r="AB2206">
        <v>0</v>
      </c>
      <c r="AC2206">
        <v>5749</v>
      </c>
      <c r="AD2206" t="s">
        <v>9332</v>
      </c>
      <c r="AE2206">
        <v>18</v>
      </c>
      <c r="AF2206" t="s">
        <v>1259</v>
      </c>
      <c r="AG2206" t="s">
        <v>1244</v>
      </c>
      <c r="AH2206" t="s">
        <v>9333</v>
      </c>
    </row>
    <row r="2207" spans="1:34" x14ac:dyDescent="0.25">
      <c r="A2207">
        <v>5</v>
      </c>
      <c r="B2207" t="s">
        <v>1313</v>
      </c>
      <c r="C2207" s="185"/>
      <c r="D2207" t="s">
        <v>24</v>
      </c>
      <c r="E2207" t="s">
        <v>386</v>
      </c>
      <c r="F2207" t="s">
        <v>86</v>
      </c>
      <c r="G2207" t="s">
        <v>1197</v>
      </c>
      <c r="H2207" t="s">
        <v>9334</v>
      </c>
      <c r="I2207">
        <v>6315</v>
      </c>
      <c r="J2207" t="s">
        <v>86</v>
      </c>
      <c r="K2207" t="s">
        <v>9335</v>
      </c>
      <c r="L2207" t="s">
        <v>386</v>
      </c>
      <c r="M2207" t="s">
        <v>1193</v>
      </c>
      <c r="N2207">
        <v>6315</v>
      </c>
      <c r="O2207">
        <v>39</v>
      </c>
      <c r="Q2207" t="s">
        <v>9336</v>
      </c>
      <c r="R2207" t="s">
        <v>398</v>
      </c>
      <c r="S2207" t="s">
        <v>1909</v>
      </c>
      <c r="T2207">
        <v>220</v>
      </c>
      <c r="U2207">
        <v>0</v>
      </c>
      <c r="V2207" t="s">
        <v>1194</v>
      </c>
      <c r="W2207" t="s">
        <v>2186</v>
      </c>
      <c r="X2207">
        <v>396</v>
      </c>
      <c r="Y2207" t="s">
        <v>1317</v>
      </c>
      <c r="Z2207" t="s">
        <v>861</v>
      </c>
      <c r="AA2207" t="s">
        <v>387</v>
      </c>
      <c r="AB2207">
        <v>31000</v>
      </c>
      <c r="AC2207">
        <v>4165</v>
      </c>
      <c r="AD2207" t="s">
        <v>6848</v>
      </c>
      <c r="AE2207">
        <v>2232</v>
      </c>
      <c r="AF2207" t="s">
        <v>9337</v>
      </c>
      <c r="AG2207" t="s">
        <v>9338</v>
      </c>
      <c r="AH2207" t="s">
        <v>9339</v>
      </c>
    </row>
    <row r="2208" spans="1:34" x14ac:dyDescent="0.25">
      <c r="A2208">
        <v>61</v>
      </c>
      <c r="C2208" s="185"/>
      <c r="E2208" t="s">
        <v>386</v>
      </c>
      <c r="F2208" t="s">
        <v>9340</v>
      </c>
      <c r="G2208" t="s">
        <v>1197</v>
      </c>
      <c r="H2208" t="s">
        <v>9341</v>
      </c>
      <c r="I2208">
        <v>15877</v>
      </c>
      <c r="J2208" t="s">
        <v>9340</v>
      </c>
      <c r="K2208" t="s">
        <v>9340</v>
      </c>
      <c r="L2208" t="s">
        <v>386</v>
      </c>
      <c r="M2208" t="s">
        <v>1193</v>
      </c>
      <c r="N2208">
        <v>15877</v>
      </c>
      <c r="O2208">
        <v>0</v>
      </c>
      <c r="Q2208" t="s">
        <v>9342</v>
      </c>
      <c r="T2208">
        <v>426</v>
      </c>
      <c r="V2208" t="s">
        <v>1257</v>
      </c>
      <c r="W2208" t="s">
        <v>1216</v>
      </c>
      <c r="X2208">
        <v>260</v>
      </c>
      <c r="Z2208" t="s">
        <v>4548</v>
      </c>
      <c r="AA2208" t="s">
        <v>387</v>
      </c>
      <c r="AB2208">
        <v>0</v>
      </c>
      <c r="AC2208">
        <v>5984</v>
      </c>
      <c r="AD2208" t="s">
        <v>9343</v>
      </c>
      <c r="AE2208">
        <v>216</v>
      </c>
      <c r="AF2208" t="s">
        <v>3276</v>
      </c>
      <c r="AG2208" t="s">
        <v>1244</v>
      </c>
      <c r="AH2208" t="s">
        <v>9344</v>
      </c>
    </row>
    <row r="2209" spans="1:34" x14ac:dyDescent="0.25">
      <c r="A2209">
        <v>1414</v>
      </c>
      <c r="C2209" s="185"/>
      <c r="E2209" t="s">
        <v>386</v>
      </c>
      <c r="F2209" t="s">
        <v>9345</v>
      </c>
      <c r="G2209" t="s">
        <v>1197</v>
      </c>
      <c r="H2209" t="s">
        <v>9346</v>
      </c>
      <c r="I2209">
        <v>16598</v>
      </c>
      <c r="J2209" t="s">
        <v>9345</v>
      </c>
      <c r="K2209" t="s">
        <v>9347</v>
      </c>
      <c r="L2209" t="s">
        <v>386</v>
      </c>
      <c r="M2209" t="s">
        <v>1193</v>
      </c>
      <c r="N2209">
        <v>16598</v>
      </c>
      <c r="O2209">
        <v>0</v>
      </c>
      <c r="Q2209" t="s">
        <v>9348</v>
      </c>
      <c r="R2209" t="s">
        <v>1208</v>
      </c>
      <c r="T2209">
        <v>103</v>
      </c>
      <c r="V2209" t="s">
        <v>1530</v>
      </c>
      <c r="W2209" t="s">
        <v>1530</v>
      </c>
      <c r="X2209">
        <v>103</v>
      </c>
      <c r="Z2209" t="s">
        <v>3034</v>
      </c>
      <c r="AA2209" t="s">
        <v>387</v>
      </c>
      <c r="AB2209">
        <v>0</v>
      </c>
      <c r="AC2209">
        <v>4895</v>
      </c>
      <c r="AD2209" t="s">
        <v>9349</v>
      </c>
      <c r="AE2209">
        <v>1988</v>
      </c>
      <c r="AF2209" t="s">
        <v>9350</v>
      </c>
      <c r="AG2209" t="s">
        <v>9351</v>
      </c>
      <c r="AH2209" t="s">
        <v>9352</v>
      </c>
    </row>
    <row r="2210" spans="1:34" x14ac:dyDescent="0.25">
      <c r="A2210">
        <v>5</v>
      </c>
      <c r="C2210" s="185"/>
      <c r="E2210" t="s">
        <v>386</v>
      </c>
      <c r="F2210" t="s">
        <v>9353</v>
      </c>
      <c r="G2210" t="s">
        <v>1197</v>
      </c>
      <c r="H2210" t="s">
        <v>9354</v>
      </c>
      <c r="I2210">
        <v>7584</v>
      </c>
      <c r="J2210" t="s">
        <v>9353</v>
      </c>
      <c r="K2210" t="s">
        <v>9353</v>
      </c>
      <c r="L2210" t="s">
        <v>386</v>
      </c>
      <c r="M2210" t="s">
        <v>1193</v>
      </c>
      <c r="N2210">
        <v>7584</v>
      </c>
      <c r="O2210">
        <v>0</v>
      </c>
      <c r="Q2210" t="s">
        <v>9355</v>
      </c>
      <c r="T2210">
        <v>146</v>
      </c>
      <c r="V2210" t="s">
        <v>2727</v>
      </c>
      <c r="Z2210" t="s">
        <v>861</v>
      </c>
      <c r="AA2210" t="s">
        <v>387</v>
      </c>
      <c r="AB2210">
        <v>0</v>
      </c>
      <c r="AC2210">
        <v>3199</v>
      </c>
      <c r="AD2210" t="s">
        <v>9356</v>
      </c>
      <c r="AE2210">
        <v>1361</v>
      </c>
      <c r="AF2210" t="s">
        <v>9357</v>
      </c>
      <c r="AG2210" t="s">
        <v>9358</v>
      </c>
    </row>
    <row r="2211" spans="1:34" x14ac:dyDescent="0.25">
      <c r="A2211">
        <v>1893</v>
      </c>
      <c r="C2211" s="185"/>
      <c r="D2211" t="s">
        <v>157</v>
      </c>
      <c r="E2211" t="s">
        <v>386</v>
      </c>
      <c r="F2211" t="s">
        <v>9359</v>
      </c>
      <c r="G2211" t="s">
        <v>1197</v>
      </c>
      <c r="H2211" t="s">
        <v>9360</v>
      </c>
      <c r="I2211">
        <v>10374</v>
      </c>
      <c r="J2211" t="s">
        <v>9359</v>
      </c>
      <c r="K2211" t="s">
        <v>9361</v>
      </c>
      <c r="L2211" t="s">
        <v>386</v>
      </c>
      <c r="M2211" t="s">
        <v>1184</v>
      </c>
      <c r="N2211">
        <v>10374</v>
      </c>
      <c r="O2211">
        <v>0</v>
      </c>
      <c r="Q2211" t="s">
        <v>9362</v>
      </c>
      <c r="T2211">
        <v>52</v>
      </c>
      <c r="V2211" t="s">
        <v>2024</v>
      </c>
      <c r="W2211" t="s">
        <v>1712</v>
      </c>
      <c r="X2211">
        <v>388</v>
      </c>
      <c r="Z2211" t="s">
        <v>9363</v>
      </c>
      <c r="AA2211" t="s">
        <v>387</v>
      </c>
      <c r="AB2211">
        <v>22000</v>
      </c>
      <c r="AC2211">
        <v>4024</v>
      </c>
      <c r="AD2211" t="s">
        <v>9359</v>
      </c>
      <c r="AE2211">
        <v>18</v>
      </c>
      <c r="AF2211" t="s">
        <v>1259</v>
      </c>
      <c r="AG2211" t="s">
        <v>1244</v>
      </c>
      <c r="AH2211" t="s">
        <v>9364</v>
      </c>
    </row>
    <row r="2212" spans="1:34" x14ac:dyDescent="0.25">
      <c r="A2212">
        <v>2002</v>
      </c>
      <c r="C2212" s="185"/>
      <c r="D2212" t="s">
        <v>157</v>
      </c>
      <c r="E2212" t="s">
        <v>386</v>
      </c>
      <c r="F2212" t="s">
        <v>9365</v>
      </c>
      <c r="G2212" t="s">
        <v>1238</v>
      </c>
      <c r="H2212" t="s">
        <v>9366</v>
      </c>
      <c r="I2212">
        <v>12430</v>
      </c>
      <c r="J2212" t="s">
        <v>9365</v>
      </c>
      <c r="K2212" t="s">
        <v>9367</v>
      </c>
      <c r="L2212" t="s">
        <v>386</v>
      </c>
      <c r="M2212" t="s">
        <v>1184</v>
      </c>
      <c r="N2212">
        <v>12430</v>
      </c>
      <c r="O2212">
        <v>0</v>
      </c>
      <c r="Q2212" t="s">
        <v>9368</v>
      </c>
      <c r="T2212">
        <v>52</v>
      </c>
      <c r="V2212" t="s">
        <v>2024</v>
      </c>
      <c r="W2212" t="s">
        <v>1712</v>
      </c>
      <c r="X2212">
        <v>388</v>
      </c>
      <c r="Z2212" t="s">
        <v>9369</v>
      </c>
      <c r="AA2212" t="s">
        <v>387</v>
      </c>
      <c r="AB2212">
        <v>19000</v>
      </c>
      <c r="AC2212">
        <v>4672</v>
      </c>
      <c r="AD2212" t="s">
        <v>9370</v>
      </c>
      <c r="AE2212">
        <v>0</v>
      </c>
      <c r="AF2212" t="s">
        <v>1188</v>
      </c>
      <c r="AG2212" t="s">
        <v>1244</v>
      </c>
      <c r="AH2212" t="s">
        <v>9371</v>
      </c>
    </row>
    <row r="2213" spans="1:34" x14ac:dyDescent="0.25">
      <c r="A2213">
        <v>32</v>
      </c>
      <c r="C2213" s="185"/>
      <c r="D2213" t="s">
        <v>157</v>
      </c>
      <c r="E2213" t="s">
        <v>386</v>
      </c>
      <c r="F2213" t="s">
        <v>9372</v>
      </c>
      <c r="G2213" t="s">
        <v>1197</v>
      </c>
      <c r="H2213" t="s">
        <v>9373</v>
      </c>
      <c r="I2213">
        <v>10545</v>
      </c>
      <c r="J2213" t="s">
        <v>9372</v>
      </c>
      <c r="K2213" t="s">
        <v>9374</v>
      </c>
      <c r="L2213" t="s">
        <v>386</v>
      </c>
      <c r="M2213" t="s">
        <v>1193</v>
      </c>
      <c r="N2213">
        <v>10545</v>
      </c>
      <c r="O2213">
        <v>0</v>
      </c>
      <c r="Q2213" t="s">
        <v>9375</v>
      </c>
      <c r="T2213">
        <v>199</v>
      </c>
      <c r="V2213" t="s">
        <v>3123</v>
      </c>
      <c r="Z2213" t="s">
        <v>874</v>
      </c>
      <c r="AA2213" t="s">
        <v>387</v>
      </c>
      <c r="AB2213">
        <v>0</v>
      </c>
      <c r="AC2213">
        <v>3495</v>
      </c>
      <c r="AD2213" t="s">
        <v>9376</v>
      </c>
      <c r="AE2213">
        <v>1854</v>
      </c>
      <c r="AF2213" t="s">
        <v>3482</v>
      </c>
      <c r="AG2213" t="s">
        <v>9377</v>
      </c>
    </row>
    <row r="2214" spans="1:34" x14ac:dyDescent="0.25">
      <c r="A2214">
        <v>32</v>
      </c>
      <c r="C2214" s="185"/>
      <c r="E2214" t="s">
        <v>386</v>
      </c>
      <c r="F2214" t="s">
        <v>9378</v>
      </c>
      <c r="G2214" t="s">
        <v>1197</v>
      </c>
      <c r="H2214" t="s">
        <v>3843</v>
      </c>
      <c r="I2214">
        <v>13932</v>
      </c>
      <c r="J2214" t="s">
        <v>9378</v>
      </c>
      <c r="K2214" t="s">
        <v>9379</v>
      </c>
      <c r="L2214" t="s">
        <v>386</v>
      </c>
      <c r="M2214" t="s">
        <v>1193</v>
      </c>
      <c r="N2214">
        <v>13932</v>
      </c>
      <c r="O2214">
        <v>0</v>
      </c>
      <c r="Q2214" t="s">
        <v>9380</v>
      </c>
      <c r="R2214" t="s">
        <v>1208</v>
      </c>
      <c r="T2214">
        <v>304</v>
      </c>
      <c r="V2214" t="s">
        <v>2067</v>
      </c>
      <c r="W2214" t="s">
        <v>2067</v>
      </c>
      <c r="X2214">
        <v>304</v>
      </c>
      <c r="Z2214" t="s">
        <v>874</v>
      </c>
      <c r="AA2214" t="s">
        <v>387</v>
      </c>
      <c r="AB2214">
        <v>0</v>
      </c>
      <c r="AC2214">
        <v>210</v>
      </c>
      <c r="AD2214" t="s">
        <v>2615</v>
      </c>
      <c r="AE2214">
        <v>1</v>
      </c>
      <c r="AF2214" t="s">
        <v>1922</v>
      </c>
      <c r="AG2214" t="s">
        <v>9381</v>
      </c>
      <c r="AH2214" t="s">
        <v>9382</v>
      </c>
    </row>
    <row r="2215" spans="1:34" x14ac:dyDescent="0.25">
      <c r="A2215">
        <v>32</v>
      </c>
      <c r="C2215" s="185"/>
      <c r="D2215" t="s">
        <v>157</v>
      </c>
      <c r="E2215" t="s">
        <v>386</v>
      </c>
      <c r="F2215" t="s">
        <v>466</v>
      </c>
      <c r="G2215" t="s">
        <v>1197</v>
      </c>
      <c r="H2215" t="s">
        <v>9383</v>
      </c>
      <c r="I2215">
        <v>8187</v>
      </c>
      <c r="J2215" t="s">
        <v>466</v>
      </c>
      <c r="K2215" t="s">
        <v>9384</v>
      </c>
      <c r="L2215" t="s">
        <v>386</v>
      </c>
      <c r="M2215" t="s">
        <v>1193</v>
      </c>
      <c r="N2215">
        <v>8187</v>
      </c>
      <c r="O2215">
        <v>41</v>
      </c>
      <c r="Q2215" t="s">
        <v>9385</v>
      </c>
      <c r="R2215" t="s">
        <v>398</v>
      </c>
      <c r="T2215">
        <v>521</v>
      </c>
      <c r="V2215" t="s">
        <v>6311</v>
      </c>
      <c r="W2215" t="s">
        <v>1186</v>
      </c>
      <c r="X2215">
        <v>0</v>
      </c>
      <c r="Z2215" t="s">
        <v>874</v>
      </c>
      <c r="AA2215" t="s">
        <v>387</v>
      </c>
      <c r="AB2215">
        <v>33000</v>
      </c>
      <c r="AC2215">
        <v>3297</v>
      </c>
      <c r="AD2215" t="s">
        <v>9386</v>
      </c>
      <c r="AE2215">
        <v>1301</v>
      </c>
      <c r="AF2215" t="s">
        <v>9387</v>
      </c>
      <c r="AG2215" t="s">
        <v>8356</v>
      </c>
      <c r="AH2215" t="s">
        <v>9388</v>
      </c>
    </row>
    <row r="2216" spans="1:34" x14ac:dyDescent="0.25">
      <c r="A2216">
        <v>1884</v>
      </c>
      <c r="B2216" t="s">
        <v>1313</v>
      </c>
      <c r="C2216" s="185"/>
      <c r="E2216" t="s">
        <v>386</v>
      </c>
      <c r="F2216" t="s">
        <v>9389</v>
      </c>
      <c r="G2216" t="s">
        <v>1197</v>
      </c>
      <c r="H2216" t="s">
        <v>9178</v>
      </c>
      <c r="I2216">
        <v>10227</v>
      </c>
      <c r="J2216" t="s">
        <v>9389</v>
      </c>
      <c r="K2216" t="s">
        <v>9390</v>
      </c>
      <c r="L2216" t="s">
        <v>386</v>
      </c>
      <c r="M2216" t="s">
        <v>1193</v>
      </c>
      <c r="N2216">
        <v>10227</v>
      </c>
      <c r="O2216">
        <v>39</v>
      </c>
      <c r="Q2216" t="s">
        <v>9391</v>
      </c>
      <c r="R2216" t="s">
        <v>398</v>
      </c>
      <c r="S2216" t="s">
        <v>1909</v>
      </c>
      <c r="T2216">
        <v>220</v>
      </c>
      <c r="U2216">
        <v>0</v>
      </c>
      <c r="V2216" t="s">
        <v>1194</v>
      </c>
      <c r="W2216" t="s">
        <v>2024</v>
      </c>
      <c r="X2216">
        <v>52</v>
      </c>
      <c r="Y2216" t="s">
        <v>1317</v>
      </c>
      <c r="Z2216" t="s">
        <v>9181</v>
      </c>
      <c r="AA2216" t="s">
        <v>387</v>
      </c>
      <c r="AB2216">
        <v>31000</v>
      </c>
      <c r="AC2216">
        <v>3978</v>
      </c>
      <c r="AD2216" t="s">
        <v>9392</v>
      </c>
      <c r="AE2216">
        <v>1829</v>
      </c>
      <c r="AF2216" t="s">
        <v>9393</v>
      </c>
      <c r="AG2216" t="s">
        <v>5692</v>
      </c>
    </row>
    <row r="2217" spans="1:34" x14ac:dyDescent="0.25">
      <c r="A2217">
        <v>1342</v>
      </c>
      <c r="C2217" s="185"/>
      <c r="D2217" t="s">
        <v>157</v>
      </c>
      <c r="E2217" t="s">
        <v>386</v>
      </c>
      <c r="F2217" t="s">
        <v>328</v>
      </c>
      <c r="G2217" t="s">
        <v>1197</v>
      </c>
      <c r="H2217" t="s">
        <v>3092</v>
      </c>
      <c r="I2217">
        <v>10541</v>
      </c>
      <c r="J2217" t="s">
        <v>328</v>
      </c>
      <c r="K2217" t="s">
        <v>9394</v>
      </c>
      <c r="L2217" t="s">
        <v>386</v>
      </c>
      <c r="M2217" t="s">
        <v>1193</v>
      </c>
      <c r="N2217">
        <v>10541</v>
      </c>
      <c r="O2217">
        <v>41</v>
      </c>
      <c r="Q2217" t="s">
        <v>9395</v>
      </c>
      <c r="T2217">
        <v>246</v>
      </c>
      <c r="V2217" t="s">
        <v>3321</v>
      </c>
      <c r="W2217" t="s">
        <v>3321</v>
      </c>
      <c r="X2217">
        <v>246</v>
      </c>
      <c r="Z2217" t="s">
        <v>2156</v>
      </c>
      <c r="AA2217" t="s">
        <v>387</v>
      </c>
      <c r="AB2217">
        <v>33000</v>
      </c>
      <c r="AC2217">
        <v>3178</v>
      </c>
      <c r="AD2217" t="s">
        <v>9396</v>
      </c>
      <c r="AE2217">
        <v>18</v>
      </c>
      <c r="AF2217" t="s">
        <v>1259</v>
      </c>
      <c r="AG2217" t="s">
        <v>9397</v>
      </c>
      <c r="AH2217" t="s">
        <v>9398</v>
      </c>
    </row>
    <row r="2218" spans="1:34" x14ac:dyDescent="0.25">
      <c r="A2218">
        <v>5</v>
      </c>
      <c r="C2218" s="185"/>
      <c r="E2218" t="s">
        <v>386</v>
      </c>
      <c r="F2218" t="s">
        <v>9399</v>
      </c>
      <c r="G2218" t="s">
        <v>4184</v>
      </c>
      <c r="H2218" t="s">
        <v>9400</v>
      </c>
      <c r="I2218">
        <v>10435</v>
      </c>
      <c r="J2218" t="s">
        <v>9399</v>
      </c>
      <c r="K2218" t="s">
        <v>9401</v>
      </c>
      <c r="L2218" t="s">
        <v>386</v>
      </c>
      <c r="M2218" t="s">
        <v>1193</v>
      </c>
      <c r="N2218">
        <v>10435</v>
      </c>
      <c r="O2218">
        <v>39</v>
      </c>
      <c r="Q2218" t="s">
        <v>9402</v>
      </c>
      <c r="R2218" t="s">
        <v>398</v>
      </c>
      <c r="T2218">
        <v>220</v>
      </c>
      <c r="V2218" t="s">
        <v>1194</v>
      </c>
      <c r="W2218" t="s">
        <v>2024</v>
      </c>
      <c r="X2218">
        <v>52</v>
      </c>
      <c r="Z2218" t="s">
        <v>861</v>
      </c>
      <c r="AA2218" t="s">
        <v>387</v>
      </c>
      <c r="AB2218">
        <v>31000</v>
      </c>
      <c r="AC2218">
        <v>4044</v>
      </c>
      <c r="AD2218" t="s">
        <v>9403</v>
      </c>
      <c r="AE2218">
        <v>1501</v>
      </c>
      <c r="AF2218" t="s">
        <v>9404</v>
      </c>
      <c r="AG2218" t="s">
        <v>2379</v>
      </c>
      <c r="AH2218" t="s">
        <v>9405</v>
      </c>
    </row>
    <row r="2219" spans="1:34" x14ac:dyDescent="0.25">
      <c r="A2219">
        <v>158</v>
      </c>
      <c r="C2219" s="185"/>
      <c r="D2219" t="s">
        <v>24</v>
      </c>
      <c r="E2219" t="s">
        <v>386</v>
      </c>
      <c r="F2219" t="s">
        <v>370</v>
      </c>
      <c r="G2219" t="s">
        <v>1197</v>
      </c>
      <c r="H2219" t="s">
        <v>7946</v>
      </c>
      <c r="I2219">
        <v>6496</v>
      </c>
      <c r="J2219" t="s">
        <v>9406</v>
      </c>
      <c r="K2219" t="s">
        <v>9407</v>
      </c>
      <c r="L2219" t="s">
        <v>386</v>
      </c>
      <c r="M2219" t="s">
        <v>1193</v>
      </c>
      <c r="N2219">
        <v>15333</v>
      </c>
      <c r="O2219">
        <v>0</v>
      </c>
      <c r="Q2219" t="s">
        <v>9408</v>
      </c>
      <c r="T2219">
        <v>272</v>
      </c>
      <c r="V2219" t="s">
        <v>2107</v>
      </c>
      <c r="W2219" t="s">
        <v>1194</v>
      </c>
      <c r="X2219">
        <v>220</v>
      </c>
      <c r="Z2219" t="s">
        <v>9188</v>
      </c>
      <c r="AA2219" t="s">
        <v>387</v>
      </c>
      <c r="AB2219">
        <v>6000</v>
      </c>
      <c r="AC2219">
        <v>1352</v>
      </c>
      <c r="AD2219" t="s">
        <v>9409</v>
      </c>
      <c r="AE2219">
        <v>1386</v>
      </c>
      <c r="AF2219" t="s">
        <v>9410</v>
      </c>
      <c r="AG2219" t="s">
        <v>9411</v>
      </c>
    </row>
    <row r="2220" spans="1:34" x14ac:dyDescent="0.25">
      <c r="A2220">
        <v>5</v>
      </c>
      <c r="B2220" t="s">
        <v>1313</v>
      </c>
      <c r="C2220" s="185"/>
      <c r="D2220" t="s">
        <v>24</v>
      </c>
      <c r="E2220" t="s">
        <v>386</v>
      </c>
      <c r="F2220" t="s">
        <v>450</v>
      </c>
      <c r="G2220" t="s">
        <v>1197</v>
      </c>
      <c r="H2220" t="s">
        <v>9412</v>
      </c>
      <c r="I2220">
        <v>14962</v>
      </c>
      <c r="J2220" t="s">
        <v>325</v>
      </c>
      <c r="K2220" t="s">
        <v>9186</v>
      </c>
      <c r="L2220" t="s">
        <v>386</v>
      </c>
      <c r="M2220" t="s">
        <v>1193</v>
      </c>
      <c r="N2220">
        <v>15720</v>
      </c>
      <c r="O2220">
        <v>39</v>
      </c>
      <c r="Q2220" t="s">
        <v>9413</v>
      </c>
      <c r="R2220" t="s">
        <v>398</v>
      </c>
      <c r="S2220" t="s">
        <v>4594</v>
      </c>
      <c r="T2220">
        <v>220</v>
      </c>
      <c r="U2220">
        <v>0</v>
      </c>
      <c r="V2220" t="s">
        <v>1194</v>
      </c>
      <c r="W2220" t="s">
        <v>1199</v>
      </c>
      <c r="X2220">
        <v>200</v>
      </c>
      <c r="Y2220" t="s">
        <v>1317</v>
      </c>
      <c r="Z2220" t="s">
        <v>861</v>
      </c>
      <c r="AA2220" t="s">
        <v>387</v>
      </c>
      <c r="AB2220">
        <v>31000</v>
      </c>
      <c r="AC2220">
        <v>2367</v>
      </c>
      <c r="AD2220" t="s">
        <v>391</v>
      </c>
      <c r="AE2220">
        <v>2232</v>
      </c>
      <c r="AF2220" t="s">
        <v>9337</v>
      </c>
      <c r="AG2220" t="s">
        <v>1931</v>
      </c>
      <c r="AH2220" t="s">
        <v>9414</v>
      </c>
    </row>
    <row r="2221" spans="1:34" x14ac:dyDescent="0.25">
      <c r="A2221">
        <v>2001</v>
      </c>
      <c r="C2221" s="185"/>
      <c r="D2221" t="s">
        <v>157</v>
      </c>
      <c r="E2221" t="s">
        <v>386</v>
      </c>
      <c r="F2221" t="s">
        <v>9415</v>
      </c>
      <c r="G2221" t="s">
        <v>1238</v>
      </c>
      <c r="H2221" t="s">
        <v>9416</v>
      </c>
      <c r="I2221">
        <v>12427</v>
      </c>
      <c r="J2221" t="s">
        <v>9415</v>
      </c>
      <c r="K2221" t="s">
        <v>9417</v>
      </c>
      <c r="L2221" t="s">
        <v>386</v>
      </c>
      <c r="M2221" t="s">
        <v>1184</v>
      </c>
      <c r="N2221">
        <v>12427</v>
      </c>
      <c r="O2221">
        <v>41</v>
      </c>
      <c r="Q2221" t="s">
        <v>9418</v>
      </c>
      <c r="T2221">
        <v>52</v>
      </c>
      <c r="V2221" t="s">
        <v>2024</v>
      </c>
      <c r="W2221" t="s">
        <v>3321</v>
      </c>
      <c r="X2221">
        <v>246</v>
      </c>
      <c r="Z2221" t="s">
        <v>9419</v>
      </c>
      <c r="AA2221" t="s">
        <v>387</v>
      </c>
      <c r="AB2221">
        <v>0</v>
      </c>
      <c r="AC2221">
        <v>4669</v>
      </c>
      <c r="AD2221" t="s">
        <v>9420</v>
      </c>
      <c r="AE2221">
        <v>18</v>
      </c>
      <c r="AF2221" t="s">
        <v>1259</v>
      </c>
      <c r="AG2221" t="s">
        <v>1244</v>
      </c>
      <c r="AH2221" t="s">
        <v>9421</v>
      </c>
    </row>
    <row r="2222" spans="1:34" x14ac:dyDescent="0.25">
      <c r="A2222">
        <v>2195</v>
      </c>
      <c r="C2222" s="185"/>
      <c r="E2222" t="s">
        <v>386</v>
      </c>
      <c r="F2222" t="s">
        <v>9422</v>
      </c>
      <c r="G2222" t="s">
        <v>1197</v>
      </c>
      <c r="H2222" t="s">
        <v>9423</v>
      </c>
      <c r="I2222">
        <v>16850</v>
      </c>
      <c r="J2222" t="s">
        <v>9422</v>
      </c>
      <c r="K2222" t="s">
        <v>9424</v>
      </c>
      <c r="L2222" t="s">
        <v>386</v>
      </c>
      <c r="M2222" t="s">
        <v>1193</v>
      </c>
      <c r="N2222">
        <v>16850</v>
      </c>
      <c r="O2222">
        <v>0</v>
      </c>
      <c r="Q2222" t="s">
        <v>9425</v>
      </c>
      <c r="T2222">
        <v>571</v>
      </c>
      <c r="V2222" t="s">
        <v>2003</v>
      </c>
      <c r="W2222" t="s">
        <v>2246</v>
      </c>
      <c r="X2222">
        <v>496</v>
      </c>
      <c r="Z2222" t="s">
        <v>9426</v>
      </c>
      <c r="AA2222" t="s">
        <v>387</v>
      </c>
      <c r="AB2222">
        <v>0</v>
      </c>
      <c r="AC2222">
        <v>6269</v>
      </c>
      <c r="AD2222" t="s">
        <v>9427</v>
      </c>
      <c r="AE2222">
        <v>1</v>
      </c>
      <c r="AF2222" t="s">
        <v>1922</v>
      </c>
      <c r="AG2222" t="s">
        <v>9428</v>
      </c>
      <c r="AH2222" t="s">
        <v>9429</v>
      </c>
    </row>
    <row r="2223" spans="1:34" x14ac:dyDescent="0.25">
      <c r="A2223">
        <v>1162</v>
      </c>
      <c r="C2223" s="185"/>
      <c r="E2223" t="s">
        <v>386</v>
      </c>
      <c r="F2223" t="s">
        <v>9430</v>
      </c>
      <c r="G2223" t="s">
        <v>1197</v>
      </c>
      <c r="H2223" t="s">
        <v>3542</v>
      </c>
      <c r="I2223">
        <v>15854</v>
      </c>
      <c r="J2223" t="s">
        <v>9430</v>
      </c>
      <c r="K2223" t="s">
        <v>9430</v>
      </c>
      <c r="L2223" t="s">
        <v>386</v>
      </c>
      <c r="M2223" t="s">
        <v>1193</v>
      </c>
      <c r="N2223">
        <v>15854</v>
      </c>
      <c r="O2223">
        <v>0</v>
      </c>
      <c r="Q2223" t="s">
        <v>9431</v>
      </c>
      <c r="R2223" t="s">
        <v>398</v>
      </c>
      <c r="T2223">
        <v>473</v>
      </c>
      <c r="V2223" t="s">
        <v>1964</v>
      </c>
      <c r="W2223" t="s">
        <v>1964</v>
      </c>
      <c r="X2223">
        <v>473</v>
      </c>
      <c r="Z2223" t="s">
        <v>3543</v>
      </c>
      <c r="AA2223" t="s">
        <v>387</v>
      </c>
      <c r="AB2223">
        <v>0</v>
      </c>
      <c r="AC2223">
        <v>5976</v>
      </c>
      <c r="AD2223" t="s">
        <v>9432</v>
      </c>
      <c r="AE2223">
        <v>1</v>
      </c>
      <c r="AF2223" t="s">
        <v>1922</v>
      </c>
      <c r="AG2223" t="s">
        <v>2197</v>
      </c>
      <c r="AH2223" t="s">
        <v>9433</v>
      </c>
    </row>
    <row r="2224" spans="1:34" x14ac:dyDescent="0.25">
      <c r="A2224">
        <v>1162</v>
      </c>
      <c r="C2224" s="185"/>
      <c r="D2224" t="s">
        <v>24</v>
      </c>
      <c r="E2224" t="s">
        <v>386</v>
      </c>
      <c r="F2224" t="s">
        <v>9434</v>
      </c>
      <c r="G2224" t="s">
        <v>1197</v>
      </c>
      <c r="H2224" t="s">
        <v>3542</v>
      </c>
      <c r="I2224">
        <v>1233</v>
      </c>
      <c r="J2224" t="s">
        <v>9434</v>
      </c>
      <c r="K2224" t="s">
        <v>7738</v>
      </c>
      <c r="L2224" t="s">
        <v>386</v>
      </c>
      <c r="M2224" t="s">
        <v>1193</v>
      </c>
      <c r="N2224">
        <v>1233</v>
      </c>
      <c r="O2224">
        <v>57</v>
      </c>
      <c r="Q2224" t="s">
        <v>9435</v>
      </c>
      <c r="R2224" t="s">
        <v>398</v>
      </c>
      <c r="T2224">
        <v>220</v>
      </c>
      <c r="V2224" t="s">
        <v>1194</v>
      </c>
      <c r="Z2224" t="s">
        <v>3543</v>
      </c>
      <c r="AA2224" t="s">
        <v>387</v>
      </c>
      <c r="AB2224">
        <v>49000</v>
      </c>
      <c r="AC2224">
        <v>981</v>
      </c>
      <c r="AD2224" t="s">
        <v>9436</v>
      </c>
      <c r="AE2224">
        <v>1</v>
      </c>
      <c r="AF2224" t="s">
        <v>1922</v>
      </c>
      <c r="AG2224" t="s">
        <v>9437</v>
      </c>
      <c r="AH2224" t="s">
        <v>7741</v>
      </c>
    </row>
    <row r="2225" spans="1:34" x14ac:dyDescent="0.25">
      <c r="A2225">
        <v>1162</v>
      </c>
      <c r="B2225" t="s">
        <v>1313</v>
      </c>
      <c r="C2225" s="185"/>
      <c r="D2225" t="s">
        <v>24</v>
      </c>
      <c r="E2225" t="s">
        <v>386</v>
      </c>
      <c r="F2225" t="s">
        <v>9434</v>
      </c>
      <c r="G2225" t="s">
        <v>1903</v>
      </c>
      <c r="H2225" t="s">
        <v>3542</v>
      </c>
      <c r="I2225">
        <v>1430</v>
      </c>
      <c r="J2225" t="s">
        <v>9434</v>
      </c>
      <c r="K2225" t="s">
        <v>9438</v>
      </c>
      <c r="L2225" t="s">
        <v>386</v>
      </c>
      <c r="M2225" t="s">
        <v>1193</v>
      </c>
      <c r="N2225">
        <v>1430</v>
      </c>
      <c r="O2225">
        <v>57</v>
      </c>
      <c r="Q2225" t="s">
        <v>9439</v>
      </c>
      <c r="R2225" t="s">
        <v>398</v>
      </c>
      <c r="S2225" t="s">
        <v>1315</v>
      </c>
      <c r="T2225">
        <v>220</v>
      </c>
      <c r="U2225">
        <v>0</v>
      </c>
      <c r="V2225" t="s">
        <v>1194</v>
      </c>
      <c r="Y2225" t="s">
        <v>1317</v>
      </c>
      <c r="Z2225" t="s">
        <v>3543</v>
      </c>
      <c r="AA2225" t="s">
        <v>387</v>
      </c>
      <c r="AB2225">
        <v>49000</v>
      </c>
      <c r="AC2225">
        <v>1092</v>
      </c>
      <c r="AD2225" t="s">
        <v>9440</v>
      </c>
      <c r="AE2225">
        <v>19</v>
      </c>
      <c r="AF2225" t="s">
        <v>7237</v>
      </c>
      <c r="AG2225" t="s">
        <v>1244</v>
      </c>
      <c r="AH2225" t="s">
        <v>9441</v>
      </c>
    </row>
    <row r="2226" spans="1:34" x14ac:dyDescent="0.25">
      <c r="A2226">
        <v>1479</v>
      </c>
      <c r="C2226" s="185"/>
      <c r="E2226" t="s">
        <v>386</v>
      </c>
      <c r="F2226" t="s">
        <v>9442</v>
      </c>
      <c r="G2226" t="s">
        <v>1197</v>
      </c>
      <c r="H2226" t="s">
        <v>9443</v>
      </c>
      <c r="I2226">
        <v>13604</v>
      </c>
      <c r="J2226" t="s">
        <v>9442</v>
      </c>
      <c r="K2226" t="s">
        <v>9442</v>
      </c>
      <c r="L2226" t="s">
        <v>386</v>
      </c>
      <c r="M2226" t="s">
        <v>1193</v>
      </c>
      <c r="N2226">
        <v>13604</v>
      </c>
      <c r="O2226">
        <v>0</v>
      </c>
      <c r="Q2226" t="s">
        <v>9444</v>
      </c>
      <c r="R2226" t="s">
        <v>1208</v>
      </c>
      <c r="T2226">
        <v>304</v>
      </c>
      <c r="V2226" t="s">
        <v>2067</v>
      </c>
      <c r="W2226" t="s">
        <v>2067</v>
      </c>
      <c r="X2226">
        <v>304</v>
      </c>
      <c r="Z2226" t="s">
        <v>2665</v>
      </c>
      <c r="AA2226" t="s">
        <v>387</v>
      </c>
      <c r="AB2226">
        <v>0</v>
      </c>
      <c r="AC2226">
        <v>1902</v>
      </c>
      <c r="AD2226" t="s">
        <v>8302</v>
      </c>
      <c r="AE2226">
        <v>2374</v>
      </c>
      <c r="AF2226" t="s">
        <v>9445</v>
      </c>
      <c r="AG2226" t="s">
        <v>9446</v>
      </c>
      <c r="AH2226" t="s">
        <v>9447</v>
      </c>
    </row>
    <row r="2227" spans="1:34" x14ac:dyDescent="0.25">
      <c r="A2227">
        <v>2002</v>
      </c>
      <c r="C2227" s="185"/>
      <c r="E2227" t="s">
        <v>386</v>
      </c>
      <c r="F2227" t="s">
        <v>9448</v>
      </c>
      <c r="G2227" t="s">
        <v>1197</v>
      </c>
      <c r="H2227" t="s">
        <v>9366</v>
      </c>
      <c r="I2227">
        <v>13525</v>
      </c>
      <c r="J2227" t="s">
        <v>9448</v>
      </c>
      <c r="K2227" t="s">
        <v>9449</v>
      </c>
      <c r="L2227" t="s">
        <v>386</v>
      </c>
      <c r="M2227" t="s">
        <v>1193</v>
      </c>
      <c r="N2227">
        <v>13525</v>
      </c>
      <c r="O2227">
        <v>0</v>
      </c>
      <c r="Q2227" t="s">
        <v>9450</v>
      </c>
      <c r="R2227" t="s">
        <v>1208</v>
      </c>
      <c r="T2227">
        <v>372</v>
      </c>
      <c r="V2227" t="s">
        <v>2073</v>
      </c>
      <c r="W2227" t="s">
        <v>2073</v>
      </c>
      <c r="X2227">
        <v>372</v>
      </c>
      <c r="Z2227" t="s">
        <v>9369</v>
      </c>
      <c r="AA2227" t="s">
        <v>387</v>
      </c>
      <c r="AB2227">
        <v>0</v>
      </c>
      <c r="AC2227">
        <v>5087</v>
      </c>
      <c r="AD2227" t="s">
        <v>9451</v>
      </c>
      <c r="AE2227">
        <v>1</v>
      </c>
      <c r="AF2227" t="s">
        <v>1922</v>
      </c>
      <c r="AG2227" t="s">
        <v>1931</v>
      </c>
      <c r="AH2227" t="s">
        <v>9452</v>
      </c>
    </row>
    <row r="2228" spans="1:34" x14ac:dyDescent="0.25">
      <c r="A2228">
        <v>1456</v>
      </c>
      <c r="C2228" s="185"/>
      <c r="E2228" t="s">
        <v>386</v>
      </c>
      <c r="F2228" t="s">
        <v>15557</v>
      </c>
      <c r="G2228" t="s">
        <v>1197</v>
      </c>
      <c r="H2228" t="s">
        <v>15558</v>
      </c>
      <c r="I2228">
        <v>17774</v>
      </c>
      <c r="J2228" t="s">
        <v>15557</v>
      </c>
      <c r="K2228" t="s">
        <v>15559</v>
      </c>
      <c r="L2228" t="s">
        <v>386</v>
      </c>
      <c r="M2228" t="s">
        <v>1193</v>
      </c>
      <c r="N2228">
        <v>17774</v>
      </c>
      <c r="O2228">
        <v>0</v>
      </c>
      <c r="Q2228" t="s">
        <v>15560</v>
      </c>
      <c r="R2228" t="s">
        <v>1208</v>
      </c>
      <c r="T2228">
        <v>260</v>
      </c>
      <c r="V2228" t="s">
        <v>1216</v>
      </c>
      <c r="W2228" t="s">
        <v>1216</v>
      </c>
      <c r="X2228">
        <v>260</v>
      </c>
      <c r="Z2228" t="s">
        <v>915</v>
      </c>
      <c r="AA2228" t="s">
        <v>387</v>
      </c>
      <c r="AB2228">
        <v>0</v>
      </c>
      <c r="AC2228">
        <v>1954</v>
      </c>
      <c r="AD2228" t="s">
        <v>15561</v>
      </c>
      <c r="AE2228">
        <v>2802</v>
      </c>
      <c r="AF2228" t="s">
        <v>15220</v>
      </c>
      <c r="AG2228" t="s">
        <v>5948</v>
      </c>
      <c r="AH2228" t="s">
        <v>15562</v>
      </c>
    </row>
    <row r="2229" spans="1:34" x14ac:dyDescent="0.25">
      <c r="A2229">
        <v>32</v>
      </c>
      <c r="C2229" s="185"/>
      <c r="E2229" t="s">
        <v>386</v>
      </c>
      <c r="F2229" t="s">
        <v>9453</v>
      </c>
      <c r="G2229" t="s">
        <v>1197</v>
      </c>
      <c r="H2229" t="s">
        <v>9454</v>
      </c>
      <c r="I2229">
        <v>10953</v>
      </c>
      <c r="J2229" t="s">
        <v>9453</v>
      </c>
      <c r="K2229" t="s">
        <v>9455</v>
      </c>
      <c r="L2229" t="s">
        <v>386</v>
      </c>
      <c r="M2229" t="s">
        <v>1193</v>
      </c>
      <c r="N2229">
        <v>10953</v>
      </c>
      <c r="O2229">
        <v>0</v>
      </c>
      <c r="Q2229" t="s">
        <v>9456</v>
      </c>
      <c r="R2229" t="s">
        <v>1208</v>
      </c>
      <c r="T2229">
        <v>259</v>
      </c>
      <c r="V2229" t="s">
        <v>1215</v>
      </c>
      <c r="W2229" t="s">
        <v>1216</v>
      </c>
      <c r="X2229">
        <v>260</v>
      </c>
      <c r="Z2229" t="s">
        <v>874</v>
      </c>
      <c r="AA2229" t="s">
        <v>387</v>
      </c>
      <c r="AB2229">
        <v>0</v>
      </c>
      <c r="AC2229">
        <v>4195</v>
      </c>
      <c r="AD2229" t="s">
        <v>9457</v>
      </c>
      <c r="AE2229">
        <v>1937</v>
      </c>
      <c r="AF2229" t="s">
        <v>9458</v>
      </c>
      <c r="AG2229" t="s">
        <v>9459</v>
      </c>
      <c r="AH2229" t="s">
        <v>9460</v>
      </c>
    </row>
    <row r="2230" spans="1:34" x14ac:dyDescent="0.25">
      <c r="A2230">
        <v>5</v>
      </c>
      <c r="C2230" s="185"/>
      <c r="D2230" t="s">
        <v>157</v>
      </c>
      <c r="E2230" t="s">
        <v>386</v>
      </c>
      <c r="F2230" t="s">
        <v>9461</v>
      </c>
      <c r="G2230" t="s">
        <v>1192</v>
      </c>
      <c r="H2230" t="s">
        <v>9208</v>
      </c>
      <c r="I2230">
        <v>8442</v>
      </c>
      <c r="J2230" t="s">
        <v>9461</v>
      </c>
      <c r="K2230" t="s">
        <v>9461</v>
      </c>
      <c r="L2230" t="s">
        <v>386</v>
      </c>
      <c r="M2230" t="s">
        <v>1184</v>
      </c>
      <c r="N2230">
        <v>8442</v>
      </c>
      <c r="O2230">
        <v>0</v>
      </c>
      <c r="Q2230" t="s">
        <v>9462</v>
      </c>
      <c r="R2230" t="s">
        <v>398</v>
      </c>
      <c r="T2230">
        <v>388</v>
      </c>
      <c r="V2230" t="s">
        <v>1712</v>
      </c>
      <c r="W2230" t="s">
        <v>9463</v>
      </c>
      <c r="X2230">
        <v>54</v>
      </c>
      <c r="Z2230" t="s">
        <v>861</v>
      </c>
      <c r="AA2230" t="s">
        <v>387</v>
      </c>
      <c r="AB2230">
        <v>0</v>
      </c>
      <c r="AC2230">
        <v>3376</v>
      </c>
      <c r="AD2230" t="s">
        <v>9464</v>
      </c>
      <c r="AE2230">
        <v>18</v>
      </c>
      <c r="AF2230" t="s">
        <v>1259</v>
      </c>
      <c r="AG2230" t="s">
        <v>1244</v>
      </c>
    </row>
    <row r="2231" spans="1:34" x14ac:dyDescent="0.25">
      <c r="A2231">
        <v>1278</v>
      </c>
      <c r="B2231" t="s">
        <v>1313</v>
      </c>
      <c r="C2231" s="185"/>
      <c r="D2231" t="s">
        <v>24</v>
      </c>
      <c r="E2231" t="s">
        <v>386</v>
      </c>
      <c r="F2231" t="s">
        <v>364</v>
      </c>
      <c r="G2231" t="s">
        <v>1197</v>
      </c>
      <c r="H2231" t="s">
        <v>9465</v>
      </c>
      <c r="I2231">
        <v>7745</v>
      </c>
      <c r="J2231" t="s">
        <v>320</v>
      </c>
      <c r="K2231" t="s">
        <v>8312</v>
      </c>
      <c r="L2231" t="s">
        <v>386</v>
      </c>
      <c r="M2231" t="s">
        <v>1193</v>
      </c>
      <c r="N2231">
        <v>15327</v>
      </c>
      <c r="O2231">
        <v>39</v>
      </c>
      <c r="Q2231" t="s">
        <v>9466</v>
      </c>
      <c r="R2231" t="s">
        <v>398</v>
      </c>
      <c r="S2231" t="s">
        <v>8314</v>
      </c>
      <c r="T2231">
        <v>396</v>
      </c>
      <c r="U2231">
        <v>0</v>
      </c>
      <c r="V2231" t="s">
        <v>2186</v>
      </c>
      <c r="W2231" t="s">
        <v>1194</v>
      </c>
      <c r="X2231">
        <v>220</v>
      </c>
      <c r="Y2231" t="s">
        <v>1317</v>
      </c>
      <c r="Z2231" t="s">
        <v>1128</v>
      </c>
      <c r="AA2231" t="s">
        <v>387</v>
      </c>
      <c r="AB2231">
        <v>31000</v>
      </c>
      <c r="AC2231">
        <v>2457</v>
      </c>
      <c r="AD2231" t="s">
        <v>9467</v>
      </c>
      <c r="AE2231">
        <v>18</v>
      </c>
      <c r="AF2231" t="s">
        <v>1259</v>
      </c>
      <c r="AG2231" t="s">
        <v>9468</v>
      </c>
      <c r="AH2231" t="s">
        <v>9469</v>
      </c>
    </row>
    <row r="2232" spans="1:34" x14ac:dyDescent="0.25">
      <c r="A2232">
        <v>1456</v>
      </c>
      <c r="B2232" t="s">
        <v>1313</v>
      </c>
      <c r="C2232" s="185"/>
      <c r="D2232" t="s">
        <v>24</v>
      </c>
      <c r="E2232" t="s">
        <v>386</v>
      </c>
      <c r="F2232" t="s">
        <v>355</v>
      </c>
      <c r="G2232" t="s">
        <v>1197</v>
      </c>
      <c r="H2232" t="s">
        <v>3955</v>
      </c>
      <c r="I2232">
        <v>10434</v>
      </c>
      <c r="J2232" t="s">
        <v>99</v>
      </c>
      <c r="K2232" t="s">
        <v>7699</v>
      </c>
      <c r="L2232" t="s">
        <v>386</v>
      </c>
      <c r="M2232" t="s">
        <v>1193</v>
      </c>
      <c r="N2232">
        <v>15325</v>
      </c>
      <c r="O2232">
        <v>68</v>
      </c>
      <c r="Q2232" t="s">
        <v>9470</v>
      </c>
      <c r="R2232" t="s">
        <v>398</v>
      </c>
      <c r="S2232" t="s">
        <v>1909</v>
      </c>
      <c r="T2232">
        <v>220</v>
      </c>
      <c r="U2232">
        <v>0</v>
      </c>
      <c r="V2232" t="s">
        <v>1194</v>
      </c>
      <c r="W2232" t="s">
        <v>2186</v>
      </c>
      <c r="X2232">
        <v>396</v>
      </c>
      <c r="Y2232" t="s">
        <v>1317</v>
      </c>
      <c r="Z2232" t="s">
        <v>915</v>
      </c>
      <c r="AA2232" t="s">
        <v>387</v>
      </c>
      <c r="AB2232">
        <v>60000</v>
      </c>
      <c r="AC2232">
        <v>2616</v>
      </c>
      <c r="AD2232" t="s">
        <v>9471</v>
      </c>
      <c r="AE2232">
        <v>18</v>
      </c>
      <c r="AF2232" t="s">
        <v>1259</v>
      </c>
      <c r="AG2232" t="s">
        <v>9472</v>
      </c>
      <c r="AH2232" t="s">
        <v>6582</v>
      </c>
    </row>
    <row r="2233" spans="1:34" x14ac:dyDescent="0.25">
      <c r="A2233">
        <v>2108</v>
      </c>
      <c r="C2233" s="185"/>
      <c r="E2233" t="s">
        <v>386</v>
      </c>
      <c r="F2233" t="s">
        <v>138</v>
      </c>
      <c r="G2233" t="s">
        <v>1238</v>
      </c>
      <c r="H2233" t="s">
        <v>9091</v>
      </c>
      <c r="I2233">
        <v>14628</v>
      </c>
      <c r="J2233" t="s">
        <v>138</v>
      </c>
      <c r="K2233" t="s">
        <v>9473</v>
      </c>
      <c r="L2233" t="s">
        <v>386</v>
      </c>
      <c r="M2233" t="s">
        <v>1184</v>
      </c>
      <c r="N2233">
        <v>14628</v>
      </c>
      <c r="O2233">
        <v>0</v>
      </c>
      <c r="Q2233" t="s">
        <v>9474</v>
      </c>
      <c r="T2233">
        <v>426</v>
      </c>
      <c r="V2233" t="s">
        <v>1257</v>
      </c>
      <c r="W2233" t="s">
        <v>1257</v>
      </c>
      <c r="X2233">
        <v>426</v>
      </c>
      <c r="Z2233" t="s">
        <v>9094</v>
      </c>
      <c r="AA2233" t="s">
        <v>387</v>
      </c>
      <c r="AB2233">
        <v>0</v>
      </c>
      <c r="AC2233">
        <v>5558</v>
      </c>
      <c r="AD2233" t="s">
        <v>9475</v>
      </c>
      <c r="AE2233">
        <v>18</v>
      </c>
      <c r="AF2233" t="s">
        <v>1259</v>
      </c>
      <c r="AG2233" t="s">
        <v>9476</v>
      </c>
      <c r="AH2233" t="s">
        <v>9477</v>
      </c>
    </row>
    <row r="2234" spans="1:34" x14ac:dyDescent="0.25">
      <c r="A2234">
        <v>5</v>
      </c>
      <c r="B2234" t="s">
        <v>1313</v>
      </c>
      <c r="C2234" s="185"/>
      <c r="D2234" t="s">
        <v>24</v>
      </c>
      <c r="E2234" t="s">
        <v>386</v>
      </c>
      <c r="F2234" t="s">
        <v>364</v>
      </c>
      <c r="G2234" t="s">
        <v>1197</v>
      </c>
      <c r="H2234" t="s">
        <v>9478</v>
      </c>
      <c r="I2234">
        <v>10473</v>
      </c>
      <c r="J2234" t="s">
        <v>768</v>
      </c>
      <c r="K2234" t="s">
        <v>8312</v>
      </c>
      <c r="L2234" t="s">
        <v>386</v>
      </c>
      <c r="M2234" t="s">
        <v>1193</v>
      </c>
      <c r="N2234">
        <v>15327</v>
      </c>
      <c r="O2234">
        <v>39</v>
      </c>
      <c r="Q2234" t="s">
        <v>9479</v>
      </c>
      <c r="R2234" t="s">
        <v>398</v>
      </c>
      <c r="S2234" t="s">
        <v>8314</v>
      </c>
      <c r="T2234">
        <v>52</v>
      </c>
      <c r="U2234">
        <v>0</v>
      </c>
      <c r="V2234" t="s">
        <v>2024</v>
      </c>
      <c r="W2234" t="s">
        <v>1199</v>
      </c>
      <c r="X2234">
        <v>200</v>
      </c>
      <c r="Y2234" t="s">
        <v>1317</v>
      </c>
      <c r="Z2234" t="s">
        <v>861</v>
      </c>
      <c r="AA2234" t="s">
        <v>387</v>
      </c>
      <c r="AB2234">
        <v>31000</v>
      </c>
      <c r="AC2234">
        <v>906</v>
      </c>
      <c r="AD2234" t="s">
        <v>403</v>
      </c>
      <c r="AE2234">
        <v>3019</v>
      </c>
      <c r="AF2234" t="s">
        <v>9480</v>
      </c>
      <c r="AG2234" t="s">
        <v>9481</v>
      </c>
      <c r="AH2234" t="s">
        <v>9482</v>
      </c>
    </row>
    <row r="2235" spans="1:34" x14ac:dyDescent="0.25">
      <c r="A2235">
        <v>1456</v>
      </c>
      <c r="C2235" s="185"/>
      <c r="E2235" t="s">
        <v>386</v>
      </c>
      <c r="F2235" t="s">
        <v>9483</v>
      </c>
      <c r="G2235" t="s">
        <v>1197</v>
      </c>
      <c r="H2235" t="s">
        <v>3955</v>
      </c>
      <c r="I2235">
        <v>16973</v>
      </c>
      <c r="J2235" t="s">
        <v>9483</v>
      </c>
      <c r="K2235" t="s">
        <v>9484</v>
      </c>
      <c r="L2235" t="s">
        <v>386</v>
      </c>
      <c r="M2235" t="s">
        <v>1193</v>
      </c>
      <c r="N2235">
        <v>16973</v>
      </c>
      <c r="O2235">
        <v>0</v>
      </c>
      <c r="Q2235" t="s">
        <v>9485</v>
      </c>
      <c r="R2235" t="s">
        <v>1208</v>
      </c>
      <c r="T2235">
        <v>103</v>
      </c>
      <c r="V2235" t="s">
        <v>1530</v>
      </c>
      <c r="W2235" t="s">
        <v>1530</v>
      </c>
      <c r="X2235">
        <v>103</v>
      </c>
      <c r="Z2235" t="s">
        <v>915</v>
      </c>
      <c r="AA2235" t="s">
        <v>387</v>
      </c>
      <c r="AB2235">
        <v>0</v>
      </c>
      <c r="AC2235">
        <v>5660</v>
      </c>
      <c r="AD2235" t="s">
        <v>9486</v>
      </c>
      <c r="AE2235">
        <v>2917</v>
      </c>
      <c r="AF2235" t="s">
        <v>9487</v>
      </c>
      <c r="AG2235" t="s">
        <v>9488</v>
      </c>
      <c r="AH2235" t="s">
        <v>9489</v>
      </c>
    </row>
    <row r="2236" spans="1:34" x14ac:dyDescent="0.25">
      <c r="A2236">
        <v>5</v>
      </c>
      <c r="B2236" t="s">
        <v>1313</v>
      </c>
      <c r="C2236" s="185"/>
      <c r="D2236" t="s">
        <v>24</v>
      </c>
      <c r="E2236" t="s">
        <v>386</v>
      </c>
      <c r="F2236" t="s">
        <v>263</v>
      </c>
      <c r="G2236" t="s">
        <v>1197</v>
      </c>
      <c r="H2236" t="s">
        <v>9208</v>
      </c>
      <c r="I2236">
        <v>12943</v>
      </c>
      <c r="J2236" t="s">
        <v>263</v>
      </c>
      <c r="K2236" t="s">
        <v>9258</v>
      </c>
      <c r="L2236" t="s">
        <v>386</v>
      </c>
      <c r="M2236" t="s">
        <v>1193</v>
      </c>
      <c r="N2236">
        <v>12943</v>
      </c>
      <c r="O2236">
        <v>39</v>
      </c>
      <c r="Q2236" t="s">
        <v>9490</v>
      </c>
      <c r="R2236" t="s">
        <v>398</v>
      </c>
      <c r="S2236" t="s">
        <v>7889</v>
      </c>
      <c r="T2236">
        <v>220</v>
      </c>
      <c r="U2236">
        <v>0</v>
      </c>
      <c r="V2236" t="s">
        <v>1194</v>
      </c>
      <c r="W2236" t="s">
        <v>1199</v>
      </c>
      <c r="X2236">
        <v>200</v>
      </c>
      <c r="Y2236" t="s">
        <v>1317</v>
      </c>
      <c r="Z2236" t="s">
        <v>861</v>
      </c>
      <c r="AA2236" t="s">
        <v>387</v>
      </c>
      <c r="AB2236">
        <v>31000</v>
      </c>
      <c r="AC2236">
        <v>4825</v>
      </c>
      <c r="AD2236" t="s">
        <v>9491</v>
      </c>
      <c r="AE2236">
        <v>1865</v>
      </c>
      <c r="AF2236" t="s">
        <v>9261</v>
      </c>
      <c r="AG2236" t="s">
        <v>1244</v>
      </c>
      <c r="AH2236" t="s">
        <v>9262</v>
      </c>
    </row>
    <row r="2237" spans="1:34" x14ac:dyDescent="0.25">
      <c r="A2237">
        <v>32</v>
      </c>
      <c r="C2237" s="185"/>
      <c r="E2237" t="s">
        <v>386</v>
      </c>
      <c r="F2237" t="s">
        <v>9492</v>
      </c>
      <c r="G2237" t="s">
        <v>1197</v>
      </c>
      <c r="H2237" t="s">
        <v>3480</v>
      </c>
      <c r="I2237">
        <v>13379</v>
      </c>
      <c r="J2237" t="s">
        <v>9492</v>
      </c>
      <c r="K2237" t="s">
        <v>9493</v>
      </c>
      <c r="L2237" t="s">
        <v>386</v>
      </c>
      <c r="M2237" t="s">
        <v>1193</v>
      </c>
      <c r="N2237">
        <v>13379</v>
      </c>
      <c r="O2237">
        <v>0</v>
      </c>
      <c r="Q2237" t="s">
        <v>9494</v>
      </c>
      <c r="R2237" t="s">
        <v>1208</v>
      </c>
      <c r="T2237">
        <v>304</v>
      </c>
      <c r="V2237" t="s">
        <v>2067</v>
      </c>
      <c r="W2237" t="s">
        <v>2067</v>
      </c>
      <c r="X2237">
        <v>304</v>
      </c>
      <c r="Z2237" t="s">
        <v>874</v>
      </c>
      <c r="AA2237" t="s">
        <v>387</v>
      </c>
      <c r="AB2237">
        <v>0</v>
      </c>
      <c r="AC2237">
        <v>4334</v>
      </c>
      <c r="AD2237" t="s">
        <v>3481</v>
      </c>
      <c r="AE2237">
        <v>1854</v>
      </c>
      <c r="AF2237" t="s">
        <v>3482</v>
      </c>
      <c r="AG2237" t="s">
        <v>2373</v>
      </c>
      <c r="AH2237" t="s">
        <v>9495</v>
      </c>
    </row>
    <row r="2238" spans="1:34" x14ac:dyDescent="0.25">
      <c r="A2238">
        <v>1953</v>
      </c>
      <c r="C2238" s="185"/>
      <c r="D2238" t="s">
        <v>157</v>
      </c>
      <c r="E2238" t="s">
        <v>386</v>
      </c>
      <c r="F2238" t="s">
        <v>368</v>
      </c>
      <c r="G2238" t="s">
        <v>1238</v>
      </c>
      <c r="H2238" t="s">
        <v>9496</v>
      </c>
      <c r="I2238">
        <v>11456</v>
      </c>
      <c r="J2238" t="s">
        <v>183</v>
      </c>
      <c r="K2238" t="s">
        <v>9497</v>
      </c>
      <c r="L2238" t="s">
        <v>386</v>
      </c>
      <c r="M2238" t="s">
        <v>1184</v>
      </c>
      <c r="N2238">
        <v>15353</v>
      </c>
      <c r="O2238">
        <v>42</v>
      </c>
      <c r="Q2238" t="s">
        <v>9498</v>
      </c>
      <c r="R2238" t="s">
        <v>398</v>
      </c>
      <c r="T2238">
        <v>272</v>
      </c>
      <c r="V2238" t="s">
        <v>2107</v>
      </c>
      <c r="W2238" t="s">
        <v>1988</v>
      </c>
      <c r="X2238">
        <v>122</v>
      </c>
      <c r="Z2238" t="s">
        <v>9499</v>
      </c>
      <c r="AA2238" t="s">
        <v>387</v>
      </c>
      <c r="AB2238">
        <v>34000</v>
      </c>
      <c r="AC2238">
        <v>4371</v>
      </c>
      <c r="AD2238" t="s">
        <v>9500</v>
      </c>
      <c r="AE2238">
        <v>18</v>
      </c>
      <c r="AF2238" t="s">
        <v>1259</v>
      </c>
      <c r="AG2238" t="s">
        <v>2044</v>
      </c>
      <c r="AH2238" t="s">
        <v>9501</v>
      </c>
    </row>
    <row r="2239" spans="1:34" x14ac:dyDescent="0.25">
      <c r="A2239">
        <v>2003</v>
      </c>
      <c r="C2239" s="185"/>
      <c r="D2239" t="s">
        <v>157</v>
      </c>
      <c r="E2239" t="s">
        <v>386</v>
      </c>
      <c r="F2239" t="s">
        <v>6929</v>
      </c>
      <c r="G2239" t="s">
        <v>1238</v>
      </c>
      <c r="H2239" t="s">
        <v>8923</v>
      </c>
      <c r="I2239">
        <v>12431</v>
      </c>
      <c r="J2239" t="s">
        <v>6929</v>
      </c>
      <c r="K2239" t="s">
        <v>9502</v>
      </c>
      <c r="L2239" t="s">
        <v>386</v>
      </c>
      <c r="M2239" t="s">
        <v>1184</v>
      </c>
      <c r="N2239">
        <v>12431</v>
      </c>
      <c r="O2239">
        <v>0</v>
      </c>
      <c r="Q2239" t="s">
        <v>9503</v>
      </c>
      <c r="T2239">
        <v>52</v>
      </c>
      <c r="V2239" t="s">
        <v>2024</v>
      </c>
      <c r="W2239" t="s">
        <v>1712</v>
      </c>
      <c r="X2239">
        <v>388</v>
      </c>
      <c r="Z2239" t="s">
        <v>1135</v>
      </c>
      <c r="AA2239" t="s">
        <v>387</v>
      </c>
      <c r="AB2239">
        <v>0</v>
      </c>
      <c r="AC2239">
        <v>4665</v>
      </c>
      <c r="AD2239" t="s">
        <v>9504</v>
      </c>
      <c r="AE2239">
        <v>18</v>
      </c>
      <c r="AF2239" t="s">
        <v>1259</v>
      </c>
      <c r="AG2239" t="s">
        <v>1244</v>
      </c>
      <c r="AH2239" t="s">
        <v>9505</v>
      </c>
    </row>
    <row r="2240" spans="1:34" x14ac:dyDescent="0.25">
      <c r="A2240">
        <v>2127</v>
      </c>
      <c r="C2240" s="185"/>
      <c r="E2240" t="s">
        <v>386</v>
      </c>
      <c r="F2240" t="s">
        <v>9506</v>
      </c>
      <c r="G2240" t="s">
        <v>1238</v>
      </c>
      <c r="H2240" t="s">
        <v>9507</v>
      </c>
      <c r="I2240">
        <v>15495</v>
      </c>
      <c r="J2240" t="s">
        <v>9506</v>
      </c>
      <c r="K2240" t="s">
        <v>9508</v>
      </c>
      <c r="L2240" t="s">
        <v>386</v>
      </c>
      <c r="M2240" t="s">
        <v>1184</v>
      </c>
      <c r="N2240">
        <v>15495</v>
      </c>
      <c r="O2240">
        <v>0</v>
      </c>
      <c r="Q2240" t="s">
        <v>9509</v>
      </c>
      <c r="T2240">
        <v>260</v>
      </c>
      <c r="V2240" t="s">
        <v>1216</v>
      </c>
      <c r="W2240" t="s">
        <v>1216</v>
      </c>
      <c r="X2240">
        <v>260</v>
      </c>
      <c r="Z2240" t="s">
        <v>9510</v>
      </c>
      <c r="AA2240" t="s">
        <v>387</v>
      </c>
      <c r="AB2240">
        <v>0</v>
      </c>
      <c r="AC2240">
        <v>5846</v>
      </c>
      <c r="AD2240" t="s">
        <v>9511</v>
      </c>
      <c r="AE2240">
        <v>18</v>
      </c>
      <c r="AF2240" t="s">
        <v>1259</v>
      </c>
      <c r="AG2240" t="s">
        <v>4930</v>
      </c>
      <c r="AH2240" t="s">
        <v>9512</v>
      </c>
    </row>
    <row r="2241" spans="1:34" x14ac:dyDescent="0.25">
      <c r="A2241">
        <v>32</v>
      </c>
      <c r="C2241" s="185"/>
      <c r="D2241" t="s">
        <v>157</v>
      </c>
      <c r="E2241" t="s">
        <v>386</v>
      </c>
      <c r="F2241" t="s">
        <v>9513</v>
      </c>
      <c r="G2241" t="s">
        <v>1197</v>
      </c>
      <c r="H2241" t="s">
        <v>9514</v>
      </c>
      <c r="I2241">
        <v>10543</v>
      </c>
      <c r="J2241" t="s">
        <v>9513</v>
      </c>
      <c r="K2241" t="s">
        <v>9515</v>
      </c>
      <c r="L2241" t="s">
        <v>386</v>
      </c>
      <c r="M2241" t="s">
        <v>1193</v>
      </c>
      <c r="N2241">
        <v>10543</v>
      </c>
      <c r="O2241">
        <v>25</v>
      </c>
      <c r="Q2241" t="s">
        <v>9516</v>
      </c>
      <c r="T2241">
        <v>340</v>
      </c>
      <c r="V2241" t="s">
        <v>1200</v>
      </c>
      <c r="W2241" t="s">
        <v>3202</v>
      </c>
      <c r="X2241">
        <v>280</v>
      </c>
      <c r="Z2241" t="s">
        <v>874</v>
      </c>
      <c r="AA2241" t="s">
        <v>387</v>
      </c>
      <c r="AB2241">
        <v>0</v>
      </c>
      <c r="AC2241">
        <v>1960</v>
      </c>
      <c r="AD2241" t="s">
        <v>9517</v>
      </c>
      <c r="AE2241">
        <v>1854</v>
      </c>
      <c r="AF2241" t="s">
        <v>3482</v>
      </c>
      <c r="AG2241" t="s">
        <v>9518</v>
      </c>
      <c r="AH2241" t="s">
        <v>9519</v>
      </c>
    </row>
    <row r="2242" spans="1:34" x14ac:dyDescent="0.25">
      <c r="A2242">
        <v>1</v>
      </c>
      <c r="C2242" s="185"/>
      <c r="E2242" t="s">
        <v>386</v>
      </c>
      <c r="F2242" t="s">
        <v>9520</v>
      </c>
      <c r="G2242" t="s">
        <v>1192</v>
      </c>
      <c r="I2242">
        <v>3051</v>
      </c>
      <c r="J2242" t="s">
        <v>9520</v>
      </c>
      <c r="K2242" t="s">
        <v>9520</v>
      </c>
      <c r="L2242" t="s">
        <v>386</v>
      </c>
      <c r="M2242" t="s">
        <v>1184</v>
      </c>
      <c r="N2242">
        <v>3051</v>
      </c>
      <c r="O2242">
        <v>0</v>
      </c>
      <c r="Q2242" t="s">
        <v>9521</v>
      </c>
      <c r="R2242" t="s">
        <v>1208</v>
      </c>
      <c r="T2242">
        <v>0</v>
      </c>
      <c r="V2242" t="s">
        <v>1186</v>
      </c>
      <c r="Z2242" t="s">
        <v>865</v>
      </c>
      <c r="AA2242" t="s">
        <v>386</v>
      </c>
      <c r="AB2242">
        <v>0</v>
      </c>
      <c r="AC2242">
        <v>2041</v>
      </c>
      <c r="AD2242" t="s">
        <v>9522</v>
      </c>
      <c r="AE2242">
        <v>26</v>
      </c>
      <c r="AF2242" t="s">
        <v>2075</v>
      </c>
      <c r="AG2242" t="s">
        <v>9523</v>
      </c>
      <c r="AH2242" t="s">
        <v>9524</v>
      </c>
    </row>
    <row r="2243" spans="1:34" x14ac:dyDescent="0.25">
      <c r="A2243">
        <v>1589</v>
      </c>
      <c r="B2243" t="s">
        <v>1313</v>
      </c>
      <c r="C2243" s="185"/>
      <c r="D2243" t="s">
        <v>24</v>
      </c>
      <c r="E2243" t="s">
        <v>386</v>
      </c>
      <c r="F2243" t="s">
        <v>358</v>
      </c>
      <c r="G2243" t="s">
        <v>1197</v>
      </c>
      <c r="H2243" t="s">
        <v>8931</v>
      </c>
      <c r="I2243">
        <v>13861</v>
      </c>
      <c r="J2243" t="s">
        <v>239</v>
      </c>
      <c r="K2243" t="s">
        <v>7857</v>
      </c>
      <c r="L2243" t="s">
        <v>386</v>
      </c>
      <c r="M2243" t="s">
        <v>1193</v>
      </c>
      <c r="N2243">
        <v>15319</v>
      </c>
      <c r="O2243">
        <v>68</v>
      </c>
      <c r="Q2243" t="s">
        <v>9525</v>
      </c>
      <c r="R2243" t="s">
        <v>398</v>
      </c>
      <c r="S2243" t="s">
        <v>4594</v>
      </c>
      <c r="T2243">
        <v>470</v>
      </c>
      <c r="U2243">
        <v>0</v>
      </c>
      <c r="V2243" t="s">
        <v>4468</v>
      </c>
      <c r="W2243" t="s">
        <v>1194</v>
      </c>
      <c r="X2243">
        <v>220</v>
      </c>
      <c r="Y2243" t="s">
        <v>1317</v>
      </c>
      <c r="Z2243" t="s">
        <v>8934</v>
      </c>
      <c r="AA2243" t="s">
        <v>387</v>
      </c>
      <c r="AB2243">
        <v>60000</v>
      </c>
      <c r="AC2243">
        <v>5235</v>
      </c>
      <c r="AD2243" t="s">
        <v>9526</v>
      </c>
      <c r="AE2243">
        <v>2429</v>
      </c>
      <c r="AF2243" t="s">
        <v>9527</v>
      </c>
      <c r="AG2243" t="s">
        <v>2044</v>
      </c>
      <c r="AH2243" t="s">
        <v>9528</v>
      </c>
    </row>
    <row r="2244" spans="1:34" x14ac:dyDescent="0.25">
      <c r="A2244">
        <v>1278</v>
      </c>
      <c r="C2244" s="185"/>
      <c r="E2244" t="s">
        <v>386</v>
      </c>
      <c r="F2244" t="s">
        <v>9529</v>
      </c>
      <c r="G2244" t="s">
        <v>1197</v>
      </c>
      <c r="H2244" t="s">
        <v>9465</v>
      </c>
      <c r="I2244">
        <v>17157</v>
      </c>
      <c r="J2244" t="s">
        <v>9529</v>
      </c>
      <c r="K2244" t="s">
        <v>9530</v>
      </c>
      <c r="L2244" t="s">
        <v>386</v>
      </c>
      <c r="M2244" t="s">
        <v>1193</v>
      </c>
      <c r="N2244">
        <v>17157</v>
      </c>
      <c r="O2244">
        <v>0</v>
      </c>
      <c r="Q2244" t="s">
        <v>9531</v>
      </c>
      <c r="R2244" t="s">
        <v>1208</v>
      </c>
      <c r="T2244">
        <v>509</v>
      </c>
      <c r="V2244" t="s">
        <v>5803</v>
      </c>
      <c r="W2244" t="s">
        <v>5803</v>
      </c>
      <c r="X2244">
        <v>509</v>
      </c>
      <c r="Z2244" t="s">
        <v>1128</v>
      </c>
      <c r="AA2244" t="s">
        <v>387</v>
      </c>
      <c r="AB2244">
        <v>0</v>
      </c>
      <c r="AC2244">
        <v>6466</v>
      </c>
      <c r="AD2244" t="s">
        <v>9532</v>
      </c>
      <c r="AE2244">
        <v>18</v>
      </c>
      <c r="AF2244" t="s">
        <v>1259</v>
      </c>
      <c r="AG2244" t="s">
        <v>2044</v>
      </c>
      <c r="AH2244" t="s">
        <v>9533</v>
      </c>
    </row>
    <row r="2245" spans="1:34" x14ac:dyDescent="0.25">
      <c r="A2245">
        <v>1</v>
      </c>
      <c r="C2245" s="185"/>
      <c r="E2245" t="s">
        <v>386</v>
      </c>
      <c r="F2245" t="s">
        <v>2452</v>
      </c>
      <c r="G2245" t="s">
        <v>1192</v>
      </c>
      <c r="H2245" t="s">
        <v>9534</v>
      </c>
      <c r="I2245">
        <v>4458</v>
      </c>
      <c r="J2245" t="s">
        <v>9535</v>
      </c>
      <c r="K2245" t="s">
        <v>9535</v>
      </c>
      <c r="L2245" t="s">
        <v>386</v>
      </c>
      <c r="M2245" t="s">
        <v>1184</v>
      </c>
      <c r="N2245">
        <v>3252</v>
      </c>
      <c r="O2245">
        <v>0</v>
      </c>
      <c r="Q2245" t="s">
        <v>9536</v>
      </c>
      <c r="R2245" t="s">
        <v>1223</v>
      </c>
      <c r="T2245">
        <v>52</v>
      </c>
      <c r="V2245" t="s">
        <v>2024</v>
      </c>
      <c r="W2245" t="s">
        <v>1712</v>
      </c>
      <c r="X2245">
        <v>388</v>
      </c>
      <c r="Z2245" t="s">
        <v>865</v>
      </c>
      <c r="AA2245" t="s">
        <v>387</v>
      </c>
      <c r="AB2245">
        <v>0</v>
      </c>
      <c r="AC2245">
        <v>0</v>
      </c>
      <c r="AD2245" t="s">
        <v>1187</v>
      </c>
      <c r="AE2245">
        <v>0</v>
      </c>
      <c r="AF2245" t="s">
        <v>1188</v>
      </c>
      <c r="AH2245" t="s">
        <v>9537</v>
      </c>
    </row>
    <row r="2246" spans="1:34" x14ac:dyDescent="0.25">
      <c r="A2246">
        <v>1589</v>
      </c>
      <c r="C2246" s="185"/>
      <c r="E2246" t="s">
        <v>386</v>
      </c>
      <c r="F2246" t="s">
        <v>701</v>
      </c>
      <c r="G2246" t="s">
        <v>1197</v>
      </c>
      <c r="H2246" t="s">
        <v>8931</v>
      </c>
      <c r="I2246">
        <v>17341</v>
      </c>
      <c r="J2246" t="s">
        <v>701</v>
      </c>
      <c r="K2246" t="s">
        <v>9538</v>
      </c>
      <c r="L2246" t="s">
        <v>386</v>
      </c>
      <c r="M2246" t="s">
        <v>1193</v>
      </c>
      <c r="N2246">
        <v>17341</v>
      </c>
      <c r="O2246">
        <v>41</v>
      </c>
      <c r="Q2246" t="s">
        <v>9539</v>
      </c>
      <c r="R2246" t="s">
        <v>398</v>
      </c>
      <c r="T2246">
        <v>246</v>
      </c>
      <c r="V2246" t="s">
        <v>3321</v>
      </c>
      <c r="W2246" t="s">
        <v>3321</v>
      </c>
      <c r="X2246">
        <v>246</v>
      </c>
      <c r="Z2246" t="s">
        <v>8934</v>
      </c>
      <c r="AA2246" t="s">
        <v>387</v>
      </c>
      <c r="AB2246">
        <v>33000</v>
      </c>
      <c r="AC2246">
        <v>6518</v>
      </c>
      <c r="AD2246" t="s">
        <v>9540</v>
      </c>
      <c r="AE2246">
        <v>3007</v>
      </c>
      <c r="AF2246" t="s">
        <v>9541</v>
      </c>
      <c r="AG2246" t="s">
        <v>2044</v>
      </c>
      <c r="AH2246" t="s">
        <v>9542</v>
      </c>
    </row>
    <row r="2247" spans="1:34" x14ac:dyDescent="0.25">
      <c r="A2247">
        <v>2226</v>
      </c>
      <c r="C2247" s="185"/>
      <c r="E2247" t="s">
        <v>386</v>
      </c>
      <c r="F2247" t="s">
        <v>741</v>
      </c>
      <c r="G2247" t="s">
        <v>1197</v>
      </c>
      <c r="H2247" t="s">
        <v>9543</v>
      </c>
      <c r="I2247">
        <v>17511</v>
      </c>
      <c r="J2247" t="s">
        <v>741</v>
      </c>
      <c r="K2247" t="s">
        <v>9544</v>
      </c>
      <c r="L2247" t="s">
        <v>386</v>
      </c>
      <c r="M2247" t="s">
        <v>1193</v>
      </c>
      <c r="N2247">
        <v>17511</v>
      </c>
      <c r="O2247">
        <v>73</v>
      </c>
      <c r="Q2247" t="s">
        <v>9545</v>
      </c>
      <c r="R2247" t="s">
        <v>398</v>
      </c>
      <c r="T2247">
        <v>246</v>
      </c>
      <c r="V2247" t="s">
        <v>3321</v>
      </c>
      <c r="W2247" t="s">
        <v>3321</v>
      </c>
      <c r="X2247">
        <v>246</v>
      </c>
      <c r="Z2247" t="s">
        <v>9546</v>
      </c>
      <c r="AA2247" t="s">
        <v>387</v>
      </c>
      <c r="AB2247">
        <v>64000</v>
      </c>
      <c r="AC2247">
        <v>6566</v>
      </c>
      <c r="AD2247" t="s">
        <v>9547</v>
      </c>
      <c r="AE2247">
        <v>1</v>
      </c>
      <c r="AF2247" t="s">
        <v>1922</v>
      </c>
      <c r="AG2247" t="s">
        <v>9548</v>
      </c>
      <c r="AH2247" t="s">
        <v>9549</v>
      </c>
    </row>
    <row r="2248" spans="1:34" x14ac:dyDescent="0.25">
      <c r="A2248">
        <v>724</v>
      </c>
      <c r="C2248" s="185"/>
      <c r="E2248" t="s">
        <v>386</v>
      </c>
      <c r="F2248" t="s">
        <v>9550</v>
      </c>
      <c r="G2248" t="s">
        <v>1197</v>
      </c>
      <c r="H2248" t="s">
        <v>9551</v>
      </c>
      <c r="I2248">
        <v>16160</v>
      </c>
      <c r="J2248" t="s">
        <v>9550</v>
      </c>
      <c r="K2248" t="s">
        <v>9552</v>
      </c>
      <c r="L2248" t="s">
        <v>386</v>
      </c>
      <c r="M2248" t="s">
        <v>1193</v>
      </c>
      <c r="N2248">
        <v>16160</v>
      </c>
      <c r="O2248">
        <v>0</v>
      </c>
      <c r="Q2248" t="s">
        <v>9553</v>
      </c>
      <c r="T2248">
        <v>52</v>
      </c>
      <c r="V2248" t="s">
        <v>2024</v>
      </c>
      <c r="W2248" t="s">
        <v>1964</v>
      </c>
      <c r="X2248">
        <v>473</v>
      </c>
      <c r="Z2248" t="s">
        <v>9554</v>
      </c>
      <c r="AA2248" t="s">
        <v>387</v>
      </c>
      <c r="AB2248">
        <v>0</v>
      </c>
      <c r="AC2248">
        <v>6077</v>
      </c>
      <c r="AD2248" t="s">
        <v>9555</v>
      </c>
      <c r="AE2248">
        <v>2164</v>
      </c>
      <c r="AF2248" t="s">
        <v>9556</v>
      </c>
      <c r="AG2248" t="s">
        <v>9557</v>
      </c>
      <c r="AH2248" t="s">
        <v>9558</v>
      </c>
    </row>
    <row r="2249" spans="1:34" x14ac:dyDescent="0.25">
      <c r="A2249">
        <v>5</v>
      </c>
      <c r="B2249" t="s">
        <v>1313</v>
      </c>
      <c r="C2249" s="185"/>
      <c r="D2249" t="s">
        <v>24</v>
      </c>
      <c r="E2249" t="s">
        <v>386</v>
      </c>
      <c r="F2249" t="s">
        <v>349</v>
      </c>
      <c r="G2249" t="s">
        <v>1197</v>
      </c>
      <c r="H2249" t="s">
        <v>9208</v>
      </c>
      <c r="I2249">
        <v>13836</v>
      </c>
      <c r="J2249" t="s">
        <v>349</v>
      </c>
      <c r="K2249" t="s">
        <v>9559</v>
      </c>
      <c r="L2249" t="s">
        <v>386</v>
      </c>
      <c r="M2249" t="s">
        <v>1193</v>
      </c>
      <c r="N2249">
        <v>13836</v>
      </c>
      <c r="O2249">
        <v>39</v>
      </c>
      <c r="Q2249" t="s">
        <v>9560</v>
      </c>
      <c r="R2249" t="s">
        <v>398</v>
      </c>
      <c r="S2249" t="s">
        <v>8216</v>
      </c>
      <c r="T2249">
        <v>521</v>
      </c>
      <c r="U2249">
        <v>0</v>
      </c>
      <c r="V2249" t="s">
        <v>6311</v>
      </c>
      <c r="W2249" t="s">
        <v>2186</v>
      </c>
      <c r="X2249">
        <v>396</v>
      </c>
      <c r="Y2249" t="s">
        <v>1317</v>
      </c>
      <c r="Z2249" t="s">
        <v>861</v>
      </c>
      <c r="AA2249" t="s">
        <v>387</v>
      </c>
      <c r="AB2249">
        <v>31000</v>
      </c>
      <c r="AC2249">
        <v>5216</v>
      </c>
      <c r="AD2249" t="s">
        <v>9561</v>
      </c>
      <c r="AE2249">
        <v>1865</v>
      </c>
      <c r="AF2249" t="s">
        <v>9261</v>
      </c>
      <c r="AG2249" t="s">
        <v>3251</v>
      </c>
      <c r="AH2249" t="s">
        <v>9562</v>
      </c>
    </row>
    <row r="2250" spans="1:34" x14ac:dyDescent="0.25">
      <c r="A2250">
        <v>44</v>
      </c>
      <c r="C2250" s="185"/>
      <c r="E2250" t="s">
        <v>386</v>
      </c>
      <c r="F2250" t="s">
        <v>9563</v>
      </c>
      <c r="G2250" t="s">
        <v>1238</v>
      </c>
      <c r="H2250" t="s">
        <v>9564</v>
      </c>
      <c r="I2250">
        <v>14432</v>
      </c>
      <c r="J2250" t="s">
        <v>9563</v>
      </c>
      <c r="K2250" t="s">
        <v>9565</v>
      </c>
      <c r="L2250" t="s">
        <v>386</v>
      </c>
      <c r="M2250" t="s">
        <v>1184</v>
      </c>
      <c r="N2250">
        <v>14432</v>
      </c>
      <c r="O2250">
        <v>0</v>
      </c>
      <c r="Q2250" t="s">
        <v>9566</v>
      </c>
      <c r="T2250">
        <v>426</v>
      </c>
      <c r="V2250" t="s">
        <v>1257</v>
      </c>
      <c r="W2250" t="s">
        <v>1257</v>
      </c>
      <c r="X2250">
        <v>426</v>
      </c>
      <c r="Z2250" t="s">
        <v>1052</v>
      </c>
      <c r="AA2250" t="s">
        <v>387</v>
      </c>
      <c r="AB2250">
        <v>0</v>
      </c>
      <c r="AC2250">
        <v>5486</v>
      </c>
      <c r="AD2250" t="s">
        <v>9567</v>
      </c>
      <c r="AE2250">
        <v>0</v>
      </c>
      <c r="AF2250" t="s">
        <v>1188</v>
      </c>
      <c r="AG2250" t="s">
        <v>1244</v>
      </c>
      <c r="AH2250" t="s">
        <v>9568</v>
      </c>
    </row>
    <row r="2251" spans="1:34" x14ac:dyDescent="0.25">
      <c r="A2251">
        <v>1838</v>
      </c>
      <c r="C2251" s="185"/>
      <c r="E2251" t="s">
        <v>386</v>
      </c>
      <c r="F2251" t="s">
        <v>795</v>
      </c>
      <c r="G2251" t="s">
        <v>1197</v>
      </c>
      <c r="H2251" t="s">
        <v>9139</v>
      </c>
      <c r="I2251">
        <v>17642</v>
      </c>
      <c r="J2251" t="s">
        <v>795</v>
      </c>
      <c r="K2251" t="s">
        <v>9569</v>
      </c>
      <c r="L2251" t="s">
        <v>386</v>
      </c>
      <c r="M2251" t="s">
        <v>1193</v>
      </c>
      <c r="N2251">
        <v>17642</v>
      </c>
      <c r="O2251">
        <v>41</v>
      </c>
      <c r="Q2251" t="s">
        <v>9570</v>
      </c>
      <c r="R2251" t="s">
        <v>398</v>
      </c>
      <c r="T2251">
        <v>246</v>
      </c>
      <c r="V2251" t="s">
        <v>3321</v>
      </c>
      <c r="W2251" t="s">
        <v>3321</v>
      </c>
      <c r="X2251">
        <v>246</v>
      </c>
      <c r="Z2251" t="s">
        <v>9142</v>
      </c>
      <c r="AA2251" t="s">
        <v>387</v>
      </c>
      <c r="AB2251">
        <v>33000</v>
      </c>
      <c r="AC2251">
        <v>6597</v>
      </c>
      <c r="AD2251" t="s">
        <v>9571</v>
      </c>
      <c r="AE2251">
        <v>18</v>
      </c>
      <c r="AF2251" t="s">
        <v>1259</v>
      </c>
      <c r="AG2251" t="s">
        <v>1244</v>
      </c>
      <c r="AH2251" t="s">
        <v>9572</v>
      </c>
    </row>
    <row r="2252" spans="1:34" x14ac:dyDescent="0.25">
      <c r="A2252">
        <v>1592</v>
      </c>
      <c r="C2252" s="185"/>
      <c r="E2252" t="s">
        <v>386</v>
      </c>
      <c r="F2252" t="s">
        <v>9573</v>
      </c>
      <c r="G2252" t="s">
        <v>1238</v>
      </c>
      <c r="H2252" t="s">
        <v>9574</v>
      </c>
      <c r="I2252">
        <v>14280</v>
      </c>
      <c r="J2252" t="s">
        <v>9573</v>
      </c>
      <c r="K2252" t="s">
        <v>9575</v>
      </c>
      <c r="L2252" t="s">
        <v>386</v>
      </c>
      <c r="M2252" t="s">
        <v>1184</v>
      </c>
      <c r="N2252">
        <v>14280</v>
      </c>
      <c r="O2252">
        <v>0</v>
      </c>
      <c r="Q2252" t="s">
        <v>9576</v>
      </c>
      <c r="T2252">
        <v>426</v>
      </c>
      <c r="V2252" t="s">
        <v>1257</v>
      </c>
      <c r="W2252" t="s">
        <v>1257</v>
      </c>
      <c r="X2252">
        <v>426</v>
      </c>
      <c r="Z2252" t="s">
        <v>9577</v>
      </c>
      <c r="AA2252" t="s">
        <v>387</v>
      </c>
      <c r="AB2252">
        <v>0</v>
      </c>
      <c r="AC2252">
        <v>5414</v>
      </c>
      <c r="AD2252" t="s">
        <v>9573</v>
      </c>
      <c r="AE2252">
        <v>18</v>
      </c>
      <c r="AF2252" t="s">
        <v>1259</v>
      </c>
      <c r="AG2252" t="s">
        <v>1244</v>
      </c>
      <c r="AH2252" t="s">
        <v>9578</v>
      </c>
    </row>
    <row r="2253" spans="1:34" x14ac:dyDescent="0.25">
      <c r="A2253">
        <v>1589</v>
      </c>
      <c r="C2253" s="185"/>
      <c r="D2253" t="s">
        <v>157</v>
      </c>
      <c r="E2253" t="s">
        <v>386</v>
      </c>
      <c r="F2253" t="s">
        <v>9579</v>
      </c>
      <c r="G2253" t="s">
        <v>1238</v>
      </c>
      <c r="H2253" t="s">
        <v>8931</v>
      </c>
      <c r="I2253">
        <v>12422</v>
      </c>
      <c r="J2253" t="s">
        <v>9579</v>
      </c>
      <c r="K2253" t="s">
        <v>9579</v>
      </c>
      <c r="L2253" t="s">
        <v>386</v>
      </c>
      <c r="M2253" t="s">
        <v>1184</v>
      </c>
      <c r="N2253">
        <v>12422</v>
      </c>
      <c r="O2253">
        <v>0</v>
      </c>
      <c r="Q2253" t="s">
        <v>9580</v>
      </c>
      <c r="R2253" t="s">
        <v>398</v>
      </c>
      <c r="T2253">
        <v>52</v>
      </c>
      <c r="V2253" t="s">
        <v>2024</v>
      </c>
      <c r="W2253" t="s">
        <v>1712</v>
      </c>
      <c r="X2253">
        <v>388</v>
      </c>
      <c r="Z2253" t="s">
        <v>8934</v>
      </c>
      <c r="AA2253" t="s">
        <v>387</v>
      </c>
      <c r="AB2253">
        <v>19000</v>
      </c>
      <c r="AC2253">
        <v>4663</v>
      </c>
      <c r="AD2253" t="s">
        <v>9581</v>
      </c>
      <c r="AE2253">
        <v>18</v>
      </c>
      <c r="AF2253" t="s">
        <v>1259</v>
      </c>
      <c r="AG2253" t="s">
        <v>1244</v>
      </c>
    </row>
    <row r="2254" spans="1:34" x14ac:dyDescent="0.25">
      <c r="A2254">
        <v>1479</v>
      </c>
      <c r="C2254" s="185"/>
      <c r="E2254" t="s">
        <v>386</v>
      </c>
      <c r="F2254" t="s">
        <v>766</v>
      </c>
      <c r="G2254" t="s">
        <v>1197</v>
      </c>
      <c r="H2254" t="s">
        <v>8300</v>
      </c>
      <c r="I2254">
        <v>17618</v>
      </c>
      <c r="J2254" t="s">
        <v>766</v>
      </c>
      <c r="K2254" t="s">
        <v>766</v>
      </c>
      <c r="L2254" t="s">
        <v>386</v>
      </c>
      <c r="M2254" t="s">
        <v>1193</v>
      </c>
      <c r="N2254">
        <v>17618</v>
      </c>
      <c r="O2254">
        <v>0</v>
      </c>
      <c r="Q2254" t="s">
        <v>9582</v>
      </c>
      <c r="R2254" t="s">
        <v>398</v>
      </c>
      <c r="T2254">
        <v>52</v>
      </c>
      <c r="V2254" t="s">
        <v>2024</v>
      </c>
      <c r="W2254" t="s">
        <v>1216</v>
      </c>
      <c r="X2254">
        <v>260</v>
      </c>
      <c r="Z2254" t="s">
        <v>2665</v>
      </c>
      <c r="AA2254" t="s">
        <v>387</v>
      </c>
      <c r="AB2254">
        <v>0</v>
      </c>
      <c r="AC2254">
        <v>1902</v>
      </c>
      <c r="AD2254" t="s">
        <v>8302</v>
      </c>
      <c r="AE2254">
        <v>662</v>
      </c>
      <c r="AF2254" t="s">
        <v>8303</v>
      </c>
      <c r="AG2254" t="s">
        <v>9583</v>
      </c>
      <c r="AH2254" t="s">
        <v>9584</v>
      </c>
    </row>
    <row r="2255" spans="1:34" x14ac:dyDescent="0.25">
      <c r="A2255">
        <v>1</v>
      </c>
      <c r="C2255" s="185"/>
      <c r="E2255" t="s">
        <v>386</v>
      </c>
      <c r="F2255" t="s">
        <v>9585</v>
      </c>
      <c r="G2255" t="s">
        <v>1192</v>
      </c>
      <c r="H2255" t="s">
        <v>9586</v>
      </c>
      <c r="I2255">
        <v>2905</v>
      </c>
      <c r="J2255" t="s">
        <v>9585</v>
      </c>
      <c r="K2255" t="s">
        <v>9587</v>
      </c>
      <c r="L2255" t="s">
        <v>386</v>
      </c>
      <c r="M2255" t="s">
        <v>1184</v>
      </c>
      <c r="N2255">
        <v>2905</v>
      </c>
      <c r="O2255">
        <v>0</v>
      </c>
      <c r="Q2255" t="s">
        <v>9588</v>
      </c>
      <c r="R2255" t="s">
        <v>1208</v>
      </c>
      <c r="T2255">
        <v>260</v>
      </c>
      <c r="V2255" t="s">
        <v>1216</v>
      </c>
      <c r="W2255" t="s">
        <v>2727</v>
      </c>
      <c r="X2255">
        <v>146</v>
      </c>
      <c r="Z2255" t="s">
        <v>865</v>
      </c>
      <c r="AA2255" t="s">
        <v>386</v>
      </c>
      <c r="AB2255">
        <v>0</v>
      </c>
      <c r="AC2255">
        <v>781</v>
      </c>
      <c r="AD2255" t="s">
        <v>9589</v>
      </c>
      <c r="AE2255">
        <v>1810</v>
      </c>
      <c r="AF2255" t="s">
        <v>9590</v>
      </c>
      <c r="AG2255" t="s">
        <v>9591</v>
      </c>
      <c r="AH2255" t="s">
        <v>9592</v>
      </c>
    </row>
    <row r="2256" spans="1:34" x14ac:dyDescent="0.25">
      <c r="A2256">
        <v>2127</v>
      </c>
      <c r="C2256" s="185"/>
      <c r="E2256" t="s">
        <v>386</v>
      </c>
      <c r="F2256" t="s">
        <v>9593</v>
      </c>
      <c r="G2256" t="s">
        <v>1238</v>
      </c>
      <c r="H2256" t="s">
        <v>9507</v>
      </c>
      <c r="I2256">
        <v>15496</v>
      </c>
      <c r="J2256" t="s">
        <v>9593</v>
      </c>
      <c r="K2256" t="s">
        <v>9594</v>
      </c>
      <c r="L2256" t="s">
        <v>386</v>
      </c>
      <c r="M2256" t="s">
        <v>1184</v>
      </c>
      <c r="N2256">
        <v>15496</v>
      </c>
      <c r="O2256">
        <v>0</v>
      </c>
      <c r="Q2256" t="s">
        <v>9595</v>
      </c>
      <c r="T2256">
        <v>260</v>
      </c>
      <c r="V2256" t="s">
        <v>1216</v>
      </c>
      <c r="W2256" t="s">
        <v>1216</v>
      </c>
      <c r="X2256">
        <v>260</v>
      </c>
      <c r="Z2256" t="s">
        <v>9510</v>
      </c>
      <c r="AA2256" t="s">
        <v>387</v>
      </c>
      <c r="AB2256">
        <v>0</v>
      </c>
      <c r="AC2256">
        <v>5847</v>
      </c>
      <c r="AD2256" t="s">
        <v>9596</v>
      </c>
      <c r="AE2256">
        <v>18</v>
      </c>
      <c r="AF2256" t="s">
        <v>1259</v>
      </c>
      <c r="AG2256" t="s">
        <v>4930</v>
      </c>
    </row>
    <row r="2257" spans="1:34" x14ac:dyDescent="0.25">
      <c r="A2257">
        <v>1342</v>
      </c>
      <c r="C2257" s="185"/>
      <c r="E2257" t="s">
        <v>386</v>
      </c>
      <c r="F2257" t="s">
        <v>9597</v>
      </c>
      <c r="H2257" t="s">
        <v>9598</v>
      </c>
      <c r="I2257">
        <v>14282</v>
      </c>
      <c r="J2257" t="s">
        <v>9599</v>
      </c>
      <c r="K2257" t="s">
        <v>9600</v>
      </c>
      <c r="L2257" t="s">
        <v>386</v>
      </c>
      <c r="M2257" t="s">
        <v>1193</v>
      </c>
      <c r="N2257">
        <v>9351</v>
      </c>
      <c r="O2257">
        <v>0</v>
      </c>
      <c r="Q2257" t="s">
        <v>9601</v>
      </c>
      <c r="R2257" t="s">
        <v>1208</v>
      </c>
      <c r="T2257">
        <v>571</v>
      </c>
      <c r="V2257" t="s">
        <v>2003</v>
      </c>
      <c r="W2257" t="s">
        <v>1200</v>
      </c>
      <c r="X2257">
        <v>340</v>
      </c>
      <c r="Z2257" t="s">
        <v>2156</v>
      </c>
      <c r="AA2257" t="s">
        <v>387</v>
      </c>
      <c r="AB2257">
        <v>0</v>
      </c>
      <c r="AC2257">
        <v>558</v>
      </c>
      <c r="AD2257" t="s">
        <v>5485</v>
      </c>
      <c r="AE2257">
        <v>1067</v>
      </c>
      <c r="AF2257" t="s">
        <v>7647</v>
      </c>
      <c r="AG2257" t="s">
        <v>9602</v>
      </c>
      <c r="AH2257" t="s">
        <v>9603</v>
      </c>
    </row>
    <row r="2258" spans="1:34" x14ac:dyDescent="0.25">
      <c r="A2258">
        <v>1479</v>
      </c>
      <c r="C2258" s="185"/>
      <c r="E2258" t="s">
        <v>386</v>
      </c>
      <c r="F2258" t="s">
        <v>9604</v>
      </c>
      <c r="G2258" t="s">
        <v>1197</v>
      </c>
      <c r="H2258" t="s">
        <v>9605</v>
      </c>
      <c r="I2258">
        <v>16721</v>
      </c>
      <c r="J2258" t="s">
        <v>9604</v>
      </c>
      <c r="K2258" t="s">
        <v>9604</v>
      </c>
      <c r="L2258" t="s">
        <v>386</v>
      </c>
      <c r="M2258" t="s">
        <v>1193</v>
      </c>
      <c r="N2258">
        <v>16721</v>
      </c>
      <c r="O2258">
        <v>0</v>
      </c>
      <c r="Q2258" t="s">
        <v>9606</v>
      </c>
      <c r="T2258">
        <v>571</v>
      </c>
      <c r="V2258" t="s">
        <v>2003</v>
      </c>
      <c r="W2258" t="s">
        <v>2024</v>
      </c>
      <c r="X2258">
        <v>52</v>
      </c>
      <c r="Z2258" t="s">
        <v>2665</v>
      </c>
      <c r="AA2258" t="s">
        <v>387</v>
      </c>
      <c r="AB2258">
        <v>0</v>
      </c>
      <c r="AC2258">
        <v>1921</v>
      </c>
      <c r="AD2258" t="s">
        <v>9607</v>
      </c>
      <c r="AE2258">
        <v>906</v>
      </c>
      <c r="AF2258" t="s">
        <v>8554</v>
      </c>
      <c r="AG2258" t="s">
        <v>9608</v>
      </c>
      <c r="AH2258" t="s">
        <v>9609</v>
      </c>
    </row>
    <row r="2259" spans="1:34" x14ac:dyDescent="0.25">
      <c r="A2259">
        <v>32</v>
      </c>
      <c r="C2259" s="185"/>
      <c r="E2259" t="s">
        <v>386</v>
      </c>
      <c r="F2259" t="s">
        <v>9610</v>
      </c>
      <c r="G2259" t="s">
        <v>1197</v>
      </c>
      <c r="H2259" t="s">
        <v>9220</v>
      </c>
      <c r="I2259">
        <v>15697</v>
      </c>
      <c r="J2259" t="s">
        <v>9610</v>
      </c>
      <c r="K2259" t="s">
        <v>9610</v>
      </c>
      <c r="L2259" t="s">
        <v>386</v>
      </c>
      <c r="M2259" t="s">
        <v>1193</v>
      </c>
      <c r="N2259">
        <v>15697</v>
      </c>
      <c r="O2259">
        <v>0</v>
      </c>
      <c r="Q2259" t="s">
        <v>9611</v>
      </c>
      <c r="R2259" t="s">
        <v>398</v>
      </c>
      <c r="T2259">
        <v>260</v>
      </c>
      <c r="V2259" t="s">
        <v>1216</v>
      </c>
      <c r="W2259" t="s">
        <v>1216</v>
      </c>
      <c r="X2259">
        <v>260</v>
      </c>
      <c r="Z2259" t="s">
        <v>874</v>
      </c>
      <c r="AA2259" t="s">
        <v>387</v>
      </c>
      <c r="AB2259">
        <v>0</v>
      </c>
      <c r="AC2259">
        <v>5918</v>
      </c>
      <c r="AD2259" t="s">
        <v>9612</v>
      </c>
      <c r="AE2259">
        <v>2177</v>
      </c>
      <c r="AF2259" t="s">
        <v>9224</v>
      </c>
      <c r="AG2259" t="s">
        <v>9613</v>
      </c>
      <c r="AH2259" t="s">
        <v>9073</v>
      </c>
    </row>
    <row r="2260" spans="1:34" x14ac:dyDescent="0.25">
      <c r="A2260">
        <v>1479</v>
      </c>
      <c r="C2260" s="185"/>
      <c r="E2260" t="s">
        <v>386</v>
      </c>
      <c r="F2260" t="s">
        <v>9614</v>
      </c>
      <c r="G2260" t="s">
        <v>1197</v>
      </c>
      <c r="H2260" t="s">
        <v>9615</v>
      </c>
      <c r="I2260">
        <v>15069</v>
      </c>
      <c r="J2260" t="s">
        <v>9614</v>
      </c>
      <c r="K2260" t="s">
        <v>9616</v>
      </c>
      <c r="L2260" t="s">
        <v>386</v>
      </c>
      <c r="M2260" t="s">
        <v>1193</v>
      </c>
      <c r="N2260">
        <v>15069</v>
      </c>
      <c r="O2260">
        <v>0</v>
      </c>
      <c r="Q2260" t="s">
        <v>9617</v>
      </c>
      <c r="T2260">
        <v>280</v>
      </c>
      <c r="V2260" t="s">
        <v>3202</v>
      </c>
      <c r="W2260" t="s">
        <v>3202</v>
      </c>
      <c r="X2260">
        <v>280</v>
      </c>
      <c r="Z2260" t="s">
        <v>2665</v>
      </c>
      <c r="AA2260" t="s">
        <v>387</v>
      </c>
      <c r="AB2260">
        <v>0</v>
      </c>
      <c r="AC2260">
        <v>5726</v>
      </c>
      <c r="AD2260" t="s">
        <v>9618</v>
      </c>
      <c r="AE2260">
        <v>974</v>
      </c>
      <c r="AF2260" t="s">
        <v>8355</v>
      </c>
      <c r="AG2260" t="s">
        <v>9619</v>
      </c>
      <c r="AH2260" t="s">
        <v>9620</v>
      </c>
    </row>
    <row r="2261" spans="1:34" x14ac:dyDescent="0.25">
      <c r="A2261">
        <v>147</v>
      </c>
      <c r="C2261" s="185"/>
      <c r="E2261" t="s">
        <v>386</v>
      </c>
      <c r="F2261" t="s">
        <v>9621</v>
      </c>
      <c r="G2261" t="s">
        <v>1192</v>
      </c>
      <c r="H2261" t="s">
        <v>9622</v>
      </c>
      <c r="I2261">
        <v>3212</v>
      </c>
      <c r="J2261" t="s">
        <v>9621</v>
      </c>
      <c r="K2261" t="s">
        <v>9621</v>
      </c>
      <c r="L2261" t="s">
        <v>386</v>
      </c>
      <c r="M2261" t="s">
        <v>1193</v>
      </c>
      <c r="N2261">
        <v>3212</v>
      </c>
      <c r="O2261">
        <v>0</v>
      </c>
      <c r="Q2261" t="s">
        <v>5593</v>
      </c>
      <c r="T2261">
        <v>52</v>
      </c>
      <c r="V2261" t="s">
        <v>2024</v>
      </c>
      <c r="Z2261" t="s">
        <v>9623</v>
      </c>
      <c r="AA2261" t="s">
        <v>387</v>
      </c>
      <c r="AB2261">
        <v>0</v>
      </c>
      <c r="AC2261">
        <v>2130</v>
      </c>
      <c r="AD2261" t="s">
        <v>9624</v>
      </c>
      <c r="AE2261">
        <v>1</v>
      </c>
      <c r="AF2261" t="s">
        <v>1922</v>
      </c>
      <c r="AG2261" t="s">
        <v>9625</v>
      </c>
      <c r="AH2261" t="s">
        <v>9626</v>
      </c>
    </row>
    <row r="2262" spans="1:34" x14ac:dyDescent="0.25">
      <c r="A2262">
        <v>1479</v>
      </c>
      <c r="C2262" s="185"/>
      <c r="E2262" t="s">
        <v>386</v>
      </c>
      <c r="F2262" t="s">
        <v>4857</v>
      </c>
      <c r="G2262" t="s">
        <v>1197</v>
      </c>
      <c r="H2262" t="s">
        <v>9627</v>
      </c>
      <c r="I2262">
        <v>14037</v>
      </c>
      <c r="J2262" t="s">
        <v>4857</v>
      </c>
      <c r="K2262" t="s">
        <v>4859</v>
      </c>
      <c r="L2262" t="s">
        <v>386</v>
      </c>
      <c r="M2262" t="s">
        <v>1193</v>
      </c>
      <c r="N2262">
        <v>14037</v>
      </c>
      <c r="O2262">
        <v>0</v>
      </c>
      <c r="Q2262" t="s">
        <v>9628</v>
      </c>
      <c r="R2262" t="s">
        <v>1223</v>
      </c>
      <c r="T2262">
        <v>304</v>
      </c>
      <c r="V2262" t="s">
        <v>2067</v>
      </c>
      <c r="W2262" t="s">
        <v>2067</v>
      </c>
      <c r="X2262">
        <v>304</v>
      </c>
      <c r="Z2262" t="s">
        <v>2665</v>
      </c>
      <c r="AA2262" t="s">
        <v>387</v>
      </c>
      <c r="AB2262">
        <v>0</v>
      </c>
      <c r="AC2262">
        <v>3741</v>
      </c>
      <c r="AD2262" t="s">
        <v>9629</v>
      </c>
      <c r="AE2262">
        <v>17</v>
      </c>
      <c r="AF2262" t="s">
        <v>9630</v>
      </c>
      <c r="AG2262" t="s">
        <v>3161</v>
      </c>
      <c r="AH2262" t="s">
        <v>9631</v>
      </c>
    </row>
    <row r="2263" spans="1:34" x14ac:dyDescent="0.25">
      <c r="A2263">
        <v>2124</v>
      </c>
      <c r="C2263" s="185"/>
      <c r="E2263" t="s">
        <v>386</v>
      </c>
      <c r="F2263" t="s">
        <v>9632</v>
      </c>
      <c r="G2263" t="s">
        <v>1238</v>
      </c>
      <c r="H2263" t="s">
        <v>4034</v>
      </c>
      <c r="I2263">
        <v>15001</v>
      </c>
      <c r="J2263" t="s">
        <v>9632</v>
      </c>
      <c r="K2263" t="s">
        <v>9633</v>
      </c>
      <c r="L2263" t="s">
        <v>386</v>
      </c>
      <c r="M2263" t="s">
        <v>1184</v>
      </c>
      <c r="N2263">
        <v>15001</v>
      </c>
      <c r="O2263">
        <v>0</v>
      </c>
      <c r="Q2263" t="s">
        <v>9634</v>
      </c>
      <c r="T2263">
        <v>571</v>
      </c>
      <c r="V2263" t="s">
        <v>2003</v>
      </c>
      <c r="W2263" t="s">
        <v>1216</v>
      </c>
      <c r="X2263">
        <v>260</v>
      </c>
      <c r="Z2263" t="s">
        <v>4036</v>
      </c>
      <c r="AA2263" t="s">
        <v>387</v>
      </c>
      <c r="AB2263">
        <v>0</v>
      </c>
      <c r="AC2263">
        <v>1760</v>
      </c>
      <c r="AD2263" t="s">
        <v>4649</v>
      </c>
      <c r="AE2263">
        <v>18</v>
      </c>
      <c r="AF2263" t="s">
        <v>1259</v>
      </c>
      <c r="AG2263" t="s">
        <v>1244</v>
      </c>
      <c r="AH2263" t="s">
        <v>9635</v>
      </c>
    </row>
    <row r="2264" spans="1:34" x14ac:dyDescent="0.25">
      <c r="A2264">
        <v>1479</v>
      </c>
      <c r="C2264" s="185"/>
      <c r="E2264" t="s">
        <v>386</v>
      </c>
      <c r="F2264" t="s">
        <v>9636</v>
      </c>
      <c r="G2264" t="s">
        <v>1197</v>
      </c>
      <c r="H2264" t="s">
        <v>9637</v>
      </c>
      <c r="I2264">
        <v>8450</v>
      </c>
      <c r="J2264" t="s">
        <v>9636</v>
      </c>
      <c r="K2264" t="s">
        <v>9638</v>
      </c>
      <c r="L2264" t="s">
        <v>386</v>
      </c>
      <c r="M2264" t="s">
        <v>1193</v>
      </c>
      <c r="N2264">
        <v>8450</v>
      </c>
      <c r="O2264">
        <v>0</v>
      </c>
      <c r="Q2264" t="s">
        <v>9639</v>
      </c>
      <c r="R2264" t="s">
        <v>9640</v>
      </c>
      <c r="T2264">
        <v>340</v>
      </c>
      <c r="V2264" t="s">
        <v>1200</v>
      </c>
      <c r="W2264" t="s">
        <v>2246</v>
      </c>
      <c r="X2264">
        <v>496</v>
      </c>
      <c r="Z2264" t="s">
        <v>2665</v>
      </c>
      <c r="AA2264" t="s">
        <v>387</v>
      </c>
      <c r="AB2264">
        <v>0</v>
      </c>
      <c r="AC2264">
        <v>2333</v>
      </c>
      <c r="AD2264" t="s">
        <v>9641</v>
      </c>
      <c r="AE2264">
        <v>62</v>
      </c>
      <c r="AF2264" t="s">
        <v>9642</v>
      </c>
      <c r="AG2264" t="s">
        <v>3559</v>
      </c>
      <c r="AH2264" t="s">
        <v>9643</v>
      </c>
    </row>
    <row r="2265" spans="1:34" x14ac:dyDescent="0.25">
      <c r="A2265">
        <v>1656</v>
      </c>
      <c r="C2265" s="185"/>
      <c r="E2265" t="s">
        <v>386</v>
      </c>
      <c r="F2265" t="s">
        <v>9644</v>
      </c>
      <c r="G2265" t="s">
        <v>1238</v>
      </c>
      <c r="H2265" t="s">
        <v>4998</v>
      </c>
      <c r="I2265">
        <v>14792</v>
      </c>
      <c r="J2265" t="s">
        <v>9644</v>
      </c>
      <c r="K2265" t="s">
        <v>9645</v>
      </c>
      <c r="L2265" t="s">
        <v>386</v>
      </c>
      <c r="M2265" t="s">
        <v>1184</v>
      </c>
      <c r="N2265">
        <v>14792</v>
      </c>
      <c r="O2265">
        <v>0</v>
      </c>
      <c r="Q2265" t="s">
        <v>9646</v>
      </c>
      <c r="T2265">
        <v>260</v>
      </c>
      <c r="V2265" t="s">
        <v>1216</v>
      </c>
      <c r="W2265" t="s">
        <v>1216</v>
      </c>
      <c r="X2265">
        <v>260</v>
      </c>
      <c r="Z2265" t="s">
        <v>5001</v>
      </c>
      <c r="AA2265" t="s">
        <v>387</v>
      </c>
      <c r="AB2265">
        <v>0</v>
      </c>
      <c r="AC2265">
        <v>5628</v>
      </c>
      <c r="AD2265" t="s">
        <v>9647</v>
      </c>
      <c r="AE2265">
        <v>18</v>
      </c>
      <c r="AF2265" t="s">
        <v>1259</v>
      </c>
      <c r="AG2265" t="s">
        <v>1244</v>
      </c>
      <c r="AH2265" t="s">
        <v>9648</v>
      </c>
    </row>
    <row r="2266" spans="1:34" x14ac:dyDescent="0.25">
      <c r="A2266">
        <v>1</v>
      </c>
      <c r="C2266" s="185"/>
      <c r="E2266" t="s">
        <v>386</v>
      </c>
      <c r="F2266" t="s">
        <v>9649</v>
      </c>
      <c r="G2266" t="s">
        <v>1192</v>
      </c>
      <c r="I2266">
        <v>3021</v>
      </c>
      <c r="J2266" t="s">
        <v>9649</v>
      </c>
      <c r="K2266" t="s">
        <v>9649</v>
      </c>
      <c r="L2266" t="s">
        <v>386</v>
      </c>
      <c r="M2266" t="s">
        <v>1184</v>
      </c>
      <c r="N2266">
        <v>3021</v>
      </c>
      <c r="O2266">
        <v>0</v>
      </c>
      <c r="Q2266" t="s">
        <v>9650</v>
      </c>
      <c r="R2266" t="s">
        <v>1208</v>
      </c>
      <c r="T2266">
        <v>35</v>
      </c>
      <c r="V2266" t="s">
        <v>2015</v>
      </c>
      <c r="Z2266" t="s">
        <v>865</v>
      </c>
      <c r="AA2266" t="s">
        <v>387</v>
      </c>
      <c r="AB2266">
        <v>0</v>
      </c>
      <c r="AC2266">
        <v>2021</v>
      </c>
      <c r="AD2266" t="s">
        <v>9651</v>
      </c>
      <c r="AE2266">
        <v>150</v>
      </c>
      <c r="AF2266" t="s">
        <v>2587</v>
      </c>
      <c r="AG2266" t="s">
        <v>2191</v>
      </c>
      <c r="AH2266" t="s">
        <v>9652</v>
      </c>
    </row>
    <row r="2267" spans="1:34" x14ac:dyDescent="0.25">
      <c r="A2267">
        <v>3</v>
      </c>
      <c r="C2267" s="185"/>
      <c r="D2267" t="s">
        <v>157</v>
      </c>
      <c r="E2267" t="s">
        <v>386</v>
      </c>
      <c r="F2267" t="s">
        <v>9653</v>
      </c>
      <c r="G2267" t="s">
        <v>1197</v>
      </c>
      <c r="H2267" t="s">
        <v>9654</v>
      </c>
      <c r="I2267">
        <v>5030</v>
      </c>
      <c r="J2267" t="s">
        <v>9653</v>
      </c>
      <c r="K2267" t="s">
        <v>7797</v>
      </c>
      <c r="L2267" t="s">
        <v>386</v>
      </c>
      <c r="M2267" t="s">
        <v>1193</v>
      </c>
      <c r="N2267">
        <v>5030</v>
      </c>
      <c r="O2267">
        <v>0</v>
      </c>
      <c r="Q2267" t="s">
        <v>9655</v>
      </c>
      <c r="R2267" t="s">
        <v>398</v>
      </c>
      <c r="T2267">
        <v>260</v>
      </c>
      <c r="V2267" t="s">
        <v>1216</v>
      </c>
      <c r="W2267" t="s">
        <v>2024</v>
      </c>
      <c r="X2267">
        <v>52</v>
      </c>
      <c r="Z2267" t="s">
        <v>1935</v>
      </c>
      <c r="AA2267" t="s">
        <v>387</v>
      </c>
      <c r="AB2267">
        <v>0</v>
      </c>
      <c r="AC2267">
        <v>95</v>
      </c>
      <c r="AD2267" t="s">
        <v>9656</v>
      </c>
      <c r="AE2267">
        <v>42</v>
      </c>
      <c r="AF2267" t="s">
        <v>9657</v>
      </c>
      <c r="AG2267" t="s">
        <v>9658</v>
      </c>
    </row>
    <row r="2268" spans="1:34" x14ac:dyDescent="0.25">
      <c r="A2268">
        <v>3</v>
      </c>
      <c r="C2268" s="185"/>
      <c r="D2268" t="s">
        <v>157</v>
      </c>
      <c r="E2268" t="s">
        <v>386</v>
      </c>
      <c r="F2268" t="s">
        <v>9659</v>
      </c>
      <c r="G2268" t="s">
        <v>1197</v>
      </c>
      <c r="H2268" t="s">
        <v>9660</v>
      </c>
      <c r="I2268">
        <v>5759</v>
      </c>
      <c r="J2268" t="s">
        <v>9659</v>
      </c>
      <c r="K2268" t="s">
        <v>9661</v>
      </c>
      <c r="L2268" t="s">
        <v>386</v>
      </c>
      <c r="M2268" t="s">
        <v>1193</v>
      </c>
      <c r="N2268">
        <v>5759</v>
      </c>
      <c r="O2268">
        <v>0</v>
      </c>
      <c r="Q2268" t="s">
        <v>9662</v>
      </c>
      <c r="T2268">
        <v>39</v>
      </c>
      <c r="V2268" t="s">
        <v>2144</v>
      </c>
      <c r="Z2268" t="s">
        <v>1935</v>
      </c>
      <c r="AA2268" t="s">
        <v>387</v>
      </c>
      <c r="AB2268">
        <v>0</v>
      </c>
      <c r="AC2268">
        <v>2709</v>
      </c>
      <c r="AD2268" t="s">
        <v>9663</v>
      </c>
      <c r="AE2268">
        <v>623</v>
      </c>
      <c r="AF2268" t="s">
        <v>8381</v>
      </c>
      <c r="AG2268" t="s">
        <v>9664</v>
      </c>
      <c r="AH2268" t="s">
        <v>9665</v>
      </c>
    </row>
    <row r="2269" spans="1:34" x14ac:dyDescent="0.25">
      <c r="A2269">
        <v>3</v>
      </c>
      <c r="C2269" s="185"/>
      <c r="E2269" t="s">
        <v>386</v>
      </c>
      <c r="F2269" t="s">
        <v>9666</v>
      </c>
      <c r="G2269" t="s">
        <v>1197</v>
      </c>
      <c r="H2269" t="s">
        <v>9667</v>
      </c>
      <c r="I2269">
        <v>9083</v>
      </c>
      <c r="J2269" t="s">
        <v>9666</v>
      </c>
      <c r="K2269" t="s">
        <v>9666</v>
      </c>
      <c r="L2269" t="s">
        <v>386</v>
      </c>
      <c r="M2269" t="s">
        <v>1193</v>
      </c>
      <c r="N2269">
        <v>9083</v>
      </c>
      <c r="O2269">
        <v>0</v>
      </c>
      <c r="Q2269" t="s">
        <v>9668</v>
      </c>
      <c r="R2269" t="s">
        <v>1208</v>
      </c>
      <c r="T2269">
        <v>226</v>
      </c>
      <c r="V2269" t="s">
        <v>5068</v>
      </c>
      <c r="Z2269" t="s">
        <v>1935</v>
      </c>
      <c r="AA2269" t="s">
        <v>387</v>
      </c>
      <c r="AB2269">
        <v>0</v>
      </c>
      <c r="AC2269">
        <v>3615</v>
      </c>
      <c r="AD2269" t="s">
        <v>9669</v>
      </c>
      <c r="AE2269">
        <v>1681</v>
      </c>
      <c r="AF2269" t="s">
        <v>9670</v>
      </c>
    </row>
    <row r="2270" spans="1:34" x14ac:dyDescent="0.25">
      <c r="A2270">
        <v>1553</v>
      </c>
      <c r="C2270" s="185"/>
      <c r="D2270" t="s">
        <v>157</v>
      </c>
      <c r="E2270" t="s">
        <v>386</v>
      </c>
      <c r="F2270" t="s">
        <v>337</v>
      </c>
      <c r="G2270" t="s">
        <v>1238</v>
      </c>
      <c r="H2270" t="s">
        <v>1239</v>
      </c>
      <c r="I2270">
        <v>15056</v>
      </c>
      <c r="J2270" t="s">
        <v>337</v>
      </c>
      <c r="K2270" t="s">
        <v>9671</v>
      </c>
      <c r="L2270" t="s">
        <v>386</v>
      </c>
      <c r="M2270" t="s">
        <v>1184</v>
      </c>
      <c r="N2270">
        <v>15056</v>
      </c>
      <c r="O2270">
        <v>59</v>
      </c>
      <c r="Q2270" t="s">
        <v>9672</v>
      </c>
      <c r="R2270" t="s">
        <v>398</v>
      </c>
      <c r="T2270">
        <v>571</v>
      </c>
      <c r="V2270" t="s">
        <v>2003</v>
      </c>
      <c r="W2270" t="s">
        <v>1216</v>
      </c>
      <c r="X2270">
        <v>260</v>
      </c>
      <c r="Z2270" t="s">
        <v>968</v>
      </c>
      <c r="AA2270" t="s">
        <v>387</v>
      </c>
      <c r="AB2270">
        <v>51000</v>
      </c>
      <c r="AC2270">
        <v>5720</v>
      </c>
      <c r="AD2270" t="s">
        <v>337</v>
      </c>
      <c r="AE2270">
        <v>18</v>
      </c>
      <c r="AF2270" t="s">
        <v>1259</v>
      </c>
      <c r="AG2270" t="s">
        <v>1244</v>
      </c>
      <c r="AH2270" t="s">
        <v>9673</v>
      </c>
    </row>
    <row r="2271" spans="1:34" x14ac:dyDescent="0.25">
      <c r="A2271">
        <v>3</v>
      </c>
      <c r="C2271" s="185"/>
      <c r="E2271" t="s">
        <v>386</v>
      </c>
      <c r="F2271" t="s">
        <v>9674</v>
      </c>
      <c r="G2271" t="s">
        <v>1197</v>
      </c>
      <c r="H2271" t="s">
        <v>9675</v>
      </c>
      <c r="I2271">
        <v>6064</v>
      </c>
      <c r="J2271" t="s">
        <v>9674</v>
      </c>
      <c r="K2271" t="s">
        <v>9674</v>
      </c>
      <c r="L2271" t="s">
        <v>386</v>
      </c>
      <c r="M2271" t="s">
        <v>1193</v>
      </c>
      <c r="N2271">
        <v>6064</v>
      </c>
      <c r="O2271">
        <v>0</v>
      </c>
      <c r="Q2271" t="s">
        <v>9676</v>
      </c>
      <c r="T2271">
        <v>571</v>
      </c>
      <c r="V2271" t="s">
        <v>2003</v>
      </c>
      <c r="W2271" t="s">
        <v>1216</v>
      </c>
      <c r="X2271">
        <v>260</v>
      </c>
      <c r="Z2271" t="s">
        <v>1935</v>
      </c>
      <c r="AA2271" t="s">
        <v>387</v>
      </c>
      <c r="AB2271">
        <v>0</v>
      </c>
      <c r="AC2271">
        <v>2808</v>
      </c>
      <c r="AD2271" t="s">
        <v>9677</v>
      </c>
      <c r="AE2271">
        <v>1331</v>
      </c>
      <c r="AF2271" t="s">
        <v>9678</v>
      </c>
      <c r="AG2271" t="s">
        <v>9679</v>
      </c>
      <c r="AH2271" t="s">
        <v>9680</v>
      </c>
    </row>
    <row r="2272" spans="1:34" x14ac:dyDescent="0.25">
      <c r="A2272">
        <v>1479</v>
      </c>
      <c r="C2272" s="185"/>
      <c r="E2272" t="s">
        <v>386</v>
      </c>
      <c r="F2272" t="s">
        <v>9681</v>
      </c>
      <c r="G2272" t="s">
        <v>1197</v>
      </c>
      <c r="H2272" t="s">
        <v>9682</v>
      </c>
      <c r="I2272">
        <v>17215</v>
      </c>
      <c r="J2272" t="s">
        <v>9681</v>
      </c>
      <c r="K2272" t="s">
        <v>9683</v>
      </c>
      <c r="L2272" t="s">
        <v>386</v>
      </c>
      <c r="M2272" t="s">
        <v>1193</v>
      </c>
      <c r="N2272">
        <v>17215</v>
      </c>
      <c r="O2272">
        <v>0</v>
      </c>
      <c r="Q2272" t="s">
        <v>9684</v>
      </c>
      <c r="R2272" t="s">
        <v>1208</v>
      </c>
      <c r="T2272">
        <v>560</v>
      </c>
      <c r="V2272" t="s">
        <v>2602</v>
      </c>
      <c r="W2272" t="s">
        <v>1530</v>
      </c>
      <c r="X2272">
        <v>103</v>
      </c>
      <c r="Z2272" t="s">
        <v>2665</v>
      </c>
      <c r="AA2272" t="s">
        <v>387</v>
      </c>
      <c r="AB2272">
        <v>0</v>
      </c>
      <c r="AC2272">
        <v>6484</v>
      </c>
      <c r="AD2272" t="s">
        <v>9685</v>
      </c>
      <c r="AE2272">
        <v>327</v>
      </c>
      <c r="AF2272" t="s">
        <v>4219</v>
      </c>
      <c r="AG2272" t="s">
        <v>3013</v>
      </c>
      <c r="AH2272" t="s">
        <v>9686</v>
      </c>
    </row>
    <row r="2273" spans="1:34" x14ac:dyDescent="0.25">
      <c r="A2273">
        <v>1</v>
      </c>
      <c r="C2273" s="185"/>
      <c r="E2273" t="s">
        <v>386</v>
      </c>
      <c r="F2273" t="s">
        <v>629</v>
      </c>
      <c r="G2273" t="s">
        <v>1192</v>
      </c>
      <c r="H2273" t="s">
        <v>9687</v>
      </c>
      <c r="I2273">
        <v>1891</v>
      </c>
      <c r="J2273" t="s">
        <v>629</v>
      </c>
      <c r="K2273" t="s">
        <v>629</v>
      </c>
      <c r="L2273" t="s">
        <v>386</v>
      </c>
      <c r="M2273" t="s">
        <v>1184</v>
      </c>
      <c r="N2273">
        <v>1891</v>
      </c>
      <c r="O2273">
        <v>0</v>
      </c>
      <c r="Q2273" t="s">
        <v>9688</v>
      </c>
      <c r="R2273" t="s">
        <v>1208</v>
      </c>
      <c r="T2273">
        <v>103</v>
      </c>
      <c r="V2273" t="s">
        <v>1530</v>
      </c>
      <c r="W2273" t="s">
        <v>1988</v>
      </c>
      <c r="X2273">
        <v>122</v>
      </c>
      <c r="Z2273" t="s">
        <v>865</v>
      </c>
      <c r="AA2273" t="s">
        <v>387</v>
      </c>
      <c r="AB2273">
        <v>0</v>
      </c>
      <c r="AC2273">
        <v>1579</v>
      </c>
      <c r="AD2273" t="s">
        <v>9689</v>
      </c>
      <c r="AE2273">
        <v>453</v>
      </c>
      <c r="AF2273" t="s">
        <v>6286</v>
      </c>
      <c r="AG2273" t="s">
        <v>5879</v>
      </c>
      <c r="AH2273" t="s">
        <v>9690</v>
      </c>
    </row>
    <row r="2274" spans="1:34" x14ac:dyDescent="0.25">
      <c r="A2274">
        <v>1</v>
      </c>
      <c r="C2274" s="185"/>
      <c r="E2274" t="s">
        <v>386</v>
      </c>
      <c r="F2274" t="s">
        <v>629</v>
      </c>
      <c r="G2274" t="s">
        <v>1192</v>
      </c>
      <c r="I2274">
        <v>2427</v>
      </c>
      <c r="J2274" t="s">
        <v>629</v>
      </c>
      <c r="K2274" t="s">
        <v>629</v>
      </c>
      <c r="L2274" t="s">
        <v>386</v>
      </c>
      <c r="M2274" t="s">
        <v>1184</v>
      </c>
      <c r="N2274">
        <v>2427</v>
      </c>
      <c r="O2274">
        <v>0</v>
      </c>
      <c r="Q2274" t="s">
        <v>9688</v>
      </c>
      <c r="R2274" t="s">
        <v>1208</v>
      </c>
      <c r="T2274">
        <v>4</v>
      </c>
      <c r="V2274" t="s">
        <v>7833</v>
      </c>
      <c r="Z2274" t="s">
        <v>865</v>
      </c>
      <c r="AA2274" t="s">
        <v>387</v>
      </c>
      <c r="AB2274">
        <v>0</v>
      </c>
      <c r="AC2274">
        <v>1579</v>
      </c>
      <c r="AD2274" t="s">
        <v>9689</v>
      </c>
      <c r="AE2274">
        <v>775</v>
      </c>
      <c r="AF2274" t="s">
        <v>3495</v>
      </c>
      <c r="AG2274" t="s">
        <v>5879</v>
      </c>
    </row>
    <row r="2275" spans="1:34" x14ac:dyDescent="0.25">
      <c r="A2275">
        <v>1</v>
      </c>
      <c r="C2275" s="185"/>
      <c r="E2275" t="s">
        <v>386</v>
      </c>
      <c r="F2275" t="s">
        <v>627</v>
      </c>
      <c r="G2275" t="s">
        <v>1192</v>
      </c>
      <c r="H2275" t="s">
        <v>9691</v>
      </c>
      <c r="I2275">
        <v>2845</v>
      </c>
      <c r="J2275" t="s">
        <v>627</v>
      </c>
      <c r="K2275" t="s">
        <v>627</v>
      </c>
      <c r="L2275" t="s">
        <v>386</v>
      </c>
      <c r="M2275" t="s">
        <v>1184</v>
      </c>
      <c r="N2275">
        <v>2845</v>
      </c>
      <c r="O2275">
        <v>0</v>
      </c>
      <c r="Q2275" t="s">
        <v>9692</v>
      </c>
      <c r="R2275" t="s">
        <v>1208</v>
      </c>
      <c r="T2275">
        <v>200</v>
      </c>
      <c r="V2275" t="s">
        <v>1199</v>
      </c>
      <c r="W2275" t="s">
        <v>2144</v>
      </c>
      <c r="X2275">
        <v>39</v>
      </c>
      <c r="Z2275" t="s">
        <v>865</v>
      </c>
      <c r="AA2275" t="s">
        <v>387</v>
      </c>
      <c r="AB2275">
        <v>0</v>
      </c>
      <c r="AC2275">
        <v>1914</v>
      </c>
      <c r="AD2275" t="s">
        <v>9693</v>
      </c>
      <c r="AE2275">
        <v>53</v>
      </c>
      <c r="AF2275" t="s">
        <v>2455</v>
      </c>
      <c r="AG2275" t="s">
        <v>7050</v>
      </c>
      <c r="AH2275" t="s">
        <v>9694</v>
      </c>
    </row>
    <row r="2276" spans="1:34" x14ac:dyDescent="0.25">
      <c r="A2276">
        <v>3</v>
      </c>
      <c r="C2276" s="185"/>
      <c r="E2276" t="s">
        <v>386</v>
      </c>
      <c r="F2276" t="s">
        <v>9695</v>
      </c>
      <c r="G2276" t="s">
        <v>1197</v>
      </c>
      <c r="H2276" t="s">
        <v>9696</v>
      </c>
      <c r="I2276">
        <v>15645</v>
      </c>
      <c r="J2276" t="s">
        <v>9695</v>
      </c>
      <c r="K2276" t="s">
        <v>9697</v>
      </c>
      <c r="L2276" t="s">
        <v>386</v>
      </c>
      <c r="M2276" t="s">
        <v>1193</v>
      </c>
      <c r="N2276">
        <v>15645</v>
      </c>
      <c r="O2276">
        <v>0</v>
      </c>
      <c r="Q2276" t="s">
        <v>9698</v>
      </c>
      <c r="R2276" t="s">
        <v>1208</v>
      </c>
      <c r="T2276">
        <v>103</v>
      </c>
      <c r="V2276" t="s">
        <v>1530</v>
      </c>
      <c r="W2276" t="s">
        <v>1530</v>
      </c>
      <c r="X2276">
        <v>103</v>
      </c>
      <c r="Z2276" t="s">
        <v>1935</v>
      </c>
      <c r="AA2276" t="s">
        <v>387</v>
      </c>
      <c r="AB2276">
        <v>0</v>
      </c>
      <c r="AC2276">
        <v>4164</v>
      </c>
      <c r="AD2276" t="s">
        <v>9699</v>
      </c>
      <c r="AE2276">
        <v>851</v>
      </c>
      <c r="AF2276" t="s">
        <v>9162</v>
      </c>
      <c r="AG2276" t="s">
        <v>9700</v>
      </c>
      <c r="AH2276" t="s">
        <v>9701</v>
      </c>
    </row>
    <row r="2277" spans="1:34" x14ac:dyDescent="0.25">
      <c r="A2277">
        <v>3</v>
      </c>
      <c r="C2277" s="185"/>
      <c r="E2277" t="s">
        <v>386</v>
      </c>
      <c r="F2277" t="s">
        <v>9702</v>
      </c>
      <c r="G2277" t="s">
        <v>1197</v>
      </c>
      <c r="H2277" t="s">
        <v>9703</v>
      </c>
      <c r="I2277">
        <v>2453</v>
      </c>
      <c r="J2277" t="s">
        <v>9702</v>
      </c>
      <c r="K2277" t="s">
        <v>9704</v>
      </c>
      <c r="L2277" t="s">
        <v>386</v>
      </c>
      <c r="M2277" t="s">
        <v>1193</v>
      </c>
      <c r="N2277">
        <v>2453</v>
      </c>
      <c r="O2277">
        <v>0</v>
      </c>
      <c r="Q2277" t="s">
        <v>9705</v>
      </c>
      <c r="T2277">
        <v>52</v>
      </c>
      <c r="V2277" t="s">
        <v>2024</v>
      </c>
      <c r="Z2277" t="s">
        <v>1935</v>
      </c>
      <c r="AA2277" t="s">
        <v>387</v>
      </c>
      <c r="AB2277">
        <v>0</v>
      </c>
      <c r="AC2277">
        <v>1775</v>
      </c>
      <c r="AD2277" t="s">
        <v>9706</v>
      </c>
      <c r="AE2277">
        <v>868</v>
      </c>
      <c r="AF2277" t="s">
        <v>2566</v>
      </c>
      <c r="AG2277" t="s">
        <v>4321</v>
      </c>
      <c r="AH2277" t="s">
        <v>9707</v>
      </c>
    </row>
    <row r="2278" spans="1:34" x14ac:dyDescent="0.25">
      <c r="A2278">
        <v>61</v>
      </c>
      <c r="C2278" s="185"/>
      <c r="E2278" t="s">
        <v>386</v>
      </c>
      <c r="F2278" t="s">
        <v>9708</v>
      </c>
      <c r="G2278" t="s">
        <v>1197</v>
      </c>
      <c r="H2278" t="s">
        <v>9709</v>
      </c>
      <c r="I2278">
        <v>17135</v>
      </c>
      <c r="J2278" t="s">
        <v>9708</v>
      </c>
      <c r="K2278" t="s">
        <v>9708</v>
      </c>
      <c r="L2278" t="s">
        <v>386</v>
      </c>
      <c r="M2278" t="s">
        <v>1193</v>
      </c>
      <c r="N2278">
        <v>17135</v>
      </c>
      <c r="O2278">
        <v>0</v>
      </c>
      <c r="Q2278" t="s">
        <v>9710</v>
      </c>
      <c r="R2278" t="s">
        <v>1223</v>
      </c>
      <c r="T2278">
        <v>103</v>
      </c>
      <c r="V2278" t="s">
        <v>1530</v>
      </c>
      <c r="W2278" t="s">
        <v>1530</v>
      </c>
      <c r="X2278">
        <v>103</v>
      </c>
      <c r="Z2278" t="s">
        <v>4548</v>
      </c>
      <c r="AA2278" t="s">
        <v>387</v>
      </c>
      <c r="AB2278">
        <v>0</v>
      </c>
      <c r="AC2278">
        <v>6459</v>
      </c>
      <c r="AD2278" t="s">
        <v>9711</v>
      </c>
      <c r="AE2278">
        <v>412</v>
      </c>
      <c r="AF2278" t="s">
        <v>9712</v>
      </c>
      <c r="AG2278" t="s">
        <v>9713</v>
      </c>
      <c r="AH2278" t="s">
        <v>9714</v>
      </c>
    </row>
    <row r="2279" spans="1:34" x14ac:dyDescent="0.25">
      <c r="A2279">
        <v>1</v>
      </c>
      <c r="C2279" s="185"/>
      <c r="E2279" t="s">
        <v>386</v>
      </c>
      <c r="F2279" t="s">
        <v>9715</v>
      </c>
      <c r="G2279" t="s">
        <v>1192</v>
      </c>
      <c r="I2279">
        <v>1830</v>
      </c>
      <c r="J2279" t="s">
        <v>9715</v>
      </c>
      <c r="K2279" t="s">
        <v>9715</v>
      </c>
      <c r="L2279" t="s">
        <v>386</v>
      </c>
      <c r="M2279" t="s">
        <v>1184</v>
      </c>
      <c r="N2279">
        <v>1830</v>
      </c>
      <c r="O2279">
        <v>0</v>
      </c>
      <c r="Q2279" t="s">
        <v>9716</v>
      </c>
      <c r="T2279">
        <v>35</v>
      </c>
      <c r="V2279" t="s">
        <v>2015</v>
      </c>
      <c r="Z2279" t="s">
        <v>865</v>
      </c>
      <c r="AA2279" t="s">
        <v>387</v>
      </c>
      <c r="AB2279">
        <v>0</v>
      </c>
      <c r="AC2279">
        <v>1366</v>
      </c>
      <c r="AD2279" t="s">
        <v>9717</v>
      </c>
      <c r="AE2279">
        <v>132</v>
      </c>
      <c r="AF2279" t="s">
        <v>2026</v>
      </c>
      <c r="AG2279" t="s">
        <v>9718</v>
      </c>
    </row>
    <row r="2280" spans="1:34" x14ac:dyDescent="0.25">
      <c r="A2280">
        <v>3</v>
      </c>
      <c r="C2280" s="185"/>
      <c r="E2280" t="s">
        <v>386</v>
      </c>
      <c r="F2280" t="s">
        <v>9719</v>
      </c>
      <c r="G2280" t="s">
        <v>1197</v>
      </c>
      <c r="H2280" t="s">
        <v>9720</v>
      </c>
      <c r="I2280">
        <v>10613</v>
      </c>
      <c r="J2280" t="s">
        <v>9719</v>
      </c>
      <c r="K2280" t="s">
        <v>9719</v>
      </c>
      <c r="L2280" t="s">
        <v>386</v>
      </c>
      <c r="M2280" t="s">
        <v>1193</v>
      </c>
      <c r="N2280">
        <v>10613</v>
      </c>
      <c r="O2280">
        <v>0</v>
      </c>
      <c r="Q2280" t="s">
        <v>9721</v>
      </c>
      <c r="T2280">
        <v>199</v>
      </c>
      <c r="V2280" t="s">
        <v>3123</v>
      </c>
      <c r="Z2280" t="s">
        <v>1935</v>
      </c>
      <c r="AA2280" t="s">
        <v>387</v>
      </c>
      <c r="AB2280">
        <v>0</v>
      </c>
      <c r="AC2280">
        <v>4087</v>
      </c>
      <c r="AD2280" t="s">
        <v>9722</v>
      </c>
      <c r="AE2280">
        <v>1882</v>
      </c>
      <c r="AF2280" t="s">
        <v>9723</v>
      </c>
      <c r="AG2280" t="s">
        <v>9724</v>
      </c>
    </row>
    <row r="2281" spans="1:34" x14ac:dyDescent="0.25">
      <c r="A2281">
        <v>3</v>
      </c>
      <c r="C2281" s="185"/>
      <c r="E2281" t="s">
        <v>386</v>
      </c>
      <c r="F2281" t="s">
        <v>9725</v>
      </c>
      <c r="G2281" t="s">
        <v>1197</v>
      </c>
      <c r="H2281" t="s">
        <v>9726</v>
      </c>
      <c r="I2281">
        <v>5437</v>
      </c>
      <c r="J2281" t="s">
        <v>9725</v>
      </c>
      <c r="K2281" t="s">
        <v>9725</v>
      </c>
      <c r="L2281" t="s">
        <v>386</v>
      </c>
      <c r="M2281" t="s">
        <v>1193</v>
      </c>
      <c r="N2281">
        <v>5437</v>
      </c>
      <c r="O2281">
        <v>0</v>
      </c>
      <c r="Q2281" t="s">
        <v>9727</v>
      </c>
      <c r="R2281" t="s">
        <v>1208</v>
      </c>
      <c r="T2281">
        <v>103</v>
      </c>
      <c r="V2281" t="s">
        <v>1530</v>
      </c>
      <c r="Z2281" t="s">
        <v>1935</v>
      </c>
      <c r="AA2281" t="s">
        <v>387</v>
      </c>
      <c r="AB2281">
        <v>0</v>
      </c>
      <c r="AC2281">
        <v>2599</v>
      </c>
      <c r="AD2281" t="s">
        <v>8318</v>
      </c>
      <c r="AE2281">
        <v>42</v>
      </c>
      <c r="AF2281" t="s">
        <v>9657</v>
      </c>
      <c r="AG2281" t="s">
        <v>9728</v>
      </c>
    </row>
    <row r="2282" spans="1:34" x14ac:dyDescent="0.25">
      <c r="A2282">
        <v>1</v>
      </c>
      <c r="C2282" s="185"/>
      <c r="E2282" t="s">
        <v>386</v>
      </c>
      <c r="F2282" t="s">
        <v>9729</v>
      </c>
      <c r="G2282" t="s">
        <v>1192</v>
      </c>
      <c r="I2282">
        <v>2754</v>
      </c>
      <c r="J2282" t="s">
        <v>9729</v>
      </c>
      <c r="K2282" t="s">
        <v>9729</v>
      </c>
      <c r="L2282" t="s">
        <v>386</v>
      </c>
      <c r="M2282" t="s">
        <v>1184</v>
      </c>
      <c r="N2282">
        <v>2754</v>
      </c>
      <c r="O2282">
        <v>0</v>
      </c>
      <c r="Q2282" t="s">
        <v>9730</v>
      </c>
      <c r="R2282" t="s">
        <v>1208</v>
      </c>
      <c r="T2282">
        <v>2</v>
      </c>
      <c r="V2282" t="s">
        <v>1205</v>
      </c>
      <c r="Z2282" t="s">
        <v>865</v>
      </c>
      <c r="AA2282" t="s">
        <v>387</v>
      </c>
      <c r="AB2282">
        <v>0</v>
      </c>
      <c r="AC2282">
        <v>1866</v>
      </c>
      <c r="AD2282" t="s">
        <v>9731</v>
      </c>
      <c r="AE2282">
        <v>434</v>
      </c>
      <c r="AF2282" t="s">
        <v>4320</v>
      </c>
      <c r="AG2282" t="s">
        <v>4709</v>
      </c>
      <c r="AH2282" t="s">
        <v>9732</v>
      </c>
    </row>
    <row r="2283" spans="1:34" x14ac:dyDescent="0.25">
      <c r="A2283">
        <v>1479</v>
      </c>
      <c r="C2283" s="185"/>
      <c r="E2283" t="s">
        <v>386</v>
      </c>
      <c r="F2283" t="s">
        <v>9733</v>
      </c>
      <c r="G2283" t="s">
        <v>1197</v>
      </c>
      <c r="H2283" t="s">
        <v>9734</v>
      </c>
      <c r="I2283">
        <v>12456</v>
      </c>
      <c r="J2283" t="s">
        <v>9733</v>
      </c>
      <c r="K2283" t="s">
        <v>9733</v>
      </c>
      <c r="L2283" t="s">
        <v>386</v>
      </c>
      <c r="M2283" t="s">
        <v>1193</v>
      </c>
      <c r="N2283">
        <v>12456</v>
      </c>
      <c r="O2283">
        <v>0</v>
      </c>
      <c r="Q2283" t="s">
        <v>9735</v>
      </c>
      <c r="T2283">
        <v>571</v>
      </c>
      <c r="V2283" t="s">
        <v>2003</v>
      </c>
      <c r="W2283" t="s">
        <v>1200</v>
      </c>
      <c r="X2283">
        <v>340</v>
      </c>
      <c r="Z2283" t="s">
        <v>2665</v>
      </c>
      <c r="AA2283" t="s">
        <v>387</v>
      </c>
      <c r="AB2283">
        <v>0</v>
      </c>
      <c r="AC2283">
        <v>4678</v>
      </c>
      <c r="AD2283" t="s">
        <v>9736</v>
      </c>
      <c r="AE2283">
        <v>1939</v>
      </c>
      <c r="AF2283" t="s">
        <v>9737</v>
      </c>
      <c r="AG2283" t="s">
        <v>3356</v>
      </c>
      <c r="AH2283" t="s">
        <v>9738</v>
      </c>
    </row>
    <row r="2284" spans="1:34" x14ac:dyDescent="0.25">
      <c r="A2284">
        <v>1479</v>
      </c>
      <c r="C2284" s="185"/>
      <c r="E2284" t="s">
        <v>386</v>
      </c>
      <c r="F2284" t="s">
        <v>9739</v>
      </c>
      <c r="G2284" t="s">
        <v>1197</v>
      </c>
      <c r="H2284" t="s">
        <v>9740</v>
      </c>
      <c r="I2284">
        <v>5202</v>
      </c>
      <c r="J2284" t="s">
        <v>9739</v>
      </c>
      <c r="K2284" t="s">
        <v>9739</v>
      </c>
      <c r="L2284" t="s">
        <v>386</v>
      </c>
      <c r="M2284" t="s">
        <v>1193</v>
      </c>
      <c r="N2284">
        <v>5202</v>
      </c>
      <c r="O2284">
        <v>0</v>
      </c>
      <c r="Q2284" t="s">
        <v>9741</v>
      </c>
      <c r="T2284">
        <v>372</v>
      </c>
      <c r="V2284" t="s">
        <v>2073</v>
      </c>
      <c r="W2284" t="s">
        <v>1216</v>
      </c>
      <c r="X2284">
        <v>260</v>
      </c>
      <c r="Z2284" t="s">
        <v>2665</v>
      </c>
      <c r="AA2284" t="s">
        <v>387</v>
      </c>
      <c r="AB2284">
        <v>0</v>
      </c>
      <c r="AC2284">
        <v>2517</v>
      </c>
      <c r="AD2284" t="s">
        <v>9742</v>
      </c>
      <c r="AE2284">
        <v>851</v>
      </c>
      <c r="AF2284" t="s">
        <v>9162</v>
      </c>
      <c r="AG2284" t="s">
        <v>2865</v>
      </c>
      <c r="AH2284" t="s">
        <v>9743</v>
      </c>
    </row>
    <row r="2285" spans="1:34" x14ac:dyDescent="0.25">
      <c r="A2285">
        <v>3</v>
      </c>
      <c r="C2285" s="185"/>
      <c r="E2285" t="s">
        <v>386</v>
      </c>
      <c r="F2285" t="s">
        <v>9744</v>
      </c>
      <c r="G2285" t="s">
        <v>1197</v>
      </c>
      <c r="H2285" t="s">
        <v>9745</v>
      </c>
      <c r="I2285">
        <v>2366</v>
      </c>
      <c r="J2285" t="s">
        <v>9744</v>
      </c>
      <c r="K2285" t="s">
        <v>9744</v>
      </c>
      <c r="L2285" t="s">
        <v>386</v>
      </c>
      <c r="M2285" t="s">
        <v>1193</v>
      </c>
      <c r="N2285">
        <v>2366</v>
      </c>
      <c r="O2285">
        <v>0</v>
      </c>
      <c r="Q2285" t="s">
        <v>9746</v>
      </c>
      <c r="T2285">
        <v>52</v>
      </c>
      <c r="V2285" t="s">
        <v>2024</v>
      </c>
      <c r="Z2285" t="s">
        <v>1935</v>
      </c>
      <c r="AA2285" t="s">
        <v>387</v>
      </c>
      <c r="AB2285">
        <v>0</v>
      </c>
      <c r="AC2285">
        <v>1736</v>
      </c>
      <c r="AD2285" t="s">
        <v>9747</v>
      </c>
      <c r="AE2285">
        <v>845</v>
      </c>
      <c r="AF2285" t="s">
        <v>9748</v>
      </c>
      <c r="AG2285" t="s">
        <v>9749</v>
      </c>
      <c r="AH2285" t="s">
        <v>9750</v>
      </c>
    </row>
    <row r="2286" spans="1:34" x14ac:dyDescent="0.25">
      <c r="A2286">
        <v>44</v>
      </c>
      <c r="C2286" s="185"/>
      <c r="E2286" t="s">
        <v>386</v>
      </c>
      <c r="F2286" t="s">
        <v>9751</v>
      </c>
      <c r="G2286" t="s">
        <v>1238</v>
      </c>
      <c r="H2286" t="s">
        <v>9752</v>
      </c>
      <c r="I2286">
        <v>15660</v>
      </c>
      <c r="J2286" t="s">
        <v>9751</v>
      </c>
      <c r="K2286" t="s">
        <v>9753</v>
      </c>
      <c r="L2286" t="s">
        <v>386</v>
      </c>
      <c r="M2286" t="s">
        <v>1184</v>
      </c>
      <c r="N2286">
        <v>15660</v>
      </c>
      <c r="O2286">
        <v>0</v>
      </c>
      <c r="Q2286" t="s">
        <v>9754</v>
      </c>
      <c r="T2286">
        <v>426</v>
      </c>
      <c r="V2286" t="s">
        <v>1257</v>
      </c>
      <c r="W2286" t="s">
        <v>1257</v>
      </c>
      <c r="X2286">
        <v>426</v>
      </c>
      <c r="Z2286" t="s">
        <v>1052</v>
      </c>
      <c r="AA2286" t="s">
        <v>387</v>
      </c>
      <c r="AB2286">
        <v>0</v>
      </c>
      <c r="AC2286">
        <v>5908</v>
      </c>
      <c r="AD2286" t="s">
        <v>9751</v>
      </c>
      <c r="AE2286">
        <v>18</v>
      </c>
      <c r="AF2286" t="s">
        <v>1259</v>
      </c>
      <c r="AG2286" t="s">
        <v>1244</v>
      </c>
      <c r="AH2286" t="s">
        <v>9755</v>
      </c>
    </row>
    <row r="2287" spans="1:34" x14ac:dyDescent="0.25">
      <c r="A2287">
        <v>3</v>
      </c>
      <c r="C2287" s="185"/>
      <c r="E2287" t="s">
        <v>386</v>
      </c>
      <c r="F2287" t="s">
        <v>9756</v>
      </c>
      <c r="G2287" t="s">
        <v>1197</v>
      </c>
      <c r="H2287" t="s">
        <v>9757</v>
      </c>
      <c r="I2287">
        <v>6130</v>
      </c>
      <c r="J2287" t="s">
        <v>9756</v>
      </c>
      <c r="K2287" t="s">
        <v>9756</v>
      </c>
      <c r="L2287" t="s">
        <v>386</v>
      </c>
      <c r="M2287" t="s">
        <v>1193</v>
      </c>
      <c r="N2287">
        <v>6130</v>
      </c>
      <c r="O2287">
        <v>0</v>
      </c>
      <c r="Q2287" t="s">
        <v>9758</v>
      </c>
      <c r="T2287">
        <v>39</v>
      </c>
      <c r="V2287" t="s">
        <v>2144</v>
      </c>
      <c r="Z2287" t="s">
        <v>1935</v>
      </c>
      <c r="AA2287" t="s">
        <v>387</v>
      </c>
      <c r="AB2287">
        <v>0</v>
      </c>
      <c r="AC2287">
        <v>2827</v>
      </c>
      <c r="AD2287" t="s">
        <v>9759</v>
      </c>
      <c r="AE2287">
        <v>1339</v>
      </c>
      <c r="AF2287" t="s">
        <v>4249</v>
      </c>
      <c r="AG2287" t="s">
        <v>2048</v>
      </c>
    </row>
    <row r="2288" spans="1:34" x14ac:dyDescent="0.25">
      <c r="A2288">
        <v>1</v>
      </c>
      <c r="C2288" s="185"/>
      <c r="E2288" t="s">
        <v>386</v>
      </c>
      <c r="F2288" t="s">
        <v>9760</v>
      </c>
      <c r="G2288" t="s">
        <v>1197</v>
      </c>
      <c r="I2288">
        <v>17519</v>
      </c>
      <c r="J2288" t="s">
        <v>9760</v>
      </c>
      <c r="K2288" t="s">
        <v>9761</v>
      </c>
      <c r="L2288" t="s">
        <v>386</v>
      </c>
      <c r="M2288" t="s">
        <v>1193</v>
      </c>
      <c r="N2288">
        <v>17519</v>
      </c>
      <c r="O2288">
        <v>0</v>
      </c>
      <c r="Q2288" t="s">
        <v>9762</v>
      </c>
      <c r="T2288">
        <v>52</v>
      </c>
      <c r="V2288" t="s">
        <v>2024</v>
      </c>
      <c r="W2288" t="s">
        <v>1265</v>
      </c>
      <c r="X2288">
        <v>152</v>
      </c>
      <c r="Z2288" t="s">
        <v>865</v>
      </c>
      <c r="AA2288" t="s">
        <v>386</v>
      </c>
      <c r="AB2288">
        <v>0</v>
      </c>
      <c r="AC2288">
        <v>0</v>
      </c>
      <c r="AD2288" t="s">
        <v>1187</v>
      </c>
      <c r="AE2288">
        <v>0</v>
      </c>
      <c r="AF2288" t="s">
        <v>1188</v>
      </c>
    </row>
    <row r="2289" spans="1:34" x14ac:dyDescent="0.25">
      <c r="A2289">
        <v>3</v>
      </c>
      <c r="C2289" s="185"/>
      <c r="E2289" t="s">
        <v>386</v>
      </c>
      <c r="F2289" t="s">
        <v>9763</v>
      </c>
      <c r="G2289" t="s">
        <v>1197</v>
      </c>
      <c r="H2289" t="s">
        <v>9764</v>
      </c>
      <c r="I2289">
        <v>2842</v>
      </c>
      <c r="J2289" t="s">
        <v>9763</v>
      </c>
      <c r="K2289" t="s">
        <v>9765</v>
      </c>
      <c r="L2289" t="s">
        <v>386</v>
      </c>
      <c r="M2289" t="s">
        <v>1193</v>
      </c>
      <c r="N2289">
        <v>2842</v>
      </c>
      <c r="O2289">
        <v>0</v>
      </c>
      <c r="Q2289" t="s">
        <v>9766</v>
      </c>
      <c r="T2289">
        <v>103</v>
      </c>
      <c r="V2289" t="s">
        <v>1530</v>
      </c>
      <c r="W2289" t="s">
        <v>1530</v>
      </c>
      <c r="X2289">
        <v>103</v>
      </c>
      <c r="Z2289" t="s">
        <v>1935</v>
      </c>
      <c r="AA2289" t="s">
        <v>387</v>
      </c>
      <c r="AB2289">
        <v>0</v>
      </c>
      <c r="AC2289">
        <v>1830</v>
      </c>
      <c r="AD2289" t="s">
        <v>9767</v>
      </c>
      <c r="AE2289">
        <v>60</v>
      </c>
      <c r="AF2289" t="s">
        <v>9768</v>
      </c>
      <c r="AG2289" t="s">
        <v>9769</v>
      </c>
      <c r="AH2289" t="s">
        <v>9770</v>
      </c>
    </row>
    <row r="2290" spans="1:34" x14ac:dyDescent="0.25">
      <c r="A2290">
        <v>1479</v>
      </c>
      <c r="C2290" s="185"/>
      <c r="E2290" t="s">
        <v>386</v>
      </c>
      <c r="F2290" t="s">
        <v>9771</v>
      </c>
      <c r="G2290" t="s">
        <v>1197</v>
      </c>
      <c r="H2290" t="s">
        <v>9772</v>
      </c>
      <c r="I2290">
        <v>13699</v>
      </c>
      <c r="J2290" t="s">
        <v>9771</v>
      </c>
      <c r="K2290" t="s">
        <v>9773</v>
      </c>
      <c r="L2290" t="s">
        <v>386</v>
      </c>
      <c r="M2290" t="s">
        <v>1193</v>
      </c>
      <c r="N2290">
        <v>13699</v>
      </c>
      <c r="O2290">
        <v>0</v>
      </c>
      <c r="Q2290" t="s">
        <v>9774</v>
      </c>
      <c r="T2290">
        <v>260</v>
      </c>
      <c r="V2290" t="s">
        <v>1216</v>
      </c>
      <c r="W2290" t="s">
        <v>1216</v>
      </c>
      <c r="X2290">
        <v>260</v>
      </c>
      <c r="Z2290" t="s">
        <v>2665</v>
      </c>
      <c r="AA2290" t="s">
        <v>387</v>
      </c>
      <c r="AB2290">
        <v>0</v>
      </c>
      <c r="AC2290">
        <v>1902</v>
      </c>
      <c r="AD2290" t="s">
        <v>8302</v>
      </c>
      <c r="AE2290">
        <v>1702</v>
      </c>
      <c r="AF2290" t="s">
        <v>9775</v>
      </c>
      <c r="AG2290" t="s">
        <v>9776</v>
      </c>
      <c r="AH2290" t="s">
        <v>9777</v>
      </c>
    </row>
    <row r="2291" spans="1:34" x14ac:dyDescent="0.25">
      <c r="A2291">
        <v>1479</v>
      </c>
      <c r="C2291" s="185"/>
      <c r="E2291" t="s">
        <v>386</v>
      </c>
      <c r="F2291" t="s">
        <v>559</v>
      </c>
      <c r="G2291" t="s">
        <v>1197</v>
      </c>
      <c r="H2291" t="s">
        <v>9778</v>
      </c>
      <c r="I2291">
        <v>16566</v>
      </c>
      <c r="J2291" t="s">
        <v>559</v>
      </c>
      <c r="K2291" t="s">
        <v>9779</v>
      </c>
      <c r="L2291" t="s">
        <v>386</v>
      </c>
      <c r="M2291" t="s">
        <v>1193</v>
      </c>
      <c r="N2291">
        <v>16566</v>
      </c>
      <c r="O2291">
        <v>0</v>
      </c>
      <c r="Q2291" t="s">
        <v>9780</v>
      </c>
      <c r="R2291" t="s">
        <v>1208</v>
      </c>
      <c r="T2291">
        <v>260</v>
      </c>
      <c r="V2291" t="s">
        <v>1216</v>
      </c>
      <c r="W2291" t="s">
        <v>1530</v>
      </c>
      <c r="X2291">
        <v>103</v>
      </c>
      <c r="Z2291" t="s">
        <v>2665</v>
      </c>
      <c r="AA2291" t="s">
        <v>387</v>
      </c>
      <c r="AB2291">
        <v>0</v>
      </c>
      <c r="AC2291">
        <v>4889</v>
      </c>
      <c r="AD2291" t="s">
        <v>9781</v>
      </c>
      <c r="AE2291">
        <v>1461</v>
      </c>
      <c r="AF2291" t="s">
        <v>9782</v>
      </c>
      <c r="AG2291" t="s">
        <v>1938</v>
      </c>
      <c r="AH2291" t="s">
        <v>9783</v>
      </c>
    </row>
    <row r="2292" spans="1:34" x14ac:dyDescent="0.25">
      <c r="A2292">
        <v>3</v>
      </c>
      <c r="C2292" s="185"/>
      <c r="E2292" t="s">
        <v>386</v>
      </c>
      <c r="F2292" t="s">
        <v>9784</v>
      </c>
      <c r="G2292" t="s">
        <v>1197</v>
      </c>
      <c r="H2292" t="s">
        <v>9785</v>
      </c>
      <c r="I2292">
        <v>12678</v>
      </c>
      <c r="J2292" t="s">
        <v>9784</v>
      </c>
      <c r="K2292" t="s">
        <v>9786</v>
      </c>
      <c r="L2292" t="s">
        <v>386</v>
      </c>
      <c r="M2292" t="s">
        <v>1193</v>
      </c>
      <c r="N2292">
        <v>12678</v>
      </c>
      <c r="O2292">
        <v>0</v>
      </c>
      <c r="Q2292" t="s">
        <v>9787</v>
      </c>
      <c r="R2292" t="s">
        <v>1208</v>
      </c>
      <c r="T2292">
        <v>571</v>
      </c>
      <c r="V2292" t="s">
        <v>2003</v>
      </c>
      <c r="W2292" t="s">
        <v>2067</v>
      </c>
      <c r="X2292">
        <v>304</v>
      </c>
      <c r="Z2292" t="s">
        <v>1935</v>
      </c>
      <c r="AA2292" t="s">
        <v>387</v>
      </c>
      <c r="AB2292">
        <v>0</v>
      </c>
      <c r="AC2292">
        <v>4745</v>
      </c>
      <c r="AD2292" t="s">
        <v>9788</v>
      </c>
      <c r="AE2292">
        <v>0</v>
      </c>
      <c r="AF2292" t="s">
        <v>1188</v>
      </c>
      <c r="AG2292" t="s">
        <v>3189</v>
      </c>
    </row>
    <row r="2293" spans="1:34" x14ac:dyDescent="0.25">
      <c r="A2293">
        <v>1479</v>
      </c>
      <c r="C2293" s="185"/>
      <c r="E2293" t="s">
        <v>386</v>
      </c>
      <c r="F2293" t="s">
        <v>9789</v>
      </c>
      <c r="G2293" t="s">
        <v>1197</v>
      </c>
      <c r="H2293" t="s">
        <v>9790</v>
      </c>
      <c r="I2293">
        <v>12926</v>
      </c>
      <c r="J2293" t="s">
        <v>9789</v>
      </c>
      <c r="K2293" t="s">
        <v>9791</v>
      </c>
      <c r="L2293" t="s">
        <v>386</v>
      </c>
      <c r="M2293" t="s">
        <v>1193</v>
      </c>
      <c r="N2293">
        <v>12926</v>
      </c>
      <c r="O2293">
        <v>0</v>
      </c>
      <c r="Q2293" t="s">
        <v>9792</v>
      </c>
      <c r="R2293" t="s">
        <v>1208</v>
      </c>
      <c r="T2293">
        <v>259</v>
      </c>
      <c r="V2293" t="s">
        <v>1215</v>
      </c>
      <c r="W2293" t="s">
        <v>2067</v>
      </c>
      <c r="X2293">
        <v>304</v>
      </c>
      <c r="Z2293" t="s">
        <v>2665</v>
      </c>
      <c r="AA2293" t="s">
        <v>387</v>
      </c>
      <c r="AB2293">
        <v>0</v>
      </c>
      <c r="AC2293">
        <v>3983</v>
      </c>
      <c r="AD2293" t="s">
        <v>9793</v>
      </c>
      <c r="AE2293">
        <v>501</v>
      </c>
      <c r="AF2293" t="s">
        <v>9794</v>
      </c>
      <c r="AG2293" t="s">
        <v>9795</v>
      </c>
      <c r="AH2293" t="s">
        <v>9796</v>
      </c>
    </row>
    <row r="2294" spans="1:34" x14ac:dyDescent="0.25">
      <c r="A2294">
        <v>1479</v>
      </c>
      <c r="C2294" s="185"/>
      <c r="E2294" t="s">
        <v>386</v>
      </c>
      <c r="F2294" t="s">
        <v>9797</v>
      </c>
      <c r="G2294" t="s">
        <v>1197</v>
      </c>
      <c r="H2294" t="s">
        <v>9798</v>
      </c>
      <c r="I2294">
        <v>13888</v>
      </c>
      <c r="J2294" t="s">
        <v>9797</v>
      </c>
      <c r="K2294" t="s">
        <v>9799</v>
      </c>
      <c r="L2294" t="s">
        <v>386</v>
      </c>
      <c r="M2294" t="s">
        <v>1193</v>
      </c>
      <c r="N2294">
        <v>13888</v>
      </c>
      <c r="O2294">
        <v>0</v>
      </c>
      <c r="Q2294" t="s">
        <v>9800</v>
      </c>
      <c r="R2294" t="s">
        <v>1208</v>
      </c>
      <c r="T2294">
        <v>304</v>
      </c>
      <c r="V2294" t="s">
        <v>2067</v>
      </c>
      <c r="W2294" t="s">
        <v>2067</v>
      </c>
      <c r="X2294">
        <v>304</v>
      </c>
      <c r="Z2294" t="s">
        <v>2665</v>
      </c>
      <c r="AA2294" t="s">
        <v>387</v>
      </c>
      <c r="AB2294">
        <v>0</v>
      </c>
      <c r="AC2294">
        <v>5241</v>
      </c>
      <c r="AD2294" t="s">
        <v>9801</v>
      </c>
      <c r="AE2294">
        <v>591</v>
      </c>
      <c r="AF2294" t="s">
        <v>9802</v>
      </c>
      <c r="AG2294" t="s">
        <v>9803</v>
      </c>
      <c r="AH2294" t="s">
        <v>9804</v>
      </c>
    </row>
    <row r="2295" spans="1:34" x14ac:dyDescent="0.25">
      <c r="A2295">
        <v>3</v>
      </c>
      <c r="C2295" s="185"/>
      <c r="E2295" t="s">
        <v>386</v>
      </c>
      <c r="F2295" t="s">
        <v>9805</v>
      </c>
      <c r="G2295" t="s">
        <v>1197</v>
      </c>
      <c r="H2295" t="s">
        <v>9806</v>
      </c>
      <c r="I2295">
        <v>321</v>
      </c>
      <c r="J2295" t="s">
        <v>9805</v>
      </c>
      <c r="K2295" t="s">
        <v>9807</v>
      </c>
      <c r="L2295" t="s">
        <v>386</v>
      </c>
      <c r="M2295" t="s">
        <v>1193</v>
      </c>
      <c r="N2295">
        <v>321</v>
      </c>
      <c r="O2295">
        <v>0</v>
      </c>
      <c r="Q2295" t="s">
        <v>9808</v>
      </c>
      <c r="T2295">
        <v>0</v>
      </c>
      <c r="V2295" t="s">
        <v>1186</v>
      </c>
      <c r="Z2295" t="s">
        <v>1935</v>
      </c>
      <c r="AA2295" t="s">
        <v>387</v>
      </c>
      <c r="AB2295">
        <v>0</v>
      </c>
      <c r="AC2295">
        <v>303</v>
      </c>
      <c r="AD2295" t="s">
        <v>9809</v>
      </c>
      <c r="AE2295">
        <v>129</v>
      </c>
      <c r="AF2295" t="s">
        <v>9810</v>
      </c>
      <c r="AG2295" t="s">
        <v>6786</v>
      </c>
      <c r="AH2295" t="s">
        <v>9811</v>
      </c>
    </row>
    <row r="2296" spans="1:34" x14ac:dyDescent="0.25">
      <c r="A2296">
        <v>1479</v>
      </c>
      <c r="C2296" s="185"/>
      <c r="E2296" t="s">
        <v>386</v>
      </c>
      <c r="F2296" t="s">
        <v>9812</v>
      </c>
      <c r="G2296" t="s">
        <v>1192</v>
      </c>
      <c r="H2296" t="s">
        <v>9813</v>
      </c>
      <c r="I2296">
        <v>13426</v>
      </c>
      <c r="J2296" t="s">
        <v>9812</v>
      </c>
      <c r="K2296" t="s">
        <v>9814</v>
      </c>
      <c r="L2296" t="s">
        <v>386</v>
      </c>
      <c r="M2296" t="s">
        <v>1193</v>
      </c>
      <c r="N2296">
        <v>13426</v>
      </c>
      <c r="O2296">
        <v>0</v>
      </c>
      <c r="Q2296" t="s">
        <v>9815</v>
      </c>
      <c r="T2296">
        <v>496</v>
      </c>
      <c r="V2296" t="s">
        <v>2246</v>
      </c>
      <c r="W2296" t="s">
        <v>7257</v>
      </c>
      <c r="X2296">
        <v>119</v>
      </c>
      <c r="Z2296" t="s">
        <v>2665</v>
      </c>
      <c r="AA2296" t="s">
        <v>387</v>
      </c>
      <c r="AB2296">
        <v>0</v>
      </c>
      <c r="AC2296">
        <v>2172</v>
      </c>
      <c r="AD2296" t="s">
        <v>9816</v>
      </c>
      <c r="AE2296">
        <v>959</v>
      </c>
      <c r="AF2296" t="s">
        <v>5657</v>
      </c>
      <c r="AG2296" t="s">
        <v>9817</v>
      </c>
      <c r="AH2296" t="s">
        <v>9818</v>
      </c>
    </row>
    <row r="2297" spans="1:34" x14ac:dyDescent="0.25">
      <c r="A2297">
        <v>1479</v>
      </c>
      <c r="C2297" s="185"/>
      <c r="E2297" t="s">
        <v>386</v>
      </c>
      <c r="F2297" t="s">
        <v>15563</v>
      </c>
      <c r="G2297" t="s">
        <v>1197</v>
      </c>
      <c r="H2297" t="s">
        <v>15564</v>
      </c>
      <c r="I2297">
        <v>17785</v>
      </c>
      <c r="J2297" t="s">
        <v>15563</v>
      </c>
      <c r="K2297" t="s">
        <v>15565</v>
      </c>
      <c r="L2297" t="s">
        <v>386</v>
      </c>
      <c r="M2297" t="s">
        <v>1193</v>
      </c>
      <c r="N2297">
        <v>17785</v>
      </c>
      <c r="O2297">
        <v>0</v>
      </c>
      <c r="Q2297" t="s">
        <v>15566</v>
      </c>
      <c r="T2297">
        <v>473</v>
      </c>
      <c r="V2297" t="s">
        <v>1964</v>
      </c>
      <c r="W2297" t="s">
        <v>1964</v>
      </c>
      <c r="X2297">
        <v>473</v>
      </c>
      <c r="Z2297" t="s">
        <v>2665</v>
      </c>
      <c r="AA2297" t="s">
        <v>387</v>
      </c>
      <c r="AB2297">
        <v>0</v>
      </c>
      <c r="AC2297">
        <v>3795</v>
      </c>
      <c r="AD2297" t="s">
        <v>15567</v>
      </c>
      <c r="AE2297">
        <v>17</v>
      </c>
      <c r="AF2297" t="s">
        <v>9630</v>
      </c>
      <c r="AG2297" t="s">
        <v>10759</v>
      </c>
      <c r="AH2297" t="s">
        <v>15568</v>
      </c>
    </row>
    <row r="2298" spans="1:34" x14ac:dyDescent="0.25">
      <c r="A2298">
        <v>3</v>
      </c>
      <c r="C2298" s="185"/>
      <c r="E2298" t="s">
        <v>386</v>
      </c>
      <c r="F2298" t="s">
        <v>9819</v>
      </c>
      <c r="G2298" t="s">
        <v>1197</v>
      </c>
      <c r="H2298" t="s">
        <v>9820</v>
      </c>
      <c r="I2298">
        <v>2722</v>
      </c>
      <c r="J2298" t="s">
        <v>9819</v>
      </c>
      <c r="K2298" t="s">
        <v>9821</v>
      </c>
      <c r="L2298" t="s">
        <v>386</v>
      </c>
      <c r="M2298" t="s">
        <v>1193</v>
      </c>
      <c r="N2298">
        <v>2722</v>
      </c>
      <c r="O2298">
        <v>0</v>
      </c>
      <c r="Q2298" t="s">
        <v>9822</v>
      </c>
      <c r="T2298">
        <v>52</v>
      </c>
      <c r="V2298" t="s">
        <v>2024</v>
      </c>
      <c r="Z2298" t="s">
        <v>1935</v>
      </c>
      <c r="AA2298" t="s">
        <v>387</v>
      </c>
      <c r="AB2298">
        <v>0</v>
      </c>
      <c r="AC2298">
        <v>1855</v>
      </c>
      <c r="AD2298" t="s">
        <v>9823</v>
      </c>
      <c r="AE2298">
        <v>451</v>
      </c>
      <c r="AF2298" t="s">
        <v>8634</v>
      </c>
      <c r="AG2298" t="s">
        <v>9824</v>
      </c>
      <c r="AH2298" t="s">
        <v>9825</v>
      </c>
    </row>
    <row r="2299" spans="1:34" x14ac:dyDescent="0.25">
      <c r="A2299">
        <v>3</v>
      </c>
      <c r="C2299" s="185"/>
      <c r="D2299" t="s">
        <v>24</v>
      </c>
      <c r="E2299" t="s">
        <v>386</v>
      </c>
      <c r="F2299" t="s">
        <v>9826</v>
      </c>
      <c r="G2299" t="s">
        <v>1197</v>
      </c>
      <c r="H2299" t="s">
        <v>9827</v>
      </c>
      <c r="I2299">
        <v>9122</v>
      </c>
      <c r="J2299" t="s">
        <v>9826</v>
      </c>
      <c r="K2299" t="s">
        <v>9826</v>
      </c>
      <c r="L2299" t="s">
        <v>386</v>
      </c>
      <c r="M2299" t="s">
        <v>1193</v>
      </c>
      <c r="N2299">
        <v>9122</v>
      </c>
      <c r="O2299">
        <v>0</v>
      </c>
      <c r="Q2299" t="s">
        <v>9828</v>
      </c>
      <c r="R2299" t="s">
        <v>398</v>
      </c>
      <c r="T2299">
        <v>220</v>
      </c>
      <c r="V2299" t="s">
        <v>1194</v>
      </c>
      <c r="Z2299" t="s">
        <v>1935</v>
      </c>
      <c r="AA2299" t="s">
        <v>387</v>
      </c>
      <c r="AB2299">
        <v>0</v>
      </c>
      <c r="AC2299">
        <v>3630</v>
      </c>
      <c r="AD2299" t="s">
        <v>9829</v>
      </c>
      <c r="AE2299">
        <v>240</v>
      </c>
      <c r="AF2299" t="s">
        <v>8600</v>
      </c>
      <c r="AG2299" t="s">
        <v>9830</v>
      </c>
      <c r="AH2299" t="s">
        <v>9831</v>
      </c>
    </row>
    <row r="2300" spans="1:34" x14ac:dyDescent="0.25">
      <c r="A2300">
        <v>2114</v>
      </c>
      <c r="C2300" s="185"/>
      <c r="E2300" t="s">
        <v>386</v>
      </c>
      <c r="F2300" t="s">
        <v>9832</v>
      </c>
      <c r="G2300" t="s">
        <v>1238</v>
      </c>
      <c r="H2300" t="s">
        <v>9833</v>
      </c>
      <c r="I2300">
        <v>14742</v>
      </c>
      <c r="J2300" t="s">
        <v>9832</v>
      </c>
      <c r="K2300" t="s">
        <v>9834</v>
      </c>
      <c r="L2300" t="s">
        <v>386</v>
      </c>
      <c r="M2300" t="s">
        <v>1184</v>
      </c>
      <c r="N2300">
        <v>14742</v>
      </c>
      <c r="O2300">
        <v>0</v>
      </c>
      <c r="Q2300" t="s">
        <v>9835</v>
      </c>
      <c r="R2300" t="s">
        <v>398</v>
      </c>
      <c r="T2300">
        <v>260</v>
      </c>
      <c r="V2300" t="s">
        <v>1216</v>
      </c>
      <c r="W2300" t="s">
        <v>1530</v>
      </c>
      <c r="X2300">
        <v>103</v>
      </c>
      <c r="Z2300" t="s">
        <v>9836</v>
      </c>
      <c r="AA2300" t="s">
        <v>387</v>
      </c>
      <c r="AB2300">
        <v>0</v>
      </c>
      <c r="AC2300">
        <v>5604</v>
      </c>
      <c r="AD2300" t="s">
        <v>8871</v>
      </c>
      <c r="AE2300">
        <v>0</v>
      </c>
      <c r="AF2300" t="s">
        <v>1188</v>
      </c>
      <c r="AG2300" t="s">
        <v>1244</v>
      </c>
      <c r="AH2300" t="s">
        <v>9837</v>
      </c>
    </row>
    <row r="2301" spans="1:34" x14ac:dyDescent="0.25">
      <c r="A2301">
        <v>1479</v>
      </c>
      <c r="C2301" s="185"/>
      <c r="E2301" t="s">
        <v>386</v>
      </c>
      <c r="F2301" t="s">
        <v>9838</v>
      </c>
      <c r="G2301" t="s">
        <v>1197</v>
      </c>
      <c r="H2301" t="s">
        <v>9839</v>
      </c>
      <c r="I2301">
        <v>12687</v>
      </c>
      <c r="J2301" t="s">
        <v>9838</v>
      </c>
      <c r="K2301" t="s">
        <v>9838</v>
      </c>
      <c r="L2301" t="s">
        <v>386</v>
      </c>
      <c r="M2301" t="s">
        <v>1193</v>
      </c>
      <c r="N2301">
        <v>12687</v>
      </c>
      <c r="O2301">
        <v>0</v>
      </c>
      <c r="Q2301" t="s">
        <v>9840</v>
      </c>
      <c r="R2301" t="s">
        <v>1208</v>
      </c>
      <c r="T2301">
        <v>304</v>
      </c>
      <c r="V2301" t="s">
        <v>2067</v>
      </c>
      <c r="Z2301" t="s">
        <v>2665</v>
      </c>
      <c r="AA2301" t="s">
        <v>387</v>
      </c>
      <c r="AB2301">
        <v>0</v>
      </c>
      <c r="AC2301">
        <v>4739</v>
      </c>
      <c r="AD2301" t="s">
        <v>9841</v>
      </c>
      <c r="AE2301">
        <v>1</v>
      </c>
      <c r="AF2301" t="s">
        <v>1922</v>
      </c>
      <c r="AG2301" t="s">
        <v>7436</v>
      </c>
      <c r="AH2301" t="s">
        <v>9842</v>
      </c>
    </row>
    <row r="2302" spans="1:34" x14ac:dyDescent="0.25">
      <c r="A2302">
        <v>3</v>
      </c>
      <c r="C2302" s="185"/>
      <c r="D2302" t="s">
        <v>24</v>
      </c>
      <c r="E2302" t="s">
        <v>386</v>
      </c>
      <c r="F2302" t="s">
        <v>9843</v>
      </c>
      <c r="G2302" t="s">
        <v>1197</v>
      </c>
      <c r="H2302" t="s">
        <v>9844</v>
      </c>
      <c r="I2302">
        <v>7707</v>
      </c>
      <c r="J2302" t="s">
        <v>9843</v>
      </c>
      <c r="K2302" t="s">
        <v>9845</v>
      </c>
      <c r="L2302" t="s">
        <v>386</v>
      </c>
      <c r="M2302" t="s">
        <v>1193</v>
      </c>
      <c r="N2302">
        <v>7707</v>
      </c>
      <c r="O2302">
        <v>0</v>
      </c>
      <c r="Q2302" t="s">
        <v>9846</v>
      </c>
      <c r="R2302" t="s">
        <v>398</v>
      </c>
      <c r="T2302">
        <v>220</v>
      </c>
      <c r="V2302" t="s">
        <v>1194</v>
      </c>
      <c r="Z2302" t="s">
        <v>1935</v>
      </c>
      <c r="AA2302" t="s">
        <v>387</v>
      </c>
      <c r="AB2302">
        <v>0</v>
      </c>
      <c r="AC2302">
        <v>3618</v>
      </c>
      <c r="AD2302" t="s">
        <v>9847</v>
      </c>
      <c r="AE2302">
        <v>1684</v>
      </c>
      <c r="AF2302" t="s">
        <v>9848</v>
      </c>
      <c r="AG2302" t="s">
        <v>4112</v>
      </c>
    </row>
    <row r="2303" spans="1:34" x14ac:dyDescent="0.25">
      <c r="A2303">
        <v>704</v>
      </c>
      <c r="C2303" s="185"/>
      <c r="D2303" t="s">
        <v>24</v>
      </c>
      <c r="E2303" t="s">
        <v>386</v>
      </c>
      <c r="F2303" t="s">
        <v>645</v>
      </c>
      <c r="G2303" t="s">
        <v>1197</v>
      </c>
      <c r="H2303" t="s">
        <v>9849</v>
      </c>
      <c r="I2303">
        <v>16918</v>
      </c>
      <c r="J2303" t="s">
        <v>645</v>
      </c>
      <c r="K2303" t="s">
        <v>645</v>
      </c>
      <c r="L2303" t="s">
        <v>386</v>
      </c>
      <c r="M2303" t="s">
        <v>1193</v>
      </c>
      <c r="N2303">
        <v>16918</v>
      </c>
      <c r="O2303">
        <v>64</v>
      </c>
      <c r="Q2303" t="s">
        <v>9850</v>
      </c>
      <c r="R2303" t="s">
        <v>398</v>
      </c>
      <c r="T2303">
        <v>220</v>
      </c>
      <c r="V2303" t="s">
        <v>1194</v>
      </c>
      <c r="W2303" t="s">
        <v>6311</v>
      </c>
      <c r="X2303">
        <v>521</v>
      </c>
      <c r="Z2303" t="s">
        <v>2160</v>
      </c>
      <c r="AA2303" t="s">
        <v>387</v>
      </c>
      <c r="AB2303">
        <v>56000</v>
      </c>
      <c r="AC2303">
        <v>6296</v>
      </c>
      <c r="AD2303" t="s">
        <v>9851</v>
      </c>
      <c r="AE2303">
        <v>2883</v>
      </c>
      <c r="AF2303" t="s">
        <v>9852</v>
      </c>
      <c r="AG2303" t="s">
        <v>1244</v>
      </c>
      <c r="AH2303" t="s">
        <v>9853</v>
      </c>
    </row>
    <row r="2304" spans="1:34" x14ac:dyDescent="0.25">
      <c r="A2304">
        <v>2087</v>
      </c>
      <c r="C2304" s="185"/>
      <c r="D2304" t="s">
        <v>157</v>
      </c>
      <c r="E2304" t="s">
        <v>386</v>
      </c>
      <c r="F2304" t="s">
        <v>366</v>
      </c>
      <c r="G2304" t="s">
        <v>1197</v>
      </c>
      <c r="H2304" t="s">
        <v>9854</v>
      </c>
      <c r="I2304">
        <v>14167</v>
      </c>
      <c r="J2304" t="s">
        <v>9855</v>
      </c>
      <c r="K2304" t="s">
        <v>5496</v>
      </c>
      <c r="L2304" t="s">
        <v>386</v>
      </c>
      <c r="M2304" t="s">
        <v>1193</v>
      </c>
      <c r="N2304">
        <v>15343</v>
      </c>
      <c r="O2304">
        <v>0</v>
      </c>
      <c r="Q2304" t="s">
        <v>9856</v>
      </c>
      <c r="R2304" t="s">
        <v>398</v>
      </c>
      <c r="T2304">
        <v>272</v>
      </c>
      <c r="V2304" t="s">
        <v>2107</v>
      </c>
      <c r="W2304" t="s">
        <v>2107</v>
      </c>
      <c r="X2304">
        <v>272</v>
      </c>
      <c r="Z2304" t="s">
        <v>9857</v>
      </c>
      <c r="AA2304" t="s">
        <v>387</v>
      </c>
      <c r="AB2304">
        <v>0</v>
      </c>
      <c r="AC2304">
        <v>5359</v>
      </c>
      <c r="AD2304" t="s">
        <v>9858</v>
      </c>
      <c r="AE2304">
        <v>138</v>
      </c>
      <c r="AF2304" t="s">
        <v>2509</v>
      </c>
      <c r="AG2304" t="s">
        <v>9859</v>
      </c>
      <c r="AH2304" t="s">
        <v>9860</v>
      </c>
    </row>
    <row r="2305" spans="1:34" x14ac:dyDescent="0.25">
      <c r="A2305">
        <v>2088</v>
      </c>
      <c r="C2305" s="185"/>
      <c r="D2305" t="s">
        <v>157</v>
      </c>
      <c r="E2305" t="s">
        <v>386</v>
      </c>
      <c r="F2305" t="s">
        <v>366</v>
      </c>
      <c r="G2305" t="s">
        <v>1197</v>
      </c>
      <c r="H2305" t="s">
        <v>9861</v>
      </c>
      <c r="I2305">
        <v>14168</v>
      </c>
      <c r="J2305" t="s">
        <v>9862</v>
      </c>
      <c r="K2305" t="s">
        <v>5496</v>
      </c>
      <c r="L2305" t="s">
        <v>386</v>
      </c>
      <c r="M2305" t="s">
        <v>1193</v>
      </c>
      <c r="N2305">
        <v>15343</v>
      </c>
      <c r="O2305">
        <v>0</v>
      </c>
      <c r="Q2305" t="s">
        <v>9863</v>
      </c>
      <c r="R2305" t="s">
        <v>398</v>
      </c>
      <c r="T2305">
        <v>272</v>
      </c>
      <c r="V2305" t="s">
        <v>2107</v>
      </c>
      <c r="W2305" t="s">
        <v>2107</v>
      </c>
      <c r="X2305">
        <v>272</v>
      </c>
      <c r="Z2305" t="s">
        <v>9864</v>
      </c>
      <c r="AA2305" t="s">
        <v>387</v>
      </c>
      <c r="AB2305">
        <v>0</v>
      </c>
      <c r="AC2305">
        <v>5360</v>
      </c>
      <c r="AD2305" t="s">
        <v>9865</v>
      </c>
      <c r="AE2305">
        <v>244</v>
      </c>
      <c r="AF2305" t="s">
        <v>9866</v>
      </c>
      <c r="AG2305" t="s">
        <v>2761</v>
      </c>
      <c r="AH2305" t="s">
        <v>9860</v>
      </c>
    </row>
    <row r="2306" spans="1:34" x14ac:dyDescent="0.25">
      <c r="A2306">
        <v>1981</v>
      </c>
      <c r="C2306" s="185"/>
      <c r="E2306" t="s">
        <v>386</v>
      </c>
      <c r="F2306" t="s">
        <v>9867</v>
      </c>
      <c r="G2306" t="s">
        <v>1197</v>
      </c>
      <c r="H2306" t="s">
        <v>9868</v>
      </c>
      <c r="I2306">
        <v>14495</v>
      </c>
      <c r="J2306" t="s">
        <v>9867</v>
      </c>
      <c r="K2306" t="s">
        <v>9869</v>
      </c>
      <c r="L2306" t="s">
        <v>386</v>
      </c>
      <c r="M2306" t="s">
        <v>1193</v>
      </c>
      <c r="N2306">
        <v>14495</v>
      </c>
      <c r="O2306">
        <v>0</v>
      </c>
      <c r="Q2306" t="s">
        <v>9870</v>
      </c>
      <c r="T2306">
        <v>571</v>
      </c>
      <c r="V2306" t="s">
        <v>2003</v>
      </c>
      <c r="W2306" t="s">
        <v>3129</v>
      </c>
      <c r="X2306">
        <v>435</v>
      </c>
      <c r="Z2306" t="s">
        <v>9871</v>
      </c>
      <c r="AA2306" t="s">
        <v>387</v>
      </c>
      <c r="AB2306">
        <v>0</v>
      </c>
      <c r="AC2306">
        <v>5508</v>
      </c>
      <c r="AD2306" t="s">
        <v>9872</v>
      </c>
      <c r="AE2306">
        <v>596</v>
      </c>
      <c r="AF2306" t="s">
        <v>5159</v>
      </c>
      <c r="AG2306" t="s">
        <v>9873</v>
      </c>
      <c r="AH2306" t="s">
        <v>9874</v>
      </c>
    </row>
    <row r="2307" spans="1:34" x14ac:dyDescent="0.25">
      <c r="A2307">
        <v>1</v>
      </c>
      <c r="C2307" s="185"/>
      <c r="D2307" t="s">
        <v>157</v>
      </c>
      <c r="E2307" t="s">
        <v>386</v>
      </c>
      <c r="F2307" t="s">
        <v>9875</v>
      </c>
      <c r="G2307" t="s">
        <v>1192</v>
      </c>
      <c r="H2307" t="s">
        <v>9876</v>
      </c>
      <c r="I2307">
        <v>310</v>
      </c>
      <c r="J2307" t="s">
        <v>9875</v>
      </c>
      <c r="K2307" t="s">
        <v>9875</v>
      </c>
      <c r="L2307" t="s">
        <v>386</v>
      </c>
      <c r="M2307" t="s">
        <v>1184</v>
      </c>
      <c r="N2307">
        <v>310</v>
      </c>
      <c r="O2307">
        <v>0</v>
      </c>
      <c r="Q2307" t="s">
        <v>9877</v>
      </c>
      <c r="R2307" t="s">
        <v>1208</v>
      </c>
      <c r="T2307">
        <v>471</v>
      </c>
      <c r="V2307" t="s">
        <v>1702</v>
      </c>
      <c r="W2307" t="s">
        <v>1257</v>
      </c>
      <c r="X2307">
        <v>426</v>
      </c>
      <c r="Z2307" t="s">
        <v>865</v>
      </c>
      <c r="AA2307" t="s">
        <v>387</v>
      </c>
      <c r="AB2307">
        <v>0</v>
      </c>
      <c r="AC2307">
        <v>683</v>
      </c>
      <c r="AD2307" t="s">
        <v>9878</v>
      </c>
      <c r="AE2307">
        <v>325</v>
      </c>
      <c r="AF2307" t="s">
        <v>4305</v>
      </c>
      <c r="AG2307" t="s">
        <v>7748</v>
      </c>
      <c r="AH2307" t="s">
        <v>9879</v>
      </c>
    </row>
    <row r="2308" spans="1:34" x14ac:dyDescent="0.25">
      <c r="A2308">
        <v>1246</v>
      </c>
      <c r="B2308" t="s">
        <v>1313</v>
      </c>
      <c r="C2308" s="185"/>
      <c r="D2308" t="s">
        <v>24</v>
      </c>
      <c r="E2308" t="s">
        <v>386</v>
      </c>
      <c r="F2308" t="s">
        <v>25</v>
      </c>
      <c r="G2308" t="s">
        <v>1197</v>
      </c>
      <c r="H2308" t="s">
        <v>9880</v>
      </c>
      <c r="I2308">
        <v>5300</v>
      </c>
      <c r="J2308" t="s">
        <v>25</v>
      </c>
      <c r="K2308" t="s">
        <v>9881</v>
      </c>
      <c r="L2308" t="s">
        <v>386</v>
      </c>
      <c r="M2308" t="s">
        <v>1193</v>
      </c>
      <c r="N2308">
        <v>5300</v>
      </c>
      <c r="O2308">
        <v>65</v>
      </c>
      <c r="Q2308" t="s">
        <v>9882</v>
      </c>
      <c r="R2308" t="s">
        <v>398</v>
      </c>
      <c r="S2308" t="s">
        <v>1909</v>
      </c>
      <c r="T2308">
        <v>200</v>
      </c>
      <c r="U2308">
        <v>0</v>
      </c>
      <c r="V2308" t="s">
        <v>1199</v>
      </c>
      <c r="W2308" t="s">
        <v>4468</v>
      </c>
      <c r="X2308">
        <v>470</v>
      </c>
      <c r="Y2308" t="s">
        <v>1317</v>
      </c>
      <c r="Z2308" t="s">
        <v>961</v>
      </c>
      <c r="AA2308" t="s">
        <v>387</v>
      </c>
      <c r="AB2308">
        <v>57000</v>
      </c>
      <c r="AC2308">
        <v>1569</v>
      </c>
      <c r="AD2308" t="s">
        <v>961</v>
      </c>
      <c r="AE2308">
        <v>999</v>
      </c>
      <c r="AF2308" t="s">
        <v>8574</v>
      </c>
      <c r="AG2308" t="s">
        <v>7310</v>
      </c>
      <c r="AH2308" t="s">
        <v>9883</v>
      </c>
    </row>
    <row r="2309" spans="1:34" x14ac:dyDescent="0.25">
      <c r="A2309">
        <v>704</v>
      </c>
      <c r="B2309" t="s">
        <v>1313</v>
      </c>
      <c r="C2309" s="185"/>
      <c r="D2309" t="s">
        <v>24</v>
      </c>
      <c r="E2309" t="s">
        <v>386</v>
      </c>
      <c r="F2309" t="s">
        <v>450</v>
      </c>
      <c r="G2309" t="s">
        <v>1197</v>
      </c>
      <c r="H2309" t="s">
        <v>9884</v>
      </c>
      <c r="I2309">
        <v>1874</v>
      </c>
      <c r="J2309" t="s">
        <v>210</v>
      </c>
      <c r="K2309" t="s">
        <v>6366</v>
      </c>
      <c r="L2309" t="s">
        <v>386</v>
      </c>
      <c r="M2309" t="s">
        <v>1193</v>
      </c>
      <c r="N2309">
        <v>15720</v>
      </c>
      <c r="O2309">
        <v>64</v>
      </c>
      <c r="Q2309" t="s">
        <v>9885</v>
      </c>
      <c r="R2309" t="s">
        <v>398</v>
      </c>
      <c r="S2309" t="s">
        <v>4594</v>
      </c>
      <c r="T2309">
        <v>449</v>
      </c>
      <c r="U2309">
        <v>0</v>
      </c>
      <c r="V2309" t="s">
        <v>5678</v>
      </c>
      <c r="W2309" t="s">
        <v>1194</v>
      </c>
      <c r="X2309">
        <v>220</v>
      </c>
      <c r="Y2309" t="s">
        <v>1317</v>
      </c>
      <c r="Z2309" t="s">
        <v>2160</v>
      </c>
      <c r="AA2309" t="s">
        <v>387</v>
      </c>
      <c r="AB2309">
        <v>56000</v>
      </c>
      <c r="AC2309">
        <v>1394</v>
      </c>
      <c r="AD2309" t="s">
        <v>9886</v>
      </c>
      <c r="AE2309">
        <v>138</v>
      </c>
      <c r="AF2309" t="s">
        <v>2509</v>
      </c>
      <c r="AG2309" t="s">
        <v>23</v>
      </c>
      <c r="AH2309" t="s">
        <v>9887</v>
      </c>
    </row>
    <row r="2310" spans="1:34" x14ac:dyDescent="0.25">
      <c r="A2310">
        <v>1</v>
      </c>
      <c r="C2310" s="185"/>
      <c r="E2310" t="s">
        <v>386</v>
      </c>
      <c r="F2310" t="s">
        <v>9888</v>
      </c>
      <c r="G2310" t="s">
        <v>1192</v>
      </c>
      <c r="H2310" t="s">
        <v>8624</v>
      </c>
      <c r="I2310">
        <v>1316</v>
      </c>
      <c r="J2310" t="s">
        <v>9888</v>
      </c>
      <c r="K2310" t="s">
        <v>9888</v>
      </c>
      <c r="L2310" t="s">
        <v>386</v>
      </c>
      <c r="M2310" t="s">
        <v>1184</v>
      </c>
      <c r="N2310">
        <v>1316</v>
      </c>
      <c r="O2310">
        <v>0</v>
      </c>
      <c r="Q2310" t="s">
        <v>9889</v>
      </c>
      <c r="R2310" t="s">
        <v>1208</v>
      </c>
      <c r="T2310">
        <v>260</v>
      </c>
      <c r="V2310" t="s">
        <v>1216</v>
      </c>
      <c r="W2310" t="s">
        <v>1199</v>
      </c>
      <c r="X2310">
        <v>200</v>
      </c>
      <c r="Z2310" t="s">
        <v>865</v>
      </c>
      <c r="AA2310" t="s">
        <v>387</v>
      </c>
      <c r="AB2310">
        <v>0</v>
      </c>
      <c r="AC2310">
        <v>3587</v>
      </c>
      <c r="AD2310" t="s">
        <v>9890</v>
      </c>
      <c r="AE2310">
        <v>36</v>
      </c>
      <c r="AF2310" t="s">
        <v>3664</v>
      </c>
      <c r="AG2310" t="s">
        <v>4058</v>
      </c>
      <c r="AH2310" t="s">
        <v>8628</v>
      </c>
    </row>
    <row r="2311" spans="1:34" x14ac:dyDescent="0.25">
      <c r="A2311">
        <v>28</v>
      </c>
      <c r="C2311" s="185"/>
      <c r="E2311" t="s">
        <v>386</v>
      </c>
      <c r="F2311" t="s">
        <v>9891</v>
      </c>
      <c r="G2311" t="s">
        <v>1197</v>
      </c>
      <c r="H2311" t="s">
        <v>9892</v>
      </c>
      <c r="I2311">
        <v>16573</v>
      </c>
      <c r="J2311" t="s">
        <v>9891</v>
      </c>
      <c r="K2311" t="s">
        <v>9893</v>
      </c>
      <c r="L2311" t="s">
        <v>386</v>
      </c>
      <c r="M2311" t="s">
        <v>1193</v>
      </c>
      <c r="N2311">
        <v>16573</v>
      </c>
      <c r="O2311">
        <v>0</v>
      </c>
      <c r="Q2311" t="s">
        <v>9894</v>
      </c>
      <c r="T2311">
        <v>52</v>
      </c>
      <c r="V2311" t="s">
        <v>2024</v>
      </c>
      <c r="W2311" t="s">
        <v>2246</v>
      </c>
      <c r="X2311">
        <v>496</v>
      </c>
      <c r="Z2311" t="s">
        <v>3549</v>
      </c>
      <c r="AA2311" t="s">
        <v>387</v>
      </c>
      <c r="AB2311">
        <v>0</v>
      </c>
      <c r="AC2311">
        <v>2926</v>
      </c>
      <c r="AD2311" t="s">
        <v>9895</v>
      </c>
      <c r="AE2311">
        <v>2005</v>
      </c>
      <c r="AF2311" t="s">
        <v>4442</v>
      </c>
      <c r="AG2311" t="s">
        <v>9896</v>
      </c>
      <c r="AH2311" t="s">
        <v>9897</v>
      </c>
    </row>
    <row r="2312" spans="1:34" x14ac:dyDescent="0.25">
      <c r="A2312">
        <v>2054</v>
      </c>
      <c r="C2312" s="185"/>
      <c r="E2312" t="s">
        <v>386</v>
      </c>
      <c r="F2312" t="s">
        <v>9898</v>
      </c>
      <c r="G2312" t="s">
        <v>1197</v>
      </c>
      <c r="H2312" t="s">
        <v>9899</v>
      </c>
      <c r="I2312">
        <v>17160</v>
      </c>
      <c r="J2312" t="s">
        <v>9898</v>
      </c>
      <c r="K2312" t="s">
        <v>9900</v>
      </c>
      <c r="L2312" t="s">
        <v>386</v>
      </c>
      <c r="M2312" t="s">
        <v>1193</v>
      </c>
      <c r="N2312">
        <v>17160</v>
      </c>
      <c r="O2312">
        <v>0</v>
      </c>
      <c r="Q2312" t="s">
        <v>9901</v>
      </c>
      <c r="R2312" t="s">
        <v>1208</v>
      </c>
      <c r="T2312">
        <v>509</v>
      </c>
      <c r="V2312" t="s">
        <v>5803</v>
      </c>
      <c r="W2312" t="s">
        <v>5803</v>
      </c>
      <c r="X2312">
        <v>509</v>
      </c>
      <c r="Z2312" t="s">
        <v>9902</v>
      </c>
      <c r="AA2312" t="s">
        <v>387</v>
      </c>
      <c r="AB2312">
        <v>0</v>
      </c>
      <c r="AC2312">
        <v>243</v>
      </c>
      <c r="AD2312" t="s">
        <v>9903</v>
      </c>
      <c r="AE2312">
        <v>1</v>
      </c>
      <c r="AF2312" t="s">
        <v>1922</v>
      </c>
      <c r="AG2312" t="s">
        <v>9904</v>
      </c>
    </row>
    <row r="2313" spans="1:34" x14ac:dyDescent="0.25">
      <c r="A2313">
        <v>1705</v>
      </c>
      <c r="C2313" s="185"/>
      <c r="E2313" t="s">
        <v>386</v>
      </c>
      <c r="F2313" t="s">
        <v>9905</v>
      </c>
      <c r="G2313" t="s">
        <v>1197</v>
      </c>
      <c r="H2313" t="s">
        <v>9906</v>
      </c>
      <c r="I2313">
        <v>12618</v>
      </c>
      <c r="J2313" t="s">
        <v>9905</v>
      </c>
      <c r="K2313" t="s">
        <v>9907</v>
      </c>
      <c r="L2313" t="s">
        <v>386</v>
      </c>
      <c r="M2313" t="s">
        <v>1193</v>
      </c>
      <c r="N2313">
        <v>12618</v>
      </c>
      <c r="O2313">
        <v>64</v>
      </c>
      <c r="Q2313" t="s">
        <v>9908</v>
      </c>
      <c r="R2313" t="s">
        <v>398</v>
      </c>
      <c r="T2313">
        <v>220</v>
      </c>
      <c r="V2313" t="s">
        <v>1194</v>
      </c>
      <c r="W2313" t="s">
        <v>1194</v>
      </c>
      <c r="X2313">
        <v>220</v>
      </c>
      <c r="Z2313" t="s">
        <v>1124</v>
      </c>
      <c r="AA2313" t="s">
        <v>387</v>
      </c>
      <c r="AB2313">
        <v>56000</v>
      </c>
      <c r="AC2313">
        <v>4716</v>
      </c>
      <c r="AD2313" t="s">
        <v>9909</v>
      </c>
      <c r="AE2313">
        <v>393</v>
      </c>
      <c r="AF2313" t="s">
        <v>4822</v>
      </c>
      <c r="AG2313" t="s">
        <v>9910</v>
      </c>
      <c r="AH2313" t="s">
        <v>9225</v>
      </c>
    </row>
    <row r="2314" spans="1:34" x14ac:dyDescent="0.25">
      <c r="A2314">
        <v>1705</v>
      </c>
      <c r="B2314" t="s">
        <v>1313</v>
      </c>
      <c r="C2314" s="185"/>
      <c r="D2314" t="s">
        <v>24</v>
      </c>
      <c r="E2314" t="s">
        <v>386</v>
      </c>
      <c r="F2314" t="s">
        <v>592</v>
      </c>
      <c r="G2314" t="s">
        <v>1197</v>
      </c>
      <c r="H2314" t="s">
        <v>9911</v>
      </c>
      <c r="I2314">
        <v>5695</v>
      </c>
      <c r="J2314" t="s">
        <v>9912</v>
      </c>
      <c r="K2314" t="s">
        <v>9913</v>
      </c>
      <c r="L2314" t="s">
        <v>386</v>
      </c>
      <c r="M2314" t="s">
        <v>1193</v>
      </c>
      <c r="N2314">
        <v>15323</v>
      </c>
      <c r="O2314">
        <v>68</v>
      </c>
      <c r="Q2314" t="s">
        <v>9914</v>
      </c>
      <c r="R2314" t="s">
        <v>398</v>
      </c>
      <c r="S2314" t="s">
        <v>7404</v>
      </c>
      <c r="T2314">
        <v>220</v>
      </c>
      <c r="U2314">
        <v>0</v>
      </c>
      <c r="V2314" t="s">
        <v>1194</v>
      </c>
      <c r="W2314" t="s">
        <v>1194</v>
      </c>
      <c r="X2314">
        <v>220</v>
      </c>
      <c r="Y2314" t="s">
        <v>1317</v>
      </c>
      <c r="Z2314" t="s">
        <v>1124</v>
      </c>
      <c r="AA2314" t="s">
        <v>387</v>
      </c>
      <c r="AB2314">
        <v>60000</v>
      </c>
      <c r="AC2314">
        <v>2680</v>
      </c>
      <c r="AD2314" t="s">
        <v>9915</v>
      </c>
      <c r="AE2314">
        <v>1287</v>
      </c>
      <c r="AF2314" t="s">
        <v>9916</v>
      </c>
      <c r="AG2314" t="s">
        <v>1244</v>
      </c>
      <c r="AH2314" t="s">
        <v>9917</v>
      </c>
    </row>
    <row r="2315" spans="1:34" x14ac:dyDescent="0.25">
      <c r="A2315">
        <v>1981</v>
      </c>
      <c r="C2315" s="185"/>
      <c r="E2315" t="s">
        <v>386</v>
      </c>
      <c r="F2315" t="s">
        <v>9918</v>
      </c>
      <c r="G2315" t="s">
        <v>1197</v>
      </c>
      <c r="H2315" t="s">
        <v>9919</v>
      </c>
      <c r="I2315">
        <v>14801</v>
      </c>
      <c r="J2315" t="s">
        <v>9918</v>
      </c>
      <c r="K2315" t="s">
        <v>9920</v>
      </c>
      <c r="L2315" t="s">
        <v>386</v>
      </c>
      <c r="M2315" t="s">
        <v>1193</v>
      </c>
      <c r="N2315">
        <v>14801</v>
      </c>
      <c r="O2315">
        <v>0</v>
      </c>
      <c r="Q2315" t="s">
        <v>9921</v>
      </c>
      <c r="R2315" t="s">
        <v>398</v>
      </c>
      <c r="T2315">
        <v>260</v>
      </c>
      <c r="V2315" t="s">
        <v>1216</v>
      </c>
      <c r="W2315" t="s">
        <v>1194</v>
      </c>
      <c r="X2315">
        <v>220</v>
      </c>
      <c r="Z2315" t="s">
        <v>9871</v>
      </c>
      <c r="AA2315" t="s">
        <v>387</v>
      </c>
      <c r="AB2315">
        <v>0</v>
      </c>
      <c r="AC2315">
        <v>5635</v>
      </c>
      <c r="AD2315" t="s">
        <v>9922</v>
      </c>
      <c r="AE2315">
        <v>18</v>
      </c>
      <c r="AF2315" t="s">
        <v>1259</v>
      </c>
      <c r="AG2315" t="s">
        <v>9923</v>
      </c>
      <c r="AH2315" t="s">
        <v>9924</v>
      </c>
    </row>
    <row r="2316" spans="1:34" x14ac:dyDescent="0.25">
      <c r="A2316">
        <v>1246</v>
      </c>
      <c r="C2316" s="185"/>
      <c r="E2316" t="s">
        <v>386</v>
      </c>
      <c r="F2316" t="s">
        <v>9925</v>
      </c>
      <c r="G2316" t="s">
        <v>1197</v>
      </c>
      <c r="H2316" t="s">
        <v>4477</v>
      </c>
      <c r="I2316">
        <v>5211</v>
      </c>
      <c r="J2316" t="s">
        <v>9925</v>
      </c>
      <c r="K2316" t="s">
        <v>9925</v>
      </c>
      <c r="L2316" t="s">
        <v>386</v>
      </c>
      <c r="M2316" t="s">
        <v>1193</v>
      </c>
      <c r="N2316">
        <v>5211</v>
      </c>
      <c r="O2316">
        <v>10</v>
      </c>
      <c r="Q2316" t="s">
        <v>9926</v>
      </c>
      <c r="R2316" t="s">
        <v>398</v>
      </c>
      <c r="T2316">
        <v>246</v>
      </c>
      <c r="V2316" t="s">
        <v>3321</v>
      </c>
      <c r="Z2316" t="s">
        <v>961</v>
      </c>
      <c r="AA2316" t="s">
        <v>387</v>
      </c>
      <c r="AB2316">
        <v>6000</v>
      </c>
      <c r="AC2316">
        <v>1939</v>
      </c>
      <c r="AD2316" t="s">
        <v>9927</v>
      </c>
      <c r="AE2316">
        <v>467</v>
      </c>
      <c r="AF2316" t="s">
        <v>9928</v>
      </c>
      <c r="AG2316" t="s">
        <v>9929</v>
      </c>
      <c r="AH2316" t="s">
        <v>9930</v>
      </c>
    </row>
    <row r="2317" spans="1:34" x14ac:dyDescent="0.25">
      <c r="A2317">
        <v>2136</v>
      </c>
      <c r="C2317" s="185"/>
      <c r="E2317" t="s">
        <v>386</v>
      </c>
      <c r="F2317" t="s">
        <v>9931</v>
      </c>
      <c r="G2317" t="s">
        <v>1238</v>
      </c>
      <c r="H2317" t="s">
        <v>9932</v>
      </c>
      <c r="I2317">
        <v>15300</v>
      </c>
      <c r="J2317" t="s">
        <v>9931</v>
      </c>
      <c r="K2317" t="s">
        <v>9933</v>
      </c>
      <c r="L2317" t="s">
        <v>386</v>
      </c>
      <c r="M2317" t="s">
        <v>1184</v>
      </c>
      <c r="N2317">
        <v>15300</v>
      </c>
      <c r="O2317">
        <v>0</v>
      </c>
      <c r="Q2317" t="s">
        <v>9934</v>
      </c>
      <c r="T2317">
        <v>260</v>
      </c>
      <c r="V2317" t="s">
        <v>1216</v>
      </c>
      <c r="W2317" t="s">
        <v>1216</v>
      </c>
      <c r="X2317">
        <v>260</v>
      </c>
      <c r="Z2317" t="s">
        <v>9935</v>
      </c>
      <c r="AA2317" t="s">
        <v>387</v>
      </c>
      <c r="AB2317">
        <v>0</v>
      </c>
      <c r="AC2317">
        <v>5801</v>
      </c>
      <c r="AD2317" t="s">
        <v>9936</v>
      </c>
      <c r="AE2317">
        <v>18</v>
      </c>
      <c r="AF2317" t="s">
        <v>1259</v>
      </c>
      <c r="AG2317" t="s">
        <v>1244</v>
      </c>
      <c r="AH2317" t="s">
        <v>9937</v>
      </c>
    </row>
    <row r="2318" spans="1:34" x14ac:dyDescent="0.25">
      <c r="A2318">
        <v>704</v>
      </c>
      <c r="B2318" t="s">
        <v>1313</v>
      </c>
      <c r="C2318" s="185"/>
      <c r="E2318" t="s">
        <v>386</v>
      </c>
      <c r="F2318" t="s">
        <v>370</v>
      </c>
      <c r="G2318" t="s">
        <v>1197</v>
      </c>
      <c r="H2318" t="s">
        <v>9884</v>
      </c>
      <c r="I2318">
        <v>12228</v>
      </c>
      <c r="J2318" t="s">
        <v>347</v>
      </c>
      <c r="K2318" t="s">
        <v>8306</v>
      </c>
      <c r="L2318" t="s">
        <v>386</v>
      </c>
      <c r="M2318" t="s">
        <v>1193</v>
      </c>
      <c r="N2318">
        <v>15333</v>
      </c>
      <c r="O2318">
        <v>64</v>
      </c>
      <c r="Q2318" t="s">
        <v>9938</v>
      </c>
      <c r="R2318" t="s">
        <v>398</v>
      </c>
      <c r="S2318" t="s">
        <v>1909</v>
      </c>
      <c r="T2318">
        <v>220</v>
      </c>
      <c r="U2318">
        <v>0</v>
      </c>
      <c r="V2318" t="s">
        <v>1194</v>
      </c>
      <c r="W2318" t="s">
        <v>2107</v>
      </c>
      <c r="X2318">
        <v>272</v>
      </c>
      <c r="Y2318" t="s">
        <v>1317</v>
      </c>
      <c r="Z2318" t="s">
        <v>2160</v>
      </c>
      <c r="AA2318" t="s">
        <v>387</v>
      </c>
      <c r="AB2318">
        <v>56000</v>
      </c>
      <c r="AC2318">
        <v>4621</v>
      </c>
      <c r="AD2318" t="s">
        <v>9939</v>
      </c>
      <c r="AE2318">
        <v>138</v>
      </c>
      <c r="AF2318" t="s">
        <v>2509</v>
      </c>
      <c r="AG2318" t="s">
        <v>1244</v>
      </c>
      <c r="AH2318" t="s">
        <v>8834</v>
      </c>
    </row>
    <row r="2319" spans="1:34" x14ac:dyDescent="0.25">
      <c r="A2319">
        <v>704</v>
      </c>
      <c r="B2319" t="s">
        <v>1313</v>
      </c>
      <c r="C2319" s="185"/>
      <c r="D2319" t="s">
        <v>24</v>
      </c>
      <c r="E2319" t="s">
        <v>386</v>
      </c>
      <c r="F2319" t="s">
        <v>1116</v>
      </c>
      <c r="G2319" t="s">
        <v>1197</v>
      </c>
      <c r="H2319" t="s">
        <v>9849</v>
      </c>
      <c r="I2319">
        <v>12568</v>
      </c>
      <c r="J2319" t="s">
        <v>1116</v>
      </c>
      <c r="K2319" t="s">
        <v>9940</v>
      </c>
      <c r="L2319" t="s">
        <v>386</v>
      </c>
      <c r="M2319" t="s">
        <v>1193</v>
      </c>
      <c r="N2319">
        <v>12568</v>
      </c>
      <c r="O2319">
        <v>64</v>
      </c>
      <c r="Q2319" t="s">
        <v>9941</v>
      </c>
      <c r="R2319" t="s">
        <v>398</v>
      </c>
      <c r="S2319" t="s">
        <v>1909</v>
      </c>
      <c r="T2319">
        <v>521</v>
      </c>
      <c r="U2319">
        <v>0</v>
      </c>
      <c r="V2319" t="s">
        <v>6311</v>
      </c>
      <c r="W2319" t="s">
        <v>1194</v>
      </c>
      <c r="X2319">
        <v>220</v>
      </c>
      <c r="Y2319" t="s">
        <v>1317</v>
      </c>
      <c r="Z2319" t="s">
        <v>2160</v>
      </c>
      <c r="AA2319" t="s">
        <v>387</v>
      </c>
      <c r="AB2319">
        <v>56000</v>
      </c>
      <c r="AC2319">
        <v>4702</v>
      </c>
      <c r="AD2319" t="s">
        <v>9942</v>
      </c>
      <c r="AE2319">
        <v>3</v>
      </c>
      <c r="AF2319" t="s">
        <v>1235</v>
      </c>
      <c r="AG2319" t="s">
        <v>2044</v>
      </c>
      <c r="AH2319" t="s">
        <v>9943</v>
      </c>
    </row>
    <row r="2320" spans="1:34" x14ac:dyDescent="0.25">
      <c r="A2320">
        <v>704</v>
      </c>
      <c r="B2320" t="s">
        <v>1313</v>
      </c>
      <c r="C2320" s="185"/>
      <c r="D2320" t="s">
        <v>24</v>
      </c>
      <c r="E2320" t="s">
        <v>386</v>
      </c>
      <c r="F2320" t="s">
        <v>370</v>
      </c>
      <c r="G2320" t="s">
        <v>1197</v>
      </c>
      <c r="H2320" t="s">
        <v>9849</v>
      </c>
      <c r="I2320">
        <v>12287</v>
      </c>
      <c r="J2320" t="s">
        <v>347</v>
      </c>
      <c r="K2320" t="s">
        <v>8306</v>
      </c>
      <c r="L2320" t="s">
        <v>386</v>
      </c>
      <c r="M2320" t="s">
        <v>1193</v>
      </c>
      <c r="N2320">
        <v>15333</v>
      </c>
      <c r="O2320">
        <v>64</v>
      </c>
      <c r="Q2320" t="s">
        <v>9944</v>
      </c>
      <c r="R2320" t="s">
        <v>398</v>
      </c>
      <c r="S2320" t="s">
        <v>1909</v>
      </c>
      <c r="T2320">
        <v>220</v>
      </c>
      <c r="U2320">
        <v>0</v>
      </c>
      <c r="V2320" t="s">
        <v>1194</v>
      </c>
      <c r="W2320" t="s">
        <v>2107</v>
      </c>
      <c r="X2320">
        <v>272</v>
      </c>
      <c r="Y2320" t="s">
        <v>1317</v>
      </c>
      <c r="Z2320" t="s">
        <v>2160</v>
      </c>
      <c r="AA2320" t="s">
        <v>387</v>
      </c>
      <c r="AB2320">
        <v>56000</v>
      </c>
      <c r="AC2320">
        <v>4621</v>
      </c>
      <c r="AD2320" t="s">
        <v>9939</v>
      </c>
      <c r="AE2320">
        <v>3</v>
      </c>
      <c r="AF2320" t="s">
        <v>1235</v>
      </c>
      <c r="AG2320" t="s">
        <v>2044</v>
      </c>
      <c r="AH2320" t="s">
        <v>8310</v>
      </c>
    </row>
    <row r="2321" spans="1:34" x14ac:dyDescent="0.25">
      <c r="A2321">
        <v>440</v>
      </c>
      <c r="C2321" s="185"/>
      <c r="E2321" t="s">
        <v>386</v>
      </c>
      <c r="F2321" t="s">
        <v>9945</v>
      </c>
      <c r="G2321" t="s">
        <v>1238</v>
      </c>
      <c r="H2321" t="s">
        <v>4873</v>
      </c>
      <c r="I2321">
        <v>14788</v>
      </c>
      <c r="J2321" t="s">
        <v>9945</v>
      </c>
      <c r="K2321" t="s">
        <v>9946</v>
      </c>
      <c r="L2321" t="s">
        <v>386</v>
      </c>
      <c r="M2321" t="s">
        <v>1184</v>
      </c>
      <c r="N2321">
        <v>14788</v>
      </c>
      <c r="O2321">
        <v>0</v>
      </c>
      <c r="Q2321" t="s">
        <v>9947</v>
      </c>
      <c r="T2321">
        <v>260</v>
      </c>
      <c r="V2321" t="s">
        <v>1216</v>
      </c>
      <c r="W2321" t="s">
        <v>1216</v>
      </c>
      <c r="X2321">
        <v>260</v>
      </c>
      <c r="Z2321" t="s">
        <v>4875</v>
      </c>
      <c r="AA2321" t="s">
        <v>387</v>
      </c>
      <c r="AB2321">
        <v>0</v>
      </c>
      <c r="AC2321">
        <v>5624</v>
      </c>
      <c r="AD2321" t="s">
        <v>9948</v>
      </c>
      <c r="AE2321">
        <v>18</v>
      </c>
      <c r="AF2321" t="s">
        <v>1259</v>
      </c>
      <c r="AG2321" t="s">
        <v>1244</v>
      </c>
      <c r="AH2321" t="s">
        <v>9949</v>
      </c>
    </row>
    <row r="2322" spans="1:34" x14ac:dyDescent="0.25">
      <c r="A2322">
        <v>1553</v>
      </c>
      <c r="C2322" s="185"/>
      <c r="D2322" t="s">
        <v>157</v>
      </c>
      <c r="E2322" t="s">
        <v>386</v>
      </c>
      <c r="F2322" t="s">
        <v>321</v>
      </c>
      <c r="G2322" t="s">
        <v>1238</v>
      </c>
      <c r="H2322" t="s">
        <v>1239</v>
      </c>
      <c r="I2322">
        <v>14909</v>
      </c>
      <c r="J2322" t="s">
        <v>321</v>
      </c>
      <c r="K2322" t="s">
        <v>9950</v>
      </c>
      <c r="L2322" t="s">
        <v>386</v>
      </c>
      <c r="M2322" t="s">
        <v>1184</v>
      </c>
      <c r="N2322">
        <v>14909</v>
      </c>
      <c r="O2322">
        <v>59</v>
      </c>
      <c r="Q2322" t="s">
        <v>9951</v>
      </c>
      <c r="R2322" t="s">
        <v>398</v>
      </c>
      <c r="T2322">
        <v>571</v>
      </c>
      <c r="V2322" t="s">
        <v>2003</v>
      </c>
      <c r="W2322" t="s">
        <v>1216</v>
      </c>
      <c r="X2322">
        <v>260</v>
      </c>
      <c r="Z2322" t="s">
        <v>968</v>
      </c>
      <c r="AA2322" t="s">
        <v>387</v>
      </c>
      <c r="AB2322">
        <v>51000</v>
      </c>
      <c r="AC2322">
        <v>5670</v>
      </c>
      <c r="AD2322" t="s">
        <v>9952</v>
      </c>
      <c r="AE2322">
        <v>18</v>
      </c>
      <c r="AF2322" t="s">
        <v>1259</v>
      </c>
      <c r="AG2322" t="s">
        <v>1244</v>
      </c>
      <c r="AH2322" t="s">
        <v>5572</v>
      </c>
    </row>
    <row r="2323" spans="1:34" x14ac:dyDescent="0.25">
      <c r="A2323">
        <v>1450</v>
      </c>
      <c r="C2323" s="185"/>
      <c r="E2323" t="s">
        <v>386</v>
      </c>
      <c r="F2323" t="s">
        <v>9953</v>
      </c>
      <c r="G2323" t="s">
        <v>1238</v>
      </c>
      <c r="H2323" t="s">
        <v>5469</v>
      </c>
      <c r="I2323">
        <v>14694</v>
      </c>
      <c r="J2323" t="s">
        <v>9953</v>
      </c>
      <c r="K2323" t="s">
        <v>9954</v>
      </c>
      <c r="L2323" t="s">
        <v>386</v>
      </c>
      <c r="M2323" t="s">
        <v>1184</v>
      </c>
      <c r="N2323">
        <v>14694</v>
      </c>
      <c r="O2323">
        <v>0</v>
      </c>
      <c r="Q2323" t="s">
        <v>9955</v>
      </c>
      <c r="T2323">
        <v>260</v>
      </c>
      <c r="V2323" t="s">
        <v>1216</v>
      </c>
      <c r="W2323" t="s">
        <v>1216</v>
      </c>
      <c r="X2323">
        <v>260</v>
      </c>
      <c r="Z2323" t="s">
        <v>2127</v>
      </c>
      <c r="AA2323" t="s">
        <v>387</v>
      </c>
      <c r="AB2323">
        <v>0</v>
      </c>
      <c r="AC2323">
        <v>5579</v>
      </c>
      <c r="AD2323" t="s">
        <v>9956</v>
      </c>
      <c r="AE2323">
        <v>1379</v>
      </c>
      <c r="AF2323" t="s">
        <v>9957</v>
      </c>
      <c r="AG2323" t="s">
        <v>7387</v>
      </c>
      <c r="AH2323" t="s">
        <v>9958</v>
      </c>
    </row>
    <row r="2324" spans="1:34" x14ac:dyDescent="0.25">
      <c r="A2324">
        <v>1</v>
      </c>
      <c r="C2324" s="185"/>
      <c r="E2324" t="s">
        <v>386</v>
      </c>
      <c r="F2324" t="s">
        <v>9959</v>
      </c>
      <c r="G2324" t="s">
        <v>1192</v>
      </c>
      <c r="I2324">
        <v>2328</v>
      </c>
      <c r="J2324" t="s">
        <v>9959</v>
      </c>
      <c r="K2324" t="s">
        <v>9959</v>
      </c>
      <c r="L2324" t="s">
        <v>386</v>
      </c>
      <c r="M2324" t="s">
        <v>1184</v>
      </c>
      <c r="N2324">
        <v>2328</v>
      </c>
      <c r="O2324">
        <v>0</v>
      </c>
      <c r="Q2324" t="s">
        <v>9960</v>
      </c>
      <c r="R2324" t="s">
        <v>1208</v>
      </c>
      <c r="T2324">
        <v>4</v>
      </c>
      <c r="V2324" t="s">
        <v>7833</v>
      </c>
      <c r="Z2324" t="s">
        <v>865</v>
      </c>
      <c r="AA2324" t="s">
        <v>387</v>
      </c>
      <c r="AB2324">
        <v>0</v>
      </c>
      <c r="AC2324">
        <v>1713</v>
      </c>
      <c r="AD2324" t="s">
        <v>9961</v>
      </c>
      <c r="AE2324">
        <v>835</v>
      </c>
      <c r="AF2324" t="s">
        <v>9962</v>
      </c>
      <c r="AG2324" t="s">
        <v>9963</v>
      </c>
    </row>
    <row r="2325" spans="1:34" x14ac:dyDescent="0.25">
      <c r="A2325">
        <v>1170</v>
      </c>
      <c r="C2325" s="185">
        <v>24341</v>
      </c>
      <c r="D2325" t="s">
        <v>24</v>
      </c>
      <c r="E2325" t="s">
        <v>386</v>
      </c>
      <c r="F2325" t="s">
        <v>526</v>
      </c>
      <c r="G2325" t="s">
        <v>1197</v>
      </c>
      <c r="H2325" t="s">
        <v>9964</v>
      </c>
      <c r="I2325">
        <v>8217</v>
      </c>
      <c r="J2325" t="s">
        <v>526</v>
      </c>
      <c r="K2325" t="s">
        <v>9965</v>
      </c>
      <c r="L2325" t="s">
        <v>386</v>
      </c>
      <c r="M2325" t="s">
        <v>1193</v>
      </c>
      <c r="N2325">
        <v>8217</v>
      </c>
      <c r="O2325">
        <v>0</v>
      </c>
      <c r="Q2325" t="s">
        <v>9966</v>
      </c>
      <c r="R2325" t="s">
        <v>398</v>
      </c>
      <c r="T2325">
        <v>220</v>
      </c>
      <c r="V2325" t="s">
        <v>1194</v>
      </c>
      <c r="Z2325" t="s">
        <v>9967</v>
      </c>
      <c r="AA2325" t="s">
        <v>387</v>
      </c>
      <c r="AB2325">
        <v>0</v>
      </c>
      <c r="AC2325">
        <v>3309</v>
      </c>
      <c r="AD2325" t="s">
        <v>9968</v>
      </c>
      <c r="AE2325">
        <v>3</v>
      </c>
      <c r="AF2325" t="s">
        <v>1235</v>
      </c>
      <c r="AG2325" t="s">
        <v>9969</v>
      </c>
      <c r="AH2325" t="s">
        <v>9970</v>
      </c>
    </row>
    <row r="2326" spans="1:34" x14ac:dyDescent="0.25">
      <c r="A2326">
        <v>1922</v>
      </c>
      <c r="C2326" s="185"/>
      <c r="E2326" t="s">
        <v>386</v>
      </c>
      <c r="F2326" t="s">
        <v>526</v>
      </c>
      <c r="G2326" t="s">
        <v>1197</v>
      </c>
      <c r="H2326" t="s">
        <v>9971</v>
      </c>
      <c r="I2326">
        <v>13986</v>
      </c>
      <c r="J2326" t="s">
        <v>9965</v>
      </c>
      <c r="K2326" t="s">
        <v>9972</v>
      </c>
      <c r="L2326" t="s">
        <v>386</v>
      </c>
      <c r="M2326" t="s">
        <v>1193</v>
      </c>
      <c r="N2326">
        <v>8217</v>
      </c>
      <c r="O2326">
        <v>0</v>
      </c>
      <c r="Q2326" t="s">
        <v>9973</v>
      </c>
      <c r="R2326" t="s">
        <v>1208</v>
      </c>
      <c r="T2326">
        <v>200</v>
      </c>
      <c r="V2326" t="s">
        <v>1199</v>
      </c>
      <c r="W2326" t="s">
        <v>1215</v>
      </c>
      <c r="X2326">
        <v>259</v>
      </c>
      <c r="Z2326" t="s">
        <v>9974</v>
      </c>
      <c r="AA2326" t="s">
        <v>387</v>
      </c>
      <c r="AB2326">
        <v>0</v>
      </c>
      <c r="AC2326">
        <v>5286</v>
      </c>
      <c r="AD2326" t="s">
        <v>9975</v>
      </c>
      <c r="AE2326">
        <v>3</v>
      </c>
      <c r="AF2326" t="s">
        <v>1235</v>
      </c>
      <c r="AG2326" t="s">
        <v>2373</v>
      </c>
      <c r="AH2326" t="s">
        <v>9976</v>
      </c>
    </row>
    <row r="2327" spans="1:34" x14ac:dyDescent="0.25">
      <c r="A2327">
        <v>850</v>
      </c>
      <c r="B2327" t="s">
        <v>1313</v>
      </c>
      <c r="C2327" s="185"/>
      <c r="D2327" t="s">
        <v>24</v>
      </c>
      <c r="E2327" t="s">
        <v>386</v>
      </c>
      <c r="F2327" t="s">
        <v>526</v>
      </c>
      <c r="G2327" t="s">
        <v>1197</v>
      </c>
      <c r="H2327" t="s">
        <v>9977</v>
      </c>
      <c r="I2327">
        <v>7662</v>
      </c>
      <c r="J2327" t="s">
        <v>95</v>
      </c>
      <c r="K2327" t="s">
        <v>9965</v>
      </c>
      <c r="L2327" t="s">
        <v>386</v>
      </c>
      <c r="M2327" t="s">
        <v>1193</v>
      </c>
      <c r="N2327">
        <v>8217</v>
      </c>
      <c r="O2327">
        <v>76</v>
      </c>
      <c r="Q2327" t="s">
        <v>9978</v>
      </c>
      <c r="R2327" t="s">
        <v>398</v>
      </c>
      <c r="S2327" t="s">
        <v>9979</v>
      </c>
      <c r="T2327">
        <v>220</v>
      </c>
      <c r="U2327">
        <v>0</v>
      </c>
      <c r="V2327" t="s">
        <v>1194</v>
      </c>
      <c r="W2327" t="s">
        <v>1215</v>
      </c>
      <c r="X2327">
        <v>259</v>
      </c>
      <c r="Y2327" t="s">
        <v>1317</v>
      </c>
      <c r="Z2327" t="s">
        <v>3125</v>
      </c>
      <c r="AA2327" t="s">
        <v>387</v>
      </c>
      <c r="AB2327">
        <v>0</v>
      </c>
      <c r="AC2327">
        <v>3207</v>
      </c>
      <c r="AD2327" t="s">
        <v>9980</v>
      </c>
      <c r="AE2327">
        <v>1685</v>
      </c>
      <c r="AF2327" t="s">
        <v>9981</v>
      </c>
      <c r="AG2327" t="s">
        <v>2044</v>
      </c>
      <c r="AH2327" t="s">
        <v>9982</v>
      </c>
    </row>
    <row r="2328" spans="1:34" x14ac:dyDescent="0.25">
      <c r="A2328">
        <v>850</v>
      </c>
      <c r="C2328" s="185"/>
      <c r="E2328" t="s">
        <v>386</v>
      </c>
      <c r="F2328" t="s">
        <v>9983</v>
      </c>
      <c r="G2328" t="s">
        <v>1197</v>
      </c>
      <c r="H2328" t="s">
        <v>9977</v>
      </c>
      <c r="I2328">
        <v>2851</v>
      </c>
      <c r="J2328" t="s">
        <v>9983</v>
      </c>
      <c r="K2328" t="s">
        <v>9984</v>
      </c>
      <c r="L2328" t="s">
        <v>386</v>
      </c>
      <c r="M2328" t="s">
        <v>1193</v>
      </c>
      <c r="N2328">
        <v>2851</v>
      </c>
      <c r="O2328">
        <v>0</v>
      </c>
      <c r="Q2328" t="s">
        <v>9985</v>
      </c>
      <c r="R2328" t="s">
        <v>398</v>
      </c>
      <c r="T2328">
        <v>340</v>
      </c>
      <c r="V2328" t="s">
        <v>1200</v>
      </c>
      <c r="W2328" t="s">
        <v>1194</v>
      </c>
      <c r="X2328">
        <v>220</v>
      </c>
      <c r="Z2328" t="s">
        <v>3125</v>
      </c>
      <c r="AA2328" t="s">
        <v>387</v>
      </c>
      <c r="AB2328">
        <v>0</v>
      </c>
      <c r="AC2328">
        <v>6383</v>
      </c>
      <c r="AD2328" t="s">
        <v>9986</v>
      </c>
      <c r="AE2328">
        <v>18</v>
      </c>
      <c r="AF2328" t="s">
        <v>1259</v>
      </c>
      <c r="AG2328" t="s">
        <v>1244</v>
      </c>
      <c r="AH2328" t="s">
        <v>9987</v>
      </c>
    </row>
    <row r="2329" spans="1:34" x14ac:dyDescent="0.25">
      <c r="A2329">
        <v>1</v>
      </c>
      <c r="C2329" s="185"/>
      <c r="E2329" t="s">
        <v>386</v>
      </c>
      <c r="F2329" t="s">
        <v>718</v>
      </c>
      <c r="G2329" t="s">
        <v>1192</v>
      </c>
      <c r="H2329" t="s">
        <v>9988</v>
      </c>
      <c r="I2329">
        <v>16032</v>
      </c>
      <c r="J2329" t="s">
        <v>718</v>
      </c>
      <c r="K2329" t="s">
        <v>718</v>
      </c>
      <c r="L2329" t="s">
        <v>386</v>
      </c>
      <c r="M2329" t="s">
        <v>1184</v>
      </c>
      <c r="N2329">
        <v>16032</v>
      </c>
      <c r="O2329">
        <v>0</v>
      </c>
      <c r="Q2329" t="s">
        <v>9989</v>
      </c>
      <c r="R2329" t="s">
        <v>1208</v>
      </c>
      <c r="T2329">
        <v>260</v>
      </c>
      <c r="V2329" t="s">
        <v>1216</v>
      </c>
      <c r="W2329" t="s">
        <v>1530</v>
      </c>
      <c r="X2329">
        <v>103</v>
      </c>
      <c r="Z2329" t="s">
        <v>865</v>
      </c>
      <c r="AA2329" t="s">
        <v>387</v>
      </c>
      <c r="AB2329">
        <v>0</v>
      </c>
      <c r="AC2329">
        <v>6545</v>
      </c>
      <c r="AD2329" t="s">
        <v>9990</v>
      </c>
      <c r="AE2329">
        <v>26</v>
      </c>
      <c r="AF2329" t="s">
        <v>2075</v>
      </c>
      <c r="AG2329" t="s">
        <v>9991</v>
      </c>
      <c r="AH2329" t="s">
        <v>9992</v>
      </c>
    </row>
    <row r="2330" spans="1:34" x14ac:dyDescent="0.25">
      <c r="A2330">
        <v>604</v>
      </c>
      <c r="B2330" t="s">
        <v>1313</v>
      </c>
      <c r="C2330" s="185"/>
      <c r="E2330" t="s">
        <v>386</v>
      </c>
      <c r="F2330" t="s">
        <v>9993</v>
      </c>
      <c r="G2330" t="s">
        <v>1197</v>
      </c>
      <c r="H2330" t="s">
        <v>9994</v>
      </c>
      <c r="I2330">
        <v>1722</v>
      </c>
      <c r="J2330" t="s">
        <v>9993</v>
      </c>
      <c r="K2330" t="s">
        <v>9993</v>
      </c>
      <c r="L2330" t="s">
        <v>386</v>
      </c>
      <c r="M2330" t="s">
        <v>1193</v>
      </c>
      <c r="N2330">
        <v>1722</v>
      </c>
      <c r="O2330">
        <v>0</v>
      </c>
      <c r="Q2330" t="s">
        <v>9995</v>
      </c>
      <c r="S2330" t="s">
        <v>1315</v>
      </c>
      <c r="T2330">
        <v>0</v>
      </c>
      <c r="U2330">
        <v>0</v>
      </c>
      <c r="V2330" t="s">
        <v>1186</v>
      </c>
      <c r="Y2330" t="s">
        <v>1317</v>
      </c>
      <c r="Z2330" t="s">
        <v>9996</v>
      </c>
      <c r="AA2330" t="s">
        <v>387</v>
      </c>
      <c r="AB2330">
        <v>0</v>
      </c>
      <c r="AC2330">
        <v>1288</v>
      </c>
      <c r="AD2330" t="s">
        <v>9997</v>
      </c>
      <c r="AE2330">
        <v>0</v>
      </c>
      <c r="AF2330" t="s">
        <v>1188</v>
      </c>
      <c r="AG2330" t="s">
        <v>9998</v>
      </c>
    </row>
    <row r="2331" spans="1:34" x14ac:dyDescent="0.25">
      <c r="A2331">
        <v>1</v>
      </c>
      <c r="C2331" s="185"/>
      <c r="E2331" t="s">
        <v>386</v>
      </c>
      <c r="F2331" t="s">
        <v>9999</v>
      </c>
      <c r="G2331" t="s">
        <v>1192</v>
      </c>
      <c r="H2331" t="s">
        <v>10000</v>
      </c>
      <c r="I2331">
        <v>3087</v>
      </c>
      <c r="J2331" t="s">
        <v>9999</v>
      </c>
      <c r="K2331" t="s">
        <v>9999</v>
      </c>
      <c r="L2331" t="s">
        <v>386</v>
      </c>
      <c r="M2331" t="s">
        <v>1184</v>
      </c>
      <c r="N2331">
        <v>3087</v>
      </c>
      <c r="O2331">
        <v>0</v>
      </c>
      <c r="Q2331" t="s">
        <v>10001</v>
      </c>
      <c r="R2331" t="s">
        <v>1208</v>
      </c>
      <c r="T2331">
        <v>372</v>
      </c>
      <c r="V2331" t="s">
        <v>2073</v>
      </c>
      <c r="W2331" t="s">
        <v>2073</v>
      </c>
      <c r="X2331">
        <v>372</v>
      </c>
      <c r="Z2331" t="s">
        <v>865</v>
      </c>
      <c r="AA2331" t="s">
        <v>387</v>
      </c>
      <c r="AB2331">
        <v>0</v>
      </c>
      <c r="AC2331">
        <v>2064</v>
      </c>
      <c r="AD2331" t="s">
        <v>10002</v>
      </c>
      <c r="AE2331">
        <v>994</v>
      </c>
      <c r="AF2331" t="s">
        <v>3706</v>
      </c>
      <c r="AG2331" t="s">
        <v>5622</v>
      </c>
      <c r="AH2331" t="s">
        <v>10003</v>
      </c>
    </row>
    <row r="2332" spans="1:34" x14ac:dyDescent="0.25">
      <c r="A2332">
        <v>408</v>
      </c>
      <c r="C2332" s="185"/>
      <c r="E2332" t="s">
        <v>386</v>
      </c>
      <c r="F2332" t="s">
        <v>10004</v>
      </c>
      <c r="G2332" t="s">
        <v>1197</v>
      </c>
      <c r="H2332" t="s">
        <v>10005</v>
      </c>
      <c r="I2332">
        <v>12995</v>
      </c>
      <c r="J2332" t="s">
        <v>10004</v>
      </c>
      <c r="K2332" t="s">
        <v>10006</v>
      </c>
      <c r="L2332" t="s">
        <v>386</v>
      </c>
      <c r="M2332" t="s">
        <v>1193</v>
      </c>
      <c r="N2332">
        <v>12995</v>
      </c>
      <c r="O2332">
        <v>0</v>
      </c>
      <c r="Q2332" t="s">
        <v>10007</v>
      </c>
      <c r="R2332" t="s">
        <v>1208</v>
      </c>
      <c r="T2332">
        <v>103</v>
      </c>
      <c r="V2332" t="s">
        <v>1530</v>
      </c>
      <c r="W2332" t="s">
        <v>10008</v>
      </c>
      <c r="X2332">
        <v>306</v>
      </c>
      <c r="Z2332" t="s">
        <v>10009</v>
      </c>
      <c r="AA2332" t="s">
        <v>387</v>
      </c>
      <c r="AB2332">
        <v>26000</v>
      </c>
      <c r="AC2332">
        <v>4846</v>
      </c>
      <c r="AD2332" t="s">
        <v>10010</v>
      </c>
      <c r="AE2332">
        <v>2237</v>
      </c>
      <c r="AF2332" t="s">
        <v>10011</v>
      </c>
      <c r="AG2332" t="s">
        <v>10012</v>
      </c>
      <c r="AH2332" t="s">
        <v>10013</v>
      </c>
    </row>
    <row r="2333" spans="1:34" x14ac:dyDescent="0.25">
      <c r="A2333">
        <v>1</v>
      </c>
      <c r="C2333" s="185"/>
      <c r="E2333" t="s">
        <v>386</v>
      </c>
      <c r="F2333" t="s">
        <v>10014</v>
      </c>
      <c r="G2333" t="s">
        <v>1192</v>
      </c>
      <c r="H2333" t="s">
        <v>10015</v>
      </c>
      <c r="I2333">
        <v>1961</v>
      </c>
      <c r="J2333" t="s">
        <v>10014</v>
      </c>
      <c r="K2333" t="s">
        <v>10014</v>
      </c>
      <c r="L2333" t="s">
        <v>386</v>
      </c>
      <c r="M2333" t="s">
        <v>1184</v>
      </c>
      <c r="N2333">
        <v>1961</v>
      </c>
      <c r="O2333">
        <v>0</v>
      </c>
      <c r="Q2333" t="s">
        <v>10016</v>
      </c>
      <c r="R2333" t="s">
        <v>1208</v>
      </c>
      <c r="T2333">
        <v>0</v>
      </c>
      <c r="V2333" t="s">
        <v>1186</v>
      </c>
      <c r="Z2333" t="s">
        <v>865</v>
      </c>
      <c r="AA2333" t="s">
        <v>387</v>
      </c>
      <c r="AB2333">
        <v>0</v>
      </c>
      <c r="AC2333">
        <v>1453</v>
      </c>
      <c r="AD2333" t="s">
        <v>10017</v>
      </c>
      <c r="AE2333">
        <v>703</v>
      </c>
      <c r="AF2333" t="s">
        <v>10018</v>
      </c>
      <c r="AG2333" t="s">
        <v>4464</v>
      </c>
    </row>
    <row r="2334" spans="1:34" x14ac:dyDescent="0.25">
      <c r="A2334">
        <v>2012</v>
      </c>
      <c r="C2334" s="185"/>
      <c r="E2334" t="s">
        <v>386</v>
      </c>
      <c r="F2334" t="s">
        <v>10019</v>
      </c>
      <c r="G2334" t="s">
        <v>1197</v>
      </c>
      <c r="H2334" t="s">
        <v>10020</v>
      </c>
      <c r="I2334">
        <v>12655</v>
      </c>
      <c r="J2334" t="s">
        <v>10019</v>
      </c>
      <c r="K2334" t="s">
        <v>10019</v>
      </c>
      <c r="L2334" t="s">
        <v>386</v>
      </c>
      <c r="M2334" t="s">
        <v>1193</v>
      </c>
      <c r="N2334">
        <v>12655</v>
      </c>
      <c r="O2334">
        <v>0</v>
      </c>
      <c r="Q2334" t="s">
        <v>10021</v>
      </c>
      <c r="R2334" t="s">
        <v>398</v>
      </c>
      <c r="T2334">
        <v>340</v>
      </c>
      <c r="V2334" t="s">
        <v>1200</v>
      </c>
      <c r="W2334" t="s">
        <v>2067</v>
      </c>
      <c r="X2334">
        <v>304</v>
      </c>
      <c r="Z2334" t="s">
        <v>10022</v>
      </c>
      <c r="AA2334" t="s">
        <v>387</v>
      </c>
      <c r="AB2334">
        <v>0</v>
      </c>
      <c r="AC2334">
        <v>6410</v>
      </c>
      <c r="AD2334" t="s">
        <v>10023</v>
      </c>
      <c r="AE2334">
        <v>2183</v>
      </c>
      <c r="AF2334" t="s">
        <v>10024</v>
      </c>
      <c r="AG2334" t="s">
        <v>1244</v>
      </c>
      <c r="AH2334" t="s">
        <v>10025</v>
      </c>
    </row>
    <row r="2335" spans="1:34" x14ac:dyDescent="0.25">
      <c r="A2335">
        <v>1</v>
      </c>
      <c r="C2335" s="185"/>
      <c r="E2335" t="s">
        <v>386</v>
      </c>
      <c r="F2335" t="s">
        <v>10026</v>
      </c>
      <c r="G2335" t="s">
        <v>1192</v>
      </c>
      <c r="I2335">
        <v>3066</v>
      </c>
      <c r="J2335" t="s">
        <v>10026</v>
      </c>
      <c r="K2335" t="s">
        <v>10026</v>
      </c>
      <c r="L2335" t="s">
        <v>386</v>
      </c>
      <c r="M2335" t="s">
        <v>1184</v>
      </c>
      <c r="N2335">
        <v>3066</v>
      </c>
      <c r="O2335">
        <v>0</v>
      </c>
      <c r="Q2335" t="s">
        <v>10027</v>
      </c>
      <c r="R2335" t="s">
        <v>1208</v>
      </c>
      <c r="T2335">
        <v>35</v>
      </c>
      <c r="V2335" t="s">
        <v>2015</v>
      </c>
      <c r="Z2335" t="s">
        <v>865</v>
      </c>
      <c r="AA2335" t="s">
        <v>387</v>
      </c>
      <c r="AB2335">
        <v>0</v>
      </c>
      <c r="AC2335">
        <v>2048</v>
      </c>
      <c r="AD2335" t="s">
        <v>10028</v>
      </c>
      <c r="AE2335">
        <v>983</v>
      </c>
      <c r="AF2335" t="s">
        <v>2693</v>
      </c>
      <c r="AG2335" t="s">
        <v>5930</v>
      </c>
      <c r="AH2335" t="s">
        <v>10029</v>
      </c>
    </row>
    <row r="2336" spans="1:34" x14ac:dyDescent="0.25">
      <c r="A2336">
        <v>2097</v>
      </c>
      <c r="C2336" s="185"/>
      <c r="E2336" t="s">
        <v>386</v>
      </c>
      <c r="F2336" t="s">
        <v>10030</v>
      </c>
      <c r="G2336" t="s">
        <v>1238</v>
      </c>
      <c r="H2336" t="s">
        <v>4009</v>
      </c>
      <c r="I2336">
        <v>14381</v>
      </c>
      <c r="J2336" t="s">
        <v>10030</v>
      </c>
      <c r="K2336" t="s">
        <v>10031</v>
      </c>
      <c r="L2336" t="s">
        <v>386</v>
      </c>
      <c r="M2336" t="s">
        <v>1184</v>
      </c>
      <c r="N2336">
        <v>14381</v>
      </c>
      <c r="O2336">
        <v>0</v>
      </c>
      <c r="Q2336" t="s">
        <v>10032</v>
      </c>
      <c r="T2336">
        <v>571</v>
      </c>
      <c r="V2336" t="s">
        <v>2003</v>
      </c>
      <c r="W2336" t="s">
        <v>1216</v>
      </c>
      <c r="X2336">
        <v>260</v>
      </c>
      <c r="Z2336" t="s">
        <v>4011</v>
      </c>
      <c r="AA2336" t="s">
        <v>387</v>
      </c>
      <c r="AB2336">
        <v>0</v>
      </c>
      <c r="AC2336">
        <v>5461</v>
      </c>
      <c r="AD2336" t="s">
        <v>10033</v>
      </c>
      <c r="AE2336">
        <v>18</v>
      </c>
      <c r="AF2336" t="s">
        <v>1259</v>
      </c>
      <c r="AG2336" t="s">
        <v>1244</v>
      </c>
      <c r="AH2336" t="s">
        <v>10034</v>
      </c>
    </row>
    <row r="2337" spans="1:34" x14ac:dyDescent="0.25">
      <c r="A2337">
        <v>2097</v>
      </c>
      <c r="C2337" s="185"/>
      <c r="E2337" t="s">
        <v>386</v>
      </c>
      <c r="F2337" t="s">
        <v>10030</v>
      </c>
      <c r="G2337" t="s">
        <v>1238</v>
      </c>
      <c r="H2337" t="s">
        <v>4009</v>
      </c>
      <c r="I2337">
        <v>14380</v>
      </c>
      <c r="J2337" t="s">
        <v>10030</v>
      </c>
      <c r="K2337" t="s">
        <v>10035</v>
      </c>
      <c r="L2337" t="s">
        <v>386</v>
      </c>
      <c r="M2337" t="s">
        <v>1184</v>
      </c>
      <c r="N2337">
        <v>14380</v>
      </c>
      <c r="O2337">
        <v>0</v>
      </c>
      <c r="Q2337" t="s">
        <v>10036</v>
      </c>
      <c r="T2337">
        <v>260</v>
      </c>
      <c r="V2337" t="s">
        <v>1216</v>
      </c>
      <c r="W2337" t="s">
        <v>1216</v>
      </c>
      <c r="X2337">
        <v>260</v>
      </c>
      <c r="Z2337" t="s">
        <v>4011</v>
      </c>
      <c r="AA2337" t="s">
        <v>387</v>
      </c>
      <c r="AB2337">
        <v>0</v>
      </c>
      <c r="AC2337">
        <v>5461</v>
      </c>
      <c r="AD2337" t="s">
        <v>10033</v>
      </c>
      <c r="AE2337">
        <v>18</v>
      </c>
      <c r="AF2337" t="s">
        <v>1259</v>
      </c>
      <c r="AG2337" t="s">
        <v>1244</v>
      </c>
      <c r="AH2337" t="s">
        <v>10037</v>
      </c>
    </row>
    <row r="2338" spans="1:34" x14ac:dyDescent="0.25">
      <c r="A2338">
        <v>1</v>
      </c>
      <c r="B2338" t="s">
        <v>1313</v>
      </c>
      <c r="C2338" s="185">
        <v>40326</v>
      </c>
      <c r="E2338" t="s">
        <v>386</v>
      </c>
      <c r="F2338" t="s">
        <v>10038</v>
      </c>
      <c r="G2338" t="s">
        <v>1197</v>
      </c>
      <c r="H2338" t="s">
        <v>10039</v>
      </c>
      <c r="I2338">
        <v>8321</v>
      </c>
      <c r="J2338" t="s">
        <v>10038</v>
      </c>
      <c r="K2338" t="s">
        <v>10038</v>
      </c>
      <c r="L2338" t="s">
        <v>386</v>
      </c>
      <c r="M2338" t="s">
        <v>1193</v>
      </c>
      <c r="N2338">
        <v>8321</v>
      </c>
      <c r="O2338">
        <v>0</v>
      </c>
      <c r="Q2338" t="s">
        <v>10040</v>
      </c>
      <c r="R2338" t="s">
        <v>1223</v>
      </c>
      <c r="S2338" t="s">
        <v>1315</v>
      </c>
      <c r="T2338">
        <v>189</v>
      </c>
      <c r="U2338">
        <v>0</v>
      </c>
      <c r="V2338" t="s">
        <v>1910</v>
      </c>
      <c r="Y2338" t="s">
        <v>1317</v>
      </c>
      <c r="Z2338" t="s">
        <v>865</v>
      </c>
      <c r="AA2338" t="s">
        <v>387</v>
      </c>
      <c r="AB2338">
        <v>0</v>
      </c>
      <c r="AC2338">
        <v>1415</v>
      </c>
      <c r="AD2338" t="s">
        <v>10041</v>
      </c>
      <c r="AE2338">
        <v>743</v>
      </c>
      <c r="AF2338" t="s">
        <v>4771</v>
      </c>
      <c r="AG2338" t="s">
        <v>7366</v>
      </c>
      <c r="AH2338" t="s">
        <v>10042</v>
      </c>
    </row>
    <row r="2339" spans="1:34" x14ac:dyDescent="0.25">
      <c r="A2339">
        <v>1</v>
      </c>
      <c r="C2339" s="185"/>
      <c r="E2339" t="s">
        <v>386</v>
      </c>
      <c r="F2339" t="s">
        <v>10043</v>
      </c>
      <c r="G2339" t="s">
        <v>1192</v>
      </c>
      <c r="I2339">
        <v>2844</v>
      </c>
      <c r="J2339" t="s">
        <v>10043</v>
      </c>
      <c r="K2339" t="s">
        <v>10043</v>
      </c>
      <c r="L2339" t="s">
        <v>386</v>
      </c>
      <c r="M2339" t="s">
        <v>1184</v>
      </c>
      <c r="N2339">
        <v>2844</v>
      </c>
      <c r="O2339">
        <v>0</v>
      </c>
      <c r="Q2339" t="s">
        <v>10044</v>
      </c>
      <c r="R2339" t="s">
        <v>1223</v>
      </c>
      <c r="T2339">
        <v>32</v>
      </c>
      <c r="V2339" t="s">
        <v>10045</v>
      </c>
      <c r="Z2339" t="s">
        <v>865</v>
      </c>
      <c r="AA2339" t="s">
        <v>387</v>
      </c>
      <c r="AB2339">
        <v>0</v>
      </c>
      <c r="AC2339">
        <v>1913</v>
      </c>
      <c r="AD2339" t="s">
        <v>10046</v>
      </c>
      <c r="AE2339">
        <v>186</v>
      </c>
      <c r="AF2339" t="s">
        <v>3636</v>
      </c>
      <c r="AG2339" t="s">
        <v>10047</v>
      </c>
    </row>
    <row r="2340" spans="1:34" x14ac:dyDescent="0.25">
      <c r="A2340">
        <v>1776</v>
      </c>
      <c r="C2340" s="185"/>
      <c r="E2340" t="s">
        <v>386</v>
      </c>
      <c r="F2340" t="s">
        <v>10048</v>
      </c>
      <c r="G2340" t="s">
        <v>1238</v>
      </c>
      <c r="H2340" t="s">
        <v>4945</v>
      </c>
      <c r="I2340">
        <v>15154</v>
      </c>
      <c r="J2340" t="s">
        <v>10048</v>
      </c>
      <c r="K2340" t="s">
        <v>10049</v>
      </c>
      <c r="L2340" t="s">
        <v>386</v>
      </c>
      <c r="M2340" t="s">
        <v>1184</v>
      </c>
      <c r="N2340">
        <v>15154</v>
      </c>
      <c r="O2340">
        <v>0</v>
      </c>
      <c r="Q2340" t="s">
        <v>10050</v>
      </c>
      <c r="T2340">
        <v>571</v>
      </c>
      <c r="V2340" t="s">
        <v>2003</v>
      </c>
      <c r="W2340" t="s">
        <v>1216</v>
      </c>
      <c r="X2340">
        <v>260</v>
      </c>
      <c r="Z2340" t="s">
        <v>4948</v>
      </c>
      <c r="AA2340" t="s">
        <v>387</v>
      </c>
      <c r="AB2340">
        <v>0</v>
      </c>
      <c r="AC2340">
        <v>5748</v>
      </c>
      <c r="AD2340" t="s">
        <v>10051</v>
      </c>
      <c r="AE2340">
        <v>18</v>
      </c>
      <c r="AF2340" t="s">
        <v>1259</v>
      </c>
      <c r="AG2340" t="s">
        <v>1244</v>
      </c>
      <c r="AH2340" t="s">
        <v>10052</v>
      </c>
    </row>
    <row r="2341" spans="1:34" x14ac:dyDescent="0.25">
      <c r="A2341">
        <v>1</v>
      </c>
      <c r="C2341" s="185"/>
      <c r="E2341" t="s">
        <v>386</v>
      </c>
      <c r="F2341" t="s">
        <v>10053</v>
      </c>
      <c r="G2341" t="s">
        <v>1192</v>
      </c>
      <c r="I2341">
        <v>2467</v>
      </c>
      <c r="J2341" t="s">
        <v>10053</v>
      </c>
      <c r="K2341" t="s">
        <v>10053</v>
      </c>
      <c r="L2341" t="s">
        <v>386</v>
      </c>
      <c r="M2341" t="s">
        <v>1184</v>
      </c>
      <c r="N2341">
        <v>2467</v>
      </c>
      <c r="O2341">
        <v>0</v>
      </c>
      <c r="Q2341" t="s">
        <v>10054</v>
      </c>
      <c r="R2341" t="s">
        <v>1208</v>
      </c>
      <c r="T2341">
        <v>2</v>
      </c>
      <c r="V2341" t="s">
        <v>1205</v>
      </c>
      <c r="Z2341" t="s">
        <v>865</v>
      </c>
      <c r="AA2341" t="s">
        <v>387</v>
      </c>
      <c r="AB2341">
        <v>0</v>
      </c>
      <c r="AC2341">
        <v>1784</v>
      </c>
      <c r="AD2341" t="s">
        <v>4469</v>
      </c>
      <c r="AE2341">
        <v>25</v>
      </c>
      <c r="AF2341" t="s">
        <v>2017</v>
      </c>
      <c r="AG2341" t="s">
        <v>2101</v>
      </c>
      <c r="AH2341" t="s">
        <v>10055</v>
      </c>
    </row>
    <row r="2342" spans="1:34" x14ac:dyDescent="0.25">
      <c r="A2342">
        <v>166</v>
      </c>
      <c r="C2342" s="185"/>
      <c r="E2342" t="s">
        <v>386</v>
      </c>
      <c r="F2342" t="s">
        <v>10056</v>
      </c>
      <c r="G2342" t="s">
        <v>1197</v>
      </c>
      <c r="H2342" t="s">
        <v>10057</v>
      </c>
      <c r="I2342">
        <v>7258</v>
      </c>
      <c r="J2342" t="s">
        <v>10056</v>
      </c>
      <c r="K2342" t="s">
        <v>10058</v>
      </c>
      <c r="L2342" t="s">
        <v>386</v>
      </c>
      <c r="M2342" t="s">
        <v>1193</v>
      </c>
      <c r="N2342">
        <v>7258</v>
      </c>
      <c r="O2342">
        <v>0</v>
      </c>
      <c r="Q2342" t="s">
        <v>10059</v>
      </c>
      <c r="R2342" t="s">
        <v>1208</v>
      </c>
      <c r="T2342">
        <v>260</v>
      </c>
      <c r="V2342" t="s">
        <v>1216</v>
      </c>
      <c r="Z2342" t="s">
        <v>4804</v>
      </c>
      <c r="AA2342" t="s">
        <v>387</v>
      </c>
      <c r="AB2342">
        <v>0</v>
      </c>
      <c r="AC2342">
        <v>3142</v>
      </c>
      <c r="AD2342" t="s">
        <v>10060</v>
      </c>
      <c r="AE2342">
        <v>3</v>
      </c>
      <c r="AF2342" t="s">
        <v>1235</v>
      </c>
      <c r="AG2342" t="s">
        <v>10061</v>
      </c>
      <c r="AH2342" t="s">
        <v>10062</v>
      </c>
    </row>
    <row r="2343" spans="1:34" x14ac:dyDescent="0.25">
      <c r="A2343">
        <v>80</v>
      </c>
      <c r="C2343" s="185"/>
      <c r="E2343" t="s">
        <v>386</v>
      </c>
      <c r="F2343" t="s">
        <v>10063</v>
      </c>
      <c r="G2343" t="s">
        <v>1197</v>
      </c>
      <c r="H2343" t="s">
        <v>10064</v>
      </c>
      <c r="I2343">
        <v>4487</v>
      </c>
      <c r="J2343" t="s">
        <v>10063</v>
      </c>
      <c r="K2343" t="s">
        <v>10063</v>
      </c>
      <c r="L2343" t="s">
        <v>386</v>
      </c>
      <c r="M2343" t="s">
        <v>1193</v>
      </c>
      <c r="N2343">
        <v>4487</v>
      </c>
      <c r="O2343">
        <v>0</v>
      </c>
      <c r="Q2343" t="s">
        <v>10065</v>
      </c>
      <c r="T2343">
        <v>35</v>
      </c>
      <c r="V2343" t="s">
        <v>2015</v>
      </c>
      <c r="Z2343" t="s">
        <v>10066</v>
      </c>
      <c r="AA2343" t="s">
        <v>387</v>
      </c>
      <c r="AB2343">
        <v>0</v>
      </c>
      <c r="AC2343">
        <v>651</v>
      </c>
      <c r="AD2343" t="s">
        <v>10067</v>
      </c>
      <c r="AE2343">
        <v>1</v>
      </c>
      <c r="AF2343" t="s">
        <v>1922</v>
      </c>
      <c r="AG2343" t="s">
        <v>10068</v>
      </c>
      <c r="AH2343" t="s">
        <v>10069</v>
      </c>
    </row>
    <row r="2344" spans="1:34" x14ac:dyDescent="0.25">
      <c r="A2344">
        <v>1275</v>
      </c>
      <c r="C2344" s="185"/>
      <c r="E2344" t="s">
        <v>386</v>
      </c>
      <c r="F2344" t="s">
        <v>10070</v>
      </c>
      <c r="G2344" t="s">
        <v>1197</v>
      </c>
      <c r="H2344" t="s">
        <v>10071</v>
      </c>
      <c r="I2344">
        <v>9674</v>
      </c>
      <c r="J2344" t="s">
        <v>10070</v>
      </c>
      <c r="K2344" t="s">
        <v>10072</v>
      </c>
      <c r="L2344" t="s">
        <v>386</v>
      </c>
      <c r="M2344" t="s">
        <v>1193</v>
      </c>
      <c r="N2344">
        <v>9674</v>
      </c>
      <c r="O2344">
        <v>0</v>
      </c>
      <c r="Q2344" t="s">
        <v>10073</v>
      </c>
      <c r="R2344" t="s">
        <v>1208</v>
      </c>
      <c r="T2344">
        <v>138</v>
      </c>
      <c r="V2344" t="s">
        <v>2223</v>
      </c>
      <c r="Z2344" t="s">
        <v>2124</v>
      </c>
      <c r="AA2344" t="s">
        <v>387</v>
      </c>
      <c r="AB2344">
        <v>0</v>
      </c>
      <c r="AC2344">
        <v>3853</v>
      </c>
      <c r="AD2344" t="s">
        <v>10074</v>
      </c>
      <c r="AE2344">
        <v>1784</v>
      </c>
      <c r="AF2344" t="s">
        <v>10075</v>
      </c>
    </row>
    <row r="2345" spans="1:34" x14ac:dyDescent="0.25">
      <c r="A2345">
        <v>533</v>
      </c>
      <c r="C2345" s="185"/>
      <c r="D2345" t="s">
        <v>157</v>
      </c>
      <c r="E2345" t="s">
        <v>386</v>
      </c>
      <c r="F2345" t="s">
        <v>338</v>
      </c>
      <c r="G2345" t="s">
        <v>1197</v>
      </c>
      <c r="H2345" t="s">
        <v>10076</v>
      </c>
      <c r="I2345">
        <v>14213</v>
      </c>
      <c r="J2345" t="s">
        <v>338</v>
      </c>
      <c r="K2345" t="s">
        <v>10077</v>
      </c>
      <c r="L2345" t="s">
        <v>386</v>
      </c>
      <c r="M2345" t="s">
        <v>1193</v>
      </c>
      <c r="N2345">
        <v>14213</v>
      </c>
      <c r="O2345">
        <v>61</v>
      </c>
      <c r="Q2345" t="s">
        <v>10078</v>
      </c>
      <c r="R2345" t="s">
        <v>398</v>
      </c>
      <c r="T2345">
        <v>200</v>
      </c>
      <c r="V2345" t="s">
        <v>1199</v>
      </c>
      <c r="W2345" t="s">
        <v>3321</v>
      </c>
      <c r="X2345">
        <v>246</v>
      </c>
      <c r="Z2345" t="s">
        <v>10079</v>
      </c>
      <c r="AA2345" t="s">
        <v>387</v>
      </c>
      <c r="AB2345">
        <v>53000</v>
      </c>
      <c r="AC2345">
        <v>5377</v>
      </c>
      <c r="AD2345" t="s">
        <v>10080</v>
      </c>
      <c r="AE2345">
        <v>18</v>
      </c>
      <c r="AF2345" t="s">
        <v>1259</v>
      </c>
      <c r="AG2345" t="s">
        <v>1244</v>
      </c>
      <c r="AH2345" t="s">
        <v>10081</v>
      </c>
    </row>
    <row r="2346" spans="1:34" x14ac:dyDescent="0.25">
      <c r="A2346">
        <v>1792</v>
      </c>
      <c r="C2346" s="185"/>
      <c r="E2346" t="s">
        <v>386</v>
      </c>
      <c r="F2346" t="s">
        <v>10082</v>
      </c>
      <c r="G2346" t="s">
        <v>1197</v>
      </c>
      <c r="H2346" t="s">
        <v>4919</v>
      </c>
      <c r="I2346">
        <v>16662</v>
      </c>
      <c r="J2346" t="s">
        <v>10082</v>
      </c>
      <c r="K2346" t="s">
        <v>10082</v>
      </c>
      <c r="L2346" t="s">
        <v>386</v>
      </c>
      <c r="M2346" t="s">
        <v>1193</v>
      </c>
      <c r="N2346">
        <v>16662</v>
      </c>
      <c r="O2346">
        <v>0</v>
      </c>
      <c r="Q2346" t="s">
        <v>10083</v>
      </c>
      <c r="T2346">
        <v>496</v>
      </c>
      <c r="V2346" t="s">
        <v>2246</v>
      </c>
      <c r="W2346" t="s">
        <v>2246</v>
      </c>
      <c r="X2346">
        <v>496</v>
      </c>
      <c r="Z2346" t="s">
        <v>1053</v>
      </c>
      <c r="AA2346" t="s">
        <v>387</v>
      </c>
      <c r="AB2346">
        <v>0</v>
      </c>
      <c r="AC2346">
        <v>6221</v>
      </c>
      <c r="AD2346" t="s">
        <v>10084</v>
      </c>
      <c r="AE2346">
        <v>1587</v>
      </c>
      <c r="AF2346" t="s">
        <v>10085</v>
      </c>
      <c r="AG2346" t="s">
        <v>10086</v>
      </c>
      <c r="AH2346" t="s">
        <v>10087</v>
      </c>
    </row>
    <row r="2347" spans="1:34" x14ac:dyDescent="0.25">
      <c r="A2347">
        <v>1450</v>
      </c>
      <c r="B2347" t="s">
        <v>1313</v>
      </c>
      <c r="C2347" s="185"/>
      <c r="D2347" t="s">
        <v>24</v>
      </c>
      <c r="E2347" t="s">
        <v>386</v>
      </c>
      <c r="F2347" t="s">
        <v>657</v>
      </c>
      <c r="G2347" t="s">
        <v>1197</v>
      </c>
      <c r="H2347" t="s">
        <v>5469</v>
      </c>
      <c r="I2347">
        <v>14134</v>
      </c>
      <c r="J2347" t="s">
        <v>236</v>
      </c>
      <c r="K2347" t="s">
        <v>10088</v>
      </c>
      <c r="L2347" t="s">
        <v>386</v>
      </c>
      <c r="M2347" t="s">
        <v>1193</v>
      </c>
      <c r="N2347">
        <v>15331</v>
      </c>
      <c r="O2347">
        <v>76</v>
      </c>
      <c r="Q2347" t="s">
        <v>10089</v>
      </c>
      <c r="R2347" t="s">
        <v>398</v>
      </c>
      <c r="S2347" t="s">
        <v>1909</v>
      </c>
      <c r="T2347">
        <v>220</v>
      </c>
      <c r="U2347">
        <v>0</v>
      </c>
      <c r="V2347" t="s">
        <v>1194</v>
      </c>
      <c r="W2347" t="s">
        <v>2107</v>
      </c>
      <c r="X2347">
        <v>272</v>
      </c>
      <c r="Y2347" t="s">
        <v>1317</v>
      </c>
      <c r="Z2347" t="s">
        <v>2127</v>
      </c>
      <c r="AA2347" t="s">
        <v>387</v>
      </c>
      <c r="AB2347">
        <v>0</v>
      </c>
      <c r="AC2347">
        <v>5344</v>
      </c>
      <c r="AD2347" t="s">
        <v>10090</v>
      </c>
      <c r="AE2347">
        <v>138</v>
      </c>
      <c r="AF2347" t="s">
        <v>2509</v>
      </c>
      <c r="AG2347" t="s">
        <v>2044</v>
      </c>
      <c r="AH2347" t="s">
        <v>10091</v>
      </c>
    </row>
    <row r="2348" spans="1:34" x14ac:dyDescent="0.25">
      <c r="A2348">
        <v>1155</v>
      </c>
      <c r="C2348" s="185"/>
      <c r="E2348" t="s">
        <v>386</v>
      </c>
      <c r="F2348" t="s">
        <v>10092</v>
      </c>
      <c r="G2348" t="s">
        <v>1238</v>
      </c>
      <c r="H2348" t="s">
        <v>4912</v>
      </c>
      <c r="I2348">
        <v>14423</v>
      </c>
      <c r="J2348" t="s">
        <v>10092</v>
      </c>
      <c r="K2348" t="s">
        <v>10093</v>
      </c>
      <c r="L2348" t="s">
        <v>386</v>
      </c>
      <c r="M2348" t="s">
        <v>1184</v>
      </c>
      <c r="N2348">
        <v>14423</v>
      </c>
      <c r="O2348">
        <v>0</v>
      </c>
      <c r="Q2348" t="s">
        <v>10094</v>
      </c>
      <c r="R2348" t="s">
        <v>398</v>
      </c>
      <c r="T2348">
        <v>103</v>
      </c>
      <c r="V2348" t="s">
        <v>1530</v>
      </c>
      <c r="W2348" t="s">
        <v>1530</v>
      </c>
      <c r="X2348">
        <v>103</v>
      </c>
      <c r="Z2348" t="s">
        <v>4915</v>
      </c>
      <c r="AA2348" t="s">
        <v>387</v>
      </c>
      <c r="AB2348">
        <v>0</v>
      </c>
      <c r="AC2348">
        <v>5482</v>
      </c>
      <c r="AD2348" t="s">
        <v>10095</v>
      </c>
      <c r="AE2348">
        <v>18</v>
      </c>
      <c r="AF2348" t="s">
        <v>1259</v>
      </c>
      <c r="AG2348" t="s">
        <v>1244</v>
      </c>
      <c r="AH2348" t="s">
        <v>10096</v>
      </c>
    </row>
    <row r="2349" spans="1:34" x14ac:dyDescent="0.25">
      <c r="A2349">
        <v>549</v>
      </c>
      <c r="C2349" s="185"/>
      <c r="E2349" t="s">
        <v>386</v>
      </c>
      <c r="F2349" t="s">
        <v>10097</v>
      </c>
      <c r="G2349" t="s">
        <v>1197</v>
      </c>
      <c r="H2349" t="s">
        <v>10098</v>
      </c>
      <c r="I2349">
        <v>14141</v>
      </c>
      <c r="J2349" t="s">
        <v>10097</v>
      </c>
      <c r="K2349" t="s">
        <v>10097</v>
      </c>
      <c r="L2349" t="s">
        <v>386</v>
      </c>
      <c r="M2349" t="s">
        <v>1193</v>
      </c>
      <c r="N2349">
        <v>14141</v>
      </c>
      <c r="O2349">
        <v>0</v>
      </c>
      <c r="Q2349" t="s">
        <v>10099</v>
      </c>
      <c r="R2349" t="s">
        <v>1208</v>
      </c>
      <c r="T2349">
        <v>571</v>
      </c>
      <c r="V2349" t="s">
        <v>2003</v>
      </c>
      <c r="W2349" t="s">
        <v>1216</v>
      </c>
      <c r="X2349">
        <v>260</v>
      </c>
      <c r="Z2349" t="s">
        <v>10100</v>
      </c>
      <c r="AA2349" t="s">
        <v>387</v>
      </c>
      <c r="AB2349">
        <v>0</v>
      </c>
      <c r="AC2349">
        <v>5349</v>
      </c>
      <c r="AD2349" t="s">
        <v>10101</v>
      </c>
      <c r="AE2349">
        <v>2486</v>
      </c>
      <c r="AF2349" t="s">
        <v>10102</v>
      </c>
      <c r="AG2349" t="s">
        <v>10103</v>
      </c>
      <c r="AH2349" t="s">
        <v>10104</v>
      </c>
    </row>
    <row r="2350" spans="1:34" x14ac:dyDescent="0.25">
      <c r="A2350">
        <v>549</v>
      </c>
      <c r="B2350" t="s">
        <v>1313</v>
      </c>
      <c r="C2350" s="185"/>
      <c r="D2350" t="s">
        <v>157</v>
      </c>
      <c r="E2350" t="s">
        <v>386</v>
      </c>
      <c r="F2350" t="s">
        <v>367</v>
      </c>
      <c r="G2350" t="s">
        <v>1197</v>
      </c>
      <c r="H2350" t="s">
        <v>10105</v>
      </c>
      <c r="I2350">
        <v>4463</v>
      </c>
      <c r="J2350" t="s">
        <v>10106</v>
      </c>
      <c r="K2350" t="s">
        <v>10107</v>
      </c>
      <c r="L2350" t="s">
        <v>386</v>
      </c>
      <c r="M2350" t="s">
        <v>1193</v>
      </c>
      <c r="N2350">
        <v>15334</v>
      </c>
      <c r="O2350">
        <v>76</v>
      </c>
      <c r="Q2350" t="s">
        <v>10108</v>
      </c>
      <c r="R2350" t="s">
        <v>398</v>
      </c>
      <c r="S2350" t="s">
        <v>10109</v>
      </c>
      <c r="T2350">
        <v>220</v>
      </c>
      <c r="U2350">
        <v>0</v>
      </c>
      <c r="V2350" t="s">
        <v>1194</v>
      </c>
      <c r="W2350" t="s">
        <v>2107</v>
      </c>
      <c r="X2350">
        <v>272</v>
      </c>
      <c r="Y2350" t="s">
        <v>1317</v>
      </c>
      <c r="Z2350" t="s">
        <v>10100</v>
      </c>
      <c r="AA2350" t="s">
        <v>387</v>
      </c>
      <c r="AB2350">
        <v>0</v>
      </c>
      <c r="AC2350">
        <v>2334</v>
      </c>
      <c r="AD2350" t="s">
        <v>10110</v>
      </c>
      <c r="AE2350">
        <v>1118</v>
      </c>
      <c r="AF2350" t="s">
        <v>10111</v>
      </c>
      <c r="AG2350" t="s">
        <v>10112</v>
      </c>
      <c r="AH2350" t="s">
        <v>10113</v>
      </c>
    </row>
    <row r="2351" spans="1:34" x14ac:dyDescent="0.25">
      <c r="A2351">
        <v>549</v>
      </c>
      <c r="C2351" s="185"/>
      <c r="E2351" t="s">
        <v>386</v>
      </c>
      <c r="F2351" t="s">
        <v>10114</v>
      </c>
      <c r="G2351" t="s">
        <v>1197</v>
      </c>
      <c r="H2351" t="s">
        <v>10115</v>
      </c>
      <c r="I2351">
        <v>11964</v>
      </c>
      <c r="J2351" t="s">
        <v>10114</v>
      </c>
      <c r="K2351" t="s">
        <v>10114</v>
      </c>
      <c r="L2351" t="s">
        <v>386</v>
      </c>
      <c r="M2351" t="s">
        <v>1193</v>
      </c>
      <c r="N2351">
        <v>11964</v>
      </c>
      <c r="O2351">
        <v>0</v>
      </c>
      <c r="Q2351" t="s">
        <v>10116</v>
      </c>
      <c r="R2351" t="s">
        <v>1223</v>
      </c>
      <c r="T2351">
        <v>304</v>
      </c>
      <c r="V2351" t="s">
        <v>2067</v>
      </c>
      <c r="Z2351" t="s">
        <v>10100</v>
      </c>
      <c r="AA2351" t="s">
        <v>387</v>
      </c>
      <c r="AB2351">
        <v>0</v>
      </c>
      <c r="AC2351">
        <v>4550</v>
      </c>
      <c r="AD2351" t="s">
        <v>10117</v>
      </c>
      <c r="AE2351">
        <v>1564</v>
      </c>
      <c r="AF2351" t="s">
        <v>10118</v>
      </c>
      <c r="AG2351" t="s">
        <v>2739</v>
      </c>
    </row>
    <row r="2352" spans="1:34" x14ac:dyDescent="0.25">
      <c r="A2352">
        <v>1</v>
      </c>
      <c r="C2352" s="185"/>
      <c r="E2352" t="s">
        <v>386</v>
      </c>
      <c r="F2352" t="s">
        <v>10119</v>
      </c>
      <c r="G2352" t="s">
        <v>1197</v>
      </c>
      <c r="H2352" t="s">
        <v>5585</v>
      </c>
      <c r="I2352">
        <v>2186</v>
      </c>
      <c r="J2352" t="s">
        <v>10119</v>
      </c>
      <c r="K2352" t="s">
        <v>10119</v>
      </c>
      <c r="L2352" t="s">
        <v>386</v>
      </c>
      <c r="M2352" t="s">
        <v>1193</v>
      </c>
      <c r="N2352">
        <v>2186</v>
      </c>
      <c r="O2352">
        <v>0</v>
      </c>
      <c r="Q2352" t="s">
        <v>10120</v>
      </c>
      <c r="T2352">
        <v>372</v>
      </c>
      <c r="V2352" t="s">
        <v>2073</v>
      </c>
      <c r="W2352" t="s">
        <v>2024</v>
      </c>
      <c r="X2352">
        <v>52</v>
      </c>
      <c r="Z2352" t="s">
        <v>865</v>
      </c>
      <c r="AA2352" t="s">
        <v>387</v>
      </c>
      <c r="AB2352">
        <v>0</v>
      </c>
      <c r="AC2352">
        <v>1609</v>
      </c>
      <c r="AD2352" t="s">
        <v>2035</v>
      </c>
      <c r="AE2352">
        <v>113</v>
      </c>
      <c r="AF2352" t="s">
        <v>2115</v>
      </c>
      <c r="AG2352" t="s">
        <v>10121</v>
      </c>
    </row>
    <row r="2353" spans="1:34" x14ac:dyDescent="0.25">
      <c r="A2353">
        <v>89</v>
      </c>
      <c r="C2353" s="185"/>
      <c r="E2353" t="s">
        <v>386</v>
      </c>
      <c r="F2353" t="s">
        <v>10122</v>
      </c>
      <c r="G2353" t="s">
        <v>1197</v>
      </c>
      <c r="H2353" t="s">
        <v>10123</v>
      </c>
      <c r="I2353">
        <v>9162</v>
      </c>
      <c r="J2353" t="s">
        <v>10122</v>
      </c>
      <c r="K2353" t="s">
        <v>10122</v>
      </c>
      <c r="L2353" t="s">
        <v>386</v>
      </c>
      <c r="M2353" t="s">
        <v>1193</v>
      </c>
      <c r="N2353">
        <v>9162</v>
      </c>
      <c r="O2353">
        <v>0</v>
      </c>
      <c r="Q2353" t="s">
        <v>10124</v>
      </c>
      <c r="R2353" t="s">
        <v>1208</v>
      </c>
      <c r="T2353">
        <v>571</v>
      </c>
      <c r="V2353" t="s">
        <v>2003</v>
      </c>
      <c r="W2353" t="s">
        <v>2144</v>
      </c>
      <c r="X2353">
        <v>39</v>
      </c>
      <c r="Z2353" t="s">
        <v>6326</v>
      </c>
      <c r="AA2353" t="s">
        <v>387</v>
      </c>
      <c r="AB2353">
        <v>0</v>
      </c>
      <c r="AC2353">
        <v>3650</v>
      </c>
      <c r="AD2353" t="s">
        <v>10125</v>
      </c>
      <c r="AE2353">
        <v>849</v>
      </c>
      <c r="AF2353" t="s">
        <v>10126</v>
      </c>
      <c r="AG2353" t="s">
        <v>2920</v>
      </c>
    </row>
    <row r="2354" spans="1:34" x14ac:dyDescent="0.25">
      <c r="A2354">
        <v>1</v>
      </c>
      <c r="C2354" s="185"/>
      <c r="E2354" t="s">
        <v>386</v>
      </c>
      <c r="F2354" t="s">
        <v>10127</v>
      </c>
      <c r="G2354" t="s">
        <v>1197</v>
      </c>
      <c r="H2354" t="s">
        <v>10128</v>
      </c>
      <c r="I2354">
        <v>10908</v>
      </c>
      <c r="J2354" t="s">
        <v>10127</v>
      </c>
      <c r="K2354" t="s">
        <v>10129</v>
      </c>
      <c r="L2354" t="s">
        <v>386</v>
      </c>
      <c r="M2354" t="s">
        <v>1193</v>
      </c>
      <c r="N2354">
        <v>10908</v>
      </c>
      <c r="O2354">
        <v>0</v>
      </c>
      <c r="Q2354" t="s">
        <v>10130</v>
      </c>
      <c r="R2354" t="s">
        <v>1208</v>
      </c>
      <c r="T2354">
        <v>39</v>
      </c>
      <c r="V2354" t="s">
        <v>2144</v>
      </c>
      <c r="W2354" t="s">
        <v>2024</v>
      </c>
      <c r="X2354">
        <v>52</v>
      </c>
      <c r="Z2354" t="s">
        <v>865</v>
      </c>
      <c r="AA2354" t="s">
        <v>387</v>
      </c>
      <c r="AB2354">
        <v>0</v>
      </c>
      <c r="AC2354">
        <v>3018</v>
      </c>
      <c r="AD2354" t="s">
        <v>10131</v>
      </c>
      <c r="AE2354">
        <v>138</v>
      </c>
      <c r="AF2354" t="s">
        <v>2509</v>
      </c>
      <c r="AG2354" t="s">
        <v>10132</v>
      </c>
    </row>
    <row r="2355" spans="1:34" x14ac:dyDescent="0.25">
      <c r="A2355">
        <v>89</v>
      </c>
      <c r="B2355" t="s">
        <v>1313</v>
      </c>
      <c r="C2355" s="185"/>
      <c r="E2355" t="s">
        <v>386</v>
      </c>
      <c r="F2355" t="s">
        <v>10133</v>
      </c>
      <c r="H2355" t="s">
        <v>10134</v>
      </c>
      <c r="I2355">
        <v>7859</v>
      </c>
      <c r="J2355" t="s">
        <v>10133</v>
      </c>
      <c r="K2355" t="s">
        <v>10133</v>
      </c>
      <c r="L2355" t="s">
        <v>386</v>
      </c>
      <c r="M2355" t="s">
        <v>1193</v>
      </c>
      <c r="N2355">
        <v>7859</v>
      </c>
      <c r="O2355">
        <v>0</v>
      </c>
      <c r="Q2355" t="s">
        <v>10135</v>
      </c>
      <c r="R2355" t="s">
        <v>1223</v>
      </c>
      <c r="S2355" t="s">
        <v>1315</v>
      </c>
      <c r="T2355">
        <v>103</v>
      </c>
      <c r="U2355">
        <v>0</v>
      </c>
      <c r="V2355" t="s">
        <v>1530</v>
      </c>
      <c r="Y2355" t="s">
        <v>1317</v>
      </c>
      <c r="Z2355" t="s">
        <v>6326</v>
      </c>
      <c r="AA2355" t="s">
        <v>387</v>
      </c>
      <c r="AB2355">
        <v>0</v>
      </c>
      <c r="AC2355">
        <v>3240</v>
      </c>
      <c r="AD2355" t="s">
        <v>10136</v>
      </c>
      <c r="AE2355">
        <v>1520</v>
      </c>
      <c r="AF2355" t="s">
        <v>10137</v>
      </c>
      <c r="AG2355" t="s">
        <v>2779</v>
      </c>
    </row>
    <row r="2356" spans="1:34" x14ac:dyDescent="0.25">
      <c r="A2356">
        <v>604</v>
      </c>
      <c r="C2356" s="185"/>
      <c r="E2356" t="s">
        <v>386</v>
      </c>
      <c r="F2356" t="s">
        <v>10138</v>
      </c>
      <c r="G2356" t="s">
        <v>1197</v>
      </c>
      <c r="H2356" t="s">
        <v>9994</v>
      </c>
      <c r="I2356">
        <v>2820</v>
      </c>
      <c r="J2356" t="s">
        <v>10138</v>
      </c>
      <c r="K2356" t="s">
        <v>10139</v>
      </c>
      <c r="L2356" t="s">
        <v>386</v>
      </c>
      <c r="M2356" t="s">
        <v>1193</v>
      </c>
      <c r="N2356">
        <v>2820</v>
      </c>
      <c r="O2356">
        <v>0</v>
      </c>
      <c r="Q2356" t="s">
        <v>10140</v>
      </c>
      <c r="T2356">
        <v>52</v>
      </c>
      <c r="V2356" t="s">
        <v>2024</v>
      </c>
      <c r="Z2356" t="s">
        <v>9996</v>
      </c>
      <c r="AA2356" t="s">
        <v>387</v>
      </c>
      <c r="AB2356">
        <v>0</v>
      </c>
      <c r="AC2356">
        <v>1899</v>
      </c>
      <c r="AD2356" t="s">
        <v>10141</v>
      </c>
      <c r="AE2356">
        <v>3</v>
      </c>
      <c r="AF2356" t="s">
        <v>1235</v>
      </c>
      <c r="AG2356" t="s">
        <v>5587</v>
      </c>
    </row>
    <row r="2357" spans="1:34" x14ac:dyDescent="0.25">
      <c r="A2357">
        <v>1</v>
      </c>
      <c r="C2357" s="185"/>
      <c r="E2357" t="s">
        <v>386</v>
      </c>
      <c r="F2357" t="s">
        <v>10142</v>
      </c>
      <c r="G2357" t="s">
        <v>1197</v>
      </c>
      <c r="H2357" t="s">
        <v>10143</v>
      </c>
      <c r="I2357">
        <v>938</v>
      </c>
      <c r="J2357" t="s">
        <v>10142</v>
      </c>
      <c r="K2357" t="s">
        <v>10142</v>
      </c>
      <c r="L2357" t="s">
        <v>386</v>
      </c>
      <c r="M2357" t="s">
        <v>1193</v>
      </c>
      <c r="N2357">
        <v>938</v>
      </c>
      <c r="O2357">
        <v>0</v>
      </c>
      <c r="Q2357" t="s">
        <v>10144</v>
      </c>
      <c r="T2357">
        <v>260</v>
      </c>
      <c r="V2357" t="s">
        <v>1216</v>
      </c>
      <c r="Z2357" t="s">
        <v>865</v>
      </c>
      <c r="AA2357" t="s">
        <v>387</v>
      </c>
      <c r="AB2357">
        <v>0</v>
      </c>
      <c r="AC2357">
        <v>131</v>
      </c>
      <c r="AD2357" t="s">
        <v>3098</v>
      </c>
      <c r="AE2357">
        <v>217</v>
      </c>
      <c r="AF2357" t="s">
        <v>3067</v>
      </c>
      <c r="AG2357" t="s">
        <v>10145</v>
      </c>
      <c r="AH2357" t="s">
        <v>10146</v>
      </c>
    </row>
    <row r="2358" spans="1:34" x14ac:dyDescent="0.25">
      <c r="A2358">
        <v>606</v>
      </c>
      <c r="C2358" s="185"/>
      <c r="E2358" t="s">
        <v>386</v>
      </c>
      <c r="F2358" t="s">
        <v>10147</v>
      </c>
      <c r="G2358" t="s">
        <v>1197</v>
      </c>
      <c r="H2358" t="s">
        <v>10148</v>
      </c>
      <c r="I2358">
        <v>10922</v>
      </c>
      <c r="J2358" t="s">
        <v>10147</v>
      </c>
      <c r="K2358" t="s">
        <v>10149</v>
      </c>
      <c r="L2358" t="s">
        <v>386</v>
      </c>
      <c r="M2358" t="s">
        <v>1193</v>
      </c>
      <c r="N2358">
        <v>10922</v>
      </c>
      <c r="O2358">
        <v>0</v>
      </c>
      <c r="Q2358" t="s">
        <v>10150</v>
      </c>
      <c r="R2358" t="s">
        <v>1208</v>
      </c>
      <c r="T2358">
        <v>260</v>
      </c>
      <c r="V2358" t="s">
        <v>1216</v>
      </c>
      <c r="W2358" t="s">
        <v>2003</v>
      </c>
      <c r="X2358">
        <v>571</v>
      </c>
      <c r="Z2358" t="s">
        <v>10151</v>
      </c>
      <c r="AA2358" t="s">
        <v>387</v>
      </c>
      <c r="AB2358">
        <v>0</v>
      </c>
      <c r="AC2358">
        <v>4184</v>
      </c>
      <c r="AD2358" t="s">
        <v>10152</v>
      </c>
      <c r="AE2358">
        <v>967</v>
      </c>
      <c r="AF2358" t="s">
        <v>10153</v>
      </c>
      <c r="AG2358" t="s">
        <v>5790</v>
      </c>
    </row>
    <row r="2359" spans="1:34" x14ac:dyDescent="0.25">
      <c r="A2359">
        <v>606</v>
      </c>
      <c r="C2359" s="185"/>
      <c r="E2359" t="s">
        <v>386</v>
      </c>
      <c r="F2359" t="s">
        <v>10154</v>
      </c>
      <c r="G2359" t="s">
        <v>1197</v>
      </c>
      <c r="H2359" t="s">
        <v>10155</v>
      </c>
      <c r="I2359">
        <v>4</v>
      </c>
      <c r="J2359" t="s">
        <v>10154</v>
      </c>
      <c r="K2359" t="s">
        <v>10156</v>
      </c>
      <c r="L2359" t="s">
        <v>386</v>
      </c>
      <c r="M2359" t="s">
        <v>1193</v>
      </c>
      <c r="N2359">
        <v>4</v>
      </c>
      <c r="O2359">
        <v>0</v>
      </c>
      <c r="Q2359" t="s">
        <v>10157</v>
      </c>
      <c r="T2359">
        <v>52</v>
      </c>
      <c r="V2359" t="s">
        <v>2024</v>
      </c>
      <c r="Z2359" t="s">
        <v>10151</v>
      </c>
      <c r="AA2359" t="s">
        <v>387</v>
      </c>
      <c r="AB2359">
        <v>0</v>
      </c>
      <c r="AC2359">
        <v>2017</v>
      </c>
      <c r="AD2359" t="s">
        <v>6925</v>
      </c>
      <c r="AE2359">
        <v>967</v>
      </c>
      <c r="AF2359" t="s">
        <v>10153</v>
      </c>
      <c r="AG2359" t="s">
        <v>3681</v>
      </c>
      <c r="AH2359" t="s">
        <v>10158</v>
      </c>
    </row>
    <row r="2360" spans="1:34" x14ac:dyDescent="0.25">
      <c r="A2360">
        <v>623</v>
      </c>
      <c r="C2360" s="185"/>
      <c r="D2360" t="s">
        <v>157</v>
      </c>
      <c r="E2360" t="s">
        <v>386</v>
      </c>
      <c r="F2360" t="s">
        <v>10159</v>
      </c>
      <c r="G2360" t="s">
        <v>1197</v>
      </c>
      <c r="H2360" t="s">
        <v>10160</v>
      </c>
      <c r="I2360">
        <v>16443</v>
      </c>
      <c r="J2360" t="s">
        <v>10159</v>
      </c>
      <c r="K2360" t="s">
        <v>10161</v>
      </c>
      <c r="L2360" t="s">
        <v>386</v>
      </c>
      <c r="M2360" t="s">
        <v>1193</v>
      </c>
      <c r="N2360">
        <v>16443</v>
      </c>
      <c r="O2360">
        <v>25</v>
      </c>
      <c r="Q2360" t="s">
        <v>10162</v>
      </c>
      <c r="T2360">
        <v>246</v>
      </c>
      <c r="V2360" t="s">
        <v>3321</v>
      </c>
      <c r="W2360" t="s">
        <v>2246</v>
      </c>
      <c r="X2360">
        <v>496</v>
      </c>
      <c r="Z2360" t="s">
        <v>10163</v>
      </c>
      <c r="AA2360" t="s">
        <v>387</v>
      </c>
      <c r="AB2360">
        <v>19000</v>
      </c>
      <c r="AC2360">
        <v>6149</v>
      </c>
      <c r="AD2360" t="s">
        <v>10164</v>
      </c>
      <c r="AE2360">
        <v>2822</v>
      </c>
      <c r="AF2360" t="s">
        <v>10165</v>
      </c>
      <c r="AG2360" t="s">
        <v>1244</v>
      </c>
      <c r="AH2360" t="s">
        <v>10166</v>
      </c>
    </row>
    <row r="2361" spans="1:34" x14ac:dyDescent="0.25">
      <c r="A2361">
        <v>623</v>
      </c>
      <c r="C2361" s="185"/>
      <c r="E2361" t="s">
        <v>386</v>
      </c>
      <c r="F2361" t="s">
        <v>10167</v>
      </c>
      <c r="G2361" t="s">
        <v>1197</v>
      </c>
      <c r="H2361" t="s">
        <v>10168</v>
      </c>
      <c r="I2361">
        <v>17076</v>
      </c>
      <c r="J2361" t="s">
        <v>10167</v>
      </c>
      <c r="K2361" t="s">
        <v>10169</v>
      </c>
      <c r="L2361" t="s">
        <v>386</v>
      </c>
      <c r="M2361" t="s">
        <v>1193</v>
      </c>
      <c r="N2361">
        <v>17076</v>
      </c>
      <c r="O2361">
        <v>0</v>
      </c>
      <c r="Q2361" t="s">
        <v>10170</v>
      </c>
      <c r="R2361" t="s">
        <v>398</v>
      </c>
      <c r="T2361">
        <v>52</v>
      </c>
      <c r="V2361" t="s">
        <v>2024</v>
      </c>
      <c r="W2361" t="s">
        <v>1530</v>
      </c>
      <c r="X2361">
        <v>103</v>
      </c>
      <c r="Z2361" t="s">
        <v>10163</v>
      </c>
      <c r="AA2361" t="s">
        <v>387</v>
      </c>
      <c r="AB2361">
        <v>0</v>
      </c>
      <c r="AC2361">
        <v>6432</v>
      </c>
      <c r="AD2361" t="s">
        <v>10171</v>
      </c>
      <c r="AE2361">
        <v>2178</v>
      </c>
      <c r="AF2361" t="s">
        <v>10172</v>
      </c>
      <c r="AG2361" t="s">
        <v>4715</v>
      </c>
      <c r="AH2361" t="s">
        <v>10173</v>
      </c>
    </row>
    <row r="2362" spans="1:34" x14ac:dyDescent="0.25">
      <c r="A2362">
        <v>180</v>
      </c>
      <c r="C2362" s="185"/>
      <c r="E2362" t="s">
        <v>386</v>
      </c>
      <c r="F2362" t="s">
        <v>10174</v>
      </c>
      <c r="H2362" t="s">
        <v>10175</v>
      </c>
      <c r="I2362">
        <v>9966</v>
      </c>
      <c r="J2362" t="s">
        <v>10174</v>
      </c>
      <c r="K2362" t="s">
        <v>10174</v>
      </c>
      <c r="L2362" t="s">
        <v>386</v>
      </c>
      <c r="M2362" t="s">
        <v>1193</v>
      </c>
      <c r="N2362">
        <v>9966</v>
      </c>
      <c r="O2362">
        <v>0</v>
      </c>
      <c r="Q2362" t="s">
        <v>10176</v>
      </c>
      <c r="T2362">
        <v>260</v>
      </c>
      <c r="V2362" t="s">
        <v>1216</v>
      </c>
      <c r="Z2362" t="s">
        <v>7485</v>
      </c>
      <c r="AA2362" t="s">
        <v>387</v>
      </c>
      <c r="AB2362">
        <v>0</v>
      </c>
      <c r="AC2362">
        <v>3933</v>
      </c>
      <c r="AD2362" t="s">
        <v>10177</v>
      </c>
      <c r="AE2362">
        <v>1253</v>
      </c>
      <c r="AF2362" t="s">
        <v>10178</v>
      </c>
      <c r="AG2362" t="s">
        <v>2044</v>
      </c>
    </row>
    <row r="2363" spans="1:34" x14ac:dyDescent="0.25">
      <c r="A2363">
        <v>640</v>
      </c>
      <c r="C2363" s="185"/>
      <c r="E2363" t="s">
        <v>386</v>
      </c>
      <c r="F2363" t="s">
        <v>10179</v>
      </c>
      <c r="G2363" t="s">
        <v>1197</v>
      </c>
      <c r="H2363" t="s">
        <v>10180</v>
      </c>
      <c r="I2363">
        <v>2365</v>
      </c>
      <c r="J2363" t="s">
        <v>10179</v>
      </c>
      <c r="K2363" t="s">
        <v>10179</v>
      </c>
      <c r="L2363" t="s">
        <v>386</v>
      </c>
      <c r="M2363" t="s">
        <v>1193</v>
      </c>
      <c r="N2363">
        <v>2365</v>
      </c>
      <c r="O2363">
        <v>0</v>
      </c>
      <c r="Q2363" t="s">
        <v>10181</v>
      </c>
      <c r="T2363">
        <v>2</v>
      </c>
      <c r="V2363" t="s">
        <v>1205</v>
      </c>
      <c r="Z2363" t="s">
        <v>10182</v>
      </c>
      <c r="AA2363" t="s">
        <v>387</v>
      </c>
      <c r="AB2363">
        <v>0</v>
      </c>
      <c r="AC2363">
        <v>1735</v>
      </c>
      <c r="AD2363" t="s">
        <v>10183</v>
      </c>
      <c r="AE2363">
        <v>1</v>
      </c>
      <c r="AF2363" t="s">
        <v>1922</v>
      </c>
      <c r="AG2363" t="s">
        <v>10184</v>
      </c>
    </row>
    <row r="2364" spans="1:34" x14ac:dyDescent="0.25">
      <c r="A2364">
        <v>14</v>
      </c>
      <c r="C2364" s="185"/>
      <c r="E2364" t="s">
        <v>386</v>
      </c>
      <c r="F2364" t="s">
        <v>10185</v>
      </c>
      <c r="G2364" t="s">
        <v>1197</v>
      </c>
      <c r="H2364" t="s">
        <v>5206</v>
      </c>
      <c r="I2364">
        <v>12107</v>
      </c>
      <c r="J2364" t="s">
        <v>10185</v>
      </c>
      <c r="K2364" t="s">
        <v>10185</v>
      </c>
      <c r="L2364" t="s">
        <v>386</v>
      </c>
      <c r="M2364" t="s">
        <v>1193</v>
      </c>
      <c r="N2364">
        <v>12107</v>
      </c>
      <c r="O2364">
        <v>0</v>
      </c>
      <c r="Q2364" t="s">
        <v>10186</v>
      </c>
      <c r="R2364" t="s">
        <v>1208</v>
      </c>
      <c r="T2364">
        <v>200</v>
      </c>
      <c r="V2364" t="s">
        <v>1199</v>
      </c>
      <c r="Z2364" t="s">
        <v>1130</v>
      </c>
      <c r="AA2364" t="s">
        <v>387</v>
      </c>
      <c r="AB2364">
        <v>0</v>
      </c>
      <c r="AC2364">
        <v>4583</v>
      </c>
      <c r="AD2364" t="s">
        <v>8017</v>
      </c>
      <c r="AE2364">
        <v>481</v>
      </c>
      <c r="AF2364" t="s">
        <v>3443</v>
      </c>
      <c r="AG2364" t="s">
        <v>1244</v>
      </c>
    </row>
    <row r="2365" spans="1:34" x14ac:dyDescent="0.25">
      <c r="A2365">
        <v>1459</v>
      </c>
      <c r="B2365" t="s">
        <v>1313</v>
      </c>
      <c r="C2365" s="185"/>
      <c r="D2365" t="s">
        <v>24</v>
      </c>
      <c r="E2365" t="s">
        <v>386</v>
      </c>
      <c r="F2365" t="s">
        <v>10187</v>
      </c>
      <c r="G2365" t="s">
        <v>1197</v>
      </c>
      <c r="H2365" t="s">
        <v>10188</v>
      </c>
      <c r="I2365">
        <v>2609</v>
      </c>
      <c r="J2365" t="s">
        <v>10187</v>
      </c>
      <c r="K2365" t="s">
        <v>8686</v>
      </c>
      <c r="L2365" t="s">
        <v>386</v>
      </c>
      <c r="M2365" t="s">
        <v>1193</v>
      </c>
      <c r="N2365">
        <v>2609</v>
      </c>
      <c r="O2365">
        <v>64</v>
      </c>
      <c r="Q2365" t="s">
        <v>10189</v>
      </c>
      <c r="R2365" t="s">
        <v>398</v>
      </c>
      <c r="S2365" t="s">
        <v>1909</v>
      </c>
      <c r="T2365">
        <v>220</v>
      </c>
      <c r="U2365">
        <v>0</v>
      </c>
      <c r="V2365" t="s">
        <v>1194</v>
      </c>
      <c r="W2365" t="s">
        <v>1194</v>
      </c>
      <c r="X2365">
        <v>220</v>
      </c>
      <c r="Y2365" t="s">
        <v>1317</v>
      </c>
      <c r="Z2365" t="s">
        <v>10190</v>
      </c>
      <c r="AA2365" t="s">
        <v>387</v>
      </c>
      <c r="AB2365">
        <v>56000</v>
      </c>
      <c r="AC2365">
        <v>2577</v>
      </c>
      <c r="AD2365" t="s">
        <v>10191</v>
      </c>
      <c r="AE2365">
        <v>18</v>
      </c>
      <c r="AF2365" t="s">
        <v>1259</v>
      </c>
      <c r="AG2365" t="s">
        <v>1244</v>
      </c>
    </row>
    <row r="2366" spans="1:34" x14ac:dyDescent="0.25">
      <c r="A2366">
        <v>25</v>
      </c>
      <c r="C2366" s="185"/>
      <c r="D2366" t="s">
        <v>157</v>
      </c>
      <c r="E2366" t="s">
        <v>386</v>
      </c>
      <c r="F2366" t="s">
        <v>337</v>
      </c>
      <c r="G2366" t="s">
        <v>1238</v>
      </c>
      <c r="H2366" t="s">
        <v>5296</v>
      </c>
      <c r="I2366">
        <v>15065</v>
      </c>
      <c r="J2366" t="s">
        <v>337</v>
      </c>
      <c r="K2366" t="s">
        <v>10192</v>
      </c>
      <c r="L2366" t="s">
        <v>386</v>
      </c>
      <c r="M2366" t="s">
        <v>1184</v>
      </c>
      <c r="N2366">
        <v>15065</v>
      </c>
      <c r="O2366">
        <v>59</v>
      </c>
      <c r="Q2366" t="s">
        <v>10193</v>
      </c>
      <c r="T2366">
        <v>571</v>
      </c>
      <c r="V2366" t="s">
        <v>2003</v>
      </c>
      <c r="W2366" t="s">
        <v>3321</v>
      </c>
      <c r="X2366">
        <v>246</v>
      </c>
      <c r="Z2366" t="s">
        <v>857</v>
      </c>
      <c r="AA2366" t="s">
        <v>387</v>
      </c>
      <c r="AB2366">
        <v>51000</v>
      </c>
      <c r="AC2366">
        <v>5724</v>
      </c>
      <c r="AD2366" t="s">
        <v>10194</v>
      </c>
      <c r="AE2366">
        <v>18</v>
      </c>
      <c r="AF2366" t="s">
        <v>1259</v>
      </c>
      <c r="AG2366" t="s">
        <v>1244</v>
      </c>
      <c r="AH2366" t="s">
        <v>10195</v>
      </c>
    </row>
    <row r="2367" spans="1:34" x14ac:dyDescent="0.25">
      <c r="A2367">
        <v>1</v>
      </c>
      <c r="C2367" s="185"/>
      <c r="E2367" t="s">
        <v>386</v>
      </c>
      <c r="F2367" t="s">
        <v>10196</v>
      </c>
      <c r="G2367" t="s">
        <v>1197</v>
      </c>
      <c r="H2367" t="s">
        <v>10197</v>
      </c>
      <c r="I2367">
        <v>2207</v>
      </c>
      <c r="J2367" t="s">
        <v>10196</v>
      </c>
      <c r="K2367" t="s">
        <v>10196</v>
      </c>
      <c r="L2367" t="s">
        <v>386</v>
      </c>
      <c r="M2367" t="s">
        <v>1193</v>
      </c>
      <c r="N2367">
        <v>2207</v>
      </c>
      <c r="O2367">
        <v>0</v>
      </c>
      <c r="Q2367" t="s">
        <v>10198</v>
      </c>
      <c r="T2367">
        <v>52</v>
      </c>
      <c r="V2367" t="s">
        <v>2024</v>
      </c>
      <c r="Z2367" t="s">
        <v>865</v>
      </c>
      <c r="AA2367" t="s">
        <v>387</v>
      </c>
      <c r="AB2367">
        <v>0</v>
      </c>
      <c r="AC2367">
        <v>814</v>
      </c>
      <c r="AD2367" t="s">
        <v>10199</v>
      </c>
      <c r="AE2367">
        <v>3</v>
      </c>
      <c r="AF2367" t="s">
        <v>1235</v>
      </c>
      <c r="AG2367" t="s">
        <v>2510</v>
      </c>
    </row>
    <row r="2368" spans="1:34" x14ac:dyDescent="0.25">
      <c r="A2368">
        <v>2120</v>
      </c>
      <c r="C2368" s="185"/>
      <c r="E2368" t="s">
        <v>386</v>
      </c>
      <c r="F2368" t="s">
        <v>10200</v>
      </c>
      <c r="G2368" t="s">
        <v>1238</v>
      </c>
      <c r="H2368" t="s">
        <v>10201</v>
      </c>
      <c r="I2368">
        <v>14912</v>
      </c>
      <c r="J2368" t="s">
        <v>10200</v>
      </c>
      <c r="K2368" t="s">
        <v>10202</v>
      </c>
      <c r="L2368" t="s">
        <v>386</v>
      </c>
      <c r="M2368" t="s">
        <v>1184</v>
      </c>
      <c r="N2368">
        <v>14912</v>
      </c>
      <c r="O2368">
        <v>0</v>
      </c>
      <c r="Q2368" t="s">
        <v>10203</v>
      </c>
      <c r="T2368">
        <v>260</v>
      </c>
      <c r="V2368" t="s">
        <v>1216</v>
      </c>
      <c r="W2368" t="s">
        <v>1216</v>
      </c>
      <c r="X2368">
        <v>260</v>
      </c>
      <c r="Z2368" t="s">
        <v>10204</v>
      </c>
      <c r="AA2368" t="s">
        <v>387</v>
      </c>
      <c r="AB2368">
        <v>0</v>
      </c>
      <c r="AC2368">
        <v>5673</v>
      </c>
      <c r="AD2368" t="s">
        <v>10205</v>
      </c>
      <c r="AE2368">
        <v>18</v>
      </c>
      <c r="AF2368" t="s">
        <v>1259</v>
      </c>
      <c r="AG2368" t="s">
        <v>1244</v>
      </c>
      <c r="AH2368" t="s">
        <v>10206</v>
      </c>
    </row>
    <row r="2369" spans="1:34" x14ac:dyDescent="0.25">
      <c r="A2369">
        <v>1860</v>
      </c>
      <c r="C2369" s="185"/>
      <c r="E2369" t="s">
        <v>386</v>
      </c>
      <c r="F2369" t="s">
        <v>10207</v>
      </c>
      <c r="G2369" t="s">
        <v>1238</v>
      </c>
      <c r="H2369" t="s">
        <v>10208</v>
      </c>
      <c r="I2369">
        <v>14980</v>
      </c>
      <c r="J2369" t="s">
        <v>10207</v>
      </c>
      <c r="K2369" t="s">
        <v>10209</v>
      </c>
      <c r="L2369" t="s">
        <v>386</v>
      </c>
      <c r="M2369" t="s">
        <v>1184</v>
      </c>
      <c r="N2369">
        <v>14980</v>
      </c>
      <c r="O2369">
        <v>0</v>
      </c>
      <c r="Q2369" t="s">
        <v>10210</v>
      </c>
      <c r="T2369">
        <v>571</v>
      </c>
      <c r="V2369" t="s">
        <v>2003</v>
      </c>
      <c r="W2369" t="s">
        <v>1257</v>
      </c>
      <c r="X2369">
        <v>426</v>
      </c>
      <c r="Z2369" t="s">
        <v>10211</v>
      </c>
      <c r="AA2369" t="s">
        <v>387</v>
      </c>
      <c r="AB2369">
        <v>0</v>
      </c>
      <c r="AC2369">
        <v>5699</v>
      </c>
      <c r="AD2369" t="s">
        <v>10212</v>
      </c>
      <c r="AE2369">
        <v>18</v>
      </c>
      <c r="AF2369" t="s">
        <v>1259</v>
      </c>
      <c r="AG2369" t="s">
        <v>1244</v>
      </c>
      <c r="AH2369" t="s">
        <v>10213</v>
      </c>
    </row>
    <row r="2370" spans="1:34" x14ac:dyDescent="0.25">
      <c r="A2370">
        <v>2100</v>
      </c>
      <c r="C2370" s="185"/>
      <c r="E2370" t="s">
        <v>386</v>
      </c>
      <c r="F2370" t="s">
        <v>10214</v>
      </c>
      <c r="G2370" t="s">
        <v>1238</v>
      </c>
      <c r="H2370" t="s">
        <v>10215</v>
      </c>
      <c r="I2370">
        <v>14429</v>
      </c>
      <c r="J2370" t="s">
        <v>10214</v>
      </c>
      <c r="K2370" t="s">
        <v>10216</v>
      </c>
      <c r="L2370" t="s">
        <v>386</v>
      </c>
      <c r="M2370" t="s">
        <v>1184</v>
      </c>
      <c r="N2370">
        <v>14429</v>
      </c>
      <c r="O2370">
        <v>0</v>
      </c>
      <c r="Q2370" t="s">
        <v>10217</v>
      </c>
      <c r="T2370">
        <v>426</v>
      </c>
      <c r="V2370" t="s">
        <v>1257</v>
      </c>
      <c r="W2370" t="s">
        <v>1257</v>
      </c>
      <c r="X2370">
        <v>426</v>
      </c>
      <c r="Z2370" t="s">
        <v>10218</v>
      </c>
      <c r="AA2370" t="s">
        <v>387</v>
      </c>
      <c r="AB2370">
        <v>0</v>
      </c>
      <c r="AC2370">
        <v>5484</v>
      </c>
      <c r="AD2370" t="s">
        <v>10219</v>
      </c>
      <c r="AE2370">
        <v>18</v>
      </c>
      <c r="AF2370" t="s">
        <v>1259</v>
      </c>
      <c r="AG2370" t="s">
        <v>1244</v>
      </c>
      <c r="AH2370" t="s">
        <v>10220</v>
      </c>
    </row>
    <row r="2371" spans="1:34" x14ac:dyDescent="0.25">
      <c r="A2371">
        <v>1635</v>
      </c>
      <c r="C2371" s="185"/>
      <c r="E2371" t="s">
        <v>386</v>
      </c>
      <c r="F2371" t="s">
        <v>10221</v>
      </c>
      <c r="G2371" t="s">
        <v>1197</v>
      </c>
      <c r="H2371" t="s">
        <v>10222</v>
      </c>
      <c r="I2371">
        <v>17051</v>
      </c>
      <c r="J2371" t="s">
        <v>10221</v>
      </c>
      <c r="K2371" t="s">
        <v>10223</v>
      </c>
      <c r="L2371" t="s">
        <v>386</v>
      </c>
      <c r="M2371" t="s">
        <v>1193</v>
      </c>
      <c r="N2371">
        <v>17051</v>
      </c>
      <c r="O2371">
        <v>0</v>
      </c>
      <c r="Q2371" t="s">
        <v>10224</v>
      </c>
      <c r="T2371">
        <v>509</v>
      </c>
      <c r="V2371" t="s">
        <v>5803</v>
      </c>
      <c r="W2371" t="s">
        <v>5803</v>
      </c>
      <c r="X2371">
        <v>509</v>
      </c>
      <c r="Z2371" t="s">
        <v>7679</v>
      </c>
      <c r="AA2371" t="s">
        <v>387</v>
      </c>
      <c r="AB2371">
        <v>0</v>
      </c>
      <c r="AC2371">
        <v>6423</v>
      </c>
      <c r="AD2371" t="s">
        <v>10225</v>
      </c>
      <c r="AE2371">
        <v>2957</v>
      </c>
      <c r="AF2371" t="s">
        <v>10226</v>
      </c>
      <c r="AG2371" t="s">
        <v>2044</v>
      </c>
      <c r="AH2371" t="s">
        <v>10227</v>
      </c>
    </row>
    <row r="2372" spans="1:34" x14ac:dyDescent="0.25">
      <c r="A2372">
        <v>66</v>
      </c>
      <c r="C2372" s="185"/>
      <c r="E2372" t="s">
        <v>386</v>
      </c>
      <c r="F2372" t="s">
        <v>10228</v>
      </c>
      <c r="G2372" t="s">
        <v>1197</v>
      </c>
      <c r="H2372" t="s">
        <v>10229</v>
      </c>
      <c r="I2372">
        <v>13175</v>
      </c>
      <c r="J2372" t="s">
        <v>10228</v>
      </c>
      <c r="K2372" t="s">
        <v>10230</v>
      </c>
      <c r="L2372" t="s">
        <v>386</v>
      </c>
      <c r="M2372" t="s">
        <v>1193</v>
      </c>
      <c r="N2372">
        <v>13175</v>
      </c>
      <c r="O2372">
        <v>0</v>
      </c>
      <c r="Q2372" t="s">
        <v>10231</v>
      </c>
      <c r="R2372" t="s">
        <v>1208</v>
      </c>
      <c r="T2372">
        <v>304</v>
      </c>
      <c r="V2372" t="s">
        <v>2067</v>
      </c>
      <c r="W2372" t="s">
        <v>2067</v>
      </c>
      <c r="X2372">
        <v>304</v>
      </c>
      <c r="Z2372" t="s">
        <v>7670</v>
      </c>
      <c r="AA2372" t="s">
        <v>387</v>
      </c>
      <c r="AB2372">
        <v>0</v>
      </c>
      <c r="AC2372">
        <v>3680</v>
      </c>
      <c r="AD2372" t="s">
        <v>10232</v>
      </c>
      <c r="AE2372">
        <v>1713</v>
      </c>
      <c r="AF2372" t="s">
        <v>10233</v>
      </c>
      <c r="AG2372" t="s">
        <v>10234</v>
      </c>
      <c r="AH2372" t="s">
        <v>10235</v>
      </c>
    </row>
    <row r="2373" spans="1:34" x14ac:dyDescent="0.25">
      <c r="A2373">
        <v>11</v>
      </c>
      <c r="B2373" t="s">
        <v>1313</v>
      </c>
      <c r="C2373" s="185"/>
      <c r="D2373" t="s">
        <v>24</v>
      </c>
      <c r="E2373" t="s">
        <v>386</v>
      </c>
      <c r="F2373" t="s">
        <v>485</v>
      </c>
      <c r="G2373" t="s">
        <v>1197</v>
      </c>
      <c r="H2373" t="s">
        <v>7914</v>
      </c>
      <c r="I2373">
        <v>16042</v>
      </c>
      <c r="J2373" t="s">
        <v>485</v>
      </c>
      <c r="K2373" t="s">
        <v>485</v>
      </c>
      <c r="L2373" t="s">
        <v>386</v>
      </c>
      <c r="M2373" t="s">
        <v>1193</v>
      </c>
      <c r="N2373">
        <v>16042</v>
      </c>
      <c r="O2373">
        <v>35</v>
      </c>
      <c r="Q2373" t="s">
        <v>10236</v>
      </c>
      <c r="R2373" t="s">
        <v>398</v>
      </c>
      <c r="S2373" t="s">
        <v>10237</v>
      </c>
      <c r="T2373">
        <v>396</v>
      </c>
      <c r="U2373">
        <v>0</v>
      </c>
      <c r="V2373" t="s">
        <v>2186</v>
      </c>
      <c r="W2373" t="s">
        <v>1194</v>
      </c>
      <c r="X2373">
        <v>220</v>
      </c>
      <c r="Y2373" t="s">
        <v>1317</v>
      </c>
      <c r="Z2373" t="s">
        <v>871</v>
      </c>
      <c r="AA2373" t="s">
        <v>387</v>
      </c>
      <c r="AB2373">
        <v>27000</v>
      </c>
      <c r="AC2373">
        <v>22</v>
      </c>
      <c r="AD2373" t="s">
        <v>7976</v>
      </c>
      <c r="AE2373">
        <v>18</v>
      </c>
      <c r="AF2373" t="s">
        <v>1259</v>
      </c>
      <c r="AG2373" t="s">
        <v>1244</v>
      </c>
      <c r="AH2373" t="s">
        <v>10238</v>
      </c>
    </row>
    <row r="2374" spans="1:34" x14ac:dyDescent="0.25">
      <c r="A2374">
        <v>25</v>
      </c>
      <c r="C2374" s="185"/>
      <c r="E2374" t="s">
        <v>386</v>
      </c>
      <c r="F2374" t="s">
        <v>10239</v>
      </c>
      <c r="H2374" t="s">
        <v>10240</v>
      </c>
      <c r="I2374">
        <v>8606</v>
      </c>
      <c r="J2374" t="s">
        <v>10239</v>
      </c>
      <c r="K2374" t="s">
        <v>10239</v>
      </c>
      <c r="L2374" t="s">
        <v>386</v>
      </c>
      <c r="M2374" t="s">
        <v>1193</v>
      </c>
      <c r="N2374">
        <v>8606</v>
      </c>
      <c r="O2374">
        <v>0</v>
      </c>
      <c r="Q2374" t="s">
        <v>10241</v>
      </c>
      <c r="R2374" t="s">
        <v>1223</v>
      </c>
      <c r="T2374">
        <v>210</v>
      </c>
      <c r="V2374" t="s">
        <v>6031</v>
      </c>
      <c r="Z2374" t="s">
        <v>857</v>
      </c>
      <c r="AA2374" t="s">
        <v>387</v>
      </c>
      <c r="AB2374">
        <v>0</v>
      </c>
      <c r="AC2374">
        <v>3446</v>
      </c>
      <c r="AD2374" t="s">
        <v>10242</v>
      </c>
      <c r="AE2374">
        <v>271</v>
      </c>
      <c r="AF2374" t="s">
        <v>10243</v>
      </c>
      <c r="AG2374" t="s">
        <v>10244</v>
      </c>
      <c r="AH2374" t="s">
        <v>10245</v>
      </c>
    </row>
    <row r="2375" spans="1:34" x14ac:dyDescent="0.25">
      <c r="A2375">
        <v>75</v>
      </c>
      <c r="B2375" t="s">
        <v>1313</v>
      </c>
      <c r="C2375" s="185"/>
      <c r="D2375" t="s">
        <v>24</v>
      </c>
      <c r="E2375" t="s">
        <v>386</v>
      </c>
      <c r="F2375" t="s">
        <v>362</v>
      </c>
      <c r="G2375" t="s">
        <v>1197</v>
      </c>
      <c r="H2375" t="s">
        <v>10246</v>
      </c>
      <c r="I2375">
        <v>490</v>
      </c>
      <c r="J2375" t="s">
        <v>10247</v>
      </c>
      <c r="K2375" t="s">
        <v>10248</v>
      </c>
      <c r="L2375" t="s">
        <v>386</v>
      </c>
      <c r="M2375" t="s">
        <v>1193</v>
      </c>
      <c r="N2375">
        <v>15321</v>
      </c>
      <c r="O2375">
        <v>0</v>
      </c>
      <c r="Q2375" t="s">
        <v>10249</v>
      </c>
      <c r="R2375" t="s">
        <v>398</v>
      </c>
      <c r="S2375" t="s">
        <v>1315</v>
      </c>
      <c r="T2375">
        <v>272</v>
      </c>
      <c r="U2375">
        <v>0</v>
      </c>
      <c r="V2375" t="s">
        <v>2107</v>
      </c>
      <c r="W2375" t="s">
        <v>1194</v>
      </c>
      <c r="X2375">
        <v>220</v>
      </c>
      <c r="Y2375" t="s">
        <v>1317</v>
      </c>
      <c r="Z2375" t="s">
        <v>1002</v>
      </c>
      <c r="AA2375" t="s">
        <v>387</v>
      </c>
      <c r="AB2375">
        <v>0</v>
      </c>
      <c r="AC2375">
        <v>208</v>
      </c>
      <c r="AD2375" t="s">
        <v>10250</v>
      </c>
      <c r="AE2375">
        <v>215</v>
      </c>
      <c r="AF2375" t="s">
        <v>10251</v>
      </c>
      <c r="AG2375" t="s">
        <v>10252</v>
      </c>
      <c r="AH2375" t="s">
        <v>10253</v>
      </c>
    </row>
    <row r="2376" spans="1:34" x14ac:dyDescent="0.25">
      <c r="A2376">
        <v>183</v>
      </c>
      <c r="B2376" t="s">
        <v>1313</v>
      </c>
      <c r="C2376" s="185"/>
      <c r="D2376" t="s">
        <v>24</v>
      </c>
      <c r="E2376" t="s">
        <v>386</v>
      </c>
      <c r="F2376" t="s">
        <v>10254</v>
      </c>
      <c r="G2376" t="s">
        <v>1197</v>
      </c>
      <c r="H2376" t="s">
        <v>10255</v>
      </c>
      <c r="I2376">
        <v>10237</v>
      </c>
      <c r="J2376" t="s">
        <v>10254</v>
      </c>
      <c r="K2376" t="s">
        <v>10256</v>
      </c>
      <c r="L2376" t="s">
        <v>386</v>
      </c>
      <c r="M2376" t="s">
        <v>1193</v>
      </c>
      <c r="N2376">
        <v>10237</v>
      </c>
      <c r="O2376">
        <v>55</v>
      </c>
      <c r="Q2376" t="s">
        <v>10257</v>
      </c>
      <c r="R2376" t="s">
        <v>398</v>
      </c>
      <c r="S2376" t="s">
        <v>1909</v>
      </c>
      <c r="T2376">
        <v>220</v>
      </c>
      <c r="U2376">
        <v>0</v>
      </c>
      <c r="V2376" t="s">
        <v>1194</v>
      </c>
      <c r="W2376" t="s">
        <v>1194</v>
      </c>
      <c r="X2376">
        <v>220</v>
      </c>
      <c r="Y2376" t="s">
        <v>1317</v>
      </c>
      <c r="Z2376" t="s">
        <v>10258</v>
      </c>
      <c r="AA2376" t="s">
        <v>387</v>
      </c>
      <c r="AB2376">
        <v>47000</v>
      </c>
      <c r="AC2376">
        <v>3982</v>
      </c>
      <c r="AD2376" t="s">
        <v>10259</v>
      </c>
      <c r="AE2376">
        <v>292</v>
      </c>
      <c r="AF2376" t="s">
        <v>10260</v>
      </c>
      <c r="AG2376" t="s">
        <v>2044</v>
      </c>
      <c r="AH2376" t="s">
        <v>10261</v>
      </c>
    </row>
    <row r="2377" spans="1:34" x14ac:dyDescent="0.25">
      <c r="A2377">
        <v>95</v>
      </c>
      <c r="C2377" s="185"/>
      <c r="E2377" t="s">
        <v>386</v>
      </c>
      <c r="F2377" t="s">
        <v>10262</v>
      </c>
      <c r="G2377" t="s">
        <v>1197</v>
      </c>
      <c r="H2377" t="s">
        <v>10263</v>
      </c>
      <c r="I2377">
        <v>16846</v>
      </c>
      <c r="J2377" t="s">
        <v>10262</v>
      </c>
      <c r="K2377" t="s">
        <v>10264</v>
      </c>
      <c r="L2377" t="s">
        <v>386</v>
      </c>
      <c r="M2377" t="s">
        <v>1193</v>
      </c>
      <c r="N2377">
        <v>16846</v>
      </c>
      <c r="O2377">
        <v>0</v>
      </c>
      <c r="Q2377" t="s">
        <v>10265</v>
      </c>
      <c r="T2377">
        <v>571</v>
      </c>
      <c r="V2377" t="s">
        <v>2003</v>
      </c>
      <c r="W2377" t="s">
        <v>2246</v>
      </c>
      <c r="X2377">
        <v>496</v>
      </c>
      <c r="Z2377" t="s">
        <v>952</v>
      </c>
      <c r="AA2377" t="s">
        <v>387</v>
      </c>
      <c r="AB2377">
        <v>0</v>
      </c>
      <c r="AC2377">
        <v>4888</v>
      </c>
      <c r="AD2377" t="s">
        <v>5527</v>
      </c>
      <c r="AE2377">
        <v>7</v>
      </c>
      <c r="AF2377" t="s">
        <v>5878</v>
      </c>
      <c r="AG2377" t="s">
        <v>2044</v>
      </c>
      <c r="AH2377" t="s">
        <v>10266</v>
      </c>
    </row>
    <row r="2378" spans="1:34" x14ac:dyDescent="0.25">
      <c r="A2378">
        <v>1833</v>
      </c>
      <c r="C2378" s="185"/>
      <c r="E2378" t="s">
        <v>386</v>
      </c>
      <c r="F2378" t="s">
        <v>7488</v>
      </c>
      <c r="G2378" t="s">
        <v>4184</v>
      </c>
      <c r="H2378" t="s">
        <v>7106</v>
      </c>
      <c r="I2378">
        <v>8529</v>
      </c>
      <c r="J2378" t="s">
        <v>10267</v>
      </c>
      <c r="K2378" t="s">
        <v>7489</v>
      </c>
      <c r="L2378" t="s">
        <v>386</v>
      </c>
      <c r="M2378" t="s">
        <v>1193</v>
      </c>
      <c r="N2378">
        <v>8528</v>
      </c>
      <c r="O2378">
        <v>0</v>
      </c>
      <c r="Q2378" t="s">
        <v>10268</v>
      </c>
      <c r="R2378" t="s">
        <v>398</v>
      </c>
      <c r="T2378">
        <v>23</v>
      </c>
      <c r="V2378" t="s">
        <v>1981</v>
      </c>
      <c r="Z2378" t="s">
        <v>7108</v>
      </c>
      <c r="AA2378" t="s">
        <v>387</v>
      </c>
      <c r="AB2378">
        <v>0</v>
      </c>
      <c r="AC2378">
        <v>90</v>
      </c>
      <c r="AD2378" t="s">
        <v>10269</v>
      </c>
      <c r="AE2378">
        <v>1</v>
      </c>
      <c r="AF2378" t="s">
        <v>1922</v>
      </c>
      <c r="AG2378" t="s">
        <v>2385</v>
      </c>
    </row>
    <row r="2379" spans="1:34" x14ac:dyDescent="0.25">
      <c r="A2379">
        <v>110</v>
      </c>
      <c r="B2379" t="s">
        <v>1313</v>
      </c>
      <c r="C2379" s="185"/>
      <c r="D2379" t="s">
        <v>24</v>
      </c>
      <c r="E2379" t="s">
        <v>386</v>
      </c>
      <c r="F2379" t="s">
        <v>399</v>
      </c>
      <c r="G2379" t="s">
        <v>1197</v>
      </c>
      <c r="H2379" t="s">
        <v>10270</v>
      </c>
      <c r="I2379">
        <v>14632</v>
      </c>
      <c r="J2379" t="s">
        <v>399</v>
      </c>
      <c r="K2379" t="s">
        <v>10271</v>
      </c>
      <c r="L2379" t="s">
        <v>386</v>
      </c>
      <c r="M2379" t="s">
        <v>1193</v>
      </c>
      <c r="N2379">
        <v>14632</v>
      </c>
      <c r="O2379">
        <v>65</v>
      </c>
      <c r="Q2379" t="s">
        <v>10272</v>
      </c>
      <c r="R2379" t="s">
        <v>398</v>
      </c>
      <c r="S2379" t="s">
        <v>1909</v>
      </c>
      <c r="T2379">
        <v>260</v>
      </c>
      <c r="U2379">
        <v>0</v>
      </c>
      <c r="V2379" t="s">
        <v>1216</v>
      </c>
      <c r="W2379" t="s">
        <v>1199</v>
      </c>
      <c r="X2379">
        <v>200</v>
      </c>
      <c r="Y2379" t="s">
        <v>1317</v>
      </c>
      <c r="Z2379" t="s">
        <v>876</v>
      </c>
      <c r="AA2379" t="s">
        <v>387</v>
      </c>
      <c r="AB2379">
        <v>57000</v>
      </c>
      <c r="AC2379">
        <v>5559</v>
      </c>
      <c r="AD2379" t="s">
        <v>10273</v>
      </c>
      <c r="AE2379">
        <v>3</v>
      </c>
      <c r="AF2379" t="s">
        <v>1235</v>
      </c>
      <c r="AG2379" t="s">
        <v>10274</v>
      </c>
      <c r="AH2379" t="s">
        <v>10275</v>
      </c>
    </row>
    <row r="2380" spans="1:34" x14ac:dyDescent="0.25">
      <c r="A2380">
        <v>749</v>
      </c>
      <c r="C2380" s="185"/>
      <c r="E2380" t="s">
        <v>386</v>
      </c>
      <c r="F2380" t="s">
        <v>10276</v>
      </c>
      <c r="G2380" t="s">
        <v>1197</v>
      </c>
      <c r="H2380" t="s">
        <v>10277</v>
      </c>
      <c r="I2380">
        <v>16638</v>
      </c>
      <c r="J2380" t="s">
        <v>10276</v>
      </c>
      <c r="K2380" t="s">
        <v>10276</v>
      </c>
      <c r="L2380" t="s">
        <v>386</v>
      </c>
      <c r="M2380" t="s">
        <v>1193</v>
      </c>
      <c r="N2380">
        <v>16638</v>
      </c>
      <c r="O2380">
        <v>0</v>
      </c>
      <c r="Q2380" t="s">
        <v>10278</v>
      </c>
      <c r="T2380">
        <v>52</v>
      </c>
      <c r="V2380" t="s">
        <v>2024</v>
      </c>
      <c r="W2380" t="s">
        <v>2246</v>
      </c>
      <c r="X2380">
        <v>496</v>
      </c>
      <c r="Z2380" t="s">
        <v>3669</v>
      </c>
      <c r="AA2380" t="s">
        <v>387</v>
      </c>
      <c r="AB2380">
        <v>0</v>
      </c>
      <c r="AC2380">
        <v>6215</v>
      </c>
      <c r="AD2380" t="s">
        <v>10279</v>
      </c>
      <c r="AE2380">
        <v>18</v>
      </c>
      <c r="AF2380" t="s">
        <v>1259</v>
      </c>
      <c r="AG2380" t="s">
        <v>1931</v>
      </c>
      <c r="AH2380" t="s">
        <v>10280</v>
      </c>
    </row>
    <row r="2381" spans="1:34" x14ac:dyDescent="0.25">
      <c r="A2381">
        <v>749</v>
      </c>
      <c r="C2381" s="185"/>
      <c r="E2381" t="s">
        <v>386</v>
      </c>
      <c r="F2381" t="s">
        <v>10281</v>
      </c>
      <c r="G2381" t="s">
        <v>1197</v>
      </c>
      <c r="H2381" t="s">
        <v>10277</v>
      </c>
      <c r="I2381">
        <v>14958</v>
      </c>
      <c r="J2381" t="s">
        <v>10281</v>
      </c>
      <c r="K2381" t="s">
        <v>10282</v>
      </c>
      <c r="L2381" t="s">
        <v>386</v>
      </c>
      <c r="M2381" t="s">
        <v>1193</v>
      </c>
      <c r="N2381">
        <v>14958</v>
      </c>
      <c r="O2381">
        <v>0</v>
      </c>
      <c r="Q2381" t="s">
        <v>10283</v>
      </c>
      <c r="T2381">
        <v>426</v>
      </c>
      <c r="V2381" t="s">
        <v>1257</v>
      </c>
      <c r="W2381" t="s">
        <v>1257</v>
      </c>
      <c r="X2381">
        <v>426</v>
      </c>
      <c r="Z2381" t="s">
        <v>3669</v>
      </c>
      <c r="AA2381" t="s">
        <v>387</v>
      </c>
      <c r="AB2381">
        <v>0</v>
      </c>
      <c r="AC2381">
        <v>5690</v>
      </c>
      <c r="AD2381" t="s">
        <v>10284</v>
      </c>
      <c r="AE2381">
        <v>18</v>
      </c>
      <c r="AF2381" t="s">
        <v>1259</v>
      </c>
      <c r="AG2381" t="s">
        <v>1244</v>
      </c>
      <c r="AH2381" t="s">
        <v>10285</v>
      </c>
    </row>
    <row r="2382" spans="1:34" x14ac:dyDescent="0.25">
      <c r="A2382">
        <v>749</v>
      </c>
      <c r="B2382" t="s">
        <v>1313</v>
      </c>
      <c r="C2382" s="185"/>
      <c r="D2382" t="s">
        <v>24</v>
      </c>
      <c r="E2382" t="s">
        <v>386</v>
      </c>
      <c r="F2382" t="s">
        <v>10286</v>
      </c>
      <c r="G2382" t="s">
        <v>1197</v>
      </c>
      <c r="H2382" t="s">
        <v>10287</v>
      </c>
      <c r="I2382">
        <v>1910</v>
      </c>
      <c r="J2382" t="s">
        <v>10286</v>
      </c>
      <c r="K2382" t="s">
        <v>10286</v>
      </c>
      <c r="L2382" t="s">
        <v>386</v>
      </c>
      <c r="M2382" t="s">
        <v>1193</v>
      </c>
      <c r="N2382">
        <v>1910</v>
      </c>
      <c r="O2382">
        <v>76</v>
      </c>
      <c r="Q2382" t="s">
        <v>10288</v>
      </c>
      <c r="R2382" t="s">
        <v>398</v>
      </c>
      <c r="S2382" t="s">
        <v>6563</v>
      </c>
      <c r="T2382">
        <v>220</v>
      </c>
      <c r="U2382">
        <v>0</v>
      </c>
      <c r="V2382" t="s">
        <v>1194</v>
      </c>
      <c r="W2382" t="s">
        <v>1194</v>
      </c>
      <c r="X2382">
        <v>220</v>
      </c>
      <c r="Y2382" t="s">
        <v>1317</v>
      </c>
      <c r="Z2382" t="s">
        <v>3669</v>
      </c>
      <c r="AA2382" t="s">
        <v>387</v>
      </c>
      <c r="AB2382">
        <v>0</v>
      </c>
      <c r="AC2382">
        <v>1414</v>
      </c>
      <c r="AD2382" t="s">
        <v>10289</v>
      </c>
      <c r="AE2382">
        <v>3</v>
      </c>
      <c r="AF2382" t="s">
        <v>1235</v>
      </c>
      <c r="AG2382" t="s">
        <v>10290</v>
      </c>
      <c r="AH2382" t="s">
        <v>10291</v>
      </c>
    </row>
    <row r="2383" spans="1:34" x14ac:dyDescent="0.25">
      <c r="A2383">
        <v>28</v>
      </c>
      <c r="C2383" s="185"/>
      <c r="E2383" t="s">
        <v>386</v>
      </c>
      <c r="F2383" t="s">
        <v>10292</v>
      </c>
      <c r="G2383" t="s">
        <v>1197</v>
      </c>
      <c r="H2383" t="s">
        <v>10293</v>
      </c>
      <c r="I2383">
        <v>16291</v>
      </c>
      <c r="J2383" t="s">
        <v>10292</v>
      </c>
      <c r="K2383" t="s">
        <v>10292</v>
      </c>
      <c r="L2383" t="s">
        <v>386</v>
      </c>
      <c r="M2383" t="s">
        <v>1193</v>
      </c>
      <c r="N2383">
        <v>16291</v>
      </c>
      <c r="O2383">
        <v>0</v>
      </c>
      <c r="Q2383" t="s">
        <v>10294</v>
      </c>
      <c r="T2383">
        <v>502</v>
      </c>
      <c r="V2383" t="s">
        <v>4156</v>
      </c>
      <c r="W2383" t="s">
        <v>4156</v>
      </c>
      <c r="X2383">
        <v>502</v>
      </c>
      <c r="Z2383" t="s">
        <v>3549</v>
      </c>
      <c r="AA2383" t="s">
        <v>387</v>
      </c>
      <c r="AB2383">
        <v>0</v>
      </c>
      <c r="AC2383">
        <v>6112</v>
      </c>
      <c r="AD2383" t="s">
        <v>10295</v>
      </c>
      <c r="AE2383">
        <v>2800</v>
      </c>
      <c r="AF2383" t="s">
        <v>10296</v>
      </c>
      <c r="AG2383" t="s">
        <v>10297</v>
      </c>
      <c r="AH2383" t="s">
        <v>10298</v>
      </c>
    </row>
    <row r="2384" spans="1:34" x14ac:dyDescent="0.25">
      <c r="A2384">
        <v>28</v>
      </c>
      <c r="C2384" s="185"/>
      <c r="E2384" t="s">
        <v>386</v>
      </c>
      <c r="F2384" t="s">
        <v>10299</v>
      </c>
      <c r="G2384" t="s">
        <v>1197</v>
      </c>
      <c r="H2384" t="s">
        <v>10300</v>
      </c>
      <c r="I2384">
        <v>13409</v>
      </c>
      <c r="J2384" t="s">
        <v>10299</v>
      </c>
      <c r="K2384" t="s">
        <v>10299</v>
      </c>
      <c r="L2384" t="s">
        <v>386</v>
      </c>
      <c r="M2384" t="s">
        <v>1193</v>
      </c>
      <c r="N2384">
        <v>13409</v>
      </c>
      <c r="O2384">
        <v>0</v>
      </c>
      <c r="Q2384" t="s">
        <v>10301</v>
      </c>
      <c r="T2384">
        <v>386</v>
      </c>
      <c r="V2384" t="s">
        <v>2986</v>
      </c>
      <c r="W2384" t="s">
        <v>2986</v>
      </c>
      <c r="X2384">
        <v>386</v>
      </c>
      <c r="Z2384" t="s">
        <v>3549</v>
      </c>
      <c r="AA2384" t="s">
        <v>387</v>
      </c>
      <c r="AB2384">
        <v>0</v>
      </c>
      <c r="AC2384">
        <v>5025</v>
      </c>
      <c r="AD2384" t="s">
        <v>4822</v>
      </c>
      <c r="AE2384">
        <v>2325</v>
      </c>
      <c r="AF2384" t="s">
        <v>10302</v>
      </c>
      <c r="AG2384" t="s">
        <v>7366</v>
      </c>
      <c r="AH2384" t="s">
        <v>10303</v>
      </c>
    </row>
    <row r="2385" spans="1:34" x14ac:dyDescent="0.25">
      <c r="A2385">
        <v>28</v>
      </c>
      <c r="C2385" s="185"/>
      <c r="E2385" t="s">
        <v>386</v>
      </c>
      <c r="F2385" t="s">
        <v>10304</v>
      </c>
      <c r="G2385" t="s">
        <v>1197</v>
      </c>
      <c r="H2385" t="s">
        <v>10305</v>
      </c>
      <c r="I2385">
        <v>5406</v>
      </c>
      <c r="J2385" t="s">
        <v>10304</v>
      </c>
      <c r="K2385" t="s">
        <v>10304</v>
      </c>
      <c r="L2385" t="s">
        <v>386</v>
      </c>
      <c r="M2385" t="s">
        <v>1193</v>
      </c>
      <c r="N2385">
        <v>5406</v>
      </c>
      <c r="O2385">
        <v>0</v>
      </c>
      <c r="Q2385" t="s">
        <v>10306</v>
      </c>
      <c r="T2385">
        <v>35</v>
      </c>
      <c r="V2385" t="s">
        <v>2015</v>
      </c>
      <c r="Z2385" t="s">
        <v>3549</v>
      </c>
      <c r="AA2385" t="s">
        <v>387</v>
      </c>
      <c r="AB2385">
        <v>0</v>
      </c>
      <c r="AC2385">
        <v>2586</v>
      </c>
      <c r="AD2385" t="s">
        <v>10307</v>
      </c>
      <c r="AE2385">
        <v>775</v>
      </c>
      <c r="AF2385" t="s">
        <v>3495</v>
      </c>
      <c r="AG2385" t="s">
        <v>10308</v>
      </c>
      <c r="AH2385" t="s">
        <v>10309</v>
      </c>
    </row>
    <row r="2386" spans="1:34" x14ac:dyDescent="0.25">
      <c r="A2386">
        <v>28</v>
      </c>
      <c r="C2386" s="185"/>
      <c r="D2386" t="s">
        <v>707</v>
      </c>
      <c r="E2386" t="s">
        <v>386</v>
      </c>
      <c r="F2386" t="s">
        <v>10310</v>
      </c>
      <c r="G2386" t="s">
        <v>1197</v>
      </c>
      <c r="H2386" t="s">
        <v>10311</v>
      </c>
      <c r="I2386">
        <v>2182</v>
      </c>
      <c r="J2386" t="s">
        <v>10310</v>
      </c>
      <c r="K2386" t="s">
        <v>10310</v>
      </c>
      <c r="L2386" t="s">
        <v>386</v>
      </c>
      <c r="M2386" t="s">
        <v>1193</v>
      </c>
      <c r="N2386">
        <v>2182</v>
      </c>
      <c r="O2386">
        <v>0</v>
      </c>
      <c r="Q2386" t="s">
        <v>10312</v>
      </c>
      <c r="R2386" t="s">
        <v>1208</v>
      </c>
      <c r="T2386">
        <v>556</v>
      </c>
      <c r="V2386" t="s">
        <v>4502</v>
      </c>
      <c r="W2386" t="s">
        <v>1530</v>
      </c>
      <c r="X2386">
        <v>103</v>
      </c>
      <c r="Z2386" t="s">
        <v>3549</v>
      </c>
      <c r="AA2386" t="s">
        <v>387</v>
      </c>
      <c r="AB2386">
        <v>0</v>
      </c>
      <c r="AC2386">
        <v>1604</v>
      </c>
      <c r="AD2386" t="s">
        <v>10313</v>
      </c>
      <c r="AE2386">
        <v>499</v>
      </c>
      <c r="AF2386" t="s">
        <v>10314</v>
      </c>
      <c r="AG2386" t="s">
        <v>10315</v>
      </c>
      <c r="AH2386" t="s">
        <v>10316</v>
      </c>
    </row>
    <row r="2387" spans="1:34" x14ac:dyDescent="0.25">
      <c r="A2387">
        <v>28</v>
      </c>
      <c r="C2387" s="185"/>
      <c r="D2387" t="s">
        <v>157</v>
      </c>
      <c r="E2387" t="s">
        <v>386</v>
      </c>
      <c r="F2387" t="s">
        <v>10317</v>
      </c>
      <c r="G2387" t="s">
        <v>1197</v>
      </c>
      <c r="H2387" t="s">
        <v>10318</v>
      </c>
      <c r="I2387">
        <v>6021</v>
      </c>
      <c r="J2387" t="s">
        <v>10317</v>
      </c>
      <c r="K2387" t="s">
        <v>10317</v>
      </c>
      <c r="L2387" t="s">
        <v>386</v>
      </c>
      <c r="M2387" t="s">
        <v>1193</v>
      </c>
      <c r="N2387">
        <v>6021</v>
      </c>
      <c r="O2387">
        <v>0</v>
      </c>
      <c r="Q2387" t="s">
        <v>10319</v>
      </c>
      <c r="T2387">
        <v>39</v>
      </c>
      <c r="V2387" t="s">
        <v>2144</v>
      </c>
      <c r="Z2387" t="s">
        <v>3549</v>
      </c>
      <c r="AA2387" t="s">
        <v>387</v>
      </c>
      <c r="AB2387">
        <v>0</v>
      </c>
      <c r="AC2387">
        <v>2796</v>
      </c>
      <c r="AD2387" t="s">
        <v>10320</v>
      </c>
      <c r="AE2387">
        <v>70</v>
      </c>
      <c r="AF2387" t="s">
        <v>10321</v>
      </c>
      <c r="AG2387" t="s">
        <v>10322</v>
      </c>
      <c r="AH2387" t="s">
        <v>10323</v>
      </c>
    </row>
    <row r="2388" spans="1:34" x14ac:dyDescent="0.25">
      <c r="A2388">
        <v>28</v>
      </c>
      <c r="C2388" s="185"/>
      <c r="E2388" t="s">
        <v>386</v>
      </c>
      <c r="F2388" t="s">
        <v>10324</v>
      </c>
      <c r="G2388" t="s">
        <v>1197</v>
      </c>
      <c r="H2388" t="s">
        <v>10325</v>
      </c>
      <c r="I2388">
        <v>5084</v>
      </c>
      <c r="J2388" t="s">
        <v>10324</v>
      </c>
      <c r="K2388" t="s">
        <v>10326</v>
      </c>
      <c r="L2388" t="s">
        <v>386</v>
      </c>
      <c r="M2388" t="s">
        <v>1193</v>
      </c>
      <c r="N2388">
        <v>5084</v>
      </c>
      <c r="O2388">
        <v>0</v>
      </c>
      <c r="Q2388" t="s">
        <v>10327</v>
      </c>
      <c r="T2388">
        <v>103</v>
      </c>
      <c r="V2388" t="s">
        <v>1530</v>
      </c>
      <c r="Z2388" t="s">
        <v>3549</v>
      </c>
      <c r="AA2388" t="s">
        <v>387</v>
      </c>
      <c r="AB2388">
        <v>0</v>
      </c>
      <c r="AC2388">
        <v>2468</v>
      </c>
      <c r="AD2388" t="s">
        <v>4876</v>
      </c>
      <c r="AE2388">
        <v>463</v>
      </c>
      <c r="AF2388" t="s">
        <v>10328</v>
      </c>
      <c r="AG2388" t="s">
        <v>10329</v>
      </c>
      <c r="AH2388" t="s">
        <v>10330</v>
      </c>
    </row>
    <row r="2389" spans="1:34" x14ac:dyDescent="0.25">
      <c r="A2389">
        <v>1479</v>
      </c>
      <c r="C2389" s="185"/>
      <c r="E2389" t="s">
        <v>386</v>
      </c>
      <c r="F2389" t="s">
        <v>10331</v>
      </c>
      <c r="G2389" t="s">
        <v>1197</v>
      </c>
      <c r="H2389" t="s">
        <v>10332</v>
      </c>
      <c r="I2389">
        <v>5716</v>
      </c>
      <c r="J2389" t="s">
        <v>10331</v>
      </c>
      <c r="K2389" t="s">
        <v>10333</v>
      </c>
      <c r="L2389" t="s">
        <v>386</v>
      </c>
      <c r="M2389" t="s">
        <v>1193</v>
      </c>
      <c r="N2389">
        <v>5716</v>
      </c>
      <c r="O2389">
        <v>0</v>
      </c>
      <c r="Q2389" t="s">
        <v>10334</v>
      </c>
      <c r="T2389">
        <v>340</v>
      </c>
      <c r="V2389" t="s">
        <v>1200</v>
      </c>
      <c r="W2389" t="s">
        <v>2144</v>
      </c>
      <c r="X2389">
        <v>39</v>
      </c>
      <c r="Z2389" t="s">
        <v>2665</v>
      </c>
      <c r="AA2389" t="s">
        <v>387</v>
      </c>
      <c r="AB2389">
        <v>0</v>
      </c>
      <c r="AC2389">
        <v>6328</v>
      </c>
      <c r="AD2389" t="s">
        <v>10335</v>
      </c>
      <c r="AE2389">
        <v>60</v>
      </c>
      <c r="AF2389" t="s">
        <v>9768</v>
      </c>
      <c r="AG2389" t="s">
        <v>3132</v>
      </c>
      <c r="AH2389" t="s">
        <v>10336</v>
      </c>
    </row>
    <row r="2390" spans="1:34" x14ac:dyDescent="0.25">
      <c r="A2390">
        <v>28</v>
      </c>
      <c r="C2390" s="185"/>
      <c r="E2390" t="s">
        <v>386</v>
      </c>
      <c r="F2390" t="s">
        <v>10337</v>
      </c>
      <c r="G2390" t="s">
        <v>1197</v>
      </c>
      <c r="H2390" t="s">
        <v>10338</v>
      </c>
      <c r="I2390">
        <v>4697</v>
      </c>
      <c r="J2390" t="s">
        <v>10337</v>
      </c>
      <c r="K2390" t="s">
        <v>10337</v>
      </c>
      <c r="L2390" t="s">
        <v>386</v>
      </c>
      <c r="M2390" t="s">
        <v>1193</v>
      </c>
      <c r="N2390">
        <v>4697</v>
      </c>
      <c r="O2390">
        <v>0</v>
      </c>
      <c r="Q2390" t="s">
        <v>10339</v>
      </c>
      <c r="T2390">
        <v>260</v>
      </c>
      <c r="V2390" t="s">
        <v>1216</v>
      </c>
      <c r="Z2390" t="s">
        <v>3549</v>
      </c>
      <c r="AA2390" t="s">
        <v>387</v>
      </c>
      <c r="AB2390">
        <v>0</v>
      </c>
      <c r="AC2390">
        <v>2394</v>
      </c>
      <c r="AD2390" t="s">
        <v>10340</v>
      </c>
      <c r="AE2390">
        <v>1152</v>
      </c>
      <c r="AF2390" t="s">
        <v>10341</v>
      </c>
      <c r="AG2390" t="s">
        <v>10342</v>
      </c>
    </row>
    <row r="2391" spans="1:34" x14ac:dyDescent="0.25">
      <c r="A2391">
        <v>28</v>
      </c>
      <c r="C2391" s="185"/>
      <c r="E2391" t="s">
        <v>386</v>
      </c>
      <c r="F2391" t="s">
        <v>10343</v>
      </c>
      <c r="G2391" t="s">
        <v>1197</v>
      </c>
      <c r="H2391" t="s">
        <v>10344</v>
      </c>
      <c r="I2391">
        <v>2102</v>
      </c>
      <c r="J2391" t="s">
        <v>10343</v>
      </c>
      <c r="K2391" t="s">
        <v>10343</v>
      </c>
      <c r="L2391" t="s">
        <v>386</v>
      </c>
      <c r="M2391" t="s">
        <v>1193</v>
      </c>
      <c r="N2391">
        <v>2102</v>
      </c>
      <c r="O2391">
        <v>0</v>
      </c>
      <c r="Q2391" t="s">
        <v>10345</v>
      </c>
      <c r="R2391" t="s">
        <v>1208</v>
      </c>
      <c r="T2391">
        <v>259</v>
      </c>
      <c r="V2391" t="s">
        <v>1215</v>
      </c>
      <c r="W2391" t="s">
        <v>1215</v>
      </c>
      <c r="X2391">
        <v>259</v>
      </c>
      <c r="Z2391" t="s">
        <v>3549</v>
      </c>
      <c r="AA2391" t="s">
        <v>387</v>
      </c>
      <c r="AB2391">
        <v>0</v>
      </c>
      <c r="AC2391">
        <v>1560</v>
      </c>
      <c r="AD2391" t="s">
        <v>10346</v>
      </c>
      <c r="AE2391">
        <v>499</v>
      </c>
      <c r="AF2391" t="s">
        <v>10314</v>
      </c>
      <c r="AG2391" t="s">
        <v>10347</v>
      </c>
    </row>
    <row r="2392" spans="1:34" x14ac:dyDescent="0.25">
      <c r="A2392">
        <v>1</v>
      </c>
      <c r="C2392" s="185"/>
      <c r="E2392" t="s">
        <v>386</v>
      </c>
      <c r="F2392" t="s">
        <v>10348</v>
      </c>
      <c r="G2392" t="s">
        <v>1192</v>
      </c>
      <c r="I2392">
        <v>3053</v>
      </c>
      <c r="J2392" t="s">
        <v>10348</v>
      </c>
      <c r="K2392" t="s">
        <v>10348</v>
      </c>
      <c r="L2392" t="s">
        <v>386</v>
      </c>
      <c r="M2392" t="s">
        <v>1184</v>
      </c>
      <c r="N2392">
        <v>3053</v>
      </c>
      <c r="O2392">
        <v>0</v>
      </c>
      <c r="Q2392" t="s">
        <v>10349</v>
      </c>
      <c r="R2392" t="s">
        <v>1208</v>
      </c>
      <c r="T2392">
        <v>35</v>
      </c>
      <c r="V2392" t="s">
        <v>2015</v>
      </c>
      <c r="Z2392" t="s">
        <v>865</v>
      </c>
      <c r="AA2392" t="s">
        <v>387</v>
      </c>
      <c r="AB2392">
        <v>0</v>
      </c>
      <c r="AC2392">
        <v>452</v>
      </c>
      <c r="AD2392" t="s">
        <v>10350</v>
      </c>
      <c r="AE2392">
        <v>186</v>
      </c>
      <c r="AF2392" t="s">
        <v>3636</v>
      </c>
      <c r="AG2392" t="s">
        <v>10351</v>
      </c>
      <c r="AH2392" t="s">
        <v>10352</v>
      </c>
    </row>
    <row r="2393" spans="1:34" x14ac:dyDescent="0.25">
      <c r="A2393">
        <v>28</v>
      </c>
      <c r="C2393" s="185"/>
      <c r="E2393" t="s">
        <v>386</v>
      </c>
      <c r="F2393" t="s">
        <v>10353</v>
      </c>
      <c r="G2393" t="s">
        <v>1197</v>
      </c>
      <c r="H2393" t="s">
        <v>10354</v>
      </c>
      <c r="I2393">
        <v>13405</v>
      </c>
      <c r="J2393" t="s">
        <v>10353</v>
      </c>
      <c r="K2393" t="s">
        <v>10353</v>
      </c>
      <c r="L2393" t="s">
        <v>386</v>
      </c>
      <c r="M2393" t="s">
        <v>1193</v>
      </c>
      <c r="N2393">
        <v>13405</v>
      </c>
      <c r="O2393">
        <v>0</v>
      </c>
      <c r="Q2393" t="s">
        <v>10355</v>
      </c>
      <c r="R2393" t="s">
        <v>1208</v>
      </c>
      <c r="T2393">
        <v>304</v>
      </c>
      <c r="V2393" t="s">
        <v>2067</v>
      </c>
      <c r="W2393" t="s">
        <v>2067</v>
      </c>
      <c r="X2393">
        <v>304</v>
      </c>
      <c r="Z2393" t="s">
        <v>3549</v>
      </c>
      <c r="AA2393" t="s">
        <v>387</v>
      </c>
      <c r="AB2393">
        <v>0</v>
      </c>
      <c r="AC2393">
        <v>5024</v>
      </c>
      <c r="AD2393" t="s">
        <v>10356</v>
      </c>
      <c r="AE2393">
        <v>499</v>
      </c>
      <c r="AF2393" t="s">
        <v>10314</v>
      </c>
      <c r="AG2393" t="s">
        <v>2599</v>
      </c>
      <c r="AH2393" t="s">
        <v>10357</v>
      </c>
    </row>
    <row r="2394" spans="1:34" x14ac:dyDescent="0.25">
      <c r="A2394">
        <v>1565</v>
      </c>
      <c r="C2394" s="185"/>
      <c r="E2394" t="s">
        <v>386</v>
      </c>
      <c r="F2394" t="s">
        <v>10358</v>
      </c>
      <c r="G2394" t="s">
        <v>1197</v>
      </c>
      <c r="H2394" t="s">
        <v>10359</v>
      </c>
      <c r="I2394">
        <v>13453</v>
      </c>
      <c r="J2394" t="s">
        <v>10358</v>
      </c>
      <c r="K2394" t="s">
        <v>10360</v>
      </c>
      <c r="L2394" t="s">
        <v>386</v>
      </c>
      <c r="M2394" t="s">
        <v>1193</v>
      </c>
      <c r="N2394">
        <v>13453</v>
      </c>
      <c r="O2394">
        <v>57</v>
      </c>
      <c r="Q2394" t="s">
        <v>10361</v>
      </c>
      <c r="R2394" t="s">
        <v>398</v>
      </c>
      <c r="T2394">
        <v>220</v>
      </c>
      <c r="V2394" t="s">
        <v>1194</v>
      </c>
      <c r="W2394" t="s">
        <v>2067</v>
      </c>
      <c r="X2394">
        <v>304</v>
      </c>
      <c r="Z2394" t="s">
        <v>10362</v>
      </c>
      <c r="AA2394" t="s">
        <v>387</v>
      </c>
      <c r="AB2394">
        <v>49000</v>
      </c>
      <c r="AC2394">
        <v>5047</v>
      </c>
      <c r="AD2394" t="s">
        <v>10363</v>
      </c>
      <c r="AE2394">
        <v>2336</v>
      </c>
      <c r="AF2394" t="s">
        <v>10364</v>
      </c>
      <c r="AG2394" t="s">
        <v>5668</v>
      </c>
      <c r="AH2394" t="s">
        <v>10365</v>
      </c>
    </row>
    <row r="2395" spans="1:34" x14ac:dyDescent="0.25">
      <c r="A2395">
        <v>1702</v>
      </c>
      <c r="C2395" s="185"/>
      <c r="E2395" t="s">
        <v>386</v>
      </c>
      <c r="F2395" t="s">
        <v>10366</v>
      </c>
      <c r="G2395" t="s">
        <v>1197</v>
      </c>
      <c r="H2395" t="s">
        <v>10367</v>
      </c>
      <c r="I2395">
        <v>13605</v>
      </c>
      <c r="J2395" t="s">
        <v>10366</v>
      </c>
      <c r="K2395" t="s">
        <v>10368</v>
      </c>
      <c r="L2395" t="s">
        <v>386</v>
      </c>
      <c r="M2395" t="s">
        <v>1193</v>
      </c>
      <c r="N2395">
        <v>13605</v>
      </c>
      <c r="O2395">
        <v>0</v>
      </c>
      <c r="Q2395" t="s">
        <v>10369</v>
      </c>
      <c r="R2395" t="s">
        <v>1208</v>
      </c>
      <c r="T2395">
        <v>304</v>
      </c>
      <c r="V2395" t="s">
        <v>2067</v>
      </c>
      <c r="W2395" t="s">
        <v>2067</v>
      </c>
      <c r="X2395">
        <v>304</v>
      </c>
      <c r="Z2395" t="s">
        <v>10370</v>
      </c>
      <c r="AA2395" t="s">
        <v>387</v>
      </c>
      <c r="AB2395">
        <v>0</v>
      </c>
      <c r="AC2395">
        <v>5122</v>
      </c>
      <c r="AD2395" t="s">
        <v>10371</v>
      </c>
      <c r="AE2395">
        <v>2375</v>
      </c>
      <c r="AF2395" t="s">
        <v>10372</v>
      </c>
      <c r="AG2395" t="s">
        <v>1244</v>
      </c>
      <c r="AH2395" t="s">
        <v>10373</v>
      </c>
    </row>
    <row r="2396" spans="1:34" x14ac:dyDescent="0.25">
      <c r="A2396">
        <v>93</v>
      </c>
      <c r="B2396" t="s">
        <v>1313</v>
      </c>
      <c r="C2396" s="185"/>
      <c r="D2396" t="s">
        <v>24</v>
      </c>
      <c r="E2396" t="s">
        <v>386</v>
      </c>
      <c r="F2396" t="s">
        <v>287</v>
      </c>
      <c r="G2396" t="s">
        <v>1197</v>
      </c>
      <c r="H2396" t="s">
        <v>10374</v>
      </c>
      <c r="I2396">
        <v>2997</v>
      </c>
      <c r="J2396" t="s">
        <v>287</v>
      </c>
      <c r="K2396" t="s">
        <v>10375</v>
      </c>
      <c r="L2396" t="s">
        <v>386</v>
      </c>
      <c r="M2396" t="s">
        <v>1193</v>
      </c>
      <c r="N2396">
        <v>2997</v>
      </c>
      <c r="O2396">
        <v>76</v>
      </c>
      <c r="Q2396" t="s">
        <v>10376</v>
      </c>
      <c r="R2396" t="s">
        <v>398</v>
      </c>
      <c r="S2396" t="s">
        <v>1909</v>
      </c>
      <c r="T2396">
        <v>220</v>
      </c>
      <c r="U2396">
        <v>0</v>
      </c>
      <c r="V2396" t="s">
        <v>1194</v>
      </c>
      <c r="W2396" t="s">
        <v>1200</v>
      </c>
      <c r="X2396">
        <v>340</v>
      </c>
      <c r="Y2396" t="s">
        <v>1317</v>
      </c>
      <c r="Z2396" t="s">
        <v>1092</v>
      </c>
      <c r="AA2396" t="s">
        <v>387</v>
      </c>
      <c r="AB2396">
        <v>0</v>
      </c>
      <c r="AC2396">
        <v>2012</v>
      </c>
      <c r="AD2396" t="s">
        <v>10377</v>
      </c>
      <c r="AE2396">
        <v>18</v>
      </c>
      <c r="AF2396" t="s">
        <v>1259</v>
      </c>
      <c r="AG2396" t="s">
        <v>1244</v>
      </c>
      <c r="AH2396" t="s">
        <v>10378</v>
      </c>
    </row>
    <row r="2397" spans="1:34" x14ac:dyDescent="0.25">
      <c r="A2397">
        <v>770</v>
      </c>
      <c r="C2397" s="185"/>
      <c r="E2397" t="s">
        <v>386</v>
      </c>
      <c r="F2397" t="s">
        <v>10379</v>
      </c>
      <c r="G2397" t="s">
        <v>1197</v>
      </c>
      <c r="H2397" t="s">
        <v>10380</v>
      </c>
      <c r="I2397">
        <v>5763</v>
      </c>
      <c r="J2397" t="s">
        <v>10379</v>
      </c>
      <c r="K2397" t="s">
        <v>10379</v>
      </c>
      <c r="L2397" t="s">
        <v>386</v>
      </c>
      <c r="M2397" t="s">
        <v>1193</v>
      </c>
      <c r="N2397">
        <v>5763</v>
      </c>
      <c r="O2397">
        <v>0</v>
      </c>
      <c r="Q2397" t="s">
        <v>10381</v>
      </c>
      <c r="T2397">
        <v>35</v>
      </c>
      <c r="V2397" t="s">
        <v>2015</v>
      </c>
      <c r="W2397" t="s">
        <v>2144</v>
      </c>
      <c r="X2397">
        <v>39</v>
      </c>
      <c r="Z2397" t="s">
        <v>10382</v>
      </c>
      <c r="AA2397" t="s">
        <v>387</v>
      </c>
      <c r="AB2397">
        <v>0</v>
      </c>
      <c r="AC2397">
        <v>2711</v>
      </c>
      <c r="AD2397" t="s">
        <v>10383</v>
      </c>
      <c r="AE2397">
        <v>1299</v>
      </c>
      <c r="AF2397" t="s">
        <v>10384</v>
      </c>
      <c r="AG2397" t="s">
        <v>10385</v>
      </c>
    </row>
    <row r="2398" spans="1:34" x14ac:dyDescent="0.25">
      <c r="A2398">
        <v>770</v>
      </c>
      <c r="C2398" s="185"/>
      <c r="E2398" t="s">
        <v>386</v>
      </c>
      <c r="F2398" t="s">
        <v>10386</v>
      </c>
      <c r="G2398" t="s">
        <v>1197</v>
      </c>
      <c r="H2398" t="s">
        <v>10380</v>
      </c>
      <c r="I2398">
        <v>9702</v>
      </c>
      <c r="J2398" t="s">
        <v>10386</v>
      </c>
      <c r="K2398" t="s">
        <v>10386</v>
      </c>
      <c r="L2398" t="s">
        <v>386</v>
      </c>
      <c r="M2398" t="s">
        <v>1193</v>
      </c>
      <c r="N2398">
        <v>9702</v>
      </c>
      <c r="O2398">
        <v>0</v>
      </c>
      <c r="Q2398" t="s">
        <v>10387</v>
      </c>
      <c r="R2398" t="s">
        <v>1208</v>
      </c>
      <c r="T2398">
        <v>260</v>
      </c>
      <c r="V2398" t="s">
        <v>1216</v>
      </c>
      <c r="W2398" t="s">
        <v>1915</v>
      </c>
      <c r="X2398">
        <v>185</v>
      </c>
      <c r="Z2398" t="s">
        <v>10382</v>
      </c>
      <c r="AA2398" t="s">
        <v>387</v>
      </c>
      <c r="AB2398">
        <v>0</v>
      </c>
      <c r="AC2398">
        <v>3859</v>
      </c>
      <c r="AD2398" t="s">
        <v>10388</v>
      </c>
      <c r="AE2398">
        <v>1299</v>
      </c>
      <c r="AF2398" t="s">
        <v>10384</v>
      </c>
      <c r="AG2398" t="s">
        <v>10385</v>
      </c>
    </row>
    <row r="2399" spans="1:34" x14ac:dyDescent="0.25">
      <c r="A2399">
        <v>770</v>
      </c>
      <c r="C2399" s="185"/>
      <c r="D2399" t="s">
        <v>24</v>
      </c>
      <c r="E2399" t="s">
        <v>386</v>
      </c>
      <c r="F2399" t="s">
        <v>122</v>
      </c>
      <c r="G2399" t="s">
        <v>1197</v>
      </c>
      <c r="H2399" t="s">
        <v>10389</v>
      </c>
      <c r="I2399">
        <v>6835</v>
      </c>
      <c r="J2399" t="s">
        <v>122</v>
      </c>
      <c r="K2399" t="s">
        <v>122</v>
      </c>
      <c r="L2399" t="s">
        <v>386</v>
      </c>
      <c r="M2399" t="s">
        <v>1193</v>
      </c>
      <c r="N2399">
        <v>6835</v>
      </c>
      <c r="O2399">
        <v>0</v>
      </c>
      <c r="Q2399" t="s">
        <v>10390</v>
      </c>
      <c r="R2399" t="s">
        <v>1208</v>
      </c>
      <c r="T2399">
        <v>496</v>
      </c>
      <c r="V2399" t="s">
        <v>2246</v>
      </c>
      <c r="W2399" t="s">
        <v>1216</v>
      </c>
      <c r="X2399">
        <v>260</v>
      </c>
      <c r="Z2399" t="s">
        <v>10382</v>
      </c>
      <c r="AA2399" t="s">
        <v>387</v>
      </c>
      <c r="AB2399">
        <v>0</v>
      </c>
      <c r="AC2399">
        <v>3265</v>
      </c>
      <c r="AD2399" t="s">
        <v>10391</v>
      </c>
      <c r="AE2399">
        <v>1481</v>
      </c>
      <c r="AF2399" t="s">
        <v>10392</v>
      </c>
      <c r="AG2399" t="s">
        <v>10393</v>
      </c>
      <c r="AH2399" t="s">
        <v>10394</v>
      </c>
    </row>
    <row r="2400" spans="1:34" x14ac:dyDescent="0.25">
      <c r="A2400">
        <v>2222</v>
      </c>
      <c r="C2400" s="185"/>
      <c r="E2400" t="s">
        <v>386</v>
      </c>
      <c r="F2400" t="s">
        <v>761</v>
      </c>
      <c r="G2400" t="s">
        <v>1197</v>
      </c>
      <c r="H2400" t="s">
        <v>10395</v>
      </c>
      <c r="I2400">
        <v>17449</v>
      </c>
      <c r="J2400" t="s">
        <v>761</v>
      </c>
      <c r="K2400" t="s">
        <v>10396</v>
      </c>
      <c r="L2400" t="s">
        <v>386</v>
      </c>
      <c r="M2400" t="s">
        <v>1193</v>
      </c>
      <c r="N2400">
        <v>17449</v>
      </c>
      <c r="O2400">
        <v>57</v>
      </c>
      <c r="Q2400" t="s">
        <v>10397</v>
      </c>
      <c r="R2400" t="s">
        <v>398</v>
      </c>
      <c r="T2400">
        <v>556</v>
      </c>
      <c r="V2400" t="s">
        <v>4502</v>
      </c>
      <c r="W2400" t="s">
        <v>2186</v>
      </c>
      <c r="X2400">
        <v>396</v>
      </c>
      <c r="Z2400" t="s">
        <v>10398</v>
      </c>
      <c r="AA2400" t="s">
        <v>387</v>
      </c>
      <c r="AB2400">
        <v>49000</v>
      </c>
      <c r="AC2400">
        <v>6544</v>
      </c>
      <c r="AD2400" t="s">
        <v>10399</v>
      </c>
      <c r="AE2400">
        <v>3020</v>
      </c>
      <c r="AF2400" t="s">
        <v>10400</v>
      </c>
      <c r="AG2400" t="s">
        <v>4832</v>
      </c>
      <c r="AH2400" t="s">
        <v>10401</v>
      </c>
    </row>
    <row r="2401" spans="1:34" x14ac:dyDescent="0.25">
      <c r="A2401">
        <v>49</v>
      </c>
      <c r="C2401" s="185"/>
      <c r="E2401" t="s">
        <v>386</v>
      </c>
      <c r="F2401" t="s">
        <v>10402</v>
      </c>
      <c r="G2401" t="s">
        <v>1197</v>
      </c>
      <c r="H2401" t="s">
        <v>10403</v>
      </c>
      <c r="I2401">
        <v>17281</v>
      </c>
      <c r="J2401" t="s">
        <v>10402</v>
      </c>
      <c r="K2401" t="s">
        <v>10402</v>
      </c>
      <c r="L2401" t="s">
        <v>386</v>
      </c>
      <c r="M2401" t="s">
        <v>1193</v>
      </c>
      <c r="N2401">
        <v>17281</v>
      </c>
      <c r="O2401">
        <v>0</v>
      </c>
      <c r="Q2401" t="s">
        <v>10404</v>
      </c>
      <c r="T2401">
        <v>52</v>
      </c>
      <c r="V2401" t="s">
        <v>2024</v>
      </c>
      <c r="W2401" t="s">
        <v>1964</v>
      </c>
      <c r="X2401">
        <v>473</v>
      </c>
      <c r="Z2401" t="s">
        <v>3223</v>
      </c>
      <c r="AA2401" t="s">
        <v>387</v>
      </c>
      <c r="AB2401">
        <v>0</v>
      </c>
      <c r="AC2401">
        <v>6502</v>
      </c>
      <c r="AD2401" t="s">
        <v>10405</v>
      </c>
      <c r="AE2401">
        <v>1180</v>
      </c>
      <c r="AF2401" t="s">
        <v>10406</v>
      </c>
      <c r="AG2401" t="s">
        <v>9718</v>
      </c>
      <c r="AH2401" t="s">
        <v>10407</v>
      </c>
    </row>
    <row r="2402" spans="1:34" x14ac:dyDescent="0.25">
      <c r="A2402">
        <v>49</v>
      </c>
      <c r="B2402" t="s">
        <v>1313</v>
      </c>
      <c r="C2402" s="185"/>
      <c r="D2402" t="s">
        <v>24</v>
      </c>
      <c r="E2402" t="s">
        <v>386</v>
      </c>
      <c r="F2402" t="s">
        <v>448</v>
      </c>
      <c r="G2402" t="s">
        <v>1197</v>
      </c>
      <c r="H2402" t="s">
        <v>10408</v>
      </c>
      <c r="I2402">
        <v>197</v>
      </c>
      <c r="J2402" t="s">
        <v>10409</v>
      </c>
      <c r="K2402" t="s">
        <v>7402</v>
      </c>
      <c r="L2402" t="s">
        <v>386</v>
      </c>
      <c r="M2402" t="s">
        <v>1193</v>
      </c>
      <c r="N2402">
        <v>15328</v>
      </c>
      <c r="O2402">
        <v>23</v>
      </c>
      <c r="Q2402" t="s">
        <v>10410</v>
      </c>
      <c r="R2402" t="s">
        <v>398</v>
      </c>
      <c r="S2402" t="s">
        <v>7404</v>
      </c>
      <c r="T2402">
        <v>272</v>
      </c>
      <c r="U2402">
        <v>0</v>
      </c>
      <c r="V2402" t="s">
        <v>2107</v>
      </c>
      <c r="W2402" t="s">
        <v>2024</v>
      </c>
      <c r="X2402">
        <v>52</v>
      </c>
      <c r="Y2402" t="s">
        <v>1317</v>
      </c>
      <c r="Z2402" t="s">
        <v>3223</v>
      </c>
      <c r="AA2402" t="s">
        <v>387</v>
      </c>
      <c r="AB2402">
        <v>17000</v>
      </c>
      <c r="AC2402">
        <v>496</v>
      </c>
      <c r="AD2402" t="s">
        <v>10411</v>
      </c>
      <c r="AE2402">
        <v>219</v>
      </c>
      <c r="AF2402" t="s">
        <v>10412</v>
      </c>
      <c r="AG2402" t="s">
        <v>2510</v>
      </c>
    </row>
    <row r="2403" spans="1:34" x14ac:dyDescent="0.25">
      <c r="A2403">
        <v>1624</v>
      </c>
      <c r="C2403" s="185"/>
      <c r="E2403" t="s">
        <v>386</v>
      </c>
      <c r="F2403" t="s">
        <v>10413</v>
      </c>
      <c r="G2403" t="s">
        <v>1197</v>
      </c>
      <c r="H2403" t="s">
        <v>10414</v>
      </c>
      <c r="I2403">
        <v>13418</v>
      </c>
      <c r="J2403" t="s">
        <v>10413</v>
      </c>
      <c r="K2403" t="s">
        <v>10413</v>
      </c>
      <c r="L2403" t="s">
        <v>386</v>
      </c>
      <c r="M2403" t="s">
        <v>1193</v>
      </c>
      <c r="N2403">
        <v>13418</v>
      </c>
      <c r="O2403">
        <v>0</v>
      </c>
      <c r="Q2403" t="s">
        <v>10415</v>
      </c>
      <c r="R2403" t="s">
        <v>1208</v>
      </c>
      <c r="T2403">
        <v>571</v>
      </c>
      <c r="V2403" t="s">
        <v>2003</v>
      </c>
      <c r="W2403" t="s">
        <v>2073</v>
      </c>
      <c r="X2403">
        <v>372</v>
      </c>
      <c r="Z2403" t="s">
        <v>10416</v>
      </c>
      <c r="AA2403" t="s">
        <v>387</v>
      </c>
      <c r="AB2403">
        <v>0</v>
      </c>
      <c r="AC2403">
        <v>5030</v>
      </c>
      <c r="AD2403" t="s">
        <v>2191</v>
      </c>
      <c r="AE2403">
        <v>2328</v>
      </c>
      <c r="AF2403" t="s">
        <v>10417</v>
      </c>
      <c r="AG2403" t="s">
        <v>10418</v>
      </c>
      <c r="AH2403" t="s">
        <v>10419</v>
      </c>
    </row>
    <row r="2404" spans="1:34" x14ac:dyDescent="0.25">
      <c r="A2404">
        <v>1624</v>
      </c>
      <c r="B2404" t="s">
        <v>1313</v>
      </c>
      <c r="C2404" s="185"/>
      <c r="D2404" t="s">
        <v>24</v>
      </c>
      <c r="E2404" t="s">
        <v>386</v>
      </c>
      <c r="F2404" t="s">
        <v>10420</v>
      </c>
      <c r="G2404" t="s">
        <v>1197</v>
      </c>
      <c r="H2404" t="s">
        <v>10414</v>
      </c>
      <c r="I2404">
        <v>4872</v>
      </c>
      <c r="J2404" t="s">
        <v>10420</v>
      </c>
      <c r="K2404" t="s">
        <v>10421</v>
      </c>
      <c r="L2404" t="s">
        <v>386</v>
      </c>
      <c r="M2404" t="s">
        <v>1193</v>
      </c>
      <c r="N2404">
        <v>4872</v>
      </c>
      <c r="O2404">
        <v>57</v>
      </c>
      <c r="Q2404" t="s">
        <v>10422</v>
      </c>
      <c r="R2404" t="s">
        <v>398</v>
      </c>
      <c r="S2404" t="s">
        <v>1909</v>
      </c>
      <c r="T2404">
        <v>280</v>
      </c>
      <c r="U2404">
        <v>0</v>
      </c>
      <c r="V2404" t="s">
        <v>3202</v>
      </c>
      <c r="Y2404" t="s">
        <v>1317</v>
      </c>
      <c r="Z2404" t="s">
        <v>10416</v>
      </c>
      <c r="AA2404" t="s">
        <v>387</v>
      </c>
      <c r="AB2404">
        <v>49000</v>
      </c>
      <c r="AC2404">
        <v>2432</v>
      </c>
      <c r="AD2404" t="s">
        <v>10423</v>
      </c>
      <c r="AE2404">
        <v>1170</v>
      </c>
      <c r="AF2404" t="s">
        <v>10424</v>
      </c>
      <c r="AG2404" t="s">
        <v>10425</v>
      </c>
      <c r="AH2404" t="s">
        <v>10426</v>
      </c>
    </row>
    <row r="2405" spans="1:34" x14ac:dyDescent="0.25">
      <c r="A2405">
        <v>2225</v>
      </c>
      <c r="C2405" s="185"/>
      <c r="E2405" t="s">
        <v>386</v>
      </c>
      <c r="F2405" t="s">
        <v>10427</v>
      </c>
      <c r="G2405" t="s">
        <v>1197</v>
      </c>
      <c r="H2405" t="s">
        <v>10428</v>
      </c>
      <c r="I2405">
        <v>17494</v>
      </c>
      <c r="J2405" t="s">
        <v>10427</v>
      </c>
      <c r="K2405" t="s">
        <v>10427</v>
      </c>
      <c r="L2405" t="s">
        <v>386</v>
      </c>
      <c r="M2405" t="s">
        <v>1193</v>
      </c>
      <c r="N2405">
        <v>17494</v>
      </c>
      <c r="O2405">
        <v>0</v>
      </c>
      <c r="Q2405" t="s">
        <v>10429</v>
      </c>
      <c r="R2405" t="s">
        <v>1208</v>
      </c>
      <c r="T2405">
        <v>259</v>
      </c>
      <c r="V2405" t="s">
        <v>1215</v>
      </c>
      <c r="W2405" t="s">
        <v>1216</v>
      </c>
      <c r="X2405">
        <v>260</v>
      </c>
      <c r="Z2405" t="s">
        <v>10430</v>
      </c>
      <c r="AA2405" t="s">
        <v>387</v>
      </c>
      <c r="AB2405">
        <v>0</v>
      </c>
      <c r="AC2405">
        <v>6560</v>
      </c>
      <c r="AD2405" t="s">
        <v>10431</v>
      </c>
      <c r="AE2405">
        <v>3058</v>
      </c>
      <c r="AF2405" t="s">
        <v>10432</v>
      </c>
      <c r="AG2405" t="s">
        <v>10433</v>
      </c>
    </row>
    <row r="2406" spans="1:34" x14ac:dyDescent="0.25">
      <c r="A2406">
        <v>832</v>
      </c>
      <c r="C2406" s="185"/>
      <c r="D2406" t="s">
        <v>24</v>
      </c>
      <c r="E2406" t="s">
        <v>386</v>
      </c>
      <c r="F2406" t="s">
        <v>10434</v>
      </c>
      <c r="G2406" t="s">
        <v>1197</v>
      </c>
      <c r="H2406" t="s">
        <v>10435</v>
      </c>
      <c r="I2406">
        <v>1948</v>
      </c>
      <c r="J2406" t="s">
        <v>10434</v>
      </c>
      <c r="K2406" t="s">
        <v>10434</v>
      </c>
      <c r="L2406" t="s">
        <v>386</v>
      </c>
      <c r="M2406" t="s">
        <v>1193</v>
      </c>
      <c r="N2406">
        <v>1948</v>
      </c>
      <c r="O2406">
        <v>0</v>
      </c>
      <c r="Q2406" t="s">
        <v>10436</v>
      </c>
      <c r="T2406">
        <v>35</v>
      </c>
      <c r="V2406" t="s">
        <v>2015</v>
      </c>
      <c r="Z2406" t="s">
        <v>10437</v>
      </c>
      <c r="AA2406" t="s">
        <v>387</v>
      </c>
      <c r="AB2406">
        <v>0</v>
      </c>
      <c r="AC2406">
        <v>1442</v>
      </c>
      <c r="AD2406" t="s">
        <v>10438</v>
      </c>
      <c r="AE2406">
        <v>1</v>
      </c>
      <c r="AF2406" t="s">
        <v>1922</v>
      </c>
      <c r="AG2406" t="s">
        <v>7020</v>
      </c>
      <c r="AH2406" t="s">
        <v>10439</v>
      </c>
    </row>
    <row r="2407" spans="1:34" x14ac:dyDescent="0.25">
      <c r="A2407">
        <v>1</v>
      </c>
      <c r="C2407" s="185"/>
      <c r="E2407" t="s">
        <v>386</v>
      </c>
      <c r="F2407" t="s">
        <v>10440</v>
      </c>
      <c r="G2407" t="s">
        <v>1192</v>
      </c>
      <c r="H2407" t="s">
        <v>10441</v>
      </c>
      <c r="I2407">
        <v>3190</v>
      </c>
      <c r="J2407" t="s">
        <v>10440</v>
      </c>
      <c r="K2407" t="s">
        <v>10440</v>
      </c>
      <c r="L2407" t="s">
        <v>386</v>
      </c>
      <c r="M2407" t="s">
        <v>1184</v>
      </c>
      <c r="N2407">
        <v>3190</v>
      </c>
      <c r="O2407">
        <v>0</v>
      </c>
      <c r="Q2407" t="s">
        <v>10442</v>
      </c>
      <c r="R2407" t="s">
        <v>1208</v>
      </c>
      <c r="T2407">
        <v>0</v>
      </c>
      <c r="V2407" t="s">
        <v>1186</v>
      </c>
      <c r="Z2407" t="s">
        <v>865</v>
      </c>
      <c r="AA2407" t="s">
        <v>387</v>
      </c>
      <c r="AB2407">
        <v>0</v>
      </c>
      <c r="AC2407">
        <v>2119</v>
      </c>
      <c r="AD2407" t="s">
        <v>10443</v>
      </c>
      <c r="AE2407">
        <v>273</v>
      </c>
      <c r="AF2407" t="s">
        <v>2505</v>
      </c>
      <c r="AG2407" t="s">
        <v>6258</v>
      </c>
      <c r="AH2407" t="s">
        <v>10444</v>
      </c>
    </row>
    <row r="2408" spans="1:34" x14ac:dyDescent="0.25">
      <c r="A2408">
        <v>871</v>
      </c>
      <c r="C2408" s="185"/>
      <c r="E2408" t="s">
        <v>386</v>
      </c>
      <c r="F2408" t="s">
        <v>10445</v>
      </c>
      <c r="G2408" t="s">
        <v>1197</v>
      </c>
      <c r="H2408" t="s">
        <v>10446</v>
      </c>
      <c r="I2408">
        <v>13284</v>
      </c>
      <c r="J2408" t="s">
        <v>10445</v>
      </c>
      <c r="K2408" t="s">
        <v>10447</v>
      </c>
      <c r="L2408" t="s">
        <v>386</v>
      </c>
      <c r="M2408" t="s">
        <v>1193</v>
      </c>
      <c r="N2408">
        <v>13284</v>
      </c>
      <c r="O2408">
        <v>0</v>
      </c>
      <c r="Q2408" t="s">
        <v>10448</v>
      </c>
      <c r="R2408" t="s">
        <v>1208</v>
      </c>
      <c r="T2408">
        <v>571</v>
      </c>
      <c r="V2408" t="s">
        <v>2003</v>
      </c>
      <c r="W2408" t="s">
        <v>1215</v>
      </c>
      <c r="X2408">
        <v>259</v>
      </c>
      <c r="Z2408" t="s">
        <v>10449</v>
      </c>
      <c r="AA2408" t="s">
        <v>387</v>
      </c>
      <c r="AB2408">
        <v>0</v>
      </c>
      <c r="AC2408">
        <v>4978</v>
      </c>
      <c r="AD2408" t="s">
        <v>10450</v>
      </c>
      <c r="AE2408">
        <v>2300</v>
      </c>
      <c r="AF2408" t="s">
        <v>10451</v>
      </c>
      <c r="AG2408" t="s">
        <v>6381</v>
      </c>
      <c r="AH2408" t="s">
        <v>10452</v>
      </c>
    </row>
    <row r="2409" spans="1:34" x14ac:dyDescent="0.25">
      <c r="A2409">
        <v>2039</v>
      </c>
      <c r="C2409" s="185"/>
      <c r="E2409" t="s">
        <v>386</v>
      </c>
      <c r="F2409" t="s">
        <v>10453</v>
      </c>
      <c r="G2409" t="s">
        <v>1197</v>
      </c>
      <c r="H2409" t="s">
        <v>10454</v>
      </c>
      <c r="I2409">
        <v>13472</v>
      </c>
      <c r="J2409" t="s">
        <v>10453</v>
      </c>
      <c r="K2409" t="s">
        <v>10455</v>
      </c>
      <c r="L2409" t="s">
        <v>386</v>
      </c>
      <c r="M2409" t="s">
        <v>1193</v>
      </c>
      <c r="N2409">
        <v>13472</v>
      </c>
      <c r="O2409">
        <v>0</v>
      </c>
      <c r="Q2409" t="s">
        <v>10456</v>
      </c>
      <c r="R2409" t="s">
        <v>1208</v>
      </c>
      <c r="T2409">
        <v>304</v>
      </c>
      <c r="V2409" t="s">
        <v>2067</v>
      </c>
      <c r="W2409" t="s">
        <v>2067</v>
      </c>
      <c r="X2409">
        <v>304</v>
      </c>
      <c r="Z2409" t="s">
        <v>10457</v>
      </c>
      <c r="AA2409" t="s">
        <v>387</v>
      </c>
      <c r="AB2409">
        <v>0</v>
      </c>
      <c r="AC2409">
        <v>5054</v>
      </c>
      <c r="AD2409" t="s">
        <v>10458</v>
      </c>
      <c r="AE2409">
        <v>1</v>
      </c>
      <c r="AF2409" t="s">
        <v>1922</v>
      </c>
      <c r="AG2409" t="s">
        <v>6381</v>
      </c>
      <c r="AH2409" t="s">
        <v>10459</v>
      </c>
    </row>
    <row r="2410" spans="1:34" x14ac:dyDescent="0.25">
      <c r="A2410">
        <v>1347</v>
      </c>
      <c r="C2410" s="185"/>
      <c r="E2410" t="s">
        <v>386</v>
      </c>
      <c r="F2410" t="s">
        <v>10460</v>
      </c>
      <c r="G2410" t="s">
        <v>1192</v>
      </c>
      <c r="H2410" t="s">
        <v>10461</v>
      </c>
      <c r="I2410">
        <v>1442</v>
      </c>
      <c r="J2410" t="s">
        <v>10460</v>
      </c>
      <c r="K2410" t="s">
        <v>10460</v>
      </c>
      <c r="L2410" t="s">
        <v>386</v>
      </c>
      <c r="M2410" t="s">
        <v>1184</v>
      </c>
      <c r="N2410">
        <v>1442</v>
      </c>
      <c r="O2410">
        <v>0</v>
      </c>
      <c r="Q2410" t="s">
        <v>10462</v>
      </c>
      <c r="R2410" t="s">
        <v>1208</v>
      </c>
      <c r="T2410">
        <v>115</v>
      </c>
      <c r="V2410" t="s">
        <v>2344</v>
      </c>
      <c r="Z2410" t="s">
        <v>10463</v>
      </c>
      <c r="AA2410" t="s">
        <v>387</v>
      </c>
      <c r="AB2410">
        <v>0</v>
      </c>
      <c r="AC2410">
        <v>3074</v>
      </c>
      <c r="AD2410" t="s">
        <v>10464</v>
      </c>
      <c r="AE2410">
        <v>1455</v>
      </c>
      <c r="AF2410" t="s">
        <v>10465</v>
      </c>
      <c r="AG2410" t="s">
        <v>2048</v>
      </c>
      <c r="AH2410" t="s">
        <v>10466</v>
      </c>
    </row>
    <row r="2411" spans="1:34" x14ac:dyDescent="0.25">
      <c r="A2411">
        <v>44</v>
      </c>
      <c r="C2411" s="185"/>
      <c r="E2411" t="s">
        <v>386</v>
      </c>
      <c r="F2411" t="s">
        <v>10467</v>
      </c>
      <c r="G2411" t="s">
        <v>1197</v>
      </c>
      <c r="H2411" t="s">
        <v>3678</v>
      </c>
      <c r="I2411">
        <v>14470</v>
      </c>
      <c r="J2411" t="s">
        <v>10467</v>
      </c>
      <c r="K2411" t="s">
        <v>10468</v>
      </c>
      <c r="L2411" t="s">
        <v>386</v>
      </c>
      <c r="M2411" t="s">
        <v>1193</v>
      </c>
      <c r="N2411">
        <v>14470</v>
      </c>
      <c r="O2411">
        <v>0</v>
      </c>
      <c r="Q2411" t="s">
        <v>10469</v>
      </c>
      <c r="R2411" t="s">
        <v>1208</v>
      </c>
      <c r="T2411">
        <v>103</v>
      </c>
      <c r="V2411" t="s">
        <v>1530</v>
      </c>
      <c r="W2411" t="s">
        <v>1530</v>
      </c>
      <c r="X2411">
        <v>103</v>
      </c>
      <c r="Z2411" t="s">
        <v>1052</v>
      </c>
      <c r="AA2411" t="s">
        <v>387</v>
      </c>
      <c r="AB2411">
        <v>0</v>
      </c>
      <c r="AC2411">
        <v>5496</v>
      </c>
      <c r="AD2411" t="s">
        <v>10470</v>
      </c>
      <c r="AE2411">
        <v>59</v>
      </c>
      <c r="AF2411" t="s">
        <v>4180</v>
      </c>
      <c r="AG2411" t="s">
        <v>8711</v>
      </c>
      <c r="AH2411" t="s">
        <v>10471</v>
      </c>
    </row>
    <row r="2412" spans="1:34" x14ac:dyDescent="0.25">
      <c r="A2412">
        <v>1792</v>
      </c>
      <c r="C2412" s="185"/>
      <c r="E2412" t="s">
        <v>386</v>
      </c>
      <c r="F2412" t="s">
        <v>10468</v>
      </c>
      <c r="G2412" t="s">
        <v>1197</v>
      </c>
      <c r="H2412" t="s">
        <v>4919</v>
      </c>
      <c r="I2412">
        <v>11853</v>
      </c>
      <c r="J2412" t="s">
        <v>10468</v>
      </c>
      <c r="K2412" t="s">
        <v>10468</v>
      </c>
      <c r="L2412" t="s">
        <v>386</v>
      </c>
      <c r="M2412" t="s">
        <v>1193</v>
      </c>
      <c r="N2412">
        <v>11853</v>
      </c>
      <c r="O2412">
        <v>0</v>
      </c>
      <c r="Q2412" t="s">
        <v>10472</v>
      </c>
      <c r="R2412" t="s">
        <v>1208</v>
      </c>
      <c r="T2412">
        <v>304</v>
      </c>
      <c r="V2412" t="s">
        <v>2067</v>
      </c>
      <c r="Z2412" t="s">
        <v>1053</v>
      </c>
      <c r="AA2412" t="s">
        <v>387</v>
      </c>
      <c r="AB2412">
        <v>0</v>
      </c>
      <c r="AC2412">
        <v>3415</v>
      </c>
      <c r="AD2412" t="s">
        <v>10473</v>
      </c>
      <c r="AE2412">
        <v>27</v>
      </c>
      <c r="AF2412" t="s">
        <v>10474</v>
      </c>
      <c r="AG2412" t="s">
        <v>10475</v>
      </c>
    </row>
    <row r="2413" spans="1:34" x14ac:dyDescent="0.25">
      <c r="A2413">
        <v>1</v>
      </c>
      <c r="C2413" s="185"/>
      <c r="E2413" t="s">
        <v>386</v>
      </c>
      <c r="F2413" t="s">
        <v>10476</v>
      </c>
      <c r="G2413" t="s">
        <v>1197</v>
      </c>
      <c r="H2413" t="s">
        <v>4607</v>
      </c>
      <c r="I2413">
        <v>14607</v>
      </c>
      <c r="J2413" t="s">
        <v>10476</v>
      </c>
      <c r="K2413" t="s">
        <v>10477</v>
      </c>
      <c r="L2413" t="s">
        <v>386</v>
      </c>
      <c r="M2413" t="s">
        <v>1193</v>
      </c>
      <c r="N2413">
        <v>14607</v>
      </c>
      <c r="O2413">
        <v>0</v>
      </c>
      <c r="Q2413" t="s">
        <v>10478</v>
      </c>
      <c r="T2413">
        <v>435</v>
      </c>
      <c r="V2413" t="s">
        <v>3129</v>
      </c>
      <c r="W2413" t="s">
        <v>3129</v>
      </c>
      <c r="X2413">
        <v>435</v>
      </c>
      <c r="Z2413" t="s">
        <v>865</v>
      </c>
      <c r="AA2413" t="s">
        <v>387</v>
      </c>
      <c r="AB2413">
        <v>0</v>
      </c>
      <c r="AC2413">
        <v>1204</v>
      </c>
      <c r="AD2413" t="s">
        <v>4611</v>
      </c>
      <c r="AE2413">
        <v>143</v>
      </c>
      <c r="AF2413" t="s">
        <v>2604</v>
      </c>
      <c r="AG2413" t="s">
        <v>10479</v>
      </c>
      <c r="AH2413" t="s">
        <v>10480</v>
      </c>
    </row>
    <row r="2414" spans="1:34" x14ac:dyDescent="0.25">
      <c r="A2414">
        <v>155</v>
      </c>
      <c r="C2414" s="185"/>
      <c r="E2414" t="s">
        <v>386</v>
      </c>
      <c r="F2414" t="s">
        <v>10481</v>
      </c>
      <c r="G2414" t="s">
        <v>1197</v>
      </c>
      <c r="H2414" t="s">
        <v>10482</v>
      </c>
      <c r="I2414">
        <v>17689</v>
      </c>
      <c r="J2414" t="s">
        <v>10481</v>
      </c>
      <c r="K2414" t="s">
        <v>10483</v>
      </c>
      <c r="L2414" t="s">
        <v>386</v>
      </c>
      <c r="M2414" t="s">
        <v>1193</v>
      </c>
      <c r="N2414">
        <v>17689</v>
      </c>
      <c r="O2414">
        <v>0</v>
      </c>
      <c r="Q2414" t="s">
        <v>10484</v>
      </c>
      <c r="R2414" t="s">
        <v>398</v>
      </c>
      <c r="T2414">
        <v>560</v>
      </c>
      <c r="V2414" t="s">
        <v>2602</v>
      </c>
      <c r="W2414" t="s">
        <v>4468</v>
      </c>
      <c r="X2414">
        <v>470</v>
      </c>
      <c r="Z2414" t="s">
        <v>10485</v>
      </c>
      <c r="AA2414" t="s">
        <v>387</v>
      </c>
      <c r="AB2414">
        <v>0</v>
      </c>
      <c r="AC2414">
        <v>6616</v>
      </c>
      <c r="AD2414" t="s">
        <v>10486</v>
      </c>
      <c r="AE2414">
        <v>1</v>
      </c>
      <c r="AF2414" t="s">
        <v>1922</v>
      </c>
      <c r="AG2414" t="s">
        <v>10487</v>
      </c>
      <c r="AH2414" t="s">
        <v>10488</v>
      </c>
    </row>
    <row r="2415" spans="1:34" x14ac:dyDescent="0.25">
      <c r="A2415">
        <v>1</v>
      </c>
      <c r="C2415" s="185"/>
      <c r="E2415" t="s">
        <v>386</v>
      </c>
      <c r="F2415" t="s">
        <v>10489</v>
      </c>
      <c r="G2415" t="s">
        <v>1192</v>
      </c>
      <c r="I2415">
        <v>2526</v>
      </c>
      <c r="J2415" t="s">
        <v>10489</v>
      </c>
      <c r="K2415" t="s">
        <v>10489</v>
      </c>
      <c r="L2415" t="s">
        <v>386</v>
      </c>
      <c r="M2415" t="s">
        <v>1184</v>
      </c>
      <c r="N2415">
        <v>2526</v>
      </c>
      <c r="O2415">
        <v>0</v>
      </c>
      <c r="Q2415" t="s">
        <v>10490</v>
      </c>
      <c r="R2415" t="s">
        <v>1223</v>
      </c>
      <c r="T2415">
        <v>32</v>
      </c>
      <c r="V2415" t="s">
        <v>10045</v>
      </c>
      <c r="Z2415" t="s">
        <v>865</v>
      </c>
      <c r="AA2415" t="s">
        <v>387</v>
      </c>
      <c r="AB2415">
        <v>0</v>
      </c>
      <c r="AC2415">
        <v>597</v>
      </c>
      <c r="AD2415" t="s">
        <v>10491</v>
      </c>
      <c r="AE2415">
        <v>652</v>
      </c>
      <c r="AF2415" t="s">
        <v>2859</v>
      </c>
      <c r="AG2415" t="s">
        <v>10492</v>
      </c>
      <c r="AH2415" t="s">
        <v>10493</v>
      </c>
    </row>
    <row r="2416" spans="1:34" x14ac:dyDescent="0.25">
      <c r="A2416">
        <v>994</v>
      </c>
      <c r="C2416" s="185"/>
      <c r="E2416" t="s">
        <v>386</v>
      </c>
      <c r="F2416" t="s">
        <v>10494</v>
      </c>
      <c r="G2416" t="s">
        <v>1197</v>
      </c>
      <c r="H2416" t="s">
        <v>10495</v>
      </c>
      <c r="I2416">
        <v>8036</v>
      </c>
      <c r="J2416" t="s">
        <v>10494</v>
      </c>
      <c r="K2416" t="s">
        <v>10494</v>
      </c>
      <c r="L2416" t="s">
        <v>386</v>
      </c>
      <c r="M2416" t="s">
        <v>1193</v>
      </c>
      <c r="N2416">
        <v>8036</v>
      </c>
      <c r="O2416">
        <v>0</v>
      </c>
      <c r="Q2416" t="s">
        <v>10496</v>
      </c>
      <c r="R2416" t="s">
        <v>1208</v>
      </c>
      <c r="T2416">
        <v>146</v>
      </c>
      <c r="V2416" t="s">
        <v>2727</v>
      </c>
      <c r="Z2416" t="s">
        <v>10497</v>
      </c>
      <c r="AA2416" t="s">
        <v>387</v>
      </c>
      <c r="AB2416">
        <v>0</v>
      </c>
      <c r="AC2416">
        <v>3270</v>
      </c>
      <c r="AD2416" t="s">
        <v>10498</v>
      </c>
      <c r="AE2416">
        <v>18</v>
      </c>
      <c r="AF2416" t="s">
        <v>1259</v>
      </c>
      <c r="AG2416" t="s">
        <v>1244</v>
      </c>
    </row>
    <row r="2417" spans="1:34" x14ac:dyDescent="0.25">
      <c r="A2417">
        <v>1009</v>
      </c>
      <c r="C2417" s="185"/>
      <c r="D2417" t="s">
        <v>157</v>
      </c>
      <c r="E2417" t="s">
        <v>386</v>
      </c>
      <c r="F2417" t="s">
        <v>192</v>
      </c>
      <c r="G2417" t="s">
        <v>1197</v>
      </c>
      <c r="H2417" t="s">
        <v>3447</v>
      </c>
      <c r="I2417">
        <v>13193</v>
      </c>
      <c r="J2417" t="s">
        <v>192</v>
      </c>
      <c r="K2417" t="s">
        <v>10499</v>
      </c>
      <c r="L2417" t="s">
        <v>386</v>
      </c>
      <c r="M2417" t="s">
        <v>1193</v>
      </c>
      <c r="N2417">
        <v>13193</v>
      </c>
      <c r="O2417">
        <v>52</v>
      </c>
      <c r="Q2417" t="s">
        <v>10500</v>
      </c>
      <c r="R2417" t="s">
        <v>398</v>
      </c>
      <c r="T2417">
        <v>272</v>
      </c>
      <c r="V2417" t="s">
        <v>2107</v>
      </c>
      <c r="W2417" t="s">
        <v>2073</v>
      </c>
      <c r="X2417">
        <v>372</v>
      </c>
      <c r="Z2417" t="s">
        <v>3448</v>
      </c>
      <c r="AA2417" t="s">
        <v>387</v>
      </c>
      <c r="AB2417">
        <v>44000</v>
      </c>
      <c r="AC2417">
        <v>4937</v>
      </c>
      <c r="AD2417" t="s">
        <v>10501</v>
      </c>
      <c r="AE2417">
        <v>1</v>
      </c>
      <c r="AF2417" t="s">
        <v>1922</v>
      </c>
      <c r="AG2417" t="s">
        <v>1938</v>
      </c>
      <c r="AH2417" t="s">
        <v>10502</v>
      </c>
    </row>
    <row r="2418" spans="1:34" x14ac:dyDescent="0.25">
      <c r="A2418">
        <v>1361</v>
      </c>
      <c r="C2418" s="185"/>
      <c r="E2418" t="s">
        <v>386</v>
      </c>
      <c r="F2418" t="s">
        <v>10503</v>
      </c>
      <c r="G2418" t="s">
        <v>1238</v>
      </c>
      <c r="H2418" t="s">
        <v>5226</v>
      </c>
      <c r="I2418">
        <v>15039</v>
      </c>
      <c r="J2418" t="s">
        <v>10503</v>
      </c>
      <c r="K2418" t="s">
        <v>10504</v>
      </c>
      <c r="L2418" t="s">
        <v>386</v>
      </c>
      <c r="M2418" t="s">
        <v>1184</v>
      </c>
      <c r="N2418">
        <v>15039</v>
      </c>
      <c r="O2418">
        <v>0</v>
      </c>
      <c r="Q2418" t="s">
        <v>10505</v>
      </c>
      <c r="T2418">
        <v>435</v>
      </c>
      <c r="V2418" t="s">
        <v>3129</v>
      </c>
      <c r="W2418" t="s">
        <v>3129</v>
      </c>
      <c r="X2418">
        <v>435</v>
      </c>
      <c r="Z2418" t="s">
        <v>1113</v>
      </c>
      <c r="AA2418" t="s">
        <v>387</v>
      </c>
      <c r="AB2418">
        <v>0</v>
      </c>
      <c r="AC2418">
        <v>5712</v>
      </c>
      <c r="AD2418" t="s">
        <v>10503</v>
      </c>
      <c r="AE2418">
        <v>2638</v>
      </c>
      <c r="AF2418" t="s">
        <v>10506</v>
      </c>
      <c r="AG2418" t="s">
        <v>1244</v>
      </c>
      <c r="AH2418" t="s">
        <v>10507</v>
      </c>
    </row>
    <row r="2419" spans="1:34" x14ac:dyDescent="0.25">
      <c r="A2419">
        <v>125</v>
      </c>
      <c r="C2419" s="185"/>
      <c r="E2419" t="s">
        <v>386</v>
      </c>
      <c r="F2419" t="s">
        <v>10508</v>
      </c>
      <c r="G2419" t="s">
        <v>1197</v>
      </c>
      <c r="H2419" t="s">
        <v>10509</v>
      </c>
      <c r="I2419">
        <v>15793</v>
      </c>
      <c r="J2419" t="s">
        <v>10508</v>
      </c>
      <c r="K2419" t="s">
        <v>10510</v>
      </c>
      <c r="L2419" t="s">
        <v>386</v>
      </c>
      <c r="M2419" t="s">
        <v>1193</v>
      </c>
      <c r="N2419">
        <v>15793</v>
      </c>
      <c r="O2419">
        <v>0</v>
      </c>
      <c r="Q2419" t="s">
        <v>10511</v>
      </c>
      <c r="T2419">
        <v>571</v>
      </c>
      <c r="V2419" t="s">
        <v>2003</v>
      </c>
      <c r="W2419" t="s">
        <v>2144</v>
      </c>
      <c r="X2419">
        <v>39</v>
      </c>
      <c r="Z2419" t="s">
        <v>1029</v>
      </c>
      <c r="AA2419" t="s">
        <v>387</v>
      </c>
      <c r="AB2419">
        <v>0</v>
      </c>
      <c r="AC2419">
        <v>210</v>
      </c>
      <c r="AD2419" t="s">
        <v>2615</v>
      </c>
      <c r="AE2419">
        <v>2737</v>
      </c>
      <c r="AF2419" t="s">
        <v>10512</v>
      </c>
      <c r="AG2419" t="s">
        <v>10513</v>
      </c>
      <c r="AH2419" t="s">
        <v>10514</v>
      </c>
    </row>
    <row r="2420" spans="1:34" x14ac:dyDescent="0.25">
      <c r="A2420">
        <v>2134</v>
      </c>
      <c r="C2420" s="185"/>
      <c r="E2420" t="s">
        <v>386</v>
      </c>
      <c r="F2420" t="s">
        <v>10515</v>
      </c>
      <c r="G2420" t="s">
        <v>1238</v>
      </c>
      <c r="H2420" t="s">
        <v>10516</v>
      </c>
      <c r="I2420">
        <v>15272</v>
      </c>
      <c r="J2420" t="s">
        <v>10515</v>
      </c>
      <c r="K2420" t="s">
        <v>10517</v>
      </c>
      <c r="L2420" t="s">
        <v>386</v>
      </c>
      <c r="M2420" t="s">
        <v>1184</v>
      </c>
      <c r="N2420">
        <v>15272</v>
      </c>
      <c r="O2420">
        <v>0</v>
      </c>
      <c r="Q2420" t="s">
        <v>10518</v>
      </c>
      <c r="T2420">
        <v>571</v>
      </c>
      <c r="V2420" t="s">
        <v>2003</v>
      </c>
      <c r="W2420" t="s">
        <v>1257</v>
      </c>
      <c r="X2420">
        <v>426</v>
      </c>
      <c r="Z2420" t="s">
        <v>10519</v>
      </c>
      <c r="AA2420" t="s">
        <v>387</v>
      </c>
      <c r="AB2420">
        <v>0</v>
      </c>
      <c r="AC2420">
        <v>5790</v>
      </c>
      <c r="AD2420" t="s">
        <v>10520</v>
      </c>
      <c r="AE2420">
        <v>18</v>
      </c>
      <c r="AF2420" t="s">
        <v>1259</v>
      </c>
      <c r="AG2420" t="s">
        <v>1244</v>
      </c>
      <c r="AH2420" t="s">
        <v>10521</v>
      </c>
    </row>
    <row r="2421" spans="1:34" x14ac:dyDescent="0.25">
      <c r="A2421">
        <v>1765</v>
      </c>
      <c r="C2421" s="185"/>
      <c r="D2421" t="s">
        <v>157</v>
      </c>
      <c r="E2421" t="s">
        <v>386</v>
      </c>
      <c r="F2421" t="s">
        <v>186</v>
      </c>
      <c r="G2421" t="s">
        <v>1238</v>
      </c>
      <c r="H2421" t="s">
        <v>4900</v>
      </c>
      <c r="I2421">
        <v>12958</v>
      </c>
      <c r="J2421" t="s">
        <v>186</v>
      </c>
      <c r="K2421" t="s">
        <v>10522</v>
      </c>
      <c r="L2421" t="s">
        <v>386</v>
      </c>
      <c r="M2421" t="s">
        <v>1184</v>
      </c>
      <c r="N2421">
        <v>12958</v>
      </c>
      <c r="O2421">
        <v>25</v>
      </c>
      <c r="Q2421" t="s">
        <v>10523</v>
      </c>
      <c r="R2421" t="s">
        <v>398</v>
      </c>
      <c r="T2421">
        <v>571</v>
      </c>
      <c r="V2421" t="s">
        <v>2003</v>
      </c>
      <c r="W2421" t="s">
        <v>1988</v>
      </c>
      <c r="X2421">
        <v>122</v>
      </c>
      <c r="Z2421" t="s">
        <v>4903</v>
      </c>
      <c r="AA2421" t="s">
        <v>387</v>
      </c>
      <c r="AB2421">
        <v>0</v>
      </c>
      <c r="AC2421">
        <v>3399</v>
      </c>
      <c r="AD2421" t="s">
        <v>5316</v>
      </c>
      <c r="AE2421">
        <v>18</v>
      </c>
      <c r="AF2421" t="s">
        <v>1259</v>
      </c>
      <c r="AG2421" t="s">
        <v>2044</v>
      </c>
    </row>
    <row r="2422" spans="1:34" x14ac:dyDescent="0.25">
      <c r="A2422">
        <v>1076</v>
      </c>
      <c r="C2422" s="185"/>
      <c r="E2422" t="s">
        <v>386</v>
      </c>
      <c r="F2422" t="s">
        <v>10524</v>
      </c>
      <c r="G2422" t="s">
        <v>4184</v>
      </c>
      <c r="H2422" t="s">
        <v>10525</v>
      </c>
      <c r="I2422">
        <v>8525</v>
      </c>
      <c r="J2422" t="s">
        <v>10524</v>
      </c>
      <c r="K2422" t="s">
        <v>10524</v>
      </c>
      <c r="L2422" t="s">
        <v>386</v>
      </c>
      <c r="M2422" t="s">
        <v>1193</v>
      </c>
      <c r="N2422">
        <v>8525</v>
      </c>
      <c r="O2422">
        <v>0</v>
      </c>
      <c r="Q2422" t="s">
        <v>10526</v>
      </c>
      <c r="R2422" t="s">
        <v>398</v>
      </c>
      <c r="T2422">
        <v>185</v>
      </c>
      <c r="V2422" t="s">
        <v>1915</v>
      </c>
      <c r="Z2422" t="s">
        <v>10527</v>
      </c>
      <c r="AA2422" t="s">
        <v>387</v>
      </c>
      <c r="AB2422">
        <v>0</v>
      </c>
      <c r="AC2422">
        <v>3424</v>
      </c>
      <c r="AD2422" t="s">
        <v>10528</v>
      </c>
      <c r="AE2422">
        <v>1</v>
      </c>
      <c r="AF2422" t="s">
        <v>1922</v>
      </c>
      <c r="AG2422" t="s">
        <v>6273</v>
      </c>
    </row>
    <row r="2423" spans="1:34" x14ac:dyDescent="0.25">
      <c r="A2423">
        <v>1</v>
      </c>
      <c r="C2423" s="185"/>
      <c r="E2423" t="s">
        <v>386</v>
      </c>
      <c r="F2423" t="s">
        <v>10529</v>
      </c>
      <c r="G2423" t="s">
        <v>1197</v>
      </c>
      <c r="H2423" t="s">
        <v>4775</v>
      </c>
      <c r="I2423">
        <v>13057</v>
      </c>
      <c r="J2423" t="s">
        <v>10529</v>
      </c>
      <c r="K2423" t="s">
        <v>10530</v>
      </c>
      <c r="L2423" t="s">
        <v>386</v>
      </c>
      <c r="M2423" t="s">
        <v>1193</v>
      </c>
      <c r="N2423">
        <v>13057</v>
      </c>
      <c r="O2423">
        <v>0</v>
      </c>
      <c r="Q2423" t="s">
        <v>10531</v>
      </c>
      <c r="R2423" t="s">
        <v>398</v>
      </c>
      <c r="T2423">
        <v>340</v>
      </c>
      <c r="V2423" t="s">
        <v>1200</v>
      </c>
      <c r="W2423" t="s">
        <v>10532</v>
      </c>
      <c r="X2423">
        <v>381</v>
      </c>
      <c r="Z2423" t="s">
        <v>865</v>
      </c>
      <c r="AA2423" t="s">
        <v>387</v>
      </c>
      <c r="AB2423">
        <v>0</v>
      </c>
      <c r="AC2423">
        <v>132</v>
      </c>
      <c r="AD2423" t="s">
        <v>4778</v>
      </c>
      <c r="AE2423">
        <v>1812</v>
      </c>
      <c r="AF2423" t="s">
        <v>3984</v>
      </c>
      <c r="AG2423" t="s">
        <v>10533</v>
      </c>
      <c r="AH2423" t="s">
        <v>10534</v>
      </c>
    </row>
    <row r="2424" spans="1:34" x14ac:dyDescent="0.25">
      <c r="A2424">
        <v>1102</v>
      </c>
      <c r="C2424" s="185"/>
      <c r="E2424" t="s">
        <v>386</v>
      </c>
      <c r="F2424" t="s">
        <v>10535</v>
      </c>
      <c r="G2424" t="s">
        <v>1197</v>
      </c>
      <c r="H2424" t="s">
        <v>10536</v>
      </c>
      <c r="I2424">
        <v>1971</v>
      </c>
      <c r="J2424" t="s">
        <v>10535</v>
      </c>
      <c r="K2424" t="s">
        <v>10535</v>
      </c>
      <c r="L2424" t="s">
        <v>386</v>
      </c>
      <c r="M2424" t="s">
        <v>1193</v>
      </c>
      <c r="N2424">
        <v>1971</v>
      </c>
      <c r="O2424">
        <v>0</v>
      </c>
      <c r="Q2424" t="s">
        <v>10537</v>
      </c>
      <c r="R2424" t="s">
        <v>1208</v>
      </c>
      <c r="T2424">
        <v>372</v>
      </c>
      <c r="V2424" t="s">
        <v>2073</v>
      </c>
      <c r="W2424" t="s">
        <v>2073</v>
      </c>
      <c r="X2424">
        <v>372</v>
      </c>
      <c r="Z2424" t="s">
        <v>10538</v>
      </c>
      <c r="AA2424" t="s">
        <v>387</v>
      </c>
      <c r="AB2424">
        <v>0</v>
      </c>
      <c r="AC2424">
        <v>1462</v>
      </c>
      <c r="AD2424" t="s">
        <v>10539</v>
      </c>
      <c r="AE2424">
        <v>270</v>
      </c>
      <c r="AF2424" t="s">
        <v>1030</v>
      </c>
      <c r="AG2424" t="s">
        <v>10540</v>
      </c>
      <c r="AH2424" t="s">
        <v>10541</v>
      </c>
    </row>
    <row r="2425" spans="1:34" x14ac:dyDescent="0.25">
      <c r="A2425">
        <v>7</v>
      </c>
      <c r="C2425" s="185"/>
      <c r="E2425" t="s">
        <v>386</v>
      </c>
      <c r="F2425" t="s">
        <v>10542</v>
      </c>
      <c r="G2425" t="s">
        <v>1197</v>
      </c>
      <c r="H2425" t="s">
        <v>10543</v>
      </c>
      <c r="I2425">
        <v>16786</v>
      </c>
      <c r="J2425" t="s">
        <v>10542</v>
      </c>
      <c r="K2425" t="s">
        <v>10544</v>
      </c>
      <c r="L2425" t="s">
        <v>386</v>
      </c>
      <c r="M2425" t="s">
        <v>1193</v>
      </c>
      <c r="N2425">
        <v>16786</v>
      </c>
      <c r="O2425">
        <v>0</v>
      </c>
      <c r="Q2425" t="s">
        <v>10545</v>
      </c>
      <c r="T2425">
        <v>260</v>
      </c>
      <c r="V2425" t="s">
        <v>1216</v>
      </c>
      <c r="W2425" t="s">
        <v>1216</v>
      </c>
      <c r="X2425">
        <v>260</v>
      </c>
      <c r="Z2425" t="s">
        <v>10546</v>
      </c>
      <c r="AA2425" t="s">
        <v>387</v>
      </c>
      <c r="AB2425">
        <v>0</v>
      </c>
      <c r="AC2425">
        <v>3759</v>
      </c>
      <c r="AD2425" t="s">
        <v>10547</v>
      </c>
      <c r="AE2425">
        <v>2862</v>
      </c>
      <c r="AF2425" t="s">
        <v>10548</v>
      </c>
      <c r="AG2425" t="s">
        <v>10549</v>
      </c>
      <c r="AH2425" t="s">
        <v>10550</v>
      </c>
    </row>
    <row r="2426" spans="1:34" x14ac:dyDescent="0.25">
      <c r="A2426">
        <v>120</v>
      </c>
      <c r="B2426" t="s">
        <v>1313</v>
      </c>
      <c r="C2426" s="185"/>
      <c r="D2426" t="s">
        <v>24</v>
      </c>
      <c r="E2426" t="s">
        <v>386</v>
      </c>
      <c r="F2426" t="s">
        <v>42</v>
      </c>
      <c r="G2426" t="s">
        <v>1197</v>
      </c>
      <c r="H2426" t="s">
        <v>10551</v>
      </c>
      <c r="I2426">
        <v>507</v>
      </c>
      <c r="J2426" t="s">
        <v>42</v>
      </c>
      <c r="K2426" t="s">
        <v>10552</v>
      </c>
      <c r="L2426" t="s">
        <v>386</v>
      </c>
      <c r="M2426" t="s">
        <v>1193</v>
      </c>
      <c r="N2426">
        <v>507</v>
      </c>
      <c r="O2426">
        <v>65</v>
      </c>
      <c r="Q2426" t="s">
        <v>10553</v>
      </c>
      <c r="R2426" t="s">
        <v>398</v>
      </c>
      <c r="S2426" t="s">
        <v>1909</v>
      </c>
      <c r="T2426">
        <v>220</v>
      </c>
      <c r="U2426">
        <v>0</v>
      </c>
      <c r="V2426" t="s">
        <v>1194</v>
      </c>
      <c r="W2426" t="s">
        <v>1199</v>
      </c>
      <c r="X2426">
        <v>200</v>
      </c>
      <c r="Y2426" t="s">
        <v>1317</v>
      </c>
      <c r="Z2426" t="s">
        <v>1041</v>
      </c>
      <c r="AA2426" t="s">
        <v>387</v>
      </c>
      <c r="AB2426">
        <v>57000</v>
      </c>
      <c r="AC2426">
        <v>504</v>
      </c>
      <c r="AD2426" t="s">
        <v>10554</v>
      </c>
      <c r="AE2426">
        <v>223</v>
      </c>
      <c r="AF2426" t="s">
        <v>10555</v>
      </c>
      <c r="AG2426" t="s">
        <v>8547</v>
      </c>
      <c r="AH2426" t="s">
        <v>7273</v>
      </c>
    </row>
    <row r="2427" spans="1:34" x14ac:dyDescent="0.25">
      <c r="A2427">
        <v>1532</v>
      </c>
      <c r="C2427" s="185"/>
      <c r="D2427" t="s">
        <v>24</v>
      </c>
      <c r="E2427" t="s">
        <v>386</v>
      </c>
      <c r="F2427" t="s">
        <v>10556</v>
      </c>
      <c r="G2427" t="s">
        <v>1197</v>
      </c>
      <c r="H2427" t="s">
        <v>10557</v>
      </c>
      <c r="I2427">
        <v>2612</v>
      </c>
      <c r="J2427" t="s">
        <v>10556</v>
      </c>
      <c r="K2427" t="s">
        <v>7505</v>
      </c>
      <c r="L2427" t="s">
        <v>386</v>
      </c>
      <c r="M2427" t="s">
        <v>1193</v>
      </c>
      <c r="N2427">
        <v>2612</v>
      </c>
      <c r="O2427">
        <v>65</v>
      </c>
      <c r="Q2427" t="s">
        <v>10558</v>
      </c>
      <c r="R2427" t="s">
        <v>398</v>
      </c>
      <c r="T2427">
        <v>220</v>
      </c>
      <c r="V2427" t="s">
        <v>1194</v>
      </c>
      <c r="W2427" t="s">
        <v>2024</v>
      </c>
      <c r="X2427">
        <v>52</v>
      </c>
      <c r="Z2427" t="s">
        <v>10559</v>
      </c>
      <c r="AA2427" t="s">
        <v>387</v>
      </c>
      <c r="AB2427">
        <v>57000</v>
      </c>
      <c r="AC2427">
        <v>2058</v>
      </c>
      <c r="AD2427" t="s">
        <v>10560</v>
      </c>
      <c r="AE2427">
        <v>991</v>
      </c>
      <c r="AF2427" t="s">
        <v>10561</v>
      </c>
      <c r="AG2427" t="s">
        <v>1244</v>
      </c>
    </row>
    <row r="2428" spans="1:34" x14ac:dyDescent="0.25">
      <c r="A2428">
        <v>7</v>
      </c>
      <c r="C2428" s="185"/>
      <c r="E2428" t="s">
        <v>386</v>
      </c>
      <c r="F2428" t="s">
        <v>10562</v>
      </c>
      <c r="G2428" t="s">
        <v>1197</v>
      </c>
      <c r="H2428" t="s">
        <v>10563</v>
      </c>
      <c r="I2428">
        <v>2479</v>
      </c>
      <c r="J2428" t="s">
        <v>10562</v>
      </c>
      <c r="K2428" t="s">
        <v>10564</v>
      </c>
      <c r="L2428" t="s">
        <v>386</v>
      </c>
      <c r="M2428" t="s">
        <v>1193</v>
      </c>
      <c r="N2428">
        <v>2479</v>
      </c>
      <c r="O2428">
        <v>0</v>
      </c>
      <c r="Q2428" t="s">
        <v>10565</v>
      </c>
      <c r="T2428">
        <v>52</v>
      </c>
      <c r="V2428" t="s">
        <v>2024</v>
      </c>
      <c r="Z2428" t="s">
        <v>10546</v>
      </c>
      <c r="AA2428" t="s">
        <v>387</v>
      </c>
      <c r="AB2428">
        <v>0</v>
      </c>
      <c r="AC2428">
        <v>1794</v>
      </c>
      <c r="AD2428" t="s">
        <v>10566</v>
      </c>
      <c r="AE2428">
        <v>13</v>
      </c>
      <c r="AF2428" t="s">
        <v>10567</v>
      </c>
      <c r="AG2428" t="s">
        <v>8575</v>
      </c>
    </row>
    <row r="2429" spans="1:34" x14ac:dyDescent="0.25">
      <c r="A2429">
        <v>7</v>
      </c>
      <c r="C2429" s="185"/>
      <c r="E2429" t="s">
        <v>386</v>
      </c>
      <c r="F2429" t="s">
        <v>10568</v>
      </c>
      <c r="G2429" t="s">
        <v>1197</v>
      </c>
      <c r="H2429" t="s">
        <v>10569</v>
      </c>
      <c r="I2429">
        <v>13358</v>
      </c>
      <c r="J2429" t="s">
        <v>10568</v>
      </c>
      <c r="K2429" t="s">
        <v>10568</v>
      </c>
      <c r="L2429" t="s">
        <v>386</v>
      </c>
      <c r="M2429" t="s">
        <v>1193</v>
      </c>
      <c r="N2429">
        <v>13358</v>
      </c>
      <c r="O2429">
        <v>0</v>
      </c>
      <c r="Q2429" t="s">
        <v>10570</v>
      </c>
      <c r="R2429" t="s">
        <v>1208</v>
      </c>
      <c r="T2429">
        <v>103</v>
      </c>
      <c r="V2429" t="s">
        <v>1530</v>
      </c>
      <c r="W2429" t="s">
        <v>1530</v>
      </c>
      <c r="X2429">
        <v>103</v>
      </c>
      <c r="Z2429" t="s">
        <v>10546</v>
      </c>
      <c r="AA2429" t="s">
        <v>387</v>
      </c>
      <c r="AB2429">
        <v>0</v>
      </c>
      <c r="AC2429">
        <v>5007</v>
      </c>
      <c r="AD2429" t="s">
        <v>10571</v>
      </c>
      <c r="AE2429">
        <v>2318</v>
      </c>
      <c r="AF2429" t="s">
        <v>10572</v>
      </c>
      <c r="AG2429" t="s">
        <v>8575</v>
      </c>
      <c r="AH2429" t="s">
        <v>10573</v>
      </c>
    </row>
    <row r="2430" spans="1:34" x14ac:dyDescent="0.25">
      <c r="A2430">
        <v>120</v>
      </c>
      <c r="C2430" s="185"/>
      <c r="E2430" t="s">
        <v>386</v>
      </c>
      <c r="F2430" t="s">
        <v>291</v>
      </c>
      <c r="G2430" t="s">
        <v>1197</v>
      </c>
      <c r="H2430" t="s">
        <v>10574</v>
      </c>
      <c r="I2430">
        <v>14745</v>
      </c>
      <c r="J2430" t="s">
        <v>291</v>
      </c>
      <c r="K2430" t="s">
        <v>10575</v>
      </c>
      <c r="L2430" t="s">
        <v>386</v>
      </c>
      <c r="M2430" t="s">
        <v>1193</v>
      </c>
      <c r="N2430">
        <v>14745</v>
      </c>
      <c r="O2430">
        <v>0</v>
      </c>
      <c r="Q2430" t="s">
        <v>10576</v>
      </c>
      <c r="T2430">
        <v>340</v>
      </c>
      <c r="V2430" t="s">
        <v>1200</v>
      </c>
      <c r="W2430" t="s">
        <v>1216</v>
      </c>
      <c r="X2430">
        <v>260</v>
      </c>
      <c r="Z2430" t="s">
        <v>1041</v>
      </c>
      <c r="AA2430" t="s">
        <v>387</v>
      </c>
      <c r="AB2430">
        <v>0</v>
      </c>
      <c r="AC2430">
        <v>5607</v>
      </c>
      <c r="AD2430" t="s">
        <v>10577</v>
      </c>
      <c r="AE2430">
        <v>2594</v>
      </c>
      <c r="AF2430" t="s">
        <v>10578</v>
      </c>
      <c r="AG2430" t="s">
        <v>2336</v>
      </c>
      <c r="AH2430" t="s">
        <v>10579</v>
      </c>
    </row>
    <row r="2431" spans="1:34" x14ac:dyDescent="0.25">
      <c r="A2431">
        <v>1112</v>
      </c>
      <c r="C2431" s="185"/>
      <c r="D2431" t="s">
        <v>24</v>
      </c>
      <c r="E2431" t="s">
        <v>386</v>
      </c>
      <c r="F2431" t="s">
        <v>10580</v>
      </c>
      <c r="G2431" t="s">
        <v>1197</v>
      </c>
      <c r="H2431" t="s">
        <v>10581</v>
      </c>
      <c r="I2431">
        <v>2674</v>
      </c>
      <c r="J2431" t="s">
        <v>10580</v>
      </c>
      <c r="K2431" t="s">
        <v>10582</v>
      </c>
      <c r="L2431" t="s">
        <v>386</v>
      </c>
      <c r="M2431" t="s">
        <v>1193</v>
      </c>
      <c r="N2431">
        <v>2674</v>
      </c>
      <c r="O2431">
        <v>23</v>
      </c>
      <c r="Q2431" t="s">
        <v>10583</v>
      </c>
      <c r="R2431" t="s">
        <v>398</v>
      </c>
      <c r="T2431">
        <v>52</v>
      </c>
      <c r="V2431" t="s">
        <v>2024</v>
      </c>
      <c r="Z2431" t="s">
        <v>10584</v>
      </c>
      <c r="AA2431" t="s">
        <v>387</v>
      </c>
      <c r="AB2431">
        <v>17000</v>
      </c>
      <c r="AC2431">
        <v>1965</v>
      </c>
      <c r="AD2431" t="s">
        <v>10585</v>
      </c>
      <c r="AE2431">
        <v>948</v>
      </c>
      <c r="AF2431" t="s">
        <v>10586</v>
      </c>
      <c r="AG2431" t="s">
        <v>7296</v>
      </c>
      <c r="AH2431" t="s">
        <v>10587</v>
      </c>
    </row>
    <row r="2432" spans="1:34" x14ac:dyDescent="0.25">
      <c r="A2432">
        <v>133</v>
      </c>
      <c r="C2432" s="185"/>
      <c r="E2432" t="s">
        <v>386</v>
      </c>
      <c r="F2432" t="s">
        <v>10588</v>
      </c>
      <c r="G2432" t="s">
        <v>1197</v>
      </c>
      <c r="H2432" t="s">
        <v>10589</v>
      </c>
      <c r="I2432">
        <v>15878</v>
      </c>
      <c r="J2432" t="s">
        <v>10588</v>
      </c>
      <c r="K2432" t="s">
        <v>10590</v>
      </c>
      <c r="L2432" t="s">
        <v>386</v>
      </c>
      <c r="M2432" t="s">
        <v>1193</v>
      </c>
      <c r="N2432">
        <v>15878</v>
      </c>
      <c r="O2432">
        <v>0</v>
      </c>
      <c r="Q2432" t="s">
        <v>10591</v>
      </c>
      <c r="T2432">
        <v>426</v>
      </c>
      <c r="V2432" t="s">
        <v>1257</v>
      </c>
      <c r="W2432" t="s">
        <v>1216</v>
      </c>
      <c r="X2432">
        <v>260</v>
      </c>
      <c r="Z2432" t="s">
        <v>3195</v>
      </c>
      <c r="AA2432" t="s">
        <v>387</v>
      </c>
      <c r="AB2432">
        <v>0</v>
      </c>
      <c r="AC2432">
        <v>5985</v>
      </c>
      <c r="AD2432" t="s">
        <v>10592</v>
      </c>
      <c r="AE2432">
        <v>1314</v>
      </c>
      <c r="AF2432" t="s">
        <v>10593</v>
      </c>
      <c r="AG2432" t="s">
        <v>1244</v>
      </c>
      <c r="AH2432" t="s">
        <v>10594</v>
      </c>
    </row>
    <row r="2433" spans="1:34" x14ac:dyDescent="0.25">
      <c r="A2433">
        <v>133</v>
      </c>
      <c r="B2433" t="s">
        <v>1313</v>
      </c>
      <c r="C2433" s="185"/>
      <c r="D2433" t="s">
        <v>24</v>
      </c>
      <c r="E2433" t="s">
        <v>386</v>
      </c>
      <c r="F2433" t="s">
        <v>10595</v>
      </c>
      <c r="G2433" t="s">
        <v>1197</v>
      </c>
      <c r="H2433" t="s">
        <v>10596</v>
      </c>
      <c r="I2433">
        <v>2269</v>
      </c>
      <c r="J2433" t="s">
        <v>10595</v>
      </c>
      <c r="K2433" t="s">
        <v>10597</v>
      </c>
      <c r="L2433" t="s">
        <v>386</v>
      </c>
      <c r="M2433" t="s">
        <v>1193</v>
      </c>
      <c r="N2433">
        <v>2269</v>
      </c>
      <c r="O2433">
        <v>76</v>
      </c>
      <c r="Q2433" t="s">
        <v>10598</v>
      </c>
      <c r="R2433" t="s">
        <v>398</v>
      </c>
      <c r="S2433" t="s">
        <v>1909</v>
      </c>
      <c r="T2433">
        <v>220</v>
      </c>
      <c r="U2433">
        <v>0</v>
      </c>
      <c r="V2433" t="s">
        <v>1194</v>
      </c>
      <c r="W2433" t="s">
        <v>1194</v>
      </c>
      <c r="X2433">
        <v>220</v>
      </c>
      <c r="Y2433" t="s">
        <v>1317</v>
      </c>
      <c r="Z2433" t="s">
        <v>3195</v>
      </c>
      <c r="AA2433" t="s">
        <v>387</v>
      </c>
      <c r="AB2433">
        <v>0</v>
      </c>
      <c r="AC2433">
        <v>1671</v>
      </c>
      <c r="AD2433" t="s">
        <v>10599</v>
      </c>
      <c r="AE2433">
        <v>817</v>
      </c>
      <c r="AF2433" t="s">
        <v>10600</v>
      </c>
      <c r="AG2433" t="s">
        <v>10601</v>
      </c>
      <c r="AH2433" t="s">
        <v>10602</v>
      </c>
    </row>
    <row r="2434" spans="1:34" x14ac:dyDescent="0.25">
      <c r="A2434">
        <v>133</v>
      </c>
      <c r="C2434" s="185"/>
      <c r="E2434" t="s">
        <v>386</v>
      </c>
      <c r="F2434" t="s">
        <v>10603</v>
      </c>
      <c r="G2434" t="s">
        <v>1197</v>
      </c>
      <c r="H2434" t="s">
        <v>10604</v>
      </c>
      <c r="I2434">
        <v>15365</v>
      </c>
      <c r="J2434" t="s">
        <v>10603</v>
      </c>
      <c r="K2434" t="s">
        <v>10605</v>
      </c>
      <c r="L2434" t="s">
        <v>386</v>
      </c>
      <c r="M2434" t="s">
        <v>1193</v>
      </c>
      <c r="N2434">
        <v>15365</v>
      </c>
      <c r="O2434">
        <v>0</v>
      </c>
      <c r="Q2434" t="s">
        <v>10606</v>
      </c>
      <c r="T2434">
        <v>426</v>
      </c>
      <c r="V2434" t="s">
        <v>1257</v>
      </c>
      <c r="W2434" t="s">
        <v>1257</v>
      </c>
      <c r="X2434">
        <v>426</v>
      </c>
      <c r="Z2434" t="s">
        <v>3195</v>
      </c>
      <c r="AA2434" t="s">
        <v>387</v>
      </c>
      <c r="AB2434">
        <v>0</v>
      </c>
      <c r="AC2434">
        <v>5815</v>
      </c>
      <c r="AD2434" t="s">
        <v>10607</v>
      </c>
      <c r="AE2434">
        <v>2222</v>
      </c>
      <c r="AF2434" t="s">
        <v>10608</v>
      </c>
      <c r="AG2434" t="s">
        <v>10609</v>
      </c>
      <c r="AH2434" t="s">
        <v>10610</v>
      </c>
    </row>
    <row r="2435" spans="1:34" x14ac:dyDescent="0.25">
      <c r="A2435">
        <v>133</v>
      </c>
      <c r="C2435" s="185"/>
      <c r="E2435" t="s">
        <v>386</v>
      </c>
      <c r="F2435" t="s">
        <v>10611</v>
      </c>
      <c r="G2435" t="s">
        <v>4184</v>
      </c>
      <c r="H2435" t="s">
        <v>10612</v>
      </c>
      <c r="I2435">
        <v>7932</v>
      </c>
      <c r="J2435" t="s">
        <v>10613</v>
      </c>
      <c r="K2435" t="s">
        <v>10613</v>
      </c>
      <c r="L2435" t="s">
        <v>386</v>
      </c>
      <c r="M2435" t="s">
        <v>1193</v>
      </c>
      <c r="N2435">
        <v>6756</v>
      </c>
      <c r="O2435">
        <v>0</v>
      </c>
      <c r="Q2435" t="s">
        <v>10614</v>
      </c>
      <c r="R2435" t="s">
        <v>1208</v>
      </c>
      <c r="T2435">
        <v>372</v>
      </c>
      <c r="V2435" t="s">
        <v>2073</v>
      </c>
      <c r="W2435" t="s">
        <v>1988</v>
      </c>
      <c r="X2435">
        <v>122</v>
      </c>
      <c r="Z2435" t="s">
        <v>3195</v>
      </c>
      <c r="AA2435" t="s">
        <v>387</v>
      </c>
      <c r="AB2435">
        <v>0</v>
      </c>
      <c r="AC2435">
        <v>3252</v>
      </c>
      <c r="AD2435" t="s">
        <v>10615</v>
      </c>
      <c r="AE2435">
        <v>1525</v>
      </c>
      <c r="AF2435" t="s">
        <v>10616</v>
      </c>
      <c r="AG2435" t="s">
        <v>10617</v>
      </c>
    </row>
    <row r="2436" spans="1:34" x14ac:dyDescent="0.25">
      <c r="A2436">
        <v>133</v>
      </c>
      <c r="C2436" s="185"/>
      <c r="E2436" t="s">
        <v>386</v>
      </c>
      <c r="F2436" t="s">
        <v>10618</v>
      </c>
      <c r="G2436" t="s">
        <v>1197</v>
      </c>
      <c r="H2436" t="s">
        <v>10619</v>
      </c>
      <c r="I2436">
        <v>5533</v>
      </c>
      <c r="J2436" t="s">
        <v>10618</v>
      </c>
      <c r="K2436" t="s">
        <v>10618</v>
      </c>
      <c r="L2436" t="s">
        <v>386</v>
      </c>
      <c r="M2436" t="s">
        <v>1193</v>
      </c>
      <c r="N2436">
        <v>5533</v>
      </c>
      <c r="O2436">
        <v>0</v>
      </c>
      <c r="Q2436" t="s">
        <v>10620</v>
      </c>
      <c r="T2436">
        <v>39</v>
      </c>
      <c r="V2436" t="s">
        <v>2144</v>
      </c>
      <c r="Z2436" t="s">
        <v>3195</v>
      </c>
      <c r="AA2436" t="s">
        <v>387</v>
      </c>
      <c r="AB2436">
        <v>0</v>
      </c>
      <c r="AC2436">
        <v>2632</v>
      </c>
      <c r="AD2436" t="s">
        <v>10621</v>
      </c>
      <c r="AE2436">
        <v>1023</v>
      </c>
      <c r="AF2436" t="s">
        <v>10622</v>
      </c>
      <c r="AG2436" t="s">
        <v>10623</v>
      </c>
    </row>
    <row r="2437" spans="1:34" x14ac:dyDescent="0.25">
      <c r="A2437">
        <v>133</v>
      </c>
      <c r="C2437" s="185"/>
      <c r="E2437" t="s">
        <v>386</v>
      </c>
      <c r="F2437" t="s">
        <v>10624</v>
      </c>
      <c r="G2437" t="s">
        <v>1197</v>
      </c>
      <c r="H2437" t="s">
        <v>10625</v>
      </c>
      <c r="I2437">
        <v>9202</v>
      </c>
      <c r="J2437" t="s">
        <v>10624</v>
      </c>
      <c r="K2437" t="s">
        <v>10624</v>
      </c>
      <c r="L2437" t="s">
        <v>386</v>
      </c>
      <c r="M2437" t="s">
        <v>1193</v>
      </c>
      <c r="N2437">
        <v>9202</v>
      </c>
      <c r="O2437">
        <v>0</v>
      </c>
      <c r="Q2437" t="s">
        <v>10626</v>
      </c>
      <c r="R2437" t="s">
        <v>1208</v>
      </c>
      <c r="T2437">
        <v>372</v>
      </c>
      <c r="V2437" t="s">
        <v>2073</v>
      </c>
      <c r="W2437" t="s">
        <v>1200</v>
      </c>
      <c r="X2437">
        <v>340</v>
      </c>
      <c r="Z2437" t="s">
        <v>3195</v>
      </c>
      <c r="AA2437" t="s">
        <v>387</v>
      </c>
      <c r="AB2437">
        <v>0</v>
      </c>
      <c r="AC2437">
        <v>3669</v>
      </c>
      <c r="AD2437" t="s">
        <v>10627</v>
      </c>
      <c r="AE2437">
        <v>2503</v>
      </c>
      <c r="AF2437" t="s">
        <v>8703</v>
      </c>
      <c r="AG2437" t="s">
        <v>2788</v>
      </c>
      <c r="AH2437" t="s">
        <v>10628</v>
      </c>
    </row>
    <row r="2438" spans="1:34" x14ac:dyDescent="0.25">
      <c r="A2438">
        <v>133</v>
      </c>
      <c r="B2438" t="s">
        <v>1313</v>
      </c>
      <c r="C2438" s="185"/>
      <c r="D2438" t="s">
        <v>24</v>
      </c>
      <c r="E2438" t="s">
        <v>386</v>
      </c>
      <c r="F2438" t="s">
        <v>10629</v>
      </c>
      <c r="G2438" t="s">
        <v>1197</v>
      </c>
      <c r="H2438" t="s">
        <v>10630</v>
      </c>
      <c r="I2438">
        <v>848</v>
      </c>
      <c r="J2438" t="s">
        <v>10629</v>
      </c>
      <c r="K2438" t="s">
        <v>10629</v>
      </c>
      <c r="L2438" t="s">
        <v>386</v>
      </c>
      <c r="M2438" t="s">
        <v>1193</v>
      </c>
      <c r="N2438">
        <v>848</v>
      </c>
      <c r="O2438">
        <v>0</v>
      </c>
      <c r="Q2438" t="s">
        <v>10631</v>
      </c>
      <c r="S2438" t="s">
        <v>1315</v>
      </c>
      <c r="T2438">
        <v>16</v>
      </c>
      <c r="U2438">
        <v>0</v>
      </c>
      <c r="V2438" t="s">
        <v>8372</v>
      </c>
      <c r="Y2438" t="s">
        <v>1317</v>
      </c>
      <c r="Z2438" t="s">
        <v>3195</v>
      </c>
      <c r="AA2438" t="s">
        <v>387</v>
      </c>
      <c r="AB2438">
        <v>0</v>
      </c>
      <c r="AC2438">
        <v>734</v>
      </c>
      <c r="AD2438" t="s">
        <v>10632</v>
      </c>
      <c r="AE2438">
        <v>356</v>
      </c>
      <c r="AF2438" t="s">
        <v>10633</v>
      </c>
      <c r="AG2438" t="s">
        <v>1244</v>
      </c>
    </row>
    <row r="2439" spans="1:34" x14ac:dyDescent="0.25">
      <c r="A2439">
        <v>133</v>
      </c>
      <c r="B2439" t="s">
        <v>1313</v>
      </c>
      <c r="C2439" s="185"/>
      <c r="D2439" t="s">
        <v>24</v>
      </c>
      <c r="E2439" t="s">
        <v>386</v>
      </c>
      <c r="F2439" t="s">
        <v>10634</v>
      </c>
      <c r="G2439" t="s">
        <v>1197</v>
      </c>
      <c r="H2439" t="s">
        <v>10635</v>
      </c>
      <c r="I2439">
        <v>790</v>
      </c>
      <c r="J2439" t="s">
        <v>10634</v>
      </c>
      <c r="K2439" t="s">
        <v>10634</v>
      </c>
      <c r="L2439" t="s">
        <v>386</v>
      </c>
      <c r="M2439" t="s">
        <v>1193</v>
      </c>
      <c r="N2439">
        <v>790</v>
      </c>
      <c r="O2439">
        <v>0</v>
      </c>
      <c r="Q2439" t="s">
        <v>10636</v>
      </c>
      <c r="S2439" t="s">
        <v>1315</v>
      </c>
      <c r="T2439">
        <v>103</v>
      </c>
      <c r="U2439">
        <v>0</v>
      </c>
      <c r="V2439" t="s">
        <v>1530</v>
      </c>
      <c r="W2439" t="s">
        <v>2073</v>
      </c>
      <c r="X2439">
        <v>372</v>
      </c>
      <c r="Y2439" t="s">
        <v>1317</v>
      </c>
      <c r="Z2439" t="s">
        <v>3195</v>
      </c>
      <c r="AA2439" t="s">
        <v>387</v>
      </c>
      <c r="AB2439">
        <v>0</v>
      </c>
      <c r="AC2439">
        <v>696</v>
      </c>
      <c r="AD2439" t="s">
        <v>10637</v>
      </c>
      <c r="AE2439">
        <v>332</v>
      </c>
      <c r="AF2439" t="s">
        <v>10638</v>
      </c>
      <c r="AG2439" t="s">
        <v>3047</v>
      </c>
      <c r="AH2439" t="s">
        <v>10639</v>
      </c>
    </row>
    <row r="2440" spans="1:34" x14ac:dyDescent="0.25">
      <c r="A2440">
        <v>133</v>
      </c>
      <c r="C2440" s="185"/>
      <c r="E2440" t="s">
        <v>386</v>
      </c>
      <c r="F2440" t="s">
        <v>10640</v>
      </c>
      <c r="G2440" t="s">
        <v>1197</v>
      </c>
      <c r="H2440" t="s">
        <v>10641</v>
      </c>
      <c r="I2440">
        <v>16661</v>
      </c>
      <c r="J2440" t="s">
        <v>10640</v>
      </c>
      <c r="K2440" t="s">
        <v>10640</v>
      </c>
      <c r="L2440" t="s">
        <v>386</v>
      </c>
      <c r="M2440" t="s">
        <v>1193</v>
      </c>
      <c r="N2440">
        <v>16661</v>
      </c>
      <c r="O2440">
        <v>0</v>
      </c>
      <c r="Q2440" t="s">
        <v>10642</v>
      </c>
      <c r="R2440" t="s">
        <v>398</v>
      </c>
      <c r="T2440">
        <v>396</v>
      </c>
      <c r="V2440" t="s">
        <v>2186</v>
      </c>
      <c r="W2440" t="s">
        <v>2186</v>
      </c>
      <c r="X2440">
        <v>396</v>
      </c>
      <c r="Z2440" t="s">
        <v>3195</v>
      </c>
      <c r="AA2440" t="s">
        <v>387</v>
      </c>
      <c r="AB2440">
        <v>0</v>
      </c>
      <c r="AC2440">
        <v>6220</v>
      </c>
      <c r="AD2440" t="s">
        <v>10643</v>
      </c>
      <c r="AE2440">
        <v>1929</v>
      </c>
      <c r="AF2440" t="s">
        <v>10644</v>
      </c>
      <c r="AG2440" t="s">
        <v>10645</v>
      </c>
      <c r="AH2440" t="s">
        <v>10646</v>
      </c>
    </row>
    <row r="2441" spans="1:34" x14ac:dyDescent="0.25">
      <c r="A2441">
        <v>203</v>
      </c>
      <c r="B2441" t="s">
        <v>1313</v>
      </c>
      <c r="C2441" s="185"/>
      <c r="D2441" t="s">
        <v>24</v>
      </c>
      <c r="E2441" t="s">
        <v>386</v>
      </c>
      <c r="F2441" t="s">
        <v>513</v>
      </c>
      <c r="G2441" t="s">
        <v>1197</v>
      </c>
      <c r="H2441" t="s">
        <v>10647</v>
      </c>
      <c r="I2441">
        <v>1014</v>
      </c>
      <c r="J2441" t="s">
        <v>10648</v>
      </c>
      <c r="K2441" t="s">
        <v>10649</v>
      </c>
      <c r="L2441" t="s">
        <v>386</v>
      </c>
      <c r="M2441" t="s">
        <v>1193</v>
      </c>
      <c r="N2441">
        <v>16145</v>
      </c>
      <c r="O2441">
        <v>76</v>
      </c>
      <c r="Q2441" t="s">
        <v>10650</v>
      </c>
      <c r="R2441" t="s">
        <v>398</v>
      </c>
      <c r="S2441" t="s">
        <v>1909</v>
      </c>
      <c r="T2441">
        <v>220</v>
      </c>
      <c r="U2441">
        <v>0</v>
      </c>
      <c r="V2441" t="s">
        <v>1194</v>
      </c>
      <c r="W2441" t="s">
        <v>1199</v>
      </c>
      <c r="X2441">
        <v>200</v>
      </c>
      <c r="Y2441" t="s">
        <v>1317</v>
      </c>
      <c r="Z2441" t="s">
        <v>10651</v>
      </c>
      <c r="AA2441" t="s">
        <v>387</v>
      </c>
      <c r="AB2441">
        <v>0</v>
      </c>
      <c r="AC2441">
        <v>842</v>
      </c>
      <c r="AD2441" t="s">
        <v>10652</v>
      </c>
      <c r="AE2441">
        <v>64</v>
      </c>
      <c r="AF2441" t="s">
        <v>7841</v>
      </c>
      <c r="AG2441" t="s">
        <v>3120</v>
      </c>
      <c r="AH2441" t="s">
        <v>10653</v>
      </c>
    </row>
    <row r="2442" spans="1:34" x14ac:dyDescent="0.25">
      <c r="A2442">
        <v>1</v>
      </c>
      <c r="C2442" s="185"/>
      <c r="E2442" t="s">
        <v>386</v>
      </c>
      <c r="F2442" t="s">
        <v>10654</v>
      </c>
      <c r="H2442" t="s">
        <v>5870</v>
      </c>
      <c r="I2442">
        <v>10468</v>
      </c>
      <c r="J2442" t="s">
        <v>10654</v>
      </c>
      <c r="K2442" t="s">
        <v>10655</v>
      </c>
      <c r="L2442" t="s">
        <v>386</v>
      </c>
      <c r="M2442" t="s">
        <v>1193</v>
      </c>
      <c r="N2442">
        <v>10468</v>
      </c>
      <c r="O2442">
        <v>0</v>
      </c>
      <c r="Q2442" t="s">
        <v>10656</v>
      </c>
      <c r="R2442" t="s">
        <v>1223</v>
      </c>
      <c r="T2442">
        <v>103</v>
      </c>
      <c r="V2442" t="s">
        <v>1530</v>
      </c>
      <c r="W2442" t="s">
        <v>1530</v>
      </c>
      <c r="X2442">
        <v>103</v>
      </c>
      <c r="Z2442" t="s">
        <v>865</v>
      </c>
      <c r="AA2442" t="s">
        <v>387</v>
      </c>
      <c r="AB2442">
        <v>0</v>
      </c>
      <c r="AC2442">
        <v>4886</v>
      </c>
      <c r="AD2442" t="s">
        <v>10657</v>
      </c>
      <c r="AE2442">
        <v>2</v>
      </c>
      <c r="AF2442" t="s">
        <v>2919</v>
      </c>
      <c r="AG2442" t="s">
        <v>1244</v>
      </c>
      <c r="AH2442" t="s">
        <v>10658</v>
      </c>
    </row>
    <row r="2443" spans="1:34" x14ac:dyDescent="0.25">
      <c r="A2443">
        <v>1684</v>
      </c>
      <c r="C2443" s="185"/>
      <c r="E2443" t="s">
        <v>386</v>
      </c>
      <c r="F2443" t="s">
        <v>10659</v>
      </c>
      <c r="G2443" t="s">
        <v>1197</v>
      </c>
      <c r="H2443" t="s">
        <v>10660</v>
      </c>
      <c r="I2443">
        <v>16080</v>
      </c>
      <c r="J2443" t="s">
        <v>10659</v>
      </c>
      <c r="K2443" t="s">
        <v>10661</v>
      </c>
      <c r="L2443" t="s">
        <v>386</v>
      </c>
      <c r="M2443" t="s">
        <v>1193</v>
      </c>
      <c r="N2443">
        <v>16080</v>
      </c>
      <c r="O2443">
        <v>0</v>
      </c>
      <c r="Q2443" t="s">
        <v>10662</v>
      </c>
      <c r="T2443">
        <v>496</v>
      </c>
      <c r="V2443" t="s">
        <v>2246</v>
      </c>
      <c r="W2443" t="s">
        <v>2246</v>
      </c>
      <c r="X2443">
        <v>496</v>
      </c>
      <c r="Z2443" t="s">
        <v>10663</v>
      </c>
      <c r="AA2443" t="s">
        <v>387</v>
      </c>
      <c r="AB2443">
        <v>0</v>
      </c>
      <c r="AC2443">
        <v>6050</v>
      </c>
      <c r="AD2443" t="s">
        <v>10664</v>
      </c>
      <c r="AE2443">
        <v>2781</v>
      </c>
      <c r="AF2443" t="s">
        <v>10665</v>
      </c>
      <c r="AG2443" t="s">
        <v>3508</v>
      </c>
      <c r="AH2443" t="s">
        <v>10666</v>
      </c>
    </row>
    <row r="2444" spans="1:34" x14ac:dyDescent="0.25">
      <c r="A2444">
        <v>147</v>
      </c>
      <c r="C2444" s="185"/>
      <c r="E2444" t="s">
        <v>386</v>
      </c>
      <c r="F2444" t="s">
        <v>10667</v>
      </c>
      <c r="G2444" t="s">
        <v>1197</v>
      </c>
      <c r="H2444" t="s">
        <v>9622</v>
      </c>
      <c r="I2444">
        <v>891</v>
      </c>
      <c r="J2444" t="s">
        <v>10667</v>
      </c>
      <c r="K2444" t="s">
        <v>10667</v>
      </c>
      <c r="L2444" t="s">
        <v>386</v>
      </c>
      <c r="M2444" t="s">
        <v>1193</v>
      </c>
      <c r="N2444">
        <v>891</v>
      </c>
      <c r="O2444">
        <v>0</v>
      </c>
      <c r="Q2444" t="s">
        <v>10668</v>
      </c>
      <c r="T2444">
        <v>39</v>
      </c>
      <c r="V2444" t="s">
        <v>2144</v>
      </c>
      <c r="W2444" t="s">
        <v>1205</v>
      </c>
      <c r="X2444">
        <v>2</v>
      </c>
      <c r="Z2444" t="s">
        <v>9623</v>
      </c>
      <c r="AA2444" t="s">
        <v>387</v>
      </c>
      <c r="AB2444">
        <v>0</v>
      </c>
      <c r="AC2444">
        <v>261</v>
      </c>
      <c r="AD2444" t="s">
        <v>10669</v>
      </c>
      <c r="AE2444">
        <v>1</v>
      </c>
      <c r="AF2444" t="s">
        <v>1922</v>
      </c>
      <c r="AG2444" t="s">
        <v>10670</v>
      </c>
      <c r="AH2444" t="s">
        <v>10671</v>
      </c>
    </row>
    <row r="2445" spans="1:34" x14ac:dyDescent="0.25">
      <c r="A2445">
        <v>1890</v>
      </c>
      <c r="C2445" s="185"/>
      <c r="D2445" t="s">
        <v>157</v>
      </c>
      <c r="E2445" t="s">
        <v>386</v>
      </c>
      <c r="F2445" t="s">
        <v>10672</v>
      </c>
      <c r="G2445" t="s">
        <v>1197</v>
      </c>
      <c r="H2445" t="s">
        <v>10673</v>
      </c>
      <c r="I2445">
        <v>10340</v>
      </c>
      <c r="J2445" t="s">
        <v>10672</v>
      </c>
      <c r="K2445" t="s">
        <v>10672</v>
      </c>
      <c r="L2445" t="s">
        <v>386</v>
      </c>
      <c r="M2445" t="s">
        <v>1193</v>
      </c>
      <c r="N2445">
        <v>10340</v>
      </c>
      <c r="O2445">
        <v>0</v>
      </c>
      <c r="Q2445" t="s">
        <v>10674</v>
      </c>
      <c r="R2445" t="s">
        <v>398</v>
      </c>
      <c r="T2445">
        <v>52</v>
      </c>
      <c r="V2445" t="s">
        <v>2024</v>
      </c>
      <c r="W2445" t="s">
        <v>1199</v>
      </c>
      <c r="X2445">
        <v>200</v>
      </c>
      <c r="Z2445" t="s">
        <v>10675</v>
      </c>
      <c r="AA2445" t="s">
        <v>387</v>
      </c>
      <c r="AB2445">
        <v>0</v>
      </c>
      <c r="AC2445">
        <v>4008</v>
      </c>
      <c r="AD2445" t="s">
        <v>10676</v>
      </c>
      <c r="AE2445">
        <v>1842</v>
      </c>
      <c r="AF2445" t="s">
        <v>10677</v>
      </c>
      <c r="AG2445" t="s">
        <v>1244</v>
      </c>
    </row>
    <row r="2446" spans="1:34" x14ac:dyDescent="0.25">
      <c r="A2446">
        <v>2196</v>
      </c>
      <c r="C2446" s="185"/>
      <c r="E2446" t="s">
        <v>386</v>
      </c>
      <c r="F2446" t="s">
        <v>10678</v>
      </c>
      <c r="G2446" t="s">
        <v>1197</v>
      </c>
      <c r="H2446" t="s">
        <v>10679</v>
      </c>
      <c r="I2446">
        <v>16865</v>
      </c>
      <c r="J2446" t="s">
        <v>10678</v>
      </c>
      <c r="K2446" t="s">
        <v>10680</v>
      </c>
      <c r="L2446" t="s">
        <v>386</v>
      </c>
      <c r="M2446" t="s">
        <v>1193</v>
      </c>
      <c r="N2446">
        <v>16865</v>
      </c>
      <c r="O2446">
        <v>0</v>
      </c>
      <c r="Q2446" t="s">
        <v>10681</v>
      </c>
      <c r="T2446">
        <v>52</v>
      </c>
      <c r="V2446" t="s">
        <v>2024</v>
      </c>
      <c r="W2446" t="s">
        <v>5803</v>
      </c>
      <c r="X2446">
        <v>509</v>
      </c>
      <c r="Z2446" t="s">
        <v>10682</v>
      </c>
      <c r="AA2446" t="s">
        <v>387</v>
      </c>
      <c r="AB2446">
        <v>0</v>
      </c>
      <c r="AC2446">
        <v>6275</v>
      </c>
      <c r="AD2446" t="s">
        <v>10683</v>
      </c>
      <c r="AE2446">
        <v>2874</v>
      </c>
      <c r="AF2446" t="s">
        <v>10684</v>
      </c>
      <c r="AG2446" t="s">
        <v>10685</v>
      </c>
      <c r="AH2446" t="s">
        <v>10686</v>
      </c>
    </row>
    <row r="2447" spans="1:34" x14ac:dyDescent="0.25">
      <c r="A2447">
        <v>2096</v>
      </c>
      <c r="C2447" s="185"/>
      <c r="E2447" t="s">
        <v>386</v>
      </c>
      <c r="F2447" t="s">
        <v>10687</v>
      </c>
      <c r="G2447" t="s">
        <v>1192</v>
      </c>
      <c r="H2447" t="s">
        <v>10688</v>
      </c>
      <c r="I2447">
        <v>14367</v>
      </c>
      <c r="J2447" t="s">
        <v>10687</v>
      </c>
      <c r="K2447" t="s">
        <v>10687</v>
      </c>
      <c r="L2447" t="s">
        <v>386</v>
      </c>
      <c r="M2447" t="s">
        <v>1193</v>
      </c>
      <c r="N2447">
        <v>14367</v>
      </c>
      <c r="O2447">
        <v>0</v>
      </c>
      <c r="Q2447" t="s">
        <v>10689</v>
      </c>
      <c r="T2447">
        <v>52</v>
      </c>
      <c r="V2447" t="s">
        <v>2024</v>
      </c>
      <c r="W2447" t="s">
        <v>3129</v>
      </c>
      <c r="X2447">
        <v>435</v>
      </c>
      <c r="Z2447" t="s">
        <v>10690</v>
      </c>
      <c r="AA2447" t="s">
        <v>387</v>
      </c>
      <c r="AB2447">
        <v>0</v>
      </c>
      <c r="AC2447">
        <v>5457</v>
      </c>
      <c r="AD2447" t="s">
        <v>10691</v>
      </c>
      <c r="AE2447">
        <v>2529</v>
      </c>
      <c r="AF2447" t="s">
        <v>10692</v>
      </c>
      <c r="AG2447" t="s">
        <v>1244</v>
      </c>
      <c r="AH2447" t="s">
        <v>10693</v>
      </c>
    </row>
    <row r="2448" spans="1:34" x14ac:dyDescent="0.25">
      <c r="A2448">
        <v>1097</v>
      </c>
      <c r="C2448" s="185"/>
      <c r="D2448" t="s">
        <v>24</v>
      </c>
      <c r="E2448" t="s">
        <v>386</v>
      </c>
      <c r="F2448" t="s">
        <v>10694</v>
      </c>
      <c r="G2448" t="s">
        <v>1197</v>
      </c>
      <c r="H2448" t="s">
        <v>10695</v>
      </c>
      <c r="I2448">
        <v>5147</v>
      </c>
      <c r="J2448" t="s">
        <v>10694</v>
      </c>
      <c r="K2448" t="s">
        <v>10696</v>
      </c>
      <c r="L2448" t="s">
        <v>386</v>
      </c>
      <c r="M2448" t="s">
        <v>1193</v>
      </c>
      <c r="N2448">
        <v>5147</v>
      </c>
      <c r="O2448">
        <v>55</v>
      </c>
      <c r="Q2448" t="s">
        <v>10697</v>
      </c>
      <c r="R2448" t="s">
        <v>398</v>
      </c>
      <c r="T2448">
        <v>396</v>
      </c>
      <c r="V2448" t="s">
        <v>2186</v>
      </c>
      <c r="W2448" t="s">
        <v>1194</v>
      </c>
      <c r="X2448">
        <v>220</v>
      </c>
      <c r="Z2448" t="s">
        <v>10698</v>
      </c>
      <c r="AA2448" t="s">
        <v>387</v>
      </c>
      <c r="AB2448">
        <v>47000</v>
      </c>
      <c r="AC2448">
        <v>2493</v>
      </c>
      <c r="AD2448" t="s">
        <v>10699</v>
      </c>
      <c r="AE2448">
        <v>1202</v>
      </c>
      <c r="AF2448" t="s">
        <v>10700</v>
      </c>
      <c r="AG2448" t="s">
        <v>1244</v>
      </c>
    </row>
    <row r="2449" spans="1:34" x14ac:dyDescent="0.25">
      <c r="A2449">
        <v>1676</v>
      </c>
      <c r="C2449" s="185"/>
      <c r="E2449" t="s">
        <v>386</v>
      </c>
      <c r="F2449" t="s">
        <v>10701</v>
      </c>
      <c r="G2449" t="s">
        <v>1197</v>
      </c>
      <c r="H2449" t="s">
        <v>10702</v>
      </c>
      <c r="I2449">
        <v>5432</v>
      </c>
      <c r="J2449" t="s">
        <v>10701</v>
      </c>
      <c r="K2449" t="s">
        <v>10701</v>
      </c>
      <c r="L2449" t="s">
        <v>386</v>
      </c>
      <c r="M2449" t="s">
        <v>1193</v>
      </c>
      <c r="N2449">
        <v>5432</v>
      </c>
      <c r="O2449">
        <v>0</v>
      </c>
      <c r="Q2449" t="s">
        <v>10703</v>
      </c>
      <c r="T2449">
        <v>103</v>
      </c>
      <c r="V2449" t="s">
        <v>1530</v>
      </c>
      <c r="Z2449" t="s">
        <v>10704</v>
      </c>
      <c r="AA2449" t="s">
        <v>387</v>
      </c>
      <c r="AB2449">
        <v>0</v>
      </c>
      <c r="AC2449">
        <v>2597</v>
      </c>
      <c r="AD2449" t="s">
        <v>10705</v>
      </c>
      <c r="AE2449">
        <v>1249</v>
      </c>
      <c r="AF2449" t="s">
        <v>10706</v>
      </c>
      <c r="AG2449" t="s">
        <v>8575</v>
      </c>
      <c r="AH2449" t="s">
        <v>10707</v>
      </c>
    </row>
    <row r="2450" spans="1:34" x14ac:dyDescent="0.25">
      <c r="A2450">
        <v>1097</v>
      </c>
      <c r="C2450" s="185"/>
      <c r="E2450" t="s">
        <v>386</v>
      </c>
      <c r="F2450" t="s">
        <v>10708</v>
      </c>
      <c r="G2450" t="s">
        <v>1197</v>
      </c>
      <c r="H2450" t="s">
        <v>10695</v>
      </c>
      <c r="I2450">
        <v>6914</v>
      </c>
      <c r="J2450" t="s">
        <v>10708</v>
      </c>
      <c r="K2450" t="s">
        <v>10708</v>
      </c>
      <c r="L2450" t="s">
        <v>386</v>
      </c>
      <c r="M2450" t="s">
        <v>1193</v>
      </c>
      <c r="N2450">
        <v>6914</v>
      </c>
      <c r="O2450">
        <v>0</v>
      </c>
      <c r="Q2450" t="s">
        <v>10709</v>
      </c>
      <c r="R2450" t="s">
        <v>1208</v>
      </c>
      <c r="T2450">
        <v>560</v>
      </c>
      <c r="V2450" t="s">
        <v>2602</v>
      </c>
      <c r="W2450" t="s">
        <v>2602</v>
      </c>
      <c r="X2450">
        <v>560</v>
      </c>
      <c r="Z2450" t="s">
        <v>10698</v>
      </c>
      <c r="AA2450" t="s">
        <v>387</v>
      </c>
      <c r="AB2450">
        <v>0</v>
      </c>
      <c r="AC2450">
        <v>1048</v>
      </c>
      <c r="AD2450" t="s">
        <v>10710</v>
      </c>
      <c r="AE2450">
        <v>0</v>
      </c>
      <c r="AF2450" t="s">
        <v>1188</v>
      </c>
      <c r="AG2450" t="s">
        <v>1244</v>
      </c>
      <c r="AH2450" t="s">
        <v>10711</v>
      </c>
    </row>
    <row r="2451" spans="1:34" x14ac:dyDescent="0.25">
      <c r="A2451">
        <v>1371</v>
      </c>
      <c r="C2451" s="185"/>
      <c r="E2451" t="s">
        <v>386</v>
      </c>
      <c r="F2451" t="s">
        <v>10712</v>
      </c>
      <c r="G2451" t="s">
        <v>1197</v>
      </c>
      <c r="H2451" t="s">
        <v>10713</v>
      </c>
      <c r="I2451">
        <v>5409</v>
      </c>
      <c r="J2451" t="s">
        <v>10712</v>
      </c>
      <c r="K2451" t="s">
        <v>10714</v>
      </c>
      <c r="L2451" t="s">
        <v>386</v>
      </c>
      <c r="M2451" t="s">
        <v>1193</v>
      </c>
      <c r="N2451">
        <v>5409</v>
      </c>
      <c r="O2451">
        <v>0</v>
      </c>
      <c r="Q2451" t="s">
        <v>10715</v>
      </c>
      <c r="T2451">
        <v>501</v>
      </c>
      <c r="V2451" t="s">
        <v>4131</v>
      </c>
      <c r="W2451" t="s">
        <v>4131</v>
      </c>
      <c r="X2451">
        <v>501</v>
      </c>
      <c r="Z2451" t="s">
        <v>10716</v>
      </c>
      <c r="AA2451" t="s">
        <v>387</v>
      </c>
      <c r="AB2451">
        <v>0</v>
      </c>
      <c r="AC2451">
        <v>2588</v>
      </c>
      <c r="AD2451" t="s">
        <v>10717</v>
      </c>
      <c r="AE2451">
        <v>1245</v>
      </c>
      <c r="AF2451" t="s">
        <v>10718</v>
      </c>
      <c r="AG2451" t="s">
        <v>4455</v>
      </c>
      <c r="AH2451" t="s">
        <v>10719</v>
      </c>
    </row>
    <row r="2452" spans="1:34" x14ac:dyDescent="0.25">
      <c r="A2452">
        <v>1920</v>
      </c>
      <c r="C2452" s="185"/>
      <c r="E2452" t="s">
        <v>386</v>
      </c>
      <c r="F2452" t="s">
        <v>10720</v>
      </c>
      <c r="G2452" t="s">
        <v>1197</v>
      </c>
      <c r="H2452" t="s">
        <v>10721</v>
      </c>
      <c r="I2452">
        <v>10883</v>
      </c>
      <c r="J2452" t="s">
        <v>10720</v>
      </c>
      <c r="K2452" t="s">
        <v>10722</v>
      </c>
      <c r="L2452" t="s">
        <v>386</v>
      </c>
      <c r="M2452" t="s">
        <v>1193</v>
      </c>
      <c r="N2452">
        <v>10883</v>
      </c>
      <c r="O2452">
        <v>0</v>
      </c>
      <c r="Q2452" t="s">
        <v>10723</v>
      </c>
      <c r="R2452" t="s">
        <v>1208</v>
      </c>
      <c r="T2452">
        <v>304</v>
      </c>
      <c r="V2452" t="s">
        <v>2067</v>
      </c>
      <c r="Z2452" t="s">
        <v>10724</v>
      </c>
      <c r="AA2452" t="s">
        <v>387</v>
      </c>
      <c r="AB2452">
        <v>0</v>
      </c>
      <c r="AC2452">
        <v>4173</v>
      </c>
      <c r="AD2452" t="s">
        <v>10725</v>
      </c>
      <c r="AE2452">
        <v>1928</v>
      </c>
      <c r="AF2452" t="s">
        <v>10726</v>
      </c>
      <c r="AG2452" t="s">
        <v>7216</v>
      </c>
    </row>
    <row r="2453" spans="1:34" x14ac:dyDescent="0.25">
      <c r="A2453">
        <v>29</v>
      </c>
      <c r="B2453" t="s">
        <v>1313</v>
      </c>
      <c r="C2453" s="185"/>
      <c r="D2453" t="s">
        <v>24</v>
      </c>
      <c r="E2453" t="s">
        <v>386</v>
      </c>
      <c r="F2453" t="s">
        <v>490</v>
      </c>
      <c r="G2453" t="s">
        <v>1197</v>
      </c>
      <c r="H2453" t="s">
        <v>3818</v>
      </c>
      <c r="I2453">
        <v>97</v>
      </c>
      <c r="J2453" t="s">
        <v>300</v>
      </c>
      <c r="K2453" t="s">
        <v>10727</v>
      </c>
      <c r="L2453" t="s">
        <v>386</v>
      </c>
      <c r="M2453" t="s">
        <v>1193</v>
      </c>
      <c r="N2453">
        <v>16141</v>
      </c>
      <c r="O2453">
        <v>55</v>
      </c>
      <c r="Q2453" t="s">
        <v>10728</v>
      </c>
      <c r="R2453" t="s">
        <v>398</v>
      </c>
      <c r="S2453" t="s">
        <v>1909</v>
      </c>
      <c r="T2453">
        <v>220</v>
      </c>
      <c r="U2453">
        <v>0</v>
      </c>
      <c r="V2453" t="s">
        <v>1194</v>
      </c>
      <c r="W2453" t="s">
        <v>4468</v>
      </c>
      <c r="X2453">
        <v>470</v>
      </c>
      <c r="Y2453" t="s">
        <v>1317</v>
      </c>
      <c r="Z2453" t="s">
        <v>894</v>
      </c>
      <c r="AA2453" t="s">
        <v>387</v>
      </c>
      <c r="AB2453">
        <v>47000</v>
      </c>
      <c r="AC2453">
        <v>75</v>
      </c>
      <c r="AD2453" t="s">
        <v>10729</v>
      </c>
      <c r="AE2453">
        <v>45</v>
      </c>
      <c r="AF2453" t="s">
        <v>10730</v>
      </c>
      <c r="AG2453" t="s">
        <v>1931</v>
      </c>
      <c r="AH2453" t="s">
        <v>10731</v>
      </c>
    </row>
    <row r="2454" spans="1:34" x14ac:dyDescent="0.25">
      <c r="A2454">
        <v>147</v>
      </c>
      <c r="C2454" s="185"/>
      <c r="D2454" t="s">
        <v>24</v>
      </c>
      <c r="E2454" t="s">
        <v>386</v>
      </c>
      <c r="F2454" t="s">
        <v>10732</v>
      </c>
      <c r="G2454" t="s">
        <v>1197</v>
      </c>
      <c r="H2454" t="s">
        <v>9622</v>
      </c>
      <c r="I2454">
        <v>1747</v>
      </c>
      <c r="J2454" t="s">
        <v>10732</v>
      </c>
      <c r="K2454" t="s">
        <v>10733</v>
      </c>
      <c r="L2454" t="s">
        <v>386</v>
      </c>
      <c r="M2454" t="s">
        <v>1193</v>
      </c>
      <c r="N2454">
        <v>1747</v>
      </c>
      <c r="O2454">
        <v>0</v>
      </c>
      <c r="Q2454" t="s">
        <v>10734</v>
      </c>
      <c r="T2454">
        <v>103</v>
      </c>
      <c r="V2454" t="s">
        <v>1530</v>
      </c>
      <c r="W2454" t="s">
        <v>1200</v>
      </c>
      <c r="X2454">
        <v>340</v>
      </c>
      <c r="Z2454" t="s">
        <v>9623</v>
      </c>
      <c r="AA2454" t="s">
        <v>387</v>
      </c>
      <c r="AB2454">
        <v>0</v>
      </c>
      <c r="AC2454">
        <v>1308</v>
      </c>
      <c r="AD2454" t="s">
        <v>10735</v>
      </c>
      <c r="AE2454">
        <v>760</v>
      </c>
      <c r="AF2454" t="s">
        <v>10736</v>
      </c>
      <c r="AG2454" t="s">
        <v>2080</v>
      </c>
      <c r="AH2454" t="s">
        <v>10737</v>
      </c>
    </row>
    <row r="2455" spans="1:34" x14ac:dyDescent="0.25">
      <c r="A2455">
        <v>1631</v>
      </c>
      <c r="C2455" s="185"/>
      <c r="E2455" t="s">
        <v>386</v>
      </c>
      <c r="G2455" t="s">
        <v>1197</v>
      </c>
      <c r="H2455" t="s">
        <v>10738</v>
      </c>
      <c r="I2455">
        <v>4927</v>
      </c>
      <c r="J2455" t="s">
        <v>10739</v>
      </c>
      <c r="K2455" t="s">
        <v>10740</v>
      </c>
      <c r="L2455" t="s">
        <v>386</v>
      </c>
      <c r="M2455" t="s">
        <v>1193</v>
      </c>
      <c r="O2455">
        <v>55</v>
      </c>
      <c r="Q2455" t="s">
        <v>10741</v>
      </c>
      <c r="R2455" t="s">
        <v>398</v>
      </c>
      <c r="T2455">
        <v>396</v>
      </c>
      <c r="V2455" t="s">
        <v>2186</v>
      </c>
      <c r="W2455" t="s">
        <v>1194</v>
      </c>
      <c r="X2455">
        <v>220</v>
      </c>
      <c r="Z2455" t="s">
        <v>10742</v>
      </c>
      <c r="AA2455" t="s">
        <v>387</v>
      </c>
      <c r="AB2455">
        <v>47000</v>
      </c>
      <c r="AC2455">
        <v>2437</v>
      </c>
      <c r="AD2455" t="s">
        <v>10743</v>
      </c>
      <c r="AE2455">
        <v>1173</v>
      </c>
      <c r="AF2455" t="s">
        <v>10744</v>
      </c>
      <c r="AG2455" t="s">
        <v>5879</v>
      </c>
    </row>
    <row r="2456" spans="1:34" x14ac:dyDescent="0.25">
      <c r="A2456">
        <v>127</v>
      </c>
      <c r="C2456" s="185"/>
      <c r="E2456" t="s">
        <v>386</v>
      </c>
      <c r="F2456" t="s">
        <v>10745</v>
      </c>
      <c r="G2456" t="s">
        <v>1197</v>
      </c>
      <c r="H2456" t="s">
        <v>10746</v>
      </c>
      <c r="I2456">
        <v>16185</v>
      </c>
      <c r="J2456" t="s">
        <v>10745</v>
      </c>
      <c r="K2456" t="s">
        <v>10747</v>
      </c>
      <c r="L2456" t="s">
        <v>386</v>
      </c>
      <c r="M2456" t="s">
        <v>1193</v>
      </c>
      <c r="N2456">
        <v>16185</v>
      </c>
      <c r="O2456">
        <v>0</v>
      </c>
      <c r="Q2456" t="s">
        <v>10748</v>
      </c>
      <c r="T2456">
        <v>52</v>
      </c>
      <c r="V2456" t="s">
        <v>2024</v>
      </c>
      <c r="W2456" t="s">
        <v>2024</v>
      </c>
      <c r="X2456">
        <v>52</v>
      </c>
      <c r="Z2456" t="s">
        <v>10749</v>
      </c>
      <c r="AA2456" t="s">
        <v>387</v>
      </c>
      <c r="AB2456">
        <v>0</v>
      </c>
      <c r="AC2456">
        <v>6086</v>
      </c>
      <c r="AD2456" t="s">
        <v>10750</v>
      </c>
      <c r="AE2456">
        <v>1830</v>
      </c>
      <c r="AF2456" t="s">
        <v>10751</v>
      </c>
      <c r="AG2456" t="s">
        <v>10752</v>
      </c>
      <c r="AH2456" t="s">
        <v>10753</v>
      </c>
    </row>
    <row r="2457" spans="1:34" x14ac:dyDescent="0.25">
      <c r="A2457">
        <v>1591</v>
      </c>
      <c r="B2457" t="s">
        <v>1313</v>
      </c>
      <c r="C2457" s="185"/>
      <c r="D2457" t="s">
        <v>24</v>
      </c>
      <c r="E2457" t="s">
        <v>386</v>
      </c>
      <c r="F2457" t="s">
        <v>360</v>
      </c>
      <c r="G2457" t="s">
        <v>1197</v>
      </c>
      <c r="H2457" t="s">
        <v>10754</v>
      </c>
      <c r="I2457">
        <v>12073</v>
      </c>
      <c r="J2457" t="s">
        <v>1037</v>
      </c>
      <c r="K2457" t="s">
        <v>10755</v>
      </c>
      <c r="L2457" t="s">
        <v>386</v>
      </c>
      <c r="M2457" t="s">
        <v>1193</v>
      </c>
      <c r="N2457">
        <v>15330</v>
      </c>
      <c r="O2457">
        <v>55</v>
      </c>
      <c r="Q2457" t="s">
        <v>10756</v>
      </c>
      <c r="R2457" t="s">
        <v>398</v>
      </c>
      <c r="S2457" t="s">
        <v>7889</v>
      </c>
      <c r="T2457">
        <v>396</v>
      </c>
      <c r="U2457">
        <v>0</v>
      </c>
      <c r="V2457" t="s">
        <v>2186</v>
      </c>
      <c r="W2457" t="s">
        <v>6311</v>
      </c>
      <c r="X2457">
        <v>521</v>
      </c>
      <c r="Y2457" t="s">
        <v>1317</v>
      </c>
      <c r="Z2457" t="s">
        <v>1038</v>
      </c>
      <c r="AA2457" t="s">
        <v>387</v>
      </c>
      <c r="AB2457">
        <v>47000</v>
      </c>
      <c r="AC2457">
        <v>4577</v>
      </c>
      <c r="AD2457" t="s">
        <v>10757</v>
      </c>
      <c r="AE2457">
        <v>2128</v>
      </c>
      <c r="AF2457" t="s">
        <v>10758</v>
      </c>
      <c r="AG2457" t="s">
        <v>10759</v>
      </c>
      <c r="AH2457" t="s">
        <v>10760</v>
      </c>
    </row>
    <row r="2458" spans="1:34" x14ac:dyDescent="0.25">
      <c r="A2458">
        <v>1567</v>
      </c>
      <c r="C2458" s="185"/>
      <c r="E2458" t="s">
        <v>386</v>
      </c>
      <c r="F2458" t="s">
        <v>10761</v>
      </c>
      <c r="G2458" t="s">
        <v>1197</v>
      </c>
      <c r="H2458" t="s">
        <v>10762</v>
      </c>
      <c r="I2458">
        <v>14738</v>
      </c>
      <c r="J2458" t="s">
        <v>10761</v>
      </c>
      <c r="K2458" t="s">
        <v>10763</v>
      </c>
      <c r="L2458" t="s">
        <v>386</v>
      </c>
      <c r="M2458" t="s">
        <v>1193</v>
      </c>
      <c r="N2458">
        <v>14738</v>
      </c>
      <c r="O2458">
        <v>0</v>
      </c>
      <c r="Q2458" t="s">
        <v>10764</v>
      </c>
      <c r="T2458">
        <v>571</v>
      </c>
      <c r="V2458" t="s">
        <v>2003</v>
      </c>
      <c r="W2458" t="s">
        <v>2024</v>
      </c>
      <c r="X2458">
        <v>52</v>
      </c>
      <c r="Z2458" t="s">
        <v>10765</v>
      </c>
      <c r="AA2458" t="s">
        <v>387</v>
      </c>
      <c r="AB2458">
        <v>0</v>
      </c>
      <c r="AC2458">
        <v>2091</v>
      </c>
      <c r="AD2458" t="s">
        <v>1018</v>
      </c>
      <c r="AE2458">
        <v>2593</v>
      </c>
      <c r="AF2458" t="s">
        <v>10766</v>
      </c>
      <c r="AG2458" t="s">
        <v>10767</v>
      </c>
      <c r="AH2458" t="s">
        <v>10768</v>
      </c>
    </row>
    <row r="2459" spans="1:34" x14ac:dyDescent="0.25">
      <c r="A2459">
        <v>1097</v>
      </c>
      <c r="B2459" t="s">
        <v>1313</v>
      </c>
      <c r="C2459" s="185"/>
      <c r="D2459" t="s">
        <v>24</v>
      </c>
      <c r="E2459" t="s">
        <v>386</v>
      </c>
      <c r="F2459" t="s">
        <v>10769</v>
      </c>
      <c r="G2459" t="s">
        <v>1197</v>
      </c>
      <c r="H2459" t="s">
        <v>10695</v>
      </c>
      <c r="I2459">
        <v>1731</v>
      </c>
      <c r="J2459" t="s">
        <v>10769</v>
      </c>
      <c r="K2459" t="s">
        <v>10770</v>
      </c>
      <c r="L2459" t="s">
        <v>386</v>
      </c>
      <c r="M2459" t="s">
        <v>1193</v>
      </c>
      <c r="N2459">
        <v>1731</v>
      </c>
      <c r="O2459">
        <v>55</v>
      </c>
      <c r="Q2459" t="s">
        <v>10771</v>
      </c>
      <c r="R2459" t="s">
        <v>1208</v>
      </c>
      <c r="S2459" t="s">
        <v>7889</v>
      </c>
      <c r="T2459">
        <v>396</v>
      </c>
      <c r="U2459">
        <v>0</v>
      </c>
      <c r="V2459" t="s">
        <v>2186</v>
      </c>
      <c r="W2459" t="s">
        <v>2144</v>
      </c>
      <c r="X2459">
        <v>39</v>
      </c>
      <c r="Y2459" t="s">
        <v>1317</v>
      </c>
      <c r="Z2459" t="s">
        <v>10698</v>
      </c>
      <c r="AA2459" t="s">
        <v>387</v>
      </c>
      <c r="AB2459">
        <v>47000</v>
      </c>
      <c r="AC2459">
        <v>1295</v>
      </c>
      <c r="AD2459" t="s">
        <v>10772</v>
      </c>
      <c r="AE2459">
        <v>622</v>
      </c>
      <c r="AF2459" t="s">
        <v>10773</v>
      </c>
      <c r="AG2459" t="s">
        <v>1244</v>
      </c>
      <c r="AH2459" t="s">
        <v>10774</v>
      </c>
    </row>
    <row r="2460" spans="1:34" x14ac:dyDescent="0.25">
      <c r="A2460">
        <v>1473</v>
      </c>
      <c r="C2460" s="185"/>
      <c r="E2460" t="s">
        <v>386</v>
      </c>
      <c r="F2460" t="s">
        <v>10775</v>
      </c>
      <c r="G2460" t="s">
        <v>1197</v>
      </c>
      <c r="H2460" t="s">
        <v>10776</v>
      </c>
      <c r="I2460">
        <v>17308</v>
      </c>
      <c r="J2460" t="s">
        <v>10775</v>
      </c>
      <c r="K2460" t="s">
        <v>10777</v>
      </c>
      <c r="L2460" t="s">
        <v>386</v>
      </c>
      <c r="M2460" t="s">
        <v>1193</v>
      </c>
      <c r="N2460">
        <v>17308</v>
      </c>
      <c r="O2460">
        <v>0</v>
      </c>
      <c r="Q2460" t="s">
        <v>10778</v>
      </c>
      <c r="T2460">
        <v>473</v>
      </c>
      <c r="V2460" t="s">
        <v>1964</v>
      </c>
      <c r="W2460" t="s">
        <v>1964</v>
      </c>
      <c r="X2460">
        <v>473</v>
      </c>
      <c r="Z2460" t="s">
        <v>10779</v>
      </c>
      <c r="AA2460" t="s">
        <v>387</v>
      </c>
      <c r="AB2460">
        <v>0</v>
      </c>
      <c r="AC2460">
        <v>1877</v>
      </c>
      <c r="AD2460" t="s">
        <v>10780</v>
      </c>
      <c r="AE2460">
        <v>917</v>
      </c>
      <c r="AF2460" t="s">
        <v>10781</v>
      </c>
      <c r="AG2460" t="s">
        <v>10782</v>
      </c>
      <c r="AH2460" t="s">
        <v>10783</v>
      </c>
    </row>
    <row r="2461" spans="1:34" x14ac:dyDescent="0.25">
      <c r="A2461">
        <v>1425</v>
      </c>
      <c r="C2461" s="185"/>
      <c r="E2461" t="s">
        <v>386</v>
      </c>
      <c r="F2461" t="s">
        <v>10784</v>
      </c>
      <c r="G2461" t="s">
        <v>1197</v>
      </c>
      <c r="H2461" t="s">
        <v>3818</v>
      </c>
      <c r="I2461">
        <v>16408</v>
      </c>
      <c r="J2461" t="s">
        <v>10784</v>
      </c>
      <c r="K2461" t="s">
        <v>10785</v>
      </c>
      <c r="L2461" t="s">
        <v>386</v>
      </c>
      <c r="M2461" t="s">
        <v>1193</v>
      </c>
      <c r="N2461">
        <v>16408</v>
      </c>
      <c r="O2461">
        <v>0</v>
      </c>
      <c r="Q2461" t="s">
        <v>10786</v>
      </c>
      <c r="R2461" t="s">
        <v>398</v>
      </c>
      <c r="T2461">
        <v>103</v>
      </c>
      <c r="V2461" t="s">
        <v>1530</v>
      </c>
      <c r="W2461" t="s">
        <v>1530</v>
      </c>
      <c r="X2461">
        <v>103</v>
      </c>
      <c r="Z2461" t="s">
        <v>3820</v>
      </c>
      <c r="AA2461" t="s">
        <v>387</v>
      </c>
      <c r="AB2461">
        <v>0</v>
      </c>
      <c r="AC2461">
        <v>6143</v>
      </c>
      <c r="AD2461" t="s">
        <v>10787</v>
      </c>
      <c r="AE2461">
        <v>1</v>
      </c>
      <c r="AF2461" t="s">
        <v>1922</v>
      </c>
      <c r="AG2461" t="s">
        <v>10609</v>
      </c>
      <c r="AH2461" t="s">
        <v>10788</v>
      </c>
    </row>
    <row r="2462" spans="1:34" x14ac:dyDescent="0.25">
      <c r="A2462">
        <v>29</v>
      </c>
      <c r="B2462" t="s">
        <v>1313</v>
      </c>
      <c r="C2462" s="185"/>
      <c r="D2462" t="s">
        <v>24</v>
      </c>
      <c r="E2462" t="s">
        <v>386</v>
      </c>
      <c r="F2462" t="s">
        <v>80</v>
      </c>
      <c r="G2462" t="s">
        <v>1197</v>
      </c>
      <c r="H2462" t="s">
        <v>3818</v>
      </c>
      <c r="I2462">
        <v>4575</v>
      </c>
      <c r="J2462" t="s">
        <v>80</v>
      </c>
      <c r="K2462" t="s">
        <v>10789</v>
      </c>
      <c r="L2462" t="s">
        <v>386</v>
      </c>
      <c r="M2462" t="s">
        <v>1193</v>
      </c>
      <c r="N2462">
        <v>4575</v>
      </c>
      <c r="O2462">
        <v>55</v>
      </c>
      <c r="Q2462" t="s">
        <v>10790</v>
      </c>
      <c r="R2462" t="s">
        <v>398</v>
      </c>
      <c r="S2462" t="s">
        <v>1909</v>
      </c>
      <c r="T2462">
        <v>220</v>
      </c>
      <c r="U2462">
        <v>0</v>
      </c>
      <c r="V2462" t="s">
        <v>1194</v>
      </c>
      <c r="W2462" t="s">
        <v>2186</v>
      </c>
      <c r="X2462">
        <v>396</v>
      </c>
      <c r="Y2462" t="s">
        <v>1317</v>
      </c>
      <c r="Z2462" t="s">
        <v>894</v>
      </c>
      <c r="AA2462" t="s">
        <v>387</v>
      </c>
      <c r="AB2462">
        <v>47000</v>
      </c>
      <c r="AC2462">
        <v>75</v>
      </c>
      <c r="AD2462" t="s">
        <v>10729</v>
      </c>
      <c r="AE2462">
        <v>1046</v>
      </c>
      <c r="AF2462" t="s">
        <v>10791</v>
      </c>
      <c r="AG2462" t="s">
        <v>10792</v>
      </c>
      <c r="AH2462" t="s">
        <v>6671</v>
      </c>
    </row>
    <row r="2463" spans="1:34" x14ac:dyDescent="0.25">
      <c r="A2463">
        <v>1324</v>
      </c>
      <c r="C2463" s="185"/>
      <c r="E2463" t="s">
        <v>386</v>
      </c>
      <c r="F2463" t="s">
        <v>10793</v>
      </c>
      <c r="G2463" t="s">
        <v>1197</v>
      </c>
      <c r="H2463" t="s">
        <v>10794</v>
      </c>
      <c r="I2463">
        <v>5653</v>
      </c>
      <c r="J2463" t="s">
        <v>10793</v>
      </c>
      <c r="K2463" t="s">
        <v>10793</v>
      </c>
      <c r="L2463" t="s">
        <v>386</v>
      </c>
      <c r="M2463" t="s">
        <v>1193</v>
      </c>
      <c r="N2463">
        <v>5653</v>
      </c>
      <c r="O2463">
        <v>0</v>
      </c>
      <c r="Q2463" t="s">
        <v>10795</v>
      </c>
      <c r="T2463">
        <v>39</v>
      </c>
      <c r="V2463" t="s">
        <v>2144</v>
      </c>
      <c r="Z2463" t="s">
        <v>4132</v>
      </c>
      <c r="AA2463" t="s">
        <v>387</v>
      </c>
      <c r="AB2463">
        <v>0</v>
      </c>
      <c r="AC2463">
        <v>2664</v>
      </c>
      <c r="AD2463" t="s">
        <v>10796</v>
      </c>
      <c r="AE2463">
        <v>1284</v>
      </c>
      <c r="AF2463" t="s">
        <v>10797</v>
      </c>
      <c r="AG2463" t="s">
        <v>10798</v>
      </c>
    </row>
    <row r="2464" spans="1:34" x14ac:dyDescent="0.25">
      <c r="A2464">
        <v>1425</v>
      </c>
      <c r="B2464" t="s">
        <v>1313</v>
      </c>
      <c r="C2464" s="185"/>
      <c r="D2464" t="s">
        <v>24</v>
      </c>
      <c r="E2464" t="s">
        <v>386</v>
      </c>
      <c r="F2464" t="s">
        <v>15465</v>
      </c>
      <c r="G2464" t="s">
        <v>1197</v>
      </c>
      <c r="H2464" t="s">
        <v>3818</v>
      </c>
      <c r="I2464">
        <v>1292</v>
      </c>
      <c r="J2464" t="s">
        <v>54</v>
      </c>
      <c r="K2464" t="s">
        <v>6577</v>
      </c>
      <c r="L2464" t="s">
        <v>386</v>
      </c>
      <c r="M2464" t="s">
        <v>1193</v>
      </c>
      <c r="N2464">
        <v>17798</v>
      </c>
      <c r="O2464">
        <v>55</v>
      </c>
      <c r="Q2464" t="s">
        <v>10799</v>
      </c>
      <c r="R2464" t="s">
        <v>398</v>
      </c>
      <c r="S2464" t="s">
        <v>1909</v>
      </c>
      <c r="T2464">
        <v>200</v>
      </c>
      <c r="U2464">
        <v>0</v>
      </c>
      <c r="V2464" t="s">
        <v>1199</v>
      </c>
      <c r="W2464" t="s">
        <v>1194</v>
      </c>
      <c r="X2464">
        <v>220</v>
      </c>
      <c r="Y2464" t="s">
        <v>1317</v>
      </c>
      <c r="Z2464" t="s">
        <v>3820</v>
      </c>
      <c r="AA2464" t="s">
        <v>387</v>
      </c>
      <c r="AB2464">
        <v>47000</v>
      </c>
      <c r="AC2464">
        <v>1017</v>
      </c>
      <c r="AD2464" t="s">
        <v>7177</v>
      </c>
      <c r="AE2464">
        <v>1134</v>
      </c>
      <c r="AF2464" t="s">
        <v>10800</v>
      </c>
      <c r="AG2464" t="s">
        <v>6196</v>
      </c>
      <c r="AH2464" t="s">
        <v>7703</v>
      </c>
    </row>
    <row r="2465" spans="1:34" x14ac:dyDescent="0.25">
      <c r="A2465">
        <v>1097</v>
      </c>
      <c r="B2465" t="s">
        <v>1313</v>
      </c>
      <c r="C2465" s="185"/>
      <c r="D2465" t="s">
        <v>24</v>
      </c>
      <c r="E2465" t="s">
        <v>386</v>
      </c>
      <c r="F2465" t="s">
        <v>10801</v>
      </c>
      <c r="G2465" t="s">
        <v>1197</v>
      </c>
      <c r="H2465" t="s">
        <v>10695</v>
      </c>
      <c r="I2465">
        <v>1105</v>
      </c>
      <c r="J2465" t="s">
        <v>10801</v>
      </c>
      <c r="K2465" t="s">
        <v>7738</v>
      </c>
      <c r="L2465" t="s">
        <v>386</v>
      </c>
      <c r="M2465" t="s">
        <v>1193</v>
      </c>
      <c r="N2465">
        <v>1105</v>
      </c>
      <c r="O2465">
        <v>57</v>
      </c>
      <c r="Q2465" t="s">
        <v>10802</v>
      </c>
      <c r="R2465" t="s">
        <v>398</v>
      </c>
      <c r="S2465" t="s">
        <v>1909</v>
      </c>
      <c r="T2465">
        <v>220</v>
      </c>
      <c r="U2465">
        <v>0</v>
      </c>
      <c r="V2465" t="s">
        <v>1194</v>
      </c>
      <c r="W2465" t="s">
        <v>5186</v>
      </c>
      <c r="X2465">
        <v>24</v>
      </c>
      <c r="Y2465" t="s">
        <v>1317</v>
      </c>
      <c r="Z2465" t="s">
        <v>10698</v>
      </c>
      <c r="AA2465" t="s">
        <v>387</v>
      </c>
      <c r="AB2465">
        <v>49000</v>
      </c>
      <c r="AC2465">
        <v>898</v>
      </c>
      <c r="AD2465" t="s">
        <v>4012</v>
      </c>
      <c r="AE2465">
        <v>721</v>
      </c>
      <c r="AF2465" t="s">
        <v>7779</v>
      </c>
      <c r="AG2465" t="s">
        <v>1931</v>
      </c>
    </row>
    <row r="2466" spans="1:34" x14ac:dyDescent="0.25">
      <c r="A2466">
        <v>1425</v>
      </c>
      <c r="B2466" t="s">
        <v>1313</v>
      </c>
      <c r="C2466" s="185"/>
      <c r="D2466" t="s">
        <v>24</v>
      </c>
      <c r="E2466" t="s">
        <v>386</v>
      </c>
      <c r="F2466" t="s">
        <v>293</v>
      </c>
      <c r="G2466" t="s">
        <v>1197</v>
      </c>
      <c r="H2466" t="s">
        <v>10803</v>
      </c>
      <c r="I2466">
        <v>14561</v>
      </c>
      <c r="J2466" t="s">
        <v>293</v>
      </c>
      <c r="K2466" t="s">
        <v>10804</v>
      </c>
      <c r="L2466" t="s">
        <v>386</v>
      </c>
      <c r="M2466" t="s">
        <v>1193</v>
      </c>
      <c r="N2466">
        <v>14561</v>
      </c>
      <c r="O2466">
        <v>55</v>
      </c>
      <c r="Q2466" t="s">
        <v>10805</v>
      </c>
      <c r="R2466" t="s">
        <v>398</v>
      </c>
      <c r="S2466" t="s">
        <v>1909</v>
      </c>
      <c r="T2466">
        <v>220</v>
      </c>
      <c r="U2466">
        <v>0</v>
      </c>
      <c r="V2466" t="s">
        <v>1194</v>
      </c>
      <c r="W2466" t="s">
        <v>1200</v>
      </c>
      <c r="X2466">
        <v>340</v>
      </c>
      <c r="Y2466" t="s">
        <v>1317</v>
      </c>
      <c r="Z2466" t="s">
        <v>3820</v>
      </c>
      <c r="AA2466" t="s">
        <v>387</v>
      </c>
      <c r="AB2466">
        <v>47000</v>
      </c>
      <c r="AC2466">
        <v>6359</v>
      </c>
      <c r="AD2466" t="s">
        <v>10806</v>
      </c>
      <c r="AE2466">
        <v>476</v>
      </c>
      <c r="AF2466" t="s">
        <v>10807</v>
      </c>
      <c r="AG2466" t="s">
        <v>5668</v>
      </c>
      <c r="AH2466" t="s">
        <v>10808</v>
      </c>
    </row>
    <row r="2467" spans="1:34" x14ac:dyDescent="0.25">
      <c r="A2467">
        <v>29</v>
      </c>
      <c r="B2467" t="s">
        <v>1313</v>
      </c>
      <c r="C2467" s="185"/>
      <c r="D2467" t="s">
        <v>24</v>
      </c>
      <c r="E2467" t="s">
        <v>386</v>
      </c>
      <c r="F2467" t="s">
        <v>490</v>
      </c>
      <c r="G2467" t="s">
        <v>1197</v>
      </c>
      <c r="H2467" t="s">
        <v>3818</v>
      </c>
      <c r="I2467">
        <v>1308</v>
      </c>
      <c r="J2467" t="s">
        <v>10809</v>
      </c>
      <c r="K2467" t="s">
        <v>10727</v>
      </c>
      <c r="L2467" t="s">
        <v>386</v>
      </c>
      <c r="M2467" t="s">
        <v>1193</v>
      </c>
      <c r="N2467">
        <v>16141</v>
      </c>
      <c r="O2467">
        <v>55</v>
      </c>
      <c r="Q2467" t="s">
        <v>10810</v>
      </c>
      <c r="R2467" t="s">
        <v>398</v>
      </c>
      <c r="S2467" t="s">
        <v>1315</v>
      </c>
      <c r="T2467">
        <v>220</v>
      </c>
      <c r="U2467">
        <v>0</v>
      </c>
      <c r="V2467" t="s">
        <v>1194</v>
      </c>
      <c r="W2467" t="s">
        <v>1199</v>
      </c>
      <c r="X2467">
        <v>200</v>
      </c>
      <c r="Y2467" t="s">
        <v>1317</v>
      </c>
      <c r="Z2467" t="s">
        <v>894</v>
      </c>
      <c r="AA2467" t="s">
        <v>387</v>
      </c>
      <c r="AB2467">
        <v>47000</v>
      </c>
      <c r="AC2467">
        <v>1023</v>
      </c>
      <c r="AD2467" t="s">
        <v>10811</v>
      </c>
      <c r="AE2467">
        <v>45</v>
      </c>
      <c r="AF2467" t="s">
        <v>10730</v>
      </c>
      <c r="AG2467" t="s">
        <v>1931</v>
      </c>
      <c r="AH2467" t="s">
        <v>10812</v>
      </c>
    </row>
    <row r="2468" spans="1:34" x14ac:dyDescent="0.25">
      <c r="A2468">
        <v>29</v>
      </c>
      <c r="B2468" t="s">
        <v>1313</v>
      </c>
      <c r="C2468" s="185"/>
      <c r="D2468" t="s">
        <v>24</v>
      </c>
      <c r="E2468" t="s">
        <v>386</v>
      </c>
      <c r="F2468" t="s">
        <v>10813</v>
      </c>
      <c r="G2468" t="s">
        <v>1197</v>
      </c>
      <c r="H2468" t="s">
        <v>3818</v>
      </c>
      <c r="I2468">
        <v>5174</v>
      </c>
      <c r="J2468" t="s">
        <v>10813</v>
      </c>
      <c r="K2468" t="s">
        <v>10813</v>
      </c>
      <c r="L2468" t="s">
        <v>386</v>
      </c>
      <c r="M2468" t="s">
        <v>1193</v>
      </c>
      <c r="N2468">
        <v>5174</v>
      </c>
      <c r="O2468">
        <v>55</v>
      </c>
      <c r="Q2468" t="s">
        <v>10814</v>
      </c>
      <c r="R2468" t="s">
        <v>398</v>
      </c>
      <c r="S2468" t="s">
        <v>1909</v>
      </c>
      <c r="T2468">
        <v>220</v>
      </c>
      <c r="U2468">
        <v>0</v>
      </c>
      <c r="V2468" t="s">
        <v>1194</v>
      </c>
      <c r="W2468" t="s">
        <v>1194</v>
      </c>
      <c r="X2468">
        <v>220</v>
      </c>
      <c r="Y2468" t="s">
        <v>1317</v>
      </c>
      <c r="Z2468" t="s">
        <v>894</v>
      </c>
      <c r="AA2468" t="s">
        <v>387</v>
      </c>
      <c r="AB2468">
        <v>47000</v>
      </c>
      <c r="AC2468">
        <v>75</v>
      </c>
      <c r="AD2468" t="s">
        <v>10729</v>
      </c>
      <c r="AE2468">
        <v>1046</v>
      </c>
      <c r="AF2468" t="s">
        <v>10791</v>
      </c>
      <c r="AG2468" t="s">
        <v>1244</v>
      </c>
    </row>
    <row r="2469" spans="1:34" x14ac:dyDescent="0.25">
      <c r="A2469">
        <v>1</v>
      </c>
      <c r="C2469" s="185"/>
      <c r="E2469" t="s">
        <v>386</v>
      </c>
      <c r="F2469" t="s">
        <v>10815</v>
      </c>
      <c r="G2469" t="s">
        <v>1192</v>
      </c>
      <c r="H2469" t="s">
        <v>10816</v>
      </c>
      <c r="I2469">
        <v>4660</v>
      </c>
      <c r="J2469" t="s">
        <v>10815</v>
      </c>
      <c r="K2469" t="s">
        <v>10817</v>
      </c>
      <c r="L2469" t="s">
        <v>386</v>
      </c>
      <c r="M2469" t="s">
        <v>1193</v>
      </c>
      <c r="N2469">
        <v>4660</v>
      </c>
      <c r="O2469">
        <v>0</v>
      </c>
      <c r="Q2469" t="s">
        <v>10818</v>
      </c>
      <c r="R2469" t="s">
        <v>1208</v>
      </c>
      <c r="T2469">
        <v>372</v>
      </c>
      <c r="V2469" t="s">
        <v>2073</v>
      </c>
      <c r="W2469" t="s">
        <v>1215</v>
      </c>
      <c r="X2469">
        <v>259</v>
      </c>
      <c r="Z2469" t="s">
        <v>865</v>
      </c>
      <c r="AA2469" t="s">
        <v>387</v>
      </c>
      <c r="AB2469">
        <v>0</v>
      </c>
      <c r="AC2469">
        <v>2383</v>
      </c>
      <c r="AD2469" t="s">
        <v>7102</v>
      </c>
      <c r="AE2469">
        <v>1144</v>
      </c>
      <c r="AF2469" t="s">
        <v>10819</v>
      </c>
      <c r="AG2469" t="s">
        <v>10820</v>
      </c>
    </row>
    <row r="2470" spans="1:34" x14ac:dyDescent="0.25">
      <c r="A2470">
        <v>1097</v>
      </c>
      <c r="C2470" s="185"/>
      <c r="E2470" t="s">
        <v>386</v>
      </c>
      <c r="F2470" t="s">
        <v>10821</v>
      </c>
      <c r="G2470" t="s">
        <v>1197</v>
      </c>
      <c r="H2470" t="s">
        <v>10695</v>
      </c>
      <c r="I2470">
        <v>17061</v>
      </c>
      <c r="J2470" t="s">
        <v>10821</v>
      </c>
      <c r="K2470" t="s">
        <v>10821</v>
      </c>
      <c r="L2470" t="s">
        <v>386</v>
      </c>
      <c r="M2470" t="s">
        <v>1193</v>
      </c>
      <c r="N2470">
        <v>17061</v>
      </c>
      <c r="O2470">
        <v>0</v>
      </c>
      <c r="Q2470" t="s">
        <v>10822</v>
      </c>
      <c r="T2470">
        <v>122</v>
      </c>
      <c r="V2470" t="s">
        <v>1988</v>
      </c>
      <c r="W2470" t="s">
        <v>1988</v>
      </c>
      <c r="X2470">
        <v>122</v>
      </c>
      <c r="Z2470" t="s">
        <v>10698</v>
      </c>
      <c r="AA2470" t="s">
        <v>387</v>
      </c>
      <c r="AB2470">
        <v>0</v>
      </c>
      <c r="AC2470">
        <v>5601</v>
      </c>
      <c r="AD2470" t="s">
        <v>10823</v>
      </c>
      <c r="AE2470">
        <v>1442</v>
      </c>
      <c r="AF2470" t="s">
        <v>10824</v>
      </c>
      <c r="AG2470" t="s">
        <v>5633</v>
      </c>
      <c r="AH2470" t="s">
        <v>10825</v>
      </c>
    </row>
    <row r="2471" spans="1:34" x14ac:dyDescent="0.25">
      <c r="A2471">
        <v>201</v>
      </c>
      <c r="C2471" s="185"/>
      <c r="E2471" t="s">
        <v>386</v>
      </c>
      <c r="F2471" t="s">
        <v>10826</v>
      </c>
      <c r="H2471" t="s">
        <v>10827</v>
      </c>
      <c r="I2471">
        <v>10236</v>
      </c>
      <c r="J2471" t="s">
        <v>10826</v>
      </c>
      <c r="K2471" t="s">
        <v>10826</v>
      </c>
      <c r="L2471" t="s">
        <v>386</v>
      </c>
      <c r="M2471" t="s">
        <v>1193</v>
      </c>
      <c r="N2471">
        <v>10236</v>
      </c>
      <c r="O2471">
        <v>0</v>
      </c>
      <c r="Q2471" t="s">
        <v>10828</v>
      </c>
      <c r="T2471">
        <v>146</v>
      </c>
      <c r="V2471" t="s">
        <v>2727</v>
      </c>
      <c r="Z2471" t="s">
        <v>3859</v>
      </c>
      <c r="AA2471" t="s">
        <v>387</v>
      </c>
      <c r="AB2471">
        <v>0</v>
      </c>
      <c r="AC2471">
        <v>3981</v>
      </c>
      <c r="AD2471" t="s">
        <v>10829</v>
      </c>
      <c r="AE2471">
        <v>1327</v>
      </c>
      <c r="AF2471" t="s">
        <v>10830</v>
      </c>
      <c r="AG2471" t="s">
        <v>10831</v>
      </c>
      <c r="AH2471" t="s">
        <v>10832</v>
      </c>
    </row>
    <row r="2472" spans="1:34" x14ac:dyDescent="0.25">
      <c r="A2472">
        <v>1097</v>
      </c>
      <c r="B2472" t="s">
        <v>1313</v>
      </c>
      <c r="C2472" s="185"/>
      <c r="E2472" t="s">
        <v>386</v>
      </c>
      <c r="F2472" t="s">
        <v>10833</v>
      </c>
      <c r="G2472" t="s">
        <v>1197</v>
      </c>
      <c r="H2472" t="s">
        <v>10695</v>
      </c>
      <c r="I2472">
        <v>5617</v>
      </c>
      <c r="J2472" t="s">
        <v>10833</v>
      </c>
      <c r="K2472" t="s">
        <v>10833</v>
      </c>
      <c r="L2472" t="s">
        <v>386</v>
      </c>
      <c r="M2472" t="s">
        <v>1193</v>
      </c>
      <c r="N2472">
        <v>5617</v>
      </c>
      <c r="O2472">
        <v>57</v>
      </c>
      <c r="Q2472" t="s">
        <v>10834</v>
      </c>
      <c r="R2472" t="s">
        <v>398</v>
      </c>
      <c r="S2472" t="s">
        <v>1909</v>
      </c>
      <c r="T2472">
        <v>260</v>
      </c>
      <c r="U2472">
        <v>0</v>
      </c>
      <c r="V2472" t="s">
        <v>1216</v>
      </c>
      <c r="W2472" t="s">
        <v>1216</v>
      </c>
      <c r="X2472">
        <v>260</v>
      </c>
      <c r="Y2472" t="s">
        <v>1317</v>
      </c>
      <c r="Z2472" t="s">
        <v>10698</v>
      </c>
      <c r="AA2472" t="s">
        <v>387</v>
      </c>
      <c r="AB2472">
        <v>49000</v>
      </c>
      <c r="AC2472">
        <v>2653</v>
      </c>
      <c r="AD2472" t="s">
        <v>10835</v>
      </c>
      <c r="AE2472">
        <v>1278</v>
      </c>
      <c r="AF2472" t="s">
        <v>10836</v>
      </c>
      <c r="AG2472" t="s">
        <v>10837</v>
      </c>
      <c r="AH2472" t="s">
        <v>10838</v>
      </c>
    </row>
    <row r="2473" spans="1:34" x14ac:dyDescent="0.25">
      <c r="A2473">
        <v>29</v>
      </c>
      <c r="B2473" t="s">
        <v>1313</v>
      </c>
      <c r="C2473" s="185"/>
      <c r="D2473" t="s">
        <v>24</v>
      </c>
      <c r="E2473" t="s">
        <v>386</v>
      </c>
      <c r="F2473" t="s">
        <v>78</v>
      </c>
      <c r="G2473" t="s">
        <v>1197</v>
      </c>
      <c r="H2473" t="s">
        <v>3818</v>
      </c>
      <c r="I2473">
        <v>3142</v>
      </c>
      <c r="J2473" t="s">
        <v>78</v>
      </c>
      <c r="K2473" t="s">
        <v>10839</v>
      </c>
      <c r="L2473" t="s">
        <v>386</v>
      </c>
      <c r="M2473" t="s">
        <v>1193</v>
      </c>
      <c r="N2473">
        <v>3142</v>
      </c>
      <c r="O2473">
        <v>55</v>
      </c>
      <c r="Q2473" t="s">
        <v>10840</v>
      </c>
      <c r="R2473" t="s">
        <v>398</v>
      </c>
      <c r="S2473" t="s">
        <v>1909</v>
      </c>
      <c r="T2473">
        <v>220</v>
      </c>
      <c r="U2473">
        <v>0</v>
      </c>
      <c r="V2473" t="s">
        <v>1194</v>
      </c>
      <c r="W2473" t="s">
        <v>4468</v>
      </c>
      <c r="X2473">
        <v>470</v>
      </c>
      <c r="Y2473" t="s">
        <v>1317</v>
      </c>
      <c r="Z2473" t="s">
        <v>894</v>
      </c>
      <c r="AA2473" t="s">
        <v>387</v>
      </c>
      <c r="AB2473">
        <v>47000</v>
      </c>
      <c r="AC2473">
        <v>2092</v>
      </c>
      <c r="AD2473" t="s">
        <v>10841</v>
      </c>
      <c r="AE2473">
        <v>1005</v>
      </c>
      <c r="AF2473" t="s">
        <v>10842</v>
      </c>
      <c r="AG2473" t="s">
        <v>10843</v>
      </c>
      <c r="AH2473" t="s">
        <v>10844</v>
      </c>
    </row>
    <row r="2474" spans="1:34" x14ac:dyDescent="0.25">
      <c r="A2474">
        <v>29</v>
      </c>
      <c r="B2474" t="s">
        <v>1313</v>
      </c>
      <c r="C2474" s="185"/>
      <c r="E2474" t="s">
        <v>386</v>
      </c>
      <c r="F2474" t="s">
        <v>2958</v>
      </c>
      <c r="G2474" t="s">
        <v>1197</v>
      </c>
      <c r="H2474" t="s">
        <v>3818</v>
      </c>
      <c r="I2474">
        <v>7119</v>
      </c>
      <c r="J2474" t="s">
        <v>10845</v>
      </c>
      <c r="K2474" t="s">
        <v>10845</v>
      </c>
      <c r="L2474" t="s">
        <v>386</v>
      </c>
      <c r="M2474" t="s">
        <v>1193</v>
      </c>
      <c r="N2474">
        <v>7116</v>
      </c>
      <c r="O2474">
        <v>55</v>
      </c>
      <c r="Q2474" t="s">
        <v>10846</v>
      </c>
      <c r="R2474" t="s">
        <v>398</v>
      </c>
      <c r="S2474" t="s">
        <v>1909</v>
      </c>
      <c r="T2474">
        <v>220</v>
      </c>
      <c r="U2474">
        <v>0</v>
      </c>
      <c r="V2474" t="s">
        <v>1194</v>
      </c>
      <c r="W2474" t="s">
        <v>1194</v>
      </c>
      <c r="X2474">
        <v>220</v>
      </c>
      <c r="Y2474" t="s">
        <v>1317</v>
      </c>
      <c r="Z2474" t="s">
        <v>894</v>
      </c>
      <c r="AA2474" t="s">
        <v>387</v>
      </c>
      <c r="AB2474">
        <v>47000</v>
      </c>
      <c r="AC2474">
        <v>3332</v>
      </c>
      <c r="AD2474" t="s">
        <v>10847</v>
      </c>
      <c r="AE2474">
        <v>1134</v>
      </c>
      <c r="AF2474" t="s">
        <v>10800</v>
      </c>
      <c r="AG2474" t="s">
        <v>1244</v>
      </c>
    </row>
    <row r="2475" spans="1:34" x14ac:dyDescent="0.25">
      <c r="A2475">
        <v>1762</v>
      </c>
      <c r="C2475" s="185"/>
      <c r="E2475" t="s">
        <v>386</v>
      </c>
      <c r="F2475" t="s">
        <v>10848</v>
      </c>
      <c r="H2475" t="s">
        <v>10849</v>
      </c>
      <c r="I2475">
        <v>8962</v>
      </c>
      <c r="J2475" t="s">
        <v>10848</v>
      </c>
      <c r="K2475" t="s">
        <v>10848</v>
      </c>
      <c r="L2475" t="s">
        <v>386</v>
      </c>
      <c r="M2475" t="s">
        <v>1193</v>
      </c>
      <c r="N2475">
        <v>8962</v>
      </c>
      <c r="O2475">
        <v>0</v>
      </c>
      <c r="Q2475" t="s">
        <v>10850</v>
      </c>
      <c r="R2475" t="s">
        <v>1208</v>
      </c>
      <c r="T2475">
        <v>103</v>
      </c>
      <c r="V2475" t="s">
        <v>1530</v>
      </c>
      <c r="Z2475" t="s">
        <v>7641</v>
      </c>
      <c r="AA2475" t="s">
        <v>387</v>
      </c>
      <c r="AB2475">
        <v>0</v>
      </c>
      <c r="AC2475">
        <v>3578</v>
      </c>
      <c r="AD2475" t="s">
        <v>10851</v>
      </c>
      <c r="AE2475">
        <v>1665</v>
      </c>
      <c r="AF2475" t="s">
        <v>10852</v>
      </c>
      <c r="AG2475" t="s">
        <v>10853</v>
      </c>
      <c r="AH2475" t="s">
        <v>10854</v>
      </c>
    </row>
    <row r="2476" spans="1:34" x14ac:dyDescent="0.25">
      <c r="A2476">
        <v>29</v>
      </c>
      <c r="B2476" t="s">
        <v>1313</v>
      </c>
      <c r="C2476" s="185"/>
      <c r="D2476" t="s">
        <v>24</v>
      </c>
      <c r="E2476" t="s">
        <v>386</v>
      </c>
      <c r="F2476" t="s">
        <v>431</v>
      </c>
      <c r="G2476" t="s">
        <v>1197</v>
      </c>
      <c r="H2476" t="s">
        <v>3818</v>
      </c>
      <c r="I2476">
        <v>7097</v>
      </c>
      <c r="J2476" t="s">
        <v>91</v>
      </c>
      <c r="K2476" t="s">
        <v>7785</v>
      </c>
      <c r="L2476" t="s">
        <v>386</v>
      </c>
      <c r="M2476" t="s">
        <v>1193</v>
      </c>
      <c r="N2476">
        <v>15336</v>
      </c>
      <c r="O2476">
        <v>55</v>
      </c>
      <c r="Q2476" t="s">
        <v>10855</v>
      </c>
      <c r="R2476" t="s">
        <v>398</v>
      </c>
      <c r="S2476" t="s">
        <v>2293</v>
      </c>
      <c r="T2476">
        <v>220</v>
      </c>
      <c r="U2476">
        <v>0</v>
      </c>
      <c r="V2476" t="s">
        <v>1194</v>
      </c>
      <c r="W2476" t="s">
        <v>4468</v>
      </c>
      <c r="X2476">
        <v>470</v>
      </c>
      <c r="Y2476" t="s">
        <v>1317</v>
      </c>
      <c r="Z2476" t="s">
        <v>894</v>
      </c>
      <c r="AA2476" t="s">
        <v>387</v>
      </c>
      <c r="AB2476">
        <v>47000</v>
      </c>
      <c r="AC2476">
        <v>3166</v>
      </c>
      <c r="AD2476" t="s">
        <v>10856</v>
      </c>
      <c r="AE2476">
        <v>1134</v>
      </c>
      <c r="AF2476" t="s">
        <v>10800</v>
      </c>
      <c r="AG2476" t="s">
        <v>1244</v>
      </c>
      <c r="AH2476" t="s">
        <v>10857</v>
      </c>
    </row>
    <row r="2477" spans="1:34" x14ac:dyDescent="0.25">
      <c r="A2477">
        <v>1636</v>
      </c>
      <c r="B2477" t="s">
        <v>1313</v>
      </c>
      <c r="C2477" s="185"/>
      <c r="D2477" t="s">
        <v>24</v>
      </c>
      <c r="E2477" t="s">
        <v>386</v>
      </c>
      <c r="F2477" t="s">
        <v>10858</v>
      </c>
      <c r="G2477" t="s">
        <v>1197</v>
      </c>
      <c r="H2477" t="s">
        <v>10859</v>
      </c>
      <c r="I2477">
        <v>5009</v>
      </c>
      <c r="J2477" t="s">
        <v>10858</v>
      </c>
      <c r="K2477" t="s">
        <v>10860</v>
      </c>
      <c r="L2477" t="s">
        <v>386</v>
      </c>
      <c r="M2477" t="s">
        <v>1193</v>
      </c>
      <c r="N2477">
        <v>5009</v>
      </c>
      <c r="O2477">
        <v>55</v>
      </c>
      <c r="Q2477" t="s">
        <v>10861</v>
      </c>
      <c r="R2477" t="s">
        <v>398</v>
      </c>
      <c r="S2477" t="s">
        <v>1909</v>
      </c>
      <c r="T2477">
        <v>220</v>
      </c>
      <c r="U2477">
        <v>0</v>
      </c>
      <c r="V2477" t="s">
        <v>1194</v>
      </c>
      <c r="W2477" t="s">
        <v>5630</v>
      </c>
      <c r="X2477">
        <v>427</v>
      </c>
      <c r="Y2477" t="s">
        <v>1317</v>
      </c>
      <c r="Z2477" t="s">
        <v>10862</v>
      </c>
      <c r="AA2477" t="s">
        <v>387</v>
      </c>
      <c r="AB2477">
        <v>47000</v>
      </c>
      <c r="AC2477">
        <v>2453</v>
      </c>
      <c r="AD2477" t="s">
        <v>10863</v>
      </c>
      <c r="AE2477">
        <v>1184</v>
      </c>
      <c r="AF2477" t="s">
        <v>10864</v>
      </c>
      <c r="AG2477" t="s">
        <v>10865</v>
      </c>
      <c r="AH2477" t="s">
        <v>10866</v>
      </c>
    </row>
    <row r="2478" spans="1:34" x14ac:dyDescent="0.25">
      <c r="A2478">
        <v>1588</v>
      </c>
      <c r="C2478" s="185"/>
      <c r="E2478" t="s">
        <v>386</v>
      </c>
      <c r="F2478" t="s">
        <v>10867</v>
      </c>
      <c r="G2478" t="s">
        <v>1197</v>
      </c>
      <c r="H2478" t="s">
        <v>10868</v>
      </c>
      <c r="I2478">
        <v>15981</v>
      </c>
      <c r="J2478" t="s">
        <v>10867</v>
      </c>
      <c r="K2478" t="s">
        <v>10869</v>
      </c>
      <c r="L2478" t="s">
        <v>386</v>
      </c>
      <c r="M2478" t="s">
        <v>1193</v>
      </c>
      <c r="N2478">
        <v>15981</v>
      </c>
      <c r="O2478">
        <v>76</v>
      </c>
      <c r="Q2478" t="s">
        <v>10870</v>
      </c>
      <c r="R2478" t="s">
        <v>398</v>
      </c>
      <c r="T2478">
        <v>396</v>
      </c>
      <c r="V2478" t="s">
        <v>2186</v>
      </c>
      <c r="W2478" t="s">
        <v>1194</v>
      </c>
      <c r="X2478">
        <v>220</v>
      </c>
      <c r="Z2478" t="s">
        <v>949</v>
      </c>
      <c r="AA2478" t="s">
        <v>387</v>
      </c>
      <c r="AB2478">
        <v>69000</v>
      </c>
      <c r="AC2478">
        <v>6014</v>
      </c>
      <c r="AD2478" t="s">
        <v>10871</v>
      </c>
      <c r="AE2478">
        <v>1438</v>
      </c>
      <c r="AF2478" t="s">
        <v>10872</v>
      </c>
      <c r="AG2478" t="s">
        <v>1244</v>
      </c>
      <c r="AH2478" t="s">
        <v>10873</v>
      </c>
    </row>
    <row r="2479" spans="1:34" x14ac:dyDescent="0.25">
      <c r="A2479">
        <v>1588</v>
      </c>
      <c r="C2479" s="185"/>
      <c r="D2479" t="s">
        <v>157</v>
      </c>
      <c r="E2479" t="s">
        <v>386</v>
      </c>
      <c r="F2479" t="s">
        <v>660</v>
      </c>
      <c r="G2479" t="s">
        <v>1197</v>
      </c>
      <c r="H2479" t="s">
        <v>10874</v>
      </c>
      <c r="I2479">
        <v>12322</v>
      </c>
      <c r="J2479" t="s">
        <v>660</v>
      </c>
      <c r="K2479" t="s">
        <v>660</v>
      </c>
      <c r="L2479" t="s">
        <v>386</v>
      </c>
      <c r="M2479" t="s">
        <v>1193</v>
      </c>
      <c r="N2479">
        <v>12322</v>
      </c>
      <c r="O2479">
        <v>0</v>
      </c>
      <c r="Q2479" t="s">
        <v>10875</v>
      </c>
      <c r="R2479" t="s">
        <v>398</v>
      </c>
      <c r="T2479">
        <v>260</v>
      </c>
      <c r="V2479" t="s">
        <v>1216</v>
      </c>
      <c r="Z2479" t="s">
        <v>949</v>
      </c>
      <c r="AA2479" t="s">
        <v>387</v>
      </c>
      <c r="AB2479">
        <v>0</v>
      </c>
      <c r="AC2479">
        <v>4648</v>
      </c>
      <c r="AD2479" t="s">
        <v>10876</v>
      </c>
      <c r="AE2479">
        <v>18</v>
      </c>
      <c r="AF2479" t="s">
        <v>1259</v>
      </c>
      <c r="AG2479" t="s">
        <v>1244</v>
      </c>
      <c r="AH2479" t="s">
        <v>10877</v>
      </c>
    </row>
    <row r="2480" spans="1:34" x14ac:dyDescent="0.25">
      <c r="A2480">
        <v>1097</v>
      </c>
      <c r="B2480" t="s">
        <v>1313</v>
      </c>
      <c r="C2480" s="185"/>
      <c r="D2480" t="s">
        <v>24</v>
      </c>
      <c r="E2480" t="s">
        <v>386</v>
      </c>
      <c r="F2480" t="s">
        <v>10801</v>
      </c>
      <c r="G2480" t="s">
        <v>1197</v>
      </c>
      <c r="H2480" t="s">
        <v>10695</v>
      </c>
      <c r="I2480">
        <v>5677</v>
      </c>
      <c r="J2480" t="s">
        <v>10801</v>
      </c>
      <c r="K2480" t="s">
        <v>10878</v>
      </c>
      <c r="L2480" t="s">
        <v>386</v>
      </c>
      <c r="M2480" t="s">
        <v>1193</v>
      </c>
      <c r="N2480">
        <v>5677</v>
      </c>
      <c r="O2480">
        <v>55</v>
      </c>
      <c r="Q2480" t="s">
        <v>10879</v>
      </c>
      <c r="R2480" t="s">
        <v>398</v>
      </c>
      <c r="S2480" t="s">
        <v>1909</v>
      </c>
      <c r="T2480">
        <v>396</v>
      </c>
      <c r="U2480">
        <v>0</v>
      </c>
      <c r="V2480" t="s">
        <v>2186</v>
      </c>
      <c r="W2480" t="s">
        <v>1194</v>
      </c>
      <c r="X2480">
        <v>220</v>
      </c>
      <c r="Y2480" t="s">
        <v>1317</v>
      </c>
      <c r="Z2480" t="s">
        <v>10698</v>
      </c>
      <c r="AA2480" t="s">
        <v>387</v>
      </c>
      <c r="AB2480">
        <v>47000</v>
      </c>
      <c r="AC2480">
        <v>2672</v>
      </c>
      <c r="AD2480" t="s">
        <v>10880</v>
      </c>
      <c r="AE2480">
        <v>1278</v>
      </c>
      <c r="AF2480" t="s">
        <v>10836</v>
      </c>
      <c r="AG2480" t="s">
        <v>1244</v>
      </c>
      <c r="AH2480" t="s">
        <v>7741</v>
      </c>
    </row>
    <row r="2481" spans="1:34" x14ac:dyDescent="0.25">
      <c r="A2481">
        <v>1097</v>
      </c>
      <c r="C2481" s="185"/>
      <c r="E2481" t="s">
        <v>386</v>
      </c>
      <c r="F2481" t="s">
        <v>10881</v>
      </c>
      <c r="G2481" t="s">
        <v>1197</v>
      </c>
      <c r="H2481" t="s">
        <v>10695</v>
      </c>
      <c r="I2481">
        <v>14851</v>
      </c>
      <c r="J2481" t="s">
        <v>10881</v>
      </c>
      <c r="K2481" t="s">
        <v>10882</v>
      </c>
      <c r="L2481" t="s">
        <v>386</v>
      </c>
      <c r="M2481" t="s">
        <v>1193</v>
      </c>
      <c r="N2481">
        <v>14851</v>
      </c>
      <c r="O2481">
        <v>0</v>
      </c>
      <c r="Q2481" t="s">
        <v>10883</v>
      </c>
      <c r="T2481">
        <v>260</v>
      </c>
      <c r="V2481" t="s">
        <v>1216</v>
      </c>
      <c r="W2481" t="s">
        <v>1216</v>
      </c>
      <c r="X2481">
        <v>260</v>
      </c>
      <c r="Z2481" t="s">
        <v>10698</v>
      </c>
      <c r="AA2481" t="s">
        <v>387</v>
      </c>
      <c r="AB2481">
        <v>0</v>
      </c>
      <c r="AC2481">
        <v>5654</v>
      </c>
      <c r="AD2481" t="s">
        <v>10772</v>
      </c>
      <c r="AE2481">
        <v>622</v>
      </c>
      <c r="AF2481" t="s">
        <v>10773</v>
      </c>
      <c r="AG2481" t="s">
        <v>2044</v>
      </c>
      <c r="AH2481" t="s">
        <v>10884</v>
      </c>
    </row>
    <row r="2482" spans="1:34" x14ac:dyDescent="0.25">
      <c r="A2482">
        <v>106</v>
      </c>
      <c r="C2482" s="185"/>
      <c r="E2482" t="s">
        <v>386</v>
      </c>
      <c r="F2482" t="s">
        <v>10885</v>
      </c>
      <c r="G2482" t="s">
        <v>1197</v>
      </c>
      <c r="H2482" t="s">
        <v>10886</v>
      </c>
      <c r="I2482">
        <v>17502</v>
      </c>
      <c r="J2482" t="s">
        <v>10885</v>
      </c>
      <c r="K2482" t="s">
        <v>10885</v>
      </c>
      <c r="L2482" t="s">
        <v>386</v>
      </c>
      <c r="M2482" t="s">
        <v>1193</v>
      </c>
      <c r="N2482">
        <v>17502</v>
      </c>
      <c r="O2482">
        <v>0</v>
      </c>
      <c r="Q2482" t="s">
        <v>10887</v>
      </c>
      <c r="R2482" t="s">
        <v>1223</v>
      </c>
      <c r="T2482">
        <v>52</v>
      </c>
      <c r="V2482" t="s">
        <v>2024</v>
      </c>
      <c r="W2482" t="s">
        <v>1530</v>
      </c>
      <c r="X2482">
        <v>103</v>
      </c>
      <c r="Z2482" t="s">
        <v>10888</v>
      </c>
      <c r="AA2482" t="s">
        <v>387</v>
      </c>
      <c r="AB2482">
        <v>0</v>
      </c>
      <c r="AC2482">
        <v>1979</v>
      </c>
      <c r="AD2482" t="s">
        <v>10889</v>
      </c>
      <c r="AE2482">
        <v>244</v>
      </c>
      <c r="AF2482" t="s">
        <v>9866</v>
      </c>
      <c r="AG2482" t="s">
        <v>10890</v>
      </c>
      <c r="AH2482" t="s">
        <v>10891</v>
      </c>
    </row>
    <row r="2483" spans="1:34" x14ac:dyDescent="0.25">
      <c r="A2483">
        <v>1336</v>
      </c>
      <c r="C2483" s="185"/>
      <c r="E2483" t="s">
        <v>386</v>
      </c>
      <c r="F2483" t="s">
        <v>10892</v>
      </c>
      <c r="G2483" t="s">
        <v>1197</v>
      </c>
      <c r="H2483" t="s">
        <v>10893</v>
      </c>
      <c r="I2483">
        <v>16423</v>
      </c>
      <c r="J2483" t="s">
        <v>10892</v>
      </c>
      <c r="K2483" t="s">
        <v>10894</v>
      </c>
      <c r="L2483" t="s">
        <v>386</v>
      </c>
      <c r="M2483" t="s">
        <v>1193</v>
      </c>
      <c r="N2483">
        <v>16423</v>
      </c>
      <c r="O2483">
        <v>0</v>
      </c>
      <c r="Q2483" t="s">
        <v>10895</v>
      </c>
      <c r="T2483">
        <v>496</v>
      </c>
      <c r="V2483" t="s">
        <v>2246</v>
      </c>
      <c r="W2483" t="s">
        <v>2246</v>
      </c>
      <c r="X2483">
        <v>496</v>
      </c>
      <c r="Z2483" t="s">
        <v>2979</v>
      </c>
      <c r="AA2483" t="s">
        <v>387</v>
      </c>
      <c r="AB2483">
        <v>0</v>
      </c>
      <c r="AC2483">
        <v>6144</v>
      </c>
      <c r="AD2483" t="s">
        <v>10896</v>
      </c>
      <c r="AE2483">
        <v>2820</v>
      </c>
      <c r="AF2483" t="s">
        <v>10897</v>
      </c>
      <c r="AG2483" t="s">
        <v>3251</v>
      </c>
      <c r="AH2483" t="s">
        <v>10898</v>
      </c>
    </row>
    <row r="2484" spans="1:34" x14ac:dyDescent="0.25">
      <c r="A2484">
        <v>1319</v>
      </c>
      <c r="C2484" s="185"/>
      <c r="E2484" t="s">
        <v>386</v>
      </c>
      <c r="F2484" t="s">
        <v>10899</v>
      </c>
      <c r="G2484" t="s">
        <v>1197</v>
      </c>
      <c r="H2484" t="s">
        <v>10900</v>
      </c>
      <c r="I2484">
        <v>12635</v>
      </c>
      <c r="J2484" t="s">
        <v>10899</v>
      </c>
      <c r="K2484" t="s">
        <v>10901</v>
      </c>
      <c r="L2484" t="s">
        <v>386</v>
      </c>
      <c r="M2484" t="s">
        <v>1193</v>
      </c>
      <c r="N2484">
        <v>12635</v>
      </c>
      <c r="O2484">
        <v>0</v>
      </c>
      <c r="Q2484" t="s">
        <v>10902</v>
      </c>
      <c r="R2484" t="s">
        <v>1223</v>
      </c>
      <c r="T2484">
        <v>103</v>
      </c>
      <c r="V2484" t="s">
        <v>1530</v>
      </c>
      <c r="Z2484" t="s">
        <v>10903</v>
      </c>
      <c r="AA2484" t="s">
        <v>387</v>
      </c>
      <c r="AB2484">
        <v>0</v>
      </c>
      <c r="AC2484">
        <v>4721</v>
      </c>
      <c r="AD2484" t="s">
        <v>10904</v>
      </c>
      <c r="AE2484">
        <v>2178</v>
      </c>
      <c r="AF2484" t="s">
        <v>10172</v>
      </c>
      <c r="AG2484" t="s">
        <v>9896</v>
      </c>
      <c r="AH2484" t="s">
        <v>10905</v>
      </c>
    </row>
    <row r="2485" spans="1:34" x14ac:dyDescent="0.25">
      <c r="A2485">
        <v>1425</v>
      </c>
      <c r="C2485" s="185"/>
      <c r="E2485" t="s">
        <v>386</v>
      </c>
      <c r="F2485" t="s">
        <v>10906</v>
      </c>
      <c r="G2485" t="s">
        <v>1197</v>
      </c>
      <c r="H2485" t="s">
        <v>3818</v>
      </c>
      <c r="I2485">
        <v>13845</v>
      </c>
      <c r="J2485" t="s">
        <v>10906</v>
      </c>
      <c r="K2485" t="s">
        <v>10906</v>
      </c>
      <c r="L2485" t="s">
        <v>386</v>
      </c>
      <c r="M2485" t="s">
        <v>1193</v>
      </c>
      <c r="N2485">
        <v>13845</v>
      </c>
      <c r="O2485">
        <v>55</v>
      </c>
      <c r="Q2485" t="s">
        <v>10907</v>
      </c>
      <c r="T2485">
        <v>220</v>
      </c>
      <c r="V2485" t="s">
        <v>1194</v>
      </c>
      <c r="W2485" t="s">
        <v>2186</v>
      </c>
      <c r="X2485">
        <v>396</v>
      </c>
      <c r="Z2485" t="s">
        <v>3820</v>
      </c>
      <c r="AA2485" t="s">
        <v>387</v>
      </c>
      <c r="AB2485">
        <v>47000</v>
      </c>
      <c r="AC2485">
        <v>5222</v>
      </c>
      <c r="AD2485" t="s">
        <v>10908</v>
      </c>
      <c r="AE2485">
        <v>2420</v>
      </c>
      <c r="AF2485" t="s">
        <v>10909</v>
      </c>
      <c r="AG2485" t="s">
        <v>10910</v>
      </c>
      <c r="AH2485" t="s">
        <v>10911</v>
      </c>
    </row>
    <row r="2486" spans="1:34" x14ac:dyDescent="0.25">
      <c r="A2486">
        <v>1425</v>
      </c>
      <c r="C2486" s="185"/>
      <c r="E2486" t="s">
        <v>386</v>
      </c>
      <c r="F2486" t="s">
        <v>10912</v>
      </c>
      <c r="G2486" t="s">
        <v>1192</v>
      </c>
      <c r="H2486" t="s">
        <v>3818</v>
      </c>
      <c r="I2486">
        <v>15705</v>
      </c>
      <c r="J2486" t="s">
        <v>10912</v>
      </c>
      <c r="K2486" t="s">
        <v>10913</v>
      </c>
      <c r="L2486" t="s">
        <v>386</v>
      </c>
      <c r="M2486" t="s">
        <v>1193</v>
      </c>
      <c r="N2486">
        <v>15705</v>
      </c>
      <c r="O2486">
        <v>0</v>
      </c>
      <c r="Q2486" t="s">
        <v>10914</v>
      </c>
      <c r="T2486">
        <v>571</v>
      </c>
      <c r="V2486" t="s">
        <v>2003</v>
      </c>
      <c r="W2486" t="s">
        <v>3129</v>
      </c>
      <c r="X2486">
        <v>435</v>
      </c>
      <c r="Z2486" t="s">
        <v>3820</v>
      </c>
      <c r="AA2486" t="s">
        <v>387</v>
      </c>
      <c r="AB2486">
        <v>0</v>
      </c>
      <c r="AC2486">
        <v>1017</v>
      </c>
      <c r="AD2486" t="s">
        <v>7177</v>
      </c>
      <c r="AE2486">
        <v>476</v>
      </c>
      <c r="AF2486" t="s">
        <v>10807</v>
      </c>
      <c r="AG2486" t="s">
        <v>10915</v>
      </c>
      <c r="AH2486" t="s">
        <v>10916</v>
      </c>
    </row>
    <row r="2487" spans="1:34" x14ac:dyDescent="0.25">
      <c r="A2487">
        <v>1317</v>
      </c>
      <c r="C2487" s="185"/>
      <c r="D2487" t="s">
        <v>24</v>
      </c>
      <c r="E2487" t="s">
        <v>386</v>
      </c>
      <c r="F2487" t="s">
        <v>10917</v>
      </c>
      <c r="G2487" t="s">
        <v>1197</v>
      </c>
      <c r="H2487" t="s">
        <v>10918</v>
      </c>
      <c r="I2487">
        <v>1665</v>
      </c>
      <c r="J2487" t="s">
        <v>10917</v>
      </c>
      <c r="K2487" t="s">
        <v>10917</v>
      </c>
      <c r="L2487" t="s">
        <v>386</v>
      </c>
      <c r="M2487" t="s">
        <v>1193</v>
      </c>
      <c r="N2487">
        <v>1665</v>
      </c>
      <c r="O2487">
        <v>10</v>
      </c>
      <c r="Q2487" t="s">
        <v>10919</v>
      </c>
      <c r="R2487" t="s">
        <v>398</v>
      </c>
      <c r="T2487">
        <v>0</v>
      </c>
      <c r="V2487" t="s">
        <v>1186</v>
      </c>
      <c r="Z2487" t="s">
        <v>10920</v>
      </c>
      <c r="AA2487" t="s">
        <v>387</v>
      </c>
      <c r="AB2487">
        <v>6000</v>
      </c>
      <c r="AC2487">
        <v>1241</v>
      </c>
      <c r="AD2487" t="s">
        <v>10921</v>
      </c>
      <c r="AE2487">
        <v>0</v>
      </c>
      <c r="AF2487" t="s">
        <v>1188</v>
      </c>
      <c r="AG2487" t="s">
        <v>10922</v>
      </c>
      <c r="AH2487" t="s">
        <v>10923</v>
      </c>
    </row>
    <row r="2488" spans="1:34" x14ac:dyDescent="0.25">
      <c r="A2488">
        <v>160</v>
      </c>
      <c r="C2488" s="185"/>
      <c r="E2488" t="s">
        <v>386</v>
      </c>
      <c r="F2488" t="s">
        <v>10924</v>
      </c>
      <c r="G2488" t="s">
        <v>1197</v>
      </c>
      <c r="H2488" t="s">
        <v>10925</v>
      </c>
      <c r="I2488">
        <v>17708</v>
      </c>
      <c r="J2488" t="s">
        <v>10924</v>
      </c>
      <c r="K2488" t="s">
        <v>10924</v>
      </c>
      <c r="L2488" t="s">
        <v>386</v>
      </c>
      <c r="M2488" t="s">
        <v>1193</v>
      </c>
      <c r="N2488">
        <v>17708</v>
      </c>
      <c r="O2488">
        <v>0</v>
      </c>
      <c r="Q2488" t="s">
        <v>10926</v>
      </c>
      <c r="T2488">
        <v>473</v>
      </c>
      <c r="V2488" t="s">
        <v>1964</v>
      </c>
      <c r="W2488" t="s">
        <v>1964</v>
      </c>
      <c r="X2488">
        <v>473</v>
      </c>
      <c r="Z2488" t="s">
        <v>10927</v>
      </c>
      <c r="AA2488" t="s">
        <v>387</v>
      </c>
      <c r="AB2488">
        <v>0</v>
      </c>
      <c r="AC2488">
        <v>5471</v>
      </c>
      <c r="AD2488" t="s">
        <v>4157</v>
      </c>
      <c r="AE2488">
        <v>222</v>
      </c>
      <c r="AF2488" t="s">
        <v>7272</v>
      </c>
      <c r="AG2488" t="s">
        <v>10928</v>
      </c>
      <c r="AH2488" t="s">
        <v>10929</v>
      </c>
    </row>
    <row r="2489" spans="1:34" x14ac:dyDescent="0.25">
      <c r="A2489">
        <v>1293</v>
      </c>
      <c r="C2489" s="185"/>
      <c r="E2489" t="s">
        <v>386</v>
      </c>
      <c r="F2489" t="s">
        <v>10930</v>
      </c>
      <c r="G2489" t="s">
        <v>1197</v>
      </c>
      <c r="H2489" t="s">
        <v>10931</v>
      </c>
      <c r="I2489">
        <v>14015</v>
      </c>
      <c r="J2489" t="s">
        <v>10930</v>
      </c>
      <c r="K2489" t="s">
        <v>10932</v>
      </c>
      <c r="L2489" t="s">
        <v>386</v>
      </c>
      <c r="M2489" t="s">
        <v>1193</v>
      </c>
      <c r="N2489">
        <v>14015</v>
      </c>
      <c r="O2489">
        <v>0</v>
      </c>
      <c r="Q2489" t="s">
        <v>10933</v>
      </c>
      <c r="R2489" t="s">
        <v>1208</v>
      </c>
      <c r="T2489">
        <v>571</v>
      </c>
      <c r="V2489" t="s">
        <v>2003</v>
      </c>
      <c r="W2489" t="s">
        <v>2073</v>
      </c>
      <c r="X2489">
        <v>372</v>
      </c>
      <c r="Z2489" t="s">
        <v>3327</v>
      </c>
      <c r="AA2489" t="s">
        <v>387</v>
      </c>
      <c r="AB2489">
        <v>0</v>
      </c>
      <c r="AC2489">
        <v>5296</v>
      </c>
      <c r="AD2489" t="s">
        <v>10934</v>
      </c>
      <c r="AE2489">
        <v>2458</v>
      </c>
      <c r="AF2489" t="s">
        <v>10935</v>
      </c>
      <c r="AG2489" t="s">
        <v>8356</v>
      </c>
      <c r="AH2489" t="s">
        <v>10936</v>
      </c>
    </row>
    <row r="2490" spans="1:34" x14ac:dyDescent="0.25">
      <c r="A2490">
        <v>1720</v>
      </c>
      <c r="C2490" s="185"/>
      <c r="E2490" t="s">
        <v>386</v>
      </c>
      <c r="F2490" t="s">
        <v>10937</v>
      </c>
      <c r="G2490" t="s">
        <v>1197</v>
      </c>
      <c r="H2490" t="s">
        <v>10938</v>
      </c>
      <c r="I2490">
        <v>5884</v>
      </c>
      <c r="J2490" t="s">
        <v>10937</v>
      </c>
      <c r="K2490" t="s">
        <v>10937</v>
      </c>
      <c r="L2490" t="s">
        <v>386</v>
      </c>
      <c r="M2490" t="s">
        <v>1193</v>
      </c>
      <c r="N2490">
        <v>5884</v>
      </c>
      <c r="O2490">
        <v>0</v>
      </c>
      <c r="Q2490" t="s">
        <v>10939</v>
      </c>
      <c r="T2490">
        <v>39</v>
      </c>
      <c r="V2490" t="s">
        <v>2144</v>
      </c>
      <c r="Z2490" t="s">
        <v>10940</v>
      </c>
      <c r="AA2490" t="s">
        <v>387</v>
      </c>
      <c r="AB2490">
        <v>0</v>
      </c>
      <c r="AC2490">
        <v>2757</v>
      </c>
      <c r="AD2490" t="s">
        <v>10941</v>
      </c>
      <c r="AE2490">
        <v>138</v>
      </c>
      <c r="AF2490" t="s">
        <v>2509</v>
      </c>
      <c r="AG2490" t="s">
        <v>3251</v>
      </c>
      <c r="AH2490" t="s">
        <v>10942</v>
      </c>
    </row>
    <row r="2491" spans="1:34" x14ac:dyDescent="0.25">
      <c r="A2491">
        <v>1484</v>
      </c>
      <c r="C2491" s="185"/>
      <c r="E2491" t="s">
        <v>386</v>
      </c>
      <c r="F2491" t="s">
        <v>10943</v>
      </c>
      <c r="G2491" t="s">
        <v>1197</v>
      </c>
      <c r="H2491" t="s">
        <v>10944</v>
      </c>
      <c r="I2491">
        <v>17628</v>
      </c>
      <c r="J2491" t="s">
        <v>10943</v>
      </c>
      <c r="K2491" t="s">
        <v>10943</v>
      </c>
      <c r="L2491" t="s">
        <v>386</v>
      </c>
      <c r="M2491" t="s">
        <v>1193</v>
      </c>
      <c r="N2491">
        <v>17628</v>
      </c>
      <c r="O2491">
        <v>0</v>
      </c>
      <c r="Q2491" t="s">
        <v>10945</v>
      </c>
      <c r="T2491">
        <v>260</v>
      </c>
      <c r="V2491" t="s">
        <v>1216</v>
      </c>
      <c r="W2491" t="s">
        <v>1216</v>
      </c>
      <c r="X2491">
        <v>260</v>
      </c>
      <c r="Z2491" t="s">
        <v>10946</v>
      </c>
      <c r="AA2491" t="s">
        <v>387</v>
      </c>
      <c r="AB2491">
        <v>0</v>
      </c>
      <c r="AC2491">
        <v>6586</v>
      </c>
      <c r="AD2491" t="s">
        <v>10947</v>
      </c>
      <c r="AE2491">
        <v>3043</v>
      </c>
      <c r="AF2491" t="s">
        <v>10948</v>
      </c>
      <c r="AG2491" t="s">
        <v>1244</v>
      </c>
      <c r="AH2491" t="s">
        <v>10949</v>
      </c>
    </row>
    <row r="2492" spans="1:34" x14ac:dyDescent="0.25">
      <c r="A2492">
        <v>202</v>
      </c>
      <c r="B2492" t="s">
        <v>1313</v>
      </c>
      <c r="C2492" s="185"/>
      <c r="D2492" t="s">
        <v>24</v>
      </c>
      <c r="E2492" t="s">
        <v>386</v>
      </c>
      <c r="F2492" t="s">
        <v>10950</v>
      </c>
      <c r="G2492" t="s">
        <v>1197</v>
      </c>
      <c r="H2492" t="s">
        <v>10951</v>
      </c>
      <c r="I2492">
        <v>1001</v>
      </c>
      <c r="J2492" t="s">
        <v>10952</v>
      </c>
      <c r="K2492" t="s">
        <v>4618</v>
      </c>
      <c r="L2492" t="s">
        <v>386</v>
      </c>
      <c r="M2492" t="s">
        <v>1193</v>
      </c>
      <c r="N2492">
        <v>1000</v>
      </c>
      <c r="O2492">
        <v>65</v>
      </c>
      <c r="Q2492" t="s">
        <v>10953</v>
      </c>
      <c r="R2492" t="s">
        <v>398</v>
      </c>
      <c r="S2492" t="s">
        <v>1315</v>
      </c>
      <c r="T2492">
        <v>220</v>
      </c>
      <c r="U2492">
        <v>0</v>
      </c>
      <c r="V2492" t="s">
        <v>1194</v>
      </c>
      <c r="W2492" t="s">
        <v>1205</v>
      </c>
      <c r="X2492">
        <v>2</v>
      </c>
      <c r="Y2492" t="s">
        <v>1317</v>
      </c>
      <c r="Z2492" t="s">
        <v>1030</v>
      </c>
      <c r="AA2492" t="s">
        <v>387</v>
      </c>
      <c r="AB2492">
        <v>57000</v>
      </c>
      <c r="AC2492">
        <v>831</v>
      </c>
      <c r="AD2492" t="s">
        <v>10954</v>
      </c>
      <c r="AE2492">
        <v>386</v>
      </c>
      <c r="AF2492" t="s">
        <v>10955</v>
      </c>
      <c r="AG2492" t="s">
        <v>1931</v>
      </c>
    </row>
    <row r="2493" spans="1:34" x14ac:dyDescent="0.25">
      <c r="A2493">
        <v>26</v>
      </c>
      <c r="B2493" t="s">
        <v>1313</v>
      </c>
      <c r="C2493" s="185"/>
      <c r="D2493" t="s">
        <v>24</v>
      </c>
      <c r="E2493" t="s">
        <v>386</v>
      </c>
      <c r="F2493" t="s">
        <v>431</v>
      </c>
      <c r="G2493" t="s">
        <v>1197</v>
      </c>
      <c r="H2493" t="s">
        <v>10956</v>
      </c>
      <c r="I2493">
        <v>6415</v>
      </c>
      <c r="J2493" t="s">
        <v>125</v>
      </c>
      <c r="K2493" t="s">
        <v>5676</v>
      </c>
      <c r="L2493" t="s">
        <v>386</v>
      </c>
      <c r="M2493" t="s">
        <v>1193</v>
      </c>
      <c r="N2493">
        <v>15336</v>
      </c>
      <c r="O2493">
        <v>13</v>
      </c>
      <c r="Q2493" t="s">
        <v>10957</v>
      </c>
      <c r="R2493" t="s">
        <v>398</v>
      </c>
      <c r="S2493" t="s">
        <v>2293</v>
      </c>
      <c r="T2493">
        <v>200</v>
      </c>
      <c r="U2493">
        <v>0</v>
      </c>
      <c r="V2493" t="s">
        <v>1199</v>
      </c>
      <c r="W2493" t="s">
        <v>1988</v>
      </c>
      <c r="X2493">
        <v>122</v>
      </c>
      <c r="Y2493" t="s">
        <v>1317</v>
      </c>
      <c r="Z2493" t="s">
        <v>888</v>
      </c>
      <c r="AA2493" t="s">
        <v>387</v>
      </c>
      <c r="AB2493">
        <v>8000</v>
      </c>
      <c r="AC2493">
        <v>2903</v>
      </c>
      <c r="AD2493" t="s">
        <v>10958</v>
      </c>
      <c r="AE2493">
        <v>1376</v>
      </c>
      <c r="AF2493" t="s">
        <v>10959</v>
      </c>
      <c r="AG2493" t="s">
        <v>1244</v>
      </c>
    </row>
    <row r="2494" spans="1:34" x14ac:dyDescent="0.25">
      <c r="A2494">
        <v>119</v>
      </c>
      <c r="B2494" t="s">
        <v>1313</v>
      </c>
      <c r="C2494" s="185"/>
      <c r="D2494" t="s">
        <v>24</v>
      </c>
      <c r="E2494" t="s">
        <v>386</v>
      </c>
      <c r="F2494" t="s">
        <v>463</v>
      </c>
      <c r="G2494" t="s">
        <v>1197</v>
      </c>
      <c r="H2494" t="s">
        <v>4095</v>
      </c>
      <c r="I2494">
        <v>2900</v>
      </c>
      <c r="J2494" t="s">
        <v>463</v>
      </c>
      <c r="K2494" t="s">
        <v>10960</v>
      </c>
      <c r="L2494" t="s">
        <v>386</v>
      </c>
      <c r="M2494" t="s">
        <v>1193</v>
      </c>
      <c r="N2494">
        <v>2900</v>
      </c>
      <c r="O2494">
        <v>65</v>
      </c>
      <c r="Q2494" t="s">
        <v>10961</v>
      </c>
      <c r="R2494" t="s">
        <v>398</v>
      </c>
      <c r="S2494" t="s">
        <v>7889</v>
      </c>
      <c r="T2494">
        <v>220</v>
      </c>
      <c r="U2494">
        <v>0</v>
      </c>
      <c r="V2494" t="s">
        <v>1194</v>
      </c>
      <c r="W2494" t="s">
        <v>1199</v>
      </c>
      <c r="X2494">
        <v>200</v>
      </c>
      <c r="Y2494" t="s">
        <v>1317</v>
      </c>
      <c r="Z2494" t="s">
        <v>1009</v>
      </c>
      <c r="AA2494" t="s">
        <v>387</v>
      </c>
      <c r="AB2494">
        <v>57000</v>
      </c>
      <c r="AC2494">
        <v>1949</v>
      </c>
      <c r="AD2494" t="s">
        <v>10962</v>
      </c>
      <c r="AE2494">
        <v>18</v>
      </c>
      <c r="AF2494" t="s">
        <v>1259</v>
      </c>
      <c r="AG2494" t="s">
        <v>2044</v>
      </c>
    </row>
    <row r="2495" spans="1:34" x14ac:dyDescent="0.25">
      <c r="A2495">
        <v>26</v>
      </c>
      <c r="B2495" t="s">
        <v>1313</v>
      </c>
      <c r="C2495" s="185"/>
      <c r="D2495" t="s">
        <v>24</v>
      </c>
      <c r="E2495" t="s">
        <v>386</v>
      </c>
      <c r="F2495" t="s">
        <v>10963</v>
      </c>
      <c r="G2495" t="s">
        <v>1197</v>
      </c>
      <c r="H2495" t="s">
        <v>10956</v>
      </c>
      <c r="I2495">
        <v>213</v>
      </c>
      <c r="J2495" t="s">
        <v>10963</v>
      </c>
      <c r="K2495" t="s">
        <v>7951</v>
      </c>
      <c r="L2495" t="s">
        <v>386</v>
      </c>
      <c r="M2495" t="s">
        <v>1193</v>
      </c>
      <c r="N2495">
        <v>213</v>
      </c>
      <c r="O2495">
        <v>65</v>
      </c>
      <c r="Q2495" t="s">
        <v>10964</v>
      </c>
      <c r="R2495" t="s">
        <v>398</v>
      </c>
      <c r="S2495" t="s">
        <v>1909</v>
      </c>
      <c r="T2495">
        <v>220</v>
      </c>
      <c r="U2495">
        <v>0</v>
      </c>
      <c r="V2495" t="s">
        <v>1194</v>
      </c>
      <c r="W2495" t="s">
        <v>1194</v>
      </c>
      <c r="X2495">
        <v>220</v>
      </c>
      <c r="Y2495" t="s">
        <v>1317</v>
      </c>
      <c r="Z2495" t="s">
        <v>888</v>
      </c>
      <c r="AA2495" t="s">
        <v>387</v>
      </c>
      <c r="AB2495">
        <v>57000</v>
      </c>
      <c r="AC2495">
        <v>174</v>
      </c>
      <c r="AD2495" t="s">
        <v>10965</v>
      </c>
      <c r="AE2495">
        <v>18</v>
      </c>
      <c r="AF2495" t="s">
        <v>1259</v>
      </c>
      <c r="AG2495" t="s">
        <v>1931</v>
      </c>
      <c r="AH2495" t="s">
        <v>10966</v>
      </c>
    </row>
    <row r="2496" spans="1:34" x14ac:dyDescent="0.25">
      <c r="A2496">
        <v>26</v>
      </c>
      <c r="B2496" t="s">
        <v>1313</v>
      </c>
      <c r="C2496" s="185"/>
      <c r="D2496" t="s">
        <v>24</v>
      </c>
      <c r="E2496" t="s">
        <v>386</v>
      </c>
      <c r="F2496" t="s">
        <v>448</v>
      </c>
      <c r="G2496" t="s">
        <v>1197</v>
      </c>
      <c r="H2496" t="s">
        <v>10956</v>
      </c>
      <c r="I2496">
        <v>90</v>
      </c>
      <c r="J2496" t="s">
        <v>270</v>
      </c>
      <c r="K2496" t="s">
        <v>7402</v>
      </c>
      <c r="L2496" t="s">
        <v>386</v>
      </c>
      <c r="M2496" t="s">
        <v>1193</v>
      </c>
      <c r="N2496">
        <v>15328</v>
      </c>
      <c r="O2496">
        <v>65</v>
      </c>
      <c r="Q2496" t="s">
        <v>10967</v>
      </c>
      <c r="R2496" t="s">
        <v>398</v>
      </c>
      <c r="S2496" t="s">
        <v>7404</v>
      </c>
      <c r="T2496">
        <v>220</v>
      </c>
      <c r="U2496">
        <v>0</v>
      </c>
      <c r="V2496" t="s">
        <v>1194</v>
      </c>
      <c r="W2496" t="s">
        <v>2107</v>
      </c>
      <c r="X2496">
        <v>272</v>
      </c>
      <c r="Y2496" t="s">
        <v>1317</v>
      </c>
      <c r="Z2496" t="s">
        <v>888</v>
      </c>
      <c r="AA2496" t="s">
        <v>387</v>
      </c>
      <c r="AB2496">
        <v>57000</v>
      </c>
      <c r="AC2496">
        <v>174</v>
      </c>
      <c r="AD2496" t="s">
        <v>10965</v>
      </c>
      <c r="AE2496">
        <v>3</v>
      </c>
      <c r="AF2496" t="s">
        <v>1235</v>
      </c>
      <c r="AG2496" t="s">
        <v>1931</v>
      </c>
      <c r="AH2496" t="s">
        <v>10968</v>
      </c>
    </row>
    <row r="2497" spans="1:34" x14ac:dyDescent="0.25">
      <c r="A2497">
        <v>119</v>
      </c>
      <c r="B2497" t="s">
        <v>1313</v>
      </c>
      <c r="C2497" s="185"/>
      <c r="D2497" t="s">
        <v>24</v>
      </c>
      <c r="E2497" t="s">
        <v>386</v>
      </c>
      <c r="F2497" t="s">
        <v>508</v>
      </c>
      <c r="G2497" t="s">
        <v>1197</v>
      </c>
      <c r="H2497" t="s">
        <v>4095</v>
      </c>
      <c r="I2497">
        <v>506</v>
      </c>
      <c r="J2497" t="s">
        <v>1039</v>
      </c>
      <c r="K2497" t="s">
        <v>10969</v>
      </c>
      <c r="L2497" t="s">
        <v>386</v>
      </c>
      <c r="M2497" t="s">
        <v>1193</v>
      </c>
      <c r="N2497">
        <v>15945</v>
      </c>
      <c r="O2497">
        <v>65</v>
      </c>
      <c r="Q2497" t="s">
        <v>10970</v>
      </c>
      <c r="R2497" t="s">
        <v>398</v>
      </c>
      <c r="S2497" t="s">
        <v>1909</v>
      </c>
      <c r="T2497">
        <v>220</v>
      </c>
      <c r="U2497">
        <v>0</v>
      </c>
      <c r="V2497" t="s">
        <v>1194</v>
      </c>
      <c r="W2497" t="s">
        <v>1199</v>
      </c>
      <c r="X2497">
        <v>200</v>
      </c>
      <c r="Y2497" t="s">
        <v>1317</v>
      </c>
      <c r="Z2497" t="s">
        <v>1009</v>
      </c>
      <c r="AA2497" t="s">
        <v>387</v>
      </c>
      <c r="AB2497">
        <v>57000</v>
      </c>
      <c r="AC2497">
        <v>503</v>
      </c>
      <c r="AD2497" t="s">
        <v>4096</v>
      </c>
      <c r="AE2497">
        <v>3</v>
      </c>
      <c r="AF2497" t="s">
        <v>1235</v>
      </c>
      <c r="AG2497" t="s">
        <v>4097</v>
      </c>
      <c r="AH2497" t="s">
        <v>7273</v>
      </c>
    </row>
    <row r="2498" spans="1:34" x14ac:dyDescent="0.25">
      <c r="A2498">
        <v>202</v>
      </c>
      <c r="B2498" t="s">
        <v>1313</v>
      </c>
      <c r="C2498" s="185"/>
      <c r="D2498" t="s">
        <v>24</v>
      </c>
      <c r="E2498" t="s">
        <v>386</v>
      </c>
      <c r="F2498" t="s">
        <v>425</v>
      </c>
      <c r="G2498" t="s">
        <v>1197</v>
      </c>
      <c r="H2498" t="s">
        <v>10951</v>
      </c>
      <c r="I2498">
        <v>2247</v>
      </c>
      <c r="J2498" t="s">
        <v>425</v>
      </c>
      <c r="K2498" t="s">
        <v>10971</v>
      </c>
      <c r="L2498" t="s">
        <v>386</v>
      </c>
      <c r="M2498" t="s">
        <v>1193</v>
      </c>
      <c r="N2498">
        <v>2247</v>
      </c>
      <c r="O2498">
        <v>65</v>
      </c>
      <c r="Q2498" t="s">
        <v>10972</v>
      </c>
      <c r="R2498" t="s">
        <v>398</v>
      </c>
      <c r="S2498" t="s">
        <v>1909</v>
      </c>
      <c r="T2498">
        <v>473</v>
      </c>
      <c r="U2498">
        <v>0</v>
      </c>
      <c r="V2498" t="s">
        <v>1964</v>
      </c>
      <c r="W2498" t="s">
        <v>1194</v>
      </c>
      <c r="X2498">
        <v>220</v>
      </c>
      <c r="Y2498" t="s">
        <v>1317</v>
      </c>
      <c r="Z2498" t="s">
        <v>1030</v>
      </c>
      <c r="AA2498" t="s">
        <v>387</v>
      </c>
      <c r="AB2498">
        <v>57000</v>
      </c>
      <c r="AC2498">
        <v>1653</v>
      </c>
      <c r="AD2498" t="s">
        <v>10973</v>
      </c>
      <c r="AE2498">
        <v>806</v>
      </c>
      <c r="AF2498" t="s">
        <v>10974</v>
      </c>
      <c r="AG2498" t="s">
        <v>2044</v>
      </c>
      <c r="AH2498" t="s">
        <v>10975</v>
      </c>
    </row>
    <row r="2499" spans="1:34" x14ac:dyDescent="0.25">
      <c r="A2499">
        <v>1795</v>
      </c>
      <c r="B2499" t="s">
        <v>1313</v>
      </c>
      <c r="C2499" s="185"/>
      <c r="D2499" t="s">
        <v>24</v>
      </c>
      <c r="E2499" t="s">
        <v>386</v>
      </c>
      <c r="F2499" t="s">
        <v>15419</v>
      </c>
      <c r="G2499" t="s">
        <v>1197</v>
      </c>
      <c r="H2499" t="s">
        <v>10956</v>
      </c>
      <c r="I2499">
        <v>7022</v>
      </c>
      <c r="J2499" t="s">
        <v>15419</v>
      </c>
      <c r="K2499" t="s">
        <v>10976</v>
      </c>
      <c r="L2499" t="s">
        <v>386</v>
      </c>
      <c r="M2499" t="s">
        <v>1193</v>
      </c>
      <c r="N2499">
        <v>7022</v>
      </c>
      <c r="O2499">
        <v>65</v>
      </c>
      <c r="Q2499" t="s">
        <v>10977</v>
      </c>
      <c r="R2499" t="s">
        <v>398</v>
      </c>
      <c r="S2499" t="s">
        <v>2293</v>
      </c>
      <c r="T2499">
        <v>220</v>
      </c>
      <c r="U2499">
        <v>0</v>
      </c>
      <c r="V2499" t="s">
        <v>1194</v>
      </c>
      <c r="W2499" t="s">
        <v>1194</v>
      </c>
      <c r="X2499">
        <v>220</v>
      </c>
      <c r="Y2499" t="s">
        <v>1317</v>
      </c>
      <c r="Z2499" t="s">
        <v>888</v>
      </c>
      <c r="AA2499" t="s">
        <v>387</v>
      </c>
      <c r="AB2499">
        <v>57000</v>
      </c>
      <c r="AC2499">
        <v>2902</v>
      </c>
      <c r="AD2499" t="s">
        <v>10978</v>
      </c>
      <c r="AE2499">
        <v>1376</v>
      </c>
      <c r="AF2499" t="s">
        <v>10959</v>
      </c>
      <c r="AG2499" t="s">
        <v>1244</v>
      </c>
      <c r="AH2499" t="s">
        <v>5687</v>
      </c>
    </row>
    <row r="2500" spans="1:34" x14ac:dyDescent="0.25">
      <c r="A2500">
        <v>1843</v>
      </c>
      <c r="B2500" t="s">
        <v>1313</v>
      </c>
      <c r="C2500" s="185"/>
      <c r="D2500" t="s">
        <v>24</v>
      </c>
      <c r="E2500" t="s">
        <v>386</v>
      </c>
      <c r="F2500" t="s">
        <v>10979</v>
      </c>
      <c r="G2500" t="s">
        <v>1197</v>
      </c>
      <c r="H2500" t="s">
        <v>10980</v>
      </c>
      <c r="I2500">
        <v>9025</v>
      </c>
      <c r="J2500" t="s">
        <v>10979</v>
      </c>
      <c r="K2500" t="s">
        <v>10981</v>
      </c>
      <c r="L2500" t="s">
        <v>386</v>
      </c>
      <c r="M2500" t="s">
        <v>1193</v>
      </c>
      <c r="N2500">
        <v>9025</v>
      </c>
      <c r="O2500">
        <v>65</v>
      </c>
      <c r="Q2500" t="s">
        <v>10982</v>
      </c>
      <c r="R2500" t="s">
        <v>398</v>
      </c>
      <c r="S2500" t="s">
        <v>1909</v>
      </c>
      <c r="T2500">
        <v>220</v>
      </c>
      <c r="U2500">
        <v>0</v>
      </c>
      <c r="V2500" t="s">
        <v>1194</v>
      </c>
      <c r="W2500" t="s">
        <v>1194</v>
      </c>
      <c r="X2500">
        <v>220</v>
      </c>
      <c r="Y2500" t="s">
        <v>1317</v>
      </c>
      <c r="Z2500" t="s">
        <v>10983</v>
      </c>
      <c r="AA2500" t="s">
        <v>387</v>
      </c>
      <c r="AB2500">
        <v>57000</v>
      </c>
      <c r="AC2500">
        <v>3598</v>
      </c>
      <c r="AD2500" t="s">
        <v>10984</v>
      </c>
      <c r="AE2500">
        <v>1376</v>
      </c>
      <c r="AF2500" t="s">
        <v>10959</v>
      </c>
      <c r="AG2500" t="s">
        <v>2044</v>
      </c>
    </row>
    <row r="2501" spans="1:34" x14ac:dyDescent="0.25">
      <c r="A2501">
        <v>67</v>
      </c>
      <c r="C2501" s="185"/>
      <c r="E2501" t="s">
        <v>386</v>
      </c>
      <c r="F2501" t="s">
        <v>10985</v>
      </c>
      <c r="G2501" t="s">
        <v>1197</v>
      </c>
      <c r="H2501" t="s">
        <v>10986</v>
      </c>
      <c r="I2501">
        <v>14516</v>
      </c>
      <c r="J2501" t="s">
        <v>10985</v>
      </c>
      <c r="K2501" t="s">
        <v>10987</v>
      </c>
      <c r="L2501" t="s">
        <v>386</v>
      </c>
      <c r="M2501" t="s">
        <v>1193</v>
      </c>
      <c r="N2501">
        <v>14516</v>
      </c>
      <c r="O2501">
        <v>0</v>
      </c>
      <c r="Q2501" t="s">
        <v>10988</v>
      </c>
      <c r="T2501">
        <v>571</v>
      </c>
      <c r="V2501" t="s">
        <v>2003</v>
      </c>
      <c r="W2501" t="s">
        <v>3129</v>
      </c>
      <c r="X2501">
        <v>435</v>
      </c>
      <c r="Z2501" t="s">
        <v>8674</v>
      </c>
      <c r="AA2501" t="s">
        <v>387</v>
      </c>
      <c r="AB2501">
        <v>0</v>
      </c>
      <c r="AC2501">
        <v>2179</v>
      </c>
      <c r="AD2501" t="s">
        <v>10989</v>
      </c>
      <c r="AE2501">
        <v>2559</v>
      </c>
      <c r="AF2501" t="s">
        <v>10990</v>
      </c>
      <c r="AG2501" t="s">
        <v>9824</v>
      </c>
      <c r="AH2501" t="s">
        <v>10991</v>
      </c>
    </row>
    <row r="2502" spans="1:34" x14ac:dyDescent="0.25">
      <c r="A2502">
        <v>119</v>
      </c>
      <c r="B2502" t="s">
        <v>1313</v>
      </c>
      <c r="C2502" s="185"/>
      <c r="D2502" t="s">
        <v>24</v>
      </c>
      <c r="E2502" t="s">
        <v>386</v>
      </c>
      <c r="F2502" t="s">
        <v>625</v>
      </c>
      <c r="G2502" t="s">
        <v>1197</v>
      </c>
      <c r="H2502" t="s">
        <v>4095</v>
      </c>
      <c r="I2502">
        <v>11637</v>
      </c>
      <c r="J2502" t="s">
        <v>625</v>
      </c>
      <c r="K2502" t="s">
        <v>10992</v>
      </c>
      <c r="L2502" t="s">
        <v>386</v>
      </c>
      <c r="M2502" t="s">
        <v>1193</v>
      </c>
      <c r="N2502">
        <v>11637</v>
      </c>
      <c r="O2502">
        <v>65</v>
      </c>
      <c r="Q2502" t="s">
        <v>10993</v>
      </c>
      <c r="R2502" t="s">
        <v>398</v>
      </c>
      <c r="S2502" t="s">
        <v>1909</v>
      </c>
      <c r="T2502">
        <v>220</v>
      </c>
      <c r="U2502">
        <v>0</v>
      </c>
      <c r="V2502" t="s">
        <v>1194</v>
      </c>
      <c r="W2502" t="s">
        <v>1200</v>
      </c>
      <c r="X2502">
        <v>340</v>
      </c>
      <c r="Y2502" t="s">
        <v>1317</v>
      </c>
      <c r="Z2502" t="s">
        <v>1009</v>
      </c>
      <c r="AA2502" t="s">
        <v>387</v>
      </c>
      <c r="AB2502">
        <v>57000</v>
      </c>
      <c r="AC2502">
        <v>4440</v>
      </c>
      <c r="AD2502" t="s">
        <v>10994</v>
      </c>
      <c r="AE2502">
        <v>18</v>
      </c>
      <c r="AF2502" t="s">
        <v>1259</v>
      </c>
      <c r="AG2502" t="s">
        <v>1244</v>
      </c>
      <c r="AH2502" t="s">
        <v>10995</v>
      </c>
    </row>
    <row r="2503" spans="1:34" x14ac:dyDescent="0.25">
      <c r="A2503">
        <v>202</v>
      </c>
      <c r="C2503" s="185"/>
      <c r="D2503" t="s">
        <v>24</v>
      </c>
      <c r="E2503" t="s">
        <v>386</v>
      </c>
      <c r="F2503" t="s">
        <v>10996</v>
      </c>
      <c r="G2503" t="s">
        <v>1197</v>
      </c>
      <c r="H2503" t="s">
        <v>10951</v>
      </c>
      <c r="I2503">
        <v>11235</v>
      </c>
      <c r="J2503" t="s">
        <v>10996</v>
      </c>
      <c r="K2503" t="s">
        <v>7499</v>
      </c>
      <c r="L2503" t="s">
        <v>386</v>
      </c>
      <c r="M2503" t="s">
        <v>1193</v>
      </c>
      <c r="N2503">
        <v>11235</v>
      </c>
      <c r="O2503">
        <v>65</v>
      </c>
      <c r="Q2503" t="s">
        <v>10997</v>
      </c>
      <c r="R2503" t="s">
        <v>398</v>
      </c>
      <c r="T2503">
        <v>220</v>
      </c>
      <c r="V2503" t="s">
        <v>1194</v>
      </c>
      <c r="W2503" t="s">
        <v>1194</v>
      </c>
      <c r="X2503">
        <v>220</v>
      </c>
      <c r="Z2503" t="s">
        <v>1030</v>
      </c>
      <c r="AA2503" t="s">
        <v>387</v>
      </c>
      <c r="AB2503">
        <v>57000</v>
      </c>
      <c r="AC2503">
        <v>4304</v>
      </c>
      <c r="AD2503" t="s">
        <v>10998</v>
      </c>
      <c r="AE2503">
        <v>386</v>
      </c>
      <c r="AF2503" t="s">
        <v>10955</v>
      </c>
      <c r="AG2503" t="s">
        <v>1244</v>
      </c>
      <c r="AH2503" t="s">
        <v>10999</v>
      </c>
    </row>
    <row r="2504" spans="1:34" x14ac:dyDescent="0.25">
      <c r="A2504">
        <v>202</v>
      </c>
      <c r="B2504" t="s">
        <v>1313</v>
      </c>
      <c r="C2504" s="185"/>
      <c r="D2504" t="s">
        <v>24</v>
      </c>
      <c r="E2504" t="s">
        <v>386</v>
      </c>
      <c r="F2504" t="s">
        <v>11000</v>
      </c>
      <c r="G2504" t="s">
        <v>1197</v>
      </c>
      <c r="H2504" t="s">
        <v>10951</v>
      </c>
      <c r="I2504">
        <v>10905</v>
      </c>
      <c r="J2504" t="s">
        <v>11000</v>
      </c>
      <c r="K2504" t="s">
        <v>11000</v>
      </c>
      <c r="L2504" t="s">
        <v>386</v>
      </c>
      <c r="M2504" t="s">
        <v>1193</v>
      </c>
      <c r="N2504">
        <v>10905</v>
      </c>
      <c r="O2504">
        <v>65</v>
      </c>
      <c r="Q2504" t="s">
        <v>11001</v>
      </c>
      <c r="R2504" t="s">
        <v>398</v>
      </c>
      <c r="S2504" t="s">
        <v>1909</v>
      </c>
      <c r="T2504">
        <v>220</v>
      </c>
      <c r="U2504">
        <v>0</v>
      </c>
      <c r="V2504" t="s">
        <v>1194</v>
      </c>
      <c r="W2504" t="s">
        <v>1194</v>
      </c>
      <c r="X2504">
        <v>220</v>
      </c>
      <c r="Y2504" t="s">
        <v>1317</v>
      </c>
      <c r="Z2504" t="s">
        <v>1030</v>
      </c>
      <c r="AA2504" t="s">
        <v>387</v>
      </c>
      <c r="AB2504">
        <v>57000</v>
      </c>
      <c r="AC2504">
        <v>1048</v>
      </c>
      <c r="AD2504" t="s">
        <v>10710</v>
      </c>
      <c r="AE2504">
        <v>386</v>
      </c>
      <c r="AF2504" t="s">
        <v>10955</v>
      </c>
      <c r="AG2504" t="s">
        <v>2044</v>
      </c>
      <c r="AH2504" t="s">
        <v>11002</v>
      </c>
    </row>
    <row r="2505" spans="1:34" x14ac:dyDescent="0.25">
      <c r="A2505">
        <v>1410</v>
      </c>
      <c r="C2505" s="185"/>
      <c r="E2505" t="s">
        <v>386</v>
      </c>
      <c r="F2505" t="s">
        <v>11003</v>
      </c>
      <c r="G2505" t="s">
        <v>1197</v>
      </c>
      <c r="H2505" t="s">
        <v>11004</v>
      </c>
      <c r="I2505">
        <v>17407</v>
      </c>
      <c r="J2505" t="s">
        <v>11003</v>
      </c>
      <c r="K2505" t="s">
        <v>11005</v>
      </c>
      <c r="L2505" t="s">
        <v>386</v>
      </c>
      <c r="M2505" t="s">
        <v>1193</v>
      </c>
      <c r="N2505">
        <v>17407</v>
      </c>
      <c r="O2505">
        <v>71</v>
      </c>
      <c r="Q2505" t="s">
        <v>11006</v>
      </c>
      <c r="T2505">
        <v>246</v>
      </c>
      <c r="V2505" t="s">
        <v>3321</v>
      </c>
      <c r="W2505" t="s">
        <v>1964</v>
      </c>
      <c r="X2505">
        <v>473</v>
      </c>
      <c r="Z2505" t="s">
        <v>11007</v>
      </c>
      <c r="AA2505" t="s">
        <v>387</v>
      </c>
      <c r="AB2505">
        <v>0</v>
      </c>
      <c r="AC2505">
        <v>6535</v>
      </c>
      <c r="AD2505" t="s">
        <v>11008</v>
      </c>
      <c r="AE2505">
        <v>3014</v>
      </c>
      <c r="AF2505" t="s">
        <v>11009</v>
      </c>
      <c r="AG2505" t="s">
        <v>6920</v>
      </c>
      <c r="AH2505" t="s">
        <v>11010</v>
      </c>
    </row>
    <row r="2506" spans="1:34" x14ac:dyDescent="0.25">
      <c r="A2506">
        <v>1410</v>
      </c>
      <c r="C2506" s="185"/>
      <c r="E2506" t="s">
        <v>386</v>
      </c>
      <c r="F2506" t="s">
        <v>11011</v>
      </c>
      <c r="G2506" t="s">
        <v>1197</v>
      </c>
      <c r="H2506" t="s">
        <v>11012</v>
      </c>
      <c r="I2506">
        <v>16377</v>
      </c>
      <c r="J2506" t="s">
        <v>11011</v>
      </c>
      <c r="K2506" t="s">
        <v>11013</v>
      </c>
      <c r="L2506" t="s">
        <v>386</v>
      </c>
      <c r="M2506" t="s">
        <v>1193</v>
      </c>
      <c r="N2506">
        <v>16377</v>
      </c>
      <c r="O2506">
        <v>0</v>
      </c>
      <c r="Q2506" t="s">
        <v>11014</v>
      </c>
      <c r="T2506">
        <v>496</v>
      </c>
      <c r="V2506" t="s">
        <v>2246</v>
      </c>
      <c r="W2506" t="s">
        <v>2246</v>
      </c>
      <c r="X2506">
        <v>496</v>
      </c>
      <c r="Z2506" t="s">
        <v>11007</v>
      </c>
      <c r="AA2506" t="s">
        <v>387</v>
      </c>
      <c r="AB2506">
        <v>0</v>
      </c>
      <c r="AC2506">
        <v>6133</v>
      </c>
      <c r="AD2506" t="s">
        <v>11015</v>
      </c>
      <c r="AE2506">
        <v>2811</v>
      </c>
      <c r="AF2506" t="s">
        <v>11016</v>
      </c>
      <c r="AG2506" t="s">
        <v>11017</v>
      </c>
      <c r="AH2506" t="s">
        <v>11018</v>
      </c>
    </row>
    <row r="2507" spans="1:34" x14ac:dyDescent="0.25">
      <c r="A2507">
        <v>1410</v>
      </c>
      <c r="C2507" s="185"/>
      <c r="E2507" t="s">
        <v>386</v>
      </c>
      <c r="F2507" t="s">
        <v>11019</v>
      </c>
      <c r="G2507" t="s">
        <v>1197</v>
      </c>
      <c r="H2507" t="s">
        <v>11020</v>
      </c>
      <c r="I2507">
        <v>14387</v>
      </c>
      <c r="J2507" t="s">
        <v>11019</v>
      </c>
      <c r="K2507" t="s">
        <v>11019</v>
      </c>
      <c r="L2507" t="s">
        <v>386</v>
      </c>
      <c r="M2507" t="s">
        <v>1193</v>
      </c>
      <c r="N2507">
        <v>14387</v>
      </c>
      <c r="O2507">
        <v>0</v>
      </c>
      <c r="Q2507" t="s">
        <v>11021</v>
      </c>
      <c r="T2507">
        <v>426</v>
      </c>
      <c r="V2507" t="s">
        <v>1257</v>
      </c>
      <c r="W2507" t="s">
        <v>1257</v>
      </c>
      <c r="X2507">
        <v>426</v>
      </c>
      <c r="Z2507" t="s">
        <v>11007</v>
      </c>
      <c r="AA2507" t="s">
        <v>387</v>
      </c>
      <c r="AB2507">
        <v>0</v>
      </c>
      <c r="AC2507">
        <v>5464</v>
      </c>
      <c r="AD2507" t="s">
        <v>11022</v>
      </c>
      <c r="AE2507">
        <v>2533</v>
      </c>
      <c r="AF2507" t="s">
        <v>11023</v>
      </c>
      <c r="AG2507" t="s">
        <v>11024</v>
      </c>
      <c r="AH2507" t="s">
        <v>11025</v>
      </c>
    </row>
    <row r="2508" spans="1:34" x14ac:dyDescent="0.25">
      <c r="A2508">
        <v>1729</v>
      </c>
      <c r="C2508" s="185"/>
      <c r="D2508" t="s">
        <v>157</v>
      </c>
      <c r="E2508" t="s">
        <v>386</v>
      </c>
      <c r="F2508" t="s">
        <v>11026</v>
      </c>
      <c r="G2508" t="s">
        <v>1197</v>
      </c>
      <c r="H2508" t="s">
        <v>11027</v>
      </c>
      <c r="I2508">
        <v>5944</v>
      </c>
      <c r="J2508" t="s">
        <v>11026</v>
      </c>
      <c r="K2508" t="s">
        <v>11026</v>
      </c>
      <c r="L2508" t="s">
        <v>386</v>
      </c>
      <c r="M2508" t="s">
        <v>1193</v>
      </c>
      <c r="N2508">
        <v>5944</v>
      </c>
      <c r="O2508">
        <v>0</v>
      </c>
      <c r="Q2508" t="s">
        <v>11028</v>
      </c>
      <c r="T2508">
        <v>39</v>
      </c>
      <c r="V2508" t="s">
        <v>2144</v>
      </c>
      <c r="Z2508" t="s">
        <v>11029</v>
      </c>
      <c r="AA2508" t="s">
        <v>387</v>
      </c>
      <c r="AB2508">
        <v>0</v>
      </c>
      <c r="AC2508">
        <v>2778</v>
      </c>
      <c r="AD2508" t="s">
        <v>11030</v>
      </c>
      <c r="AE2508">
        <v>1319</v>
      </c>
      <c r="AF2508" t="s">
        <v>11031</v>
      </c>
      <c r="AG2508" t="s">
        <v>3696</v>
      </c>
      <c r="AH2508" t="s">
        <v>11032</v>
      </c>
    </row>
    <row r="2509" spans="1:34" x14ac:dyDescent="0.25">
      <c r="A2509">
        <v>41</v>
      </c>
      <c r="C2509" s="185"/>
      <c r="E2509" t="s">
        <v>386</v>
      </c>
      <c r="F2509" t="s">
        <v>11033</v>
      </c>
      <c r="G2509" t="s">
        <v>1197</v>
      </c>
      <c r="H2509" t="s">
        <v>11034</v>
      </c>
      <c r="I2509">
        <v>17671</v>
      </c>
      <c r="J2509" t="s">
        <v>11033</v>
      </c>
      <c r="K2509" t="s">
        <v>11033</v>
      </c>
      <c r="L2509" t="s">
        <v>386</v>
      </c>
      <c r="M2509" t="s">
        <v>1193</v>
      </c>
      <c r="N2509">
        <v>17671</v>
      </c>
      <c r="O2509">
        <v>0</v>
      </c>
      <c r="Q2509" t="s">
        <v>11035</v>
      </c>
      <c r="R2509" t="s">
        <v>1208</v>
      </c>
      <c r="T2509">
        <v>560</v>
      </c>
      <c r="V2509" t="s">
        <v>2602</v>
      </c>
      <c r="W2509" t="s">
        <v>1216</v>
      </c>
      <c r="X2509">
        <v>260</v>
      </c>
      <c r="Z2509" t="s">
        <v>11036</v>
      </c>
      <c r="AA2509" t="s">
        <v>387</v>
      </c>
      <c r="AB2509">
        <v>0</v>
      </c>
      <c r="AC2509">
        <v>136</v>
      </c>
      <c r="AD2509" t="s">
        <v>11037</v>
      </c>
      <c r="AE2509">
        <v>1443</v>
      </c>
      <c r="AF2509" t="s">
        <v>11038</v>
      </c>
      <c r="AG2509" t="s">
        <v>4715</v>
      </c>
      <c r="AH2509" t="s">
        <v>11039</v>
      </c>
    </row>
    <row r="2510" spans="1:34" x14ac:dyDescent="0.25">
      <c r="A2510">
        <v>41</v>
      </c>
      <c r="C2510" s="185"/>
      <c r="E2510" t="s">
        <v>386</v>
      </c>
      <c r="F2510" t="s">
        <v>11040</v>
      </c>
      <c r="G2510" t="s">
        <v>1197</v>
      </c>
      <c r="H2510" t="s">
        <v>11041</v>
      </c>
      <c r="I2510">
        <v>667</v>
      </c>
      <c r="J2510" t="s">
        <v>11040</v>
      </c>
      <c r="K2510" t="s">
        <v>11040</v>
      </c>
      <c r="L2510" t="s">
        <v>386</v>
      </c>
      <c r="M2510" t="s">
        <v>1193</v>
      </c>
      <c r="N2510">
        <v>667</v>
      </c>
      <c r="O2510">
        <v>0</v>
      </c>
      <c r="Q2510" t="s">
        <v>11042</v>
      </c>
      <c r="T2510">
        <v>260</v>
      </c>
      <c r="V2510" t="s">
        <v>1216</v>
      </c>
      <c r="Z2510" t="s">
        <v>11036</v>
      </c>
      <c r="AA2510" t="s">
        <v>387</v>
      </c>
      <c r="AB2510">
        <v>0</v>
      </c>
      <c r="AC2510">
        <v>616</v>
      </c>
      <c r="AD2510" t="s">
        <v>11043</v>
      </c>
      <c r="AE2510">
        <v>283</v>
      </c>
      <c r="AF2510" t="s">
        <v>11044</v>
      </c>
      <c r="AG2510" t="s">
        <v>11045</v>
      </c>
      <c r="AH2510" t="s">
        <v>11046</v>
      </c>
    </row>
    <row r="2511" spans="1:34" x14ac:dyDescent="0.25">
      <c r="A2511">
        <v>41</v>
      </c>
      <c r="C2511" s="185"/>
      <c r="E2511" t="s">
        <v>386</v>
      </c>
      <c r="F2511" t="s">
        <v>11047</v>
      </c>
      <c r="G2511" t="s">
        <v>1197</v>
      </c>
      <c r="H2511" t="s">
        <v>11034</v>
      </c>
      <c r="I2511">
        <v>167</v>
      </c>
      <c r="J2511" t="s">
        <v>11047</v>
      </c>
      <c r="K2511" t="s">
        <v>11048</v>
      </c>
      <c r="L2511" t="s">
        <v>386</v>
      </c>
      <c r="M2511" t="s">
        <v>1193</v>
      </c>
      <c r="N2511">
        <v>167</v>
      </c>
      <c r="O2511">
        <v>0</v>
      </c>
      <c r="Q2511" t="s">
        <v>11049</v>
      </c>
      <c r="T2511">
        <v>35</v>
      </c>
      <c r="V2511" t="s">
        <v>2015</v>
      </c>
      <c r="Z2511" t="s">
        <v>11036</v>
      </c>
      <c r="AA2511" t="s">
        <v>387</v>
      </c>
      <c r="AB2511">
        <v>0</v>
      </c>
      <c r="AC2511">
        <v>136</v>
      </c>
      <c r="AD2511" t="s">
        <v>11037</v>
      </c>
      <c r="AE2511">
        <v>79</v>
      </c>
      <c r="AF2511" t="s">
        <v>11050</v>
      </c>
      <c r="AG2511" t="s">
        <v>7050</v>
      </c>
      <c r="AH2511" t="s">
        <v>11051</v>
      </c>
    </row>
    <row r="2512" spans="1:34" x14ac:dyDescent="0.25">
      <c r="A2512">
        <v>41</v>
      </c>
      <c r="B2512" t="s">
        <v>1313</v>
      </c>
      <c r="C2512" s="185"/>
      <c r="E2512" t="s">
        <v>386</v>
      </c>
      <c r="F2512" t="s">
        <v>11052</v>
      </c>
      <c r="G2512" t="s">
        <v>1197</v>
      </c>
      <c r="H2512" t="s">
        <v>11053</v>
      </c>
      <c r="I2512">
        <v>690</v>
      </c>
      <c r="J2512" t="s">
        <v>11052</v>
      </c>
      <c r="K2512" t="s">
        <v>11052</v>
      </c>
      <c r="L2512" t="s">
        <v>386</v>
      </c>
      <c r="M2512" t="s">
        <v>1193</v>
      </c>
      <c r="N2512">
        <v>690</v>
      </c>
      <c r="O2512">
        <v>0</v>
      </c>
      <c r="Q2512" t="s">
        <v>11054</v>
      </c>
      <c r="S2512" t="s">
        <v>1315</v>
      </c>
      <c r="T2512">
        <v>571</v>
      </c>
      <c r="U2512">
        <v>0</v>
      </c>
      <c r="V2512" t="s">
        <v>2003</v>
      </c>
      <c r="W2512" t="s">
        <v>1186</v>
      </c>
      <c r="X2512">
        <v>0</v>
      </c>
      <c r="Y2512" t="s">
        <v>1317</v>
      </c>
      <c r="Z2512" t="s">
        <v>11036</v>
      </c>
      <c r="AA2512" t="s">
        <v>387</v>
      </c>
      <c r="AB2512">
        <v>0</v>
      </c>
      <c r="AC2512">
        <v>136</v>
      </c>
      <c r="AD2512" t="s">
        <v>11037</v>
      </c>
      <c r="AE2512">
        <v>79</v>
      </c>
      <c r="AF2512" t="s">
        <v>11050</v>
      </c>
      <c r="AG2512" t="s">
        <v>4715</v>
      </c>
      <c r="AH2512" t="s">
        <v>11051</v>
      </c>
    </row>
    <row r="2513" spans="1:34" x14ac:dyDescent="0.25">
      <c r="A2513">
        <v>41</v>
      </c>
      <c r="C2513" s="185"/>
      <c r="E2513" t="s">
        <v>386</v>
      </c>
      <c r="F2513" t="s">
        <v>11055</v>
      </c>
      <c r="G2513" t="s">
        <v>1197</v>
      </c>
      <c r="H2513" t="s">
        <v>11056</v>
      </c>
      <c r="I2513">
        <v>2756</v>
      </c>
      <c r="J2513" t="s">
        <v>11055</v>
      </c>
      <c r="K2513" t="s">
        <v>11057</v>
      </c>
      <c r="L2513" t="s">
        <v>386</v>
      </c>
      <c r="M2513" t="s">
        <v>1193</v>
      </c>
      <c r="N2513">
        <v>2756</v>
      </c>
      <c r="O2513">
        <v>0</v>
      </c>
      <c r="Q2513" t="s">
        <v>11058</v>
      </c>
      <c r="T2513">
        <v>52</v>
      </c>
      <c r="V2513" t="s">
        <v>2024</v>
      </c>
      <c r="Z2513" t="s">
        <v>11036</v>
      </c>
      <c r="AA2513" t="s">
        <v>387</v>
      </c>
      <c r="AB2513">
        <v>0</v>
      </c>
      <c r="AC2513">
        <v>1867</v>
      </c>
      <c r="AD2513" t="s">
        <v>11059</v>
      </c>
      <c r="AE2513">
        <v>912</v>
      </c>
      <c r="AF2513" t="s">
        <v>11060</v>
      </c>
      <c r="AG2513" t="s">
        <v>3090</v>
      </c>
      <c r="AH2513" t="s">
        <v>11061</v>
      </c>
    </row>
    <row r="2514" spans="1:34" x14ac:dyDescent="0.25">
      <c r="A2514">
        <v>41</v>
      </c>
      <c r="C2514" s="185"/>
      <c r="E2514" t="s">
        <v>386</v>
      </c>
      <c r="F2514" t="s">
        <v>11062</v>
      </c>
      <c r="G2514" t="s">
        <v>1197</v>
      </c>
      <c r="H2514" t="s">
        <v>11063</v>
      </c>
      <c r="I2514">
        <v>13476</v>
      </c>
      <c r="J2514" t="s">
        <v>11062</v>
      </c>
      <c r="K2514" t="s">
        <v>11064</v>
      </c>
      <c r="L2514" t="s">
        <v>386</v>
      </c>
      <c r="M2514" t="s">
        <v>1193</v>
      </c>
      <c r="N2514">
        <v>13476</v>
      </c>
      <c r="O2514">
        <v>0</v>
      </c>
      <c r="Q2514" t="s">
        <v>11065</v>
      </c>
      <c r="R2514" t="s">
        <v>1208</v>
      </c>
      <c r="T2514">
        <v>35</v>
      </c>
      <c r="V2514" t="s">
        <v>2015</v>
      </c>
      <c r="W2514" t="s">
        <v>2073</v>
      </c>
      <c r="X2514">
        <v>372</v>
      </c>
      <c r="Z2514" t="s">
        <v>11036</v>
      </c>
      <c r="AA2514" t="s">
        <v>386</v>
      </c>
      <c r="AB2514">
        <v>0</v>
      </c>
      <c r="AC2514">
        <v>5057</v>
      </c>
      <c r="AD2514" t="s">
        <v>11066</v>
      </c>
      <c r="AE2514">
        <v>1206</v>
      </c>
      <c r="AF2514" t="s">
        <v>11067</v>
      </c>
      <c r="AG2514" t="s">
        <v>11068</v>
      </c>
      <c r="AH2514" t="s">
        <v>11069</v>
      </c>
    </row>
    <row r="2515" spans="1:34" x14ac:dyDescent="0.25">
      <c r="A2515">
        <v>1586</v>
      </c>
      <c r="C2515" s="185"/>
      <c r="E2515" t="s">
        <v>386</v>
      </c>
      <c r="F2515" t="s">
        <v>11070</v>
      </c>
      <c r="G2515" t="s">
        <v>1238</v>
      </c>
      <c r="H2515" t="s">
        <v>11071</v>
      </c>
      <c r="I2515">
        <v>14163</v>
      </c>
      <c r="J2515" t="s">
        <v>11070</v>
      </c>
      <c r="K2515" t="s">
        <v>11072</v>
      </c>
      <c r="L2515" t="s">
        <v>386</v>
      </c>
      <c r="M2515" t="s">
        <v>1184</v>
      </c>
      <c r="N2515">
        <v>14163</v>
      </c>
      <c r="O2515">
        <v>0</v>
      </c>
      <c r="Q2515" t="s">
        <v>11073</v>
      </c>
      <c r="T2515">
        <v>426</v>
      </c>
      <c r="V2515" t="s">
        <v>1257</v>
      </c>
      <c r="W2515" t="s">
        <v>1257</v>
      </c>
      <c r="X2515">
        <v>426</v>
      </c>
      <c r="Z2515" t="s">
        <v>5018</v>
      </c>
      <c r="AA2515" t="s">
        <v>387</v>
      </c>
      <c r="AB2515">
        <v>0</v>
      </c>
      <c r="AC2515">
        <v>5356</v>
      </c>
      <c r="AD2515" t="s">
        <v>11074</v>
      </c>
      <c r="AE2515">
        <v>18</v>
      </c>
      <c r="AF2515" t="s">
        <v>1259</v>
      </c>
      <c r="AG2515" t="s">
        <v>1244</v>
      </c>
      <c r="AH2515" t="s">
        <v>11075</v>
      </c>
    </row>
    <row r="2516" spans="1:34" x14ac:dyDescent="0.25">
      <c r="A2516">
        <v>1766</v>
      </c>
      <c r="C2516" s="185"/>
      <c r="E2516" t="s">
        <v>386</v>
      </c>
      <c r="F2516" t="s">
        <v>11076</v>
      </c>
      <c r="G2516" t="s">
        <v>1197</v>
      </c>
      <c r="H2516" t="s">
        <v>11077</v>
      </c>
      <c r="I2516">
        <v>11176</v>
      </c>
      <c r="J2516" t="s">
        <v>11076</v>
      </c>
      <c r="K2516" t="s">
        <v>11078</v>
      </c>
      <c r="L2516" t="s">
        <v>386</v>
      </c>
      <c r="M2516" t="s">
        <v>1193</v>
      </c>
      <c r="N2516">
        <v>11176</v>
      </c>
      <c r="O2516">
        <v>76</v>
      </c>
      <c r="Q2516" t="s">
        <v>11079</v>
      </c>
      <c r="R2516" t="s">
        <v>398</v>
      </c>
      <c r="T2516">
        <v>220</v>
      </c>
      <c r="V2516" t="s">
        <v>1194</v>
      </c>
      <c r="W2516" t="s">
        <v>1194</v>
      </c>
      <c r="X2516">
        <v>220</v>
      </c>
      <c r="Z2516" t="s">
        <v>11080</v>
      </c>
      <c r="AA2516" t="s">
        <v>387</v>
      </c>
      <c r="AB2516">
        <v>0</v>
      </c>
      <c r="AC2516">
        <v>3015</v>
      </c>
      <c r="AD2516" t="s">
        <v>11081</v>
      </c>
      <c r="AE2516">
        <v>138</v>
      </c>
      <c r="AF2516" t="s">
        <v>2509</v>
      </c>
      <c r="AG2516" t="s">
        <v>11082</v>
      </c>
    </row>
    <row r="2517" spans="1:34" x14ac:dyDescent="0.25">
      <c r="A2517">
        <v>1766</v>
      </c>
      <c r="C2517" s="185"/>
      <c r="D2517" t="s">
        <v>24</v>
      </c>
      <c r="E2517" t="s">
        <v>386</v>
      </c>
      <c r="F2517" t="s">
        <v>11083</v>
      </c>
      <c r="G2517" t="s">
        <v>1197</v>
      </c>
      <c r="H2517" t="s">
        <v>11077</v>
      </c>
      <c r="I2517">
        <v>6615</v>
      </c>
      <c r="J2517" t="s">
        <v>11083</v>
      </c>
      <c r="K2517" t="s">
        <v>11084</v>
      </c>
      <c r="L2517" t="s">
        <v>386</v>
      </c>
      <c r="M2517" t="s">
        <v>1193</v>
      </c>
      <c r="N2517">
        <v>6615</v>
      </c>
      <c r="O2517">
        <v>76</v>
      </c>
      <c r="Q2517" t="s">
        <v>11085</v>
      </c>
      <c r="T2517">
        <v>220</v>
      </c>
      <c r="V2517" t="s">
        <v>1194</v>
      </c>
      <c r="W2517" t="s">
        <v>1194</v>
      </c>
      <c r="X2517">
        <v>220</v>
      </c>
      <c r="Z2517" t="s">
        <v>11080</v>
      </c>
      <c r="AA2517" t="s">
        <v>387</v>
      </c>
      <c r="AB2517">
        <v>69000</v>
      </c>
      <c r="AC2517">
        <v>2963</v>
      </c>
      <c r="AD2517" t="s">
        <v>11086</v>
      </c>
      <c r="AE2517">
        <v>1195</v>
      </c>
      <c r="AF2517" t="s">
        <v>3845</v>
      </c>
      <c r="AG2517" t="s">
        <v>11087</v>
      </c>
      <c r="AH2517" t="s">
        <v>11088</v>
      </c>
    </row>
    <row r="2518" spans="1:34" x14ac:dyDescent="0.25">
      <c r="A2518">
        <v>1</v>
      </c>
      <c r="C2518" s="185"/>
      <c r="E2518" t="s">
        <v>386</v>
      </c>
      <c r="F2518" t="s">
        <v>11089</v>
      </c>
      <c r="G2518" t="s">
        <v>1197</v>
      </c>
      <c r="H2518" t="s">
        <v>11090</v>
      </c>
      <c r="I2518">
        <v>2358</v>
      </c>
      <c r="J2518" t="s">
        <v>11089</v>
      </c>
      <c r="K2518" t="s">
        <v>11089</v>
      </c>
      <c r="L2518" t="s">
        <v>386</v>
      </c>
      <c r="M2518" t="s">
        <v>1193</v>
      </c>
      <c r="N2518">
        <v>2358</v>
      </c>
      <c r="O2518">
        <v>0</v>
      </c>
      <c r="Q2518" t="s">
        <v>11091</v>
      </c>
      <c r="T2518">
        <v>52</v>
      </c>
      <c r="V2518" t="s">
        <v>2024</v>
      </c>
      <c r="Z2518" t="s">
        <v>865</v>
      </c>
      <c r="AA2518" t="s">
        <v>387</v>
      </c>
      <c r="AB2518">
        <v>0</v>
      </c>
      <c r="AC2518">
        <v>1732</v>
      </c>
      <c r="AD2518" t="s">
        <v>11092</v>
      </c>
      <c r="AE2518">
        <v>104</v>
      </c>
      <c r="AF2518" t="s">
        <v>11093</v>
      </c>
      <c r="AG2518" t="s">
        <v>10853</v>
      </c>
    </row>
    <row r="2519" spans="1:34" x14ac:dyDescent="0.25">
      <c r="A2519">
        <v>1724</v>
      </c>
      <c r="C2519" s="185"/>
      <c r="E2519" t="s">
        <v>386</v>
      </c>
      <c r="F2519" t="s">
        <v>11094</v>
      </c>
      <c r="G2519" t="s">
        <v>1197</v>
      </c>
      <c r="H2519" t="s">
        <v>11095</v>
      </c>
      <c r="I2519">
        <v>17428</v>
      </c>
      <c r="J2519" t="s">
        <v>11094</v>
      </c>
      <c r="K2519" t="s">
        <v>11094</v>
      </c>
      <c r="L2519" t="s">
        <v>386</v>
      </c>
      <c r="M2519" t="s">
        <v>1193</v>
      </c>
      <c r="N2519">
        <v>17428</v>
      </c>
      <c r="O2519">
        <v>0</v>
      </c>
      <c r="Q2519" t="s">
        <v>11096</v>
      </c>
      <c r="R2519" t="s">
        <v>398</v>
      </c>
      <c r="T2519">
        <v>103</v>
      </c>
      <c r="V2519" t="s">
        <v>1530</v>
      </c>
      <c r="W2519" t="s">
        <v>1530</v>
      </c>
      <c r="X2519">
        <v>103</v>
      </c>
      <c r="Z2519" t="s">
        <v>929</v>
      </c>
      <c r="AA2519" t="s">
        <v>387</v>
      </c>
      <c r="AB2519">
        <v>0</v>
      </c>
      <c r="AC2519">
        <v>5469</v>
      </c>
      <c r="AD2519" t="s">
        <v>11097</v>
      </c>
      <c r="AE2519">
        <v>3009</v>
      </c>
      <c r="AF2519" t="s">
        <v>11098</v>
      </c>
      <c r="AG2519" t="s">
        <v>1931</v>
      </c>
      <c r="AH2519" t="s">
        <v>11099</v>
      </c>
    </row>
    <row r="2520" spans="1:34" x14ac:dyDescent="0.25">
      <c r="A2520">
        <v>2032</v>
      </c>
      <c r="C2520" s="185"/>
      <c r="D2520" t="s">
        <v>157</v>
      </c>
      <c r="E2520" t="s">
        <v>386</v>
      </c>
      <c r="F2520" t="s">
        <v>185</v>
      </c>
      <c r="G2520" t="s">
        <v>1197</v>
      </c>
      <c r="H2520" t="s">
        <v>3320</v>
      </c>
      <c r="I2520">
        <v>13114</v>
      </c>
      <c r="J2520" t="s">
        <v>185</v>
      </c>
      <c r="K2520" t="s">
        <v>11100</v>
      </c>
      <c r="L2520" t="s">
        <v>386</v>
      </c>
      <c r="M2520" t="s">
        <v>1193</v>
      </c>
      <c r="N2520">
        <v>13114</v>
      </c>
      <c r="O2520">
        <v>61</v>
      </c>
      <c r="Q2520" t="s">
        <v>11101</v>
      </c>
      <c r="R2520" t="s">
        <v>398</v>
      </c>
      <c r="T2520">
        <v>246</v>
      </c>
      <c r="V2520" t="s">
        <v>3321</v>
      </c>
      <c r="W2520" t="s">
        <v>2107</v>
      </c>
      <c r="X2520">
        <v>272</v>
      </c>
      <c r="Z2520" t="s">
        <v>3322</v>
      </c>
      <c r="AA2520" t="s">
        <v>387</v>
      </c>
      <c r="AB2520">
        <v>53000</v>
      </c>
      <c r="AC2520">
        <v>4896</v>
      </c>
      <c r="AD2520" t="s">
        <v>11102</v>
      </c>
      <c r="AE2520">
        <v>18</v>
      </c>
      <c r="AF2520" t="s">
        <v>1259</v>
      </c>
      <c r="AG2520" t="s">
        <v>1244</v>
      </c>
      <c r="AH2520" t="s">
        <v>3924</v>
      </c>
    </row>
    <row r="2521" spans="1:34" x14ac:dyDescent="0.25">
      <c r="A2521">
        <v>2032</v>
      </c>
      <c r="C2521" s="185"/>
      <c r="D2521" t="s">
        <v>157</v>
      </c>
      <c r="E2521" t="s">
        <v>386</v>
      </c>
      <c r="F2521" t="s">
        <v>187</v>
      </c>
      <c r="G2521" t="s">
        <v>1197</v>
      </c>
      <c r="H2521" t="s">
        <v>3320</v>
      </c>
      <c r="I2521">
        <v>13034</v>
      </c>
      <c r="J2521" t="s">
        <v>187</v>
      </c>
      <c r="K2521" t="s">
        <v>11103</v>
      </c>
      <c r="L2521" t="s">
        <v>386</v>
      </c>
      <c r="M2521" t="s">
        <v>1193</v>
      </c>
      <c r="N2521">
        <v>13034</v>
      </c>
      <c r="O2521">
        <v>42</v>
      </c>
      <c r="Q2521" t="s">
        <v>11104</v>
      </c>
      <c r="R2521" t="s">
        <v>398</v>
      </c>
      <c r="T2521">
        <v>272</v>
      </c>
      <c r="V2521" t="s">
        <v>2107</v>
      </c>
      <c r="W2521" t="s">
        <v>3321</v>
      </c>
      <c r="X2521">
        <v>246</v>
      </c>
      <c r="Z2521" t="s">
        <v>3322</v>
      </c>
      <c r="AA2521" t="s">
        <v>387</v>
      </c>
      <c r="AB2521">
        <v>34000</v>
      </c>
      <c r="AC2521">
        <v>4868</v>
      </c>
      <c r="AD2521" t="s">
        <v>11105</v>
      </c>
      <c r="AE2521">
        <v>481</v>
      </c>
      <c r="AF2521" t="s">
        <v>3443</v>
      </c>
      <c r="AG2521" t="s">
        <v>1244</v>
      </c>
      <c r="AH2521" t="s">
        <v>3924</v>
      </c>
    </row>
    <row r="2522" spans="1:34" x14ac:dyDescent="0.25">
      <c r="A2522">
        <v>2032</v>
      </c>
      <c r="C2522" s="185"/>
      <c r="D2522" t="s">
        <v>157</v>
      </c>
      <c r="E2522" t="s">
        <v>386</v>
      </c>
      <c r="F2522" t="s">
        <v>324</v>
      </c>
      <c r="G2522" t="s">
        <v>1197</v>
      </c>
      <c r="H2522" t="s">
        <v>3320</v>
      </c>
      <c r="I2522">
        <v>14943</v>
      </c>
      <c r="J2522" t="s">
        <v>324</v>
      </c>
      <c r="K2522" t="s">
        <v>11106</v>
      </c>
      <c r="L2522" t="s">
        <v>386</v>
      </c>
      <c r="M2522" t="s">
        <v>1193</v>
      </c>
      <c r="N2522">
        <v>14943</v>
      </c>
      <c r="O2522">
        <v>61</v>
      </c>
      <c r="Q2522" t="s">
        <v>11107</v>
      </c>
      <c r="R2522" t="s">
        <v>398</v>
      </c>
      <c r="T2522">
        <v>260</v>
      </c>
      <c r="V2522" t="s">
        <v>1216</v>
      </c>
      <c r="W2522" t="s">
        <v>1199</v>
      </c>
      <c r="X2522">
        <v>200</v>
      </c>
      <c r="Z2522" t="s">
        <v>3322</v>
      </c>
      <c r="AA2522" t="s">
        <v>387</v>
      </c>
      <c r="AB2522">
        <v>53000</v>
      </c>
      <c r="AC2522">
        <v>5684</v>
      </c>
      <c r="AD2522" t="s">
        <v>11108</v>
      </c>
      <c r="AE2522">
        <v>18</v>
      </c>
      <c r="AF2522" t="s">
        <v>1259</v>
      </c>
      <c r="AG2522" t="s">
        <v>1244</v>
      </c>
      <c r="AH2522" t="s">
        <v>11109</v>
      </c>
    </row>
    <row r="2523" spans="1:34" x14ac:dyDescent="0.25">
      <c r="A2523">
        <v>1</v>
      </c>
      <c r="C2523" s="185"/>
      <c r="E2523" t="s">
        <v>386</v>
      </c>
      <c r="F2523" t="s">
        <v>11110</v>
      </c>
      <c r="G2523" t="s">
        <v>1197</v>
      </c>
      <c r="H2523" t="s">
        <v>11111</v>
      </c>
      <c r="I2523">
        <v>16809</v>
      </c>
      <c r="J2523" t="s">
        <v>11110</v>
      </c>
      <c r="K2523" t="s">
        <v>11110</v>
      </c>
      <c r="L2523" t="s">
        <v>386</v>
      </c>
      <c r="M2523" t="s">
        <v>1193</v>
      </c>
      <c r="N2523">
        <v>16809</v>
      </c>
      <c r="O2523">
        <v>0</v>
      </c>
      <c r="Q2523" t="s">
        <v>11112</v>
      </c>
      <c r="T2523">
        <v>560</v>
      </c>
      <c r="V2523" t="s">
        <v>2602</v>
      </c>
      <c r="W2523" t="s">
        <v>4131</v>
      </c>
      <c r="X2523">
        <v>501</v>
      </c>
      <c r="Z2523" t="s">
        <v>865</v>
      </c>
      <c r="AA2523" t="s">
        <v>387</v>
      </c>
      <c r="AB2523">
        <v>0</v>
      </c>
      <c r="AC2523">
        <v>6249</v>
      </c>
      <c r="AD2523" t="s">
        <v>11113</v>
      </c>
      <c r="AE2523">
        <v>2360</v>
      </c>
      <c r="AF2523" t="s">
        <v>3563</v>
      </c>
      <c r="AG2523" t="s">
        <v>3483</v>
      </c>
      <c r="AH2523" t="s">
        <v>11114</v>
      </c>
    </row>
    <row r="2524" spans="1:34" x14ac:dyDescent="0.25">
      <c r="A2524">
        <v>1239</v>
      </c>
      <c r="C2524" s="185"/>
      <c r="D2524" t="s">
        <v>157</v>
      </c>
      <c r="E2524" t="s">
        <v>386</v>
      </c>
      <c r="F2524" t="s">
        <v>11115</v>
      </c>
      <c r="G2524" t="s">
        <v>1238</v>
      </c>
      <c r="H2524" t="s">
        <v>8927</v>
      </c>
      <c r="I2524">
        <v>12171</v>
      </c>
      <c r="J2524" t="s">
        <v>11115</v>
      </c>
      <c r="K2524" t="s">
        <v>11116</v>
      </c>
      <c r="L2524" t="s">
        <v>386</v>
      </c>
      <c r="M2524" t="s">
        <v>1184</v>
      </c>
      <c r="N2524">
        <v>12171</v>
      </c>
      <c r="O2524">
        <v>0</v>
      </c>
      <c r="Q2524" t="s">
        <v>11117</v>
      </c>
      <c r="T2524">
        <v>426</v>
      </c>
      <c r="V2524" t="s">
        <v>1257</v>
      </c>
      <c r="W2524" t="s">
        <v>1216</v>
      </c>
      <c r="X2524">
        <v>260</v>
      </c>
      <c r="Z2524" t="s">
        <v>876</v>
      </c>
      <c r="AA2524" t="s">
        <v>387</v>
      </c>
      <c r="AB2524">
        <v>0</v>
      </c>
      <c r="AC2524">
        <v>4607</v>
      </c>
      <c r="AD2524" t="s">
        <v>8518</v>
      </c>
      <c r="AE2524">
        <v>18</v>
      </c>
      <c r="AF2524" t="s">
        <v>1259</v>
      </c>
      <c r="AG2524" t="s">
        <v>1244</v>
      </c>
      <c r="AH2524" t="s">
        <v>11118</v>
      </c>
    </row>
    <row r="2525" spans="1:34" x14ac:dyDescent="0.25">
      <c r="A2525">
        <v>1259</v>
      </c>
      <c r="B2525" t="s">
        <v>1313</v>
      </c>
      <c r="C2525" s="185"/>
      <c r="D2525" t="s">
        <v>24</v>
      </c>
      <c r="E2525" t="s">
        <v>386</v>
      </c>
      <c r="F2525" t="s">
        <v>431</v>
      </c>
      <c r="G2525" t="s">
        <v>1197</v>
      </c>
      <c r="H2525" t="s">
        <v>11119</v>
      </c>
      <c r="I2525">
        <v>1257</v>
      </c>
      <c r="J2525" t="s">
        <v>52</v>
      </c>
      <c r="K2525" t="s">
        <v>7785</v>
      </c>
      <c r="L2525" t="s">
        <v>386</v>
      </c>
      <c r="M2525" t="s">
        <v>1193</v>
      </c>
      <c r="N2525">
        <v>15336</v>
      </c>
      <c r="O2525">
        <v>55</v>
      </c>
      <c r="Q2525" t="s">
        <v>11120</v>
      </c>
      <c r="R2525" t="s">
        <v>398</v>
      </c>
      <c r="S2525" t="s">
        <v>2293</v>
      </c>
      <c r="T2525">
        <v>220</v>
      </c>
      <c r="U2525">
        <v>0</v>
      </c>
      <c r="V2525" t="s">
        <v>1194</v>
      </c>
      <c r="W2525" t="s">
        <v>1194</v>
      </c>
      <c r="X2525">
        <v>220</v>
      </c>
      <c r="Y2525" t="s">
        <v>1317</v>
      </c>
      <c r="Z2525" t="s">
        <v>10633</v>
      </c>
      <c r="AA2525" t="s">
        <v>387</v>
      </c>
      <c r="AB2525">
        <v>47000</v>
      </c>
      <c r="AC2525">
        <v>993</v>
      </c>
      <c r="AD2525" t="s">
        <v>11121</v>
      </c>
      <c r="AE2525">
        <v>461</v>
      </c>
      <c r="AF2525" t="s">
        <v>11122</v>
      </c>
      <c r="AG2525" t="s">
        <v>1931</v>
      </c>
      <c r="AH2525" t="s">
        <v>7788</v>
      </c>
    </row>
    <row r="2526" spans="1:34" x14ac:dyDescent="0.25">
      <c r="A2526">
        <v>17</v>
      </c>
      <c r="B2526" t="s">
        <v>1313</v>
      </c>
      <c r="C2526" s="185"/>
      <c r="D2526" t="s">
        <v>24</v>
      </c>
      <c r="E2526" t="s">
        <v>386</v>
      </c>
      <c r="F2526" t="s">
        <v>11123</v>
      </c>
      <c r="G2526" t="s">
        <v>1197</v>
      </c>
      <c r="H2526" t="s">
        <v>11124</v>
      </c>
      <c r="I2526">
        <v>39</v>
      </c>
      <c r="J2526" t="s">
        <v>11123</v>
      </c>
      <c r="K2526" t="s">
        <v>11125</v>
      </c>
      <c r="L2526" t="s">
        <v>386</v>
      </c>
      <c r="M2526" t="s">
        <v>1193</v>
      </c>
      <c r="N2526">
        <v>39</v>
      </c>
      <c r="O2526">
        <v>31</v>
      </c>
      <c r="Q2526" t="s">
        <v>11126</v>
      </c>
      <c r="R2526" t="s">
        <v>398</v>
      </c>
      <c r="S2526" t="s">
        <v>1909</v>
      </c>
      <c r="T2526">
        <v>220</v>
      </c>
      <c r="U2526">
        <v>0</v>
      </c>
      <c r="V2526" t="s">
        <v>1194</v>
      </c>
      <c r="Y2526" t="s">
        <v>1317</v>
      </c>
      <c r="Z2526" t="s">
        <v>1042</v>
      </c>
      <c r="AA2526" t="s">
        <v>387</v>
      </c>
      <c r="AB2526">
        <v>23000</v>
      </c>
      <c r="AC2526">
        <v>33</v>
      </c>
      <c r="AD2526" t="s">
        <v>11127</v>
      </c>
      <c r="AE2526">
        <v>22</v>
      </c>
      <c r="AF2526" t="s">
        <v>11128</v>
      </c>
      <c r="AG2526" t="s">
        <v>11129</v>
      </c>
      <c r="AH2526" t="s">
        <v>11130</v>
      </c>
    </row>
    <row r="2527" spans="1:34" x14ac:dyDescent="0.25">
      <c r="A2527">
        <v>27</v>
      </c>
      <c r="C2527" s="185"/>
      <c r="E2527" t="s">
        <v>386</v>
      </c>
      <c r="F2527" t="s">
        <v>11131</v>
      </c>
      <c r="G2527" t="s">
        <v>1197</v>
      </c>
      <c r="H2527" t="s">
        <v>11132</v>
      </c>
      <c r="I2527">
        <v>16447</v>
      </c>
      <c r="J2527" t="s">
        <v>11131</v>
      </c>
      <c r="K2527" t="s">
        <v>11133</v>
      </c>
      <c r="L2527" t="s">
        <v>386</v>
      </c>
      <c r="M2527" t="s">
        <v>1193</v>
      </c>
      <c r="N2527">
        <v>16447</v>
      </c>
      <c r="O2527">
        <v>76</v>
      </c>
      <c r="Q2527" t="s">
        <v>11134</v>
      </c>
      <c r="R2527" t="s">
        <v>398</v>
      </c>
      <c r="T2527">
        <v>220</v>
      </c>
      <c r="V2527" t="s">
        <v>1194</v>
      </c>
      <c r="W2527" t="s">
        <v>1530</v>
      </c>
      <c r="X2527">
        <v>103</v>
      </c>
      <c r="Z2527" t="s">
        <v>1018</v>
      </c>
      <c r="AA2527" t="s">
        <v>387</v>
      </c>
      <c r="AB2527">
        <v>0</v>
      </c>
      <c r="AC2527">
        <v>6150</v>
      </c>
      <c r="AD2527" t="s">
        <v>11135</v>
      </c>
      <c r="AE2527">
        <v>875</v>
      </c>
      <c r="AF2527" t="s">
        <v>3235</v>
      </c>
      <c r="AG2527" t="s">
        <v>11136</v>
      </c>
      <c r="AH2527" t="s">
        <v>11137</v>
      </c>
    </row>
    <row r="2528" spans="1:34" x14ac:dyDescent="0.25">
      <c r="A2528">
        <v>27</v>
      </c>
      <c r="C2528" s="185"/>
      <c r="E2528" t="s">
        <v>386</v>
      </c>
      <c r="F2528" t="s">
        <v>11138</v>
      </c>
      <c r="G2528" t="s">
        <v>1197</v>
      </c>
      <c r="H2528" t="s">
        <v>11139</v>
      </c>
      <c r="I2528">
        <v>14631</v>
      </c>
      <c r="J2528" t="s">
        <v>11138</v>
      </c>
      <c r="K2528" t="s">
        <v>11140</v>
      </c>
      <c r="L2528" t="s">
        <v>386</v>
      </c>
      <c r="M2528" t="s">
        <v>1193</v>
      </c>
      <c r="N2528">
        <v>14631</v>
      </c>
      <c r="O2528">
        <v>76</v>
      </c>
      <c r="Q2528" t="s">
        <v>11141</v>
      </c>
      <c r="R2528" t="s">
        <v>398</v>
      </c>
      <c r="T2528">
        <v>220</v>
      </c>
      <c r="V2528" t="s">
        <v>1194</v>
      </c>
      <c r="W2528" t="s">
        <v>1194</v>
      </c>
      <c r="X2528">
        <v>220</v>
      </c>
      <c r="Z2528" t="s">
        <v>1018</v>
      </c>
      <c r="AA2528" t="s">
        <v>387</v>
      </c>
      <c r="AB2528">
        <v>0</v>
      </c>
      <c r="AC2528">
        <v>4840</v>
      </c>
      <c r="AD2528" t="s">
        <v>11142</v>
      </c>
      <c r="AE2528">
        <v>875</v>
      </c>
      <c r="AF2528" t="s">
        <v>3235</v>
      </c>
      <c r="AG2528" t="s">
        <v>1244</v>
      </c>
      <c r="AH2528" t="s">
        <v>9262</v>
      </c>
    </row>
    <row r="2529" spans="1:34" x14ac:dyDescent="0.25">
      <c r="A2529">
        <v>27</v>
      </c>
      <c r="C2529" s="185"/>
      <c r="D2529" t="s">
        <v>24</v>
      </c>
      <c r="E2529" t="s">
        <v>386</v>
      </c>
      <c r="F2529" t="s">
        <v>583</v>
      </c>
      <c r="G2529" t="s">
        <v>1197</v>
      </c>
      <c r="H2529" t="s">
        <v>7716</v>
      </c>
      <c r="I2529">
        <v>256</v>
      </c>
      <c r="J2529" t="s">
        <v>583</v>
      </c>
      <c r="K2529" t="s">
        <v>11143</v>
      </c>
      <c r="L2529" t="s">
        <v>386</v>
      </c>
      <c r="M2529" t="s">
        <v>1193</v>
      </c>
      <c r="N2529">
        <v>256</v>
      </c>
      <c r="O2529">
        <v>76</v>
      </c>
      <c r="Q2529" t="s">
        <v>11144</v>
      </c>
      <c r="R2529" t="s">
        <v>398</v>
      </c>
      <c r="T2529">
        <v>220</v>
      </c>
      <c r="V2529" t="s">
        <v>1194</v>
      </c>
      <c r="W2529" t="s">
        <v>1186</v>
      </c>
      <c r="X2529">
        <v>0</v>
      </c>
      <c r="Z2529" t="s">
        <v>1018</v>
      </c>
      <c r="AA2529" t="s">
        <v>387</v>
      </c>
      <c r="AB2529">
        <v>69000</v>
      </c>
      <c r="AC2529">
        <v>376</v>
      </c>
      <c r="AD2529" t="s">
        <v>11145</v>
      </c>
      <c r="AE2529">
        <v>112</v>
      </c>
      <c r="AF2529" t="s">
        <v>7720</v>
      </c>
      <c r="AH2529" t="s">
        <v>11146</v>
      </c>
    </row>
    <row r="2530" spans="1:34" x14ac:dyDescent="0.25">
      <c r="A2530">
        <v>27</v>
      </c>
      <c r="C2530" s="185"/>
      <c r="D2530" t="s">
        <v>24</v>
      </c>
      <c r="E2530" t="s">
        <v>386</v>
      </c>
      <c r="F2530" t="s">
        <v>362</v>
      </c>
      <c r="G2530" t="s">
        <v>1197</v>
      </c>
      <c r="H2530" t="s">
        <v>11147</v>
      </c>
      <c r="I2530">
        <v>481</v>
      </c>
      <c r="J2530" t="s">
        <v>11148</v>
      </c>
      <c r="K2530" t="s">
        <v>10248</v>
      </c>
      <c r="L2530" t="s">
        <v>386</v>
      </c>
      <c r="M2530" t="s">
        <v>1193</v>
      </c>
      <c r="N2530">
        <v>15321</v>
      </c>
      <c r="O2530">
        <v>10</v>
      </c>
      <c r="Q2530" t="s">
        <v>11149</v>
      </c>
      <c r="R2530" t="s">
        <v>398</v>
      </c>
      <c r="T2530">
        <v>272</v>
      </c>
      <c r="V2530" t="s">
        <v>2107</v>
      </c>
      <c r="W2530" t="s">
        <v>1186</v>
      </c>
      <c r="X2530">
        <v>0</v>
      </c>
      <c r="Z2530" t="s">
        <v>1018</v>
      </c>
      <c r="AA2530" t="s">
        <v>387</v>
      </c>
      <c r="AB2530">
        <v>6000</v>
      </c>
      <c r="AC2530">
        <v>71</v>
      </c>
      <c r="AD2530" t="s">
        <v>7719</v>
      </c>
      <c r="AE2530">
        <v>112</v>
      </c>
      <c r="AF2530" t="s">
        <v>7720</v>
      </c>
      <c r="AG2530" t="s">
        <v>8736</v>
      </c>
      <c r="AH2530" t="s">
        <v>11150</v>
      </c>
    </row>
    <row r="2531" spans="1:34" x14ac:dyDescent="0.25">
      <c r="A2531">
        <v>27</v>
      </c>
      <c r="B2531" t="s">
        <v>1313</v>
      </c>
      <c r="C2531" s="185"/>
      <c r="D2531" t="s">
        <v>24</v>
      </c>
      <c r="E2531" t="s">
        <v>386</v>
      </c>
      <c r="F2531" t="s">
        <v>431</v>
      </c>
      <c r="G2531" t="s">
        <v>1197</v>
      </c>
      <c r="H2531" t="s">
        <v>11132</v>
      </c>
      <c r="I2531">
        <v>7479</v>
      </c>
      <c r="J2531" t="s">
        <v>714</v>
      </c>
      <c r="K2531" t="s">
        <v>7785</v>
      </c>
      <c r="L2531" t="s">
        <v>386</v>
      </c>
      <c r="M2531" t="s">
        <v>1193</v>
      </c>
      <c r="N2531">
        <v>15336</v>
      </c>
      <c r="O2531">
        <v>76</v>
      </c>
      <c r="Q2531" t="s">
        <v>11151</v>
      </c>
      <c r="R2531" t="s">
        <v>398</v>
      </c>
      <c r="S2531" t="s">
        <v>2293</v>
      </c>
      <c r="T2531">
        <v>220</v>
      </c>
      <c r="U2531">
        <v>0</v>
      </c>
      <c r="V2531" t="s">
        <v>1194</v>
      </c>
      <c r="W2531" t="s">
        <v>1199</v>
      </c>
      <c r="X2531">
        <v>200</v>
      </c>
      <c r="Y2531" t="s">
        <v>1317</v>
      </c>
      <c r="Z2531" t="s">
        <v>1018</v>
      </c>
      <c r="AA2531" t="s">
        <v>387</v>
      </c>
      <c r="AB2531">
        <v>0</v>
      </c>
      <c r="AC2531">
        <v>4840</v>
      </c>
      <c r="AD2531" t="s">
        <v>11142</v>
      </c>
      <c r="AE2531">
        <v>875</v>
      </c>
      <c r="AF2531" t="s">
        <v>3235</v>
      </c>
      <c r="AG2531" t="s">
        <v>1244</v>
      </c>
    </row>
    <row r="2532" spans="1:34" x14ac:dyDescent="0.25">
      <c r="A2532">
        <v>27</v>
      </c>
      <c r="B2532" t="s">
        <v>1313</v>
      </c>
      <c r="C2532" s="185"/>
      <c r="D2532" t="s">
        <v>24</v>
      </c>
      <c r="E2532" t="s">
        <v>386</v>
      </c>
      <c r="F2532" t="s">
        <v>448</v>
      </c>
      <c r="G2532" t="s">
        <v>1197</v>
      </c>
      <c r="H2532" t="s">
        <v>11139</v>
      </c>
      <c r="I2532">
        <v>525</v>
      </c>
      <c r="J2532" t="s">
        <v>11152</v>
      </c>
      <c r="K2532" t="s">
        <v>7402</v>
      </c>
      <c r="L2532" t="s">
        <v>386</v>
      </c>
      <c r="M2532" t="s">
        <v>1193</v>
      </c>
      <c r="N2532">
        <v>15328</v>
      </c>
      <c r="O2532">
        <v>10</v>
      </c>
      <c r="Q2532" t="s">
        <v>11153</v>
      </c>
      <c r="R2532" t="s">
        <v>398</v>
      </c>
      <c r="S2532" t="s">
        <v>7404</v>
      </c>
      <c r="T2532">
        <v>272</v>
      </c>
      <c r="U2532">
        <v>0</v>
      </c>
      <c r="V2532" t="s">
        <v>2107</v>
      </c>
      <c r="W2532" t="s">
        <v>1186</v>
      </c>
      <c r="X2532">
        <v>0</v>
      </c>
      <c r="Y2532" t="s">
        <v>1317</v>
      </c>
      <c r="Z2532" t="s">
        <v>1018</v>
      </c>
      <c r="AA2532" t="s">
        <v>387</v>
      </c>
      <c r="AB2532">
        <v>6000</v>
      </c>
      <c r="AC2532">
        <v>519</v>
      </c>
      <c r="AD2532" t="s">
        <v>11154</v>
      </c>
      <c r="AE2532">
        <v>232</v>
      </c>
      <c r="AF2532" t="s">
        <v>11155</v>
      </c>
      <c r="AG2532" t="s">
        <v>1931</v>
      </c>
    </row>
    <row r="2533" spans="1:34" x14ac:dyDescent="0.25">
      <c r="A2533">
        <v>27</v>
      </c>
      <c r="B2533" t="s">
        <v>1313</v>
      </c>
      <c r="C2533" s="185"/>
      <c r="D2533" t="s">
        <v>24</v>
      </c>
      <c r="E2533" t="s">
        <v>386</v>
      </c>
      <c r="F2533" t="s">
        <v>362</v>
      </c>
      <c r="G2533" t="s">
        <v>1197</v>
      </c>
      <c r="H2533" t="s">
        <v>11147</v>
      </c>
      <c r="I2533">
        <v>772</v>
      </c>
      <c r="J2533" t="s">
        <v>11156</v>
      </c>
      <c r="K2533" t="s">
        <v>5894</v>
      </c>
      <c r="L2533" t="s">
        <v>386</v>
      </c>
      <c r="M2533" t="s">
        <v>1193</v>
      </c>
      <c r="N2533">
        <v>15321</v>
      </c>
      <c r="O2533">
        <v>10</v>
      </c>
      <c r="Q2533" t="s">
        <v>11157</v>
      </c>
      <c r="R2533" t="s">
        <v>398</v>
      </c>
      <c r="S2533" t="s">
        <v>1315</v>
      </c>
      <c r="T2533">
        <v>272</v>
      </c>
      <c r="U2533">
        <v>0</v>
      </c>
      <c r="V2533" t="s">
        <v>2107</v>
      </c>
      <c r="W2533" t="s">
        <v>1186</v>
      </c>
      <c r="X2533">
        <v>0</v>
      </c>
      <c r="Y2533" t="s">
        <v>1317</v>
      </c>
      <c r="Z2533" t="s">
        <v>1018</v>
      </c>
      <c r="AA2533" t="s">
        <v>387</v>
      </c>
      <c r="AB2533">
        <v>6000</v>
      </c>
      <c r="AC2533">
        <v>71</v>
      </c>
      <c r="AD2533" t="s">
        <v>7719</v>
      </c>
      <c r="AE2533">
        <v>112</v>
      </c>
      <c r="AF2533" t="s">
        <v>7720</v>
      </c>
      <c r="AG2533" t="s">
        <v>8736</v>
      </c>
      <c r="AH2533" t="s">
        <v>11150</v>
      </c>
    </row>
    <row r="2534" spans="1:34" x14ac:dyDescent="0.25">
      <c r="A2534">
        <v>27</v>
      </c>
      <c r="B2534" t="s">
        <v>1313</v>
      </c>
      <c r="C2534" s="185"/>
      <c r="D2534" t="s">
        <v>24</v>
      </c>
      <c r="E2534" t="s">
        <v>386</v>
      </c>
      <c r="F2534" t="s">
        <v>359</v>
      </c>
      <c r="G2534" t="s">
        <v>1197</v>
      </c>
      <c r="H2534" t="s">
        <v>11147</v>
      </c>
      <c r="I2534">
        <v>902</v>
      </c>
      <c r="J2534" t="s">
        <v>11158</v>
      </c>
      <c r="K2534" t="s">
        <v>7607</v>
      </c>
      <c r="L2534" t="s">
        <v>386</v>
      </c>
      <c r="M2534" t="s">
        <v>1193</v>
      </c>
      <c r="N2534">
        <v>15345</v>
      </c>
      <c r="O2534">
        <v>76</v>
      </c>
      <c r="Q2534" t="s">
        <v>11159</v>
      </c>
      <c r="R2534" t="s">
        <v>398</v>
      </c>
      <c r="S2534" t="s">
        <v>7319</v>
      </c>
      <c r="T2534">
        <v>220</v>
      </c>
      <c r="U2534">
        <v>0</v>
      </c>
      <c r="V2534" t="s">
        <v>1194</v>
      </c>
      <c r="W2534" t="s">
        <v>1199</v>
      </c>
      <c r="X2534">
        <v>200</v>
      </c>
      <c r="Y2534" t="s">
        <v>1317</v>
      </c>
      <c r="Z2534" t="s">
        <v>1018</v>
      </c>
      <c r="AA2534" t="s">
        <v>387</v>
      </c>
      <c r="AB2534">
        <v>0</v>
      </c>
      <c r="AC2534">
        <v>71</v>
      </c>
      <c r="AD2534" t="s">
        <v>7719</v>
      </c>
      <c r="AE2534">
        <v>112</v>
      </c>
      <c r="AF2534" t="s">
        <v>7720</v>
      </c>
      <c r="AG2534" t="s">
        <v>8736</v>
      </c>
      <c r="AH2534" t="s">
        <v>11150</v>
      </c>
    </row>
    <row r="2535" spans="1:34" x14ac:dyDescent="0.25">
      <c r="A2535">
        <v>27</v>
      </c>
      <c r="C2535" s="185"/>
      <c r="D2535" t="s">
        <v>24</v>
      </c>
      <c r="E2535" t="s">
        <v>386</v>
      </c>
      <c r="F2535" t="s">
        <v>11160</v>
      </c>
      <c r="G2535" t="s">
        <v>1197</v>
      </c>
      <c r="H2535" t="s">
        <v>11139</v>
      </c>
      <c r="I2535">
        <v>2747</v>
      </c>
      <c r="J2535" t="s">
        <v>11160</v>
      </c>
      <c r="K2535" t="s">
        <v>11161</v>
      </c>
      <c r="L2535" t="s">
        <v>386</v>
      </c>
      <c r="M2535" t="s">
        <v>1193</v>
      </c>
      <c r="N2535">
        <v>2747</v>
      </c>
      <c r="O2535">
        <v>23</v>
      </c>
      <c r="Q2535" t="s">
        <v>11162</v>
      </c>
      <c r="R2535" t="s">
        <v>398</v>
      </c>
      <c r="T2535">
        <v>52</v>
      </c>
      <c r="V2535" t="s">
        <v>2024</v>
      </c>
      <c r="Z2535" t="s">
        <v>1018</v>
      </c>
      <c r="AA2535" t="s">
        <v>387</v>
      </c>
      <c r="AB2535">
        <v>17000</v>
      </c>
      <c r="AC2535">
        <v>71</v>
      </c>
      <c r="AD2535" t="s">
        <v>7719</v>
      </c>
      <c r="AE2535">
        <v>875</v>
      </c>
      <c r="AF2535" t="s">
        <v>3235</v>
      </c>
      <c r="AG2535" t="s">
        <v>1931</v>
      </c>
    </row>
    <row r="2536" spans="1:34" x14ac:dyDescent="0.25">
      <c r="A2536">
        <v>27</v>
      </c>
      <c r="C2536" s="185"/>
      <c r="D2536" t="s">
        <v>24</v>
      </c>
      <c r="E2536" t="s">
        <v>386</v>
      </c>
      <c r="F2536" t="s">
        <v>11160</v>
      </c>
      <c r="G2536" t="s">
        <v>1197</v>
      </c>
      <c r="H2536" t="s">
        <v>11139</v>
      </c>
      <c r="I2536">
        <v>2748</v>
      </c>
      <c r="J2536" t="s">
        <v>11163</v>
      </c>
      <c r="K2536" t="s">
        <v>11161</v>
      </c>
      <c r="L2536" t="s">
        <v>386</v>
      </c>
      <c r="M2536" t="s">
        <v>1193</v>
      </c>
      <c r="N2536">
        <v>2747</v>
      </c>
      <c r="O2536">
        <v>23</v>
      </c>
      <c r="Q2536" t="s">
        <v>11164</v>
      </c>
      <c r="R2536" t="s">
        <v>398</v>
      </c>
      <c r="T2536">
        <v>52</v>
      </c>
      <c r="V2536" t="s">
        <v>2024</v>
      </c>
      <c r="Z2536" t="s">
        <v>1018</v>
      </c>
      <c r="AA2536" t="s">
        <v>387</v>
      </c>
      <c r="AB2536">
        <v>17000</v>
      </c>
      <c r="AC2536">
        <v>71</v>
      </c>
      <c r="AD2536" t="s">
        <v>7719</v>
      </c>
      <c r="AE2536">
        <v>875</v>
      </c>
      <c r="AF2536" t="s">
        <v>3235</v>
      </c>
      <c r="AG2536" t="s">
        <v>1931</v>
      </c>
    </row>
    <row r="2537" spans="1:34" x14ac:dyDescent="0.25">
      <c r="A2537">
        <v>27</v>
      </c>
      <c r="B2537" t="s">
        <v>1313</v>
      </c>
      <c r="C2537" s="185"/>
      <c r="D2537" t="s">
        <v>24</v>
      </c>
      <c r="E2537" t="s">
        <v>386</v>
      </c>
      <c r="F2537" t="s">
        <v>431</v>
      </c>
      <c r="G2537" t="s">
        <v>1197</v>
      </c>
      <c r="H2537" t="s">
        <v>11165</v>
      </c>
      <c r="I2537">
        <v>137</v>
      </c>
      <c r="J2537" t="s">
        <v>11166</v>
      </c>
      <c r="K2537" t="s">
        <v>11167</v>
      </c>
      <c r="L2537" t="s">
        <v>386</v>
      </c>
      <c r="M2537" t="s">
        <v>1193</v>
      </c>
      <c r="N2537">
        <v>15336</v>
      </c>
      <c r="O2537">
        <v>29</v>
      </c>
      <c r="Q2537" t="s">
        <v>11168</v>
      </c>
      <c r="R2537" t="s">
        <v>398</v>
      </c>
      <c r="S2537" t="s">
        <v>2293</v>
      </c>
      <c r="T2537">
        <v>200</v>
      </c>
      <c r="U2537">
        <v>0</v>
      </c>
      <c r="V2537" t="s">
        <v>1199</v>
      </c>
      <c r="W2537" t="s">
        <v>1194</v>
      </c>
      <c r="X2537">
        <v>220</v>
      </c>
      <c r="Y2537" t="s">
        <v>1317</v>
      </c>
      <c r="Z2537" t="s">
        <v>1018</v>
      </c>
      <c r="AA2537" t="s">
        <v>387</v>
      </c>
      <c r="AB2537">
        <v>21000</v>
      </c>
      <c r="AC2537">
        <v>70</v>
      </c>
      <c r="AD2537" t="s">
        <v>11169</v>
      </c>
      <c r="AE2537">
        <v>63</v>
      </c>
      <c r="AF2537" t="s">
        <v>3896</v>
      </c>
      <c r="AG2537" t="s">
        <v>1931</v>
      </c>
      <c r="AH2537" t="s">
        <v>11170</v>
      </c>
    </row>
    <row r="2538" spans="1:34" x14ac:dyDescent="0.25">
      <c r="A2538">
        <v>27</v>
      </c>
      <c r="C2538" s="185"/>
      <c r="D2538" t="s">
        <v>24</v>
      </c>
      <c r="E2538" t="s">
        <v>386</v>
      </c>
      <c r="F2538" t="s">
        <v>11171</v>
      </c>
      <c r="G2538" t="s">
        <v>1197</v>
      </c>
      <c r="H2538" t="s">
        <v>11139</v>
      </c>
      <c r="I2538">
        <v>9100</v>
      </c>
      <c r="J2538" t="s">
        <v>11171</v>
      </c>
      <c r="K2538" t="s">
        <v>11171</v>
      </c>
      <c r="L2538" t="s">
        <v>386</v>
      </c>
      <c r="M2538" t="s">
        <v>1193</v>
      </c>
      <c r="N2538">
        <v>9100</v>
      </c>
      <c r="O2538">
        <v>76</v>
      </c>
      <c r="Q2538" t="s">
        <v>11172</v>
      </c>
      <c r="R2538" t="s">
        <v>398</v>
      </c>
      <c r="T2538">
        <v>220</v>
      </c>
      <c r="V2538" t="s">
        <v>1194</v>
      </c>
      <c r="W2538" t="s">
        <v>1216</v>
      </c>
      <c r="X2538">
        <v>260</v>
      </c>
      <c r="Z2538" t="s">
        <v>1018</v>
      </c>
      <c r="AA2538" t="s">
        <v>387</v>
      </c>
      <c r="AB2538">
        <v>0</v>
      </c>
      <c r="AC2538">
        <v>71</v>
      </c>
      <c r="AD2538" t="s">
        <v>7719</v>
      </c>
      <c r="AE2538">
        <v>875</v>
      </c>
      <c r="AF2538" t="s">
        <v>3235</v>
      </c>
      <c r="AH2538" t="s">
        <v>11173</v>
      </c>
    </row>
    <row r="2539" spans="1:34" x14ac:dyDescent="0.25">
      <c r="A2539">
        <v>27</v>
      </c>
      <c r="B2539" t="s">
        <v>1313</v>
      </c>
      <c r="C2539" s="185">
        <v>36381</v>
      </c>
      <c r="D2539" t="s">
        <v>24</v>
      </c>
      <c r="E2539" t="s">
        <v>386</v>
      </c>
      <c r="F2539" t="s">
        <v>11174</v>
      </c>
      <c r="G2539" t="s">
        <v>1197</v>
      </c>
      <c r="H2539" t="s">
        <v>11139</v>
      </c>
      <c r="I2539">
        <v>7621</v>
      </c>
      <c r="J2539" t="s">
        <v>11174</v>
      </c>
      <c r="K2539" t="s">
        <v>11175</v>
      </c>
      <c r="L2539" t="s">
        <v>386</v>
      </c>
      <c r="M2539" t="s">
        <v>1193</v>
      </c>
      <c r="N2539">
        <v>7621</v>
      </c>
      <c r="O2539">
        <v>76</v>
      </c>
      <c r="Q2539" t="s">
        <v>11176</v>
      </c>
      <c r="R2539" t="s">
        <v>398</v>
      </c>
      <c r="S2539" t="s">
        <v>11177</v>
      </c>
      <c r="T2539">
        <v>396</v>
      </c>
      <c r="U2539">
        <v>0</v>
      </c>
      <c r="V2539" t="s">
        <v>2186</v>
      </c>
      <c r="W2539" t="s">
        <v>11178</v>
      </c>
      <c r="X2539">
        <v>256</v>
      </c>
      <c r="Y2539" t="s">
        <v>1317</v>
      </c>
      <c r="Z2539" t="s">
        <v>1018</v>
      </c>
      <c r="AA2539" t="s">
        <v>387</v>
      </c>
      <c r="AB2539">
        <v>69000</v>
      </c>
      <c r="AC2539">
        <v>376</v>
      </c>
      <c r="AD2539" t="s">
        <v>11145</v>
      </c>
      <c r="AE2539">
        <v>1103</v>
      </c>
      <c r="AF2539" t="s">
        <v>11179</v>
      </c>
      <c r="AG2539" t="s">
        <v>1244</v>
      </c>
    </row>
    <row r="2540" spans="1:34" x14ac:dyDescent="0.25">
      <c r="A2540">
        <v>27</v>
      </c>
      <c r="C2540" s="185"/>
      <c r="E2540" t="s">
        <v>386</v>
      </c>
      <c r="F2540" t="s">
        <v>11180</v>
      </c>
      <c r="G2540" t="s">
        <v>1197</v>
      </c>
      <c r="H2540" t="s">
        <v>11139</v>
      </c>
      <c r="I2540">
        <v>92</v>
      </c>
      <c r="J2540" t="s">
        <v>11180</v>
      </c>
      <c r="K2540" t="s">
        <v>11181</v>
      </c>
      <c r="L2540" t="s">
        <v>386</v>
      </c>
      <c r="M2540" t="s">
        <v>1193</v>
      </c>
      <c r="N2540">
        <v>92</v>
      </c>
      <c r="O2540">
        <v>10</v>
      </c>
      <c r="Q2540" t="s">
        <v>11182</v>
      </c>
      <c r="R2540" t="s">
        <v>398</v>
      </c>
      <c r="T2540">
        <v>0</v>
      </c>
      <c r="V2540" t="s">
        <v>1186</v>
      </c>
      <c r="Z2540" t="s">
        <v>1018</v>
      </c>
      <c r="AA2540" t="s">
        <v>387</v>
      </c>
      <c r="AB2540">
        <v>6000</v>
      </c>
      <c r="AC2540">
        <v>71</v>
      </c>
      <c r="AD2540" t="s">
        <v>7719</v>
      </c>
      <c r="AE2540">
        <v>41</v>
      </c>
      <c r="AF2540" t="s">
        <v>11183</v>
      </c>
      <c r="AG2540" t="s">
        <v>1931</v>
      </c>
    </row>
    <row r="2541" spans="1:34" x14ac:dyDescent="0.25">
      <c r="A2541">
        <v>27</v>
      </c>
      <c r="B2541" t="s">
        <v>1313</v>
      </c>
      <c r="C2541" s="185"/>
      <c r="E2541" t="s">
        <v>386</v>
      </c>
      <c r="F2541" t="s">
        <v>359</v>
      </c>
      <c r="G2541" t="s">
        <v>1197</v>
      </c>
      <c r="H2541" t="s">
        <v>11139</v>
      </c>
      <c r="I2541">
        <v>10634</v>
      </c>
      <c r="J2541" t="s">
        <v>11184</v>
      </c>
      <c r="K2541" t="s">
        <v>7607</v>
      </c>
      <c r="L2541" t="s">
        <v>386</v>
      </c>
      <c r="M2541" t="s">
        <v>1193</v>
      </c>
      <c r="N2541">
        <v>15345</v>
      </c>
      <c r="O2541">
        <v>76</v>
      </c>
      <c r="Q2541" t="s">
        <v>11185</v>
      </c>
      <c r="R2541" t="s">
        <v>398</v>
      </c>
      <c r="S2541" t="s">
        <v>7319</v>
      </c>
      <c r="T2541">
        <v>220</v>
      </c>
      <c r="U2541">
        <v>0</v>
      </c>
      <c r="V2541" t="s">
        <v>1194</v>
      </c>
      <c r="W2541" t="s">
        <v>1199</v>
      </c>
      <c r="X2541">
        <v>200</v>
      </c>
      <c r="Y2541" t="s">
        <v>1317</v>
      </c>
      <c r="Z2541" t="s">
        <v>1018</v>
      </c>
      <c r="AA2541" t="s">
        <v>387</v>
      </c>
      <c r="AB2541">
        <v>0</v>
      </c>
      <c r="AC2541">
        <v>3190</v>
      </c>
      <c r="AD2541" t="s">
        <v>11186</v>
      </c>
      <c r="AE2541">
        <v>112</v>
      </c>
      <c r="AF2541" t="s">
        <v>7720</v>
      </c>
      <c r="AG2541" t="s">
        <v>2044</v>
      </c>
      <c r="AH2541" t="s">
        <v>7725</v>
      </c>
    </row>
    <row r="2542" spans="1:34" x14ac:dyDescent="0.25">
      <c r="A2542">
        <v>27</v>
      </c>
      <c r="B2542" t="s">
        <v>1313</v>
      </c>
      <c r="C2542" s="185"/>
      <c r="D2542" t="s">
        <v>24</v>
      </c>
      <c r="E2542" t="s">
        <v>386</v>
      </c>
      <c r="F2542" t="s">
        <v>359</v>
      </c>
      <c r="G2542" t="s">
        <v>1197</v>
      </c>
      <c r="H2542" t="s">
        <v>11187</v>
      </c>
      <c r="I2542">
        <v>10660</v>
      </c>
      <c r="J2542" t="s">
        <v>102</v>
      </c>
      <c r="K2542" t="s">
        <v>7317</v>
      </c>
      <c r="L2542" t="s">
        <v>386</v>
      </c>
      <c r="M2542" t="s">
        <v>1193</v>
      </c>
      <c r="N2542">
        <v>15345</v>
      </c>
      <c r="O2542">
        <v>76</v>
      </c>
      <c r="Q2542" t="s">
        <v>11188</v>
      </c>
      <c r="R2542" t="s">
        <v>398</v>
      </c>
      <c r="S2542" t="s">
        <v>7319</v>
      </c>
      <c r="T2542">
        <v>220</v>
      </c>
      <c r="U2542">
        <v>0</v>
      </c>
      <c r="V2542" t="s">
        <v>1194</v>
      </c>
      <c r="W2542" t="s">
        <v>1200</v>
      </c>
      <c r="X2542">
        <v>340</v>
      </c>
      <c r="Y2542" t="s">
        <v>1317</v>
      </c>
      <c r="Z2542" t="s">
        <v>1018</v>
      </c>
      <c r="AA2542" t="s">
        <v>387</v>
      </c>
      <c r="AB2542">
        <v>0</v>
      </c>
      <c r="AC2542">
        <v>6340</v>
      </c>
      <c r="AD2542" t="s">
        <v>11189</v>
      </c>
      <c r="AE2542">
        <v>875</v>
      </c>
      <c r="AF2542" t="s">
        <v>3235</v>
      </c>
      <c r="AG2542" t="s">
        <v>2044</v>
      </c>
      <c r="AH2542" t="s">
        <v>7320</v>
      </c>
    </row>
    <row r="2543" spans="1:34" x14ac:dyDescent="0.25">
      <c r="A2543">
        <v>27</v>
      </c>
      <c r="B2543" t="s">
        <v>1313</v>
      </c>
      <c r="C2543" s="185"/>
      <c r="D2543" t="s">
        <v>24</v>
      </c>
      <c r="E2543" t="s">
        <v>386</v>
      </c>
      <c r="F2543" t="s">
        <v>359</v>
      </c>
      <c r="G2543" t="s">
        <v>1197</v>
      </c>
      <c r="H2543" t="s">
        <v>11190</v>
      </c>
      <c r="I2543">
        <v>10633</v>
      </c>
      <c r="J2543" t="s">
        <v>11191</v>
      </c>
      <c r="K2543" t="s">
        <v>7607</v>
      </c>
      <c r="L2543" t="s">
        <v>386</v>
      </c>
      <c r="M2543" t="s">
        <v>1193</v>
      </c>
      <c r="N2543">
        <v>15345</v>
      </c>
      <c r="O2543">
        <v>76</v>
      </c>
      <c r="Q2543" t="s">
        <v>11192</v>
      </c>
      <c r="R2543" t="s">
        <v>398</v>
      </c>
      <c r="S2543" t="s">
        <v>7319</v>
      </c>
      <c r="T2543">
        <v>220</v>
      </c>
      <c r="U2543">
        <v>0</v>
      </c>
      <c r="V2543" t="s">
        <v>1194</v>
      </c>
      <c r="W2543" t="s">
        <v>1199</v>
      </c>
      <c r="X2543">
        <v>200</v>
      </c>
      <c r="Y2543" t="s">
        <v>1317</v>
      </c>
      <c r="Z2543" t="s">
        <v>1018</v>
      </c>
      <c r="AA2543" t="s">
        <v>387</v>
      </c>
      <c r="AB2543">
        <v>0</v>
      </c>
      <c r="AC2543">
        <v>71</v>
      </c>
      <c r="AD2543" t="s">
        <v>7719</v>
      </c>
      <c r="AE2543">
        <v>875</v>
      </c>
      <c r="AF2543" t="s">
        <v>3235</v>
      </c>
      <c r="AG2543" t="s">
        <v>2044</v>
      </c>
      <c r="AH2543" t="s">
        <v>7725</v>
      </c>
    </row>
    <row r="2544" spans="1:34" x14ac:dyDescent="0.25">
      <c r="A2544">
        <v>27</v>
      </c>
      <c r="C2544" s="185"/>
      <c r="D2544" t="s">
        <v>24</v>
      </c>
      <c r="E2544" t="s">
        <v>386</v>
      </c>
      <c r="F2544" t="s">
        <v>11193</v>
      </c>
      <c r="G2544" t="s">
        <v>1197</v>
      </c>
      <c r="H2544" t="s">
        <v>11139</v>
      </c>
      <c r="I2544">
        <v>10560</v>
      </c>
      <c r="J2544" t="s">
        <v>11193</v>
      </c>
      <c r="K2544" t="s">
        <v>11194</v>
      </c>
      <c r="L2544" t="s">
        <v>386</v>
      </c>
      <c r="M2544" t="s">
        <v>1193</v>
      </c>
      <c r="N2544">
        <v>10560</v>
      </c>
      <c r="O2544">
        <v>0</v>
      </c>
      <c r="Q2544" t="s">
        <v>11195</v>
      </c>
      <c r="R2544" t="s">
        <v>398</v>
      </c>
      <c r="T2544">
        <v>260</v>
      </c>
      <c r="V2544" t="s">
        <v>1216</v>
      </c>
      <c r="Z2544" t="s">
        <v>1018</v>
      </c>
      <c r="AA2544" t="s">
        <v>387</v>
      </c>
      <c r="AB2544">
        <v>0</v>
      </c>
      <c r="AC2544">
        <v>71</v>
      </c>
      <c r="AD2544" t="s">
        <v>7719</v>
      </c>
      <c r="AE2544">
        <v>156</v>
      </c>
      <c r="AF2544" t="s">
        <v>11196</v>
      </c>
      <c r="AG2544" t="s">
        <v>1244</v>
      </c>
      <c r="AH2544" t="s">
        <v>11197</v>
      </c>
    </row>
    <row r="2545" spans="1:34" x14ac:dyDescent="0.25">
      <c r="A2545">
        <v>42</v>
      </c>
      <c r="B2545" t="s">
        <v>1313</v>
      </c>
      <c r="C2545" s="185"/>
      <c r="D2545" t="s">
        <v>24</v>
      </c>
      <c r="E2545" t="s">
        <v>386</v>
      </c>
      <c r="F2545" t="s">
        <v>448</v>
      </c>
      <c r="G2545" t="s">
        <v>1197</v>
      </c>
      <c r="H2545" t="s">
        <v>11198</v>
      </c>
      <c r="I2545">
        <v>171</v>
      </c>
      <c r="J2545" t="s">
        <v>11199</v>
      </c>
      <c r="K2545" t="s">
        <v>7402</v>
      </c>
      <c r="L2545" t="s">
        <v>386</v>
      </c>
      <c r="M2545" t="s">
        <v>1193</v>
      </c>
      <c r="N2545">
        <v>15328</v>
      </c>
      <c r="O2545">
        <v>20</v>
      </c>
      <c r="Q2545" t="s">
        <v>11200</v>
      </c>
      <c r="R2545" t="s">
        <v>398</v>
      </c>
      <c r="S2545" t="s">
        <v>7404</v>
      </c>
      <c r="T2545">
        <v>200</v>
      </c>
      <c r="U2545">
        <v>0</v>
      </c>
      <c r="V2545" t="s">
        <v>1199</v>
      </c>
      <c r="W2545" t="s">
        <v>2107</v>
      </c>
      <c r="X2545">
        <v>272</v>
      </c>
      <c r="Y2545" t="s">
        <v>1317</v>
      </c>
      <c r="Z2545" t="s">
        <v>925</v>
      </c>
      <c r="AA2545" t="s">
        <v>387</v>
      </c>
      <c r="AB2545">
        <v>14000</v>
      </c>
      <c r="AC2545">
        <v>142</v>
      </c>
      <c r="AD2545" t="s">
        <v>11201</v>
      </c>
      <c r="AE2545">
        <v>18</v>
      </c>
      <c r="AF2545" t="s">
        <v>1259</v>
      </c>
      <c r="AG2545" t="s">
        <v>1931</v>
      </c>
      <c r="AH2545" t="s">
        <v>11202</v>
      </c>
    </row>
    <row r="2546" spans="1:34" x14ac:dyDescent="0.25">
      <c r="A2546">
        <v>17</v>
      </c>
      <c r="B2546" t="s">
        <v>1313</v>
      </c>
      <c r="C2546" s="185"/>
      <c r="D2546" t="s">
        <v>24</v>
      </c>
      <c r="E2546" t="s">
        <v>386</v>
      </c>
      <c r="F2546" t="s">
        <v>448</v>
      </c>
      <c r="G2546" t="s">
        <v>1197</v>
      </c>
      <c r="H2546" t="s">
        <v>11203</v>
      </c>
      <c r="I2546">
        <v>204</v>
      </c>
      <c r="J2546" t="s">
        <v>212</v>
      </c>
      <c r="K2546" t="s">
        <v>7402</v>
      </c>
      <c r="L2546" t="s">
        <v>386</v>
      </c>
      <c r="M2546" t="s">
        <v>1193</v>
      </c>
      <c r="N2546">
        <v>15328</v>
      </c>
      <c r="O2546">
        <v>39</v>
      </c>
      <c r="Q2546" t="s">
        <v>11204</v>
      </c>
      <c r="R2546" t="s">
        <v>398</v>
      </c>
      <c r="S2546" t="s">
        <v>7404</v>
      </c>
      <c r="T2546">
        <v>220</v>
      </c>
      <c r="U2546">
        <v>0</v>
      </c>
      <c r="V2546" t="s">
        <v>1194</v>
      </c>
      <c r="W2546" t="s">
        <v>2186</v>
      </c>
      <c r="X2546">
        <v>396</v>
      </c>
      <c r="Y2546" t="s">
        <v>1317</v>
      </c>
      <c r="Z2546" t="s">
        <v>1042</v>
      </c>
      <c r="AA2546" t="s">
        <v>387</v>
      </c>
      <c r="AB2546">
        <v>31000</v>
      </c>
      <c r="AC2546">
        <v>167</v>
      </c>
      <c r="AD2546" t="s">
        <v>11205</v>
      </c>
      <c r="AE2546">
        <v>18</v>
      </c>
      <c r="AF2546" t="s">
        <v>1259</v>
      </c>
      <c r="AG2546" t="s">
        <v>1244</v>
      </c>
      <c r="AH2546" t="s">
        <v>11206</v>
      </c>
    </row>
    <row r="2547" spans="1:34" x14ac:dyDescent="0.25">
      <c r="A2547">
        <v>17</v>
      </c>
      <c r="B2547" t="s">
        <v>1313</v>
      </c>
      <c r="C2547" s="185"/>
      <c r="D2547" t="s">
        <v>24</v>
      </c>
      <c r="E2547" t="s">
        <v>386</v>
      </c>
      <c r="F2547" t="s">
        <v>514</v>
      </c>
      <c r="G2547" t="s">
        <v>1197</v>
      </c>
      <c r="H2547" t="s">
        <v>11207</v>
      </c>
      <c r="I2547">
        <v>11869</v>
      </c>
      <c r="J2547" t="s">
        <v>11208</v>
      </c>
      <c r="K2547" t="s">
        <v>8584</v>
      </c>
      <c r="L2547" t="s">
        <v>386</v>
      </c>
      <c r="M2547" t="s">
        <v>1193</v>
      </c>
      <c r="N2547">
        <v>16143</v>
      </c>
      <c r="O2547">
        <v>39</v>
      </c>
      <c r="Q2547" t="s">
        <v>11209</v>
      </c>
      <c r="R2547" t="s">
        <v>398</v>
      </c>
      <c r="S2547" t="s">
        <v>1909</v>
      </c>
      <c r="T2547">
        <v>340</v>
      </c>
      <c r="U2547">
        <v>0</v>
      </c>
      <c r="V2547" t="s">
        <v>1200</v>
      </c>
      <c r="W2547" t="s">
        <v>1200</v>
      </c>
      <c r="X2547">
        <v>340</v>
      </c>
      <c r="Y2547" t="s">
        <v>1317</v>
      </c>
      <c r="Z2547" t="s">
        <v>1042</v>
      </c>
      <c r="AA2547" t="s">
        <v>387</v>
      </c>
      <c r="AB2547">
        <v>31000</v>
      </c>
      <c r="AC2547">
        <v>3493</v>
      </c>
      <c r="AD2547" t="s">
        <v>9169</v>
      </c>
      <c r="AE2547">
        <v>2098</v>
      </c>
      <c r="AF2547" t="s">
        <v>11210</v>
      </c>
      <c r="AG2547" t="s">
        <v>1244</v>
      </c>
      <c r="AH2547" t="s">
        <v>9297</v>
      </c>
    </row>
    <row r="2548" spans="1:34" x14ac:dyDescent="0.25">
      <c r="A2548">
        <v>17</v>
      </c>
      <c r="B2548" t="s">
        <v>1313</v>
      </c>
      <c r="C2548" s="185"/>
      <c r="D2548" t="s">
        <v>24</v>
      </c>
      <c r="E2548" t="s">
        <v>386</v>
      </c>
      <c r="F2548" t="s">
        <v>172</v>
      </c>
      <c r="G2548" t="s">
        <v>1197</v>
      </c>
      <c r="H2548" t="s">
        <v>11124</v>
      </c>
      <c r="I2548">
        <v>8995</v>
      </c>
      <c r="J2548" t="s">
        <v>172</v>
      </c>
      <c r="K2548" t="s">
        <v>11211</v>
      </c>
      <c r="L2548" t="s">
        <v>386</v>
      </c>
      <c r="M2548" t="s">
        <v>1193</v>
      </c>
      <c r="N2548">
        <v>8995</v>
      </c>
      <c r="O2548">
        <v>39</v>
      </c>
      <c r="Q2548" t="s">
        <v>11212</v>
      </c>
      <c r="R2548" t="s">
        <v>398</v>
      </c>
      <c r="S2548" t="s">
        <v>1909</v>
      </c>
      <c r="T2548">
        <v>396</v>
      </c>
      <c r="U2548">
        <v>0</v>
      </c>
      <c r="V2548" t="s">
        <v>2186</v>
      </c>
      <c r="W2548" t="s">
        <v>2186</v>
      </c>
      <c r="X2548">
        <v>396</v>
      </c>
      <c r="Y2548" t="s">
        <v>1317</v>
      </c>
      <c r="Z2548" t="s">
        <v>1042</v>
      </c>
      <c r="AA2548" t="s">
        <v>387</v>
      </c>
      <c r="AB2548">
        <v>31000</v>
      </c>
      <c r="AC2548">
        <v>33</v>
      </c>
      <c r="AD2548" t="s">
        <v>11127</v>
      </c>
      <c r="AE2548">
        <v>1667</v>
      </c>
      <c r="AF2548" t="s">
        <v>11213</v>
      </c>
      <c r="AG2548" t="s">
        <v>1938</v>
      </c>
      <c r="AH2548" t="s">
        <v>11214</v>
      </c>
    </row>
    <row r="2549" spans="1:34" x14ac:dyDescent="0.25">
      <c r="A2549">
        <v>1724</v>
      </c>
      <c r="C2549" s="185"/>
      <c r="E2549" t="s">
        <v>386</v>
      </c>
      <c r="F2549" t="s">
        <v>11215</v>
      </c>
      <c r="G2549" t="s">
        <v>1197</v>
      </c>
      <c r="H2549" t="s">
        <v>11216</v>
      </c>
      <c r="I2549">
        <v>15487</v>
      </c>
      <c r="J2549" t="s">
        <v>11215</v>
      </c>
      <c r="K2549" t="s">
        <v>11217</v>
      </c>
      <c r="L2549" t="s">
        <v>386</v>
      </c>
      <c r="M2549" t="s">
        <v>1193</v>
      </c>
      <c r="N2549">
        <v>15487</v>
      </c>
      <c r="O2549">
        <v>0</v>
      </c>
      <c r="Q2549" t="s">
        <v>11218</v>
      </c>
      <c r="T2549">
        <v>426</v>
      </c>
      <c r="V2549" t="s">
        <v>1257</v>
      </c>
      <c r="W2549" t="s">
        <v>1257</v>
      </c>
      <c r="X2549">
        <v>426</v>
      </c>
      <c r="Z2549" t="s">
        <v>929</v>
      </c>
      <c r="AA2549" t="s">
        <v>387</v>
      </c>
      <c r="AB2549">
        <v>0</v>
      </c>
      <c r="AC2549">
        <v>5844</v>
      </c>
      <c r="AD2549" t="s">
        <v>11219</v>
      </c>
      <c r="AE2549">
        <v>2660</v>
      </c>
      <c r="AF2549" t="s">
        <v>3882</v>
      </c>
      <c r="AG2549" t="s">
        <v>11220</v>
      </c>
      <c r="AH2549" t="s">
        <v>11221</v>
      </c>
    </row>
    <row r="2550" spans="1:34" x14ac:dyDescent="0.25">
      <c r="A2550">
        <v>1724</v>
      </c>
      <c r="C2550" s="185"/>
      <c r="E2550" t="s">
        <v>386</v>
      </c>
      <c r="F2550" t="s">
        <v>11222</v>
      </c>
      <c r="G2550" t="s">
        <v>1197</v>
      </c>
      <c r="H2550" t="s">
        <v>11223</v>
      </c>
      <c r="I2550">
        <v>17372</v>
      </c>
      <c r="J2550" t="s">
        <v>11222</v>
      </c>
      <c r="K2550" t="s">
        <v>11224</v>
      </c>
      <c r="L2550" t="s">
        <v>386</v>
      </c>
      <c r="M2550" t="s">
        <v>1193</v>
      </c>
      <c r="N2550">
        <v>17372</v>
      </c>
      <c r="O2550">
        <v>0</v>
      </c>
      <c r="Q2550" t="s">
        <v>11225</v>
      </c>
      <c r="T2550">
        <v>52</v>
      </c>
      <c r="V2550" t="s">
        <v>2024</v>
      </c>
      <c r="W2550" t="s">
        <v>2246</v>
      </c>
      <c r="X2550">
        <v>496</v>
      </c>
      <c r="Z2550" t="s">
        <v>929</v>
      </c>
      <c r="AA2550" t="s">
        <v>387</v>
      </c>
      <c r="AB2550">
        <v>0</v>
      </c>
      <c r="AC2550">
        <v>6522</v>
      </c>
      <c r="AD2550" t="s">
        <v>11226</v>
      </c>
      <c r="AE2550">
        <v>3009</v>
      </c>
      <c r="AF2550" t="s">
        <v>11098</v>
      </c>
      <c r="AG2550" t="s">
        <v>9625</v>
      </c>
      <c r="AH2550" t="s">
        <v>11227</v>
      </c>
    </row>
    <row r="2551" spans="1:34" x14ac:dyDescent="0.25">
      <c r="A2551">
        <v>2114</v>
      </c>
      <c r="C2551" s="185"/>
      <c r="E2551" t="s">
        <v>386</v>
      </c>
      <c r="F2551" t="s">
        <v>11228</v>
      </c>
      <c r="G2551" t="s">
        <v>1238</v>
      </c>
      <c r="H2551" t="s">
        <v>9833</v>
      </c>
      <c r="I2551">
        <v>14744</v>
      </c>
      <c r="J2551" t="s">
        <v>11228</v>
      </c>
      <c r="K2551" t="s">
        <v>11229</v>
      </c>
      <c r="L2551" t="s">
        <v>386</v>
      </c>
      <c r="M2551" t="s">
        <v>1184</v>
      </c>
      <c r="N2551">
        <v>14744</v>
      </c>
      <c r="O2551">
        <v>0</v>
      </c>
      <c r="Q2551" t="s">
        <v>11230</v>
      </c>
      <c r="R2551" t="s">
        <v>398</v>
      </c>
      <c r="T2551">
        <v>260</v>
      </c>
      <c r="V2551" t="s">
        <v>1216</v>
      </c>
      <c r="W2551" t="s">
        <v>1530</v>
      </c>
      <c r="X2551">
        <v>103</v>
      </c>
      <c r="Z2551" t="s">
        <v>9836</v>
      </c>
      <c r="AA2551" t="s">
        <v>387</v>
      </c>
      <c r="AB2551">
        <v>0</v>
      </c>
      <c r="AC2551">
        <v>5606</v>
      </c>
      <c r="AD2551" t="s">
        <v>11228</v>
      </c>
      <c r="AE2551">
        <v>0</v>
      </c>
      <c r="AF2551" t="s">
        <v>1188</v>
      </c>
      <c r="AG2551" t="s">
        <v>1244</v>
      </c>
      <c r="AH2551" t="s">
        <v>11231</v>
      </c>
    </row>
    <row r="2552" spans="1:34" x14ac:dyDescent="0.25">
      <c r="A2552">
        <v>2163</v>
      </c>
      <c r="C2552" s="185"/>
      <c r="E2552" t="s">
        <v>386</v>
      </c>
      <c r="F2552" t="s">
        <v>11232</v>
      </c>
      <c r="G2552" t="s">
        <v>1197</v>
      </c>
      <c r="H2552" t="s">
        <v>11233</v>
      </c>
      <c r="I2552">
        <v>16007</v>
      </c>
      <c r="J2552" t="s">
        <v>11232</v>
      </c>
      <c r="K2552" t="s">
        <v>11234</v>
      </c>
      <c r="L2552" t="s">
        <v>386</v>
      </c>
      <c r="M2552" t="s">
        <v>1193</v>
      </c>
      <c r="N2552">
        <v>16007</v>
      </c>
      <c r="O2552">
        <v>0</v>
      </c>
      <c r="Q2552" t="s">
        <v>11235</v>
      </c>
      <c r="T2552">
        <v>571</v>
      </c>
      <c r="V2552" t="s">
        <v>2003</v>
      </c>
      <c r="W2552" t="s">
        <v>1964</v>
      </c>
      <c r="X2552">
        <v>473</v>
      </c>
      <c r="Z2552" t="s">
        <v>11236</v>
      </c>
      <c r="AA2552" t="s">
        <v>387</v>
      </c>
      <c r="AB2552">
        <v>0</v>
      </c>
      <c r="AC2552">
        <v>6026</v>
      </c>
      <c r="AD2552" t="s">
        <v>11237</v>
      </c>
      <c r="AE2552">
        <v>1</v>
      </c>
      <c r="AF2552" t="s">
        <v>1922</v>
      </c>
      <c r="AG2552" t="s">
        <v>2044</v>
      </c>
      <c r="AH2552" t="s">
        <v>11238</v>
      </c>
    </row>
    <row r="2553" spans="1:34" x14ac:dyDescent="0.25">
      <c r="A2553">
        <v>17</v>
      </c>
      <c r="C2553" s="185"/>
      <c r="D2553" t="s">
        <v>24</v>
      </c>
      <c r="E2553" t="s">
        <v>386</v>
      </c>
      <c r="F2553" t="s">
        <v>11239</v>
      </c>
      <c r="G2553" t="s">
        <v>1197</v>
      </c>
      <c r="H2553" t="s">
        <v>11240</v>
      </c>
      <c r="I2553">
        <v>8407</v>
      </c>
      <c r="J2553" t="s">
        <v>11239</v>
      </c>
      <c r="K2553" t="s">
        <v>11241</v>
      </c>
      <c r="L2553" t="s">
        <v>386</v>
      </c>
      <c r="M2553" t="s">
        <v>1193</v>
      </c>
      <c r="N2553">
        <v>8407</v>
      </c>
      <c r="O2553">
        <v>39</v>
      </c>
      <c r="Q2553" t="s">
        <v>11242</v>
      </c>
      <c r="R2553" t="s">
        <v>398</v>
      </c>
      <c r="T2553">
        <v>220</v>
      </c>
      <c r="V2553" t="s">
        <v>1194</v>
      </c>
      <c r="W2553" t="s">
        <v>2186</v>
      </c>
      <c r="X2553">
        <v>396</v>
      </c>
      <c r="Z2553" t="s">
        <v>1042</v>
      </c>
      <c r="AA2553" t="s">
        <v>387</v>
      </c>
      <c r="AB2553">
        <v>31000</v>
      </c>
      <c r="AC2553">
        <v>3364</v>
      </c>
      <c r="AD2553" t="s">
        <v>11243</v>
      </c>
      <c r="AE2553">
        <v>1570</v>
      </c>
      <c r="AF2553" t="s">
        <v>11244</v>
      </c>
      <c r="AG2553" t="s">
        <v>11245</v>
      </c>
      <c r="AH2553" t="s">
        <v>11246</v>
      </c>
    </row>
    <row r="2554" spans="1:34" x14ac:dyDescent="0.25">
      <c r="A2554">
        <v>1259</v>
      </c>
      <c r="B2554" t="s">
        <v>1313</v>
      </c>
      <c r="C2554" s="185"/>
      <c r="D2554" t="s">
        <v>24</v>
      </c>
      <c r="E2554" t="s">
        <v>386</v>
      </c>
      <c r="F2554" t="s">
        <v>355</v>
      </c>
      <c r="G2554" t="s">
        <v>1197</v>
      </c>
      <c r="H2554" t="s">
        <v>11247</v>
      </c>
      <c r="I2554">
        <v>3151</v>
      </c>
      <c r="J2554" t="s">
        <v>11248</v>
      </c>
      <c r="K2554" t="s">
        <v>7794</v>
      </c>
      <c r="L2554" t="s">
        <v>386</v>
      </c>
      <c r="M2554" t="s">
        <v>1193</v>
      </c>
      <c r="N2554">
        <v>15325</v>
      </c>
      <c r="O2554">
        <v>39</v>
      </c>
      <c r="Q2554" t="s">
        <v>11249</v>
      </c>
      <c r="R2554" t="s">
        <v>398</v>
      </c>
      <c r="S2554" t="s">
        <v>1909</v>
      </c>
      <c r="T2554">
        <v>340</v>
      </c>
      <c r="U2554">
        <v>0</v>
      </c>
      <c r="V2554" t="s">
        <v>1200</v>
      </c>
      <c r="W2554" t="s">
        <v>1194</v>
      </c>
      <c r="X2554">
        <v>220</v>
      </c>
      <c r="Y2554" t="s">
        <v>1317</v>
      </c>
      <c r="Z2554" t="s">
        <v>10633</v>
      </c>
      <c r="AA2554" t="s">
        <v>387</v>
      </c>
      <c r="AB2554">
        <v>31000</v>
      </c>
      <c r="AC2554">
        <v>2096</v>
      </c>
      <c r="AD2554" t="s">
        <v>11250</v>
      </c>
      <c r="AE2554">
        <v>2892</v>
      </c>
      <c r="AF2554" t="s">
        <v>11251</v>
      </c>
      <c r="AG2554" t="s">
        <v>5474</v>
      </c>
      <c r="AH2554" t="s">
        <v>7703</v>
      </c>
    </row>
    <row r="2555" spans="1:34" x14ac:dyDescent="0.25">
      <c r="A2555">
        <v>42</v>
      </c>
      <c r="B2555" t="s">
        <v>1313</v>
      </c>
      <c r="C2555" s="185"/>
      <c r="D2555" t="s">
        <v>24</v>
      </c>
      <c r="E2555" t="s">
        <v>386</v>
      </c>
      <c r="F2555" t="s">
        <v>367</v>
      </c>
      <c r="G2555" t="s">
        <v>1197</v>
      </c>
      <c r="H2555" t="s">
        <v>11198</v>
      </c>
      <c r="I2555">
        <v>10891</v>
      </c>
      <c r="J2555" t="s">
        <v>104</v>
      </c>
      <c r="K2555" t="s">
        <v>11252</v>
      </c>
      <c r="L2555" t="s">
        <v>386</v>
      </c>
      <c r="M2555" t="s">
        <v>1193</v>
      </c>
      <c r="N2555">
        <v>15334</v>
      </c>
      <c r="O2555">
        <v>39</v>
      </c>
      <c r="Q2555" t="s">
        <v>11253</v>
      </c>
      <c r="R2555" t="s">
        <v>398</v>
      </c>
      <c r="S2555" t="s">
        <v>10109</v>
      </c>
      <c r="T2555">
        <v>473</v>
      </c>
      <c r="U2555">
        <v>0</v>
      </c>
      <c r="V2555" t="s">
        <v>1964</v>
      </c>
      <c r="W2555" t="s">
        <v>2186</v>
      </c>
      <c r="X2555">
        <v>396</v>
      </c>
      <c r="Y2555" t="s">
        <v>1317</v>
      </c>
      <c r="Z2555" t="s">
        <v>925</v>
      </c>
      <c r="AA2555" t="s">
        <v>387</v>
      </c>
      <c r="AB2555">
        <v>31000</v>
      </c>
      <c r="AC2555">
        <v>4218</v>
      </c>
      <c r="AD2555" t="s">
        <v>11254</v>
      </c>
      <c r="AE2555">
        <v>18</v>
      </c>
      <c r="AF2555" t="s">
        <v>1259</v>
      </c>
      <c r="AG2555" t="s">
        <v>1244</v>
      </c>
      <c r="AH2555" t="s">
        <v>10113</v>
      </c>
    </row>
    <row r="2556" spans="1:34" x14ac:dyDescent="0.25">
      <c r="A2556">
        <v>1773</v>
      </c>
      <c r="C2556" s="185"/>
      <c r="E2556" t="s">
        <v>386</v>
      </c>
      <c r="F2556" t="s">
        <v>11255</v>
      </c>
      <c r="G2556" t="s">
        <v>1197</v>
      </c>
      <c r="H2556" t="s">
        <v>11256</v>
      </c>
      <c r="I2556">
        <v>10913</v>
      </c>
      <c r="J2556" t="s">
        <v>11255</v>
      </c>
      <c r="K2556" t="s">
        <v>11257</v>
      </c>
      <c r="L2556" t="s">
        <v>386</v>
      </c>
      <c r="M2556" t="s">
        <v>1193</v>
      </c>
      <c r="N2556">
        <v>10913</v>
      </c>
      <c r="O2556">
        <v>39</v>
      </c>
      <c r="Q2556" t="s">
        <v>11258</v>
      </c>
      <c r="R2556" t="s">
        <v>398</v>
      </c>
      <c r="T2556">
        <v>220</v>
      </c>
      <c r="V2556" t="s">
        <v>1194</v>
      </c>
      <c r="W2556" t="s">
        <v>2073</v>
      </c>
      <c r="X2556">
        <v>372</v>
      </c>
      <c r="Z2556" t="s">
        <v>11259</v>
      </c>
      <c r="AA2556" t="s">
        <v>387</v>
      </c>
      <c r="AB2556">
        <v>31000</v>
      </c>
      <c r="AC2556">
        <v>4180</v>
      </c>
      <c r="AD2556" t="s">
        <v>11260</v>
      </c>
      <c r="AE2556">
        <v>1930</v>
      </c>
      <c r="AF2556" t="s">
        <v>11261</v>
      </c>
      <c r="AG2556" t="s">
        <v>11262</v>
      </c>
      <c r="AH2556" t="s">
        <v>11263</v>
      </c>
    </row>
    <row r="2557" spans="1:34" x14ac:dyDescent="0.25">
      <c r="A2557">
        <v>1724</v>
      </c>
      <c r="C2557" s="185"/>
      <c r="D2557" t="s">
        <v>24</v>
      </c>
      <c r="E2557" t="s">
        <v>386</v>
      </c>
      <c r="F2557" t="s">
        <v>659</v>
      </c>
      <c r="G2557" t="s">
        <v>1197</v>
      </c>
      <c r="H2557" t="s">
        <v>11264</v>
      </c>
      <c r="I2557">
        <v>15407</v>
      </c>
      <c r="J2557" t="s">
        <v>659</v>
      </c>
      <c r="K2557" t="s">
        <v>11265</v>
      </c>
      <c r="L2557" t="s">
        <v>386</v>
      </c>
      <c r="M2557" t="s">
        <v>1193</v>
      </c>
      <c r="N2557">
        <v>15407</v>
      </c>
      <c r="O2557">
        <v>37</v>
      </c>
      <c r="Q2557" t="s">
        <v>11266</v>
      </c>
      <c r="R2557" t="s">
        <v>398</v>
      </c>
      <c r="T2557">
        <v>521</v>
      </c>
      <c r="V2557" t="s">
        <v>6311</v>
      </c>
      <c r="W2557" t="s">
        <v>1194</v>
      </c>
      <c r="X2557">
        <v>220</v>
      </c>
      <c r="Z2557" t="s">
        <v>929</v>
      </c>
      <c r="AA2557" t="s">
        <v>387</v>
      </c>
      <c r="AB2557">
        <v>29000</v>
      </c>
      <c r="AC2557">
        <v>5824</v>
      </c>
      <c r="AD2557" t="s">
        <v>11267</v>
      </c>
      <c r="AE2557">
        <v>1</v>
      </c>
      <c r="AF2557" t="s">
        <v>1922</v>
      </c>
      <c r="AG2557" t="s">
        <v>11268</v>
      </c>
      <c r="AH2557" t="s">
        <v>11269</v>
      </c>
    </row>
    <row r="2558" spans="1:34" x14ac:dyDescent="0.25">
      <c r="A2558">
        <v>1807</v>
      </c>
      <c r="C2558" s="185"/>
      <c r="D2558" t="s">
        <v>24</v>
      </c>
      <c r="E2558" t="s">
        <v>386</v>
      </c>
      <c r="F2558" t="s">
        <v>11270</v>
      </c>
      <c r="G2558" t="s">
        <v>1197</v>
      </c>
      <c r="H2558" t="s">
        <v>11271</v>
      </c>
      <c r="I2558">
        <v>10145</v>
      </c>
      <c r="J2558" t="s">
        <v>11270</v>
      </c>
      <c r="K2558" t="s">
        <v>11270</v>
      </c>
      <c r="L2558" t="s">
        <v>386</v>
      </c>
      <c r="M2558" t="s">
        <v>1193</v>
      </c>
      <c r="N2558">
        <v>10145</v>
      </c>
      <c r="O2558">
        <v>0</v>
      </c>
      <c r="Q2558" t="s">
        <v>11272</v>
      </c>
      <c r="T2558">
        <v>52</v>
      </c>
      <c r="V2558" t="s">
        <v>2024</v>
      </c>
      <c r="W2558" t="s">
        <v>1216</v>
      </c>
      <c r="X2558">
        <v>260</v>
      </c>
      <c r="Z2558" t="s">
        <v>11273</v>
      </c>
      <c r="AA2558" t="s">
        <v>387</v>
      </c>
      <c r="AB2558">
        <v>0</v>
      </c>
      <c r="AC2558">
        <v>3965</v>
      </c>
      <c r="AD2558" t="s">
        <v>11274</v>
      </c>
      <c r="AE2558">
        <v>18</v>
      </c>
      <c r="AF2558" t="s">
        <v>1259</v>
      </c>
      <c r="AG2558" t="s">
        <v>2044</v>
      </c>
    </row>
    <row r="2559" spans="1:34" x14ac:dyDescent="0.25">
      <c r="A2559">
        <v>30</v>
      </c>
      <c r="C2559" s="185"/>
      <c r="E2559" t="s">
        <v>386</v>
      </c>
      <c r="F2559" t="s">
        <v>11275</v>
      </c>
      <c r="G2559" t="s">
        <v>1197</v>
      </c>
      <c r="H2559" t="s">
        <v>11276</v>
      </c>
      <c r="I2559">
        <v>15017</v>
      </c>
      <c r="J2559" t="s">
        <v>11275</v>
      </c>
      <c r="K2559" t="s">
        <v>11275</v>
      </c>
      <c r="L2559" t="s">
        <v>386</v>
      </c>
      <c r="M2559" t="s">
        <v>1193</v>
      </c>
      <c r="N2559">
        <v>15017</v>
      </c>
      <c r="O2559">
        <v>0</v>
      </c>
      <c r="Q2559" t="s">
        <v>11277</v>
      </c>
      <c r="T2559">
        <v>435</v>
      </c>
      <c r="V2559" t="s">
        <v>3129</v>
      </c>
      <c r="W2559" t="s">
        <v>3129</v>
      </c>
      <c r="X2559">
        <v>435</v>
      </c>
      <c r="Z2559" t="s">
        <v>4589</v>
      </c>
      <c r="AA2559" t="s">
        <v>387</v>
      </c>
      <c r="AB2559">
        <v>0</v>
      </c>
      <c r="AC2559">
        <v>1101</v>
      </c>
      <c r="AD2559" t="s">
        <v>11278</v>
      </c>
      <c r="AE2559">
        <v>521</v>
      </c>
      <c r="AF2559" t="s">
        <v>11279</v>
      </c>
      <c r="AG2559" t="s">
        <v>2572</v>
      </c>
    </row>
    <row r="2560" spans="1:34" x14ac:dyDescent="0.25">
      <c r="A2560">
        <v>30</v>
      </c>
      <c r="C2560" s="185"/>
      <c r="E2560" t="s">
        <v>386</v>
      </c>
      <c r="F2560" t="s">
        <v>11280</v>
      </c>
      <c r="G2560" t="s">
        <v>1197</v>
      </c>
      <c r="H2560" t="s">
        <v>11281</v>
      </c>
      <c r="I2560">
        <v>5524</v>
      </c>
      <c r="J2560" t="s">
        <v>11280</v>
      </c>
      <c r="K2560" t="s">
        <v>11280</v>
      </c>
      <c r="L2560" t="s">
        <v>386</v>
      </c>
      <c r="M2560" t="s">
        <v>1193</v>
      </c>
      <c r="N2560">
        <v>5524</v>
      </c>
      <c r="O2560">
        <v>0</v>
      </c>
      <c r="Q2560" t="s">
        <v>11282</v>
      </c>
      <c r="T2560">
        <v>39</v>
      </c>
      <c r="V2560" t="s">
        <v>2144</v>
      </c>
      <c r="Z2560" t="s">
        <v>4589</v>
      </c>
      <c r="AA2560" t="s">
        <v>387</v>
      </c>
      <c r="AB2560">
        <v>0</v>
      </c>
      <c r="AC2560">
        <v>2629</v>
      </c>
      <c r="AD2560" t="s">
        <v>11283</v>
      </c>
      <c r="AE2560">
        <v>1261</v>
      </c>
      <c r="AF2560" t="s">
        <v>11284</v>
      </c>
      <c r="AG2560" t="s">
        <v>3782</v>
      </c>
      <c r="AH2560" t="s">
        <v>11285</v>
      </c>
    </row>
    <row r="2561" spans="1:34" x14ac:dyDescent="0.25">
      <c r="A2561">
        <v>30</v>
      </c>
      <c r="B2561" t="s">
        <v>1313</v>
      </c>
      <c r="C2561" s="185"/>
      <c r="E2561" t="s">
        <v>386</v>
      </c>
      <c r="F2561" t="s">
        <v>11286</v>
      </c>
      <c r="G2561" t="s">
        <v>1197</v>
      </c>
      <c r="H2561" t="s">
        <v>11287</v>
      </c>
      <c r="I2561">
        <v>1532</v>
      </c>
      <c r="J2561" t="s">
        <v>11286</v>
      </c>
      <c r="K2561" t="s">
        <v>11286</v>
      </c>
      <c r="L2561" t="s">
        <v>386</v>
      </c>
      <c r="M2561" t="s">
        <v>1193</v>
      </c>
      <c r="N2561">
        <v>1532</v>
      </c>
      <c r="O2561">
        <v>0</v>
      </c>
      <c r="Q2561" t="s">
        <v>11288</v>
      </c>
      <c r="S2561" t="s">
        <v>1315</v>
      </c>
      <c r="T2561">
        <v>114</v>
      </c>
      <c r="U2561">
        <v>0</v>
      </c>
      <c r="V2561" t="s">
        <v>2879</v>
      </c>
      <c r="Y2561" t="s">
        <v>1317</v>
      </c>
      <c r="Z2561" t="s">
        <v>4589</v>
      </c>
      <c r="AA2561" t="s">
        <v>387</v>
      </c>
      <c r="AB2561">
        <v>0</v>
      </c>
      <c r="AC2561">
        <v>1147</v>
      </c>
      <c r="AD2561" t="s">
        <v>11289</v>
      </c>
      <c r="AE2561">
        <v>554</v>
      </c>
      <c r="AF2561" t="s">
        <v>11290</v>
      </c>
      <c r="AG2561" t="s">
        <v>11291</v>
      </c>
      <c r="AH2561" t="s">
        <v>11292</v>
      </c>
    </row>
    <row r="2562" spans="1:34" x14ac:dyDescent="0.25">
      <c r="A2562">
        <v>30</v>
      </c>
      <c r="B2562" t="s">
        <v>1313</v>
      </c>
      <c r="C2562" s="185"/>
      <c r="E2562" t="s">
        <v>386</v>
      </c>
      <c r="F2562" t="s">
        <v>11293</v>
      </c>
      <c r="G2562" t="s">
        <v>1197</v>
      </c>
      <c r="H2562" t="s">
        <v>11294</v>
      </c>
      <c r="I2562">
        <v>482</v>
      </c>
      <c r="J2562" t="s">
        <v>11293</v>
      </c>
      <c r="K2562" t="s">
        <v>11293</v>
      </c>
      <c r="L2562" t="s">
        <v>386</v>
      </c>
      <c r="M2562" t="s">
        <v>1193</v>
      </c>
      <c r="N2562">
        <v>482</v>
      </c>
      <c r="O2562">
        <v>0</v>
      </c>
      <c r="Q2562" t="s">
        <v>11295</v>
      </c>
      <c r="S2562" t="s">
        <v>1315</v>
      </c>
      <c r="T2562">
        <v>0</v>
      </c>
      <c r="U2562">
        <v>0</v>
      </c>
      <c r="V2562" t="s">
        <v>1186</v>
      </c>
      <c r="Y2562" t="s">
        <v>1317</v>
      </c>
      <c r="Z2562" t="s">
        <v>4589</v>
      </c>
      <c r="AA2562" t="s">
        <v>387</v>
      </c>
      <c r="AB2562">
        <v>0</v>
      </c>
      <c r="AC2562">
        <v>485</v>
      </c>
      <c r="AD2562" t="s">
        <v>11296</v>
      </c>
      <c r="AE2562">
        <v>211</v>
      </c>
      <c r="AF2562" t="s">
        <v>11297</v>
      </c>
      <c r="AG2562" t="s">
        <v>2914</v>
      </c>
      <c r="AH2562" t="s">
        <v>11298</v>
      </c>
    </row>
    <row r="2563" spans="1:34" x14ac:dyDescent="0.25">
      <c r="A2563">
        <v>30</v>
      </c>
      <c r="C2563" s="185"/>
      <c r="E2563" t="s">
        <v>386</v>
      </c>
      <c r="F2563" t="s">
        <v>11293</v>
      </c>
      <c r="G2563" t="s">
        <v>1197</v>
      </c>
      <c r="H2563" t="s">
        <v>11299</v>
      </c>
      <c r="I2563">
        <v>2191</v>
      </c>
      <c r="J2563" t="s">
        <v>11293</v>
      </c>
      <c r="K2563" t="s">
        <v>11293</v>
      </c>
      <c r="L2563" t="s">
        <v>386</v>
      </c>
      <c r="M2563" t="s">
        <v>1193</v>
      </c>
      <c r="N2563">
        <v>2191</v>
      </c>
      <c r="O2563">
        <v>0</v>
      </c>
      <c r="Q2563" t="s">
        <v>11295</v>
      </c>
      <c r="T2563">
        <v>35</v>
      </c>
      <c r="V2563" t="s">
        <v>2015</v>
      </c>
      <c r="Z2563" t="s">
        <v>4589</v>
      </c>
      <c r="AA2563" t="s">
        <v>387</v>
      </c>
      <c r="AB2563">
        <v>0</v>
      </c>
      <c r="AC2563">
        <v>1101</v>
      </c>
      <c r="AD2563" t="s">
        <v>11278</v>
      </c>
      <c r="AE2563">
        <v>521</v>
      </c>
      <c r="AF2563" t="s">
        <v>11279</v>
      </c>
      <c r="AG2563" t="s">
        <v>11300</v>
      </c>
      <c r="AH2563" t="s">
        <v>11298</v>
      </c>
    </row>
    <row r="2564" spans="1:34" x14ac:dyDescent="0.25">
      <c r="A2564">
        <v>30</v>
      </c>
      <c r="C2564" s="185"/>
      <c r="E2564" t="s">
        <v>386</v>
      </c>
      <c r="F2564" t="s">
        <v>11301</v>
      </c>
      <c r="G2564" t="s">
        <v>1197</v>
      </c>
      <c r="H2564" t="s">
        <v>11302</v>
      </c>
      <c r="I2564">
        <v>17630</v>
      </c>
      <c r="J2564" t="s">
        <v>11301</v>
      </c>
      <c r="K2564" t="s">
        <v>11301</v>
      </c>
      <c r="L2564" t="s">
        <v>386</v>
      </c>
      <c r="M2564" t="s">
        <v>1193</v>
      </c>
      <c r="N2564">
        <v>17630</v>
      </c>
      <c r="O2564">
        <v>0</v>
      </c>
      <c r="Q2564" t="s">
        <v>11303</v>
      </c>
      <c r="R2564" t="s">
        <v>1208</v>
      </c>
      <c r="T2564">
        <v>260</v>
      </c>
      <c r="V2564" t="s">
        <v>1216</v>
      </c>
      <c r="W2564" t="s">
        <v>1216</v>
      </c>
      <c r="X2564">
        <v>260</v>
      </c>
      <c r="Z2564" t="s">
        <v>4589</v>
      </c>
      <c r="AA2564" t="s">
        <v>387</v>
      </c>
      <c r="AB2564">
        <v>0</v>
      </c>
      <c r="AC2564">
        <v>6594</v>
      </c>
      <c r="AD2564" t="s">
        <v>11304</v>
      </c>
      <c r="AE2564">
        <v>1709</v>
      </c>
      <c r="AF2564" t="s">
        <v>11305</v>
      </c>
      <c r="AG2564" t="s">
        <v>11306</v>
      </c>
      <c r="AH2564" t="s">
        <v>11307</v>
      </c>
    </row>
    <row r="2565" spans="1:34" x14ac:dyDescent="0.25">
      <c r="A2565">
        <v>30</v>
      </c>
      <c r="C2565" s="185"/>
      <c r="E2565" t="s">
        <v>386</v>
      </c>
      <c r="F2565" t="s">
        <v>11308</v>
      </c>
      <c r="G2565" t="s">
        <v>1197</v>
      </c>
      <c r="H2565" t="s">
        <v>11299</v>
      </c>
      <c r="I2565">
        <v>1445</v>
      </c>
      <c r="J2565" t="s">
        <v>11308</v>
      </c>
      <c r="K2565" t="s">
        <v>11309</v>
      </c>
      <c r="L2565" t="s">
        <v>386</v>
      </c>
      <c r="M2565" t="s">
        <v>1193</v>
      </c>
      <c r="N2565">
        <v>1445</v>
      </c>
      <c r="O2565">
        <v>0</v>
      </c>
      <c r="Q2565" t="s">
        <v>11310</v>
      </c>
      <c r="T2565">
        <v>340</v>
      </c>
      <c r="V2565" t="s">
        <v>1200</v>
      </c>
      <c r="W2565" t="s">
        <v>1216</v>
      </c>
      <c r="X2565">
        <v>260</v>
      </c>
      <c r="Z2565" t="s">
        <v>4589</v>
      </c>
      <c r="AA2565" t="s">
        <v>387</v>
      </c>
      <c r="AB2565">
        <v>0</v>
      </c>
      <c r="AC2565">
        <v>1101</v>
      </c>
      <c r="AD2565" t="s">
        <v>11278</v>
      </c>
      <c r="AE2565">
        <v>521</v>
      </c>
      <c r="AF2565" t="s">
        <v>11279</v>
      </c>
      <c r="AG2565" t="s">
        <v>11300</v>
      </c>
      <c r="AH2565" t="s">
        <v>11311</v>
      </c>
    </row>
    <row r="2566" spans="1:34" x14ac:dyDescent="0.25">
      <c r="A2566">
        <v>30</v>
      </c>
      <c r="C2566" s="185"/>
      <c r="D2566" t="s">
        <v>24</v>
      </c>
      <c r="E2566" t="s">
        <v>386</v>
      </c>
      <c r="F2566" t="s">
        <v>11312</v>
      </c>
      <c r="G2566" t="s">
        <v>1197</v>
      </c>
      <c r="H2566" t="s">
        <v>11313</v>
      </c>
      <c r="I2566">
        <v>9584</v>
      </c>
      <c r="J2566" t="s">
        <v>11312</v>
      </c>
      <c r="K2566" t="s">
        <v>11312</v>
      </c>
      <c r="L2566" t="s">
        <v>386</v>
      </c>
      <c r="M2566" t="s">
        <v>1193</v>
      </c>
      <c r="N2566">
        <v>9584</v>
      </c>
      <c r="O2566">
        <v>0</v>
      </c>
      <c r="Q2566" t="s">
        <v>11314</v>
      </c>
      <c r="R2566" t="s">
        <v>398</v>
      </c>
      <c r="T2566">
        <v>571</v>
      </c>
      <c r="V2566" t="s">
        <v>2003</v>
      </c>
      <c r="W2566" t="s">
        <v>2144</v>
      </c>
      <c r="X2566">
        <v>39</v>
      </c>
      <c r="Z2566" t="s">
        <v>4589</v>
      </c>
      <c r="AA2566" t="s">
        <v>387</v>
      </c>
      <c r="AB2566">
        <v>0</v>
      </c>
      <c r="AC2566">
        <v>3814</v>
      </c>
      <c r="AD2566" t="s">
        <v>11315</v>
      </c>
      <c r="AE2566">
        <v>1709</v>
      </c>
      <c r="AF2566" t="s">
        <v>11305</v>
      </c>
      <c r="AG2566" t="s">
        <v>11316</v>
      </c>
    </row>
    <row r="2567" spans="1:34" x14ac:dyDescent="0.25">
      <c r="A2567">
        <v>1724</v>
      </c>
      <c r="C2567" s="185"/>
      <c r="E2567" t="s">
        <v>386</v>
      </c>
      <c r="F2567" t="s">
        <v>11317</v>
      </c>
      <c r="G2567" t="s">
        <v>1238</v>
      </c>
      <c r="H2567" t="s">
        <v>3274</v>
      </c>
      <c r="I2567">
        <v>13677</v>
      </c>
      <c r="J2567" t="s">
        <v>11317</v>
      </c>
      <c r="K2567" t="s">
        <v>11317</v>
      </c>
      <c r="L2567" t="s">
        <v>386</v>
      </c>
      <c r="M2567" t="s">
        <v>1184</v>
      </c>
      <c r="N2567">
        <v>13677</v>
      </c>
      <c r="O2567">
        <v>0</v>
      </c>
      <c r="Q2567" t="s">
        <v>11318</v>
      </c>
      <c r="R2567" t="s">
        <v>398</v>
      </c>
      <c r="T2567">
        <v>571</v>
      </c>
      <c r="V2567" t="s">
        <v>2003</v>
      </c>
      <c r="W2567" t="s">
        <v>2067</v>
      </c>
      <c r="X2567">
        <v>304</v>
      </c>
      <c r="Z2567" t="s">
        <v>929</v>
      </c>
      <c r="AA2567" t="s">
        <v>387</v>
      </c>
      <c r="AB2567">
        <v>29000</v>
      </c>
      <c r="AC2567">
        <v>5146</v>
      </c>
      <c r="AD2567" t="s">
        <v>11319</v>
      </c>
      <c r="AE2567">
        <v>216</v>
      </c>
      <c r="AF2567" t="s">
        <v>3276</v>
      </c>
      <c r="AG2567" t="s">
        <v>2048</v>
      </c>
      <c r="AH2567" t="s">
        <v>11320</v>
      </c>
    </row>
    <row r="2568" spans="1:34" x14ac:dyDescent="0.25">
      <c r="A2568">
        <v>44</v>
      </c>
      <c r="C2568" s="185"/>
      <c r="E2568" t="s">
        <v>386</v>
      </c>
      <c r="F2568" t="s">
        <v>11321</v>
      </c>
      <c r="G2568" t="s">
        <v>1197</v>
      </c>
      <c r="H2568" t="s">
        <v>3678</v>
      </c>
      <c r="I2568">
        <v>14498</v>
      </c>
      <c r="J2568" t="s">
        <v>11321</v>
      </c>
      <c r="K2568" t="s">
        <v>11322</v>
      </c>
      <c r="L2568" t="s">
        <v>386</v>
      </c>
      <c r="M2568" t="s">
        <v>1193</v>
      </c>
      <c r="N2568">
        <v>14498</v>
      </c>
      <c r="O2568">
        <v>0</v>
      </c>
      <c r="Q2568" t="s">
        <v>11323</v>
      </c>
      <c r="T2568">
        <v>52</v>
      </c>
      <c r="V2568" t="s">
        <v>2024</v>
      </c>
      <c r="W2568" t="s">
        <v>3129</v>
      </c>
      <c r="X2568">
        <v>435</v>
      </c>
      <c r="Z2568" t="s">
        <v>1052</v>
      </c>
      <c r="AA2568" t="s">
        <v>387</v>
      </c>
      <c r="AB2568">
        <v>0</v>
      </c>
      <c r="AC2568">
        <v>5496</v>
      </c>
      <c r="AD2568" t="s">
        <v>10470</v>
      </c>
      <c r="AE2568">
        <v>2551</v>
      </c>
      <c r="AF2568" t="s">
        <v>11324</v>
      </c>
      <c r="AG2568" t="s">
        <v>11325</v>
      </c>
      <c r="AH2568" t="s">
        <v>11326</v>
      </c>
    </row>
    <row r="2569" spans="1:34" x14ac:dyDescent="0.25">
      <c r="A2569">
        <v>1732</v>
      </c>
      <c r="C2569" s="185"/>
      <c r="E2569" t="s">
        <v>386</v>
      </c>
      <c r="F2569" t="s">
        <v>11327</v>
      </c>
      <c r="G2569" t="s">
        <v>1197</v>
      </c>
      <c r="H2569" t="s">
        <v>11328</v>
      </c>
      <c r="I2569">
        <v>17037</v>
      </c>
      <c r="J2569" t="s">
        <v>11327</v>
      </c>
      <c r="K2569" t="s">
        <v>11327</v>
      </c>
      <c r="L2569" t="s">
        <v>386</v>
      </c>
      <c r="M2569" t="s">
        <v>1193</v>
      </c>
      <c r="N2569">
        <v>17037</v>
      </c>
      <c r="O2569">
        <v>0</v>
      </c>
      <c r="Q2569" t="s">
        <v>11329</v>
      </c>
      <c r="R2569" t="s">
        <v>398</v>
      </c>
      <c r="T2569">
        <v>52</v>
      </c>
      <c r="V2569" t="s">
        <v>2024</v>
      </c>
      <c r="W2569" t="s">
        <v>2246</v>
      </c>
      <c r="X2569">
        <v>496</v>
      </c>
      <c r="Z2569" t="s">
        <v>11330</v>
      </c>
      <c r="AA2569" t="s">
        <v>387</v>
      </c>
      <c r="AB2569">
        <v>0</v>
      </c>
      <c r="AC2569">
        <v>6418</v>
      </c>
      <c r="AD2569" t="s">
        <v>9203</v>
      </c>
      <c r="AE2569">
        <v>323</v>
      </c>
      <c r="AF2569" t="s">
        <v>11331</v>
      </c>
      <c r="AG2569" t="s">
        <v>1244</v>
      </c>
      <c r="AH2569" t="s">
        <v>11332</v>
      </c>
    </row>
    <row r="2570" spans="1:34" x14ac:dyDescent="0.25">
      <c r="A2570">
        <v>596</v>
      </c>
      <c r="C2570" s="185"/>
      <c r="E2570" t="s">
        <v>386</v>
      </c>
      <c r="F2570" t="s">
        <v>11333</v>
      </c>
      <c r="G2570" t="s">
        <v>1197</v>
      </c>
      <c r="H2570" t="s">
        <v>11334</v>
      </c>
      <c r="I2570">
        <v>16333</v>
      </c>
      <c r="J2570" t="s">
        <v>11333</v>
      </c>
      <c r="K2570" t="s">
        <v>11335</v>
      </c>
      <c r="L2570" t="s">
        <v>386</v>
      </c>
      <c r="M2570" t="s">
        <v>1193</v>
      </c>
      <c r="N2570">
        <v>16333</v>
      </c>
      <c r="O2570">
        <v>0</v>
      </c>
      <c r="Q2570" t="s">
        <v>11336</v>
      </c>
      <c r="T2570">
        <v>496</v>
      </c>
      <c r="V2570" t="s">
        <v>2246</v>
      </c>
      <c r="W2570" t="s">
        <v>2246</v>
      </c>
      <c r="X2570">
        <v>496</v>
      </c>
      <c r="Z2570" t="s">
        <v>975</v>
      </c>
      <c r="AA2570" t="s">
        <v>387</v>
      </c>
      <c r="AB2570">
        <v>0</v>
      </c>
      <c r="AC2570">
        <v>6123</v>
      </c>
      <c r="AD2570" t="s">
        <v>11337</v>
      </c>
      <c r="AE2570">
        <v>2806</v>
      </c>
      <c r="AF2570" t="s">
        <v>11338</v>
      </c>
      <c r="AG2570" t="s">
        <v>2044</v>
      </c>
      <c r="AH2570" t="s">
        <v>11339</v>
      </c>
    </row>
    <row r="2571" spans="1:34" x14ac:dyDescent="0.25">
      <c r="A2571">
        <v>2035</v>
      </c>
      <c r="C2571" s="185"/>
      <c r="E2571" t="s">
        <v>386</v>
      </c>
      <c r="F2571" t="s">
        <v>11340</v>
      </c>
      <c r="G2571" t="s">
        <v>1238</v>
      </c>
      <c r="H2571" t="s">
        <v>5010</v>
      </c>
      <c r="I2571">
        <v>15061</v>
      </c>
      <c r="J2571" t="s">
        <v>11340</v>
      </c>
      <c r="K2571" t="s">
        <v>11341</v>
      </c>
      <c r="L2571" t="s">
        <v>386</v>
      </c>
      <c r="M2571" t="s">
        <v>1184</v>
      </c>
      <c r="N2571">
        <v>15061</v>
      </c>
      <c r="O2571">
        <v>0</v>
      </c>
      <c r="Q2571" t="s">
        <v>11342</v>
      </c>
      <c r="T2571">
        <v>260</v>
      </c>
      <c r="V2571" t="s">
        <v>1216</v>
      </c>
      <c r="W2571" t="s">
        <v>1216</v>
      </c>
      <c r="X2571">
        <v>260</v>
      </c>
      <c r="Z2571" t="s">
        <v>5013</v>
      </c>
      <c r="AA2571" t="s">
        <v>387</v>
      </c>
      <c r="AB2571">
        <v>0</v>
      </c>
      <c r="AC2571">
        <v>5723</v>
      </c>
      <c r="AD2571" t="s">
        <v>11343</v>
      </c>
      <c r="AE2571">
        <v>18</v>
      </c>
      <c r="AF2571" t="s">
        <v>1259</v>
      </c>
      <c r="AG2571" t="s">
        <v>4930</v>
      </c>
    </row>
    <row r="2572" spans="1:34" x14ac:dyDescent="0.25">
      <c r="A2572">
        <v>2097</v>
      </c>
      <c r="C2572" s="185"/>
      <c r="E2572" t="s">
        <v>386</v>
      </c>
      <c r="F2572" t="s">
        <v>11344</v>
      </c>
      <c r="G2572" t="s">
        <v>1238</v>
      </c>
      <c r="H2572" t="s">
        <v>4009</v>
      </c>
      <c r="I2572">
        <v>15753</v>
      </c>
      <c r="J2572" t="s">
        <v>11344</v>
      </c>
      <c r="K2572" t="s">
        <v>11345</v>
      </c>
      <c r="L2572" t="s">
        <v>386</v>
      </c>
      <c r="M2572" t="s">
        <v>1184</v>
      </c>
      <c r="N2572">
        <v>15753</v>
      </c>
      <c r="O2572">
        <v>0</v>
      </c>
      <c r="Q2572" t="s">
        <v>11346</v>
      </c>
      <c r="T2572">
        <v>260</v>
      </c>
      <c r="V2572" t="s">
        <v>1216</v>
      </c>
      <c r="W2572" t="s">
        <v>1216</v>
      </c>
      <c r="X2572">
        <v>260</v>
      </c>
      <c r="Z2572" t="s">
        <v>4011</v>
      </c>
      <c r="AA2572" t="s">
        <v>387</v>
      </c>
      <c r="AB2572">
        <v>0</v>
      </c>
      <c r="AC2572">
        <v>5937</v>
      </c>
      <c r="AD2572" t="s">
        <v>11347</v>
      </c>
      <c r="AE2572">
        <v>18</v>
      </c>
      <c r="AF2572" t="s">
        <v>1259</v>
      </c>
      <c r="AG2572" t="s">
        <v>4930</v>
      </c>
    </row>
    <row r="2573" spans="1:34" x14ac:dyDescent="0.25">
      <c r="A2573">
        <v>140</v>
      </c>
      <c r="B2573" t="s">
        <v>1313</v>
      </c>
      <c r="C2573" s="185"/>
      <c r="D2573" t="s">
        <v>24</v>
      </c>
      <c r="E2573" t="s">
        <v>386</v>
      </c>
      <c r="F2573" t="s">
        <v>450</v>
      </c>
      <c r="G2573" t="s">
        <v>1197</v>
      </c>
      <c r="H2573" t="s">
        <v>11348</v>
      </c>
      <c r="I2573">
        <v>620</v>
      </c>
      <c r="J2573" t="s">
        <v>214</v>
      </c>
      <c r="K2573" t="s">
        <v>6366</v>
      </c>
      <c r="L2573" t="s">
        <v>386</v>
      </c>
      <c r="M2573" t="s">
        <v>1193</v>
      </c>
      <c r="N2573">
        <v>15720</v>
      </c>
      <c r="O2573">
        <v>64</v>
      </c>
      <c r="Q2573" t="s">
        <v>11349</v>
      </c>
      <c r="R2573" t="s">
        <v>398</v>
      </c>
      <c r="S2573" t="s">
        <v>4594</v>
      </c>
      <c r="T2573">
        <v>220</v>
      </c>
      <c r="U2573">
        <v>0</v>
      </c>
      <c r="V2573" t="s">
        <v>1194</v>
      </c>
      <c r="W2573" t="s">
        <v>1199</v>
      </c>
      <c r="X2573">
        <v>200</v>
      </c>
      <c r="Y2573" t="s">
        <v>1317</v>
      </c>
      <c r="Z2573" t="s">
        <v>2165</v>
      </c>
      <c r="AA2573" t="s">
        <v>387</v>
      </c>
      <c r="AB2573">
        <v>56000</v>
      </c>
      <c r="AC2573">
        <v>575</v>
      </c>
      <c r="AD2573" t="s">
        <v>11350</v>
      </c>
      <c r="AE2573">
        <v>263</v>
      </c>
      <c r="AF2573" t="s">
        <v>11351</v>
      </c>
      <c r="AG2573" t="s">
        <v>1931</v>
      </c>
      <c r="AH2573" t="s">
        <v>11352</v>
      </c>
    </row>
    <row r="2574" spans="1:34" x14ac:dyDescent="0.25">
      <c r="A2574">
        <v>596</v>
      </c>
      <c r="B2574" t="s">
        <v>1313</v>
      </c>
      <c r="C2574" s="185"/>
      <c r="D2574" t="s">
        <v>24</v>
      </c>
      <c r="E2574" t="s">
        <v>386</v>
      </c>
      <c r="F2574" t="s">
        <v>727</v>
      </c>
      <c r="G2574" t="s">
        <v>1197</v>
      </c>
      <c r="H2574" t="s">
        <v>11334</v>
      </c>
      <c r="I2574">
        <v>2225</v>
      </c>
      <c r="J2574" t="s">
        <v>727</v>
      </c>
      <c r="K2574" t="s">
        <v>11353</v>
      </c>
      <c r="L2574" t="s">
        <v>386</v>
      </c>
      <c r="M2574" t="s">
        <v>1193</v>
      </c>
      <c r="N2574">
        <v>2225</v>
      </c>
      <c r="O2574">
        <v>35</v>
      </c>
      <c r="Q2574" t="s">
        <v>11354</v>
      </c>
      <c r="R2574" t="s">
        <v>398</v>
      </c>
      <c r="S2574" t="s">
        <v>1909</v>
      </c>
      <c r="T2574">
        <v>220</v>
      </c>
      <c r="U2574">
        <v>0</v>
      </c>
      <c r="V2574" t="s">
        <v>1194</v>
      </c>
      <c r="W2574" t="s">
        <v>1200</v>
      </c>
      <c r="X2574">
        <v>340</v>
      </c>
      <c r="Y2574" t="s">
        <v>1317</v>
      </c>
      <c r="Z2574" t="s">
        <v>975</v>
      </c>
      <c r="AA2574" t="s">
        <v>387</v>
      </c>
      <c r="AB2574">
        <v>27000</v>
      </c>
      <c r="AC2574">
        <v>6310</v>
      </c>
      <c r="AD2574" t="s">
        <v>11355</v>
      </c>
      <c r="AE2574">
        <v>18</v>
      </c>
      <c r="AF2574" t="s">
        <v>1259</v>
      </c>
      <c r="AG2574" t="s">
        <v>1244</v>
      </c>
      <c r="AH2574" t="s">
        <v>11356</v>
      </c>
    </row>
    <row r="2575" spans="1:34" x14ac:dyDescent="0.25">
      <c r="A2575">
        <v>2219</v>
      </c>
      <c r="C2575" s="185"/>
      <c r="D2575" t="s">
        <v>24</v>
      </c>
      <c r="E2575" t="s">
        <v>386</v>
      </c>
      <c r="F2575" t="s">
        <v>690</v>
      </c>
      <c r="G2575" t="s">
        <v>1238</v>
      </c>
      <c r="H2575" t="s">
        <v>11357</v>
      </c>
      <c r="I2575">
        <v>17305</v>
      </c>
      <c r="J2575" t="s">
        <v>690</v>
      </c>
      <c r="K2575" t="s">
        <v>8855</v>
      </c>
      <c r="L2575" t="s">
        <v>386</v>
      </c>
      <c r="M2575" t="s">
        <v>1193</v>
      </c>
      <c r="N2575">
        <v>17305</v>
      </c>
      <c r="O2575">
        <v>64</v>
      </c>
      <c r="Q2575" t="s">
        <v>11358</v>
      </c>
      <c r="R2575" t="s">
        <v>398</v>
      </c>
      <c r="T2575">
        <v>473</v>
      </c>
      <c r="V2575" t="s">
        <v>1964</v>
      </c>
      <c r="W2575" t="s">
        <v>1964</v>
      </c>
      <c r="X2575">
        <v>473</v>
      </c>
      <c r="Z2575" t="s">
        <v>11359</v>
      </c>
      <c r="AA2575" t="s">
        <v>387</v>
      </c>
      <c r="AB2575">
        <v>56000</v>
      </c>
      <c r="AC2575">
        <v>6508</v>
      </c>
      <c r="AD2575" t="s">
        <v>11360</v>
      </c>
      <c r="AE2575">
        <v>18</v>
      </c>
      <c r="AF2575" t="s">
        <v>1259</v>
      </c>
      <c r="AG2575" t="s">
        <v>2044</v>
      </c>
      <c r="AH2575" t="s">
        <v>11361</v>
      </c>
    </row>
    <row r="2576" spans="1:34" x14ac:dyDescent="0.25">
      <c r="A2576">
        <v>2168</v>
      </c>
      <c r="B2576" t="s">
        <v>1313</v>
      </c>
      <c r="C2576" s="185"/>
      <c r="D2576" t="s">
        <v>24</v>
      </c>
      <c r="E2576" t="s">
        <v>386</v>
      </c>
      <c r="F2576" t="s">
        <v>431</v>
      </c>
      <c r="G2576" t="s">
        <v>1197</v>
      </c>
      <c r="H2576" t="s">
        <v>4149</v>
      </c>
      <c r="I2576">
        <v>16099</v>
      </c>
      <c r="J2576" t="s">
        <v>1118</v>
      </c>
      <c r="K2576" t="s">
        <v>4530</v>
      </c>
      <c r="L2576" t="s">
        <v>386</v>
      </c>
      <c r="M2576" t="s">
        <v>1193</v>
      </c>
      <c r="N2576">
        <v>15336</v>
      </c>
      <c r="O2576">
        <v>64</v>
      </c>
      <c r="Q2576" t="s">
        <v>11362</v>
      </c>
      <c r="R2576" t="s">
        <v>398</v>
      </c>
      <c r="S2576" t="s">
        <v>2293</v>
      </c>
      <c r="T2576">
        <v>200</v>
      </c>
      <c r="U2576">
        <v>0</v>
      </c>
      <c r="V2576" t="s">
        <v>1199</v>
      </c>
      <c r="W2576" t="s">
        <v>1199</v>
      </c>
      <c r="X2576">
        <v>200</v>
      </c>
      <c r="Y2576" t="s">
        <v>1317</v>
      </c>
      <c r="Z2576" t="s">
        <v>1119</v>
      </c>
      <c r="AA2576" t="s">
        <v>387</v>
      </c>
      <c r="AB2576">
        <v>56000</v>
      </c>
      <c r="AC2576">
        <v>6058</v>
      </c>
      <c r="AD2576" t="s">
        <v>11363</v>
      </c>
      <c r="AE2576">
        <v>2784</v>
      </c>
      <c r="AF2576" t="s">
        <v>11364</v>
      </c>
      <c r="AG2576" t="s">
        <v>1244</v>
      </c>
      <c r="AH2576" t="s">
        <v>4532</v>
      </c>
    </row>
    <row r="2577" spans="1:34" x14ac:dyDescent="0.25">
      <c r="A2577">
        <v>1279</v>
      </c>
      <c r="C2577" s="185"/>
      <c r="D2577" t="s">
        <v>157</v>
      </c>
      <c r="E2577" t="s">
        <v>386</v>
      </c>
      <c r="F2577" t="s">
        <v>365</v>
      </c>
      <c r="G2577" t="s">
        <v>4184</v>
      </c>
      <c r="H2577" t="s">
        <v>5055</v>
      </c>
      <c r="I2577">
        <v>8502</v>
      </c>
      <c r="J2577" t="s">
        <v>11365</v>
      </c>
      <c r="K2577" t="s">
        <v>7375</v>
      </c>
      <c r="L2577" t="s">
        <v>386</v>
      </c>
      <c r="M2577" t="s">
        <v>1193</v>
      </c>
      <c r="N2577">
        <v>15356</v>
      </c>
      <c r="O2577">
        <v>25</v>
      </c>
      <c r="Q2577" t="s">
        <v>11366</v>
      </c>
      <c r="R2577" t="s">
        <v>398</v>
      </c>
      <c r="T2577">
        <v>220</v>
      </c>
      <c r="V2577" t="s">
        <v>1194</v>
      </c>
      <c r="W2577" t="s">
        <v>3321</v>
      </c>
      <c r="X2577">
        <v>246</v>
      </c>
      <c r="Z2577" t="s">
        <v>5058</v>
      </c>
      <c r="AA2577" t="s">
        <v>387</v>
      </c>
      <c r="AB2577">
        <v>19000</v>
      </c>
      <c r="AC2577">
        <v>3407</v>
      </c>
      <c r="AD2577" t="s">
        <v>11367</v>
      </c>
      <c r="AE2577">
        <v>528</v>
      </c>
      <c r="AF2577" t="s">
        <v>11368</v>
      </c>
      <c r="AG2577" t="s">
        <v>11369</v>
      </c>
    </row>
    <row r="2578" spans="1:34" x14ac:dyDescent="0.25">
      <c r="A2578">
        <v>2107</v>
      </c>
      <c r="C2578" s="185"/>
      <c r="E2578" t="s">
        <v>386</v>
      </c>
      <c r="F2578" t="s">
        <v>11370</v>
      </c>
      <c r="G2578" t="s">
        <v>1197</v>
      </c>
      <c r="H2578" t="s">
        <v>11371</v>
      </c>
      <c r="I2578">
        <v>14597</v>
      </c>
      <c r="J2578" t="s">
        <v>11370</v>
      </c>
      <c r="K2578" t="s">
        <v>11372</v>
      </c>
      <c r="L2578" t="s">
        <v>386</v>
      </c>
      <c r="M2578" t="s">
        <v>1193</v>
      </c>
      <c r="N2578">
        <v>14597</v>
      </c>
      <c r="O2578">
        <v>0</v>
      </c>
      <c r="Q2578" t="s">
        <v>11373</v>
      </c>
      <c r="R2578" t="s">
        <v>398</v>
      </c>
      <c r="T2578">
        <v>220</v>
      </c>
      <c r="V2578" t="s">
        <v>1194</v>
      </c>
      <c r="W2578" t="s">
        <v>1257</v>
      </c>
      <c r="X2578">
        <v>426</v>
      </c>
      <c r="Z2578" t="s">
        <v>11374</v>
      </c>
      <c r="AA2578" t="s">
        <v>387</v>
      </c>
      <c r="AB2578">
        <v>0</v>
      </c>
      <c r="AC2578">
        <v>5548</v>
      </c>
      <c r="AD2578" t="s">
        <v>11375</v>
      </c>
      <c r="AE2578">
        <v>2573</v>
      </c>
      <c r="AF2578" t="s">
        <v>11376</v>
      </c>
      <c r="AG2578" t="s">
        <v>2044</v>
      </c>
      <c r="AH2578" t="s">
        <v>11377</v>
      </c>
    </row>
    <row r="2579" spans="1:34" x14ac:dyDescent="0.25">
      <c r="A2579">
        <v>1546</v>
      </c>
      <c r="C2579" s="185"/>
      <c r="E2579" t="s">
        <v>386</v>
      </c>
      <c r="F2579" t="s">
        <v>11378</v>
      </c>
      <c r="G2579" t="s">
        <v>1197</v>
      </c>
      <c r="H2579" t="s">
        <v>11379</v>
      </c>
      <c r="I2579">
        <v>989</v>
      </c>
      <c r="J2579" t="s">
        <v>11378</v>
      </c>
      <c r="K2579" t="s">
        <v>11378</v>
      </c>
      <c r="L2579" t="s">
        <v>386</v>
      </c>
      <c r="M2579" t="s">
        <v>1193</v>
      </c>
      <c r="N2579">
        <v>989</v>
      </c>
      <c r="O2579">
        <v>0</v>
      </c>
      <c r="Q2579" t="s">
        <v>11380</v>
      </c>
      <c r="T2579">
        <v>181</v>
      </c>
      <c r="V2579" t="s">
        <v>6218</v>
      </c>
      <c r="Z2579" t="s">
        <v>11381</v>
      </c>
      <c r="AA2579" t="s">
        <v>387</v>
      </c>
      <c r="AB2579">
        <v>0</v>
      </c>
      <c r="AC2579">
        <v>820</v>
      </c>
      <c r="AD2579" t="s">
        <v>11382</v>
      </c>
      <c r="AE2579">
        <v>1024</v>
      </c>
      <c r="AF2579" t="s">
        <v>11383</v>
      </c>
      <c r="AG2579" t="s">
        <v>11384</v>
      </c>
      <c r="AH2579" t="s">
        <v>11385</v>
      </c>
    </row>
    <row r="2580" spans="1:34" x14ac:dyDescent="0.25">
      <c r="A2580">
        <v>1</v>
      </c>
      <c r="C2580" s="185"/>
      <c r="E2580" t="s">
        <v>386</v>
      </c>
      <c r="F2580" t="s">
        <v>11386</v>
      </c>
      <c r="G2580" t="s">
        <v>1192</v>
      </c>
      <c r="H2580" t="s">
        <v>11387</v>
      </c>
      <c r="I2580">
        <v>5238</v>
      </c>
      <c r="J2580" t="s">
        <v>11386</v>
      </c>
      <c r="K2580" t="s">
        <v>11388</v>
      </c>
      <c r="L2580" t="s">
        <v>386</v>
      </c>
      <c r="M2580" t="s">
        <v>1193</v>
      </c>
      <c r="N2580">
        <v>5238</v>
      </c>
      <c r="O2580">
        <v>0</v>
      </c>
      <c r="Q2580" t="s">
        <v>11389</v>
      </c>
      <c r="T2580">
        <v>340</v>
      </c>
      <c r="V2580" t="s">
        <v>1200</v>
      </c>
      <c r="W2580" t="s">
        <v>2024</v>
      </c>
      <c r="X2580">
        <v>52</v>
      </c>
      <c r="Z2580" t="s">
        <v>865</v>
      </c>
      <c r="AA2580" t="s">
        <v>387</v>
      </c>
      <c r="AB2580">
        <v>0</v>
      </c>
      <c r="AC2580">
        <v>2527</v>
      </c>
      <c r="AD2580" t="s">
        <v>6919</v>
      </c>
      <c r="AE2580">
        <v>826</v>
      </c>
      <c r="AF2580" t="s">
        <v>2592</v>
      </c>
      <c r="AG2580" t="s">
        <v>6347</v>
      </c>
      <c r="AH2580" t="s">
        <v>11390</v>
      </c>
    </row>
    <row r="2581" spans="1:34" x14ac:dyDescent="0.25">
      <c r="A2581">
        <v>51</v>
      </c>
      <c r="C2581" s="185"/>
      <c r="D2581" t="s">
        <v>24</v>
      </c>
      <c r="E2581" t="s">
        <v>386</v>
      </c>
      <c r="F2581" t="s">
        <v>11391</v>
      </c>
      <c r="G2581" t="s">
        <v>1192</v>
      </c>
      <c r="H2581" t="s">
        <v>11392</v>
      </c>
      <c r="I2581">
        <v>276</v>
      </c>
      <c r="J2581" t="s">
        <v>11391</v>
      </c>
      <c r="K2581" t="s">
        <v>11391</v>
      </c>
      <c r="L2581" t="s">
        <v>386</v>
      </c>
      <c r="M2581" t="s">
        <v>1184</v>
      </c>
      <c r="N2581">
        <v>276</v>
      </c>
      <c r="O2581">
        <v>1</v>
      </c>
      <c r="Q2581" t="s">
        <v>11393</v>
      </c>
      <c r="R2581" t="s">
        <v>1208</v>
      </c>
      <c r="T2581">
        <v>0</v>
      </c>
      <c r="V2581" t="s">
        <v>1186</v>
      </c>
      <c r="Z2581" t="s">
        <v>1109</v>
      </c>
      <c r="AA2581" t="s">
        <v>386</v>
      </c>
      <c r="AB2581">
        <v>1000</v>
      </c>
      <c r="AC2581">
        <v>264</v>
      </c>
      <c r="AD2581" t="s">
        <v>11394</v>
      </c>
      <c r="AE2581">
        <v>1</v>
      </c>
      <c r="AF2581" t="s">
        <v>1922</v>
      </c>
      <c r="AG2581" t="s">
        <v>7387</v>
      </c>
    </row>
    <row r="2582" spans="1:34" x14ac:dyDescent="0.25">
      <c r="A2582">
        <v>2037</v>
      </c>
      <c r="C2582" s="185"/>
      <c r="E2582" t="s">
        <v>386</v>
      </c>
      <c r="F2582" t="s">
        <v>11395</v>
      </c>
      <c r="G2582" t="s">
        <v>1197</v>
      </c>
      <c r="H2582" t="s">
        <v>11396</v>
      </c>
      <c r="I2582">
        <v>12952</v>
      </c>
      <c r="J2582" t="s">
        <v>11395</v>
      </c>
      <c r="K2582" t="s">
        <v>11397</v>
      </c>
      <c r="L2582" t="s">
        <v>386</v>
      </c>
      <c r="M2582" t="s">
        <v>1193</v>
      </c>
      <c r="N2582">
        <v>12952</v>
      </c>
      <c r="O2582">
        <v>0</v>
      </c>
      <c r="Q2582" t="s">
        <v>11398</v>
      </c>
      <c r="R2582" t="s">
        <v>1208</v>
      </c>
      <c r="T2582">
        <v>571</v>
      </c>
      <c r="V2582" t="s">
        <v>2003</v>
      </c>
      <c r="W2582" t="s">
        <v>1530</v>
      </c>
      <c r="X2582">
        <v>103</v>
      </c>
      <c r="Z2582" t="s">
        <v>11399</v>
      </c>
      <c r="AA2582" t="s">
        <v>387</v>
      </c>
      <c r="AB2582">
        <v>0</v>
      </c>
      <c r="AC2582">
        <v>4862</v>
      </c>
      <c r="AD2582" t="s">
        <v>11400</v>
      </c>
      <c r="AE2582">
        <v>2250</v>
      </c>
      <c r="AF2582" t="s">
        <v>11401</v>
      </c>
      <c r="AG2582" t="s">
        <v>11402</v>
      </c>
      <c r="AH2582" t="s">
        <v>11403</v>
      </c>
    </row>
    <row r="2583" spans="1:34" x14ac:dyDescent="0.25">
      <c r="A2583">
        <v>1823</v>
      </c>
      <c r="C2583" s="185"/>
      <c r="E2583" t="s">
        <v>386</v>
      </c>
      <c r="F2583" t="s">
        <v>11404</v>
      </c>
      <c r="G2583" t="s">
        <v>1197</v>
      </c>
      <c r="H2583" t="s">
        <v>11405</v>
      </c>
      <c r="I2583">
        <v>17159</v>
      </c>
      <c r="J2583" t="s">
        <v>11404</v>
      </c>
      <c r="K2583" t="s">
        <v>11406</v>
      </c>
      <c r="L2583" t="s">
        <v>386</v>
      </c>
      <c r="M2583" t="s">
        <v>1193</v>
      </c>
      <c r="N2583">
        <v>17159</v>
      </c>
      <c r="O2583">
        <v>0</v>
      </c>
      <c r="Q2583" t="s">
        <v>11407</v>
      </c>
      <c r="T2583">
        <v>509</v>
      </c>
      <c r="V2583" t="s">
        <v>5803</v>
      </c>
      <c r="W2583" t="s">
        <v>5803</v>
      </c>
      <c r="X2583">
        <v>509</v>
      </c>
      <c r="Z2583" t="s">
        <v>1062</v>
      </c>
      <c r="AA2583" t="s">
        <v>387</v>
      </c>
      <c r="AB2583">
        <v>0</v>
      </c>
      <c r="AC2583">
        <v>6464</v>
      </c>
      <c r="AD2583" t="s">
        <v>11408</v>
      </c>
      <c r="AE2583">
        <v>2981</v>
      </c>
      <c r="AF2583" t="s">
        <v>11409</v>
      </c>
      <c r="AG2583" t="s">
        <v>11410</v>
      </c>
      <c r="AH2583" t="s">
        <v>11411</v>
      </c>
    </row>
    <row r="2584" spans="1:34" x14ac:dyDescent="0.25">
      <c r="A2584">
        <v>16</v>
      </c>
      <c r="C2584" s="185"/>
      <c r="E2584" t="s">
        <v>386</v>
      </c>
      <c r="F2584" t="s">
        <v>11412</v>
      </c>
      <c r="G2584" t="s">
        <v>1197</v>
      </c>
      <c r="H2584" t="s">
        <v>11413</v>
      </c>
      <c r="I2584">
        <v>17282</v>
      </c>
      <c r="J2584" t="s">
        <v>11412</v>
      </c>
      <c r="K2584" t="s">
        <v>11412</v>
      </c>
      <c r="L2584" t="s">
        <v>386</v>
      </c>
      <c r="M2584" t="s">
        <v>1193</v>
      </c>
      <c r="N2584">
        <v>17282</v>
      </c>
      <c r="O2584">
        <v>0</v>
      </c>
      <c r="Q2584" t="s">
        <v>11414</v>
      </c>
      <c r="T2584">
        <v>52</v>
      </c>
      <c r="V2584" t="s">
        <v>2024</v>
      </c>
      <c r="W2584" t="s">
        <v>1964</v>
      </c>
      <c r="X2584">
        <v>473</v>
      </c>
      <c r="Z2584" t="s">
        <v>7953</v>
      </c>
      <c r="AA2584" t="s">
        <v>387</v>
      </c>
      <c r="AB2584">
        <v>0</v>
      </c>
      <c r="AC2584">
        <v>2133</v>
      </c>
      <c r="AD2584" t="s">
        <v>11415</v>
      </c>
      <c r="AE2584">
        <v>1183</v>
      </c>
      <c r="AF2584" t="s">
        <v>11416</v>
      </c>
      <c r="AG2584" t="s">
        <v>2044</v>
      </c>
      <c r="AH2584" t="s">
        <v>11417</v>
      </c>
    </row>
    <row r="2585" spans="1:34" x14ac:dyDescent="0.25">
      <c r="A2585">
        <v>1414</v>
      </c>
      <c r="C2585" s="185"/>
      <c r="D2585" t="s">
        <v>157</v>
      </c>
      <c r="E2585" t="s">
        <v>386</v>
      </c>
      <c r="F2585" t="s">
        <v>372</v>
      </c>
      <c r="G2585" t="s">
        <v>1197</v>
      </c>
      <c r="H2585" t="s">
        <v>11418</v>
      </c>
      <c r="I2585">
        <v>14576</v>
      </c>
      <c r="J2585" t="s">
        <v>297</v>
      </c>
      <c r="K2585" t="s">
        <v>6041</v>
      </c>
      <c r="L2585" t="s">
        <v>386</v>
      </c>
      <c r="M2585" t="s">
        <v>1193</v>
      </c>
      <c r="N2585">
        <v>15355</v>
      </c>
      <c r="O2585">
        <v>61</v>
      </c>
      <c r="Q2585" t="s">
        <v>11419</v>
      </c>
      <c r="R2585" t="s">
        <v>398</v>
      </c>
      <c r="T2585">
        <v>260</v>
      </c>
      <c r="V2585" t="s">
        <v>1216</v>
      </c>
      <c r="W2585" t="s">
        <v>2073</v>
      </c>
      <c r="X2585">
        <v>372</v>
      </c>
      <c r="Z2585" t="s">
        <v>3034</v>
      </c>
      <c r="AA2585" t="s">
        <v>387</v>
      </c>
      <c r="AB2585">
        <v>0</v>
      </c>
      <c r="AC2585">
        <v>5542</v>
      </c>
      <c r="AD2585" t="s">
        <v>11420</v>
      </c>
      <c r="AE2585">
        <v>1482</v>
      </c>
      <c r="AF2585" t="s">
        <v>3922</v>
      </c>
      <c r="AG2585" t="s">
        <v>5805</v>
      </c>
      <c r="AH2585" t="s">
        <v>6046</v>
      </c>
    </row>
    <row r="2586" spans="1:34" x14ac:dyDescent="0.25">
      <c r="A2586">
        <v>1414</v>
      </c>
      <c r="C2586" s="185"/>
      <c r="E2586" t="s">
        <v>386</v>
      </c>
      <c r="F2586" t="s">
        <v>11421</v>
      </c>
      <c r="G2586" t="s">
        <v>1197</v>
      </c>
      <c r="H2586" t="s">
        <v>11422</v>
      </c>
      <c r="I2586">
        <v>15856</v>
      </c>
      <c r="J2586" t="s">
        <v>11421</v>
      </c>
      <c r="K2586" t="s">
        <v>11423</v>
      </c>
      <c r="L2586" t="s">
        <v>386</v>
      </c>
      <c r="M2586" t="s">
        <v>1193</v>
      </c>
      <c r="N2586">
        <v>15856</v>
      </c>
      <c r="O2586">
        <v>0</v>
      </c>
      <c r="Q2586" t="s">
        <v>11424</v>
      </c>
      <c r="R2586" t="s">
        <v>1208</v>
      </c>
      <c r="T2586">
        <v>571</v>
      </c>
      <c r="V2586" t="s">
        <v>2003</v>
      </c>
      <c r="W2586" t="s">
        <v>1199</v>
      </c>
      <c r="X2586">
        <v>200</v>
      </c>
      <c r="Z2586" t="s">
        <v>3034</v>
      </c>
      <c r="AA2586" t="s">
        <v>387</v>
      </c>
      <c r="AB2586">
        <v>0</v>
      </c>
      <c r="AC2586">
        <v>4270</v>
      </c>
      <c r="AD2586" t="s">
        <v>11425</v>
      </c>
      <c r="AE2586">
        <v>2751</v>
      </c>
      <c r="AF2586" t="s">
        <v>11426</v>
      </c>
      <c r="AG2586" t="s">
        <v>11427</v>
      </c>
      <c r="AH2586" t="s">
        <v>11428</v>
      </c>
    </row>
    <row r="2587" spans="1:34" x14ac:dyDescent="0.25">
      <c r="A2587">
        <v>1414</v>
      </c>
      <c r="C2587" s="185"/>
      <c r="D2587" t="s">
        <v>157</v>
      </c>
      <c r="E2587" t="s">
        <v>386</v>
      </c>
      <c r="F2587" t="s">
        <v>181</v>
      </c>
      <c r="G2587" t="s">
        <v>1197</v>
      </c>
      <c r="H2587" t="s">
        <v>11429</v>
      </c>
      <c r="I2587">
        <v>10456</v>
      </c>
      <c r="J2587" t="s">
        <v>181</v>
      </c>
      <c r="K2587" t="s">
        <v>11430</v>
      </c>
      <c r="L2587" t="s">
        <v>386</v>
      </c>
      <c r="M2587" t="s">
        <v>1193</v>
      </c>
      <c r="N2587">
        <v>10456</v>
      </c>
      <c r="O2587">
        <v>42</v>
      </c>
      <c r="Q2587" t="s">
        <v>11431</v>
      </c>
      <c r="T2587">
        <v>122</v>
      </c>
      <c r="V2587" t="s">
        <v>1988</v>
      </c>
      <c r="W2587" t="s">
        <v>3321</v>
      </c>
      <c r="X2587">
        <v>246</v>
      </c>
      <c r="Z2587" t="s">
        <v>3034</v>
      </c>
      <c r="AA2587" t="s">
        <v>387</v>
      </c>
      <c r="AB2587">
        <v>34000</v>
      </c>
      <c r="AC2587">
        <v>3780</v>
      </c>
      <c r="AD2587" t="s">
        <v>11432</v>
      </c>
      <c r="AE2587">
        <v>1198</v>
      </c>
      <c r="AF2587" t="s">
        <v>11433</v>
      </c>
      <c r="AG2587" t="s">
        <v>9724</v>
      </c>
      <c r="AH2587" t="s">
        <v>11434</v>
      </c>
    </row>
    <row r="2588" spans="1:34" x14ac:dyDescent="0.25">
      <c r="A2588">
        <v>1414</v>
      </c>
      <c r="B2588" t="s">
        <v>1313</v>
      </c>
      <c r="C2588" s="185"/>
      <c r="D2588" t="s">
        <v>24</v>
      </c>
      <c r="E2588" t="s">
        <v>386</v>
      </c>
      <c r="F2588" t="s">
        <v>226</v>
      </c>
      <c r="G2588" t="s">
        <v>1197</v>
      </c>
      <c r="H2588" t="s">
        <v>11435</v>
      </c>
      <c r="I2588">
        <v>11233</v>
      </c>
      <c r="J2588" t="s">
        <v>226</v>
      </c>
      <c r="K2588" t="s">
        <v>226</v>
      </c>
      <c r="L2588" t="s">
        <v>386</v>
      </c>
      <c r="M2588" t="s">
        <v>1193</v>
      </c>
      <c r="N2588">
        <v>11233</v>
      </c>
      <c r="O2588">
        <v>76</v>
      </c>
      <c r="Q2588" t="s">
        <v>11436</v>
      </c>
      <c r="R2588" t="s">
        <v>398</v>
      </c>
      <c r="S2588" t="s">
        <v>1909</v>
      </c>
      <c r="T2588">
        <v>220</v>
      </c>
      <c r="U2588">
        <v>0</v>
      </c>
      <c r="V2588" t="s">
        <v>1194</v>
      </c>
      <c r="W2588" t="s">
        <v>1194</v>
      </c>
      <c r="X2588">
        <v>220</v>
      </c>
      <c r="Y2588" t="s">
        <v>1317</v>
      </c>
      <c r="Z2588" t="s">
        <v>3034</v>
      </c>
      <c r="AA2588" t="s">
        <v>387</v>
      </c>
      <c r="AB2588">
        <v>0</v>
      </c>
      <c r="AC2588">
        <v>4303</v>
      </c>
      <c r="AD2588" t="s">
        <v>11437</v>
      </c>
      <c r="AE2588">
        <v>1988</v>
      </c>
      <c r="AF2588" t="s">
        <v>9350</v>
      </c>
      <c r="AG2588" t="s">
        <v>11438</v>
      </c>
      <c r="AH2588" t="s">
        <v>11439</v>
      </c>
    </row>
    <row r="2589" spans="1:34" x14ac:dyDescent="0.25">
      <c r="A2589">
        <v>1414</v>
      </c>
      <c r="C2589" s="185"/>
      <c r="D2589" t="s">
        <v>157</v>
      </c>
      <c r="E2589" t="s">
        <v>386</v>
      </c>
      <c r="F2589" t="s">
        <v>11440</v>
      </c>
      <c r="G2589" t="s">
        <v>1197</v>
      </c>
      <c r="H2589" t="s">
        <v>11441</v>
      </c>
      <c r="I2589">
        <v>9476</v>
      </c>
      <c r="J2589" t="s">
        <v>11440</v>
      </c>
      <c r="K2589" t="s">
        <v>11440</v>
      </c>
      <c r="L2589" t="s">
        <v>386</v>
      </c>
      <c r="M2589" t="s">
        <v>1193</v>
      </c>
      <c r="N2589">
        <v>9476</v>
      </c>
      <c r="O2589">
        <v>0</v>
      </c>
      <c r="Q2589" t="s">
        <v>11442</v>
      </c>
      <c r="R2589" t="s">
        <v>398</v>
      </c>
      <c r="T2589">
        <v>146</v>
      </c>
      <c r="V2589" t="s">
        <v>2727</v>
      </c>
      <c r="Z2589" t="s">
        <v>3034</v>
      </c>
      <c r="AA2589" t="s">
        <v>387</v>
      </c>
      <c r="AB2589">
        <v>0</v>
      </c>
      <c r="AC2589">
        <v>3786</v>
      </c>
      <c r="AD2589" t="s">
        <v>11443</v>
      </c>
      <c r="AE2589">
        <v>1749</v>
      </c>
      <c r="AF2589" t="s">
        <v>11444</v>
      </c>
    </row>
    <row r="2590" spans="1:34" x14ac:dyDescent="0.25">
      <c r="A2590">
        <v>1414</v>
      </c>
      <c r="C2590" s="185"/>
      <c r="E2590" t="s">
        <v>386</v>
      </c>
      <c r="F2590" t="s">
        <v>11445</v>
      </c>
      <c r="G2590" t="s">
        <v>1197</v>
      </c>
      <c r="H2590" t="s">
        <v>11446</v>
      </c>
      <c r="I2590">
        <v>7215</v>
      </c>
      <c r="J2590" t="s">
        <v>11445</v>
      </c>
      <c r="K2590" t="s">
        <v>7196</v>
      </c>
      <c r="L2590" t="s">
        <v>386</v>
      </c>
      <c r="M2590" t="s">
        <v>1193</v>
      </c>
      <c r="N2590">
        <v>7215</v>
      </c>
      <c r="O2590">
        <v>0</v>
      </c>
      <c r="Q2590" t="s">
        <v>11447</v>
      </c>
      <c r="R2590" t="s">
        <v>1223</v>
      </c>
      <c r="T2590">
        <v>260</v>
      </c>
      <c r="V2590" t="s">
        <v>1216</v>
      </c>
      <c r="W2590" t="s">
        <v>1199</v>
      </c>
      <c r="X2590">
        <v>200</v>
      </c>
      <c r="Z2590" t="s">
        <v>3034</v>
      </c>
      <c r="AA2590" t="s">
        <v>387</v>
      </c>
      <c r="AB2590">
        <v>0</v>
      </c>
      <c r="AC2590">
        <v>4463</v>
      </c>
      <c r="AD2590" t="s">
        <v>11448</v>
      </c>
      <c r="AE2590">
        <v>673</v>
      </c>
      <c r="AF2590" t="s">
        <v>11449</v>
      </c>
      <c r="AG2590" t="s">
        <v>3251</v>
      </c>
      <c r="AH2590" t="s">
        <v>11450</v>
      </c>
    </row>
    <row r="2591" spans="1:34" x14ac:dyDescent="0.25">
      <c r="A2591">
        <v>2042</v>
      </c>
      <c r="C2591" s="185"/>
      <c r="E2591" t="s">
        <v>386</v>
      </c>
      <c r="F2591" t="s">
        <v>11451</v>
      </c>
      <c r="G2591" t="s">
        <v>1197</v>
      </c>
      <c r="H2591" t="s">
        <v>11452</v>
      </c>
      <c r="I2591">
        <v>17177</v>
      </c>
      <c r="J2591" t="s">
        <v>11451</v>
      </c>
      <c r="K2591" t="s">
        <v>11453</v>
      </c>
      <c r="L2591" t="s">
        <v>386</v>
      </c>
      <c r="M2591" t="s">
        <v>1193</v>
      </c>
      <c r="N2591">
        <v>17177</v>
      </c>
      <c r="O2591">
        <v>0</v>
      </c>
      <c r="Q2591" t="s">
        <v>11454</v>
      </c>
      <c r="T2591">
        <v>473</v>
      </c>
      <c r="V2591" t="s">
        <v>1964</v>
      </c>
      <c r="W2591" t="s">
        <v>1964</v>
      </c>
      <c r="X2591">
        <v>473</v>
      </c>
      <c r="Z2591" t="s">
        <v>11455</v>
      </c>
      <c r="AA2591" t="s">
        <v>387</v>
      </c>
      <c r="AB2591">
        <v>0</v>
      </c>
      <c r="AC2591">
        <v>6472</v>
      </c>
      <c r="AD2591" t="s">
        <v>11456</v>
      </c>
      <c r="AE2591">
        <v>98</v>
      </c>
      <c r="AF2591" t="s">
        <v>4079</v>
      </c>
      <c r="AG2591" t="s">
        <v>11457</v>
      </c>
      <c r="AH2591" t="s">
        <v>11458</v>
      </c>
    </row>
    <row r="2592" spans="1:34" x14ac:dyDescent="0.25">
      <c r="A2592">
        <v>1849</v>
      </c>
      <c r="C2592" s="185"/>
      <c r="D2592" t="s">
        <v>24</v>
      </c>
      <c r="E2592" t="s">
        <v>386</v>
      </c>
      <c r="F2592" t="s">
        <v>11459</v>
      </c>
      <c r="G2592" t="s">
        <v>1197</v>
      </c>
      <c r="H2592" t="s">
        <v>11460</v>
      </c>
      <c r="I2592">
        <v>9191</v>
      </c>
      <c r="J2592" t="s">
        <v>11459</v>
      </c>
      <c r="K2592" t="s">
        <v>11461</v>
      </c>
      <c r="L2592" t="s">
        <v>386</v>
      </c>
      <c r="M2592" t="s">
        <v>1193</v>
      </c>
      <c r="N2592">
        <v>9191</v>
      </c>
      <c r="O2592">
        <v>76</v>
      </c>
      <c r="Q2592" t="s">
        <v>11462</v>
      </c>
      <c r="R2592" t="s">
        <v>398</v>
      </c>
      <c r="T2592">
        <v>220</v>
      </c>
      <c r="V2592" t="s">
        <v>1194</v>
      </c>
      <c r="W2592" t="s">
        <v>1194</v>
      </c>
      <c r="X2592">
        <v>220</v>
      </c>
      <c r="Z2592" t="s">
        <v>11463</v>
      </c>
      <c r="AA2592" t="s">
        <v>387</v>
      </c>
      <c r="AB2592">
        <v>69000</v>
      </c>
      <c r="AC2592">
        <v>3666</v>
      </c>
      <c r="AD2592" t="s">
        <v>11464</v>
      </c>
      <c r="AE2592">
        <v>18</v>
      </c>
      <c r="AF2592" t="s">
        <v>1259</v>
      </c>
      <c r="AH2592" t="s">
        <v>11465</v>
      </c>
    </row>
    <row r="2593" spans="1:34" x14ac:dyDescent="0.25">
      <c r="A2593">
        <v>2101</v>
      </c>
      <c r="C2593" s="185"/>
      <c r="E2593" t="s">
        <v>386</v>
      </c>
      <c r="F2593" t="s">
        <v>11466</v>
      </c>
      <c r="G2593" t="s">
        <v>1197</v>
      </c>
      <c r="H2593" t="s">
        <v>11467</v>
      </c>
      <c r="I2593">
        <v>14476</v>
      </c>
      <c r="J2593" t="s">
        <v>11466</v>
      </c>
      <c r="K2593" t="s">
        <v>11466</v>
      </c>
      <c r="L2593" t="s">
        <v>386</v>
      </c>
      <c r="M2593" t="s">
        <v>1193</v>
      </c>
      <c r="N2593">
        <v>14476</v>
      </c>
      <c r="O2593">
        <v>0</v>
      </c>
      <c r="Q2593" t="s">
        <v>11468</v>
      </c>
      <c r="R2593" t="s">
        <v>1208</v>
      </c>
      <c r="T2593">
        <v>103</v>
      </c>
      <c r="V2593" t="s">
        <v>1530</v>
      </c>
      <c r="W2593" t="s">
        <v>1530</v>
      </c>
      <c r="X2593">
        <v>103</v>
      </c>
      <c r="Z2593" t="s">
        <v>9387</v>
      </c>
      <c r="AA2593" t="s">
        <v>387</v>
      </c>
      <c r="AB2593">
        <v>0</v>
      </c>
      <c r="AC2593">
        <v>5500</v>
      </c>
      <c r="AD2593" t="s">
        <v>11469</v>
      </c>
      <c r="AE2593">
        <v>2548</v>
      </c>
      <c r="AF2593" t="s">
        <v>11470</v>
      </c>
      <c r="AG2593" t="s">
        <v>11471</v>
      </c>
      <c r="AH2593" t="s">
        <v>11472</v>
      </c>
    </row>
    <row r="2594" spans="1:34" x14ac:dyDescent="0.25">
      <c r="A2594">
        <v>1316</v>
      </c>
      <c r="C2594" s="185"/>
      <c r="D2594" t="s">
        <v>157</v>
      </c>
      <c r="E2594" t="s">
        <v>386</v>
      </c>
      <c r="F2594" t="s">
        <v>374</v>
      </c>
      <c r="G2594" t="s">
        <v>1197</v>
      </c>
      <c r="H2594" t="s">
        <v>11473</v>
      </c>
      <c r="I2594">
        <v>14596</v>
      </c>
      <c r="J2594" t="s">
        <v>393</v>
      </c>
      <c r="K2594" t="s">
        <v>11474</v>
      </c>
      <c r="L2594" t="s">
        <v>386</v>
      </c>
      <c r="M2594" t="s">
        <v>1193</v>
      </c>
      <c r="N2594">
        <v>15360</v>
      </c>
      <c r="O2594">
        <v>0</v>
      </c>
      <c r="Q2594" t="s">
        <v>11475</v>
      </c>
      <c r="T2594">
        <v>372</v>
      </c>
      <c r="V2594" t="s">
        <v>2073</v>
      </c>
      <c r="W2594" t="s">
        <v>2107</v>
      </c>
      <c r="X2594">
        <v>272</v>
      </c>
      <c r="Z2594" t="s">
        <v>11476</v>
      </c>
      <c r="AA2594" t="s">
        <v>387</v>
      </c>
      <c r="AB2594">
        <v>53000</v>
      </c>
      <c r="AC2594">
        <v>5299</v>
      </c>
      <c r="AD2594" t="s">
        <v>11477</v>
      </c>
      <c r="AE2594">
        <v>1</v>
      </c>
      <c r="AF2594" t="s">
        <v>1922</v>
      </c>
      <c r="AG2594" t="s">
        <v>11478</v>
      </c>
    </row>
    <row r="2595" spans="1:34" x14ac:dyDescent="0.25">
      <c r="A2595">
        <v>1316</v>
      </c>
      <c r="C2595" s="185"/>
      <c r="E2595" t="s">
        <v>386</v>
      </c>
      <c r="F2595" t="s">
        <v>11479</v>
      </c>
      <c r="G2595" t="s">
        <v>1197</v>
      </c>
      <c r="H2595" t="s">
        <v>11473</v>
      </c>
      <c r="I2595">
        <v>17650</v>
      </c>
      <c r="J2595" t="s">
        <v>11479</v>
      </c>
      <c r="K2595" t="s">
        <v>11480</v>
      </c>
      <c r="L2595" t="s">
        <v>386</v>
      </c>
      <c r="M2595" t="s">
        <v>1193</v>
      </c>
      <c r="N2595">
        <v>17650</v>
      </c>
      <c r="O2595">
        <v>0</v>
      </c>
      <c r="Q2595" t="s">
        <v>11481</v>
      </c>
      <c r="R2595" t="s">
        <v>398</v>
      </c>
      <c r="T2595">
        <v>556</v>
      </c>
      <c r="V2595" t="s">
        <v>4502</v>
      </c>
      <c r="W2595" t="s">
        <v>4502</v>
      </c>
      <c r="X2595">
        <v>556</v>
      </c>
      <c r="Z2595" t="s">
        <v>11476</v>
      </c>
      <c r="AA2595" t="s">
        <v>387</v>
      </c>
      <c r="AB2595">
        <v>0</v>
      </c>
      <c r="AC2595">
        <v>2839</v>
      </c>
      <c r="AD2595" t="s">
        <v>3051</v>
      </c>
      <c r="AE2595">
        <v>1</v>
      </c>
      <c r="AF2595" t="s">
        <v>1922</v>
      </c>
      <c r="AG2595" t="s">
        <v>11482</v>
      </c>
      <c r="AH2595" t="s">
        <v>11483</v>
      </c>
    </row>
    <row r="2596" spans="1:34" x14ac:dyDescent="0.25">
      <c r="A2596">
        <v>1316</v>
      </c>
      <c r="B2596" t="s">
        <v>1313</v>
      </c>
      <c r="C2596" s="185"/>
      <c r="D2596" t="s">
        <v>24</v>
      </c>
      <c r="E2596" t="s">
        <v>386</v>
      </c>
      <c r="F2596" t="s">
        <v>11484</v>
      </c>
      <c r="G2596" t="s">
        <v>1197</v>
      </c>
      <c r="H2596" t="s">
        <v>11473</v>
      </c>
      <c r="I2596">
        <v>14018</v>
      </c>
      <c r="J2596" t="s">
        <v>11484</v>
      </c>
      <c r="K2596" t="s">
        <v>11485</v>
      </c>
      <c r="L2596" t="s">
        <v>386</v>
      </c>
      <c r="M2596" t="s">
        <v>1193</v>
      </c>
      <c r="N2596">
        <v>14018</v>
      </c>
      <c r="O2596">
        <v>76</v>
      </c>
      <c r="Q2596" t="s">
        <v>11486</v>
      </c>
      <c r="R2596" t="s">
        <v>398</v>
      </c>
      <c r="S2596" t="s">
        <v>6563</v>
      </c>
      <c r="T2596">
        <v>220</v>
      </c>
      <c r="U2596">
        <v>0</v>
      </c>
      <c r="V2596" t="s">
        <v>1194</v>
      </c>
      <c r="W2596" t="s">
        <v>2107</v>
      </c>
      <c r="X2596">
        <v>272</v>
      </c>
      <c r="Y2596" t="s">
        <v>1317</v>
      </c>
      <c r="Z2596" t="s">
        <v>11476</v>
      </c>
      <c r="AA2596" t="s">
        <v>387</v>
      </c>
      <c r="AB2596">
        <v>0</v>
      </c>
      <c r="AC2596">
        <v>5299</v>
      </c>
      <c r="AD2596" t="s">
        <v>11477</v>
      </c>
      <c r="AE2596">
        <v>2462</v>
      </c>
      <c r="AF2596" t="s">
        <v>11487</v>
      </c>
      <c r="AG2596" t="s">
        <v>3062</v>
      </c>
      <c r="AH2596" t="s">
        <v>11488</v>
      </c>
    </row>
    <row r="2597" spans="1:34" x14ac:dyDescent="0.25">
      <c r="A2597">
        <v>1316</v>
      </c>
      <c r="C2597" s="185"/>
      <c r="E2597" t="s">
        <v>386</v>
      </c>
      <c r="F2597" t="s">
        <v>11489</v>
      </c>
      <c r="G2597" t="s">
        <v>1197</v>
      </c>
      <c r="H2597" t="s">
        <v>11473</v>
      </c>
      <c r="I2597">
        <v>14499</v>
      </c>
      <c r="J2597" t="s">
        <v>11489</v>
      </c>
      <c r="K2597" t="s">
        <v>11490</v>
      </c>
      <c r="L2597" t="s">
        <v>386</v>
      </c>
      <c r="M2597" t="s">
        <v>1193</v>
      </c>
      <c r="N2597">
        <v>14499</v>
      </c>
      <c r="O2597">
        <v>0</v>
      </c>
      <c r="Q2597" t="s">
        <v>11491</v>
      </c>
      <c r="T2597">
        <v>571</v>
      </c>
      <c r="V2597" t="s">
        <v>2003</v>
      </c>
      <c r="W2597" t="s">
        <v>3129</v>
      </c>
      <c r="X2597">
        <v>435</v>
      </c>
      <c r="Z2597" t="s">
        <v>11476</v>
      </c>
      <c r="AA2597" t="s">
        <v>387</v>
      </c>
      <c r="AB2597">
        <v>0</v>
      </c>
      <c r="AC2597">
        <v>5510</v>
      </c>
      <c r="AD2597" t="s">
        <v>3508</v>
      </c>
      <c r="AE2597">
        <v>1520</v>
      </c>
      <c r="AF2597" t="s">
        <v>10137</v>
      </c>
      <c r="AG2597" t="s">
        <v>11492</v>
      </c>
      <c r="AH2597" t="s">
        <v>11493</v>
      </c>
    </row>
    <row r="2598" spans="1:34" x14ac:dyDescent="0.25">
      <c r="A2598">
        <v>1</v>
      </c>
      <c r="C2598" s="185"/>
      <c r="E2598" t="s">
        <v>386</v>
      </c>
      <c r="F2598" t="s">
        <v>11494</v>
      </c>
      <c r="G2598" t="s">
        <v>1197</v>
      </c>
      <c r="H2598" t="s">
        <v>11495</v>
      </c>
      <c r="I2598">
        <v>14675</v>
      </c>
      <c r="J2598" t="s">
        <v>11494</v>
      </c>
      <c r="K2598" t="s">
        <v>11496</v>
      </c>
      <c r="L2598" t="s">
        <v>386</v>
      </c>
      <c r="M2598" t="s">
        <v>1193</v>
      </c>
      <c r="N2598">
        <v>14675</v>
      </c>
      <c r="O2598">
        <v>0</v>
      </c>
      <c r="Q2598" t="s">
        <v>11497</v>
      </c>
      <c r="R2598" t="s">
        <v>1208</v>
      </c>
      <c r="T2598">
        <v>39</v>
      </c>
      <c r="V2598" t="s">
        <v>2144</v>
      </c>
      <c r="W2598" t="s">
        <v>1216</v>
      </c>
      <c r="X2598">
        <v>260</v>
      </c>
      <c r="Z2598" t="s">
        <v>865</v>
      </c>
      <c r="AA2598" t="s">
        <v>387</v>
      </c>
      <c r="AB2598">
        <v>0</v>
      </c>
      <c r="AC2598">
        <v>589</v>
      </c>
      <c r="AD2598" t="s">
        <v>11498</v>
      </c>
      <c r="AE2598">
        <v>3</v>
      </c>
      <c r="AF2598" t="s">
        <v>1235</v>
      </c>
      <c r="AG2598" t="s">
        <v>4044</v>
      </c>
      <c r="AH2598" t="s">
        <v>11499</v>
      </c>
    </row>
    <row r="2599" spans="1:34" x14ac:dyDescent="0.25">
      <c r="A2599">
        <v>1793</v>
      </c>
      <c r="C2599" s="185"/>
      <c r="E2599" t="s">
        <v>386</v>
      </c>
      <c r="F2599" t="s">
        <v>11500</v>
      </c>
      <c r="G2599" t="s">
        <v>1238</v>
      </c>
      <c r="H2599" t="s">
        <v>11501</v>
      </c>
      <c r="I2599">
        <v>15423</v>
      </c>
      <c r="J2599" t="s">
        <v>11500</v>
      </c>
      <c r="K2599" t="s">
        <v>11502</v>
      </c>
      <c r="L2599" t="s">
        <v>386</v>
      </c>
      <c r="M2599" t="s">
        <v>1184</v>
      </c>
      <c r="N2599">
        <v>15423</v>
      </c>
      <c r="O2599">
        <v>0</v>
      </c>
      <c r="Q2599" t="s">
        <v>11503</v>
      </c>
      <c r="T2599">
        <v>260</v>
      </c>
      <c r="V2599" t="s">
        <v>1216</v>
      </c>
      <c r="W2599" t="s">
        <v>1216</v>
      </c>
      <c r="X2599">
        <v>260</v>
      </c>
      <c r="Z2599" t="s">
        <v>3442</v>
      </c>
      <c r="AA2599" t="s">
        <v>387</v>
      </c>
      <c r="AB2599">
        <v>0</v>
      </c>
      <c r="AC2599">
        <v>5832</v>
      </c>
      <c r="AD2599" t="s">
        <v>8233</v>
      </c>
      <c r="AE2599">
        <v>18</v>
      </c>
      <c r="AF2599" t="s">
        <v>1259</v>
      </c>
      <c r="AG2599" t="s">
        <v>4930</v>
      </c>
      <c r="AH2599" t="s">
        <v>11504</v>
      </c>
    </row>
    <row r="2600" spans="1:34" x14ac:dyDescent="0.25">
      <c r="A2600">
        <v>2017</v>
      </c>
      <c r="B2600" t="s">
        <v>1313</v>
      </c>
      <c r="C2600" s="185"/>
      <c r="D2600" t="s">
        <v>24</v>
      </c>
      <c r="E2600" t="s">
        <v>386</v>
      </c>
      <c r="F2600" t="s">
        <v>367</v>
      </c>
      <c r="G2600" t="s">
        <v>1197</v>
      </c>
      <c r="H2600" t="s">
        <v>11505</v>
      </c>
      <c r="I2600">
        <v>12741</v>
      </c>
      <c r="J2600" t="s">
        <v>276</v>
      </c>
      <c r="K2600" t="s">
        <v>11252</v>
      </c>
      <c r="L2600" t="s">
        <v>386</v>
      </c>
      <c r="M2600" t="s">
        <v>1193</v>
      </c>
      <c r="N2600">
        <v>15334</v>
      </c>
      <c r="O2600">
        <v>76</v>
      </c>
      <c r="Q2600" t="s">
        <v>11506</v>
      </c>
      <c r="R2600" t="s">
        <v>398</v>
      </c>
      <c r="S2600" t="s">
        <v>10109</v>
      </c>
      <c r="T2600">
        <v>220</v>
      </c>
      <c r="U2600">
        <v>0</v>
      </c>
      <c r="V2600" t="s">
        <v>1194</v>
      </c>
      <c r="W2600" t="s">
        <v>1216</v>
      </c>
      <c r="X2600">
        <v>260</v>
      </c>
      <c r="Y2600" t="s">
        <v>1317</v>
      </c>
      <c r="Z2600" t="s">
        <v>966</v>
      </c>
      <c r="AA2600" t="s">
        <v>387</v>
      </c>
      <c r="AB2600">
        <v>0</v>
      </c>
      <c r="AC2600">
        <v>4759</v>
      </c>
      <c r="AD2600" t="s">
        <v>11507</v>
      </c>
      <c r="AE2600">
        <v>3</v>
      </c>
      <c r="AF2600" t="s">
        <v>1235</v>
      </c>
      <c r="AG2600" t="s">
        <v>2044</v>
      </c>
      <c r="AH2600" t="s">
        <v>11508</v>
      </c>
    </row>
    <row r="2601" spans="1:34" x14ac:dyDescent="0.25">
      <c r="A2601">
        <v>2215</v>
      </c>
      <c r="C2601" s="185"/>
      <c r="E2601" t="s">
        <v>386</v>
      </c>
      <c r="F2601" t="s">
        <v>11509</v>
      </c>
      <c r="G2601" t="s">
        <v>1197</v>
      </c>
      <c r="H2601" t="s">
        <v>11510</v>
      </c>
      <c r="I2601">
        <v>17210</v>
      </c>
      <c r="J2601" t="s">
        <v>11509</v>
      </c>
      <c r="K2601" t="s">
        <v>11511</v>
      </c>
      <c r="L2601" t="s">
        <v>386</v>
      </c>
      <c r="M2601" t="s">
        <v>1193</v>
      </c>
      <c r="N2601">
        <v>17210</v>
      </c>
      <c r="O2601">
        <v>76</v>
      </c>
      <c r="Q2601" t="s">
        <v>11512</v>
      </c>
      <c r="R2601" t="s">
        <v>398</v>
      </c>
      <c r="T2601">
        <v>220</v>
      </c>
      <c r="V2601" t="s">
        <v>1194</v>
      </c>
      <c r="W2601" t="s">
        <v>1194</v>
      </c>
      <c r="X2601">
        <v>220</v>
      </c>
      <c r="Z2601" t="s">
        <v>11513</v>
      </c>
      <c r="AA2601" t="s">
        <v>387</v>
      </c>
      <c r="AB2601">
        <v>0</v>
      </c>
      <c r="AC2601">
        <v>1792</v>
      </c>
      <c r="AD2601" t="s">
        <v>9136</v>
      </c>
      <c r="AE2601">
        <v>18</v>
      </c>
      <c r="AF2601" t="s">
        <v>1259</v>
      </c>
      <c r="AG2601" t="s">
        <v>1244</v>
      </c>
      <c r="AH2601" t="s">
        <v>11514</v>
      </c>
    </row>
    <row r="2602" spans="1:34" x14ac:dyDescent="0.25">
      <c r="A2602">
        <v>1</v>
      </c>
      <c r="C2602" s="185"/>
      <c r="E2602" t="s">
        <v>386</v>
      </c>
      <c r="F2602" t="s">
        <v>11515</v>
      </c>
      <c r="G2602" t="s">
        <v>1197</v>
      </c>
      <c r="H2602" t="s">
        <v>9876</v>
      </c>
      <c r="I2602">
        <v>16767</v>
      </c>
      <c r="J2602" t="s">
        <v>11515</v>
      </c>
      <c r="K2602" t="s">
        <v>11516</v>
      </c>
      <c r="L2602" t="s">
        <v>386</v>
      </c>
      <c r="M2602" t="s">
        <v>1193</v>
      </c>
      <c r="N2602">
        <v>16767</v>
      </c>
      <c r="O2602">
        <v>0</v>
      </c>
      <c r="Q2602" t="s">
        <v>11517</v>
      </c>
      <c r="R2602" t="s">
        <v>1208</v>
      </c>
      <c r="T2602">
        <v>103</v>
      </c>
      <c r="V2602" t="s">
        <v>1530</v>
      </c>
      <c r="W2602" t="s">
        <v>1530</v>
      </c>
      <c r="X2602">
        <v>103</v>
      </c>
      <c r="Z2602" t="s">
        <v>865</v>
      </c>
      <c r="AA2602" t="s">
        <v>387</v>
      </c>
      <c r="AB2602">
        <v>0</v>
      </c>
      <c r="AC2602">
        <v>6240</v>
      </c>
      <c r="AD2602" t="s">
        <v>4304</v>
      </c>
      <c r="AE2602">
        <v>325</v>
      </c>
      <c r="AF2602" t="s">
        <v>4305</v>
      </c>
      <c r="AG2602" t="s">
        <v>11518</v>
      </c>
      <c r="AH2602" t="s">
        <v>11519</v>
      </c>
    </row>
    <row r="2603" spans="1:34" x14ac:dyDescent="0.25">
      <c r="A2603">
        <v>1</v>
      </c>
      <c r="C2603" s="185"/>
      <c r="E2603" t="s">
        <v>386</v>
      </c>
      <c r="F2603" t="s">
        <v>11520</v>
      </c>
      <c r="G2603" t="s">
        <v>1197</v>
      </c>
      <c r="H2603" t="s">
        <v>11521</v>
      </c>
      <c r="I2603">
        <v>16914</v>
      </c>
      <c r="J2603" t="s">
        <v>11520</v>
      </c>
      <c r="K2603" t="s">
        <v>11522</v>
      </c>
      <c r="L2603" t="s">
        <v>386</v>
      </c>
      <c r="M2603" t="s">
        <v>1193</v>
      </c>
      <c r="N2603">
        <v>16914</v>
      </c>
      <c r="O2603">
        <v>0</v>
      </c>
      <c r="Q2603" t="s">
        <v>11523</v>
      </c>
      <c r="T2603">
        <v>260</v>
      </c>
      <c r="V2603" t="s">
        <v>1216</v>
      </c>
      <c r="W2603" t="s">
        <v>1215</v>
      </c>
      <c r="X2603">
        <v>259</v>
      </c>
      <c r="Z2603" t="s">
        <v>865</v>
      </c>
      <c r="AA2603" t="s">
        <v>387</v>
      </c>
      <c r="AB2603">
        <v>0</v>
      </c>
      <c r="AC2603">
        <v>6294</v>
      </c>
      <c r="AD2603" t="s">
        <v>11524</v>
      </c>
      <c r="AE2603">
        <v>2</v>
      </c>
      <c r="AF2603" t="s">
        <v>2919</v>
      </c>
      <c r="AG2603" t="s">
        <v>4093</v>
      </c>
      <c r="AH2603" t="s">
        <v>11525</v>
      </c>
    </row>
    <row r="2604" spans="1:34" x14ac:dyDescent="0.25">
      <c r="A2604">
        <v>2088</v>
      </c>
      <c r="C2604" s="185"/>
      <c r="D2604" t="s">
        <v>157</v>
      </c>
      <c r="E2604" t="s">
        <v>386</v>
      </c>
      <c r="F2604" t="s">
        <v>268</v>
      </c>
      <c r="G2604" t="s">
        <v>1197</v>
      </c>
      <c r="H2604" t="s">
        <v>9861</v>
      </c>
      <c r="I2604">
        <v>14258</v>
      </c>
      <c r="J2604" t="s">
        <v>268</v>
      </c>
      <c r="K2604" t="s">
        <v>11526</v>
      </c>
      <c r="L2604" t="s">
        <v>386</v>
      </c>
      <c r="M2604" t="s">
        <v>1193</v>
      </c>
      <c r="N2604">
        <v>14258</v>
      </c>
      <c r="O2604">
        <v>25</v>
      </c>
      <c r="Q2604" t="s">
        <v>11527</v>
      </c>
      <c r="R2604" t="s">
        <v>398</v>
      </c>
      <c r="T2604">
        <v>260</v>
      </c>
      <c r="V2604" t="s">
        <v>1216</v>
      </c>
      <c r="W2604" t="s">
        <v>2107</v>
      </c>
      <c r="X2604">
        <v>272</v>
      </c>
      <c r="Z2604" t="s">
        <v>9864</v>
      </c>
      <c r="AA2604" t="s">
        <v>387</v>
      </c>
      <c r="AB2604">
        <v>0</v>
      </c>
      <c r="AC2604">
        <v>5401</v>
      </c>
      <c r="AD2604" t="s">
        <v>4012</v>
      </c>
      <c r="AE2604">
        <v>1</v>
      </c>
      <c r="AF2604" t="s">
        <v>1922</v>
      </c>
      <c r="AG2604" t="s">
        <v>11528</v>
      </c>
      <c r="AH2604" t="s">
        <v>11529</v>
      </c>
    </row>
    <row r="2605" spans="1:34" x14ac:dyDescent="0.25">
      <c r="A2605">
        <v>676</v>
      </c>
      <c r="C2605" s="185"/>
      <c r="E2605" t="s">
        <v>386</v>
      </c>
      <c r="F2605" t="s">
        <v>11530</v>
      </c>
      <c r="G2605" t="s">
        <v>1238</v>
      </c>
      <c r="H2605" t="s">
        <v>6972</v>
      </c>
      <c r="I2605">
        <v>14357</v>
      </c>
      <c r="J2605" t="s">
        <v>11530</v>
      </c>
      <c r="K2605" t="s">
        <v>11531</v>
      </c>
      <c r="L2605" t="s">
        <v>386</v>
      </c>
      <c r="M2605" t="s">
        <v>1184</v>
      </c>
      <c r="N2605">
        <v>14357</v>
      </c>
      <c r="O2605">
        <v>0</v>
      </c>
      <c r="Q2605" t="s">
        <v>11532</v>
      </c>
      <c r="T2605">
        <v>260</v>
      </c>
      <c r="V2605" t="s">
        <v>1216</v>
      </c>
      <c r="W2605" t="s">
        <v>1216</v>
      </c>
      <c r="X2605">
        <v>260</v>
      </c>
      <c r="Z2605" t="s">
        <v>6975</v>
      </c>
      <c r="AA2605" t="s">
        <v>387</v>
      </c>
      <c r="AB2605">
        <v>0</v>
      </c>
      <c r="AC2605">
        <v>5450</v>
      </c>
      <c r="AD2605" t="s">
        <v>11533</v>
      </c>
      <c r="AE2605">
        <v>18</v>
      </c>
      <c r="AF2605" t="s">
        <v>1259</v>
      </c>
      <c r="AG2605" t="s">
        <v>1244</v>
      </c>
    </row>
    <row r="2606" spans="1:34" x14ac:dyDescent="0.25">
      <c r="A2606">
        <v>1682</v>
      </c>
      <c r="C2606" s="185"/>
      <c r="E2606" t="s">
        <v>386</v>
      </c>
      <c r="F2606" t="s">
        <v>11534</v>
      </c>
      <c r="G2606" t="s">
        <v>1197</v>
      </c>
      <c r="H2606" t="s">
        <v>6752</v>
      </c>
      <c r="I2606">
        <v>5453</v>
      </c>
      <c r="J2606" t="s">
        <v>11534</v>
      </c>
      <c r="K2606" t="s">
        <v>11535</v>
      </c>
      <c r="L2606" t="s">
        <v>386</v>
      </c>
      <c r="M2606" t="s">
        <v>1193</v>
      </c>
      <c r="N2606">
        <v>5453</v>
      </c>
      <c r="O2606">
        <v>0</v>
      </c>
      <c r="Q2606" t="s">
        <v>11536</v>
      </c>
      <c r="T2606">
        <v>496</v>
      </c>
      <c r="V2606" t="s">
        <v>2246</v>
      </c>
      <c r="W2606" t="s">
        <v>1200</v>
      </c>
      <c r="X2606">
        <v>340</v>
      </c>
      <c r="Z2606" t="s">
        <v>6754</v>
      </c>
      <c r="AA2606" t="s">
        <v>387</v>
      </c>
      <c r="AB2606">
        <v>0</v>
      </c>
      <c r="AC2606">
        <v>6330</v>
      </c>
      <c r="AD2606" t="s">
        <v>11537</v>
      </c>
      <c r="AE2606">
        <v>1808</v>
      </c>
      <c r="AF2606" t="s">
        <v>11538</v>
      </c>
      <c r="AG2606" t="s">
        <v>1244</v>
      </c>
      <c r="AH2606" t="s">
        <v>11539</v>
      </c>
    </row>
    <row r="2607" spans="1:34" x14ac:dyDescent="0.25">
      <c r="A2607">
        <v>197</v>
      </c>
      <c r="C2607" s="185"/>
      <c r="E2607" t="s">
        <v>386</v>
      </c>
      <c r="F2607" t="s">
        <v>11540</v>
      </c>
      <c r="G2607" t="s">
        <v>1197</v>
      </c>
      <c r="H2607" t="s">
        <v>11541</v>
      </c>
      <c r="I2607">
        <v>13127</v>
      </c>
      <c r="J2607" t="s">
        <v>11540</v>
      </c>
      <c r="K2607" t="s">
        <v>11542</v>
      </c>
      <c r="L2607" t="s">
        <v>386</v>
      </c>
      <c r="M2607" t="s">
        <v>1193</v>
      </c>
      <c r="N2607">
        <v>13127</v>
      </c>
      <c r="O2607">
        <v>0</v>
      </c>
      <c r="Q2607" t="s">
        <v>11543</v>
      </c>
      <c r="R2607" t="s">
        <v>398</v>
      </c>
      <c r="T2607">
        <v>571</v>
      </c>
      <c r="V2607" t="s">
        <v>2003</v>
      </c>
      <c r="W2607" t="s">
        <v>2073</v>
      </c>
      <c r="X2607">
        <v>372</v>
      </c>
      <c r="Z2607" t="s">
        <v>1006</v>
      </c>
      <c r="AA2607" t="s">
        <v>387</v>
      </c>
      <c r="AB2607">
        <v>0</v>
      </c>
      <c r="AC2607">
        <v>4425</v>
      </c>
      <c r="AD2607" t="s">
        <v>11544</v>
      </c>
      <c r="AE2607">
        <v>155</v>
      </c>
      <c r="AF2607" t="s">
        <v>5198</v>
      </c>
      <c r="AG2607" t="s">
        <v>11545</v>
      </c>
    </row>
    <row r="2608" spans="1:34" x14ac:dyDescent="0.25">
      <c r="A2608">
        <v>197</v>
      </c>
      <c r="C2608" s="185"/>
      <c r="E2608" t="s">
        <v>386</v>
      </c>
      <c r="F2608" t="s">
        <v>11546</v>
      </c>
      <c r="G2608" t="s">
        <v>1197</v>
      </c>
      <c r="H2608" t="s">
        <v>11547</v>
      </c>
      <c r="I2608">
        <v>15068</v>
      </c>
      <c r="J2608" t="s">
        <v>11546</v>
      </c>
      <c r="K2608" t="s">
        <v>11548</v>
      </c>
      <c r="L2608" t="s">
        <v>386</v>
      </c>
      <c r="M2608" t="s">
        <v>1193</v>
      </c>
      <c r="N2608">
        <v>15068</v>
      </c>
      <c r="O2608">
        <v>0</v>
      </c>
      <c r="Q2608" t="s">
        <v>11549</v>
      </c>
      <c r="T2608">
        <v>340</v>
      </c>
      <c r="V2608" t="s">
        <v>1200</v>
      </c>
      <c r="W2608" t="s">
        <v>3202</v>
      </c>
      <c r="X2608">
        <v>280</v>
      </c>
      <c r="Z2608" t="s">
        <v>1006</v>
      </c>
      <c r="AA2608" t="s">
        <v>387</v>
      </c>
      <c r="AB2608">
        <v>0</v>
      </c>
      <c r="AC2608">
        <v>5725</v>
      </c>
      <c r="AD2608" t="s">
        <v>11550</v>
      </c>
      <c r="AE2608">
        <v>2912</v>
      </c>
      <c r="AF2608" t="s">
        <v>11551</v>
      </c>
      <c r="AG2608" t="s">
        <v>11552</v>
      </c>
      <c r="AH2608" t="s">
        <v>11553</v>
      </c>
    </row>
    <row r="2609" spans="1:34" x14ac:dyDescent="0.25">
      <c r="A2609">
        <v>197</v>
      </c>
      <c r="B2609" t="s">
        <v>1313</v>
      </c>
      <c r="C2609" s="185">
        <v>37666</v>
      </c>
      <c r="D2609" t="s">
        <v>24</v>
      </c>
      <c r="E2609" t="s">
        <v>386</v>
      </c>
      <c r="F2609" t="s">
        <v>745</v>
      </c>
      <c r="G2609" t="s">
        <v>1197</v>
      </c>
      <c r="H2609" t="s">
        <v>11554</v>
      </c>
      <c r="I2609">
        <v>8855</v>
      </c>
      <c r="J2609" t="s">
        <v>745</v>
      </c>
      <c r="K2609" t="s">
        <v>11555</v>
      </c>
      <c r="L2609" t="s">
        <v>386</v>
      </c>
      <c r="M2609" t="s">
        <v>1193</v>
      </c>
      <c r="N2609">
        <v>8855</v>
      </c>
      <c r="O2609">
        <v>76</v>
      </c>
      <c r="Q2609" t="s">
        <v>11556</v>
      </c>
      <c r="R2609" t="s">
        <v>398</v>
      </c>
      <c r="S2609" t="s">
        <v>11557</v>
      </c>
      <c r="T2609">
        <v>220</v>
      </c>
      <c r="U2609">
        <v>0</v>
      </c>
      <c r="V2609" t="s">
        <v>1194</v>
      </c>
      <c r="W2609" t="s">
        <v>1530</v>
      </c>
      <c r="X2609">
        <v>103</v>
      </c>
      <c r="Y2609" t="s">
        <v>1317</v>
      </c>
      <c r="Z2609" t="s">
        <v>1006</v>
      </c>
      <c r="AA2609" t="s">
        <v>387</v>
      </c>
      <c r="AB2609">
        <v>0</v>
      </c>
      <c r="AC2609">
        <v>1824</v>
      </c>
      <c r="AD2609" t="s">
        <v>2675</v>
      </c>
      <c r="AE2609">
        <v>375</v>
      </c>
      <c r="AF2609" t="s">
        <v>11558</v>
      </c>
      <c r="AG2609" t="s">
        <v>2044</v>
      </c>
      <c r="AH2609" t="s">
        <v>11559</v>
      </c>
    </row>
    <row r="2610" spans="1:34" x14ac:dyDescent="0.25">
      <c r="A2610">
        <v>1</v>
      </c>
      <c r="C2610" s="185"/>
      <c r="E2610" t="s">
        <v>386</v>
      </c>
      <c r="F2610" t="s">
        <v>11560</v>
      </c>
      <c r="G2610" t="s">
        <v>1197</v>
      </c>
      <c r="H2610" t="s">
        <v>11561</v>
      </c>
      <c r="I2610">
        <v>16812</v>
      </c>
      <c r="J2610" t="s">
        <v>11560</v>
      </c>
      <c r="K2610" t="s">
        <v>11560</v>
      </c>
      <c r="L2610" t="s">
        <v>386</v>
      </c>
      <c r="M2610" t="s">
        <v>1193</v>
      </c>
      <c r="N2610">
        <v>16812</v>
      </c>
      <c r="O2610">
        <v>0</v>
      </c>
      <c r="Q2610" t="s">
        <v>11562</v>
      </c>
      <c r="T2610">
        <v>560</v>
      </c>
      <c r="V2610" t="s">
        <v>2602</v>
      </c>
      <c r="W2610" t="s">
        <v>2602</v>
      </c>
      <c r="X2610">
        <v>560</v>
      </c>
      <c r="Z2610" t="s">
        <v>865</v>
      </c>
      <c r="AA2610" t="s">
        <v>387</v>
      </c>
      <c r="AB2610">
        <v>0</v>
      </c>
      <c r="AC2610">
        <v>6251</v>
      </c>
      <c r="AD2610" t="s">
        <v>11563</v>
      </c>
      <c r="AE2610">
        <v>1358</v>
      </c>
      <c r="AF2610" t="s">
        <v>3471</v>
      </c>
      <c r="AG2610" t="s">
        <v>2702</v>
      </c>
      <c r="AH2610" t="s">
        <v>11564</v>
      </c>
    </row>
    <row r="2611" spans="1:34" x14ac:dyDescent="0.25">
      <c r="A2611">
        <v>61</v>
      </c>
      <c r="B2611" t="s">
        <v>1313</v>
      </c>
      <c r="C2611" s="185"/>
      <c r="E2611" t="s">
        <v>386</v>
      </c>
      <c r="F2611" t="s">
        <v>11565</v>
      </c>
      <c r="G2611" t="s">
        <v>1197</v>
      </c>
      <c r="H2611" t="s">
        <v>11566</v>
      </c>
      <c r="I2611">
        <v>844</v>
      </c>
      <c r="J2611" t="s">
        <v>11565</v>
      </c>
      <c r="K2611" t="s">
        <v>11565</v>
      </c>
      <c r="L2611" t="s">
        <v>386</v>
      </c>
      <c r="M2611" t="s">
        <v>1193</v>
      </c>
      <c r="N2611">
        <v>844</v>
      </c>
      <c r="O2611">
        <v>0</v>
      </c>
      <c r="Q2611" t="s">
        <v>11567</v>
      </c>
      <c r="S2611" t="s">
        <v>1315</v>
      </c>
      <c r="T2611">
        <v>16</v>
      </c>
      <c r="U2611">
        <v>0</v>
      </c>
      <c r="V2611" t="s">
        <v>8372</v>
      </c>
      <c r="Y2611" t="s">
        <v>1317</v>
      </c>
      <c r="Z2611" t="s">
        <v>4548</v>
      </c>
      <c r="AA2611" t="s">
        <v>387</v>
      </c>
      <c r="AB2611">
        <v>0</v>
      </c>
      <c r="AC2611">
        <v>730</v>
      </c>
      <c r="AD2611" t="s">
        <v>11568</v>
      </c>
      <c r="AE2611">
        <v>354</v>
      </c>
      <c r="AF2611" t="s">
        <v>11569</v>
      </c>
      <c r="AG2611" t="s">
        <v>11570</v>
      </c>
    </row>
    <row r="2612" spans="1:34" x14ac:dyDescent="0.25">
      <c r="A2612">
        <v>61</v>
      </c>
      <c r="B2612" t="s">
        <v>1313</v>
      </c>
      <c r="C2612" s="185"/>
      <c r="E2612" t="s">
        <v>386</v>
      </c>
      <c r="F2612" t="s">
        <v>11571</v>
      </c>
      <c r="G2612" t="s">
        <v>1197</v>
      </c>
      <c r="H2612" t="s">
        <v>11572</v>
      </c>
      <c r="I2612">
        <v>1593</v>
      </c>
      <c r="J2612" t="s">
        <v>11571</v>
      </c>
      <c r="K2612" t="s">
        <v>11573</v>
      </c>
      <c r="L2612" t="s">
        <v>386</v>
      </c>
      <c r="M2612" t="s">
        <v>1193</v>
      </c>
      <c r="N2612">
        <v>1593</v>
      </c>
      <c r="O2612">
        <v>0</v>
      </c>
      <c r="Q2612" t="s">
        <v>11574</v>
      </c>
      <c r="R2612" t="s">
        <v>398</v>
      </c>
      <c r="S2612" t="s">
        <v>1315</v>
      </c>
      <c r="T2612">
        <v>396</v>
      </c>
      <c r="U2612">
        <v>0</v>
      </c>
      <c r="V2612" t="s">
        <v>2186</v>
      </c>
      <c r="W2612" t="s">
        <v>1215</v>
      </c>
      <c r="X2612">
        <v>259</v>
      </c>
      <c r="Y2612" t="s">
        <v>1317</v>
      </c>
      <c r="Z2612" t="s">
        <v>4548</v>
      </c>
      <c r="AA2612" t="s">
        <v>387</v>
      </c>
      <c r="AB2612">
        <v>0</v>
      </c>
      <c r="AC2612">
        <v>1185</v>
      </c>
      <c r="AD2612" t="s">
        <v>11575</v>
      </c>
      <c r="AE2612">
        <v>630</v>
      </c>
      <c r="AF2612" t="s">
        <v>11576</v>
      </c>
      <c r="AG2612" t="s">
        <v>3714</v>
      </c>
      <c r="AH2612" t="s">
        <v>11577</v>
      </c>
    </row>
    <row r="2613" spans="1:34" x14ac:dyDescent="0.25">
      <c r="A2613">
        <v>61</v>
      </c>
      <c r="C2613" s="185"/>
      <c r="E2613" t="s">
        <v>386</v>
      </c>
      <c r="F2613" t="s">
        <v>11578</v>
      </c>
      <c r="G2613" t="s">
        <v>1197</v>
      </c>
      <c r="H2613" t="s">
        <v>11579</v>
      </c>
      <c r="I2613">
        <v>5389</v>
      </c>
      <c r="J2613" t="s">
        <v>11578</v>
      </c>
      <c r="K2613" t="s">
        <v>11578</v>
      </c>
      <c r="L2613" t="s">
        <v>386</v>
      </c>
      <c r="M2613" t="s">
        <v>1193</v>
      </c>
      <c r="N2613">
        <v>5389</v>
      </c>
      <c r="O2613">
        <v>0</v>
      </c>
      <c r="Q2613" t="s">
        <v>11580</v>
      </c>
      <c r="T2613">
        <v>52</v>
      </c>
      <c r="V2613" t="s">
        <v>2024</v>
      </c>
      <c r="Z2613" t="s">
        <v>4548</v>
      </c>
      <c r="AA2613" t="s">
        <v>387</v>
      </c>
      <c r="AB2613">
        <v>0</v>
      </c>
      <c r="AC2613">
        <v>2583</v>
      </c>
      <c r="AD2613" t="s">
        <v>11581</v>
      </c>
      <c r="AE2613">
        <v>148</v>
      </c>
      <c r="AF2613" t="s">
        <v>11582</v>
      </c>
      <c r="AG2613" t="s">
        <v>2226</v>
      </c>
    </row>
    <row r="2614" spans="1:34" x14ac:dyDescent="0.25">
      <c r="A2614">
        <v>61</v>
      </c>
      <c r="C2614" s="185"/>
      <c r="E2614" t="s">
        <v>386</v>
      </c>
      <c r="F2614" t="s">
        <v>11583</v>
      </c>
      <c r="G2614" t="s">
        <v>4184</v>
      </c>
      <c r="H2614" t="s">
        <v>11584</v>
      </c>
      <c r="I2614">
        <v>393</v>
      </c>
      <c r="J2614" t="s">
        <v>11583</v>
      </c>
      <c r="K2614" t="s">
        <v>11583</v>
      </c>
      <c r="L2614" t="s">
        <v>386</v>
      </c>
      <c r="M2614" t="s">
        <v>1193</v>
      </c>
      <c r="N2614">
        <v>393</v>
      </c>
      <c r="O2614">
        <v>0</v>
      </c>
      <c r="Q2614" t="s">
        <v>11585</v>
      </c>
      <c r="T2614">
        <v>372</v>
      </c>
      <c r="V2614" t="s">
        <v>2073</v>
      </c>
      <c r="W2614" t="s">
        <v>2144</v>
      </c>
      <c r="X2614">
        <v>39</v>
      </c>
      <c r="Z2614" t="s">
        <v>4548</v>
      </c>
      <c r="AA2614" t="s">
        <v>387</v>
      </c>
      <c r="AB2614">
        <v>0</v>
      </c>
      <c r="AC2614">
        <v>437</v>
      </c>
      <c r="AD2614" t="s">
        <v>11586</v>
      </c>
      <c r="AE2614">
        <v>167</v>
      </c>
      <c r="AF2614" t="s">
        <v>11587</v>
      </c>
      <c r="AG2614" t="s">
        <v>11588</v>
      </c>
      <c r="AH2614" t="s">
        <v>11589</v>
      </c>
    </row>
    <row r="2615" spans="1:34" x14ac:dyDescent="0.25">
      <c r="A2615">
        <v>61</v>
      </c>
      <c r="C2615" s="185"/>
      <c r="E2615" t="s">
        <v>386</v>
      </c>
      <c r="F2615" t="s">
        <v>11590</v>
      </c>
      <c r="G2615" t="s">
        <v>1197</v>
      </c>
      <c r="H2615" t="s">
        <v>11591</v>
      </c>
      <c r="I2615">
        <v>7091</v>
      </c>
      <c r="J2615" t="s">
        <v>11590</v>
      </c>
      <c r="K2615" t="s">
        <v>11590</v>
      </c>
      <c r="L2615" t="s">
        <v>386</v>
      </c>
      <c r="M2615" t="s">
        <v>1193</v>
      </c>
      <c r="N2615">
        <v>7091</v>
      </c>
      <c r="O2615">
        <v>0</v>
      </c>
      <c r="Q2615" t="s">
        <v>11592</v>
      </c>
      <c r="T2615">
        <v>86</v>
      </c>
      <c r="V2615" t="s">
        <v>11593</v>
      </c>
      <c r="W2615" t="s">
        <v>2144</v>
      </c>
      <c r="X2615">
        <v>39</v>
      </c>
      <c r="Z2615" t="s">
        <v>4548</v>
      </c>
      <c r="AA2615" t="s">
        <v>387</v>
      </c>
      <c r="AB2615">
        <v>0</v>
      </c>
      <c r="AC2615">
        <v>750</v>
      </c>
      <c r="AD2615" t="s">
        <v>11594</v>
      </c>
      <c r="AE2615">
        <v>193</v>
      </c>
      <c r="AF2615" t="s">
        <v>11595</v>
      </c>
      <c r="AG2615" t="s">
        <v>3496</v>
      </c>
      <c r="AH2615" t="s">
        <v>11577</v>
      </c>
    </row>
    <row r="2616" spans="1:34" x14ac:dyDescent="0.25">
      <c r="A2616">
        <v>61</v>
      </c>
      <c r="C2616" s="185"/>
      <c r="E2616" t="s">
        <v>386</v>
      </c>
      <c r="F2616" t="s">
        <v>11596</v>
      </c>
      <c r="G2616" t="s">
        <v>1197</v>
      </c>
      <c r="H2616" t="s">
        <v>11597</v>
      </c>
      <c r="I2616">
        <v>1959</v>
      </c>
      <c r="J2616" t="s">
        <v>11596</v>
      </c>
      <c r="K2616" t="s">
        <v>11596</v>
      </c>
      <c r="L2616" t="s">
        <v>386</v>
      </c>
      <c r="M2616" t="s">
        <v>1193</v>
      </c>
      <c r="N2616">
        <v>1959</v>
      </c>
      <c r="O2616">
        <v>0</v>
      </c>
      <c r="Q2616" t="s">
        <v>11598</v>
      </c>
      <c r="T2616">
        <v>0</v>
      </c>
      <c r="V2616" t="s">
        <v>1186</v>
      </c>
      <c r="Z2616" t="s">
        <v>4548</v>
      </c>
      <c r="AA2616" t="s">
        <v>387</v>
      </c>
      <c r="AB2616">
        <v>0</v>
      </c>
      <c r="AC2616">
        <v>1452</v>
      </c>
      <c r="AD2616" t="s">
        <v>11599</v>
      </c>
      <c r="AE2616">
        <v>701</v>
      </c>
      <c r="AF2616" t="s">
        <v>11600</v>
      </c>
      <c r="AG2616" t="s">
        <v>11601</v>
      </c>
    </row>
    <row r="2617" spans="1:34" x14ac:dyDescent="0.25">
      <c r="A2617">
        <v>2063</v>
      </c>
      <c r="C2617" s="185"/>
      <c r="E2617" t="s">
        <v>386</v>
      </c>
      <c r="F2617" t="s">
        <v>11602</v>
      </c>
      <c r="G2617" t="s">
        <v>1238</v>
      </c>
      <c r="H2617" t="s">
        <v>5121</v>
      </c>
      <c r="I2617">
        <v>15040</v>
      </c>
      <c r="J2617" t="s">
        <v>11602</v>
      </c>
      <c r="K2617" t="s">
        <v>11603</v>
      </c>
      <c r="L2617" t="s">
        <v>386</v>
      </c>
      <c r="M2617" t="s">
        <v>1184</v>
      </c>
      <c r="N2617">
        <v>15040</v>
      </c>
      <c r="O2617">
        <v>0</v>
      </c>
      <c r="Q2617" t="s">
        <v>11604</v>
      </c>
      <c r="T2617">
        <v>435</v>
      </c>
      <c r="V2617" t="s">
        <v>3129</v>
      </c>
      <c r="W2617" t="s">
        <v>3129</v>
      </c>
      <c r="X2617">
        <v>435</v>
      </c>
      <c r="Z2617" t="s">
        <v>5124</v>
      </c>
      <c r="AA2617" t="s">
        <v>387</v>
      </c>
      <c r="AB2617">
        <v>0</v>
      </c>
      <c r="AC2617">
        <v>5713</v>
      </c>
      <c r="AD2617" t="s">
        <v>11602</v>
      </c>
      <c r="AE2617">
        <v>18</v>
      </c>
      <c r="AF2617" t="s">
        <v>1259</v>
      </c>
      <c r="AG2617" t="s">
        <v>1244</v>
      </c>
      <c r="AH2617" t="s">
        <v>11605</v>
      </c>
    </row>
    <row r="2618" spans="1:34" x14ac:dyDescent="0.25">
      <c r="A2618">
        <v>1300</v>
      </c>
      <c r="C2618" s="185"/>
      <c r="E2618" t="s">
        <v>386</v>
      </c>
      <c r="F2618" t="s">
        <v>11606</v>
      </c>
      <c r="G2618" t="s">
        <v>1197</v>
      </c>
      <c r="H2618" t="s">
        <v>11607</v>
      </c>
      <c r="I2618">
        <v>1214</v>
      </c>
      <c r="J2618" t="s">
        <v>11606</v>
      </c>
      <c r="K2618" t="s">
        <v>11608</v>
      </c>
      <c r="L2618" t="s">
        <v>386</v>
      </c>
      <c r="M2618" t="s">
        <v>1193</v>
      </c>
      <c r="N2618">
        <v>1214</v>
      </c>
      <c r="O2618">
        <v>0</v>
      </c>
      <c r="Q2618" t="s">
        <v>11609</v>
      </c>
      <c r="R2618" t="s">
        <v>1208</v>
      </c>
      <c r="T2618">
        <v>35</v>
      </c>
      <c r="V2618" t="s">
        <v>2015</v>
      </c>
      <c r="Z2618" t="s">
        <v>2134</v>
      </c>
      <c r="AA2618" t="s">
        <v>387</v>
      </c>
      <c r="AB2618">
        <v>0</v>
      </c>
      <c r="AC2618">
        <v>1111</v>
      </c>
      <c r="AD2618" t="s">
        <v>11610</v>
      </c>
      <c r="AE2618">
        <v>526</v>
      </c>
      <c r="AF2618" t="s">
        <v>11611</v>
      </c>
      <c r="AG2618" t="s">
        <v>11612</v>
      </c>
      <c r="AH2618" t="s">
        <v>11613</v>
      </c>
    </row>
    <row r="2619" spans="1:34" x14ac:dyDescent="0.25">
      <c r="A2619">
        <v>1300</v>
      </c>
      <c r="C2619" s="185"/>
      <c r="E2619" t="s">
        <v>386</v>
      </c>
      <c r="F2619" t="s">
        <v>11614</v>
      </c>
      <c r="G2619" t="s">
        <v>1197</v>
      </c>
      <c r="H2619" t="s">
        <v>11607</v>
      </c>
      <c r="I2619">
        <v>5405</v>
      </c>
      <c r="J2619" t="s">
        <v>11614</v>
      </c>
      <c r="K2619" t="s">
        <v>11614</v>
      </c>
      <c r="L2619" t="s">
        <v>386</v>
      </c>
      <c r="M2619" t="s">
        <v>1193</v>
      </c>
      <c r="N2619">
        <v>5405</v>
      </c>
      <c r="O2619">
        <v>0</v>
      </c>
      <c r="Q2619" t="s">
        <v>11615</v>
      </c>
      <c r="T2619">
        <v>103</v>
      </c>
      <c r="V2619" t="s">
        <v>1530</v>
      </c>
      <c r="Z2619" t="s">
        <v>2134</v>
      </c>
      <c r="AA2619" t="s">
        <v>387</v>
      </c>
      <c r="AB2619">
        <v>0</v>
      </c>
      <c r="AC2619">
        <v>2585</v>
      </c>
      <c r="AD2619" t="s">
        <v>11616</v>
      </c>
      <c r="AE2619">
        <v>3</v>
      </c>
      <c r="AF2619" t="s">
        <v>1235</v>
      </c>
      <c r="AG2619" t="s">
        <v>1938</v>
      </c>
    </row>
    <row r="2620" spans="1:34" x14ac:dyDescent="0.25">
      <c r="A2620">
        <v>2137</v>
      </c>
      <c r="C2620" s="185"/>
      <c r="E2620" t="s">
        <v>386</v>
      </c>
      <c r="F2620" t="s">
        <v>11617</v>
      </c>
      <c r="G2620" t="s">
        <v>1238</v>
      </c>
      <c r="H2620" t="s">
        <v>11618</v>
      </c>
      <c r="I2620">
        <v>15377</v>
      </c>
      <c r="J2620" t="s">
        <v>11617</v>
      </c>
      <c r="K2620" t="s">
        <v>11619</v>
      </c>
      <c r="L2620" t="s">
        <v>386</v>
      </c>
      <c r="M2620" t="s">
        <v>1184</v>
      </c>
      <c r="N2620">
        <v>15377</v>
      </c>
      <c r="O2620">
        <v>0</v>
      </c>
      <c r="Q2620" t="s">
        <v>11620</v>
      </c>
      <c r="T2620">
        <v>260</v>
      </c>
      <c r="V2620" t="s">
        <v>1216</v>
      </c>
      <c r="W2620" t="s">
        <v>1216</v>
      </c>
      <c r="X2620">
        <v>260</v>
      </c>
      <c r="Z2620" t="s">
        <v>11621</v>
      </c>
      <c r="AA2620" t="s">
        <v>387</v>
      </c>
      <c r="AB2620">
        <v>0</v>
      </c>
      <c r="AC2620">
        <v>5819</v>
      </c>
      <c r="AD2620" t="s">
        <v>11622</v>
      </c>
      <c r="AE2620">
        <v>18</v>
      </c>
      <c r="AF2620" t="s">
        <v>1259</v>
      </c>
      <c r="AG2620" t="s">
        <v>4930</v>
      </c>
    </row>
    <row r="2621" spans="1:34" x14ac:dyDescent="0.25">
      <c r="A2621">
        <v>2053</v>
      </c>
      <c r="B2621" t="s">
        <v>1313</v>
      </c>
      <c r="C2621" s="185"/>
      <c r="D2621" t="s">
        <v>24</v>
      </c>
      <c r="E2621" t="s">
        <v>386</v>
      </c>
      <c r="F2621" t="s">
        <v>588</v>
      </c>
      <c r="G2621" t="s">
        <v>1197</v>
      </c>
      <c r="H2621" t="s">
        <v>11623</v>
      </c>
      <c r="I2621">
        <v>15361</v>
      </c>
      <c r="J2621" t="s">
        <v>588</v>
      </c>
      <c r="K2621" t="s">
        <v>11624</v>
      </c>
      <c r="L2621" t="s">
        <v>386</v>
      </c>
      <c r="M2621" t="s">
        <v>1193</v>
      </c>
      <c r="N2621">
        <v>15361</v>
      </c>
      <c r="O2621">
        <v>57</v>
      </c>
      <c r="Q2621" t="s">
        <v>11625</v>
      </c>
      <c r="R2621" t="s">
        <v>398</v>
      </c>
      <c r="S2621" t="s">
        <v>11626</v>
      </c>
      <c r="T2621">
        <v>396</v>
      </c>
      <c r="U2621">
        <v>0</v>
      </c>
      <c r="V2621" t="s">
        <v>2186</v>
      </c>
      <c r="W2621" t="s">
        <v>1199</v>
      </c>
      <c r="X2621">
        <v>200</v>
      </c>
      <c r="Y2621" t="s">
        <v>1317</v>
      </c>
      <c r="Z2621" t="s">
        <v>11627</v>
      </c>
      <c r="AA2621" t="s">
        <v>387</v>
      </c>
      <c r="AB2621">
        <v>49000</v>
      </c>
      <c r="AC2621">
        <v>5022</v>
      </c>
      <c r="AD2621" t="s">
        <v>11628</v>
      </c>
      <c r="AE2621">
        <v>2324</v>
      </c>
      <c r="AF2621" t="s">
        <v>11629</v>
      </c>
      <c r="AG2621" t="s">
        <v>2044</v>
      </c>
      <c r="AH2621" t="s">
        <v>11630</v>
      </c>
    </row>
    <row r="2622" spans="1:34" x14ac:dyDescent="0.25">
      <c r="A2622">
        <v>2053</v>
      </c>
      <c r="B2622" t="s">
        <v>1313</v>
      </c>
      <c r="C2622" s="185"/>
      <c r="D2622" t="s">
        <v>24</v>
      </c>
      <c r="E2622" t="s">
        <v>386</v>
      </c>
      <c r="F2622" t="s">
        <v>11631</v>
      </c>
      <c r="G2622" t="s">
        <v>1197</v>
      </c>
      <c r="H2622" t="s">
        <v>11623</v>
      </c>
      <c r="I2622">
        <v>13403</v>
      </c>
      <c r="J2622" t="s">
        <v>11631</v>
      </c>
      <c r="K2622" t="s">
        <v>11632</v>
      </c>
      <c r="L2622" t="s">
        <v>386</v>
      </c>
      <c r="M2622" t="s">
        <v>1193</v>
      </c>
      <c r="N2622">
        <v>13403</v>
      </c>
      <c r="O2622">
        <v>57</v>
      </c>
      <c r="Q2622" t="s">
        <v>11633</v>
      </c>
      <c r="R2622" t="s">
        <v>398</v>
      </c>
      <c r="S2622" t="s">
        <v>11626</v>
      </c>
      <c r="T2622">
        <v>396</v>
      </c>
      <c r="U2622">
        <v>0</v>
      </c>
      <c r="V2622" t="s">
        <v>2186</v>
      </c>
      <c r="W2622" t="s">
        <v>1199</v>
      </c>
      <c r="X2622">
        <v>200</v>
      </c>
      <c r="Y2622" t="s">
        <v>1317</v>
      </c>
      <c r="Z2622" t="s">
        <v>11627</v>
      </c>
      <c r="AA2622" t="s">
        <v>387</v>
      </c>
      <c r="AB2622">
        <v>49000</v>
      </c>
      <c r="AC2622">
        <v>5022</v>
      </c>
      <c r="AD2622" t="s">
        <v>11628</v>
      </c>
      <c r="AE2622">
        <v>2324</v>
      </c>
      <c r="AF2622" t="s">
        <v>11629</v>
      </c>
      <c r="AG2622" t="s">
        <v>1244</v>
      </c>
      <c r="AH2622" t="s">
        <v>11634</v>
      </c>
    </row>
    <row r="2623" spans="1:34" x14ac:dyDescent="0.25">
      <c r="A2623">
        <v>2013</v>
      </c>
      <c r="C2623" s="185"/>
      <c r="E2623" t="s">
        <v>386</v>
      </c>
      <c r="F2623" t="s">
        <v>11635</v>
      </c>
      <c r="G2623" t="s">
        <v>1192</v>
      </c>
      <c r="H2623" t="s">
        <v>6983</v>
      </c>
      <c r="I2623">
        <v>17035</v>
      </c>
      <c r="J2623" t="s">
        <v>11635</v>
      </c>
      <c r="K2623" t="s">
        <v>11635</v>
      </c>
      <c r="L2623" t="s">
        <v>386</v>
      </c>
      <c r="M2623" t="s">
        <v>1184</v>
      </c>
      <c r="N2623">
        <v>17035</v>
      </c>
      <c r="O2623">
        <v>0</v>
      </c>
      <c r="Q2623" t="s">
        <v>11636</v>
      </c>
      <c r="T2623">
        <v>473</v>
      </c>
      <c r="V2623" t="s">
        <v>1964</v>
      </c>
      <c r="W2623" t="s">
        <v>1964</v>
      </c>
      <c r="X2623">
        <v>473</v>
      </c>
      <c r="Z2623" t="s">
        <v>6986</v>
      </c>
      <c r="AA2623" t="s">
        <v>387</v>
      </c>
      <c r="AB2623">
        <v>0</v>
      </c>
      <c r="AC2623">
        <v>0</v>
      </c>
      <c r="AD2623" t="s">
        <v>1187</v>
      </c>
      <c r="AE2623">
        <v>1794</v>
      </c>
      <c r="AF2623" t="s">
        <v>11637</v>
      </c>
    </row>
    <row r="2624" spans="1:34" x14ac:dyDescent="0.25">
      <c r="A2624">
        <v>2142</v>
      </c>
      <c r="C2624" s="185"/>
      <c r="E2624" t="s">
        <v>386</v>
      </c>
      <c r="F2624" t="s">
        <v>11638</v>
      </c>
      <c r="G2624" t="s">
        <v>1238</v>
      </c>
      <c r="H2624" t="s">
        <v>11639</v>
      </c>
      <c r="I2624">
        <v>15530</v>
      </c>
      <c r="J2624" t="s">
        <v>11638</v>
      </c>
      <c r="K2624" t="s">
        <v>11640</v>
      </c>
      <c r="L2624" t="s">
        <v>386</v>
      </c>
      <c r="M2624" t="s">
        <v>1184</v>
      </c>
      <c r="N2624">
        <v>15530</v>
      </c>
      <c r="O2624">
        <v>0</v>
      </c>
      <c r="Q2624" t="s">
        <v>11641</v>
      </c>
      <c r="T2624">
        <v>52</v>
      </c>
      <c r="V2624" t="s">
        <v>2024</v>
      </c>
      <c r="W2624" t="s">
        <v>3129</v>
      </c>
      <c r="X2624">
        <v>435</v>
      </c>
      <c r="Z2624" t="s">
        <v>11642</v>
      </c>
      <c r="AA2624" t="s">
        <v>387</v>
      </c>
      <c r="AB2624">
        <v>0</v>
      </c>
      <c r="AC2624">
        <v>5858</v>
      </c>
      <c r="AD2624" t="s">
        <v>11643</v>
      </c>
      <c r="AE2624">
        <v>18</v>
      </c>
      <c r="AF2624" t="s">
        <v>1259</v>
      </c>
      <c r="AG2624" t="s">
        <v>11644</v>
      </c>
      <c r="AH2624" t="s">
        <v>11645</v>
      </c>
    </row>
    <row r="2625" spans="1:34" x14ac:dyDescent="0.25">
      <c r="A2625">
        <v>1</v>
      </c>
      <c r="C2625" s="185"/>
      <c r="E2625" t="s">
        <v>386</v>
      </c>
      <c r="F2625" t="s">
        <v>11646</v>
      </c>
      <c r="G2625" t="s">
        <v>1197</v>
      </c>
      <c r="H2625" t="s">
        <v>11647</v>
      </c>
      <c r="I2625">
        <v>16823</v>
      </c>
      <c r="J2625" t="s">
        <v>11646</v>
      </c>
      <c r="K2625" t="s">
        <v>11648</v>
      </c>
      <c r="L2625" t="s">
        <v>386</v>
      </c>
      <c r="M2625" t="s">
        <v>1193</v>
      </c>
      <c r="N2625">
        <v>16823</v>
      </c>
      <c r="O2625">
        <v>0</v>
      </c>
      <c r="Q2625" t="s">
        <v>11649</v>
      </c>
      <c r="T2625">
        <v>571</v>
      </c>
      <c r="V2625" t="s">
        <v>2003</v>
      </c>
      <c r="W2625" t="s">
        <v>2602</v>
      </c>
      <c r="X2625">
        <v>560</v>
      </c>
      <c r="Z2625" t="s">
        <v>865</v>
      </c>
      <c r="AA2625" t="s">
        <v>387</v>
      </c>
      <c r="AB2625">
        <v>0</v>
      </c>
      <c r="AC2625">
        <v>556</v>
      </c>
      <c r="AD2625" t="s">
        <v>11650</v>
      </c>
      <c r="AE2625">
        <v>1169</v>
      </c>
      <c r="AF2625" t="s">
        <v>11651</v>
      </c>
      <c r="AG2625" t="s">
        <v>3300</v>
      </c>
      <c r="AH2625" t="s">
        <v>11652</v>
      </c>
    </row>
    <row r="2626" spans="1:34" x14ac:dyDescent="0.25">
      <c r="A2626">
        <v>36</v>
      </c>
      <c r="C2626" s="185"/>
      <c r="E2626" t="s">
        <v>386</v>
      </c>
      <c r="F2626" t="s">
        <v>11653</v>
      </c>
      <c r="G2626" t="s">
        <v>1197</v>
      </c>
      <c r="H2626" t="s">
        <v>11654</v>
      </c>
      <c r="I2626">
        <v>15851</v>
      </c>
      <c r="J2626" t="s">
        <v>11653</v>
      </c>
      <c r="K2626" t="s">
        <v>11653</v>
      </c>
      <c r="L2626" t="s">
        <v>386</v>
      </c>
      <c r="M2626" t="s">
        <v>1193</v>
      </c>
      <c r="N2626">
        <v>15851</v>
      </c>
      <c r="O2626">
        <v>61</v>
      </c>
      <c r="Q2626" t="s">
        <v>11655</v>
      </c>
      <c r="R2626" t="s">
        <v>398</v>
      </c>
      <c r="T2626">
        <v>473</v>
      </c>
      <c r="V2626" t="s">
        <v>1964</v>
      </c>
      <c r="W2626" t="s">
        <v>1964</v>
      </c>
      <c r="X2626">
        <v>473</v>
      </c>
      <c r="Z2626" t="s">
        <v>11656</v>
      </c>
      <c r="AA2626" t="s">
        <v>387</v>
      </c>
      <c r="AB2626">
        <v>0</v>
      </c>
      <c r="AC2626">
        <v>5972</v>
      </c>
      <c r="AD2626" t="s">
        <v>11657</v>
      </c>
      <c r="AE2626">
        <v>18</v>
      </c>
      <c r="AF2626" t="s">
        <v>1259</v>
      </c>
      <c r="AG2626" t="s">
        <v>1244</v>
      </c>
      <c r="AH2626" t="s">
        <v>11658</v>
      </c>
    </row>
    <row r="2627" spans="1:34" x14ac:dyDescent="0.25">
      <c r="A2627">
        <v>36</v>
      </c>
      <c r="C2627" s="185"/>
      <c r="E2627" t="s">
        <v>386</v>
      </c>
      <c r="F2627" t="s">
        <v>11659</v>
      </c>
      <c r="G2627" t="s">
        <v>1197</v>
      </c>
      <c r="H2627" t="s">
        <v>11654</v>
      </c>
      <c r="I2627">
        <v>14956</v>
      </c>
      <c r="J2627" t="s">
        <v>11659</v>
      </c>
      <c r="K2627" t="s">
        <v>11660</v>
      </c>
      <c r="L2627" t="s">
        <v>386</v>
      </c>
      <c r="M2627" t="s">
        <v>1193</v>
      </c>
      <c r="N2627">
        <v>14956</v>
      </c>
      <c r="O2627">
        <v>0</v>
      </c>
      <c r="Q2627" t="s">
        <v>11661</v>
      </c>
      <c r="T2627">
        <v>426</v>
      </c>
      <c r="V2627" t="s">
        <v>1257</v>
      </c>
      <c r="W2627" t="s">
        <v>1257</v>
      </c>
      <c r="X2627">
        <v>426</v>
      </c>
      <c r="Z2627" t="s">
        <v>11656</v>
      </c>
      <c r="AA2627" t="s">
        <v>387</v>
      </c>
      <c r="AB2627">
        <v>0</v>
      </c>
      <c r="AC2627">
        <v>5688</v>
      </c>
      <c r="AD2627" t="s">
        <v>8537</v>
      </c>
      <c r="AE2627">
        <v>18</v>
      </c>
      <c r="AF2627" t="s">
        <v>1259</v>
      </c>
      <c r="AG2627" t="s">
        <v>1244</v>
      </c>
      <c r="AH2627" t="s">
        <v>11662</v>
      </c>
    </row>
    <row r="2628" spans="1:34" x14ac:dyDescent="0.25">
      <c r="A2628">
        <v>36</v>
      </c>
      <c r="B2628" t="s">
        <v>1313</v>
      </c>
      <c r="C2628" s="185"/>
      <c r="D2628" t="s">
        <v>24</v>
      </c>
      <c r="E2628" t="s">
        <v>386</v>
      </c>
      <c r="F2628" t="s">
        <v>7997</v>
      </c>
      <c r="G2628" t="s">
        <v>1197</v>
      </c>
      <c r="H2628" t="s">
        <v>11654</v>
      </c>
      <c r="I2628">
        <v>145</v>
      </c>
      <c r="J2628" t="s">
        <v>11663</v>
      </c>
      <c r="K2628" t="s">
        <v>7999</v>
      </c>
      <c r="L2628" t="s">
        <v>386</v>
      </c>
      <c r="M2628" t="s">
        <v>1193</v>
      </c>
      <c r="N2628">
        <v>26</v>
      </c>
      <c r="O2628">
        <v>76</v>
      </c>
      <c r="Q2628" t="s">
        <v>11664</v>
      </c>
      <c r="R2628" t="s">
        <v>398</v>
      </c>
      <c r="S2628" t="s">
        <v>1909</v>
      </c>
      <c r="T2628">
        <v>220</v>
      </c>
      <c r="U2628">
        <v>0</v>
      </c>
      <c r="V2628" t="s">
        <v>1194</v>
      </c>
      <c r="W2628" t="s">
        <v>1194</v>
      </c>
      <c r="X2628">
        <v>220</v>
      </c>
      <c r="Y2628" t="s">
        <v>1317</v>
      </c>
      <c r="Z2628" t="s">
        <v>11656</v>
      </c>
      <c r="AA2628" t="s">
        <v>387</v>
      </c>
      <c r="AB2628">
        <v>0</v>
      </c>
      <c r="AC2628">
        <v>115</v>
      </c>
      <c r="AD2628" t="s">
        <v>11665</v>
      </c>
      <c r="AE2628">
        <v>67</v>
      </c>
      <c r="AF2628" t="s">
        <v>11507</v>
      </c>
      <c r="AG2628" t="s">
        <v>1931</v>
      </c>
    </row>
    <row r="2629" spans="1:34" x14ac:dyDescent="0.25">
      <c r="A2629">
        <v>36</v>
      </c>
      <c r="C2629" s="185"/>
      <c r="E2629" t="s">
        <v>386</v>
      </c>
      <c r="F2629" t="s">
        <v>11666</v>
      </c>
      <c r="G2629" t="s">
        <v>1197</v>
      </c>
      <c r="H2629" t="s">
        <v>11654</v>
      </c>
      <c r="I2629">
        <v>15842</v>
      </c>
      <c r="J2629" t="s">
        <v>11666</v>
      </c>
      <c r="K2629" t="s">
        <v>11666</v>
      </c>
      <c r="L2629" t="s">
        <v>386</v>
      </c>
      <c r="M2629" t="s">
        <v>1193</v>
      </c>
      <c r="N2629">
        <v>15842</v>
      </c>
      <c r="O2629">
        <v>61</v>
      </c>
      <c r="Q2629" t="s">
        <v>11667</v>
      </c>
      <c r="R2629" t="s">
        <v>398</v>
      </c>
      <c r="T2629">
        <v>260</v>
      </c>
      <c r="V2629" t="s">
        <v>1216</v>
      </c>
      <c r="W2629" t="s">
        <v>3321</v>
      </c>
      <c r="X2629">
        <v>246</v>
      </c>
      <c r="Z2629" t="s">
        <v>11656</v>
      </c>
      <c r="AA2629" t="s">
        <v>387</v>
      </c>
      <c r="AB2629">
        <v>53000</v>
      </c>
      <c r="AC2629">
        <v>5972</v>
      </c>
      <c r="AD2629" t="s">
        <v>11657</v>
      </c>
      <c r="AE2629">
        <v>18</v>
      </c>
      <c r="AF2629" t="s">
        <v>1259</v>
      </c>
      <c r="AG2629" t="s">
        <v>1244</v>
      </c>
      <c r="AH2629" t="s">
        <v>11658</v>
      </c>
    </row>
    <row r="2630" spans="1:34" x14ac:dyDescent="0.25">
      <c r="A2630">
        <v>36</v>
      </c>
      <c r="C2630" s="185"/>
      <c r="E2630" t="s">
        <v>386</v>
      </c>
      <c r="F2630" t="s">
        <v>11668</v>
      </c>
      <c r="G2630" t="s">
        <v>1197</v>
      </c>
      <c r="H2630" t="s">
        <v>11654</v>
      </c>
      <c r="I2630">
        <v>14959</v>
      </c>
      <c r="J2630" t="s">
        <v>11668</v>
      </c>
      <c r="K2630" t="s">
        <v>11669</v>
      </c>
      <c r="L2630" t="s">
        <v>386</v>
      </c>
      <c r="M2630" t="s">
        <v>1193</v>
      </c>
      <c r="N2630">
        <v>14959</v>
      </c>
      <c r="O2630">
        <v>0</v>
      </c>
      <c r="Q2630" t="s">
        <v>11670</v>
      </c>
      <c r="T2630">
        <v>260</v>
      </c>
      <c r="V2630" t="s">
        <v>1216</v>
      </c>
      <c r="W2630" t="s">
        <v>1216</v>
      </c>
      <c r="X2630">
        <v>260</v>
      </c>
      <c r="Z2630" t="s">
        <v>11656</v>
      </c>
      <c r="AA2630" t="s">
        <v>387</v>
      </c>
      <c r="AB2630">
        <v>0</v>
      </c>
      <c r="AC2630">
        <v>5691</v>
      </c>
      <c r="AD2630" t="s">
        <v>11671</v>
      </c>
      <c r="AE2630">
        <v>18</v>
      </c>
      <c r="AF2630" t="s">
        <v>1259</v>
      </c>
      <c r="AG2630" t="s">
        <v>2044</v>
      </c>
      <c r="AH2630" t="s">
        <v>11672</v>
      </c>
    </row>
    <row r="2631" spans="1:34" x14ac:dyDescent="0.25">
      <c r="A2631">
        <v>1</v>
      </c>
      <c r="C2631" s="185"/>
      <c r="E2631" t="s">
        <v>386</v>
      </c>
      <c r="F2631" t="s">
        <v>11673</v>
      </c>
      <c r="G2631" t="s">
        <v>1197</v>
      </c>
      <c r="H2631" t="s">
        <v>11674</v>
      </c>
      <c r="I2631">
        <v>15121</v>
      </c>
      <c r="J2631" t="s">
        <v>11673</v>
      </c>
      <c r="K2631" t="s">
        <v>11675</v>
      </c>
      <c r="L2631" t="s">
        <v>386</v>
      </c>
      <c r="M2631" t="s">
        <v>1193</v>
      </c>
      <c r="N2631">
        <v>15121</v>
      </c>
      <c r="O2631">
        <v>0</v>
      </c>
      <c r="Q2631" t="s">
        <v>11676</v>
      </c>
      <c r="T2631">
        <v>372</v>
      </c>
      <c r="V2631" t="s">
        <v>2073</v>
      </c>
      <c r="W2631" t="s">
        <v>1216</v>
      </c>
      <c r="X2631">
        <v>260</v>
      </c>
      <c r="Z2631" t="s">
        <v>865</v>
      </c>
      <c r="AA2631" t="s">
        <v>387</v>
      </c>
      <c r="AB2631">
        <v>0</v>
      </c>
      <c r="AC2631">
        <v>1795</v>
      </c>
      <c r="AD2631" t="s">
        <v>11677</v>
      </c>
      <c r="AE2631">
        <v>155</v>
      </c>
      <c r="AF2631" t="s">
        <v>5198</v>
      </c>
      <c r="AG2631" t="s">
        <v>8617</v>
      </c>
      <c r="AH2631" t="s">
        <v>11678</v>
      </c>
    </row>
    <row r="2632" spans="1:34" x14ac:dyDescent="0.25">
      <c r="A2632">
        <v>44</v>
      </c>
      <c r="C2632" s="185"/>
      <c r="E2632" t="s">
        <v>386</v>
      </c>
      <c r="F2632" t="s">
        <v>11679</v>
      </c>
      <c r="G2632" t="s">
        <v>1238</v>
      </c>
      <c r="H2632" t="s">
        <v>9752</v>
      </c>
      <c r="I2632">
        <v>14718</v>
      </c>
      <c r="J2632" t="s">
        <v>11679</v>
      </c>
      <c r="K2632" t="s">
        <v>11680</v>
      </c>
      <c r="L2632" t="s">
        <v>386</v>
      </c>
      <c r="M2632" t="s">
        <v>1184</v>
      </c>
      <c r="N2632">
        <v>14718</v>
      </c>
      <c r="O2632">
        <v>0</v>
      </c>
      <c r="Q2632" t="s">
        <v>11681</v>
      </c>
      <c r="T2632">
        <v>260</v>
      </c>
      <c r="V2632" t="s">
        <v>1216</v>
      </c>
      <c r="W2632" t="s">
        <v>1216</v>
      </c>
      <c r="X2632">
        <v>260</v>
      </c>
      <c r="Z2632" t="s">
        <v>1052</v>
      </c>
      <c r="AA2632" t="s">
        <v>387</v>
      </c>
      <c r="AB2632">
        <v>0</v>
      </c>
      <c r="AC2632">
        <v>5593</v>
      </c>
      <c r="AD2632" t="s">
        <v>11682</v>
      </c>
      <c r="AE2632">
        <v>18</v>
      </c>
      <c r="AF2632" t="s">
        <v>1259</v>
      </c>
      <c r="AG2632" t="s">
        <v>1244</v>
      </c>
      <c r="AH2632" t="s">
        <v>11683</v>
      </c>
    </row>
    <row r="2633" spans="1:34" x14ac:dyDescent="0.25">
      <c r="A2633">
        <v>1</v>
      </c>
      <c r="C2633" s="185"/>
      <c r="E2633" t="s">
        <v>386</v>
      </c>
      <c r="F2633" t="s">
        <v>11684</v>
      </c>
      <c r="G2633" t="s">
        <v>1192</v>
      </c>
      <c r="I2633">
        <v>2438</v>
      </c>
      <c r="J2633" t="s">
        <v>11684</v>
      </c>
      <c r="K2633" t="s">
        <v>11684</v>
      </c>
      <c r="L2633" t="s">
        <v>386</v>
      </c>
      <c r="M2633" t="s">
        <v>1184</v>
      </c>
      <c r="N2633">
        <v>2438</v>
      </c>
      <c r="O2633">
        <v>0</v>
      </c>
      <c r="Q2633" t="s">
        <v>11685</v>
      </c>
      <c r="R2633" t="s">
        <v>1208</v>
      </c>
      <c r="T2633">
        <v>517</v>
      </c>
      <c r="V2633" t="s">
        <v>4167</v>
      </c>
      <c r="W2633" t="s">
        <v>1186</v>
      </c>
      <c r="X2633">
        <v>0</v>
      </c>
      <c r="Z2633" t="s">
        <v>865</v>
      </c>
      <c r="AA2633" t="s">
        <v>386</v>
      </c>
      <c r="AB2633">
        <v>0</v>
      </c>
      <c r="AC2633">
        <v>1766</v>
      </c>
      <c r="AD2633" t="s">
        <v>11686</v>
      </c>
      <c r="AE2633">
        <v>49</v>
      </c>
      <c r="AF2633" t="s">
        <v>4080</v>
      </c>
      <c r="AG2633" t="s">
        <v>3834</v>
      </c>
      <c r="AH2633" t="s">
        <v>11687</v>
      </c>
    </row>
    <row r="2634" spans="1:34" x14ac:dyDescent="0.25">
      <c r="A2634">
        <v>1</v>
      </c>
      <c r="C2634" s="185"/>
      <c r="E2634" t="s">
        <v>386</v>
      </c>
      <c r="F2634" t="s">
        <v>11688</v>
      </c>
      <c r="G2634" t="s">
        <v>1197</v>
      </c>
      <c r="H2634" t="s">
        <v>11689</v>
      </c>
      <c r="I2634">
        <v>15477</v>
      </c>
      <c r="J2634" t="s">
        <v>11688</v>
      </c>
      <c r="K2634" t="s">
        <v>11688</v>
      </c>
      <c r="L2634" t="s">
        <v>386</v>
      </c>
      <c r="M2634" t="s">
        <v>1193</v>
      </c>
      <c r="N2634">
        <v>15477</v>
      </c>
      <c r="O2634">
        <v>0</v>
      </c>
      <c r="Q2634" t="s">
        <v>11690</v>
      </c>
      <c r="T2634">
        <v>200</v>
      </c>
      <c r="V2634" t="s">
        <v>1199</v>
      </c>
      <c r="W2634" t="s">
        <v>1257</v>
      </c>
      <c r="X2634">
        <v>426</v>
      </c>
      <c r="Z2634" t="s">
        <v>865</v>
      </c>
      <c r="AA2634" t="s">
        <v>387</v>
      </c>
      <c r="AB2634">
        <v>0</v>
      </c>
      <c r="AC2634">
        <v>5842</v>
      </c>
      <c r="AD2634" t="s">
        <v>11691</v>
      </c>
      <c r="AE2634">
        <v>983</v>
      </c>
      <c r="AF2634" t="s">
        <v>2693</v>
      </c>
      <c r="AG2634" t="s">
        <v>11692</v>
      </c>
      <c r="AH2634" t="s">
        <v>11693</v>
      </c>
    </row>
    <row r="2635" spans="1:34" x14ac:dyDescent="0.25">
      <c r="A2635">
        <v>1257</v>
      </c>
      <c r="C2635" s="185">
        <v>39062</v>
      </c>
      <c r="E2635" t="s">
        <v>386</v>
      </c>
      <c r="F2635" t="s">
        <v>11694</v>
      </c>
      <c r="G2635" t="s">
        <v>1197</v>
      </c>
      <c r="H2635" t="s">
        <v>11695</v>
      </c>
      <c r="I2635">
        <v>8122</v>
      </c>
      <c r="J2635" t="s">
        <v>11694</v>
      </c>
      <c r="K2635" t="s">
        <v>11696</v>
      </c>
      <c r="L2635" t="s">
        <v>386</v>
      </c>
      <c r="M2635" t="s">
        <v>1193</v>
      </c>
      <c r="N2635">
        <v>8122</v>
      </c>
      <c r="O2635">
        <v>0</v>
      </c>
      <c r="Q2635" t="s">
        <v>11697</v>
      </c>
      <c r="R2635" t="s">
        <v>398</v>
      </c>
      <c r="T2635">
        <v>340</v>
      </c>
      <c r="V2635" t="s">
        <v>1200</v>
      </c>
      <c r="W2635" t="s">
        <v>1194</v>
      </c>
      <c r="X2635">
        <v>220</v>
      </c>
      <c r="Z2635" t="s">
        <v>2179</v>
      </c>
      <c r="AA2635" t="s">
        <v>387</v>
      </c>
      <c r="AB2635">
        <v>0</v>
      </c>
      <c r="AC2635">
        <v>3210</v>
      </c>
      <c r="AD2635" t="s">
        <v>11698</v>
      </c>
      <c r="AE2635">
        <v>2350</v>
      </c>
      <c r="AF2635" t="s">
        <v>11699</v>
      </c>
      <c r="AG2635" t="s">
        <v>11700</v>
      </c>
      <c r="AH2635" t="s">
        <v>11701</v>
      </c>
    </row>
    <row r="2636" spans="1:34" x14ac:dyDescent="0.25">
      <c r="A2636">
        <v>1257</v>
      </c>
      <c r="C2636" s="185"/>
      <c r="E2636" t="s">
        <v>386</v>
      </c>
      <c r="F2636" t="s">
        <v>7426</v>
      </c>
      <c r="G2636" t="s">
        <v>1197</v>
      </c>
      <c r="H2636" t="s">
        <v>11702</v>
      </c>
      <c r="I2636">
        <v>5500</v>
      </c>
      <c r="J2636" t="s">
        <v>7426</v>
      </c>
      <c r="K2636" t="s">
        <v>7426</v>
      </c>
      <c r="L2636" t="s">
        <v>386</v>
      </c>
      <c r="M2636" t="s">
        <v>1193</v>
      </c>
      <c r="N2636">
        <v>5500</v>
      </c>
      <c r="O2636">
        <v>0</v>
      </c>
      <c r="Q2636" t="s">
        <v>11703</v>
      </c>
      <c r="T2636">
        <v>39</v>
      </c>
      <c r="V2636" t="s">
        <v>2144</v>
      </c>
      <c r="Z2636" t="s">
        <v>2179</v>
      </c>
      <c r="AA2636" t="s">
        <v>387</v>
      </c>
      <c r="AB2636">
        <v>0</v>
      </c>
      <c r="AC2636">
        <v>2620</v>
      </c>
      <c r="AD2636" t="s">
        <v>11704</v>
      </c>
      <c r="AE2636">
        <v>1257</v>
      </c>
      <c r="AF2636" t="s">
        <v>11705</v>
      </c>
      <c r="AG2636" t="s">
        <v>3236</v>
      </c>
      <c r="AH2636" t="s">
        <v>11706</v>
      </c>
    </row>
    <row r="2637" spans="1:34" x14ac:dyDescent="0.25">
      <c r="A2637">
        <v>1257</v>
      </c>
      <c r="C2637" s="185"/>
      <c r="E2637" t="s">
        <v>386</v>
      </c>
      <c r="F2637" t="s">
        <v>11707</v>
      </c>
      <c r="G2637" t="s">
        <v>1197</v>
      </c>
      <c r="H2637" t="s">
        <v>11708</v>
      </c>
      <c r="I2637">
        <v>5559</v>
      </c>
      <c r="J2637" t="s">
        <v>11707</v>
      </c>
      <c r="K2637" t="s">
        <v>11707</v>
      </c>
      <c r="L2637" t="s">
        <v>386</v>
      </c>
      <c r="M2637" t="s">
        <v>1193</v>
      </c>
      <c r="N2637">
        <v>5559</v>
      </c>
      <c r="O2637">
        <v>0</v>
      </c>
      <c r="Q2637" t="s">
        <v>11709</v>
      </c>
      <c r="T2637">
        <v>39</v>
      </c>
      <c r="V2637" t="s">
        <v>2144</v>
      </c>
      <c r="Z2637" t="s">
        <v>2179</v>
      </c>
      <c r="AA2637" t="s">
        <v>387</v>
      </c>
      <c r="AB2637">
        <v>0</v>
      </c>
      <c r="AC2637">
        <v>2637</v>
      </c>
      <c r="AD2637" t="s">
        <v>11710</v>
      </c>
      <c r="AE2637">
        <v>1271</v>
      </c>
      <c r="AF2637" t="s">
        <v>11711</v>
      </c>
      <c r="AG2637" t="s">
        <v>11068</v>
      </c>
      <c r="AH2637" t="s">
        <v>11712</v>
      </c>
    </row>
    <row r="2638" spans="1:34" x14ac:dyDescent="0.25">
      <c r="A2638">
        <v>1257</v>
      </c>
      <c r="C2638" s="185"/>
      <c r="E2638" t="s">
        <v>386</v>
      </c>
      <c r="F2638" t="s">
        <v>11713</v>
      </c>
      <c r="G2638" t="s">
        <v>1197</v>
      </c>
      <c r="H2638" t="s">
        <v>11714</v>
      </c>
      <c r="I2638">
        <v>16874</v>
      </c>
      <c r="J2638" t="s">
        <v>11713</v>
      </c>
      <c r="K2638" t="s">
        <v>11713</v>
      </c>
      <c r="L2638" t="s">
        <v>386</v>
      </c>
      <c r="M2638" t="s">
        <v>1193</v>
      </c>
      <c r="N2638">
        <v>16874</v>
      </c>
      <c r="O2638">
        <v>39</v>
      </c>
      <c r="Q2638" t="s">
        <v>11715</v>
      </c>
      <c r="R2638" t="s">
        <v>398</v>
      </c>
      <c r="T2638">
        <v>396</v>
      </c>
      <c r="V2638" t="s">
        <v>2186</v>
      </c>
      <c r="W2638" t="s">
        <v>1530</v>
      </c>
      <c r="X2638">
        <v>103</v>
      </c>
      <c r="Z2638" t="s">
        <v>2179</v>
      </c>
      <c r="AA2638" t="s">
        <v>387</v>
      </c>
      <c r="AB2638">
        <v>31000</v>
      </c>
      <c r="AC2638">
        <v>6280</v>
      </c>
      <c r="AD2638" t="s">
        <v>11716</v>
      </c>
      <c r="AE2638">
        <v>2878</v>
      </c>
      <c r="AF2638" t="s">
        <v>11717</v>
      </c>
      <c r="AG2638" t="s">
        <v>11718</v>
      </c>
      <c r="AH2638" t="s">
        <v>11719</v>
      </c>
    </row>
    <row r="2639" spans="1:34" x14ac:dyDescent="0.25">
      <c r="A2639">
        <v>2176</v>
      </c>
      <c r="C2639" s="185"/>
      <c r="E2639" t="s">
        <v>386</v>
      </c>
      <c r="F2639" t="s">
        <v>11720</v>
      </c>
      <c r="G2639" t="s">
        <v>1197</v>
      </c>
      <c r="H2639" t="s">
        <v>11721</v>
      </c>
      <c r="I2639">
        <v>16337</v>
      </c>
      <c r="J2639" t="s">
        <v>11720</v>
      </c>
      <c r="K2639" t="s">
        <v>11720</v>
      </c>
      <c r="L2639" t="s">
        <v>386</v>
      </c>
      <c r="M2639" t="s">
        <v>1193</v>
      </c>
      <c r="N2639">
        <v>16337</v>
      </c>
      <c r="O2639">
        <v>0</v>
      </c>
      <c r="Q2639" t="s">
        <v>11722</v>
      </c>
      <c r="T2639">
        <v>496</v>
      </c>
      <c r="V2639" t="s">
        <v>2246</v>
      </c>
      <c r="W2639" t="s">
        <v>2246</v>
      </c>
      <c r="X2639">
        <v>496</v>
      </c>
      <c r="Z2639" t="s">
        <v>11723</v>
      </c>
      <c r="AA2639" t="s">
        <v>387</v>
      </c>
      <c r="AB2639">
        <v>0</v>
      </c>
      <c r="AC2639">
        <v>6128</v>
      </c>
      <c r="AD2639" t="s">
        <v>11724</v>
      </c>
      <c r="AE2639">
        <v>2809</v>
      </c>
      <c r="AF2639" t="s">
        <v>11725</v>
      </c>
      <c r="AG2639" t="s">
        <v>11726</v>
      </c>
      <c r="AH2639" t="s">
        <v>11727</v>
      </c>
    </row>
    <row r="2640" spans="1:34" x14ac:dyDescent="0.25">
      <c r="A2640">
        <v>1264</v>
      </c>
      <c r="C2640" s="185"/>
      <c r="E2640" t="s">
        <v>386</v>
      </c>
      <c r="F2640" t="s">
        <v>11728</v>
      </c>
      <c r="G2640" t="s">
        <v>1197</v>
      </c>
      <c r="H2640" t="s">
        <v>11729</v>
      </c>
      <c r="I2640">
        <v>16698</v>
      </c>
      <c r="J2640" t="s">
        <v>11728</v>
      </c>
      <c r="K2640" t="s">
        <v>11730</v>
      </c>
      <c r="L2640" t="s">
        <v>386</v>
      </c>
      <c r="M2640" t="s">
        <v>1193</v>
      </c>
      <c r="N2640">
        <v>16698</v>
      </c>
      <c r="O2640">
        <v>0</v>
      </c>
      <c r="Q2640" t="s">
        <v>11731</v>
      </c>
      <c r="T2640">
        <v>571</v>
      </c>
      <c r="V2640" t="s">
        <v>2003</v>
      </c>
      <c r="W2640" t="s">
        <v>2246</v>
      </c>
      <c r="X2640">
        <v>496</v>
      </c>
      <c r="Z2640" t="s">
        <v>11732</v>
      </c>
      <c r="AA2640" t="s">
        <v>387</v>
      </c>
      <c r="AB2640">
        <v>0</v>
      </c>
      <c r="AC2640">
        <v>318</v>
      </c>
      <c r="AD2640" t="s">
        <v>11733</v>
      </c>
      <c r="AE2640">
        <v>2854</v>
      </c>
      <c r="AF2640" t="s">
        <v>11734</v>
      </c>
      <c r="AG2640" t="s">
        <v>3084</v>
      </c>
      <c r="AH2640" t="s">
        <v>11735</v>
      </c>
    </row>
    <row r="2641" spans="1:34" x14ac:dyDescent="0.25">
      <c r="A2641">
        <v>1302</v>
      </c>
      <c r="B2641" t="s">
        <v>1313</v>
      </c>
      <c r="C2641" s="185"/>
      <c r="D2641" t="s">
        <v>24</v>
      </c>
      <c r="E2641" t="s">
        <v>386</v>
      </c>
      <c r="F2641" t="s">
        <v>55</v>
      </c>
      <c r="G2641" t="s">
        <v>1197</v>
      </c>
      <c r="H2641" t="s">
        <v>11736</v>
      </c>
      <c r="I2641">
        <v>1462</v>
      </c>
      <c r="J2641" t="s">
        <v>55</v>
      </c>
      <c r="K2641" t="s">
        <v>55</v>
      </c>
      <c r="L2641" t="s">
        <v>386</v>
      </c>
      <c r="M2641" t="s">
        <v>1193</v>
      </c>
      <c r="N2641">
        <v>1462</v>
      </c>
      <c r="O2641">
        <v>76</v>
      </c>
      <c r="Q2641" t="s">
        <v>11737</v>
      </c>
      <c r="R2641" t="s">
        <v>398</v>
      </c>
      <c r="S2641" t="s">
        <v>11738</v>
      </c>
      <c r="T2641">
        <v>220</v>
      </c>
      <c r="U2641">
        <v>0</v>
      </c>
      <c r="V2641" t="s">
        <v>1194</v>
      </c>
      <c r="W2641" t="s">
        <v>5678</v>
      </c>
      <c r="X2641">
        <v>449</v>
      </c>
      <c r="Y2641" t="s">
        <v>1317</v>
      </c>
      <c r="Z2641" t="s">
        <v>910</v>
      </c>
      <c r="AA2641" t="s">
        <v>387</v>
      </c>
      <c r="AB2641">
        <v>69000</v>
      </c>
      <c r="AC2641">
        <v>1116</v>
      </c>
      <c r="AD2641" t="s">
        <v>11739</v>
      </c>
      <c r="AE2641">
        <v>531</v>
      </c>
      <c r="AF2641" t="s">
        <v>11740</v>
      </c>
      <c r="AG2641" t="s">
        <v>3251</v>
      </c>
      <c r="AH2641" t="s">
        <v>11741</v>
      </c>
    </row>
    <row r="2642" spans="1:34" x14ac:dyDescent="0.25">
      <c r="A2642">
        <v>1</v>
      </c>
      <c r="C2642" s="185"/>
      <c r="E2642" t="s">
        <v>386</v>
      </c>
      <c r="F2642" t="s">
        <v>11742</v>
      </c>
      <c r="G2642" t="s">
        <v>1197</v>
      </c>
      <c r="H2642" t="s">
        <v>11743</v>
      </c>
      <c r="I2642">
        <v>7718</v>
      </c>
      <c r="J2642" t="s">
        <v>11742</v>
      </c>
      <c r="K2642" t="s">
        <v>11744</v>
      </c>
      <c r="L2642" t="s">
        <v>386</v>
      </c>
      <c r="M2642" t="s">
        <v>1193</v>
      </c>
      <c r="N2642">
        <v>7718</v>
      </c>
      <c r="O2642">
        <v>0</v>
      </c>
      <c r="Q2642" t="s">
        <v>11745</v>
      </c>
      <c r="T2642">
        <v>372</v>
      </c>
      <c r="V2642" t="s">
        <v>2073</v>
      </c>
      <c r="W2642" t="s">
        <v>1199</v>
      </c>
      <c r="X2642">
        <v>200</v>
      </c>
      <c r="Z2642" t="s">
        <v>865</v>
      </c>
      <c r="AA2642" t="s">
        <v>387</v>
      </c>
      <c r="AB2642">
        <v>0</v>
      </c>
      <c r="AC2642">
        <v>3211</v>
      </c>
      <c r="AD2642" t="s">
        <v>11746</v>
      </c>
      <c r="AE2642">
        <v>599</v>
      </c>
      <c r="AF2642" t="s">
        <v>11747</v>
      </c>
      <c r="AG2642" t="s">
        <v>2456</v>
      </c>
      <c r="AH2642" t="s">
        <v>11748</v>
      </c>
    </row>
    <row r="2643" spans="1:34" x14ac:dyDescent="0.25">
      <c r="A2643">
        <v>1</v>
      </c>
      <c r="C2643" s="185"/>
      <c r="E2643" t="s">
        <v>386</v>
      </c>
      <c r="F2643" t="s">
        <v>11749</v>
      </c>
      <c r="G2643" t="s">
        <v>1197</v>
      </c>
      <c r="H2643" t="s">
        <v>7427</v>
      </c>
      <c r="I2643">
        <v>15828</v>
      </c>
      <c r="J2643" t="s">
        <v>11749</v>
      </c>
      <c r="K2643" t="s">
        <v>11750</v>
      </c>
      <c r="L2643" t="s">
        <v>386</v>
      </c>
      <c r="M2643" t="s">
        <v>1193</v>
      </c>
      <c r="N2643">
        <v>15828</v>
      </c>
      <c r="O2643">
        <v>0</v>
      </c>
      <c r="Q2643" t="s">
        <v>11751</v>
      </c>
      <c r="R2643" t="s">
        <v>1208</v>
      </c>
      <c r="T2643">
        <v>103</v>
      </c>
      <c r="V2643" t="s">
        <v>1530</v>
      </c>
      <c r="W2643" t="s">
        <v>1530</v>
      </c>
      <c r="X2643">
        <v>103</v>
      </c>
      <c r="Z2643" t="s">
        <v>865</v>
      </c>
      <c r="AA2643" t="s">
        <v>387</v>
      </c>
      <c r="AB2643">
        <v>0</v>
      </c>
      <c r="AC2643">
        <v>826</v>
      </c>
      <c r="AD2643" t="s">
        <v>7429</v>
      </c>
      <c r="AE2643">
        <v>1720</v>
      </c>
      <c r="AF2643" t="s">
        <v>5929</v>
      </c>
      <c r="AG2643" t="s">
        <v>6234</v>
      </c>
      <c r="AH2643" t="s">
        <v>11752</v>
      </c>
    </row>
    <row r="2644" spans="1:34" x14ac:dyDescent="0.25">
      <c r="A2644">
        <v>1964</v>
      </c>
      <c r="C2644" s="185"/>
      <c r="E2644" t="s">
        <v>386</v>
      </c>
      <c r="F2644" t="s">
        <v>11753</v>
      </c>
      <c r="G2644" t="s">
        <v>1197</v>
      </c>
      <c r="H2644" t="s">
        <v>11754</v>
      </c>
      <c r="I2644">
        <v>11563</v>
      </c>
      <c r="J2644" t="s">
        <v>11753</v>
      </c>
      <c r="K2644" t="s">
        <v>11753</v>
      </c>
      <c r="L2644" t="s">
        <v>386</v>
      </c>
      <c r="M2644" t="s">
        <v>1193</v>
      </c>
      <c r="N2644">
        <v>11563</v>
      </c>
      <c r="O2644">
        <v>0</v>
      </c>
      <c r="Q2644" t="s">
        <v>11755</v>
      </c>
      <c r="R2644" t="s">
        <v>1208</v>
      </c>
      <c r="T2644">
        <v>260</v>
      </c>
      <c r="V2644" t="s">
        <v>1216</v>
      </c>
      <c r="Z2644" t="s">
        <v>11756</v>
      </c>
      <c r="AA2644" t="s">
        <v>387</v>
      </c>
      <c r="AB2644">
        <v>0</v>
      </c>
      <c r="AC2644">
        <v>4416</v>
      </c>
      <c r="AD2644" t="s">
        <v>11757</v>
      </c>
      <c r="AE2644">
        <v>2045</v>
      </c>
      <c r="AF2644" t="s">
        <v>11758</v>
      </c>
      <c r="AG2644" t="s">
        <v>11478</v>
      </c>
    </row>
    <row r="2645" spans="1:34" x14ac:dyDescent="0.25">
      <c r="A2645">
        <v>1915</v>
      </c>
      <c r="C2645" s="185"/>
      <c r="E2645" t="s">
        <v>386</v>
      </c>
      <c r="F2645" t="s">
        <v>11759</v>
      </c>
      <c r="G2645" t="s">
        <v>1197</v>
      </c>
      <c r="H2645" t="s">
        <v>11760</v>
      </c>
      <c r="I2645">
        <v>17237</v>
      </c>
      <c r="J2645" t="s">
        <v>11759</v>
      </c>
      <c r="K2645" t="s">
        <v>11761</v>
      </c>
      <c r="L2645" t="s">
        <v>386</v>
      </c>
      <c r="M2645" t="s">
        <v>1193</v>
      </c>
      <c r="N2645">
        <v>17237</v>
      </c>
      <c r="O2645">
        <v>76</v>
      </c>
      <c r="Q2645" t="s">
        <v>11762</v>
      </c>
      <c r="R2645" t="s">
        <v>398</v>
      </c>
      <c r="T2645">
        <v>220</v>
      </c>
      <c r="V2645" t="s">
        <v>1194</v>
      </c>
      <c r="W2645" t="s">
        <v>2073</v>
      </c>
      <c r="X2645">
        <v>372</v>
      </c>
      <c r="Z2645" t="s">
        <v>11763</v>
      </c>
      <c r="AA2645" t="s">
        <v>387</v>
      </c>
      <c r="AB2645">
        <v>0</v>
      </c>
      <c r="AC2645">
        <v>6492</v>
      </c>
      <c r="AD2645" t="s">
        <v>11764</v>
      </c>
      <c r="AE2645">
        <v>2995</v>
      </c>
      <c r="AF2645" t="s">
        <v>11765</v>
      </c>
      <c r="AG2645" t="s">
        <v>1244</v>
      </c>
      <c r="AH2645" t="s">
        <v>11766</v>
      </c>
    </row>
    <row r="2646" spans="1:34" x14ac:dyDescent="0.25">
      <c r="A2646">
        <v>1915</v>
      </c>
      <c r="C2646" s="185"/>
      <c r="E2646" t="s">
        <v>386</v>
      </c>
      <c r="F2646" t="s">
        <v>11767</v>
      </c>
      <c r="G2646" t="s">
        <v>1197</v>
      </c>
      <c r="H2646" t="s">
        <v>11768</v>
      </c>
      <c r="I2646">
        <v>12654</v>
      </c>
      <c r="J2646" t="s">
        <v>11767</v>
      </c>
      <c r="K2646" t="s">
        <v>11769</v>
      </c>
      <c r="L2646" t="s">
        <v>386</v>
      </c>
      <c r="M2646" t="s">
        <v>1193</v>
      </c>
      <c r="N2646">
        <v>12654</v>
      </c>
      <c r="O2646">
        <v>0</v>
      </c>
      <c r="Q2646" t="s">
        <v>11770</v>
      </c>
      <c r="R2646" t="s">
        <v>398</v>
      </c>
      <c r="T2646">
        <v>340</v>
      </c>
      <c r="V2646" t="s">
        <v>1200</v>
      </c>
      <c r="W2646" t="s">
        <v>2067</v>
      </c>
      <c r="X2646">
        <v>304</v>
      </c>
      <c r="Z2646" t="s">
        <v>11763</v>
      </c>
      <c r="AA2646" t="s">
        <v>387</v>
      </c>
      <c r="AB2646">
        <v>0</v>
      </c>
      <c r="AC2646">
        <v>4726</v>
      </c>
      <c r="AD2646" t="s">
        <v>11771</v>
      </c>
      <c r="AE2646">
        <v>907</v>
      </c>
      <c r="AF2646" t="s">
        <v>11772</v>
      </c>
      <c r="AG2646" t="s">
        <v>1244</v>
      </c>
      <c r="AH2646" t="s">
        <v>11773</v>
      </c>
    </row>
    <row r="2647" spans="1:34" x14ac:dyDescent="0.25">
      <c r="A2647">
        <v>1915</v>
      </c>
      <c r="C2647" s="185"/>
      <c r="E2647" t="s">
        <v>386</v>
      </c>
      <c r="F2647" t="s">
        <v>11774</v>
      </c>
      <c r="G2647" t="s">
        <v>1197</v>
      </c>
      <c r="H2647" t="s">
        <v>11768</v>
      </c>
      <c r="I2647">
        <v>12700</v>
      </c>
      <c r="J2647" t="s">
        <v>11774</v>
      </c>
      <c r="K2647" t="s">
        <v>11774</v>
      </c>
      <c r="L2647" t="s">
        <v>386</v>
      </c>
      <c r="M2647" t="s">
        <v>1193</v>
      </c>
      <c r="N2647">
        <v>12700</v>
      </c>
      <c r="O2647">
        <v>0</v>
      </c>
      <c r="Q2647" t="s">
        <v>11775</v>
      </c>
      <c r="R2647" t="s">
        <v>1208</v>
      </c>
      <c r="T2647">
        <v>304</v>
      </c>
      <c r="V2647" t="s">
        <v>2067</v>
      </c>
      <c r="Z2647" t="s">
        <v>11763</v>
      </c>
      <c r="AA2647" t="s">
        <v>387</v>
      </c>
      <c r="AB2647">
        <v>0</v>
      </c>
      <c r="AC2647">
        <v>4746</v>
      </c>
      <c r="AD2647" t="s">
        <v>11776</v>
      </c>
      <c r="AE2647">
        <v>2191</v>
      </c>
      <c r="AF2647" t="s">
        <v>11777</v>
      </c>
      <c r="AG2647" t="s">
        <v>2044</v>
      </c>
      <c r="AH2647" t="s">
        <v>11778</v>
      </c>
    </row>
    <row r="2648" spans="1:34" x14ac:dyDescent="0.25">
      <c r="A2648">
        <v>1881</v>
      </c>
      <c r="C2648" s="185"/>
      <c r="E2648" t="s">
        <v>386</v>
      </c>
      <c r="F2648" t="s">
        <v>11779</v>
      </c>
      <c r="G2648" t="s">
        <v>1197</v>
      </c>
      <c r="H2648" t="s">
        <v>11780</v>
      </c>
      <c r="I2648">
        <v>13008</v>
      </c>
      <c r="J2648" t="s">
        <v>11779</v>
      </c>
      <c r="K2648" t="s">
        <v>11779</v>
      </c>
      <c r="L2648" t="s">
        <v>386</v>
      </c>
      <c r="M2648" t="s">
        <v>1193</v>
      </c>
      <c r="N2648">
        <v>13008</v>
      </c>
      <c r="O2648">
        <v>0</v>
      </c>
      <c r="Q2648" t="s">
        <v>11781</v>
      </c>
      <c r="R2648" t="s">
        <v>398</v>
      </c>
      <c r="T2648">
        <v>372</v>
      </c>
      <c r="V2648" t="s">
        <v>2073</v>
      </c>
      <c r="Z2648" t="s">
        <v>11782</v>
      </c>
      <c r="AA2648" t="s">
        <v>387</v>
      </c>
      <c r="AB2648">
        <v>0</v>
      </c>
      <c r="AC2648">
        <v>4852</v>
      </c>
      <c r="AD2648" t="s">
        <v>11783</v>
      </c>
      <c r="AE2648">
        <v>1209</v>
      </c>
      <c r="AF2648" t="s">
        <v>11784</v>
      </c>
      <c r="AG2648" t="s">
        <v>11785</v>
      </c>
      <c r="AH2648" t="s">
        <v>11786</v>
      </c>
    </row>
    <row r="2649" spans="1:34" x14ac:dyDescent="0.25">
      <c r="A2649">
        <v>1881</v>
      </c>
      <c r="C2649" s="185"/>
      <c r="E2649" t="s">
        <v>386</v>
      </c>
      <c r="F2649" t="s">
        <v>11787</v>
      </c>
      <c r="G2649" t="s">
        <v>1197</v>
      </c>
      <c r="H2649" t="s">
        <v>11780</v>
      </c>
      <c r="I2649">
        <v>13919</v>
      </c>
      <c r="J2649" t="s">
        <v>11787</v>
      </c>
      <c r="K2649" t="s">
        <v>11788</v>
      </c>
      <c r="L2649" t="s">
        <v>386</v>
      </c>
      <c r="M2649" t="s">
        <v>1193</v>
      </c>
      <c r="N2649">
        <v>13919</v>
      </c>
      <c r="O2649">
        <v>0</v>
      </c>
      <c r="Q2649" t="s">
        <v>11789</v>
      </c>
      <c r="R2649" t="s">
        <v>1208</v>
      </c>
      <c r="T2649">
        <v>571</v>
      </c>
      <c r="V2649" t="s">
        <v>2003</v>
      </c>
      <c r="W2649" t="s">
        <v>1530</v>
      </c>
      <c r="X2649">
        <v>103</v>
      </c>
      <c r="Z2649" t="s">
        <v>11782</v>
      </c>
      <c r="AA2649" t="s">
        <v>387</v>
      </c>
      <c r="AB2649">
        <v>0</v>
      </c>
      <c r="AC2649">
        <v>583</v>
      </c>
      <c r="AD2649" t="s">
        <v>2615</v>
      </c>
      <c r="AE2649">
        <v>1209</v>
      </c>
      <c r="AF2649" t="s">
        <v>11784</v>
      </c>
      <c r="AG2649" t="s">
        <v>11790</v>
      </c>
      <c r="AH2649" t="s">
        <v>11791</v>
      </c>
    </row>
    <row r="2650" spans="1:34" x14ac:dyDescent="0.25">
      <c r="A2650">
        <v>1149</v>
      </c>
      <c r="C2650" s="185"/>
      <c r="E2650" t="s">
        <v>386</v>
      </c>
      <c r="F2650" t="s">
        <v>11792</v>
      </c>
      <c r="G2650" t="s">
        <v>1238</v>
      </c>
      <c r="H2650" t="s">
        <v>5004</v>
      </c>
      <c r="I2650">
        <v>13055</v>
      </c>
      <c r="J2650" t="s">
        <v>11792</v>
      </c>
      <c r="K2650" t="s">
        <v>11793</v>
      </c>
      <c r="L2650" t="s">
        <v>386</v>
      </c>
      <c r="M2650" t="s">
        <v>1184</v>
      </c>
      <c r="N2650">
        <v>13055</v>
      </c>
      <c r="O2650">
        <v>0</v>
      </c>
      <c r="Q2650" t="s">
        <v>11794</v>
      </c>
      <c r="R2650" t="s">
        <v>398</v>
      </c>
      <c r="T2650">
        <v>571</v>
      </c>
      <c r="V2650" t="s">
        <v>2003</v>
      </c>
      <c r="W2650" t="s">
        <v>1712</v>
      </c>
      <c r="X2650">
        <v>388</v>
      </c>
      <c r="Z2650" t="s">
        <v>5007</v>
      </c>
      <c r="AA2650" t="s">
        <v>387</v>
      </c>
      <c r="AB2650">
        <v>0</v>
      </c>
      <c r="AC2650">
        <v>4874</v>
      </c>
      <c r="AD2650" t="s">
        <v>11795</v>
      </c>
      <c r="AE2650">
        <v>2254</v>
      </c>
      <c r="AF2650" t="s">
        <v>11796</v>
      </c>
      <c r="AG2650" t="s">
        <v>1244</v>
      </c>
    </row>
    <row r="2651" spans="1:34" x14ac:dyDescent="0.25">
      <c r="A2651">
        <v>128</v>
      </c>
      <c r="C2651" s="185"/>
      <c r="E2651" t="s">
        <v>386</v>
      </c>
      <c r="F2651" t="s">
        <v>11797</v>
      </c>
      <c r="G2651" t="s">
        <v>1197</v>
      </c>
      <c r="H2651" t="s">
        <v>11798</v>
      </c>
      <c r="I2651">
        <v>13206</v>
      </c>
      <c r="J2651" t="s">
        <v>11797</v>
      </c>
      <c r="K2651" t="s">
        <v>11799</v>
      </c>
      <c r="L2651" t="s">
        <v>386</v>
      </c>
      <c r="M2651" t="s">
        <v>1193</v>
      </c>
      <c r="N2651">
        <v>13206</v>
      </c>
      <c r="O2651">
        <v>0</v>
      </c>
      <c r="Q2651" t="s">
        <v>11800</v>
      </c>
      <c r="R2651" t="s">
        <v>398</v>
      </c>
      <c r="T2651">
        <v>372</v>
      </c>
      <c r="V2651" t="s">
        <v>2073</v>
      </c>
      <c r="W2651" t="s">
        <v>2073</v>
      </c>
      <c r="X2651">
        <v>372</v>
      </c>
      <c r="Z2651" t="s">
        <v>991</v>
      </c>
      <c r="AA2651" t="s">
        <v>387</v>
      </c>
      <c r="AB2651">
        <v>0</v>
      </c>
      <c r="AC2651">
        <v>4943</v>
      </c>
      <c r="AD2651" t="s">
        <v>11801</v>
      </c>
      <c r="AE2651">
        <v>246</v>
      </c>
      <c r="AF2651" t="s">
        <v>7455</v>
      </c>
      <c r="AG2651" t="s">
        <v>1244</v>
      </c>
      <c r="AH2651" t="s">
        <v>11802</v>
      </c>
    </row>
    <row r="2652" spans="1:34" x14ac:dyDescent="0.25">
      <c r="A2652">
        <v>128</v>
      </c>
      <c r="C2652" s="185"/>
      <c r="E2652" t="s">
        <v>386</v>
      </c>
      <c r="F2652" t="s">
        <v>11803</v>
      </c>
      <c r="G2652" t="s">
        <v>1197</v>
      </c>
      <c r="H2652" t="s">
        <v>11804</v>
      </c>
      <c r="I2652">
        <v>13245</v>
      </c>
      <c r="J2652" t="s">
        <v>11805</v>
      </c>
      <c r="K2652" t="s">
        <v>11806</v>
      </c>
      <c r="L2652" t="s">
        <v>386</v>
      </c>
      <c r="M2652" t="s">
        <v>1193</v>
      </c>
      <c r="N2652">
        <v>15338</v>
      </c>
      <c r="O2652">
        <v>52</v>
      </c>
      <c r="Q2652" t="s">
        <v>11807</v>
      </c>
      <c r="R2652" t="s">
        <v>398</v>
      </c>
      <c r="T2652">
        <v>272</v>
      </c>
      <c r="V2652" t="s">
        <v>2107</v>
      </c>
      <c r="W2652" t="s">
        <v>3321</v>
      </c>
      <c r="X2652">
        <v>246</v>
      </c>
      <c r="Z2652" t="s">
        <v>991</v>
      </c>
      <c r="AA2652" t="s">
        <v>387</v>
      </c>
      <c r="AB2652">
        <v>44000</v>
      </c>
      <c r="AC2652">
        <v>4962</v>
      </c>
      <c r="AD2652" t="s">
        <v>11808</v>
      </c>
      <c r="AE2652">
        <v>2290</v>
      </c>
      <c r="AF2652" t="s">
        <v>11809</v>
      </c>
      <c r="AG2652" t="s">
        <v>11810</v>
      </c>
      <c r="AH2652" t="s">
        <v>11811</v>
      </c>
    </row>
    <row r="2653" spans="1:34" x14ac:dyDescent="0.25">
      <c r="A2653">
        <v>128</v>
      </c>
      <c r="C2653" s="185"/>
      <c r="D2653" t="s">
        <v>157</v>
      </c>
      <c r="E2653" t="s">
        <v>386</v>
      </c>
      <c r="F2653" t="s">
        <v>111</v>
      </c>
      <c r="G2653" t="s">
        <v>1197</v>
      </c>
      <c r="H2653" t="s">
        <v>11812</v>
      </c>
      <c r="I2653">
        <v>14107</v>
      </c>
      <c r="J2653" t="s">
        <v>111</v>
      </c>
      <c r="K2653" t="s">
        <v>11813</v>
      </c>
      <c r="L2653" t="s">
        <v>386</v>
      </c>
      <c r="M2653" t="s">
        <v>1193</v>
      </c>
      <c r="N2653">
        <v>14107</v>
      </c>
      <c r="O2653">
        <v>52</v>
      </c>
      <c r="Q2653" t="s">
        <v>11814</v>
      </c>
      <c r="R2653" t="s">
        <v>398</v>
      </c>
      <c r="T2653">
        <v>340</v>
      </c>
      <c r="V2653" t="s">
        <v>1200</v>
      </c>
      <c r="W2653" t="s">
        <v>2107</v>
      </c>
      <c r="X2653">
        <v>272</v>
      </c>
      <c r="Z2653" t="s">
        <v>991</v>
      </c>
      <c r="AA2653" t="s">
        <v>387</v>
      </c>
      <c r="AB2653">
        <v>44000</v>
      </c>
      <c r="AC2653">
        <v>5333</v>
      </c>
      <c r="AD2653" t="s">
        <v>11815</v>
      </c>
      <c r="AE2653">
        <v>2474</v>
      </c>
      <c r="AF2653" t="s">
        <v>11816</v>
      </c>
      <c r="AG2653" t="s">
        <v>11817</v>
      </c>
      <c r="AH2653" t="s">
        <v>11818</v>
      </c>
    </row>
    <row r="2654" spans="1:34" x14ac:dyDescent="0.25">
      <c r="A2654">
        <v>128</v>
      </c>
      <c r="B2654" t="s">
        <v>1313</v>
      </c>
      <c r="C2654" s="185"/>
      <c r="D2654" t="s">
        <v>24</v>
      </c>
      <c r="E2654" t="s">
        <v>386</v>
      </c>
      <c r="F2654" t="s">
        <v>11819</v>
      </c>
      <c r="G2654" t="s">
        <v>1197</v>
      </c>
      <c r="H2654" t="s">
        <v>11820</v>
      </c>
      <c r="I2654">
        <v>564</v>
      </c>
      <c r="J2654" t="s">
        <v>11819</v>
      </c>
      <c r="K2654" t="s">
        <v>6244</v>
      </c>
      <c r="L2654" t="s">
        <v>386</v>
      </c>
      <c r="M2654" t="s">
        <v>1193</v>
      </c>
      <c r="N2654">
        <v>564</v>
      </c>
      <c r="O2654">
        <v>76</v>
      </c>
      <c r="Q2654" t="s">
        <v>11821</v>
      </c>
      <c r="R2654" t="s">
        <v>398</v>
      </c>
      <c r="S2654" t="s">
        <v>1909</v>
      </c>
      <c r="T2654">
        <v>220</v>
      </c>
      <c r="U2654">
        <v>0</v>
      </c>
      <c r="V2654" t="s">
        <v>1194</v>
      </c>
      <c r="W2654" t="s">
        <v>1194</v>
      </c>
      <c r="X2654">
        <v>220</v>
      </c>
      <c r="Y2654" t="s">
        <v>1317</v>
      </c>
      <c r="Z2654" t="s">
        <v>991</v>
      </c>
      <c r="AA2654" t="s">
        <v>387</v>
      </c>
      <c r="AB2654">
        <v>0</v>
      </c>
      <c r="AC2654">
        <v>543</v>
      </c>
      <c r="AD2654" t="s">
        <v>11822</v>
      </c>
      <c r="AE2654">
        <v>245</v>
      </c>
      <c r="AF2654" t="s">
        <v>11823</v>
      </c>
      <c r="AG2654" t="s">
        <v>1931</v>
      </c>
      <c r="AH2654" t="s">
        <v>11824</v>
      </c>
    </row>
    <row r="2655" spans="1:34" x14ac:dyDescent="0.25">
      <c r="A2655">
        <v>1553</v>
      </c>
      <c r="C2655" s="185"/>
      <c r="E2655" t="s">
        <v>386</v>
      </c>
      <c r="F2655" t="s">
        <v>359</v>
      </c>
      <c r="G2655" t="s">
        <v>1197</v>
      </c>
      <c r="H2655" t="s">
        <v>1239</v>
      </c>
      <c r="I2655">
        <v>3260</v>
      </c>
      <c r="J2655" t="s">
        <v>11825</v>
      </c>
      <c r="K2655" t="s">
        <v>11826</v>
      </c>
      <c r="L2655" t="s">
        <v>386</v>
      </c>
      <c r="M2655" t="s">
        <v>1193</v>
      </c>
      <c r="N2655">
        <v>15345</v>
      </c>
      <c r="O2655">
        <v>10</v>
      </c>
      <c r="Q2655" t="s">
        <v>11827</v>
      </c>
      <c r="R2655" t="s">
        <v>398</v>
      </c>
      <c r="T2655">
        <v>200</v>
      </c>
      <c r="V2655" t="s">
        <v>1199</v>
      </c>
      <c r="W2655" t="s">
        <v>1186</v>
      </c>
      <c r="X2655">
        <v>0</v>
      </c>
      <c r="Z2655" t="s">
        <v>968</v>
      </c>
      <c r="AA2655" t="s">
        <v>387</v>
      </c>
      <c r="AB2655">
        <v>6000</v>
      </c>
      <c r="AC2655">
        <v>2154</v>
      </c>
      <c r="AD2655" t="s">
        <v>6889</v>
      </c>
      <c r="AE2655">
        <v>1032</v>
      </c>
      <c r="AF2655" t="s">
        <v>6890</v>
      </c>
      <c r="AG2655" t="s">
        <v>1244</v>
      </c>
    </row>
    <row r="2656" spans="1:34" x14ac:dyDescent="0.25">
      <c r="A2656">
        <v>128</v>
      </c>
      <c r="C2656" s="185"/>
      <c r="E2656" t="s">
        <v>386</v>
      </c>
      <c r="F2656" t="s">
        <v>11828</v>
      </c>
      <c r="G2656" t="s">
        <v>1197</v>
      </c>
      <c r="H2656" t="s">
        <v>11829</v>
      </c>
      <c r="I2656">
        <v>13295</v>
      </c>
      <c r="J2656" t="s">
        <v>11828</v>
      </c>
      <c r="K2656" t="s">
        <v>11828</v>
      </c>
      <c r="L2656" t="s">
        <v>386</v>
      </c>
      <c r="M2656" t="s">
        <v>1193</v>
      </c>
      <c r="N2656">
        <v>13295</v>
      </c>
      <c r="O2656">
        <v>0</v>
      </c>
      <c r="Q2656" t="s">
        <v>11830</v>
      </c>
      <c r="R2656" t="s">
        <v>1208</v>
      </c>
      <c r="T2656">
        <v>571</v>
      </c>
      <c r="V2656" t="s">
        <v>2003</v>
      </c>
      <c r="W2656" t="s">
        <v>2067</v>
      </c>
      <c r="X2656">
        <v>304</v>
      </c>
      <c r="Z2656" t="s">
        <v>991</v>
      </c>
      <c r="AA2656" t="s">
        <v>387</v>
      </c>
      <c r="AB2656">
        <v>0</v>
      </c>
      <c r="AC2656">
        <v>311</v>
      </c>
      <c r="AD2656" t="s">
        <v>11831</v>
      </c>
      <c r="AE2656">
        <v>1</v>
      </c>
      <c r="AF2656" t="s">
        <v>1922</v>
      </c>
      <c r="AG2656" t="s">
        <v>6208</v>
      </c>
      <c r="AH2656" t="s">
        <v>11832</v>
      </c>
    </row>
    <row r="2657" spans="1:34" x14ac:dyDescent="0.25">
      <c r="A2657">
        <v>128</v>
      </c>
      <c r="C2657" s="185"/>
      <c r="E2657" t="s">
        <v>386</v>
      </c>
      <c r="F2657" t="s">
        <v>11833</v>
      </c>
      <c r="G2657" t="s">
        <v>1197</v>
      </c>
      <c r="H2657" t="s">
        <v>11834</v>
      </c>
      <c r="I2657">
        <v>12667</v>
      </c>
      <c r="J2657" t="s">
        <v>11833</v>
      </c>
      <c r="K2657" t="s">
        <v>11835</v>
      </c>
      <c r="L2657" t="s">
        <v>386</v>
      </c>
      <c r="M2657" t="s">
        <v>1193</v>
      </c>
      <c r="N2657">
        <v>12667</v>
      </c>
      <c r="O2657">
        <v>0</v>
      </c>
      <c r="Q2657" t="s">
        <v>11836</v>
      </c>
      <c r="R2657" t="s">
        <v>1208</v>
      </c>
      <c r="T2657">
        <v>571</v>
      </c>
      <c r="V2657" t="s">
        <v>2003</v>
      </c>
      <c r="W2657" t="s">
        <v>2067</v>
      </c>
      <c r="X2657">
        <v>304</v>
      </c>
      <c r="Z2657" t="s">
        <v>991</v>
      </c>
      <c r="AA2657" t="s">
        <v>387</v>
      </c>
      <c r="AB2657">
        <v>0</v>
      </c>
      <c r="AC2657">
        <v>4729</v>
      </c>
      <c r="AD2657" t="s">
        <v>11837</v>
      </c>
      <c r="AE2657">
        <v>2184</v>
      </c>
      <c r="AF2657" t="s">
        <v>11838</v>
      </c>
      <c r="AG2657" t="s">
        <v>8224</v>
      </c>
      <c r="AH2657" t="s">
        <v>11839</v>
      </c>
    </row>
    <row r="2658" spans="1:34" x14ac:dyDescent="0.25">
      <c r="A2658">
        <v>128</v>
      </c>
      <c r="B2658" t="s">
        <v>1313</v>
      </c>
      <c r="C2658" s="185"/>
      <c r="D2658" t="s">
        <v>24</v>
      </c>
      <c r="E2658" t="s">
        <v>386</v>
      </c>
      <c r="F2658" t="s">
        <v>11840</v>
      </c>
      <c r="G2658" t="s">
        <v>1197</v>
      </c>
      <c r="H2658" t="s">
        <v>11820</v>
      </c>
      <c r="I2658">
        <v>1864</v>
      </c>
      <c r="J2658" t="s">
        <v>11840</v>
      </c>
      <c r="K2658" t="s">
        <v>11841</v>
      </c>
      <c r="L2658" t="s">
        <v>386</v>
      </c>
      <c r="M2658" t="s">
        <v>1193</v>
      </c>
      <c r="N2658">
        <v>1864</v>
      </c>
      <c r="O2658">
        <v>23</v>
      </c>
      <c r="Q2658" t="s">
        <v>11842</v>
      </c>
      <c r="R2658" t="s">
        <v>398</v>
      </c>
      <c r="S2658" t="s">
        <v>1909</v>
      </c>
      <c r="T2658">
        <v>185</v>
      </c>
      <c r="U2658">
        <v>0</v>
      </c>
      <c r="V2658" t="s">
        <v>1915</v>
      </c>
      <c r="Y2658" t="s">
        <v>1317</v>
      </c>
      <c r="Z2658" t="s">
        <v>991</v>
      </c>
      <c r="AA2658" t="s">
        <v>387</v>
      </c>
      <c r="AB2658">
        <v>17000</v>
      </c>
      <c r="AC2658">
        <v>543</v>
      </c>
      <c r="AD2658" t="s">
        <v>11822</v>
      </c>
      <c r="AE2658">
        <v>666</v>
      </c>
      <c r="AF2658" t="s">
        <v>11843</v>
      </c>
      <c r="AG2658" t="s">
        <v>1931</v>
      </c>
    </row>
    <row r="2659" spans="1:34" x14ac:dyDescent="0.25">
      <c r="A2659">
        <v>128</v>
      </c>
      <c r="C2659" s="185"/>
      <c r="D2659" t="s">
        <v>157</v>
      </c>
      <c r="E2659" t="s">
        <v>386</v>
      </c>
      <c r="F2659" t="s">
        <v>784</v>
      </c>
      <c r="G2659" t="s">
        <v>1197</v>
      </c>
      <c r="H2659" t="s">
        <v>11844</v>
      </c>
      <c r="I2659">
        <v>15905</v>
      </c>
      <c r="J2659" t="s">
        <v>750</v>
      </c>
      <c r="K2659" t="s">
        <v>7189</v>
      </c>
      <c r="L2659" t="s">
        <v>386</v>
      </c>
      <c r="M2659" t="s">
        <v>1193</v>
      </c>
      <c r="N2659">
        <v>17696</v>
      </c>
      <c r="O2659">
        <v>70</v>
      </c>
      <c r="Q2659" t="s">
        <v>11845</v>
      </c>
      <c r="R2659" t="s">
        <v>398</v>
      </c>
      <c r="T2659">
        <v>200</v>
      </c>
      <c r="V2659" t="s">
        <v>1199</v>
      </c>
      <c r="W2659" t="s">
        <v>1199</v>
      </c>
      <c r="X2659">
        <v>200</v>
      </c>
      <c r="Z2659" t="s">
        <v>991</v>
      </c>
      <c r="AA2659" t="s">
        <v>387</v>
      </c>
      <c r="AB2659">
        <v>62000</v>
      </c>
      <c r="AC2659">
        <v>543</v>
      </c>
      <c r="AD2659" t="s">
        <v>11822</v>
      </c>
      <c r="AE2659">
        <v>2756</v>
      </c>
      <c r="AF2659" t="s">
        <v>11846</v>
      </c>
      <c r="AG2659" t="s">
        <v>8736</v>
      </c>
      <c r="AH2659" t="s">
        <v>7193</v>
      </c>
    </row>
    <row r="2660" spans="1:34" x14ac:dyDescent="0.25">
      <c r="A2660">
        <v>6</v>
      </c>
      <c r="C2660" s="185"/>
      <c r="E2660" t="s">
        <v>386</v>
      </c>
      <c r="F2660" t="s">
        <v>359</v>
      </c>
      <c r="G2660" t="s">
        <v>1197</v>
      </c>
      <c r="H2660" t="s">
        <v>5892</v>
      </c>
      <c r="I2660">
        <v>905</v>
      </c>
      <c r="J2660" t="s">
        <v>11847</v>
      </c>
      <c r="K2660" t="s">
        <v>7607</v>
      </c>
      <c r="L2660" t="s">
        <v>386</v>
      </c>
      <c r="M2660" t="s">
        <v>1193</v>
      </c>
      <c r="N2660">
        <v>15345</v>
      </c>
      <c r="O2660">
        <v>76</v>
      </c>
      <c r="Q2660" t="s">
        <v>11848</v>
      </c>
      <c r="R2660" t="s">
        <v>398</v>
      </c>
      <c r="T2660">
        <v>220</v>
      </c>
      <c r="V2660" t="s">
        <v>1194</v>
      </c>
      <c r="W2660" t="s">
        <v>1199</v>
      </c>
      <c r="X2660">
        <v>200</v>
      </c>
      <c r="Z2660" t="s">
        <v>892</v>
      </c>
      <c r="AA2660" t="s">
        <v>387</v>
      </c>
      <c r="AB2660">
        <v>42000</v>
      </c>
      <c r="AC2660">
        <v>182</v>
      </c>
      <c r="AD2660" t="s">
        <v>5896</v>
      </c>
      <c r="AE2660">
        <v>107</v>
      </c>
      <c r="AF2660" t="s">
        <v>1235</v>
      </c>
      <c r="AG2660" t="s">
        <v>5897</v>
      </c>
      <c r="AH2660" t="s">
        <v>5898</v>
      </c>
    </row>
    <row r="2661" spans="1:34" x14ac:dyDescent="0.25">
      <c r="A2661">
        <v>6</v>
      </c>
      <c r="C2661" s="185"/>
      <c r="D2661" t="s">
        <v>24</v>
      </c>
      <c r="E2661" t="s">
        <v>386</v>
      </c>
      <c r="F2661" t="s">
        <v>359</v>
      </c>
      <c r="G2661" t="s">
        <v>1197</v>
      </c>
      <c r="H2661" t="s">
        <v>5892</v>
      </c>
      <c r="I2661">
        <v>904</v>
      </c>
      <c r="J2661" t="s">
        <v>11849</v>
      </c>
      <c r="K2661" t="s">
        <v>7607</v>
      </c>
      <c r="L2661" t="s">
        <v>386</v>
      </c>
      <c r="M2661" t="s">
        <v>1193</v>
      </c>
      <c r="N2661">
        <v>15345</v>
      </c>
      <c r="O2661">
        <v>76</v>
      </c>
      <c r="Q2661" t="s">
        <v>11850</v>
      </c>
      <c r="R2661" t="s">
        <v>398</v>
      </c>
      <c r="T2661">
        <v>220</v>
      </c>
      <c r="V2661" t="s">
        <v>1194</v>
      </c>
      <c r="W2661" t="s">
        <v>1199</v>
      </c>
      <c r="X2661">
        <v>200</v>
      </c>
      <c r="Z2661" t="s">
        <v>892</v>
      </c>
      <c r="AA2661" t="s">
        <v>387</v>
      </c>
      <c r="AB2661">
        <v>0</v>
      </c>
      <c r="AC2661">
        <v>182</v>
      </c>
      <c r="AD2661" t="s">
        <v>5896</v>
      </c>
      <c r="AE2661">
        <v>107</v>
      </c>
      <c r="AF2661" t="s">
        <v>1235</v>
      </c>
      <c r="AG2661" t="s">
        <v>5897</v>
      </c>
      <c r="AH2661" t="s">
        <v>5898</v>
      </c>
    </row>
    <row r="2662" spans="1:34" x14ac:dyDescent="0.25">
      <c r="A2662">
        <v>1934</v>
      </c>
      <c r="C2662" s="185"/>
      <c r="E2662" t="s">
        <v>386</v>
      </c>
      <c r="F2662" t="s">
        <v>11851</v>
      </c>
      <c r="G2662" t="s">
        <v>1197</v>
      </c>
      <c r="H2662" t="s">
        <v>11852</v>
      </c>
      <c r="I2662">
        <v>14954</v>
      </c>
      <c r="J2662" t="s">
        <v>11851</v>
      </c>
      <c r="K2662" t="s">
        <v>11853</v>
      </c>
      <c r="L2662" t="s">
        <v>386</v>
      </c>
      <c r="M2662" t="s">
        <v>1193</v>
      </c>
      <c r="N2662">
        <v>14954</v>
      </c>
      <c r="O2662">
        <v>76</v>
      </c>
      <c r="Q2662" t="s">
        <v>11854</v>
      </c>
      <c r="R2662" t="s">
        <v>398</v>
      </c>
      <c r="T2662">
        <v>220</v>
      </c>
      <c r="V2662" t="s">
        <v>1194</v>
      </c>
      <c r="W2662" t="s">
        <v>1194</v>
      </c>
      <c r="X2662">
        <v>220</v>
      </c>
      <c r="Z2662" t="s">
        <v>3748</v>
      </c>
      <c r="AA2662" t="s">
        <v>387</v>
      </c>
      <c r="AB2662">
        <v>0</v>
      </c>
      <c r="AC2662">
        <v>5686</v>
      </c>
      <c r="AD2662" t="s">
        <v>11855</v>
      </c>
      <c r="AE2662">
        <v>269</v>
      </c>
      <c r="AF2662" t="s">
        <v>11856</v>
      </c>
      <c r="AG2662" t="s">
        <v>1244</v>
      </c>
      <c r="AH2662" t="s">
        <v>11857</v>
      </c>
    </row>
    <row r="2663" spans="1:34" x14ac:dyDescent="0.25">
      <c r="A2663">
        <v>1934</v>
      </c>
      <c r="C2663" s="185"/>
      <c r="E2663" t="s">
        <v>386</v>
      </c>
      <c r="F2663" t="s">
        <v>11803</v>
      </c>
      <c r="G2663" t="s">
        <v>1197</v>
      </c>
      <c r="H2663" t="s">
        <v>11858</v>
      </c>
      <c r="I2663">
        <v>12696</v>
      </c>
      <c r="J2663" t="s">
        <v>390</v>
      </c>
      <c r="K2663" t="s">
        <v>11806</v>
      </c>
      <c r="L2663" t="s">
        <v>386</v>
      </c>
      <c r="M2663" t="s">
        <v>1193</v>
      </c>
      <c r="N2663">
        <v>15338</v>
      </c>
      <c r="O2663">
        <v>52</v>
      </c>
      <c r="Q2663" t="s">
        <v>11859</v>
      </c>
      <c r="R2663" t="s">
        <v>398</v>
      </c>
      <c r="T2663">
        <v>272</v>
      </c>
      <c r="V2663" t="s">
        <v>2107</v>
      </c>
      <c r="W2663" t="s">
        <v>3202</v>
      </c>
      <c r="X2663">
        <v>280</v>
      </c>
      <c r="Z2663" t="s">
        <v>3748</v>
      </c>
      <c r="AA2663" t="s">
        <v>387</v>
      </c>
      <c r="AB2663">
        <v>44000</v>
      </c>
      <c r="AC2663">
        <v>4742</v>
      </c>
      <c r="AD2663" t="s">
        <v>11860</v>
      </c>
      <c r="AE2663">
        <v>2190</v>
      </c>
      <c r="AF2663" t="s">
        <v>11861</v>
      </c>
      <c r="AG2663" t="s">
        <v>11862</v>
      </c>
      <c r="AH2663" t="s">
        <v>11863</v>
      </c>
    </row>
    <row r="2664" spans="1:34" x14ac:dyDescent="0.25">
      <c r="A2664">
        <v>1934</v>
      </c>
      <c r="C2664" s="185"/>
      <c r="E2664" t="s">
        <v>386</v>
      </c>
      <c r="F2664" t="s">
        <v>11864</v>
      </c>
      <c r="G2664" t="s">
        <v>1197</v>
      </c>
      <c r="H2664" t="s">
        <v>11852</v>
      </c>
      <c r="I2664">
        <v>12800</v>
      </c>
      <c r="J2664" t="s">
        <v>11864</v>
      </c>
      <c r="K2664" t="s">
        <v>11864</v>
      </c>
      <c r="L2664" t="s">
        <v>386</v>
      </c>
      <c r="M2664" t="s">
        <v>1193</v>
      </c>
      <c r="N2664">
        <v>12800</v>
      </c>
      <c r="O2664">
        <v>0</v>
      </c>
      <c r="Q2664" t="s">
        <v>11865</v>
      </c>
      <c r="R2664" t="s">
        <v>398</v>
      </c>
      <c r="T2664">
        <v>304</v>
      </c>
      <c r="V2664" t="s">
        <v>2067</v>
      </c>
      <c r="Z2664" t="s">
        <v>3748</v>
      </c>
      <c r="AA2664" t="s">
        <v>387</v>
      </c>
      <c r="AB2664">
        <v>0</v>
      </c>
      <c r="AC2664">
        <v>4783</v>
      </c>
      <c r="AD2664" t="s">
        <v>11866</v>
      </c>
      <c r="AE2664">
        <v>2203</v>
      </c>
      <c r="AF2664" t="s">
        <v>11867</v>
      </c>
      <c r="AG2664" t="s">
        <v>1244</v>
      </c>
      <c r="AH2664" t="s">
        <v>11868</v>
      </c>
    </row>
    <row r="2665" spans="1:34" x14ac:dyDescent="0.25">
      <c r="A2665">
        <v>1815</v>
      </c>
      <c r="C2665" s="185"/>
      <c r="E2665" t="s">
        <v>386</v>
      </c>
      <c r="F2665" t="s">
        <v>11869</v>
      </c>
      <c r="G2665" t="s">
        <v>1238</v>
      </c>
      <c r="H2665" t="s">
        <v>4951</v>
      </c>
      <c r="I2665">
        <v>15159</v>
      </c>
      <c r="J2665" t="s">
        <v>11869</v>
      </c>
      <c r="K2665" t="s">
        <v>11870</v>
      </c>
      <c r="L2665" t="s">
        <v>386</v>
      </c>
      <c r="M2665" t="s">
        <v>1184</v>
      </c>
      <c r="N2665">
        <v>15159</v>
      </c>
      <c r="O2665">
        <v>0</v>
      </c>
      <c r="Q2665" t="s">
        <v>11871</v>
      </c>
      <c r="T2665">
        <v>426</v>
      </c>
      <c r="V2665" t="s">
        <v>1257</v>
      </c>
      <c r="W2665" t="s">
        <v>1257</v>
      </c>
      <c r="X2665">
        <v>426</v>
      </c>
      <c r="Z2665" t="s">
        <v>4953</v>
      </c>
      <c r="AA2665" t="s">
        <v>387</v>
      </c>
      <c r="AB2665">
        <v>7000</v>
      </c>
      <c r="AC2665">
        <v>5750</v>
      </c>
      <c r="AD2665" t="s">
        <v>10515</v>
      </c>
      <c r="AE2665">
        <v>18</v>
      </c>
      <c r="AF2665" t="s">
        <v>1259</v>
      </c>
      <c r="AG2665" t="s">
        <v>1244</v>
      </c>
      <c r="AH2665" t="s">
        <v>11872</v>
      </c>
    </row>
    <row r="2666" spans="1:34" x14ac:dyDescent="0.25">
      <c r="A2666">
        <v>1311</v>
      </c>
      <c r="C2666" s="185"/>
      <c r="E2666" t="s">
        <v>386</v>
      </c>
      <c r="F2666" t="s">
        <v>11873</v>
      </c>
      <c r="G2666" t="s">
        <v>1197</v>
      </c>
      <c r="H2666" t="s">
        <v>11874</v>
      </c>
      <c r="I2666">
        <v>5656</v>
      </c>
      <c r="J2666" t="s">
        <v>11873</v>
      </c>
      <c r="K2666" t="s">
        <v>11873</v>
      </c>
      <c r="L2666" t="s">
        <v>386</v>
      </c>
      <c r="M2666" t="s">
        <v>1193</v>
      </c>
      <c r="N2666">
        <v>5656</v>
      </c>
      <c r="O2666">
        <v>0</v>
      </c>
      <c r="Q2666" t="s">
        <v>11875</v>
      </c>
      <c r="T2666">
        <v>39</v>
      </c>
      <c r="V2666" t="s">
        <v>2144</v>
      </c>
      <c r="Z2666" t="s">
        <v>11876</v>
      </c>
      <c r="AA2666" t="s">
        <v>387</v>
      </c>
      <c r="AB2666">
        <v>0</v>
      </c>
      <c r="AC2666">
        <v>2667</v>
      </c>
      <c r="AD2666" t="s">
        <v>11877</v>
      </c>
      <c r="AE2666">
        <v>573</v>
      </c>
      <c r="AF2666" t="s">
        <v>11878</v>
      </c>
      <c r="AG2666" t="s">
        <v>11879</v>
      </c>
      <c r="AH2666" t="s">
        <v>11880</v>
      </c>
    </row>
    <row r="2667" spans="1:34" x14ac:dyDescent="0.25">
      <c r="A2667">
        <v>174</v>
      </c>
      <c r="C2667" s="185"/>
      <c r="E2667" t="s">
        <v>386</v>
      </c>
      <c r="F2667" t="s">
        <v>11881</v>
      </c>
      <c r="G2667" t="s">
        <v>1197</v>
      </c>
      <c r="H2667" t="s">
        <v>11882</v>
      </c>
      <c r="I2667">
        <v>4573</v>
      </c>
      <c r="J2667" t="s">
        <v>11881</v>
      </c>
      <c r="K2667" t="s">
        <v>11883</v>
      </c>
      <c r="L2667" t="s">
        <v>386</v>
      </c>
      <c r="M2667" t="s">
        <v>1193</v>
      </c>
      <c r="N2667">
        <v>4573</v>
      </c>
      <c r="O2667">
        <v>0</v>
      </c>
      <c r="Q2667" t="s">
        <v>11884</v>
      </c>
      <c r="T2667">
        <v>52</v>
      </c>
      <c r="V2667" t="s">
        <v>2024</v>
      </c>
      <c r="Z2667" t="s">
        <v>11885</v>
      </c>
      <c r="AA2667" t="s">
        <v>387</v>
      </c>
      <c r="AB2667">
        <v>0</v>
      </c>
      <c r="AC2667">
        <v>2364</v>
      </c>
      <c r="AD2667" t="s">
        <v>11886</v>
      </c>
      <c r="AE2667">
        <v>1133</v>
      </c>
      <c r="AF2667" t="s">
        <v>11887</v>
      </c>
      <c r="AG2667" t="s">
        <v>11888</v>
      </c>
      <c r="AH2667" t="s">
        <v>11889</v>
      </c>
    </row>
    <row r="2668" spans="1:34" x14ac:dyDescent="0.25">
      <c r="A2668">
        <v>2159</v>
      </c>
      <c r="C2668" s="185"/>
      <c r="E2668" t="s">
        <v>386</v>
      </c>
      <c r="F2668" t="s">
        <v>11890</v>
      </c>
      <c r="G2668" t="s">
        <v>1197</v>
      </c>
      <c r="H2668" t="s">
        <v>11891</v>
      </c>
      <c r="I2668">
        <v>15922</v>
      </c>
      <c r="J2668" t="s">
        <v>11890</v>
      </c>
      <c r="K2668" t="s">
        <v>11892</v>
      </c>
      <c r="L2668" t="s">
        <v>386</v>
      </c>
      <c r="M2668" t="s">
        <v>1193</v>
      </c>
      <c r="N2668">
        <v>15922</v>
      </c>
      <c r="O2668">
        <v>0</v>
      </c>
      <c r="Q2668" t="s">
        <v>11893</v>
      </c>
      <c r="R2668" t="s">
        <v>1208</v>
      </c>
      <c r="T2668">
        <v>39</v>
      </c>
      <c r="V2668" t="s">
        <v>2144</v>
      </c>
      <c r="W2668" t="s">
        <v>2144</v>
      </c>
      <c r="X2668">
        <v>39</v>
      </c>
      <c r="Z2668" t="s">
        <v>11894</v>
      </c>
      <c r="AA2668" t="s">
        <v>387</v>
      </c>
      <c r="AB2668">
        <v>0</v>
      </c>
      <c r="AC2668">
        <v>921</v>
      </c>
      <c r="AD2668" t="s">
        <v>2919</v>
      </c>
      <c r="AE2668">
        <v>1526</v>
      </c>
      <c r="AF2668" t="s">
        <v>4797</v>
      </c>
      <c r="AG2668" t="s">
        <v>11068</v>
      </c>
      <c r="AH2668" t="s">
        <v>11895</v>
      </c>
    </row>
    <row r="2669" spans="1:34" x14ac:dyDescent="0.25">
      <c r="A2669">
        <v>70</v>
      </c>
      <c r="B2669" t="s">
        <v>1313</v>
      </c>
      <c r="C2669" s="185"/>
      <c r="E2669" t="s">
        <v>386</v>
      </c>
      <c r="F2669" t="s">
        <v>11896</v>
      </c>
      <c r="G2669" t="s">
        <v>1197</v>
      </c>
      <c r="H2669" t="s">
        <v>11897</v>
      </c>
      <c r="I2669">
        <v>511</v>
      </c>
      <c r="J2669" t="s">
        <v>11896</v>
      </c>
      <c r="K2669" t="s">
        <v>11896</v>
      </c>
      <c r="L2669" t="s">
        <v>386</v>
      </c>
      <c r="M2669" t="s">
        <v>1193</v>
      </c>
      <c r="N2669">
        <v>511</v>
      </c>
      <c r="O2669">
        <v>0</v>
      </c>
      <c r="Q2669" t="s">
        <v>11898</v>
      </c>
      <c r="S2669" t="s">
        <v>1315</v>
      </c>
      <c r="T2669">
        <v>0</v>
      </c>
      <c r="U2669">
        <v>0</v>
      </c>
      <c r="V2669" t="s">
        <v>1186</v>
      </c>
      <c r="Y2669" t="s">
        <v>1317</v>
      </c>
      <c r="Z2669" t="s">
        <v>11899</v>
      </c>
      <c r="AA2669" t="s">
        <v>387</v>
      </c>
      <c r="AB2669">
        <v>0</v>
      </c>
      <c r="AC2669">
        <v>508</v>
      </c>
      <c r="AD2669" t="s">
        <v>11900</v>
      </c>
      <c r="AE2669">
        <v>225</v>
      </c>
      <c r="AF2669" t="s">
        <v>8648</v>
      </c>
      <c r="AG2669" t="s">
        <v>2473</v>
      </c>
    </row>
    <row r="2670" spans="1:34" x14ac:dyDescent="0.25">
      <c r="A2670">
        <v>21</v>
      </c>
      <c r="C2670" s="185"/>
      <c r="E2670" t="s">
        <v>386</v>
      </c>
      <c r="F2670" t="s">
        <v>11901</v>
      </c>
      <c r="G2670" t="s">
        <v>1197</v>
      </c>
      <c r="H2670" t="s">
        <v>11902</v>
      </c>
      <c r="I2670">
        <v>5396</v>
      </c>
      <c r="J2670" t="s">
        <v>11901</v>
      </c>
      <c r="K2670" t="s">
        <v>11901</v>
      </c>
      <c r="L2670" t="s">
        <v>386</v>
      </c>
      <c r="M2670" t="s">
        <v>1193</v>
      </c>
      <c r="N2670">
        <v>5396</v>
      </c>
      <c r="O2670">
        <v>0</v>
      </c>
      <c r="Q2670" t="s">
        <v>11903</v>
      </c>
      <c r="T2670">
        <v>103</v>
      </c>
      <c r="V2670" t="s">
        <v>1530</v>
      </c>
      <c r="Z2670" t="s">
        <v>11904</v>
      </c>
      <c r="AA2670" t="s">
        <v>387</v>
      </c>
      <c r="AB2670">
        <v>0</v>
      </c>
      <c r="AC2670">
        <v>697</v>
      </c>
      <c r="AD2670" t="s">
        <v>4862</v>
      </c>
      <c r="AE2670">
        <v>1241</v>
      </c>
      <c r="AF2670" t="s">
        <v>11905</v>
      </c>
      <c r="AG2670" t="s">
        <v>1244</v>
      </c>
    </row>
    <row r="2671" spans="1:34" x14ac:dyDescent="0.25">
      <c r="A2671">
        <v>21</v>
      </c>
      <c r="C2671" s="185"/>
      <c r="E2671" t="s">
        <v>386</v>
      </c>
      <c r="F2671" t="s">
        <v>11906</v>
      </c>
      <c r="H2671" t="s">
        <v>11907</v>
      </c>
      <c r="I2671">
        <v>17593</v>
      </c>
      <c r="J2671" t="s">
        <v>11906</v>
      </c>
      <c r="K2671" t="s">
        <v>11908</v>
      </c>
      <c r="L2671" t="s">
        <v>386</v>
      </c>
      <c r="M2671" t="s">
        <v>1193</v>
      </c>
      <c r="N2671">
        <v>17593</v>
      </c>
      <c r="O2671">
        <v>0</v>
      </c>
      <c r="Q2671" t="s">
        <v>11909</v>
      </c>
      <c r="R2671" t="s">
        <v>1208</v>
      </c>
      <c r="T2671">
        <v>52</v>
      </c>
      <c r="V2671" t="s">
        <v>2024</v>
      </c>
      <c r="W2671" t="s">
        <v>1265</v>
      </c>
      <c r="X2671">
        <v>152</v>
      </c>
      <c r="Z2671" t="s">
        <v>11904</v>
      </c>
      <c r="AA2671" t="s">
        <v>386</v>
      </c>
      <c r="AB2671">
        <v>0</v>
      </c>
      <c r="AC2671">
        <v>0</v>
      </c>
      <c r="AD2671" t="s">
        <v>1187</v>
      </c>
      <c r="AE2671">
        <v>0</v>
      </c>
      <c r="AF2671" t="s">
        <v>1188</v>
      </c>
    </row>
    <row r="2672" spans="1:34" x14ac:dyDescent="0.25">
      <c r="A2672">
        <v>1792</v>
      </c>
      <c r="C2672" s="185"/>
      <c r="E2672" t="s">
        <v>386</v>
      </c>
      <c r="F2672" t="s">
        <v>11910</v>
      </c>
      <c r="G2672" t="s">
        <v>1238</v>
      </c>
      <c r="H2672" t="s">
        <v>4919</v>
      </c>
      <c r="I2672">
        <v>15659</v>
      </c>
      <c r="J2672" t="s">
        <v>11910</v>
      </c>
      <c r="K2672" t="s">
        <v>11911</v>
      </c>
      <c r="L2672" t="s">
        <v>386</v>
      </c>
      <c r="M2672" t="s">
        <v>1184</v>
      </c>
      <c r="N2672">
        <v>15659</v>
      </c>
      <c r="O2672">
        <v>0</v>
      </c>
      <c r="Q2672" t="s">
        <v>11912</v>
      </c>
      <c r="T2672">
        <v>260</v>
      </c>
      <c r="V2672" t="s">
        <v>1216</v>
      </c>
      <c r="W2672" t="s">
        <v>1216</v>
      </c>
      <c r="X2672">
        <v>260</v>
      </c>
      <c r="Z2672" t="s">
        <v>1053</v>
      </c>
      <c r="AA2672" t="s">
        <v>387</v>
      </c>
      <c r="AB2672">
        <v>0</v>
      </c>
      <c r="AC2672">
        <v>5907</v>
      </c>
      <c r="AD2672" t="s">
        <v>11913</v>
      </c>
      <c r="AE2672">
        <v>18</v>
      </c>
      <c r="AF2672" t="s">
        <v>1259</v>
      </c>
      <c r="AG2672" t="s">
        <v>1244</v>
      </c>
      <c r="AH2672" t="s">
        <v>11914</v>
      </c>
    </row>
    <row r="2673" spans="1:34" x14ac:dyDescent="0.25">
      <c r="A2673">
        <v>204</v>
      </c>
      <c r="C2673" s="185"/>
      <c r="E2673" t="s">
        <v>386</v>
      </c>
      <c r="F2673" t="s">
        <v>11915</v>
      </c>
      <c r="G2673" t="s">
        <v>1197</v>
      </c>
      <c r="H2673" t="s">
        <v>11916</v>
      </c>
      <c r="I2673">
        <v>13425</v>
      </c>
      <c r="J2673" t="s">
        <v>11915</v>
      </c>
      <c r="K2673" t="s">
        <v>11917</v>
      </c>
      <c r="L2673" t="s">
        <v>386</v>
      </c>
      <c r="M2673" t="s">
        <v>1193</v>
      </c>
      <c r="N2673">
        <v>13425</v>
      </c>
      <c r="O2673">
        <v>0</v>
      </c>
      <c r="Q2673" t="s">
        <v>11918</v>
      </c>
      <c r="R2673" t="s">
        <v>1208</v>
      </c>
      <c r="T2673">
        <v>571</v>
      </c>
      <c r="V2673" t="s">
        <v>2003</v>
      </c>
      <c r="W2673" t="s">
        <v>2015</v>
      </c>
      <c r="X2673">
        <v>35</v>
      </c>
      <c r="Z2673" t="s">
        <v>11919</v>
      </c>
      <c r="AA2673" t="s">
        <v>387</v>
      </c>
      <c r="AB2673">
        <v>0</v>
      </c>
      <c r="AC2673">
        <v>5036</v>
      </c>
      <c r="AD2673" t="s">
        <v>11920</v>
      </c>
      <c r="AE2673">
        <v>2332</v>
      </c>
      <c r="AF2673" t="s">
        <v>11921</v>
      </c>
      <c r="AG2673" t="s">
        <v>11922</v>
      </c>
      <c r="AH2673" t="s">
        <v>11923</v>
      </c>
    </row>
    <row r="2674" spans="1:34" x14ac:dyDescent="0.25">
      <c r="A2674">
        <v>164</v>
      </c>
      <c r="C2674" s="185"/>
      <c r="E2674" t="s">
        <v>386</v>
      </c>
      <c r="F2674" t="s">
        <v>11924</v>
      </c>
      <c r="H2674" t="s">
        <v>11925</v>
      </c>
      <c r="I2674">
        <v>10010</v>
      </c>
      <c r="J2674" t="s">
        <v>11924</v>
      </c>
      <c r="K2674" t="s">
        <v>11924</v>
      </c>
      <c r="L2674" t="s">
        <v>386</v>
      </c>
      <c r="M2674" t="s">
        <v>1193</v>
      </c>
      <c r="N2674">
        <v>10010</v>
      </c>
      <c r="O2674">
        <v>0</v>
      </c>
      <c r="Q2674" t="s">
        <v>11926</v>
      </c>
      <c r="T2674">
        <v>260</v>
      </c>
      <c r="V2674" t="s">
        <v>1216</v>
      </c>
      <c r="Z2674" t="s">
        <v>11927</v>
      </c>
      <c r="AA2674" t="s">
        <v>387</v>
      </c>
      <c r="AB2674">
        <v>0</v>
      </c>
      <c r="AC2674">
        <v>3940</v>
      </c>
      <c r="AD2674" t="s">
        <v>11928</v>
      </c>
      <c r="AE2674">
        <v>1816</v>
      </c>
      <c r="AF2674" t="s">
        <v>11929</v>
      </c>
      <c r="AG2674" t="s">
        <v>11930</v>
      </c>
    </row>
    <row r="2675" spans="1:34" x14ac:dyDescent="0.25">
      <c r="A2675">
        <v>138</v>
      </c>
      <c r="C2675" s="185"/>
      <c r="E2675" t="s">
        <v>386</v>
      </c>
      <c r="F2675" t="s">
        <v>11931</v>
      </c>
      <c r="G2675" t="s">
        <v>1238</v>
      </c>
      <c r="H2675" t="s">
        <v>3717</v>
      </c>
      <c r="I2675">
        <v>14957</v>
      </c>
      <c r="J2675" t="s">
        <v>11931</v>
      </c>
      <c r="K2675" t="s">
        <v>11932</v>
      </c>
      <c r="L2675" t="s">
        <v>386</v>
      </c>
      <c r="M2675" t="s">
        <v>1193</v>
      </c>
      <c r="N2675">
        <v>14957</v>
      </c>
      <c r="O2675">
        <v>0</v>
      </c>
      <c r="Q2675" t="s">
        <v>11933</v>
      </c>
      <c r="T2675">
        <v>426</v>
      </c>
      <c r="V2675" t="s">
        <v>1257</v>
      </c>
      <c r="W2675" t="s">
        <v>1257</v>
      </c>
      <c r="X2675">
        <v>426</v>
      </c>
      <c r="Z2675" t="s">
        <v>3613</v>
      </c>
      <c r="AA2675" t="s">
        <v>387</v>
      </c>
      <c r="AB2675">
        <v>0</v>
      </c>
      <c r="AC2675">
        <v>5689</v>
      </c>
      <c r="AD2675" t="s">
        <v>11934</v>
      </c>
      <c r="AE2675">
        <v>481</v>
      </c>
      <c r="AF2675" t="s">
        <v>3443</v>
      </c>
      <c r="AG2675" t="s">
        <v>1244</v>
      </c>
      <c r="AH2675" t="s">
        <v>11935</v>
      </c>
    </row>
    <row r="2676" spans="1:34" x14ac:dyDescent="0.25">
      <c r="A2676">
        <v>138</v>
      </c>
      <c r="C2676" s="185"/>
      <c r="D2676" t="s">
        <v>24</v>
      </c>
      <c r="E2676" t="s">
        <v>386</v>
      </c>
      <c r="F2676" t="s">
        <v>11936</v>
      </c>
      <c r="G2676" t="s">
        <v>1197</v>
      </c>
      <c r="H2676" t="s">
        <v>3717</v>
      </c>
      <c r="I2676">
        <v>894</v>
      </c>
      <c r="J2676" t="s">
        <v>11936</v>
      </c>
      <c r="K2676" t="s">
        <v>11937</v>
      </c>
      <c r="L2676" t="s">
        <v>386</v>
      </c>
      <c r="M2676" t="s">
        <v>1193</v>
      </c>
      <c r="N2676">
        <v>894</v>
      </c>
      <c r="O2676">
        <v>8</v>
      </c>
      <c r="Q2676" t="s">
        <v>11938</v>
      </c>
      <c r="T2676">
        <v>0</v>
      </c>
      <c r="V2676" t="s">
        <v>1186</v>
      </c>
      <c r="Z2676" t="s">
        <v>3613</v>
      </c>
      <c r="AA2676" t="s">
        <v>387</v>
      </c>
      <c r="AB2676">
        <v>2000</v>
      </c>
      <c r="AC2676">
        <v>769</v>
      </c>
      <c r="AD2676" t="s">
        <v>11939</v>
      </c>
      <c r="AE2676">
        <v>370</v>
      </c>
      <c r="AF2676" t="s">
        <v>11940</v>
      </c>
      <c r="AG2676" t="s">
        <v>4604</v>
      </c>
      <c r="AH2676" t="s">
        <v>11941</v>
      </c>
    </row>
    <row r="2677" spans="1:34" x14ac:dyDescent="0.25">
      <c r="A2677">
        <v>1</v>
      </c>
      <c r="C2677" s="185"/>
      <c r="E2677" t="s">
        <v>386</v>
      </c>
      <c r="F2677" t="s">
        <v>11942</v>
      </c>
      <c r="G2677" t="s">
        <v>1197</v>
      </c>
      <c r="H2677" t="s">
        <v>11943</v>
      </c>
      <c r="I2677">
        <v>16167</v>
      </c>
      <c r="J2677" t="s">
        <v>11942</v>
      </c>
      <c r="K2677" t="s">
        <v>11944</v>
      </c>
      <c r="L2677" t="s">
        <v>386</v>
      </c>
      <c r="M2677" t="s">
        <v>1193</v>
      </c>
      <c r="N2677">
        <v>16167</v>
      </c>
      <c r="O2677">
        <v>0</v>
      </c>
      <c r="Q2677" t="s">
        <v>11945</v>
      </c>
      <c r="T2677">
        <v>52</v>
      </c>
      <c r="V2677" t="s">
        <v>2024</v>
      </c>
      <c r="W2677" t="s">
        <v>2246</v>
      </c>
      <c r="X2677">
        <v>496</v>
      </c>
      <c r="Z2677" t="s">
        <v>865</v>
      </c>
      <c r="AA2677" t="s">
        <v>387</v>
      </c>
      <c r="AB2677">
        <v>0</v>
      </c>
      <c r="AC2677">
        <v>6078</v>
      </c>
      <c r="AD2677" t="s">
        <v>11946</v>
      </c>
      <c r="AE2677">
        <v>994</v>
      </c>
      <c r="AF2677" t="s">
        <v>3706</v>
      </c>
      <c r="AG2677" t="s">
        <v>2487</v>
      </c>
      <c r="AH2677" t="s">
        <v>11947</v>
      </c>
    </row>
    <row r="2678" spans="1:34" x14ac:dyDescent="0.25">
      <c r="A2678">
        <v>1256</v>
      </c>
      <c r="C2678" s="185"/>
      <c r="D2678" t="s">
        <v>157</v>
      </c>
      <c r="E2678" t="s">
        <v>386</v>
      </c>
      <c r="F2678" t="s">
        <v>11948</v>
      </c>
      <c r="G2678" t="s">
        <v>1197</v>
      </c>
      <c r="H2678" t="s">
        <v>4645</v>
      </c>
      <c r="I2678">
        <v>10790</v>
      </c>
      <c r="J2678" t="s">
        <v>11948</v>
      </c>
      <c r="K2678" t="s">
        <v>11948</v>
      </c>
      <c r="L2678" t="s">
        <v>386</v>
      </c>
      <c r="M2678" t="s">
        <v>1193</v>
      </c>
      <c r="N2678">
        <v>10790</v>
      </c>
      <c r="O2678">
        <v>30</v>
      </c>
      <c r="Q2678" t="s">
        <v>11949</v>
      </c>
      <c r="R2678" t="s">
        <v>398</v>
      </c>
      <c r="T2678">
        <v>287</v>
      </c>
      <c r="V2678" t="s">
        <v>1233</v>
      </c>
      <c r="Z2678" t="s">
        <v>4648</v>
      </c>
      <c r="AA2678" t="s">
        <v>387</v>
      </c>
      <c r="AB2678">
        <v>0</v>
      </c>
      <c r="AC2678">
        <v>4138</v>
      </c>
      <c r="AD2678" t="s">
        <v>11950</v>
      </c>
      <c r="AE2678">
        <v>246</v>
      </c>
      <c r="AF2678" t="s">
        <v>7455</v>
      </c>
      <c r="AG2678" t="s">
        <v>11951</v>
      </c>
    </row>
    <row r="2679" spans="1:34" x14ac:dyDescent="0.25">
      <c r="A2679">
        <v>1828</v>
      </c>
      <c r="C2679" s="185"/>
      <c r="E2679" t="s">
        <v>386</v>
      </c>
      <c r="F2679" t="s">
        <v>11952</v>
      </c>
      <c r="G2679" t="s">
        <v>4184</v>
      </c>
      <c r="H2679" t="s">
        <v>11953</v>
      </c>
      <c r="I2679">
        <v>8510</v>
      </c>
      <c r="J2679" t="s">
        <v>11952</v>
      </c>
      <c r="K2679" t="s">
        <v>11948</v>
      </c>
      <c r="L2679" t="s">
        <v>386</v>
      </c>
      <c r="M2679" t="s">
        <v>1193</v>
      </c>
      <c r="N2679">
        <v>8510</v>
      </c>
      <c r="O2679">
        <v>0</v>
      </c>
      <c r="Q2679" t="s">
        <v>11954</v>
      </c>
      <c r="R2679" t="s">
        <v>398</v>
      </c>
      <c r="T2679">
        <v>23</v>
      </c>
      <c r="V2679" t="s">
        <v>1981</v>
      </c>
      <c r="Z2679" t="s">
        <v>11955</v>
      </c>
      <c r="AA2679" t="s">
        <v>387</v>
      </c>
      <c r="AB2679">
        <v>0</v>
      </c>
      <c r="AC2679">
        <v>3411</v>
      </c>
      <c r="AD2679" t="s">
        <v>11956</v>
      </c>
      <c r="AE2679">
        <v>1</v>
      </c>
      <c r="AF2679" t="s">
        <v>1922</v>
      </c>
      <c r="AG2679" t="s">
        <v>5593</v>
      </c>
    </row>
    <row r="2680" spans="1:34" x14ac:dyDescent="0.25">
      <c r="A2680">
        <v>1829</v>
      </c>
      <c r="C2680" s="185"/>
      <c r="E2680" t="s">
        <v>386</v>
      </c>
      <c r="F2680" t="s">
        <v>1897</v>
      </c>
      <c r="H2680" t="s">
        <v>5286</v>
      </c>
      <c r="I2680">
        <v>8512</v>
      </c>
      <c r="J2680" t="s">
        <v>11957</v>
      </c>
      <c r="K2680" t="s">
        <v>11948</v>
      </c>
      <c r="L2680" t="s">
        <v>386</v>
      </c>
      <c r="M2680" t="s">
        <v>1193</v>
      </c>
      <c r="N2680">
        <v>0</v>
      </c>
      <c r="O2680">
        <v>0</v>
      </c>
      <c r="Q2680" t="s">
        <v>11958</v>
      </c>
      <c r="R2680" t="s">
        <v>398</v>
      </c>
      <c r="T2680">
        <v>23</v>
      </c>
      <c r="V2680" t="s">
        <v>1981</v>
      </c>
      <c r="Z2680" t="s">
        <v>5289</v>
      </c>
      <c r="AA2680" t="s">
        <v>387</v>
      </c>
      <c r="AB2680">
        <v>0</v>
      </c>
      <c r="AC2680">
        <v>3413</v>
      </c>
      <c r="AD2680" t="s">
        <v>11959</v>
      </c>
      <c r="AE2680">
        <v>1585</v>
      </c>
      <c r="AF2680" t="s">
        <v>11960</v>
      </c>
      <c r="AG2680" t="s">
        <v>11961</v>
      </c>
    </row>
    <row r="2681" spans="1:34" x14ac:dyDescent="0.25">
      <c r="A2681">
        <v>1256</v>
      </c>
      <c r="C2681" s="185"/>
      <c r="E2681" t="s">
        <v>386</v>
      </c>
      <c r="F2681" t="s">
        <v>11962</v>
      </c>
      <c r="G2681" t="s">
        <v>1197</v>
      </c>
      <c r="H2681" t="s">
        <v>4645</v>
      </c>
      <c r="I2681">
        <v>8323</v>
      </c>
      <c r="J2681" t="s">
        <v>11963</v>
      </c>
      <c r="K2681" t="s">
        <v>11948</v>
      </c>
      <c r="L2681" t="s">
        <v>386</v>
      </c>
      <c r="M2681" t="s">
        <v>1193</v>
      </c>
      <c r="N2681">
        <v>6412</v>
      </c>
      <c r="O2681">
        <v>0</v>
      </c>
      <c r="Q2681" t="s">
        <v>11964</v>
      </c>
      <c r="R2681" t="s">
        <v>1208</v>
      </c>
      <c r="T2681">
        <v>23</v>
      </c>
      <c r="V2681" t="s">
        <v>1981</v>
      </c>
      <c r="Z2681" t="s">
        <v>4648</v>
      </c>
      <c r="AA2681" t="s">
        <v>387</v>
      </c>
      <c r="AB2681">
        <v>0</v>
      </c>
      <c r="AC2681">
        <v>3335</v>
      </c>
      <c r="AD2681" t="s">
        <v>5713</v>
      </c>
      <c r="AE2681">
        <v>1</v>
      </c>
      <c r="AF2681" t="s">
        <v>1922</v>
      </c>
      <c r="AG2681" t="s">
        <v>11601</v>
      </c>
    </row>
    <row r="2682" spans="1:34" x14ac:dyDescent="0.25">
      <c r="A2682">
        <v>1256</v>
      </c>
      <c r="C2682" s="185"/>
      <c r="D2682" t="s">
        <v>157</v>
      </c>
      <c r="E2682" t="s">
        <v>386</v>
      </c>
      <c r="F2682" t="s">
        <v>11962</v>
      </c>
      <c r="G2682" t="s">
        <v>1197</v>
      </c>
      <c r="H2682" t="s">
        <v>4645</v>
      </c>
      <c r="I2682">
        <v>6412</v>
      </c>
      <c r="J2682" t="s">
        <v>11962</v>
      </c>
      <c r="K2682" t="s">
        <v>11948</v>
      </c>
      <c r="L2682" t="s">
        <v>386</v>
      </c>
      <c r="M2682" t="s">
        <v>1193</v>
      </c>
      <c r="N2682">
        <v>6412</v>
      </c>
      <c r="O2682">
        <v>30</v>
      </c>
      <c r="Q2682" t="s">
        <v>11965</v>
      </c>
      <c r="T2682">
        <v>146</v>
      </c>
      <c r="V2682" t="s">
        <v>2727</v>
      </c>
      <c r="Z2682" t="s">
        <v>4648</v>
      </c>
      <c r="AA2682" t="s">
        <v>387</v>
      </c>
      <c r="AB2682">
        <v>0</v>
      </c>
      <c r="AC2682">
        <v>2906</v>
      </c>
      <c r="AD2682" t="s">
        <v>11966</v>
      </c>
      <c r="AE2682">
        <v>138</v>
      </c>
      <c r="AF2682" t="s">
        <v>2509</v>
      </c>
      <c r="AG2682" t="s">
        <v>11967</v>
      </c>
      <c r="AH2682" t="s">
        <v>11968</v>
      </c>
    </row>
    <row r="2683" spans="1:34" x14ac:dyDescent="0.25">
      <c r="A2683">
        <v>1361</v>
      </c>
      <c r="C2683" s="185"/>
      <c r="E2683" t="s">
        <v>386</v>
      </c>
      <c r="F2683" t="s">
        <v>11969</v>
      </c>
      <c r="G2683" t="s">
        <v>1197</v>
      </c>
      <c r="H2683" t="s">
        <v>11970</v>
      </c>
      <c r="I2683">
        <v>8511</v>
      </c>
      <c r="J2683" t="s">
        <v>11969</v>
      </c>
      <c r="K2683" t="s">
        <v>11948</v>
      </c>
      <c r="L2683" t="s">
        <v>386</v>
      </c>
      <c r="M2683" t="s">
        <v>1193</v>
      </c>
      <c r="N2683">
        <v>8511</v>
      </c>
      <c r="O2683">
        <v>0</v>
      </c>
      <c r="Q2683" t="s">
        <v>11971</v>
      </c>
      <c r="R2683" t="s">
        <v>398</v>
      </c>
      <c r="T2683">
        <v>23</v>
      </c>
      <c r="V2683" t="s">
        <v>1981</v>
      </c>
      <c r="Z2683" t="s">
        <v>1113</v>
      </c>
      <c r="AA2683" t="s">
        <v>387</v>
      </c>
      <c r="AB2683">
        <v>0</v>
      </c>
      <c r="AC2683">
        <v>3412</v>
      </c>
      <c r="AD2683" t="s">
        <v>11972</v>
      </c>
      <c r="AE2683">
        <v>1584</v>
      </c>
      <c r="AF2683" t="s">
        <v>11973</v>
      </c>
      <c r="AG2683" t="s">
        <v>11974</v>
      </c>
    </row>
    <row r="2684" spans="1:34" x14ac:dyDescent="0.25">
      <c r="A2684">
        <v>1293</v>
      </c>
      <c r="C2684" s="185"/>
      <c r="E2684" t="s">
        <v>386</v>
      </c>
      <c r="F2684" t="s">
        <v>1897</v>
      </c>
      <c r="G2684" t="s">
        <v>4184</v>
      </c>
      <c r="H2684" t="s">
        <v>11975</v>
      </c>
      <c r="I2684">
        <v>8513</v>
      </c>
      <c r="J2684" t="s">
        <v>11976</v>
      </c>
      <c r="K2684" t="s">
        <v>11948</v>
      </c>
      <c r="L2684" t="s">
        <v>386</v>
      </c>
      <c r="M2684" t="s">
        <v>1193</v>
      </c>
      <c r="N2684">
        <v>0</v>
      </c>
      <c r="O2684">
        <v>0</v>
      </c>
      <c r="Q2684" t="s">
        <v>11977</v>
      </c>
      <c r="R2684" t="s">
        <v>398</v>
      </c>
      <c r="T2684">
        <v>23</v>
      </c>
      <c r="V2684" t="s">
        <v>1981</v>
      </c>
      <c r="Z2684" t="s">
        <v>3327</v>
      </c>
      <c r="AA2684" t="s">
        <v>387</v>
      </c>
      <c r="AB2684">
        <v>0</v>
      </c>
      <c r="AC2684">
        <v>3414</v>
      </c>
      <c r="AD2684" t="s">
        <v>11978</v>
      </c>
      <c r="AE2684">
        <v>1586</v>
      </c>
      <c r="AF2684" t="s">
        <v>11979</v>
      </c>
      <c r="AG2684" t="s">
        <v>11980</v>
      </c>
    </row>
    <row r="2685" spans="1:34" x14ac:dyDescent="0.25">
      <c r="A2685">
        <v>1256</v>
      </c>
      <c r="C2685" s="185"/>
      <c r="E2685" t="s">
        <v>386</v>
      </c>
      <c r="F2685" t="s">
        <v>11981</v>
      </c>
      <c r="G2685" t="s">
        <v>1197</v>
      </c>
      <c r="H2685" t="s">
        <v>4645</v>
      </c>
      <c r="I2685">
        <v>12829</v>
      </c>
      <c r="J2685" t="s">
        <v>11981</v>
      </c>
      <c r="K2685" t="s">
        <v>11981</v>
      </c>
      <c r="L2685" t="s">
        <v>386</v>
      </c>
      <c r="M2685" t="s">
        <v>1193</v>
      </c>
      <c r="N2685">
        <v>12829</v>
      </c>
      <c r="O2685">
        <v>0</v>
      </c>
      <c r="Q2685" t="s">
        <v>11982</v>
      </c>
      <c r="R2685" t="s">
        <v>1208</v>
      </c>
      <c r="T2685">
        <v>571</v>
      </c>
      <c r="V2685" t="s">
        <v>2003</v>
      </c>
      <c r="W2685" t="s">
        <v>2067</v>
      </c>
      <c r="X2685">
        <v>304</v>
      </c>
      <c r="Z2685" t="s">
        <v>4648</v>
      </c>
      <c r="AA2685" t="s">
        <v>387</v>
      </c>
      <c r="AB2685">
        <v>0</v>
      </c>
      <c r="AC2685">
        <v>4545</v>
      </c>
      <c r="AD2685" t="s">
        <v>11983</v>
      </c>
      <c r="AE2685">
        <v>1</v>
      </c>
      <c r="AF2685" t="s">
        <v>1922</v>
      </c>
      <c r="AG2685" t="s">
        <v>1236</v>
      </c>
    </row>
    <row r="2686" spans="1:34" x14ac:dyDescent="0.25">
      <c r="A2686">
        <v>157</v>
      </c>
      <c r="C2686" s="185"/>
      <c r="E2686" t="s">
        <v>386</v>
      </c>
      <c r="F2686" t="s">
        <v>11984</v>
      </c>
      <c r="G2686" t="s">
        <v>1197</v>
      </c>
      <c r="H2686" t="s">
        <v>11985</v>
      </c>
      <c r="I2686">
        <v>5655</v>
      </c>
      <c r="J2686" t="s">
        <v>11984</v>
      </c>
      <c r="K2686" t="s">
        <v>11986</v>
      </c>
      <c r="L2686" t="s">
        <v>386</v>
      </c>
      <c r="M2686" t="s">
        <v>1193</v>
      </c>
      <c r="N2686">
        <v>5655</v>
      </c>
      <c r="O2686">
        <v>0</v>
      </c>
      <c r="Q2686" t="s">
        <v>11987</v>
      </c>
      <c r="T2686">
        <v>39</v>
      </c>
      <c r="V2686" t="s">
        <v>2144</v>
      </c>
      <c r="Z2686" t="s">
        <v>11988</v>
      </c>
      <c r="AA2686" t="s">
        <v>387</v>
      </c>
      <c r="AB2686">
        <v>0</v>
      </c>
      <c r="AC2686">
        <v>2666</v>
      </c>
      <c r="AD2686" t="s">
        <v>11989</v>
      </c>
      <c r="AE2686">
        <v>0</v>
      </c>
      <c r="AF2686" t="s">
        <v>1188</v>
      </c>
      <c r="AG2686" t="s">
        <v>1244</v>
      </c>
      <c r="AH2686" t="s">
        <v>11990</v>
      </c>
    </row>
    <row r="2687" spans="1:34" x14ac:dyDescent="0.25">
      <c r="A2687">
        <v>157</v>
      </c>
      <c r="C2687" s="185"/>
      <c r="E2687" t="s">
        <v>386</v>
      </c>
      <c r="F2687" t="s">
        <v>11991</v>
      </c>
      <c r="G2687" t="s">
        <v>1197</v>
      </c>
      <c r="H2687" t="s">
        <v>11992</v>
      </c>
      <c r="I2687">
        <v>14573</v>
      </c>
      <c r="J2687" t="s">
        <v>11991</v>
      </c>
      <c r="K2687" t="s">
        <v>11991</v>
      </c>
      <c r="L2687" t="s">
        <v>386</v>
      </c>
      <c r="M2687" t="s">
        <v>1193</v>
      </c>
      <c r="N2687">
        <v>14573</v>
      </c>
      <c r="O2687">
        <v>76</v>
      </c>
      <c r="Q2687" t="s">
        <v>11993</v>
      </c>
      <c r="R2687" t="s">
        <v>398</v>
      </c>
      <c r="T2687">
        <v>220</v>
      </c>
      <c r="V2687" t="s">
        <v>1194</v>
      </c>
      <c r="W2687" t="s">
        <v>1194</v>
      </c>
      <c r="X2687">
        <v>220</v>
      </c>
      <c r="Z2687" t="s">
        <v>11988</v>
      </c>
      <c r="AA2687" t="s">
        <v>387</v>
      </c>
      <c r="AB2687">
        <v>69000</v>
      </c>
      <c r="AC2687">
        <v>5541</v>
      </c>
      <c r="AD2687" t="s">
        <v>11994</v>
      </c>
      <c r="AE2687">
        <v>63</v>
      </c>
      <c r="AF2687" t="s">
        <v>3896</v>
      </c>
      <c r="AG2687" t="s">
        <v>7141</v>
      </c>
      <c r="AH2687" t="s">
        <v>11995</v>
      </c>
    </row>
    <row r="2688" spans="1:34" x14ac:dyDescent="0.25">
      <c r="A2688">
        <v>157</v>
      </c>
      <c r="C2688" s="185"/>
      <c r="E2688" t="s">
        <v>386</v>
      </c>
      <c r="F2688" t="s">
        <v>11996</v>
      </c>
      <c r="G2688" t="s">
        <v>1197</v>
      </c>
      <c r="H2688" t="s">
        <v>11997</v>
      </c>
      <c r="I2688">
        <v>16064</v>
      </c>
      <c r="J2688" t="s">
        <v>11996</v>
      </c>
      <c r="K2688" t="s">
        <v>11998</v>
      </c>
      <c r="L2688" t="s">
        <v>386</v>
      </c>
      <c r="M2688" t="s">
        <v>1193</v>
      </c>
      <c r="N2688">
        <v>16064</v>
      </c>
      <c r="O2688">
        <v>0</v>
      </c>
      <c r="Q2688" t="s">
        <v>11999</v>
      </c>
      <c r="T2688">
        <v>496</v>
      </c>
      <c r="V2688" t="s">
        <v>2246</v>
      </c>
      <c r="W2688" t="s">
        <v>2246</v>
      </c>
      <c r="X2688">
        <v>496</v>
      </c>
      <c r="Z2688" t="s">
        <v>11988</v>
      </c>
      <c r="AA2688" t="s">
        <v>387</v>
      </c>
      <c r="AB2688">
        <v>0</v>
      </c>
      <c r="AC2688">
        <v>6042</v>
      </c>
      <c r="AD2688" t="s">
        <v>12000</v>
      </c>
      <c r="AE2688">
        <v>2779</v>
      </c>
      <c r="AF2688" t="s">
        <v>12001</v>
      </c>
      <c r="AG2688" t="s">
        <v>6196</v>
      </c>
      <c r="AH2688" t="s">
        <v>12002</v>
      </c>
    </row>
    <row r="2689" spans="1:34" x14ac:dyDescent="0.25">
      <c r="A2689">
        <v>171</v>
      </c>
      <c r="C2689" s="185"/>
      <c r="E2689" t="s">
        <v>386</v>
      </c>
      <c r="F2689" t="s">
        <v>12003</v>
      </c>
      <c r="G2689" t="s">
        <v>1197</v>
      </c>
      <c r="H2689" t="s">
        <v>12004</v>
      </c>
      <c r="I2689">
        <v>13214</v>
      </c>
      <c r="J2689" t="s">
        <v>12003</v>
      </c>
      <c r="K2689" t="s">
        <v>12003</v>
      </c>
      <c r="L2689" t="s">
        <v>386</v>
      </c>
      <c r="M2689" t="s">
        <v>1193</v>
      </c>
      <c r="N2689">
        <v>13214</v>
      </c>
      <c r="O2689">
        <v>0</v>
      </c>
      <c r="Q2689" t="s">
        <v>12005</v>
      </c>
      <c r="R2689" t="s">
        <v>1208</v>
      </c>
      <c r="T2689">
        <v>304</v>
      </c>
      <c r="V2689" t="s">
        <v>2067</v>
      </c>
      <c r="W2689" t="s">
        <v>2067</v>
      </c>
      <c r="X2689">
        <v>304</v>
      </c>
      <c r="Z2689" t="s">
        <v>12006</v>
      </c>
      <c r="AA2689" t="s">
        <v>387</v>
      </c>
      <c r="AB2689">
        <v>0</v>
      </c>
      <c r="AC2689">
        <v>377</v>
      </c>
      <c r="AD2689" t="s">
        <v>2509</v>
      </c>
      <c r="AE2689">
        <v>2283</v>
      </c>
      <c r="AF2689" t="s">
        <v>12007</v>
      </c>
      <c r="AG2689" t="s">
        <v>12008</v>
      </c>
      <c r="AH2689" t="s">
        <v>12009</v>
      </c>
    </row>
    <row r="2690" spans="1:34" x14ac:dyDescent="0.25">
      <c r="A2690">
        <v>171</v>
      </c>
      <c r="B2690" t="s">
        <v>1313</v>
      </c>
      <c r="C2690" s="185"/>
      <c r="D2690" t="s">
        <v>24</v>
      </c>
      <c r="E2690" t="s">
        <v>386</v>
      </c>
      <c r="F2690" t="s">
        <v>12010</v>
      </c>
      <c r="G2690" t="s">
        <v>1197</v>
      </c>
      <c r="H2690" t="s">
        <v>12011</v>
      </c>
      <c r="I2690">
        <v>791</v>
      </c>
      <c r="J2690" t="s">
        <v>12010</v>
      </c>
      <c r="K2690" t="s">
        <v>12012</v>
      </c>
      <c r="L2690" t="s">
        <v>386</v>
      </c>
      <c r="M2690" t="s">
        <v>1193</v>
      </c>
      <c r="N2690">
        <v>791</v>
      </c>
      <c r="O2690">
        <v>10</v>
      </c>
      <c r="Q2690" t="s">
        <v>12013</v>
      </c>
      <c r="R2690" t="s">
        <v>398</v>
      </c>
      <c r="S2690" t="s">
        <v>1315</v>
      </c>
      <c r="T2690">
        <v>0</v>
      </c>
      <c r="U2690">
        <v>0</v>
      </c>
      <c r="V2690" t="s">
        <v>1186</v>
      </c>
      <c r="Y2690" t="s">
        <v>1317</v>
      </c>
      <c r="Z2690" t="s">
        <v>12006</v>
      </c>
      <c r="AA2690" t="s">
        <v>387</v>
      </c>
      <c r="AB2690">
        <v>6000</v>
      </c>
      <c r="AC2690">
        <v>697</v>
      </c>
      <c r="AD2690" t="s">
        <v>4862</v>
      </c>
      <c r="AE2690">
        <v>333</v>
      </c>
      <c r="AF2690" t="s">
        <v>12014</v>
      </c>
      <c r="AG2690" t="s">
        <v>12015</v>
      </c>
      <c r="AH2690" t="s">
        <v>12016</v>
      </c>
    </row>
    <row r="2691" spans="1:34" x14ac:dyDescent="0.25">
      <c r="A2691">
        <v>12</v>
      </c>
      <c r="B2691" t="s">
        <v>1313</v>
      </c>
      <c r="C2691" s="185"/>
      <c r="D2691" t="s">
        <v>24</v>
      </c>
      <c r="E2691" t="s">
        <v>386</v>
      </c>
      <c r="F2691" t="s">
        <v>448</v>
      </c>
      <c r="G2691" t="s">
        <v>1197</v>
      </c>
      <c r="H2691" t="s">
        <v>7162</v>
      </c>
      <c r="I2691">
        <v>27</v>
      </c>
      <c r="J2691" t="s">
        <v>209</v>
      </c>
      <c r="K2691" t="s">
        <v>7402</v>
      </c>
      <c r="L2691" t="s">
        <v>386</v>
      </c>
      <c r="M2691" t="s">
        <v>1193</v>
      </c>
      <c r="N2691">
        <v>15328</v>
      </c>
      <c r="O2691">
        <v>76</v>
      </c>
      <c r="Q2691" t="s">
        <v>12017</v>
      </c>
      <c r="R2691" t="s">
        <v>398</v>
      </c>
      <c r="S2691" t="s">
        <v>7404</v>
      </c>
      <c r="T2691">
        <v>220</v>
      </c>
      <c r="U2691">
        <v>0</v>
      </c>
      <c r="V2691" t="s">
        <v>1194</v>
      </c>
      <c r="W2691" t="s">
        <v>1200</v>
      </c>
      <c r="X2691">
        <v>340</v>
      </c>
      <c r="Y2691" t="s">
        <v>1317</v>
      </c>
      <c r="Z2691" t="s">
        <v>7164</v>
      </c>
      <c r="AA2691" t="s">
        <v>387</v>
      </c>
      <c r="AB2691">
        <v>0</v>
      </c>
      <c r="AC2691">
        <v>770</v>
      </c>
      <c r="AD2691" t="s">
        <v>12018</v>
      </c>
      <c r="AE2691">
        <v>230</v>
      </c>
      <c r="AF2691" t="s">
        <v>12019</v>
      </c>
      <c r="AG2691" t="s">
        <v>1244</v>
      </c>
      <c r="AH2691" t="s">
        <v>12020</v>
      </c>
    </row>
    <row r="2692" spans="1:34" x14ac:dyDescent="0.25">
      <c r="A2692">
        <v>47</v>
      </c>
      <c r="B2692" t="s">
        <v>1313</v>
      </c>
      <c r="C2692" s="185"/>
      <c r="D2692" t="s">
        <v>24</v>
      </c>
      <c r="E2692" t="s">
        <v>386</v>
      </c>
      <c r="F2692" t="s">
        <v>448</v>
      </c>
      <c r="G2692" t="s">
        <v>1197</v>
      </c>
      <c r="H2692" t="s">
        <v>12021</v>
      </c>
      <c r="I2692">
        <v>189</v>
      </c>
      <c r="J2692" t="s">
        <v>215</v>
      </c>
      <c r="K2692" t="s">
        <v>7402</v>
      </c>
      <c r="L2692" t="s">
        <v>386</v>
      </c>
      <c r="M2692" t="s">
        <v>1193</v>
      </c>
      <c r="N2692">
        <v>15328</v>
      </c>
      <c r="O2692">
        <v>76</v>
      </c>
      <c r="Q2692" t="s">
        <v>12022</v>
      </c>
      <c r="R2692" t="s">
        <v>398</v>
      </c>
      <c r="S2692" t="s">
        <v>7404</v>
      </c>
      <c r="T2692">
        <v>220</v>
      </c>
      <c r="U2692">
        <v>0</v>
      </c>
      <c r="V2692" t="s">
        <v>1194</v>
      </c>
      <c r="W2692" t="s">
        <v>2107</v>
      </c>
      <c r="X2692">
        <v>272</v>
      </c>
      <c r="Y2692" t="s">
        <v>1317</v>
      </c>
      <c r="Z2692" t="s">
        <v>12023</v>
      </c>
      <c r="AA2692" t="s">
        <v>387</v>
      </c>
      <c r="AB2692">
        <v>0</v>
      </c>
      <c r="AC2692">
        <v>156</v>
      </c>
      <c r="AD2692" t="s">
        <v>12024</v>
      </c>
      <c r="AE2692">
        <v>86</v>
      </c>
      <c r="AF2692" t="s">
        <v>12025</v>
      </c>
      <c r="AG2692" t="s">
        <v>9664</v>
      </c>
      <c r="AH2692" t="s">
        <v>12026</v>
      </c>
    </row>
    <row r="2693" spans="1:34" x14ac:dyDescent="0.25">
      <c r="A2693">
        <v>58</v>
      </c>
      <c r="B2693" t="s">
        <v>1313</v>
      </c>
      <c r="C2693" s="185"/>
      <c r="D2693" t="s">
        <v>24</v>
      </c>
      <c r="E2693" t="s">
        <v>386</v>
      </c>
      <c r="F2693" t="s">
        <v>448</v>
      </c>
      <c r="G2693" t="s">
        <v>1197</v>
      </c>
      <c r="H2693" t="s">
        <v>12027</v>
      </c>
      <c r="I2693">
        <v>217</v>
      </c>
      <c r="J2693" t="s">
        <v>12028</v>
      </c>
      <c r="K2693" t="s">
        <v>7402</v>
      </c>
      <c r="L2693" t="s">
        <v>386</v>
      </c>
      <c r="M2693" t="s">
        <v>1193</v>
      </c>
      <c r="N2693">
        <v>15328</v>
      </c>
      <c r="O2693">
        <v>10</v>
      </c>
      <c r="Q2693" t="s">
        <v>12029</v>
      </c>
      <c r="R2693" t="s">
        <v>398</v>
      </c>
      <c r="S2693" t="s">
        <v>7404</v>
      </c>
      <c r="T2693">
        <v>272</v>
      </c>
      <c r="U2693">
        <v>0</v>
      </c>
      <c r="V2693" t="s">
        <v>2107</v>
      </c>
      <c r="W2693" t="s">
        <v>1186</v>
      </c>
      <c r="X2693">
        <v>0</v>
      </c>
      <c r="Y2693" t="s">
        <v>1317</v>
      </c>
      <c r="Z2693" t="s">
        <v>12030</v>
      </c>
      <c r="AA2693" t="s">
        <v>387</v>
      </c>
      <c r="AB2693">
        <v>6000</v>
      </c>
      <c r="AC2693">
        <v>360</v>
      </c>
      <c r="AD2693" t="s">
        <v>12031</v>
      </c>
      <c r="AE2693">
        <v>99</v>
      </c>
      <c r="AF2693" t="s">
        <v>12032</v>
      </c>
      <c r="AG2693" t="s">
        <v>1931</v>
      </c>
      <c r="AH2693" t="s">
        <v>12033</v>
      </c>
    </row>
    <row r="2694" spans="1:34" x14ac:dyDescent="0.25">
      <c r="A2694">
        <v>95</v>
      </c>
      <c r="B2694" t="s">
        <v>1313</v>
      </c>
      <c r="C2694" s="185"/>
      <c r="D2694" t="s">
        <v>24</v>
      </c>
      <c r="E2694" t="s">
        <v>386</v>
      </c>
      <c r="F2694" t="s">
        <v>448</v>
      </c>
      <c r="G2694" t="s">
        <v>1197</v>
      </c>
      <c r="H2694" t="s">
        <v>12034</v>
      </c>
      <c r="I2694">
        <v>373</v>
      </c>
      <c r="J2694" t="s">
        <v>12035</v>
      </c>
      <c r="K2694" t="s">
        <v>7402</v>
      </c>
      <c r="L2694" t="s">
        <v>386</v>
      </c>
      <c r="M2694" t="s">
        <v>1193</v>
      </c>
      <c r="N2694">
        <v>15328</v>
      </c>
      <c r="O2694">
        <v>10</v>
      </c>
      <c r="Q2694" t="s">
        <v>12036</v>
      </c>
      <c r="R2694" t="s">
        <v>398</v>
      </c>
      <c r="S2694" t="s">
        <v>7404</v>
      </c>
      <c r="T2694">
        <v>272</v>
      </c>
      <c r="U2694">
        <v>0</v>
      </c>
      <c r="V2694" t="s">
        <v>2107</v>
      </c>
      <c r="W2694" t="s">
        <v>1988</v>
      </c>
      <c r="X2694">
        <v>122</v>
      </c>
      <c r="Y2694" t="s">
        <v>1317</v>
      </c>
      <c r="Z2694" t="s">
        <v>952</v>
      </c>
      <c r="AA2694" t="s">
        <v>387</v>
      </c>
      <c r="AB2694">
        <v>6000</v>
      </c>
      <c r="AC2694">
        <v>229</v>
      </c>
      <c r="AD2694" t="s">
        <v>12037</v>
      </c>
      <c r="AE2694">
        <v>3</v>
      </c>
      <c r="AF2694" t="s">
        <v>1235</v>
      </c>
      <c r="AG2694" t="s">
        <v>8736</v>
      </c>
      <c r="AH2694" t="s">
        <v>12038</v>
      </c>
    </row>
    <row r="2695" spans="1:34" x14ac:dyDescent="0.25">
      <c r="A2695">
        <v>1988</v>
      </c>
      <c r="C2695" s="185"/>
      <c r="E2695" t="s">
        <v>386</v>
      </c>
      <c r="F2695" t="s">
        <v>12039</v>
      </c>
      <c r="G2695" t="s">
        <v>1197</v>
      </c>
      <c r="H2695" t="s">
        <v>12040</v>
      </c>
      <c r="I2695">
        <v>16338</v>
      </c>
      <c r="J2695" t="s">
        <v>12039</v>
      </c>
      <c r="K2695" t="s">
        <v>12041</v>
      </c>
      <c r="L2695" t="s">
        <v>386</v>
      </c>
      <c r="M2695" t="s">
        <v>1193</v>
      </c>
      <c r="N2695">
        <v>16338</v>
      </c>
      <c r="O2695">
        <v>0</v>
      </c>
      <c r="Q2695" t="s">
        <v>12042</v>
      </c>
      <c r="R2695" t="s">
        <v>1208</v>
      </c>
      <c r="T2695">
        <v>571</v>
      </c>
      <c r="V2695" t="s">
        <v>2003</v>
      </c>
      <c r="W2695" t="s">
        <v>1530</v>
      </c>
      <c r="X2695">
        <v>103</v>
      </c>
      <c r="Z2695" t="s">
        <v>992</v>
      </c>
      <c r="AA2695" t="s">
        <v>387</v>
      </c>
      <c r="AB2695">
        <v>0</v>
      </c>
      <c r="AC2695">
        <v>5992</v>
      </c>
      <c r="AD2695" t="s">
        <v>12043</v>
      </c>
      <c r="AE2695">
        <v>1875</v>
      </c>
      <c r="AF2695" t="s">
        <v>12044</v>
      </c>
      <c r="AG2695" t="s">
        <v>12045</v>
      </c>
      <c r="AH2695" t="s">
        <v>12046</v>
      </c>
    </row>
    <row r="2696" spans="1:34" x14ac:dyDescent="0.25">
      <c r="A2696">
        <v>1988</v>
      </c>
      <c r="C2696" s="185"/>
      <c r="D2696" t="s">
        <v>157</v>
      </c>
      <c r="E2696" t="s">
        <v>386</v>
      </c>
      <c r="F2696" t="s">
        <v>784</v>
      </c>
      <c r="G2696" t="s">
        <v>1197</v>
      </c>
      <c r="H2696" t="s">
        <v>12040</v>
      </c>
      <c r="I2696">
        <v>15904</v>
      </c>
      <c r="J2696" t="s">
        <v>754</v>
      </c>
      <c r="K2696" t="s">
        <v>7189</v>
      </c>
      <c r="L2696" t="s">
        <v>386</v>
      </c>
      <c r="M2696" t="s">
        <v>1193</v>
      </c>
      <c r="N2696">
        <v>17696</v>
      </c>
      <c r="O2696">
        <v>70</v>
      </c>
      <c r="Q2696" t="s">
        <v>12047</v>
      </c>
      <c r="R2696" t="s">
        <v>398</v>
      </c>
      <c r="T2696">
        <v>200</v>
      </c>
      <c r="V2696" t="s">
        <v>1199</v>
      </c>
      <c r="W2696" t="s">
        <v>1199</v>
      </c>
      <c r="X2696">
        <v>200</v>
      </c>
      <c r="Z2696" t="s">
        <v>992</v>
      </c>
      <c r="AA2696" t="s">
        <v>387</v>
      </c>
      <c r="AB2696">
        <v>62000</v>
      </c>
      <c r="AC2696">
        <v>5992</v>
      </c>
      <c r="AD2696" t="s">
        <v>12043</v>
      </c>
      <c r="AE2696">
        <v>1875</v>
      </c>
      <c r="AF2696" t="s">
        <v>12044</v>
      </c>
      <c r="AG2696" t="s">
        <v>12048</v>
      </c>
      <c r="AH2696" t="s">
        <v>7193</v>
      </c>
    </row>
    <row r="2697" spans="1:34" x14ac:dyDescent="0.25">
      <c r="A2697">
        <v>18</v>
      </c>
      <c r="B2697" t="s">
        <v>1313</v>
      </c>
      <c r="C2697" s="185"/>
      <c r="D2697" t="s">
        <v>24</v>
      </c>
      <c r="E2697" t="s">
        <v>386</v>
      </c>
      <c r="F2697" t="s">
        <v>355</v>
      </c>
      <c r="G2697" t="s">
        <v>1197</v>
      </c>
      <c r="H2697" t="s">
        <v>8860</v>
      </c>
      <c r="I2697">
        <v>43</v>
      </c>
      <c r="J2697" t="s">
        <v>674</v>
      </c>
      <c r="K2697" t="s">
        <v>7794</v>
      </c>
      <c r="L2697" t="s">
        <v>386</v>
      </c>
      <c r="M2697" t="s">
        <v>1193</v>
      </c>
      <c r="N2697">
        <v>15325</v>
      </c>
      <c r="O2697">
        <v>65</v>
      </c>
      <c r="Q2697" t="s">
        <v>12049</v>
      </c>
      <c r="R2697" t="s">
        <v>398</v>
      </c>
      <c r="S2697" t="s">
        <v>1909</v>
      </c>
      <c r="T2697">
        <v>0</v>
      </c>
      <c r="U2697">
        <v>0</v>
      </c>
      <c r="V2697" t="s">
        <v>1186</v>
      </c>
      <c r="W2697" t="s">
        <v>1881</v>
      </c>
      <c r="X2697">
        <v>292</v>
      </c>
      <c r="Y2697" t="s">
        <v>1317</v>
      </c>
      <c r="Z2697" t="s">
        <v>905</v>
      </c>
      <c r="AA2697" t="s">
        <v>387</v>
      </c>
      <c r="AB2697">
        <v>57000</v>
      </c>
      <c r="AC2697">
        <v>0</v>
      </c>
      <c r="AD2697" t="s">
        <v>1187</v>
      </c>
      <c r="AE2697">
        <v>2226</v>
      </c>
      <c r="AF2697" t="s">
        <v>12050</v>
      </c>
      <c r="AG2697" t="s">
        <v>12051</v>
      </c>
      <c r="AH2697" t="s">
        <v>7703</v>
      </c>
    </row>
    <row r="2698" spans="1:34" x14ac:dyDescent="0.25">
      <c r="A2698">
        <v>700</v>
      </c>
      <c r="C2698" s="185"/>
      <c r="E2698" t="s">
        <v>386</v>
      </c>
      <c r="F2698" t="s">
        <v>12052</v>
      </c>
      <c r="G2698" t="s">
        <v>1197</v>
      </c>
      <c r="H2698" t="s">
        <v>12053</v>
      </c>
      <c r="I2698">
        <v>16157</v>
      </c>
      <c r="J2698" t="s">
        <v>12052</v>
      </c>
      <c r="K2698" t="s">
        <v>12054</v>
      </c>
      <c r="L2698" t="s">
        <v>386</v>
      </c>
      <c r="M2698" t="s">
        <v>1193</v>
      </c>
      <c r="N2698">
        <v>16157</v>
      </c>
      <c r="O2698">
        <v>0</v>
      </c>
      <c r="Q2698" t="s">
        <v>12055</v>
      </c>
      <c r="T2698">
        <v>571</v>
      </c>
      <c r="V2698" t="s">
        <v>2003</v>
      </c>
      <c r="W2698" t="s">
        <v>2024</v>
      </c>
      <c r="X2698">
        <v>52</v>
      </c>
      <c r="Z2698" t="s">
        <v>4694</v>
      </c>
      <c r="AA2698" t="s">
        <v>387</v>
      </c>
      <c r="AB2698">
        <v>0</v>
      </c>
      <c r="AC2698">
        <v>6076</v>
      </c>
      <c r="AD2698" t="s">
        <v>890</v>
      </c>
      <c r="AE2698">
        <v>2790</v>
      </c>
      <c r="AF2698" t="s">
        <v>12056</v>
      </c>
      <c r="AG2698" t="s">
        <v>3777</v>
      </c>
      <c r="AH2698" t="s">
        <v>12057</v>
      </c>
    </row>
    <row r="2699" spans="1:34" x14ac:dyDescent="0.25">
      <c r="A2699">
        <v>1385</v>
      </c>
      <c r="C2699" s="185"/>
      <c r="E2699" t="s">
        <v>386</v>
      </c>
      <c r="F2699" t="s">
        <v>12058</v>
      </c>
      <c r="G2699" t="s">
        <v>1197</v>
      </c>
      <c r="H2699" t="s">
        <v>12059</v>
      </c>
      <c r="I2699">
        <v>5119</v>
      </c>
      <c r="J2699" t="s">
        <v>12058</v>
      </c>
      <c r="K2699" t="s">
        <v>12058</v>
      </c>
      <c r="L2699" t="s">
        <v>386</v>
      </c>
      <c r="M2699" t="s">
        <v>1193</v>
      </c>
      <c r="N2699">
        <v>5119</v>
      </c>
      <c r="O2699">
        <v>0</v>
      </c>
      <c r="Q2699" t="s">
        <v>12060</v>
      </c>
      <c r="R2699" t="s">
        <v>398</v>
      </c>
      <c r="T2699">
        <v>52</v>
      </c>
      <c r="V2699" t="s">
        <v>2024</v>
      </c>
      <c r="Z2699" t="s">
        <v>12061</v>
      </c>
      <c r="AA2699" t="s">
        <v>387</v>
      </c>
      <c r="AB2699">
        <v>0</v>
      </c>
      <c r="AC2699">
        <v>2481</v>
      </c>
      <c r="AD2699" t="s">
        <v>12062</v>
      </c>
      <c r="AE2699">
        <v>1195</v>
      </c>
      <c r="AF2699" t="s">
        <v>3845</v>
      </c>
      <c r="AG2699" t="s">
        <v>6786</v>
      </c>
      <c r="AH2699" t="s">
        <v>12063</v>
      </c>
    </row>
    <row r="2700" spans="1:34" x14ac:dyDescent="0.25">
      <c r="A2700">
        <v>1519</v>
      </c>
      <c r="C2700" s="185"/>
      <c r="E2700" t="s">
        <v>386</v>
      </c>
      <c r="F2700" t="s">
        <v>12064</v>
      </c>
      <c r="G2700" t="s">
        <v>1197</v>
      </c>
      <c r="H2700" t="s">
        <v>12065</v>
      </c>
      <c r="I2700">
        <v>12303</v>
      </c>
      <c r="J2700" t="s">
        <v>12064</v>
      </c>
      <c r="K2700" t="s">
        <v>12064</v>
      </c>
      <c r="L2700" t="s">
        <v>386</v>
      </c>
      <c r="M2700" t="s">
        <v>1193</v>
      </c>
      <c r="N2700">
        <v>12303</v>
      </c>
      <c r="O2700">
        <v>0</v>
      </c>
      <c r="Q2700" t="s">
        <v>12066</v>
      </c>
      <c r="T2700">
        <v>260</v>
      </c>
      <c r="V2700" t="s">
        <v>1216</v>
      </c>
      <c r="Z2700" t="s">
        <v>12067</v>
      </c>
      <c r="AA2700" t="s">
        <v>387</v>
      </c>
      <c r="AB2700">
        <v>0</v>
      </c>
      <c r="AC2700">
        <v>4639</v>
      </c>
      <c r="AD2700" t="s">
        <v>12068</v>
      </c>
      <c r="AE2700">
        <v>370</v>
      </c>
      <c r="AF2700" t="s">
        <v>11940</v>
      </c>
      <c r="AG2700" t="s">
        <v>7603</v>
      </c>
      <c r="AH2700" t="s">
        <v>12069</v>
      </c>
    </row>
    <row r="2701" spans="1:34" x14ac:dyDescent="0.25">
      <c r="A2701">
        <v>1519</v>
      </c>
      <c r="C2701" s="185"/>
      <c r="D2701" t="s">
        <v>157</v>
      </c>
      <c r="E2701" t="s">
        <v>386</v>
      </c>
      <c r="F2701" t="s">
        <v>12070</v>
      </c>
      <c r="G2701" t="s">
        <v>1197</v>
      </c>
      <c r="H2701" t="s">
        <v>12065</v>
      </c>
      <c r="I2701">
        <v>5526</v>
      </c>
      <c r="J2701" t="s">
        <v>12070</v>
      </c>
      <c r="K2701" t="s">
        <v>12070</v>
      </c>
      <c r="L2701" t="s">
        <v>386</v>
      </c>
      <c r="M2701" t="s">
        <v>1193</v>
      </c>
      <c r="N2701">
        <v>5526</v>
      </c>
      <c r="O2701">
        <v>0</v>
      </c>
      <c r="Q2701" t="s">
        <v>12071</v>
      </c>
      <c r="T2701">
        <v>39</v>
      </c>
      <c r="V2701" t="s">
        <v>2144</v>
      </c>
      <c r="Z2701" t="s">
        <v>12067</v>
      </c>
      <c r="AA2701" t="s">
        <v>387</v>
      </c>
      <c r="AB2701">
        <v>0</v>
      </c>
      <c r="AC2701">
        <v>1974</v>
      </c>
      <c r="AD2701" t="s">
        <v>12072</v>
      </c>
      <c r="AE2701">
        <v>1263</v>
      </c>
      <c r="AF2701" t="s">
        <v>12073</v>
      </c>
      <c r="AG2701" t="s">
        <v>6273</v>
      </c>
      <c r="AH2701" t="s">
        <v>12074</v>
      </c>
    </row>
    <row r="2702" spans="1:34" x14ac:dyDescent="0.25">
      <c r="A2702">
        <v>1519</v>
      </c>
      <c r="C2702" s="185"/>
      <c r="E2702" t="s">
        <v>386</v>
      </c>
      <c r="F2702" t="s">
        <v>12075</v>
      </c>
      <c r="G2702" t="s">
        <v>1197</v>
      </c>
      <c r="H2702" t="s">
        <v>12065</v>
      </c>
      <c r="I2702">
        <v>17684</v>
      </c>
      <c r="J2702" t="s">
        <v>12075</v>
      </c>
      <c r="K2702" t="s">
        <v>12076</v>
      </c>
      <c r="L2702" t="s">
        <v>386</v>
      </c>
      <c r="M2702" t="s">
        <v>1193</v>
      </c>
      <c r="N2702">
        <v>17684</v>
      </c>
      <c r="O2702">
        <v>76</v>
      </c>
      <c r="Q2702" t="s">
        <v>12077</v>
      </c>
      <c r="R2702" t="s">
        <v>398</v>
      </c>
      <c r="T2702">
        <v>122</v>
      </c>
      <c r="V2702" t="s">
        <v>1988</v>
      </c>
      <c r="W2702" t="s">
        <v>1988</v>
      </c>
      <c r="X2702">
        <v>122</v>
      </c>
      <c r="Z2702" t="s">
        <v>12067</v>
      </c>
      <c r="AA2702" t="s">
        <v>387</v>
      </c>
      <c r="AB2702">
        <v>67000</v>
      </c>
      <c r="AC2702">
        <v>6613</v>
      </c>
      <c r="AD2702" t="s">
        <v>12078</v>
      </c>
      <c r="AE2702">
        <v>370</v>
      </c>
      <c r="AF2702" t="s">
        <v>11940</v>
      </c>
      <c r="AG2702" t="s">
        <v>3047</v>
      </c>
      <c r="AH2702" t="s">
        <v>12079</v>
      </c>
    </row>
    <row r="2703" spans="1:34" x14ac:dyDescent="0.25">
      <c r="A2703">
        <v>1519</v>
      </c>
      <c r="C2703" s="185"/>
      <c r="E2703" t="s">
        <v>386</v>
      </c>
      <c r="F2703" t="s">
        <v>12080</v>
      </c>
      <c r="G2703" t="s">
        <v>1197</v>
      </c>
      <c r="H2703" t="s">
        <v>12065</v>
      </c>
      <c r="I2703">
        <v>2941</v>
      </c>
      <c r="J2703" t="s">
        <v>12080</v>
      </c>
      <c r="K2703" t="s">
        <v>12081</v>
      </c>
      <c r="L2703" t="s">
        <v>386</v>
      </c>
      <c r="M2703" t="s">
        <v>1193</v>
      </c>
      <c r="N2703">
        <v>2941</v>
      </c>
      <c r="O2703">
        <v>10</v>
      </c>
      <c r="Q2703" t="s">
        <v>12082</v>
      </c>
      <c r="R2703" t="s">
        <v>398</v>
      </c>
      <c r="T2703">
        <v>0</v>
      </c>
      <c r="V2703" t="s">
        <v>1186</v>
      </c>
      <c r="Z2703" t="s">
        <v>12067</v>
      </c>
      <c r="AA2703" t="s">
        <v>387</v>
      </c>
      <c r="AB2703">
        <v>6000</v>
      </c>
      <c r="AC2703">
        <v>1974</v>
      </c>
      <c r="AD2703" t="s">
        <v>12072</v>
      </c>
      <c r="AE2703">
        <v>954</v>
      </c>
      <c r="AF2703" t="s">
        <v>12083</v>
      </c>
      <c r="AG2703" t="s">
        <v>10549</v>
      </c>
      <c r="AH2703" t="s">
        <v>12084</v>
      </c>
    </row>
    <row r="2704" spans="1:34" x14ac:dyDescent="0.25">
      <c r="A2704">
        <v>2187</v>
      </c>
      <c r="C2704" s="185"/>
      <c r="E2704" t="s">
        <v>386</v>
      </c>
      <c r="F2704" t="s">
        <v>12085</v>
      </c>
      <c r="G2704" t="s">
        <v>1197</v>
      </c>
      <c r="H2704" t="s">
        <v>12086</v>
      </c>
      <c r="I2704">
        <v>16744</v>
      </c>
      <c r="J2704" t="s">
        <v>12085</v>
      </c>
      <c r="K2704" t="s">
        <v>12087</v>
      </c>
      <c r="L2704" t="s">
        <v>386</v>
      </c>
      <c r="M2704" t="s">
        <v>1193</v>
      </c>
      <c r="N2704">
        <v>16744</v>
      </c>
      <c r="O2704">
        <v>0</v>
      </c>
      <c r="Q2704" t="s">
        <v>12088</v>
      </c>
      <c r="T2704">
        <v>52</v>
      </c>
      <c r="V2704" t="s">
        <v>2024</v>
      </c>
      <c r="W2704" t="s">
        <v>2246</v>
      </c>
      <c r="X2704">
        <v>496</v>
      </c>
      <c r="Z2704" t="s">
        <v>12089</v>
      </c>
      <c r="AA2704" t="s">
        <v>387</v>
      </c>
      <c r="AB2704">
        <v>0</v>
      </c>
      <c r="AC2704">
        <v>6235</v>
      </c>
      <c r="AD2704" t="s">
        <v>12090</v>
      </c>
      <c r="AE2704">
        <v>18</v>
      </c>
      <c r="AF2704" t="s">
        <v>1259</v>
      </c>
      <c r="AG2704" t="s">
        <v>1931</v>
      </c>
      <c r="AH2704" t="s">
        <v>12091</v>
      </c>
    </row>
    <row r="2705" spans="1:34" x14ac:dyDescent="0.25">
      <c r="A2705">
        <v>66</v>
      </c>
      <c r="C2705" s="185"/>
      <c r="E2705" t="s">
        <v>386</v>
      </c>
      <c r="F2705" t="s">
        <v>12092</v>
      </c>
      <c r="G2705" t="s">
        <v>1197</v>
      </c>
      <c r="H2705" t="s">
        <v>12093</v>
      </c>
      <c r="I2705">
        <v>17489</v>
      </c>
      <c r="J2705" t="s">
        <v>12092</v>
      </c>
      <c r="K2705" t="s">
        <v>12094</v>
      </c>
      <c r="L2705" t="s">
        <v>386</v>
      </c>
      <c r="M2705" t="s">
        <v>1193</v>
      </c>
      <c r="N2705">
        <v>17489</v>
      </c>
      <c r="O2705">
        <v>0</v>
      </c>
      <c r="Q2705" t="s">
        <v>12095</v>
      </c>
      <c r="T2705">
        <v>52</v>
      </c>
      <c r="V2705" t="s">
        <v>2024</v>
      </c>
      <c r="W2705" t="s">
        <v>1964</v>
      </c>
      <c r="X2705">
        <v>473</v>
      </c>
      <c r="Z2705" t="s">
        <v>7670</v>
      </c>
      <c r="AA2705" t="s">
        <v>387</v>
      </c>
      <c r="AB2705">
        <v>0</v>
      </c>
      <c r="AC2705">
        <v>5435</v>
      </c>
      <c r="AD2705" t="s">
        <v>12096</v>
      </c>
      <c r="AE2705">
        <v>2520</v>
      </c>
      <c r="AF2705" t="s">
        <v>7672</v>
      </c>
      <c r="AG2705" t="s">
        <v>12097</v>
      </c>
      <c r="AH2705" t="s">
        <v>12098</v>
      </c>
    </row>
    <row r="2706" spans="1:34" x14ac:dyDescent="0.25">
      <c r="A2706">
        <v>195</v>
      </c>
      <c r="C2706" s="185"/>
      <c r="E2706" t="s">
        <v>386</v>
      </c>
      <c r="F2706" t="s">
        <v>12099</v>
      </c>
      <c r="G2706" t="s">
        <v>1197</v>
      </c>
      <c r="H2706" t="s">
        <v>12100</v>
      </c>
      <c r="I2706">
        <v>16474</v>
      </c>
      <c r="J2706" t="s">
        <v>12099</v>
      </c>
      <c r="K2706" t="s">
        <v>12101</v>
      </c>
      <c r="L2706" t="s">
        <v>386</v>
      </c>
      <c r="M2706" t="s">
        <v>1193</v>
      </c>
      <c r="N2706">
        <v>16474</v>
      </c>
      <c r="O2706">
        <v>0</v>
      </c>
      <c r="Q2706" t="s">
        <v>12102</v>
      </c>
      <c r="T2706">
        <v>496</v>
      </c>
      <c r="V2706" t="s">
        <v>2246</v>
      </c>
      <c r="W2706" t="s">
        <v>2246</v>
      </c>
      <c r="X2706">
        <v>496</v>
      </c>
      <c r="Z2706" t="s">
        <v>12103</v>
      </c>
      <c r="AA2706" t="s">
        <v>387</v>
      </c>
      <c r="AB2706">
        <v>0</v>
      </c>
      <c r="AC2706">
        <v>6158</v>
      </c>
      <c r="AD2706" t="s">
        <v>12104</v>
      </c>
      <c r="AE2706">
        <v>2826</v>
      </c>
      <c r="AF2706" t="s">
        <v>12105</v>
      </c>
      <c r="AG2706" t="s">
        <v>12106</v>
      </c>
      <c r="AH2706" t="s">
        <v>12107</v>
      </c>
    </row>
    <row r="2707" spans="1:34" x14ac:dyDescent="0.25">
      <c r="A2707">
        <v>2039</v>
      </c>
      <c r="C2707" s="185"/>
      <c r="E2707" t="s">
        <v>386</v>
      </c>
      <c r="F2707" t="s">
        <v>12108</v>
      </c>
      <c r="G2707" t="s">
        <v>1197</v>
      </c>
      <c r="H2707" t="s">
        <v>10454</v>
      </c>
      <c r="I2707">
        <v>4261</v>
      </c>
      <c r="J2707" t="s">
        <v>12108</v>
      </c>
      <c r="K2707" t="s">
        <v>12109</v>
      </c>
      <c r="L2707" t="s">
        <v>386</v>
      </c>
      <c r="M2707" t="s">
        <v>1193</v>
      </c>
      <c r="N2707">
        <v>4261</v>
      </c>
      <c r="O2707">
        <v>0</v>
      </c>
      <c r="Q2707" t="s">
        <v>12110</v>
      </c>
      <c r="T2707">
        <v>52</v>
      </c>
      <c r="V2707" t="s">
        <v>2024</v>
      </c>
      <c r="W2707" t="s">
        <v>1215</v>
      </c>
      <c r="X2707">
        <v>259</v>
      </c>
      <c r="Z2707" t="s">
        <v>10457</v>
      </c>
      <c r="AA2707" t="s">
        <v>387</v>
      </c>
      <c r="AB2707">
        <v>0</v>
      </c>
      <c r="AC2707">
        <v>4882</v>
      </c>
      <c r="AD2707" t="s">
        <v>12111</v>
      </c>
      <c r="AE2707">
        <v>306</v>
      </c>
      <c r="AF2707" t="s">
        <v>12112</v>
      </c>
      <c r="AG2707" t="s">
        <v>12113</v>
      </c>
      <c r="AH2707" t="s">
        <v>12114</v>
      </c>
    </row>
    <row r="2708" spans="1:34" x14ac:dyDescent="0.25">
      <c r="A2708">
        <v>623</v>
      </c>
      <c r="C2708" s="185"/>
      <c r="E2708" t="s">
        <v>386</v>
      </c>
      <c r="F2708" t="s">
        <v>12115</v>
      </c>
      <c r="G2708" t="s">
        <v>1197</v>
      </c>
      <c r="H2708" t="s">
        <v>12116</v>
      </c>
      <c r="I2708">
        <v>5350</v>
      </c>
      <c r="J2708" t="s">
        <v>12115</v>
      </c>
      <c r="K2708" t="s">
        <v>12115</v>
      </c>
      <c r="L2708" t="s">
        <v>386</v>
      </c>
      <c r="M2708" t="s">
        <v>1193</v>
      </c>
      <c r="N2708">
        <v>5350</v>
      </c>
      <c r="O2708">
        <v>0</v>
      </c>
      <c r="Q2708" t="s">
        <v>12110</v>
      </c>
      <c r="T2708">
        <v>35</v>
      </c>
      <c r="V2708" t="s">
        <v>2015</v>
      </c>
      <c r="Z2708" t="s">
        <v>10163</v>
      </c>
      <c r="AA2708" t="s">
        <v>387</v>
      </c>
      <c r="AB2708">
        <v>0</v>
      </c>
      <c r="AC2708">
        <v>2568</v>
      </c>
      <c r="AD2708" t="s">
        <v>8284</v>
      </c>
      <c r="AE2708">
        <v>1237</v>
      </c>
      <c r="AF2708" t="s">
        <v>12117</v>
      </c>
      <c r="AG2708" t="s">
        <v>12118</v>
      </c>
      <c r="AH2708" t="s">
        <v>12119</v>
      </c>
    </row>
    <row r="2709" spans="1:34" x14ac:dyDescent="0.25">
      <c r="A2709">
        <v>195</v>
      </c>
      <c r="C2709" s="185"/>
      <c r="E2709" t="s">
        <v>386</v>
      </c>
      <c r="F2709" t="s">
        <v>12120</v>
      </c>
      <c r="G2709" t="s">
        <v>1197</v>
      </c>
      <c r="H2709" t="s">
        <v>12100</v>
      </c>
      <c r="I2709">
        <v>918</v>
      </c>
      <c r="J2709" t="s">
        <v>12120</v>
      </c>
      <c r="K2709" t="s">
        <v>12120</v>
      </c>
      <c r="L2709" t="s">
        <v>386</v>
      </c>
      <c r="M2709" t="s">
        <v>1193</v>
      </c>
      <c r="N2709">
        <v>918</v>
      </c>
      <c r="O2709">
        <v>0</v>
      </c>
      <c r="Q2709" t="s">
        <v>12121</v>
      </c>
      <c r="T2709">
        <v>35</v>
      </c>
      <c r="V2709" t="s">
        <v>2015</v>
      </c>
      <c r="Z2709" t="s">
        <v>12103</v>
      </c>
      <c r="AA2709" t="s">
        <v>387</v>
      </c>
      <c r="AB2709">
        <v>0</v>
      </c>
      <c r="AC2709">
        <v>0</v>
      </c>
      <c r="AD2709" t="s">
        <v>1187</v>
      </c>
      <c r="AE2709">
        <v>0</v>
      </c>
      <c r="AF2709" t="s">
        <v>1188</v>
      </c>
      <c r="AH2709" t="s">
        <v>12122</v>
      </c>
    </row>
    <row r="2710" spans="1:34" x14ac:dyDescent="0.25">
      <c r="A2710">
        <v>1309</v>
      </c>
      <c r="C2710" s="185"/>
      <c r="E2710" t="s">
        <v>386</v>
      </c>
      <c r="F2710" t="s">
        <v>12123</v>
      </c>
      <c r="G2710" t="s">
        <v>1197</v>
      </c>
      <c r="H2710" t="s">
        <v>12124</v>
      </c>
      <c r="I2710">
        <v>17585</v>
      </c>
      <c r="J2710" t="s">
        <v>12123</v>
      </c>
      <c r="K2710" t="s">
        <v>12123</v>
      </c>
      <c r="L2710" t="s">
        <v>386</v>
      </c>
      <c r="M2710" t="s">
        <v>1193</v>
      </c>
      <c r="N2710">
        <v>17585</v>
      </c>
      <c r="O2710">
        <v>0</v>
      </c>
      <c r="Q2710" t="s">
        <v>12125</v>
      </c>
      <c r="R2710" t="s">
        <v>398</v>
      </c>
      <c r="T2710">
        <v>556</v>
      </c>
      <c r="V2710" t="s">
        <v>4502</v>
      </c>
      <c r="W2710" t="s">
        <v>4502</v>
      </c>
      <c r="X2710">
        <v>556</v>
      </c>
      <c r="Z2710" t="s">
        <v>994</v>
      </c>
      <c r="AA2710" t="s">
        <v>387</v>
      </c>
      <c r="AB2710">
        <v>0</v>
      </c>
      <c r="AC2710">
        <v>544</v>
      </c>
      <c r="AD2710" t="s">
        <v>3532</v>
      </c>
      <c r="AE2710">
        <v>3040</v>
      </c>
      <c r="AF2710" t="s">
        <v>12126</v>
      </c>
      <c r="AG2710" t="s">
        <v>1244</v>
      </c>
      <c r="AH2710" t="s">
        <v>12127</v>
      </c>
    </row>
    <row r="2711" spans="1:34" x14ac:dyDescent="0.25">
      <c r="A2711">
        <v>1309</v>
      </c>
      <c r="C2711" s="185"/>
      <c r="E2711" t="s">
        <v>386</v>
      </c>
      <c r="F2711" t="s">
        <v>12128</v>
      </c>
      <c r="G2711" t="s">
        <v>1197</v>
      </c>
      <c r="H2711" t="s">
        <v>12129</v>
      </c>
      <c r="I2711">
        <v>16029</v>
      </c>
      <c r="J2711" t="s">
        <v>12128</v>
      </c>
      <c r="K2711" t="s">
        <v>12128</v>
      </c>
      <c r="L2711" t="s">
        <v>386</v>
      </c>
      <c r="M2711" t="s">
        <v>1193</v>
      </c>
      <c r="N2711">
        <v>16029</v>
      </c>
      <c r="O2711">
        <v>0</v>
      </c>
      <c r="Q2711" t="s">
        <v>12130</v>
      </c>
      <c r="T2711">
        <v>571</v>
      </c>
      <c r="V2711" t="s">
        <v>2003</v>
      </c>
      <c r="W2711" t="s">
        <v>1215</v>
      </c>
      <c r="X2711">
        <v>259</v>
      </c>
      <c r="Z2711" t="s">
        <v>994</v>
      </c>
      <c r="AA2711" t="s">
        <v>387</v>
      </c>
      <c r="AB2711">
        <v>0</v>
      </c>
      <c r="AC2711">
        <v>6034</v>
      </c>
      <c r="AD2711" t="s">
        <v>12131</v>
      </c>
      <c r="AE2711">
        <v>2776</v>
      </c>
      <c r="AF2711" t="s">
        <v>12132</v>
      </c>
      <c r="AG2711" t="s">
        <v>5732</v>
      </c>
      <c r="AH2711" t="s">
        <v>12133</v>
      </c>
    </row>
    <row r="2712" spans="1:34" x14ac:dyDescent="0.25">
      <c r="A2712">
        <v>1309</v>
      </c>
      <c r="C2712" s="185"/>
      <c r="D2712" t="s">
        <v>157</v>
      </c>
      <c r="E2712" t="s">
        <v>386</v>
      </c>
      <c r="F2712" t="s">
        <v>784</v>
      </c>
      <c r="G2712" t="s">
        <v>1197</v>
      </c>
      <c r="H2712" t="s">
        <v>12134</v>
      </c>
      <c r="I2712">
        <v>15906</v>
      </c>
      <c r="J2712" t="s">
        <v>752</v>
      </c>
      <c r="K2712" t="s">
        <v>7189</v>
      </c>
      <c r="L2712" t="s">
        <v>386</v>
      </c>
      <c r="M2712" t="s">
        <v>1193</v>
      </c>
      <c r="N2712">
        <v>17696</v>
      </c>
      <c r="O2712">
        <v>70</v>
      </c>
      <c r="Q2712" t="s">
        <v>12135</v>
      </c>
      <c r="R2712" t="s">
        <v>398</v>
      </c>
      <c r="T2712">
        <v>200</v>
      </c>
      <c r="V2712" t="s">
        <v>1199</v>
      </c>
      <c r="W2712" t="s">
        <v>1199</v>
      </c>
      <c r="X2712">
        <v>200</v>
      </c>
      <c r="Z2712" t="s">
        <v>994</v>
      </c>
      <c r="AA2712" t="s">
        <v>387</v>
      </c>
      <c r="AB2712">
        <v>62000</v>
      </c>
      <c r="AC2712">
        <v>5993</v>
      </c>
      <c r="AD2712" t="s">
        <v>12136</v>
      </c>
      <c r="AE2712">
        <v>306</v>
      </c>
      <c r="AF2712" t="s">
        <v>12112</v>
      </c>
      <c r="AG2712" t="s">
        <v>9411</v>
      </c>
      <c r="AH2712" t="s">
        <v>7193</v>
      </c>
    </row>
    <row r="2713" spans="1:34" x14ac:dyDescent="0.25">
      <c r="A2713">
        <v>1</v>
      </c>
      <c r="C2713" s="185"/>
      <c r="E2713" t="s">
        <v>386</v>
      </c>
      <c r="F2713" t="s">
        <v>12137</v>
      </c>
      <c r="G2713" t="s">
        <v>1192</v>
      </c>
      <c r="H2713" t="s">
        <v>2141</v>
      </c>
      <c r="I2713">
        <v>3022</v>
      </c>
      <c r="J2713" t="s">
        <v>12137</v>
      </c>
      <c r="K2713" t="s">
        <v>12137</v>
      </c>
      <c r="L2713" t="s">
        <v>386</v>
      </c>
      <c r="M2713" t="s">
        <v>1184</v>
      </c>
      <c r="N2713">
        <v>3022</v>
      </c>
      <c r="O2713">
        <v>0</v>
      </c>
      <c r="Q2713" t="s">
        <v>12138</v>
      </c>
      <c r="R2713" t="s">
        <v>1208</v>
      </c>
      <c r="T2713">
        <v>120</v>
      </c>
      <c r="V2713" t="s">
        <v>2570</v>
      </c>
      <c r="Z2713" t="s">
        <v>865</v>
      </c>
      <c r="AA2713" t="s">
        <v>387</v>
      </c>
      <c r="AB2713">
        <v>0</v>
      </c>
      <c r="AC2713">
        <v>2022</v>
      </c>
      <c r="AD2713" t="s">
        <v>12139</v>
      </c>
      <c r="AE2713">
        <v>473</v>
      </c>
      <c r="AF2713" t="s">
        <v>12140</v>
      </c>
      <c r="AG2713" t="s">
        <v>2379</v>
      </c>
      <c r="AH2713" t="s">
        <v>12141</v>
      </c>
    </row>
    <row r="2714" spans="1:34" x14ac:dyDescent="0.25">
      <c r="A2714">
        <v>48</v>
      </c>
      <c r="C2714" s="185"/>
      <c r="D2714" t="s">
        <v>157</v>
      </c>
      <c r="E2714" t="s">
        <v>386</v>
      </c>
      <c r="F2714" t="s">
        <v>12142</v>
      </c>
      <c r="G2714" t="s">
        <v>1192</v>
      </c>
      <c r="H2714" t="s">
        <v>12143</v>
      </c>
      <c r="I2714">
        <v>5936</v>
      </c>
      <c r="J2714" t="s">
        <v>12142</v>
      </c>
      <c r="K2714" t="s">
        <v>12142</v>
      </c>
      <c r="L2714" t="s">
        <v>386</v>
      </c>
      <c r="M2714" t="s">
        <v>1184</v>
      </c>
      <c r="N2714">
        <v>5936</v>
      </c>
      <c r="O2714">
        <v>0</v>
      </c>
      <c r="Q2714" t="s">
        <v>12144</v>
      </c>
      <c r="T2714">
        <v>39</v>
      </c>
      <c r="V2714" t="s">
        <v>2144</v>
      </c>
      <c r="Z2714" t="s">
        <v>2797</v>
      </c>
      <c r="AA2714" t="s">
        <v>387</v>
      </c>
      <c r="AB2714">
        <v>6000</v>
      </c>
      <c r="AC2714">
        <v>2773</v>
      </c>
      <c r="AD2714" t="s">
        <v>12145</v>
      </c>
      <c r="AE2714">
        <v>477</v>
      </c>
      <c r="AF2714" t="s">
        <v>12146</v>
      </c>
      <c r="AG2714" t="s">
        <v>12147</v>
      </c>
    </row>
    <row r="2715" spans="1:34" x14ac:dyDescent="0.25">
      <c r="A2715">
        <v>2179</v>
      </c>
      <c r="C2715" s="185"/>
      <c r="E2715" t="s">
        <v>386</v>
      </c>
      <c r="F2715" t="s">
        <v>12148</v>
      </c>
      <c r="G2715" t="s">
        <v>1197</v>
      </c>
      <c r="H2715" t="s">
        <v>12149</v>
      </c>
      <c r="I2715">
        <v>16396</v>
      </c>
      <c r="J2715" t="s">
        <v>12148</v>
      </c>
      <c r="K2715" t="s">
        <v>12148</v>
      </c>
      <c r="L2715" t="s">
        <v>386</v>
      </c>
      <c r="M2715" t="s">
        <v>1193</v>
      </c>
      <c r="N2715">
        <v>16396</v>
      </c>
      <c r="O2715">
        <v>0</v>
      </c>
      <c r="Q2715" t="s">
        <v>12150</v>
      </c>
      <c r="T2715">
        <v>571</v>
      </c>
      <c r="V2715" t="s">
        <v>2003</v>
      </c>
      <c r="W2715" t="s">
        <v>2024</v>
      </c>
      <c r="X2715">
        <v>52</v>
      </c>
      <c r="Z2715" t="s">
        <v>12151</v>
      </c>
      <c r="AA2715" t="s">
        <v>387</v>
      </c>
      <c r="AB2715">
        <v>0</v>
      </c>
      <c r="AC2715">
        <v>6140</v>
      </c>
      <c r="AD2715" t="s">
        <v>12152</v>
      </c>
      <c r="AE2715">
        <v>2817</v>
      </c>
      <c r="AF2715" t="s">
        <v>12153</v>
      </c>
      <c r="AG2715" t="s">
        <v>2044</v>
      </c>
      <c r="AH2715" t="s">
        <v>12154</v>
      </c>
    </row>
    <row r="2716" spans="1:34" x14ac:dyDescent="0.25">
      <c r="A2716">
        <v>1398</v>
      </c>
      <c r="C2716" s="185"/>
      <c r="E2716" t="s">
        <v>386</v>
      </c>
      <c r="F2716" t="s">
        <v>12155</v>
      </c>
      <c r="G2716" t="s">
        <v>1197</v>
      </c>
      <c r="H2716" t="s">
        <v>12156</v>
      </c>
      <c r="I2716">
        <v>17018</v>
      </c>
      <c r="J2716" t="s">
        <v>12155</v>
      </c>
      <c r="K2716" t="s">
        <v>12155</v>
      </c>
      <c r="L2716" t="s">
        <v>386</v>
      </c>
      <c r="M2716" t="s">
        <v>1193</v>
      </c>
      <c r="N2716">
        <v>17018</v>
      </c>
      <c r="O2716">
        <v>76</v>
      </c>
      <c r="Q2716" t="s">
        <v>12157</v>
      </c>
      <c r="R2716" t="s">
        <v>398</v>
      </c>
      <c r="T2716">
        <v>220</v>
      </c>
      <c r="V2716" t="s">
        <v>1194</v>
      </c>
      <c r="W2716" t="s">
        <v>2186</v>
      </c>
      <c r="X2716">
        <v>396</v>
      </c>
      <c r="Z2716" t="s">
        <v>12158</v>
      </c>
      <c r="AA2716" t="s">
        <v>387</v>
      </c>
      <c r="AB2716">
        <v>0</v>
      </c>
      <c r="AC2716">
        <v>6381</v>
      </c>
      <c r="AD2716" t="s">
        <v>12159</v>
      </c>
      <c r="AE2716">
        <v>18</v>
      </c>
      <c r="AF2716" t="s">
        <v>1259</v>
      </c>
      <c r="AG2716" t="s">
        <v>2044</v>
      </c>
      <c r="AH2716" t="s">
        <v>12160</v>
      </c>
    </row>
    <row r="2717" spans="1:34" x14ac:dyDescent="0.25">
      <c r="A2717">
        <v>181</v>
      </c>
      <c r="C2717" s="185"/>
      <c r="E2717" t="s">
        <v>386</v>
      </c>
      <c r="F2717" t="s">
        <v>12161</v>
      </c>
      <c r="G2717" t="s">
        <v>1197</v>
      </c>
      <c r="H2717" t="s">
        <v>12162</v>
      </c>
      <c r="I2717">
        <v>15013</v>
      </c>
      <c r="J2717" t="s">
        <v>12161</v>
      </c>
      <c r="K2717" t="s">
        <v>12161</v>
      </c>
      <c r="L2717" t="s">
        <v>386</v>
      </c>
      <c r="M2717" t="s">
        <v>1193</v>
      </c>
      <c r="N2717">
        <v>15013</v>
      </c>
      <c r="O2717">
        <v>0</v>
      </c>
      <c r="Q2717" t="s">
        <v>12163</v>
      </c>
      <c r="T2717">
        <v>426</v>
      </c>
      <c r="V2717" t="s">
        <v>1257</v>
      </c>
      <c r="W2717" t="s">
        <v>1257</v>
      </c>
      <c r="X2717">
        <v>426</v>
      </c>
      <c r="Z2717" t="s">
        <v>948</v>
      </c>
      <c r="AA2717" t="s">
        <v>387</v>
      </c>
      <c r="AB2717">
        <v>0</v>
      </c>
      <c r="AC2717">
        <v>5706</v>
      </c>
      <c r="AD2717" t="s">
        <v>12164</v>
      </c>
      <c r="AE2717">
        <v>2631</v>
      </c>
      <c r="AF2717" t="s">
        <v>12165</v>
      </c>
      <c r="AG2717" t="s">
        <v>12166</v>
      </c>
      <c r="AH2717" t="s">
        <v>12167</v>
      </c>
    </row>
    <row r="2718" spans="1:34" x14ac:dyDescent="0.25">
      <c r="A2718">
        <v>181</v>
      </c>
      <c r="C2718" s="185"/>
      <c r="E2718" t="s">
        <v>386</v>
      </c>
      <c r="F2718" t="s">
        <v>12168</v>
      </c>
      <c r="G2718" t="s">
        <v>1197</v>
      </c>
      <c r="H2718" t="s">
        <v>12169</v>
      </c>
      <c r="I2718">
        <v>5384</v>
      </c>
      <c r="J2718" t="s">
        <v>12168</v>
      </c>
      <c r="K2718" t="s">
        <v>12168</v>
      </c>
      <c r="L2718" t="s">
        <v>386</v>
      </c>
      <c r="M2718" t="s">
        <v>1193</v>
      </c>
      <c r="N2718">
        <v>5384</v>
      </c>
      <c r="O2718">
        <v>0</v>
      </c>
      <c r="Q2718" t="s">
        <v>12170</v>
      </c>
      <c r="T2718">
        <v>103</v>
      </c>
      <c r="V2718" t="s">
        <v>1530</v>
      </c>
      <c r="Z2718" t="s">
        <v>948</v>
      </c>
      <c r="AA2718" t="s">
        <v>387</v>
      </c>
      <c r="AB2718">
        <v>0</v>
      </c>
      <c r="AC2718">
        <v>2579</v>
      </c>
      <c r="AD2718" t="s">
        <v>12171</v>
      </c>
      <c r="AE2718">
        <v>63</v>
      </c>
      <c r="AF2718" t="s">
        <v>3896</v>
      </c>
      <c r="AG2718" t="s">
        <v>6208</v>
      </c>
      <c r="AH2718" t="s">
        <v>12172</v>
      </c>
    </row>
    <row r="2719" spans="1:34" x14ac:dyDescent="0.25">
      <c r="A2719">
        <v>181</v>
      </c>
      <c r="C2719" s="185"/>
      <c r="E2719" t="s">
        <v>386</v>
      </c>
      <c r="F2719" t="s">
        <v>8811</v>
      </c>
      <c r="G2719" t="s">
        <v>1197</v>
      </c>
      <c r="H2719" t="s">
        <v>12173</v>
      </c>
      <c r="I2719">
        <v>5424</v>
      </c>
      <c r="J2719" t="s">
        <v>8811</v>
      </c>
      <c r="K2719" t="s">
        <v>8811</v>
      </c>
      <c r="L2719" t="s">
        <v>386</v>
      </c>
      <c r="M2719" t="s">
        <v>1193</v>
      </c>
      <c r="N2719">
        <v>5424</v>
      </c>
      <c r="O2719">
        <v>0</v>
      </c>
      <c r="Q2719" t="s">
        <v>12174</v>
      </c>
      <c r="T2719">
        <v>35</v>
      </c>
      <c r="V2719" t="s">
        <v>2015</v>
      </c>
      <c r="Z2719" t="s">
        <v>948</v>
      </c>
      <c r="AA2719" t="s">
        <v>387</v>
      </c>
      <c r="AB2719">
        <v>0</v>
      </c>
      <c r="AC2719">
        <v>2593</v>
      </c>
      <c r="AD2719" t="s">
        <v>12175</v>
      </c>
      <c r="AE2719">
        <v>1211</v>
      </c>
      <c r="AF2719" t="s">
        <v>4688</v>
      </c>
      <c r="AG2719" t="s">
        <v>12176</v>
      </c>
      <c r="AH2719" t="s">
        <v>12177</v>
      </c>
    </row>
    <row r="2720" spans="1:34" x14ac:dyDescent="0.25">
      <c r="A2720">
        <v>181</v>
      </c>
      <c r="B2720" t="s">
        <v>1313</v>
      </c>
      <c r="C2720" s="185"/>
      <c r="D2720" t="s">
        <v>24</v>
      </c>
      <c r="E2720" t="s">
        <v>386</v>
      </c>
      <c r="F2720" t="s">
        <v>73</v>
      </c>
      <c r="G2720" t="s">
        <v>1197</v>
      </c>
      <c r="H2720" t="s">
        <v>12178</v>
      </c>
      <c r="I2720">
        <v>2622</v>
      </c>
      <c r="J2720" t="s">
        <v>73</v>
      </c>
      <c r="K2720" t="s">
        <v>12179</v>
      </c>
      <c r="L2720" t="s">
        <v>386</v>
      </c>
      <c r="M2720" t="s">
        <v>1193</v>
      </c>
      <c r="N2720">
        <v>2622</v>
      </c>
      <c r="O2720">
        <v>76</v>
      </c>
      <c r="Q2720" t="s">
        <v>12180</v>
      </c>
      <c r="R2720" t="s">
        <v>398</v>
      </c>
      <c r="S2720" t="s">
        <v>2293</v>
      </c>
      <c r="T2720">
        <v>470</v>
      </c>
      <c r="U2720">
        <v>0</v>
      </c>
      <c r="V2720" t="s">
        <v>4468</v>
      </c>
      <c r="W2720" t="s">
        <v>1194</v>
      </c>
      <c r="X2720">
        <v>220</v>
      </c>
      <c r="Y2720" t="s">
        <v>1317</v>
      </c>
      <c r="Z2720" t="s">
        <v>948</v>
      </c>
      <c r="AA2720" t="s">
        <v>387</v>
      </c>
      <c r="AB2720">
        <v>0</v>
      </c>
      <c r="AC2720">
        <v>2607</v>
      </c>
      <c r="AD2720" t="s">
        <v>12181</v>
      </c>
      <c r="AE2720">
        <v>3</v>
      </c>
      <c r="AF2720" t="s">
        <v>1235</v>
      </c>
      <c r="AG2720" t="s">
        <v>10910</v>
      </c>
      <c r="AH2720" t="s">
        <v>12182</v>
      </c>
    </row>
    <row r="2721" spans="1:34" x14ac:dyDescent="0.25">
      <c r="A2721">
        <v>181</v>
      </c>
      <c r="B2721" t="s">
        <v>1313</v>
      </c>
      <c r="C2721" s="185"/>
      <c r="E2721" t="s">
        <v>386</v>
      </c>
      <c r="F2721" t="s">
        <v>73</v>
      </c>
      <c r="H2721" t="s">
        <v>12178</v>
      </c>
      <c r="I2721">
        <v>11032</v>
      </c>
      <c r="J2721" t="s">
        <v>12183</v>
      </c>
      <c r="K2721" t="s">
        <v>12184</v>
      </c>
      <c r="L2721" t="s">
        <v>386</v>
      </c>
      <c r="M2721" t="s">
        <v>1193</v>
      </c>
      <c r="N2721">
        <v>2622</v>
      </c>
      <c r="O2721">
        <v>76</v>
      </c>
      <c r="Q2721" t="s">
        <v>12180</v>
      </c>
      <c r="R2721" t="s">
        <v>398</v>
      </c>
      <c r="S2721" t="s">
        <v>1909</v>
      </c>
      <c r="T2721">
        <v>220</v>
      </c>
      <c r="U2721">
        <v>0</v>
      </c>
      <c r="V2721" t="s">
        <v>1194</v>
      </c>
      <c r="W2721" t="s">
        <v>1194</v>
      </c>
      <c r="X2721">
        <v>220</v>
      </c>
      <c r="Y2721" t="s">
        <v>1317</v>
      </c>
      <c r="Z2721" t="s">
        <v>948</v>
      </c>
      <c r="AA2721" t="s">
        <v>387</v>
      </c>
      <c r="AB2721">
        <v>0</v>
      </c>
      <c r="AC2721">
        <v>2607</v>
      </c>
      <c r="AD2721" t="s">
        <v>12181</v>
      </c>
      <c r="AE2721">
        <v>3</v>
      </c>
      <c r="AF2721" t="s">
        <v>1235</v>
      </c>
      <c r="AG2721" t="s">
        <v>10910</v>
      </c>
    </row>
    <row r="2722" spans="1:34" x14ac:dyDescent="0.25">
      <c r="A2722">
        <v>181</v>
      </c>
      <c r="C2722" s="185"/>
      <c r="E2722" t="s">
        <v>386</v>
      </c>
      <c r="F2722" t="s">
        <v>12185</v>
      </c>
      <c r="G2722" t="s">
        <v>1197</v>
      </c>
      <c r="H2722" t="s">
        <v>12186</v>
      </c>
      <c r="I2722">
        <v>12965</v>
      </c>
      <c r="J2722" t="s">
        <v>12185</v>
      </c>
      <c r="K2722" t="s">
        <v>12185</v>
      </c>
      <c r="L2722" t="s">
        <v>386</v>
      </c>
      <c r="M2722" t="s">
        <v>1193</v>
      </c>
      <c r="N2722">
        <v>12965</v>
      </c>
      <c r="O2722">
        <v>0</v>
      </c>
      <c r="Q2722" t="s">
        <v>12187</v>
      </c>
      <c r="R2722" t="s">
        <v>1208</v>
      </c>
      <c r="T2722">
        <v>260</v>
      </c>
      <c r="V2722" t="s">
        <v>1216</v>
      </c>
      <c r="W2722" t="s">
        <v>1216</v>
      </c>
      <c r="X2722">
        <v>260</v>
      </c>
      <c r="Z2722" t="s">
        <v>948</v>
      </c>
      <c r="AA2722" t="s">
        <v>387</v>
      </c>
      <c r="AB2722">
        <v>0</v>
      </c>
      <c r="AC2722">
        <v>6455</v>
      </c>
      <c r="AD2722" t="s">
        <v>12188</v>
      </c>
      <c r="AE2722">
        <v>2977</v>
      </c>
      <c r="AF2722" t="s">
        <v>12189</v>
      </c>
      <c r="AG2722" t="s">
        <v>12190</v>
      </c>
      <c r="AH2722" t="s">
        <v>12191</v>
      </c>
    </row>
    <row r="2723" spans="1:34" x14ac:dyDescent="0.25">
      <c r="A2723">
        <v>2085</v>
      </c>
      <c r="C2723" s="185"/>
      <c r="E2723" t="s">
        <v>386</v>
      </c>
      <c r="F2723" t="s">
        <v>12192</v>
      </c>
      <c r="G2723" t="s">
        <v>1197</v>
      </c>
      <c r="H2723" t="s">
        <v>12193</v>
      </c>
      <c r="I2723">
        <v>14124</v>
      </c>
      <c r="J2723" t="s">
        <v>12192</v>
      </c>
      <c r="K2723" t="s">
        <v>12194</v>
      </c>
      <c r="L2723" t="s">
        <v>386</v>
      </c>
      <c r="M2723" t="s">
        <v>1193</v>
      </c>
      <c r="N2723">
        <v>14124</v>
      </c>
      <c r="O2723">
        <v>0</v>
      </c>
      <c r="Q2723" t="s">
        <v>12195</v>
      </c>
      <c r="T2723">
        <v>260</v>
      </c>
      <c r="V2723" t="s">
        <v>1216</v>
      </c>
      <c r="W2723" t="s">
        <v>1216</v>
      </c>
      <c r="X2723">
        <v>260</v>
      </c>
      <c r="Z2723" t="s">
        <v>12196</v>
      </c>
      <c r="AA2723" t="s">
        <v>387</v>
      </c>
      <c r="AB2723">
        <v>0</v>
      </c>
      <c r="AC2723">
        <v>5340</v>
      </c>
      <c r="AD2723" t="s">
        <v>12197</v>
      </c>
      <c r="AE2723">
        <v>2483</v>
      </c>
      <c r="AF2723" t="s">
        <v>12198</v>
      </c>
      <c r="AG2723" t="s">
        <v>1244</v>
      </c>
      <c r="AH2723" t="s">
        <v>12199</v>
      </c>
    </row>
    <row r="2724" spans="1:34" x14ac:dyDescent="0.25">
      <c r="A2724">
        <v>1</v>
      </c>
      <c r="C2724" s="185"/>
      <c r="E2724" t="s">
        <v>386</v>
      </c>
      <c r="F2724" t="s">
        <v>3950</v>
      </c>
      <c r="G2724" t="s">
        <v>1197</v>
      </c>
      <c r="H2724" t="s">
        <v>5589</v>
      </c>
      <c r="I2724">
        <v>13479</v>
      </c>
      <c r="J2724" t="s">
        <v>3950</v>
      </c>
      <c r="K2724" t="s">
        <v>3950</v>
      </c>
      <c r="L2724" t="s">
        <v>386</v>
      </c>
      <c r="M2724" t="s">
        <v>1193</v>
      </c>
      <c r="N2724">
        <v>13479</v>
      </c>
      <c r="O2724">
        <v>0</v>
      </c>
      <c r="Q2724" t="s">
        <v>12200</v>
      </c>
      <c r="R2724" t="s">
        <v>1223</v>
      </c>
      <c r="T2724">
        <v>304</v>
      </c>
      <c r="V2724" t="s">
        <v>2067</v>
      </c>
      <c r="W2724" t="s">
        <v>2067</v>
      </c>
      <c r="X2724">
        <v>304</v>
      </c>
      <c r="Z2724" t="s">
        <v>865</v>
      </c>
      <c r="AA2724" t="s">
        <v>387</v>
      </c>
      <c r="AB2724">
        <v>0</v>
      </c>
      <c r="AC2724">
        <v>112</v>
      </c>
      <c r="AD2724" t="s">
        <v>5592</v>
      </c>
      <c r="AE2724">
        <v>138</v>
      </c>
      <c r="AF2724" t="s">
        <v>2509</v>
      </c>
      <c r="AG2724" t="s">
        <v>10086</v>
      </c>
      <c r="AH2724" t="s">
        <v>3953</v>
      </c>
    </row>
    <row r="2725" spans="1:34" x14ac:dyDescent="0.25">
      <c r="A2725">
        <v>1258</v>
      </c>
      <c r="C2725" s="185"/>
      <c r="E2725" t="s">
        <v>386</v>
      </c>
      <c r="F2725" t="s">
        <v>12201</v>
      </c>
      <c r="G2725" t="s">
        <v>1192</v>
      </c>
      <c r="I2725">
        <v>1239</v>
      </c>
      <c r="J2725" t="s">
        <v>12201</v>
      </c>
      <c r="K2725" t="s">
        <v>12201</v>
      </c>
      <c r="L2725" t="s">
        <v>386</v>
      </c>
      <c r="M2725" t="s">
        <v>1184</v>
      </c>
      <c r="N2725">
        <v>1239</v>
      </c>
      <c r="O2725">
        <v>0</v>
      </c>
      <c r="Q2725" t="s">
        <v>12202</v>
      </c>
      <c r="R2725" t="s">
        <v>1185</v>
      </c>
      <c r="T2725">
        <v>0</v>
      </c>
      <c r="V2725" t="s">
        <v>1186</v>
      </c>
      <c r="Z2725" t="s">
        <v>12203</v>
      </c>
      <c r="AA2725" t="s">
        <v>387</v>
      </c>
      <c r="AB2725">
        <v>0</v>
      </c>
      <c r="AC2725">
        <v>985</v>
      </c>
      <c r="AD2725" t="s">
        <v>12204</v>
      </c>
      <c r="AE2725">
        <v>0</v>
      </c>
      <c r="AF2725" t="s">
        <v>1188</v>
      </c>
      <c r="AG2725" t="s">
        <v>10103</v>
      </c>
      <c r="AH2725" t="s">
        <v>12205</v>
      </c>
    </row>
    <row r="2726" spans="1:34" x14ac:dyDescent="0.25">
      <c r="A2726">
        <v>1609</v>
      </c>
      <c r="C2726" s="185"/>
      <c r="E2726" t="s">
        <v>386</v>
      </c>
      <c r="F2726" t="s">
        <v>10114</v>
      </c>
      <c r="G2726" t="s">
        <v>1197</v>
      </c>
      <c r="H2726" t="s">
        <v>12206</v>
      </c>
      <c r="I2726">
        <v>11965</v>
      </c>
      <c r="J2726" t="s">
        <v>10114</v>
      </c>
      <c r="K2726" t="s">
        <v>10114</v>
      </c>
      <c r="L2726" t="s">
        <v>386</v>
      </c>
      <c r="M2726" t="s">
        <v>1193</v>
      </c>
      <c r="N2726">
        <v>11965</v>
      </c>
      <c r="O2726">
        <v>0</v>
      </c>
      <c r="Q2726" t="s">
        <v>12207</v>
      </c>
      <c r="R2726" t="s">
        <v>1223</v>
      </c>
      <c r="T2726">
        <v>304</v>
      </c>
      <c r="V2726" t="s">
        <v>2067</v>
      </c>
      <c r="Z2726" t="s">
        <v>963</v>
      </c>
      <c r="AA2726" t="s">
        <v>387</v>
      </c>
      <c r="AB2726">
        <v>0</v>
      </c>
      <c r="AC2726">
        <v>4551</v>
      </c>
      <c r="AD2726" t="s">
        <v>12208</v>
      </c>
      <c r="AE2726">
        <v>673</v>
      </c>
      <c r="AF2726" t="s">
        <v>11449</v>
      </c>
      <c r="AG2726" t="s">
        <v>7603</v>
      </c>
    </row>
    <row r="2727" spans="1:34" x14ac:dyDescent="0.25">
      <c r="A2727">
        <v>1301</v>
      </c>
      <c r="C2727" s="185"/>
      <c r="D2727" t="s">
        <v>157</v>
      </c>
      <c r="E2727" t="s">
        <v>386</v>
      </c>
      <c r="F2727" t="s">
        <v>565</v>
      </c>
      <c r="G2727" t="s">
        <v>1197</v>
      </c>
      <c r="H2727" t="s">
        <v>5413</v>
      </c>
      <c r="I2727">
        <v>16288</v>
      </c>
      <c r="J2727" t="s">
        <v>565</v>
      </c>
      <c r="K2727" t="s">
        <v>12209</v>
      </c>
      <c r="L2727" t="s">
        <v>386</v>
      </c>
      <c r="M2727" t="s">
        <v>1193</v>
      </c>
      <c r="N2727">
        <v>16288</v>
      </c>
      <c r="O2727">
        <v>0</v>
      </c>
      <c r="Q2727" t="s">
        <v>12210</v>
      </c>
      <c r="R2727" t="s">
        <v>398</v>
      </c>
      <c r="T2727">
        <v>200</v>
      </c>
      <c r="V2727" t="s">
        <v>1199</v>
      </c>
      <c r="W2727" t="s">
        <v>1199</v>
      </c>
      <c r="X2727">
        <v>200</v>
      </c>
      <c r="Z2727" t="s">
        <v>5415</v>
      </c>
      <c r="AA2727" t="s">
        <v>387</v>
      </c>
      <c r="AB2727">
        <v>0</v>
      </c>
      <c r="AC2727">
        <v>5292</v>
      </c>
      <c r="AD2727" t="s">
        <v>12211</v>
      </c>
      <c r="AE2727">
        <v>2799</v>
      </c>
      <c r="AF2727" t="s">
        <v>12212</v>
      </c>
      <c r="AG2727" t="s">
        <v>12213</v>
      </c>
      <c r="AH2727" t="s">
        <v>12214</v>
      </c>
    </row>
    <row r="2728" spans="1:34" x14ac:dyDescent="0.25">
      <c r="A2728">
        <v>13</v>
      </c>
      <c r="C2728" s="185"/>
      <c r="D2728" t="s">
        <v>24</v>
      </c>
      <c r="E2728" t="s">
        <v>386</v>
      </c>
      <c r="F2728" t="s">
        <v>12215</v>
      </c>
      <c r="G2728" t="s">
        <v>1197</v>
      </c>
      <c r="H2728" t="s">
        <v>12216</v>
      </c>
      <c r="I2728">
        <v>313</v>
      </c>
      <c r="J2728" t="s">
        <v>12215</v>
      </c>
      <c r="K2728" t="s">
        <v>12217</v>
      </c>
      <c r="L2728" t="s">
        <v>386</v>
      </c>
      <c r="M2728" t="s">
        <v>1193</v>
      </c>
      <c r="N2728">
        <v>313</v>
      </c>
      <c r="O2728">
        <v>55</v>
      </c>
      <c r="Q2728" t="s">
        <v>12218</v>
      </c>
      <c r="R2728" t="s">
        <v>398</v>
      </c>
      <c r="T2728">
        <v>220</v>
      </c>
      <c r="V2728" t="s">
        <v>1194</v>
      </c>
      <c r="W2728" t="s">
        <v>1194</v>
      </c>
      <c r="X2728">
        <v>220</v>
      </c>
      <c r="Z2728" t="s">
        <v>12219</v>
      </c>
      <c r="AA2728" t="s">
        <v>387</v>
      </c>
      <c r="AB2728">
        <v>47000</v>
      </c>
      <c r="AC2728">
        <v>24</v>
      </c>
      <c r="AD2728" t="s">
        <v>12220</v>
      </c>
      <c r="AE2728">
        <v>3</v>
      </c>
      <c r="AF2728" t="s">
        <v>1235</v>
      </c>
      <c r="AG2728" t="s">
        <v>1931</v>
      </c>
      <c r="AH2728" t="s">
        <v>12221</v>
      </c>
    </row>
    <row r="2729" spans="1:34" x14ac:dyDescent="0.25">
      <c r="A2729">
        <v>1370</v>
      </c>
      <c r="B2729" t="s">
        <v>1313</v>
      </c>
      <c r="C2729" s="185"/>
      <c r="D2729" t="s">
        <v>24</v>
      </c>
      <c r="E2729" t="s">
        <v>386</v>
      </c>
      <c r="F2729" t="s">
        <v>12222</v>
      </c>
      <c r="G2729" t="s">
        <v>1197</v>
      </c>
      <c r="H2729" t="s">
        <v>12223</v>
      </c>
      <c r="I2729">
        <v>5425</v>
      </c>
      <c r="J2729" t="s">
        <v>12222</v>
      </c>
      <c r="K2729" t="s">
        <v>12224</v>
      </c>
      <c r="L2729" t="s">
        <v>386</v>
      </c>
      <c r="M2729" t="s">
        <v>1193</v>
      </c>
      <c r="N2729">
        <v>5425</v>
      </c>
      <c r="O2729">
        <v>76</v>
      </c>
      <c r="Q2729" t="s">
        <v>12225</v>
      </c>
      <c r="R2729" t="s">
        <v>398</v>
      </c>
      <c r="S2729" t="s">
        <v>1909</v>
      </c>
      <c r="T2729">
        <v>220</v>
      </c>
      <c r="U2729">
        <v>0</v>
      </c>
      <c r="V2729" t="s">
        <v>1194</v>
      </c>
      <c r="W2729" t="s">
        <v>3202</v>
      </c>
      <c r="X2729">
        <v>280</v>
      </c>
      <c r="Y2729" t="s">
        <v>1317</v>
      </c>
      <c r="Z2729" t="s">
        <v>2139</v>
      </c>
      <c r="AA2729" t="s">
        <v>387</v>
      </c>
      <c r="AB2729">
        <v>69000</v>
      </c>
      <c r="AC2729">
        <v>2594</v>
      </c>
      <c r="AD2729" t="s">
        <v>12226</v>
      </c>
      <c r="AE2729">
        <v>3</v>
      </c>
      <c r="AF2729" t="s">
        <v>1235</v>
      </c>
      <c r="AG2729" t="s">
        <v>6724</v>
      </c>
      <c r="AH2729" t="s">
        <v>12227</v>
      </c>
    </row>
    <row r="2730" spans="1:34" x14ac:dyDescent="0.25">
      <c r="A2730">
        <v>1313</v>
      </c>
      <c r="C2730" s="185"/>
      <c r="E2730" t="s">
        <v>386</v>
      </c>
      <c r="F2730" t="s">
        <v>12228</v>
      </c>
      <c r="G2730" t="s">
        <v>1197</v>
      </c>
      <c r="H2730" t="s">
        <v>12229</v>
      </c>
      <c r="I2730">
        <v>6388</v>
      </c>
      <c r="J2730" t="s">
        <v>12228</v>
      </c>
      <c r="K2730" t="s">
        <v>12228</v>
      </c>
      <c r="L2730" t="s">
        <v>386</v>
      </c>
      <c r="M2730" t="s">
        <v>1193</v>
      </c>
      <c r="N2730">
        <v>6388</v>
      </c>
      <c r="O2730">
        <v>0</v>
      </c>
      <c r="Q2730" t="s">
        <v>12230</v>
      </c>
      <c r="T2730">
        <v>39</v>
      </c>
      <c r="V2730" t="s">
        <v>2144</v>
      </c>
      <c r="Z2730" t="s">
        <v>12231</v>
      </c>
      <c r="AA2730" t="s">
        <v>387</v>
      </c>
      <c r="AB2730">
        <v>0</v>
      </c>
      <c r="AC2730">
        <v>2814</v>
      </c>
      <c r="AD2730" t="s">
        <v>12232</v>
      </c>
      <c r="AE2730">
        <v>1057</v>
      </c>
      <c r="AF2730" t="s">
        <v>12233</v>
      </c>
      <c r="AG2730" t="s">
        <v>12234</v>
      </c>
    </row>
    <row r="2731" spans="1:34" x14ac:dyDescent="0.25">
      <c r="A2731">
        <v>1313</v>
      </c>
      <c r="C2731" s="185"/>
      <c r="E2731" t="s">
        <v>386</v>
      </c>
      <c r="F2731" t="s">
        <v>8457</v>
      </c>
      <c r="G2731" t="s">
        <v>1197</v>
      </c>
      <c r="H2731" t="s">
        <v>12235</v>
      </c>
      <c r="I2731">
        <v>2449</v>
      </c>
      <c r="J2731" t="s">
        <v>8457</v>
      </c>
      <c r="K2731" t="s">
        <v>12236</v>
      </c>
      <c r="L2731" t="s">
        <v>386</v>
      </c>
      <c r="M2731" t="s">
        <v>1193</v>
      </c>
      <c r="N2731">
        <v>2449</v>
      </c>
      <c r="O2731">
        <v>0</v>
      </c>
      <c r="Q2731" t="s">
        <v>12237</v>
      </c>
      <c r="T2731">
        <v>52</v>
      </c>
      <c r="V2731" t="s">
        <v>2024</v>
      </c>
      <c r="Z2731" t="s">
        <v>12231</v>
      </c>
      <c r="AA2731" t="s">
        <v>387</v>
      </c>
      <c r="AB2731">
        <v>0</v>
      </c>
      <c r="AC2731">
        <v>1770</v>
      </c>
      <c r="AD2731" t="s">
        <v>12238</v>
      </c>
      <c r="AE2731">
        <v>866</v>
      </c>
      <c r="AF2731" t="s">
        <v>12239</v>
      </c>
      <c r="AG2731" t="s">
        <v>1244</v>
      </c>
      <c r="AH2731" t="s">
        <v>12240</v>
      </c>
    </row>
    <row r="2732" spans="1:34" x14ac:dyDescent="0.25">
      <c r="A2732">
        <v>1313</v>
      </c>
      <c r="C2732" s="185"/>
      <c r="E2732" t="s">
        <v>386</v>
      </c>
      <c r="F2732" t="s">
        <v>12241</v>
      </c>
      <c r="G2732" t="s">
        <v>1197</v>
      </c>
      <c r="H2732" t="s">
        <v>12242</v>
      </c>
      <c r="I2732">
        <v>17156</v>
      </c>
      <c r="J2732" t="s">
        <v>12241</v>
      </c>
      <c r="K2732" t="s">
        <v>12243</v>
      </c>
      <c r="L2732" t="s">
        <v>386</v>
      </c>
      <c r="M2732" t="s">
        <v>1193</v>
      </c>
      <c r="N2732">
        <v>17156</v>
      </c>
      <c r="O2732">
        <v>0</v>
      </c>
      <c r="Q2732" t="s">
        <v>12244</v>
      </c>
      <c r="R2732" t="s">
        <v>1208</v>
      </c>
      <c r="T2732">
        <v>103</v>
      </c>
      <c r="V2732" t="s">
        <v>1530</v>
      </c>
      <c r="W2732" t="s">
        <v>1530</v>
      </c>
      <c r="X2732">
        <v>103</v>
      </c>
      <c r="Z2732" t="s">
        <v>12231</v>
      </c>
      <c r="AA2732" t="s">
        <v>387</v>
      </c>
      <c r="AB2732">
        <v>0</v>
      </c>
      <c r="AC2732">
        <v>6465</v>
      </c>
      <c r="AD2732" t="s">
        <v>12245</v>
      </c>
      <c r="AE2732">
        <v>2982</v>
      </c>
      <c r="AF2732" t="s">
        <v>12246</v>
      </c>
      <c r="AG2732" t="s">
        <v>12247</v>
      </c>
      <c r="AH2732" t="s">
        <v>12248</v>
      </c>
    </row>
    <row r="2733" spans="1:34" x14ac:dyDescent="0.25">
      <c r="A2733">
        <v>1313</v>
      </c>
      <c r="C2733" s="185"/>
      <c r="E2733" t="s">
        <v>386</v>
      </c>
      <c r="F2733" t="s">
        <v>12249</v>
      </c>
      <c r="G2733" t="s">
        <v>1197</v>
      </c>
      <c r="H2733" t="s">
        <v>12250</v>
      </c>
      <c r="I2733">
        <v>5867</v>
      </c>
      <c r="J2733" t="s">
        <v>12249</v>
      </c>
      <c r="K2733" t="s">
        <v>12249</v>
      </c>
      <c r="L2733" t="s">
        <v>386</v>
      </c>
      <c r="M2733" t="s">
        <v>1193</v>
      </c>
      <c r="N2733">
        <v>5867</v>
      </c>
      <c r="O2733">
        <v>0</v>
      </c>
      <c r="Q2733" t="s">
        <v>12251</v>
      </c>
      <c r="T2733">
        <v>39</v>
      </c>
      <c r="V2733" t="s">
        <v>2144</v>
      </c>
      <c r="W2733" t="s">
        <v>2144</v>
      </c>
      <c r="X2733">
        <v>39</v>
      </c>
      <c r="Z2733" t="s">
        <v>12231</v>
      </c>
      <c r="AA2733" t="s">
        <v>387</v>
      </c>
      <c r="AB2733">
        <v>0</v>
      </c>
      <c r="AC2733">
        <v>2746</v>
      </c>
      <c r="AD2733" t="s">
        <v>12252</v>
      </c>
      <c r="AE2733">
        <v>1307</v>
      </c>
      <c r="AF2733" t="s">
        <v>12253</v>
      </c>
      <c r="AG2733" t="s">
        <v>2572</v>
      </c>
      <c r="AH2733" t="s">
        <v>12254</v>
      </c>
    </row>
    <row r="2734" spans="1:34" x14ac:dyDescent="0.25">
      <c r="A2734">
        <v>1313</v>
      </c>
      <c r="C2734" s="185"/>
      <c r="E2734" t="s">
        <v>386</v>
      </c>
      <c r="F2734" t="s">
        <v>12255</v>
      </c>
      <c r="G2734" t="s">
        <v>1197</v>
      </c>
      <c r="H2734" t="s">
        <v>12256</v>
      </c>
      <c r="I2734">
        <v>11893</v>
      </c>
      <c r="J2734" t="s">
        <v>12255</v>
      </c>
      <c r="K2734" t="s">
        <v>12255</v>
      </c>
      <c r="L2734" t="s">
        <v>386</v>
      </c>
      <c r="M2734" t="s">
        <v>1193</v>
      </c>
      <c r="N2734">
        <v>11893</v>
      </c>
      <c r="O2734">
        <v>0</v>
      </c>
      <c r="Q2734" t="s">
        <v>12257</v>
      </c>
      <c r="R2734" t="s">
        <v>1208</v>
      </c>
      <c r="T2734">
        <v>304</v>
      </c>
      <c r="V2734" t="s">
        <v>2067</v>
      </c>
      <c r="Z2734" t="s">
        <v>12231</v>
      </c>
      <c r="AA2734" t="s">
        <v>387</v>
      </c>
      <c r="AB2734">
        <v>0</v>
      </c>
      <c r="AC2734">
        <v>4533</v>
      </c>
      <c r="AD2734" t="s">
        <v>12258</v>
      </c>
      <c r="AE2734">
        <v>2109</v>
      </c>
      <c r="AF2734" t="s">
        <v>12259</v>
      </c>
      <c r="AG2734" t="s">
        <v>12260</v>
      </c>
    </row>
    <row r="2735" spans="1:34" x14ac:dyDescent="0.25">
      <c r="A2735">
        <v>81</v>
      </c>
      <c r="C2735" s="185"/>
      <c r="E2735" t="s">
        <v>386</v>
      </c>
      <c r="F2735" t="s">
        <v>12261</v>
      </c>
      <c r="G2735" t="s">
        <v>1197</v>
      </c>
      <c r="H2735" t="s">
        <v>12262</v>
      </c>
      <c r="I2735">
        <v>4277</v>
      </c>
      <c r="J2735" t="s">
        <v>12261</v>
      </c>
      <c r="K2735" t="s">
        <v>12261</v>
      </c>
      <c r="L2735" t="s">
        <v>386</v>
      </c>
      <c r="M2735" t="s">
        <v>1193</v>
      </c>
      <c r="N2735">
        <v>4277</v>
      </c>
      <c r="O2735">
        <v>55</v>
      </c>
      <c r="Q2735" t="s">
        <v>12263</v>
      </c>
      <c r="R2735" t="s">
        <v>398</v>
      </c>
      <c r="T2735">
        <v>396</v>
      </c>
      <c r="V2735" t="s">
        <v>2186</v>
      </c>
      <c r="W2735" t="s">
        <v>1194</v>
      </c>
      <c r="X2735">
        <v>220</v>
      </c>
      <c r="Z2735" t="s">
        <v>12264</v>
      </c>
      <c r="AA2735" t="s">
        <v>387</v>
      </c>
      <c r="AB2735">
        <v>47000</v>
      </c>
      <c r="AC2735">
        <v>2271</v>
      </c>
      <c r="AD2735" t="s">
        <v>12265</v>
      </c>
      <c r="AE2735">
        <v>1088</v>
      </c>
      <c r="AF2735" t="s">
        <v>12266</v>
      </c>
      <c r="AG2735" t="s">
        <v>1244</v>
      </c>
    </row>
    <row r="2736" spans="1:34" x14ac:dyDescent="0.25">
      <c r="A2736">
        <v>1750</v>
      </c>
      <c r="C2736" s="185"/>
      <c r="E2736" t="s">
        <v>386</v>
      </c>
      <c r="F2736" t="s">
        <v>11461</v>
      </c>
      <c r="G2736" t="s">
        <v>1197</v>
      </c>
      <c r="H2736" t="s">
        <v>12267</v>
      </c>
      <c r="I2736">
        <v>6356</v>
      </c>
      <c r="J2736" t="s">
        <v>11461</v>
      </c>
      <c r="K2736" t="s">
        <v>11461</v>
      </c>
      <c r="L2736" t="s">
        <v>386</v>
      </c>
      <c r="M2736" t="s">
        <v>1193</v>
      </c>
      <c r="N2736">
        <v>6356</v>
      </c>
      <c r="O2736">
        <v>0</v>
      </c>
      <c r="Q2736" t="s">
        <v>12268</v>
      </c>
      <c r="R2736" t="s">
        <v>398</v>
      </c>
      <c r="T2736">
        <v>122</v>
      </c>
      <c r="V2736" t="s">
        <v>1988</v>
      </c>
      <c r="Z2736" t="s">
        <v>12269</v>
      </c>
      <c r="AA2736" t="s">
        <v>387</v>
      </c>
      <c r="AB2736">
        <v>0</v>
      </c>
      <c r="AC2736">
        <v>550</v>
      </c>
      <c r="AD2736" t="s">
        <v>12270</v>
      </c>
      <c r="AE2736">
        <v>18</v>
      </c>
      <c r="AF2736" t="s">
        <v>1259</v>
      </c>
      <c r="AG2736" t="s">
        <v>1244</v>
      </c>
    </row>
    <row r="2737" spans="1:34" x14ac:dyDescent="0.25">
      <c r="A2737">
        <v>1</v>
      </c>
      <c r="C2737" s="185"/>
      <c r="E2737" t="s">
        <v>386</v>
      </c>
      <c r="F2737" t="s">
        <v>12271</v>
      </c>
      <c r="G2737" t="s">
        <v>1197</v>
      </c>
      <c r="H2737" t="s">
        <v>12272</v>
      </c>
      <c r="I2737">
        <v>16840</v>
      </c>
      <c r="J2737" t="s">
        <v>12271</v>
      </c>
      <c r="K2737" t="s">
        <v>12273</v>
      </c>
      <c r="L2737" t="s">
        <v>386</v>
      </c>
      <c r="M2737" t="s">
        <v>1193</v>
      </c>
      <c r="N2737">
        <v>16840</v>
      </c>
      <c r="O2737">
        <v>0</v>
      </c>
      <c r="Q2737" t="s">
        <v>12274</v>
      </c>
      <c r="R2737" t="s">
        <v>1208</v>
      </c>
      <c r="T2737">
        <v>517</v>
      </c>
      <c r="V2737" t="s">
        <v>4167</v>
      </c>
      <c r="W2737" t="s">
        <v>1215</v>
      </c>
      <c r="X2737">
        <v>259</v>
      </c>
      <c r="Z2737" t="s">
        <v>865</v>
      </c>
      <c r="AA2737" t="s">
        <v>387</v>
      </c>
      <c r="AB2737">
        <v>0</v>
      </c>
      <c r="AC2737">
        <v>827</v>
      </c>
      <c r="AD2737" t="s">
        <v>12275</v>
      </c>
      <c r="AE2737">
        <v>150</v>
      </c>
      <c r="AF2737" t="s">
        <v>2587</v>
      </c>
      <c r="AG2737" t="s">
        <v>3090</v>
      </c>
      <c r="AH2737" t="s">
        <v>12276</v>
      </c>
    </row>
    <row r="2738" spans="1:34" x14ac:dyDescent="0.25">
      <c r="A2738">
        <v>1736</v>
      </c>
      <c r="C2738" s="185"/>
      <c r="E2738" t="s">
        <v>386</v>
      </c>
      <c r="F2738" t="s">
        <v>12277</v>
      </c>
      <c r="G2738" t="s">
        <v>1197</v>
      </c>
      <c r="H2738" t="s">
        <v>12278</v>
      </c>
      <c r="I2738">
        <v>12971</v>
      </c>
      <c r="J2738" t="s">
        <v>12277</v>
      </c>
      <c r="K2738" t="s">
        <v>12279</v>
      </c>
      <c r="L2738" t="s">
        <v>386</v>
      </c>
      <c r="M2738" t="s">
        <v>1193</v>
      </c>
      <c r="N2738">
        <v>12971</v>
      </c>
      <c r="O2738">
        <v>0</v>
      </c>
      <c r="Q2738" t="s">
        <v>12280</v>
      </c>
      <c r="R2738" t="s">
        <v>398</v>
      </c>
      <c r="T2738">
        <v>372</v>
      </c>
      <c r="V2738" t="s">
        <v>2073</v>
      </c>
      <c r="Z2738" t="s">
        <v>1266</v>
      </c>
      <c r="AA2738" t="s">
        <v>387</v>
      </c>
      <c r="AB2738">
        <v>0</v>
      </c>
      <c r="AC2738">
        <v>4837</v>
      </c>
      <c r="AD2738" t="s">
        <v>12281</v>
      </c>
      <c r="AE2738">
        <v>246</v>
      </c>
      <c r="AF2738" t="s">
        <v>7455</v>
      </c>
      <c r="AG2738" t="s">
        <v>12282</v>
      </c>
      <c r="AH2738" t="s">
        <v>12283</v>
      </c>
    </row>
    <row r="2739" spans="1:34" x14ac:dyDescent="0.25">
      <c r="A2739">
        <v>1</v>
      </c>
      <c r="C2739" s="185"/>
      <c r="E2739" t="s">
        <v>386</v>
      </c>
      <c r="F2739" t="s">
        <v>12284</v>
      </c>
      <c r="G2739" t="s">
        <v>1903</v>
      </c>
      <c r="H2739" t="s">
        <v>12285</v>
      </c>
      <c r="I2739">
        <v>1902</v>
      </c>
      <c r="J2739" t="s">
        <v>12284</v>
      </c>
      <c r="K2739" t="s">
        <v>12286</v>
      </c>
      <c r="L2739" t="s">
        <v>386</v>
      </c>
      <c r="M2739" t="s">
        <v>1193</v>
      </c>
      <c r="N2739">
        <v>1902</v>
      </c>
      <c r="O2739">
        <v>0</v>
      </c>
      <c r="Q2739" t="s">
        <v>12287</v>
      </c>
      <c r="R2739" t="s">
        <v>398</v>
      </c>
      <c r="T2739">
        <v>501</v>
      </c>
      <c r="V2739" t="s">
        <v>4131</v>
      </c>
      <c r="W2739" t="s">
        <v>4131</v>
      </c>
      <c r="X2739">
        <v>501</v>
      </c>
      <c r="Z2739" t="s">
        <v>865</v>
      </c>
      <c r="AA2739" t="s">
        <v>387</v>
      </c>
      <c r="AB2739">
        <v>0</v>
      </c>
      <c r="AC2739">
        <v>108</v>
      </c>
      <c r="AD2739" t="s">
        <v>12288</v>
      </c>
      <c r="AE2739">
        <v>143</v>
      </c>
      <c r="AF2739" t="s">
        <v>2604</v>
      </c>
      <c r="AG2739" t="s">
        <v>12289</v>
      </c>
      <c r="AH2739" t="s">
        <v>12290</v>
      </c>
    </row>
    <row r="2740" spans="1:34" x14ac:dyDescent="0.25">
      <c r="A2740">
        <v>1275</v>
      </c>
      <c r="C2740" s="185"/>
      <c r="E2740" t="s">
        <v>386</v>
      </c>
      <c r="F2740" t="s">
        <v>12291</v>
      </c>
      <c r="G2740" t="s">
        <v>1197</v>
      </c>
      <c r="H2740" t="s">
        <v>6713</v>
      </c>
      <c r="I2740">
        <v>14229</v>
      </c>
      <c r="J2740" t="s">
        <v>12291</v>
      </c>
      <c r="K2740" t="s">
        <v>12292</v>
      </c>
      <c r="L2740" t="s">
        <v>386</v>
      </c>
      <c r="M2740" t="s">
        <v>1193</v>
      </c>
      <c r="N2740">
        <v>14229</v>
      </c>
      <c r="O2740">
        <v>0</v>
      </c>
      <c r="Q2740" t="s">
        <v>12293</v>
      </c>
      <c r="R2740" t="s">
        <v>1208</v>
      </c>
      <c r="T2740">
        <v>340</v>
      </c>
      <c r="V2740" t="s">
        <v>1200</v>
      </c>
      <c r="W2740" t="s">
        <v>1215</v>
      </c>
      <c r="X2740">
        <v>259</v>
      </c>
      <c r="Z2740" t="s">
        <v>2124</v>
      </c>
      <c r="AA2740" t="s">
        <v>387</v>
      </c>
      <c r="AB2740">
        <v>0</v>
      </c>
      <c r="AC2740">
        <v>5389</v>
      </c>
      <c r="AD2740" t="s">
        <v>12294</v>
      </c>
      <c r="AE2740">
        <v>2132</v>
      </c>
      <c r="AF2740" t="s">
        <v>6716</v>
      </c>
      <c r="AG2740" t="s">
        <v>12295</v>
      </c>
      <c r="AH2740" t="s">
        <v>12296</v>
      </c>
    </row>
    <row r="2741" spans="1:34" x14ac:dyDescent="0.25">
      <c r="A2741">
        <v>1</v>
      </c>
      <c r="C2741" s="185"/>
      <c r="E2741" t="s">
        <v>386</v>
      </c>
      <c r="F2741" t="s">
        <v>12297</v>
      </c>
      <c r="G2741" t="s">
        <v>1197</v>
      </c>
      <c r="H2741" t="s">
        <v>12298</v>
      </c>
      <c r="I2741">
        <v>14790</v>
      </c>
      <c r="J2741" t="s">
        <v>12297</v>
      </c>
      <c r="K2741" t="s">
        <v>12297</v>
      </c>
      <c r="L2741" t="s">
        <v>386</v>
      </c>
      <c r="M2741" t="s">
        <v>1193</v>
      </c>
      <c r="N2741">
        <v>14790</v>
      </c>
      <c r="O2741">
        <v>0</v>
      </c>
      <c r="Q2741" t="s">
        <v>12299</v>
      </c>
      <c r="R2741" t="s">
        <v>1208</v>
      </c>
      <c r="T2741">
        <v>200</v>
      </c>
      <c r="V2741" t="s">
        <v>1199</v>
      </c>
      <c r="W2741" t="s">
        <v>1530</v>
      </c>
      <c r="X2741">
        <v>103</v>
      </c>
      <c r="Z2741" t="s">
        <v>865</v>
      </c>
      <c r="AA2741" t="s">
        <v>387</v>
      </c>
      <c r="AB2741">
        <v>0</v>
      </c>
      <c r="AC2741">
        <v>5345</v>
      </c>
      <c r="AD2741" t="s">
        <v>12300</v>
      </c>
      <c r="AE2741">
        <v>652</v>
      </c>
      <c r="AF2741" t="s">
        <v>2859</v>
      </c>
      <c r="AG2741" t="s">
        <v>1244</v>
      </c>
      <c r="AH2741" t="s">
        <v>12301</v>
      </c>
    </row>
    <row r="2742" spans="1:34" x14ac:dyDescent="0.25">
      <c r="A2742">
        <v>2228</v>
      </c>
      <c r="C2742" s="185"/>
      <c r="E2742" t="s">
        <v>386</v>
      </c>
      <c r="F2742" t="s">
        <v>12302</v>
      </c>
      <c r="G2742" t="s">
        <v>1197</v>
      </c>
      <c r="H2742" t="s">
        <v>12303</v>
      </c>
      <c r="I2742">
        <v>17544</v>
      </c>
      <c r="J2742" t="s">
        <v>12302</v>
      </c>
      <c r="K2742" t="s">
        <v>12302</v>
      </c>
      <c r="L2742" t="s">
        <v>386</v>
      </c>
      <c r="M2742" t="s">
        <v>1193</v>
      </c>
      <c r="N2742">
        <v>17544</v>
      </c>
      <c r="O2742">
        <v>0</v>
      </c>
      <c r="Q2742" t="s">
        <v>12304</v>
      </c>
      <c r="T2742">
        <v>473</v>
      </c>
      <c r="V2742" t="s">
        <v>1964</v>
      </c>
      <c r="W2742" t="s">
        <v>1964</v>
      </c>
      <c r="X2742">
        <v>473</v>
      </c>
      <c r="Z2742" t="s">
        <v>12305</v>
      </c>
      <c r="AA2742" t="s">
        <v>387</v>
      </c>
      <c r="AB2742">
        <v>0</v>
      </c>
      <c r="AC2742">
        <v>6569</v>
      </c>
      <c r="AD2742" t="s">
        <v>12306</v>
      </c>
      <c r="AE2742">
        <v>19</v>
      </c>
      <c r="AF2742" t="s">
        <v>7237</v>
      </c>
      <c r="AG2742" t="s">
        <v>1244</v>
      </c>
      <c r="AH2742" t="s">
        <v>12307</v>
      </c>
    </row>
    <row r="2743" spans="1:34" x14ac:dyDescent="0.25">
      <c r="A2743">
        <v>1657</v>
      </c>
      <c r="C2743" s="185"/>
      <c r="E2743" t="s">
        <v>386</v>
      </c>
      <c r="F2743" t="s">
        <v>790</v>
      </c>
      <c r="G2743" t="s">
        <v>1197</v>
      </c>
      <c r="H2743" t="s">
        <v>12308</v>
      </c>
      <c r="I2743">
        <v>17648</v>
      </c>
      <c r="J2743" t="s">
        <v>790</v>
      </c>
      <c r="K2743" t="s">
        <v>790</v>
      </c>
      <c r="L2743" t="s">
        <v>386</v>
      </c>
      <c r="M2743" t="s">
        <v>1193</v>
      </c>
      <c r="N2743">
        <v>17648</v>
      </c>
      <c r="O2743">
        <v>0</v>
      </c>
      <c r="Q2743" t="s">
        <v>12309</v>
      </c>
      <c r="R2743" t="s">
        <v>398</v>
      </c>
      <c r="T2743">
        <v>52</v>
      </c>
      <c r="V2743" t="s">
        <v>2024</v>
      </c>
      <c r="W2743" t="s">
        <v>4502</v>
      </c>
      <c r="X2743">
        <v>556</v>
      </c>
      <c r="Z2743" t="s">
        <v>12310</v>
      </c>
      <c r="AA2743" t="s">
        <v>387</v>
      </c>
      <c r="AB2743">
        <v>0</v>
      </c>
      <c r="AC2743">
        <v>6600</v>
      </c>
      <c r="AD2743" t="s">
        <v>12311</v>
      </c>
      <c r="AE2743">
        <v>3048</v>
      </c>
      <c r="AF2743" t="s">
        <v>12312</v>
      </c>
      <c r="AG2743" t="s">
        <v>2739</v>
      </c>
      <c r="AH2743" t="s">
        <v>12313</v>
      </c>
    </row>
    <row r="2744" spans="1:34" x14ac:dyDescent="0.25">
      <c r="A2744">
        <v>1657</v>
      </c>
      <c r="C2744" s="185"/>
      <c r="E2744" t="s">
        <v>386</v>
      </c>
      <c r="F2744" t="s">
        <v>793</v>
      </c>
      <c r="G2744" t="s">
        <v>1197</v>
      </c>
      <c r="H2744" t="s">
        <v>12314</v>
      </c>
      <c r="I2744">
        <v>17649</v>
      </c>
      <c r="J2744" t="s">
        <v>793</v>
      </c>
      <c r="K2744" t="s">
        <v>793</v>
      </c>
      <c r="L2744" t="s">
        <v>386</v>
      </c>
      <c r="M2744" t="s">
        <v>1193</v>
      </c>
      <c r="N2744">
        <v>17649</v>
      </c>
      <c r="O2744">
        <v>0</v>
      </c>
      <c r="Q2744" t="s">
        <v>12315</v>
      </c>
      <c r="R2744" t="s">
        <v>398</v>
      </c>
      <c r="T2744">
        <v>556</v>
      </c>
      <c r="V2744" t="s">
        <v>4502</v>
      </c>
      <c r="W2744" t="s">
        <v>4502</v>
      </c>
      <c r="X2744">
        <v>556</v>
      </c>
      <c r="Z2744" t="s">
        <v>12310</v>
      </c>
      <c r="AA2744" t="s">
        <v>387</v>
      </c>
      <c r="AB2744">
        <v>0</v>
      </c>
      <c r="AC2744">
        <v>6601</v>
      </c>
      <c r="AD2744" t="s">
        <v>12316</v>
      </c>
      <c r="AE2744">
        <v>3049</v>
      </c>
      <c r="AF2744" t="s">
        <v>12316</v>
      </c>
      <c r="AG2744" t="s">
        <v>12317</v>
      </c>
      <c r="AH2744" t="s">
        <v>12318</v>
      </c>
    </row>
    <row r="2745" spans="1:34" x14ac:dyDescent="0.25">
      <c r="A2745">
        <v>25</v>
      </c>
      <c r="C2745" s="185"/>
      <c r="E2745" t="s">
        <v>386</v>
      </c>
      <c r="F2745" t="s">
        <v>12319</v>
      </c>
      <c r="G2745" t="s">
        <v>1197</v>
      </c>
      <c r="H2745" t="s">
        <v>12320</v>
      </c>
      <c r="I2745">
        <v>15186</v>
      </c>
      <c r="J2745" t="s">
        <v>12319</v>
      </c>
      <c r="K2745" t="s">
        <v>12321</v>
      </c>
      <c r="L2745" t="s">
        <v>386</v>
      </c>
      <c r="M2745" t="s">
        <v>1193</v>
      </c>
      <c r="N2745">
        <v>15186</v>
      </c>
      <c r="O2745">
        <v>0</v>
      </c>
      <c r="Q2745" t="s">
        <v>12322</v>
      </c>
      <c r="R2745" t="s">
        <v>1208</v>
      </c>
      <c r="T2745">
        <v>39</v>
      </c>
      <c r="V2745" t="s">
        <v>2144</v>
      </c>
      <c r="W2745" t="s">
        <v>2003</v>
      </c>
      <c r="X2745">
        <v>571</v>
      </c>
      <c r="Z2745" t="s">
        <v>857</v>
      </c>
      <c r="AA2745" t="s">
        <v>387</v>
      </c>
      <c r="AB2745">
        <v>0</v>
      </c>
      <c r="AC2745">
        <v>5758</v>
      </c>
      <c r="AD2745" t="s">
        <v>12323</v>
      </c>
      <c r="AE2745">
        <v>1</v>
      </c>
      <c r="AF2745" t="s">
        <v>1922</v>
      </c>
      <c r="AG2745" t="s">
        <v>12324</v>
      </c>
      <c r="AH2745" t="s">
        <v>12325</v>
      </c>
    </row>
    <row r="2746" spans="1:34" x14ac:dyDescent="0.25">
      <c r="A2746">
        <v>1824</v>
      </c>
      <c r="C2746" s="185"/>
      <c r="E2746" t="s">
        <v>386</v>
      </c>
      <c r="F2746" t="s">
        <v>12326</v>
      </c>
      <c r="I2746">
        <v>17640</v>
      </c>
      <c r="J2746" t="s">
        <v>12326</v>
      </c>
      <c r="K2746" t="s">
        <v>12326</v>
      </c>
      <c r="L2746" t="s">
        <v>386</v>
      </c>
      <c r="M2746" t="s">
        <v>1193</v>
      </c>
      <c r="N2746">
        <v>17640</v>
      </c>
      <c r="O2746">
        <v>0</v>
      </c>
      <c r="Q2746" t="s">
        <v>12327</v>
      </c>
      <c r="R2746" t="s">
        <v>1208</v>
      </c>
      <c r="T2746">
        <v>259</v>
      </c>
      <c r="V2746" t="s">
        <v>1215</v>
      </c>
      <c r="W2746" t="s">
        <v>2602</v>
      </c>
      <c r="X2746">
        <v>560</v>
      </c>
      <c r="Z2746" t="s">
        <v>12328</v>
      </c>
      <c r="AA2746" t="s">
        <v>387</v>
      </c>
      <c r="AB2746">
        <v>26000</v>
      </c>
      <c r="AC2746">
        <v>0</v>
      </c>
      <c r="AD2746" t="s">
        <v>1187</v>
      </c>
      <c r="AE2746">
        <v>0</v>
      </c>
      <c r="AF2746" t="s">
        <v>1188</v>
      </c>
      <c r="AH2746" t="s">
        <v>12329</v>
      </c>
    </row>
    <row r="2747" spans="1:34" x14ac:dyDescent="0.25">
      <c r="A2747">
        <v>91</v>
      </c>
      <c r="B2747" t="s">
        <v>1313</v>
      </c>
      <c r="C2747" s="185"/>
      <c r="D2747" t="s">
        <v>24</v>
      </c>
      <c r="E2747" t="s">
        <v>386</v>
      </c>
      <c r="F2747" t="s">
        <v>12330</v>
      </c>
      <c r="G2747" t="s">
        <v>1197</v>
      </c>
      <c r="H2747" t="s">
        <v>12331</v>
      </c>
      <c r="I2747">
        <v>768</v>
      </c>
      <c r="J2747" t="s">
        <v>12330</v>
      </c>
      <c r="K2747" t="s">
        <v>12012</v>
      </c>
      <c r="L2747" t="s">
        <v>386</v>
      </c>
      <c r="M2747" t="s">
        <v>1193</v>
      </c>
      <c r="N2747">
        <v>768</v>
      </c>
      <c r="O2747">
        <v>0</v>
      </c>
      <c r="Q2747" t="s">
        <v>12332</v>
      </c>
      <c r="S2747" t="s">
        <v>1315</v>
      </c>
      <c r="T2747">
        <v>220</v>
      </c>
      <c r="U2747">
        <v>0</v>
      </c>
      <c r="V2747" t="s">
        <v>1194</v>
      </c>
      <c r="Y2747" t="s">
        <v>1317</v>
      </c>
      <c r="Z2747" t="s">
        <v>12333</v>
      </c>
      <c r="AA2747" t="s">
        <v>387</v>
      </c>
      <c r="AB2747">
        <v>0</v>
      </c>
      <c r="AC2747">
        <v>212</v>
      </c>
      <c r="AD2747" t="s">
        <v>12334</v>
      </c>
      <c r="AE2747">
        <v>190</v>
      </c>
      <c r="AF2747" t="s">
        <v>12335</v>
      </c>
      <c r="AG2747" t="s">
        <v>12336</v>
      </c>
    </row>
    <row r="2748" spans="1:34" x14ac:dyDescent="0.25">
      <c r="A2748">
        <v>91</v>
      </c>
      <c r="B2748" t="s">
        <v>1313</v>
      </c>
      <c r="C2748" s="185"/>
      <c r="D2748" t="s">
        <v>24</v>
      </c>
      <c r="E2748" t="s">
        <v>386</v>
      </c>
      <c r="F2748" t="s">
        <v>12337</v>
      </c>
      <c r="G2748" t="s">
        <v>1197</v>
      </c>
      <c r="H2748" t="s">
        <v>12331</v>
      </c>
      <c r="I2748">
        <v>4447</v>
      </c>
      <c r="J2748" t="s">
        <v>12337</v>
      </c>
      <c r="K2748" t="s">
        <v>12338</v>
      </c>
      <c r="L2748" t="s">
        <v>386</v>
      </c>
      <c r="M2748" t="s">
        <v>1193</v>
      </c>
      <c r="N2748">
        <v>4447</v>
      </c>
      <c r="O2748">
        <v>76</v>
      </c>
      <c r="Q2748" t="s">
        <v>12332</v>
      </c>
      <c r="R2748" t="s">
        <v>398</v>
      </c>
      <c r="S2748" t="s">
        <v>1909</v>
      </c>
      <c r="T2748">
        <v>220</v>
      </c>
      <c r="U2748">
        <v>0</v>
      </c>
      <c r="V2748" t="s">
        <v>1194</v>
      </c>
      <c r="W2748" t="s">
        <v>1194</v>
      </c>
      <c r="X2748">
        <v>220</v>
      </c>
      <c r="Y2748" t="s">
        <v>1317</v>
      </c>
      <c r="Z2748" t="s">
        <v>12333</v>
      </c>
      <c r="AA2748" t="s">
        <v>387</v>
      </c>
      <c r="AB2748">
        <v>0</v>
      </c>
      <c r="AC2748">
        <v>212</v>
      </c>
      <c r="AD2748" t="s">
        <v>12334</v>
      </c>
      <c r="AE2748">
        <v>190</v>
      </c>
      <c r="AF2748" t="s">
        <v>12335</v>
      </c>
      <c r="AG2748" t="s">
        <v>12336</v>
      </c>
      <c r="AH2748" t="s">
        <v>12339</v>
      </c>
    </row>
    <row r="2749" spans="1:34" x14ac:dyDescent="0.25">
      <c r="A2749">
        <v>91</v>
      </c>
      <c r="C2749" s="185"/>
      <c r="E2749" t="s">
        <v>386</v>
      </c>
      <c r="F2749" t="s">
        <v>12340</v>
      </c>
      <c r="G2749" t="s">
        <v>1197</v>
      </c>
      <c r="H2749" t="s">
        <v>12341</v>
      </c>
      <c r="I2749">
        <v>17075</v>
      </c>
      <c r="J2749" t="s">
        <v>12340</v>
      </c>
      <c r="K2749" t="s">
        <v>12342</v>
      </c>
      <c r="L2749" t="s">
        <v>386</v>
      </c>
      <c r="M2749" t="s">
        <v>1193</v>
      </c>
      <c r="N2749">
        <v>17075</v>
      </c>
      <c r="O2749">
        <v>0</v>
      </c>
      <c r="Q2749" t="s">
        <v>12343</v>
      </c>
      <c r="T2749">
        <v>473</v>
      </c>
      <c r="V2749" t="s">
        <v>1964</v>
      </c>
      <c r="W2749" t="s">
        <v>1964</v>
      </c>
      <c r="X2749">
        <v>473</v>
      </c>
      <c r="Z2749" t="s">
        <v>12333</v>
      </c>
      <c r="AA2749" t="s">
        <v>387</v>
      </c>
      <c r="AB2749">
        <v>0</v>
      </c>
      <c r="AC2749">
        <v>6431</v>
      </c>
      <c r="AD2749" t="s">
        <v>12344</v>
      </c>
      <c r="AE2749">
        <v>589</v>
      </c>
      <c r="AF2749" t="s">
        <v>12345</v>
      </c>
      <c r="AG2749" t="s">
        <v>12346</v>
      </c>
      <c r="AH2749" t="s">
        <v>12347</v>
      </c>
    </row>
    <row r="2750" spans="1:34" x14ac:dyDescent="0.25">
      <c r="A2750">
        <v>2137</v>
      </c>
      <c r="C2750" s="185"/>
      <c r="E2750" t="s">
        <v>386</v>
      </c>
      <c r="F2750" t="s">
        <v>12348</v>
      </c>
      <c r="G2750" t="s">
        <v>1238</v>
      </c>
      <c r="H2750" t="s">
        <v>11618</v>
      </c>
      <c r="I2750">
        <v>15376</v>
      </c>
      <c r="J2750" t="s">
        <v>12348</v>
      </c>
      <c r="K2750" t="s">
        <v>12349</v>
      </c>
      <c r="L2750" t="s">
        <v>386</v>
      </c>
      <c r="M2750" t="s">
        <v>1184</v>
      </c>
      <c r="N2750">
        <v>15376</v>
      </c>
      <c r="O2750">
        <v>0</v>
      </c>
      <c r="Q2750" t="s">
        <v>12350</v>
      </c>
      <c r="T2750">
        <v>260</v>
      </c>
      <c r="V2750" t="s">
        <v>1216</v>
      </c>
      <c r="W2750" t="s">
        <v>1216</v>
      </c>
      <c r="X2750">
        <v>260</v>
      </c>
      <c r="Z2750" t="s">
        <v>11621</v>
      </c>
      <c r="AA2750" t="s">
        <v>387</v>
      </c>
      <c r="AB2750">
        <v>0</v>
      </c>
      <c r="AC2750">
        <v>5818</v>
      </c>
      <c r="AD2750" t="s">
        <v>12351</v>
      </c>
      <c r="AE2750">
        <v>18</v>
      </c>
      <c r="AF2750" t="s">
        <v>1259</v>
      </c>
    </row>
    <row r="2751" spans="1:34" x14ac:dyDescent="0.25">
      <c r="A2751">
        <v>1</v>
      </c>
      <c r="C2751" s="185"/>
      <c r="E2751" t="s">
        <v>386</v>
      </c>
      <c r="F2751" t="s">
        <v>12352</v>
      </c>
      <c r="G2751" t="s">
        <v>1197</v>
      </c>
      <c r="H2751" t="s">
        <v>12353</v>
      </c>
      <c r="I2751">
        <v>15561</v>
      </c>
      <c r="J2751" t="s">
        <v>12352</v>
      </c>
      <c r="K2751" t="s">
        <v>12352</v>
      </c>
      <c r="L2751" t="s">
        <v>386</v>
      </c>
      <c r="M2751" t="s">
        <v>1193</v>
      </c>
      <c r="N2751">
        <v>15561</v>
      </c>
      <c r="O2751">
        <v>0</v>
      </c>
      <c r="Q2751" t="s">
        <v>12354</v>
      </c>
      <c r="T2751">
        <v>571</v>
      </c>
      <c r="V2751" t="s">
        <v>2003</v>
      </c>
      <c r="W2751" t="s">
        <v>2073</v>
      </c>
      <c r="X2751">
        <v>372</v>
      </c>
      <c r="Z2751" t="s">
        <v>865</v>
      </c>
      <c r="AA2751" t="s">
        <v>387</v>
      </c>
      <c r="AB2751">
        <v>0</v>
      </c>
      <c r="AC2751">
        <v>5866</v>
      </c>
      <c r="AD2751" t="s">
        <v>12355</v>
      </c>
      <c r="AE2751">
        <v>26</v>
      </c>
      <c r="AF2751" t="s">
        <v>2075</v>
      </c>
      <c r="AG2751" t="s">
        <v>12356</v>
      </c>
      <c r="AH2751" t="s">
        <v>12357</v>
      </c>
    </row>
    <row r="2752" spans="1:34" x14ac:dyDescent="0.25">
      <c r="A2752">
        <v>1</v>
      </c>
      <c r="C2752" s="185"/>
      <c r="E2752" t="s">
        <v>386</v>
      </c>
      <c r="F2752" t="s">
        <v>12358</v>
      </c>
      <c r="G2752" t="s">
        <v>1197</v>
      </c>
      <c r="H2752" t="s">
        <v>12359</v>
      </c>
      <c r="I2752">
        <v>12110</v>
      </c>
      <c r="J2752" t="s">
        <v>12358</v>
      </c>
      <c r="K2752" t="s">
        <v>12358</v>
      </c>
      <c r="L2752" t="s">
        <v>386</v>
      </c>
      <c r="M2752" t="s">
        <v>1193</v>
      </c>
      <c r="N2752">
        <v>12110</v>
      </c>
      <c r="O2752">
        <v>0</v>
      </c>
      <c r="Q2752" t="s">
        <v>12360</v>
      </c>
      <c r="R2752" t="s">
        <v>1223</v>
      </c>
      <c r="T2752">
        <v>152</v>
      </c>
      <c r="V2752" t="s">
        <v>1265</v>
      </c>
      <c r="W2752" t="s">
        <v>1215</v>
      </c>
      <c r="X2752">
        <v>259</v>
      </c>
      <c r="Z2752" t="s">
        <v>865</v>
      </c>
      <c r="AA2752" t="s">
        <v>386</v>
      </c>
      <c r="AB2752">
        <v>0</v>
      </c>
      <c r="AC2752">
        <v>4584</v>
      </c>
      <c r="AD2752" t="s">
        <v>12361</v>
      </c>
      <c r="AE2752">
        <v>8</v>
      </c>
      <c r="AF2752" t="s">
        <v>2805</v>
      </c>
      <c r="AG2752" t="s">
        <v>4044</v>
      </c>
      <c r="AH2752" t="s">
        <v>12362</v>
      </c>
    </row>
    <row r="2753" spans="1:34" x14ac:dyDescent="0.25">
      <c r="A2753">
        <v>1</v>
      </c>
      <c r="C2753" s="185"/>
      <c r="E2753" t="s">
        <v>386</v>
      </c>
      <c r="F2753" t="s">
        <v>12363</v>
      </c>
      <c r="G2753" t="s">
        <v>1197</v>
      </c>
      <c r="H2753" t="s">
        <v>12364</v>
      </c>
      <c r="I2753">
        <v>12016</v>
      </c>
      <c r="J2753" t="s">
        <v>12363</v>
      </c>
      <c r="K2753" t="s">
        <v>12365</v>
      </c>
      <c r="L2753" t="s">
        <v>386</v>
      </c>
      <c r="M2753" t="s">
        <v>1193</v>
      </c>
      <c r="N2753">
        <v>12016</v>
      </c>
      <c r="O2753">
        <v>0</v>
      </c>
      <c r="Q2753" t="s">
        <v>12366</v>
      </c>
      <c r="R2753" t="s">
        <v>1208</v>
      </c>
      <c r="T2753">
        <v>200</v>
      </c>
      <c r="V2753" t="s">
        <v>1199</v>
      </c>
      <c r="W2753" t="s">
        <v>1530</v>
      </c>
      <c r="X2753">
        <v>103</v>
      </c>
      <c r="Z2753" t="s">
        <v>865</v>
      </c>
      <c r="AA2753" t="s">
        <v>387</v>
      </c>
      <c r="AB2753">
        <v>0</v>
      </c>
      <c r="AC2753">
        <v>4565</v>
      </c>
      <c r="AD2753" t="s">
        <v>12367</v>
      </c>
      <c r="AE2753">
        <v>473</v>
      </c>
      <c r="AF2753" t="s">
        <v>12140</v>
      </c>
      <c r="AG2753" t="s">
        <v>4715</v>
      </c>
    </row>
    <row r="2754" spans="1:34" x14ac:dyDescent="0.25">
      <c r="A2754">
        <v>1553</v>
      </c>
      <c r="C2754" s="185"/>
      <c r="E2754" t="s">
        <v>386</v>
      </c>
      <c r="F2754" t="s">
        <v>12368</v>
      </c>
      <c r="G2754" t="s">
        <v>1238</v>
      </c>
      <c r="H2754" t="s">
        <v>1239</v>
      </c>
      <c r="I2754">
        <v>13969</v>
      </c>
      <c r="J2754" t="s">
        <v>12368</v>
      </c>
      <c r="K2754" t="s">
        <v>12369</v>
      </c>
      <c r="L2754" t="s">
        <v>386</v>
      </c>
      <c r="M2754" t="s">
        <v>1184</v>
      </c>
      <c r="N2754">
        <v>13969</v>
      </c>
      <c r="O2754">
        <v>59</v>
      </c>
      <c r="Q2754" t="s">
        <v>12370</v>
      </c>
      <c r="R2754" t="s">
        <v>398</v>
      </c>
      <c r="T2754">
        <v>571</v>
      </c>
      <c r="V2754" t="s">
        <v>2003</v>
      </c>
      <c r="W2754" t="s">
        <v>2024</v>
      </c>
      <c r="X2754">
        <v>52</v>
      </c>
      <c r="Z2754" t="s">
        <v>968</v>
      </c>
      <c r="AA2754" t="s">
        <v>387</v>
      </c>
      <c r="AB2754">
        <v>0</v>
      </c>
      <c r="AC2754">
        <v>5280</v>
      </c>
      <c r="AD2754" t="s">
        <v>12368</v>
      </c>
      <c r="AE2754">
        <v>1974</v>
      </c>
      <c r="AF2754" t="s">
        <v>1243</v>
      </c>
      <c r="AG2754" t="s">
        <v>1244</v>
      </c>
      <c r="AH2754" t="s">
        <v>5572</v>
      </c>
    </row>
    <row r="2755" spans="1:34" x14ac:dyDescent="0.25">
      <c r="A2755">
        <v>2059</v>
      </c>
      <c r="C2755" s="185"/>
      <c r="E2755" t="s">
        <v>386</v>
      </c>
      <c r="F2755" t="s">
        <v>12371</v>
      </c>
      <c r="G2755" t="s">
        <v>1197</v>
      </c>
      <c r="H2755" t="s">
        <v>12372</v>
      </c>
      <c r="I2755">
        <v>16509</v>
      </c>
      <c r="J2755" t="s">
        <v>12371</v>
      </c>
      <c r="K2755" t="s">
        <v>12373</v>
      </c>
      <c r="L2755" t="s">
        <v>386</v>
      </c>
      <c r="M2755" t="s">
        <v>1193</v>
      </c>
      <c r="N2755">
        <v>16509</v>
      </c>
      <c r="O2755">
        <v>0</v>
      </c>
      <c r="Q2755" t="s">
        <v>12374</v>
      </c>
      <c r="R2755" t="s">
        <v>1223</v>
      </c>
      <c r="T2755">
        <v>103</v>
      </c>
      <c r="V2755" t="s">
        <v>1530</v>
      </c>
      <c r="W2755" t="s">
        <v>1530</v>
      </c>
      <c r="X2755">
        <v>103</v>
      </c>
      <c r="Z2755" t="s">
        <v>12375</v>
      </c>
      <c r="AA2755" t="s">
        <v>387</v>
      </c>
      <c r="AB2755">
        <v>0</v>
      </c>
      <c r="AC2755">
        <v>6168</v>
      </c>
      <c r="AD2755" t="s">
        <v>12376</v>
      </c>
      <c r="AE2755">
        <v>2831</v>
      </c>
      <c r="AF2755" t="s">
        <v>12377</v>
      </c>
      <c r="AG2755" t="s">
        <v>4746</v>
      </c>
      <c r="AH2755" t="s">
        <v>12378</v>
      </c>
    </row>
    <row r="2756" spans="1:34" x14ac:dyDescent="0.25">
      <c r="A2756">
        <v>1</v>
      </c>
      <c r="C2756" s="185"/>
      <c r="E2756" t="s">
        <v>386</v>
      </c>
      <c r="F2756" t="s">
        <v>12379</v>
      </c>
      <c r="G2756" t="s">
        <v>1197</v>
      </c>
      <c r="H2756" t="s">
        <v>12380</v>
      </c>
      <c r="I2756">
        <v>14217</v>
      </c>
      <c r="J2756" t="s">
        <v>12379</v>
      </c>
      <c r="K2756" t="s">
        <v>12381</v>
      </c>
      <c r="L2756" t="s">
        <v>386</v>
      </c>
      <c r="M2756" t="s">
        <v>1193</v>
      </c>
      <c r="N2756">
        <v>14217</v>
      </c>
      <c r="O2756">
        <v>0</v>
      </c>
      <c r="Q2756" t="s">
        <v>12382</v>
      </c>
      <c r="R2756" t="s">
        <v>1208</v>
      </c>
      <c r="T2756">
        <v>571</v>
      </c>
      <c r="V2756" t="s">
        <v>2003</v>
      </c>
      <c r="W2756" t="s">
        <v>1199</v>
      </c>
      <c r="X2756">
        <v>200</v>
      </c>
      <c r="Z2756" t="s">
        <v>865</v>
      </c>
      <c r="AA2756" t="s">
        <v>387</v>
      </c>
      <c r="AB2756">
        <v>0</v>
      </c>
      <c r="AC2756">
        <v>5380</v>
      </c>
      <c r="AD2756" t="s">
        <v>12383</v>
      </c>
      <c r="AE2756">
        <v>1358</v>
      </c>
      <c r="AF2756" t="s">
        <v>3471</v>
      </c>
      <c r="AG2756" t="s">
        <v>8421</v>
      </c>
      <c r="AH2756" t="s">
        <v>12384</v>
      </c>
    </row>
    <row r="2757" spans="1:34" x14ac:dyDescent="0.25">
      <c r="A2757">
        <v>71</v>
      </c>
      <c r="C2757" s="185"/>
      <c r="E2757" t="s">
        <v>386</v>
      </c>
      <c r="F2757" t="s">
        <v>555</v>
      </c>
      <c r="G2757" t="s">
        <v>1238</v>
      </c>
      <c r="H2757" t="s">
        <v>5635</v>
      </c>
      <c r="I2757">
        <v>16342</v>
      </c>
      <c r="J2757" t="s">
        <v>555</v>
      </c>
      <c r="K2757" t="s">
        <v>12385</v>
      </c>
      <c r="L2757" t="s">
        <v>386</v>
      </c>
      <c r="M2757" t="s">
        <v>1184</v>
      </c>
      <c r="N2757">
        <v>16342</v>
      </c>
      <c r="O2757">
        <v>25</v>
      </c>
      <c r="Q2757" t="s">
        <v>12386</v>
      </c>
      <c r="R2757" t="s">
        <v>398</v>
      </c>
      <c r="T2757">
        <v>571</v>
      </c>
      <c r="V2757" t="s">
        <v>2003</v>
      </c>
      <c r="W2757" t="s">
        <v>1194</v>
      </c>
      <c r="X2757">
        <v>220</v>
      </c>
      <c r="Z2757" t="s">
        <v>5638</v>
      </c>
      <c r="AA2757" t="s">
        <v>387</v>
      </c>
      <c r="AB2757">
        <v>0</v>
      </c>
      <c r="AC2757">
        <v>5122</v>
      </c>
      <c r="AD2757" t="s">
        <v>10371</v>
      </c>
      <c r="AE2757">
        <v>18</v>
      </c>
      <c r="AF2757" t="s">
        <v>1259</v>
      </c>
      <c r="AG2757" t="s">
        <v>1244</v>
      </c>
      <c r="AH2757" t="s">
        <v>12387</v>
      </c>
    </row>
    <row r="2758" spans="1:34" x14ac:dyDescent="0.25">
      <c r="A2758">
        <v>1387</v>
      </c>
      <c r="C2758" s="185"/>
      <c r="E2758" t="s">
        <v>386</v>
      </c>
      <c r="F2758" t="s">
        <v>12388</v>
      </c>
      <c r="G2758" t="s">
        <v>1197</v>
      </c>
      <c r="H2758" t="s">
        <v>12389</v>
      </c>
      <c r="I2758">
        <v>16866</v>
      </c>
      <c r="J2758" t="s">
        <v>12388</v>
      </c>
      <c r="K2758" t="s">
        <v>12388</v>
      </c>
      <c r="L2758" t="s">
        <v>386</v>
      </c>
      <c r="M2758" t="s">
        <v>1193</v>
      </c>
      <c r="N2758">
        <v>16866</v>
      </c>
      <c r="O2758">
        <v>0</v>
      </c>
      <c r="Q2758" t="s">
        <v>12390</v>
      </c>
      <c r="T2758">
        <v>509</v>
      </c>
      <c r="V2758" t="s">
        <v>5803</v>
      </c>
      <c r="W2758" t="s">
        <v>5803</v>
      </c>
      <c r="X2758">
        <v>509</v>
      </c>
      <c r="Z2758" t="s">
        <v>12391</v>
      </c>
      <c r="AA2758" t="s">
        <v>387</v>
      </c>
      <c r="AB2758">
        <v>0</v>
      </c>
      <c r="AC2758">
        <v>6276</v>
      </c>
      <c r="AD2758" t="s">
        <v>12392</v>
      </c>
      <c r="AE2758">
        <v>2875</v>
      </c>
      <c r="AF2758" t="s">
        <v>12393</v>
      </c>
      <c r="AG2758" t="s">
        <v>12394</v>
      </c>
      <c r="AH2758" t="s">
        <v>12395</v>
      </c>
    </row>
    <row r="2759" spans="1:34" x14ac:dyDescent="0.25">
      <c r="A2759">
        <v>1998</v>
      </c>
      <c r="C2759" s="185"/>
      <c r="E2759" t="s">
        <v>386</v>
      </c>
      <c r="F2759" t="s">
        <v>12396</v>
      </c>
      <c r="G2759" t="s">
        <v>1197</v>
      </c>
      <c r="H2759" t="s">
        <v>12397</v>
      </c>
      <c r="I2759">
        <v>15037</v>
      </c>
      <c r="J2759" t="s">
        <v>12396</v>
      </c>
      <c r="K2759" t="s">
        <v>12398</v>
      </c>
      <c r="L2759" t="s">
        <v>386</v>
      </c>
      <c r="M2759" t="s">
        <v>1193</v>
      </c>
      <c r="N2759">
        <v>15037</v>
      </c>
      <c r="O2759">
        <v>0</v>
      </c>
      <c r="Q2759" t="s">
        <v>12399</v>
      </c>
      <c r="R2759" t="s">
        <v>1208</v>
      </c>
      <c r="T2759">
        <v>103</v>
      </c>
      <c r="V2759" t="s">
        <v>1530</v>
      </c>
      <c r="W2759" t="s">
        <v>1530</v>
      </c>
      <c r="X2759">
        <v>103</v>
      </c>
      <c r="Z2759" t="s">
        <v>12400</v>
      </c>
      <c r="AA2759" t="s">
        <v>387</v>
      </c>
      <c r="AB2759">
        <v>0</v>
      </c>
      <c r="AC2759">
        <v>5710</v>
      </c>
      <c r="AD2759" t="s">
        <v>12401</v>
      </c>
      <c r="AE2759">
        <v>2636</v>
      </c>
      <c r="AF2759" t="s">
        <v>12402</v>
      </c>
      <c r="AG2759" t="s">
        <v>10540</v>
      </c>
      <c r="AH2759" t="s">
        <v>12403</v>
      </c>
    </row>
    <row r="2760" spans="1:34" x14ac:dyDescent="0.25">
      <c r="A2760">
        <v>96</v>
      </c>
      <c r="C2760" s="185"/>
      <c r="D2760" t="s">
        <v>157</v>
      </c>
      <c r="E2760" t="s">
        <v>386</v>
      </c>
      <c r="F2760" t="s">
        <v>12404</v>
      </c>
      <c r="G2760" t="s">
        <v>1197</v>
      </c>
      <c r="H2760" t="s">
        <v>12405</v>
      </c>
      <c r="I2760">
        <v>9745</v>
      </c>
      <c r="J2760" t="s">
        <v>12404</v>
      </c>
      <c r="K2760" t="s">
        <v>12404</v>
      </c>
      <c r="L2760" t="s">
        <v>386</v>
      </c>
      <c r="M2760" t="s">
        <v>1193</v>
      </c>
      <c r="N2760">
        <v>9745</v>
      </c>
      <c r="O2760">
        <v>0</v>
      </c>
      <c r="Q2760" t="s">
        <v>12406</v>
      </c>
      <c r="R2760" t="s">
        <v>398</v>
      </c>
      <c r="T2760">
        <v>185</v>
      </c>
      <c r="V2760" t="s">
        <v>1915</v>
      </c>
      <c r="Z2760" t="s">
        <v>12407</v>
      </c>
      <c r="AA2760" t="s">
        <v>387</v>
      </c>
      <c r="AB2760">
        <v>0</v>
      </c>
      <c r="AC2760">
        <v>3874</v>
      </c>
      <c r="AD2760" t="s">
        <v>12408</v>
      </c>
      <c r="AE2760">
        <v>1792</v>
      </c>
      <c r="AF2760" t="s">
        <v>12409</v>
      </c>
      <c r="AG2760" t="s">
        <v>1244</v>
      </c>
    </row>
    <row r="2761" spans="1:34" x14ac:dyDescent="0.25">
      <c r="A2761">
        <v>133</v>
      </c>
      <c r="C2761" s="185"/>
      <c r="E2761" t="s">
        <v>386</v>
      </c>
      <c r="F2761" t="s">
        <v>12410</v>
      </c>
      <c r="G2761" t="s">
        <v>1192</v>
      </c>
      <c r="H2761" t="s">
        <v>12411</v>
      </c>
      <c r="I2761">
        <v>3033</v>
      </c>
      <c r="J2761" t="s">
        <v>12410</v>
      </c>
      <c r="K2761" t="s">
        <v>12410</v>
      </c>
      <c r="L2761" t="s">
        <v>386</v>
      </c>
      <c r="M2761" t="s">
        <v>1184</v>
      </c>
      <c r="N2761">
        <v>3033</v>
      </c>
      <c r="O2761">
        <v>0</v>
      </c>
      <c r="Q2761" t="s">
        <v>12412</v>
      </c>
      <c r="R2761" t="s">
        <v>1208</v>
      </c>
      <c r="T2761">
        <v>115</v>
      </c>
      <c r="V2761" t="s">
        <v>2344</v>
      </c>
      <c r="Z2761" t="s">
        <v>3195</v>
      </c>
      <c r="AA2761" t="s">
        <v>387</v>
      </c>
      <c r="AB2761">
        <v>0</v>
      </c>
      <c r="AC2761">
        <v>2029</v>
      </c>
      <c r="AD2761" t="s">
        <v>7481</v>
      </c>
      <c r="AE2761">
        <v>973</v>
      </c>
      <c r="AF2761" t="s">
        <v>6267</v>
      </c>
      <c r="AG2761" t="s">
        <v>4315</v>
      </c>
      <c r="AH2761" t="s">
        <v>12413</v>
      </c>
    </row>
    <row r="2762" spans="1:34" x14ac:dyDescent="0.25">
      <c r="A2762">
        <v>1998</v>
      </c>
      <c r="B2762" t="s">
        <v>1313</v>
      </c>
      <c r="C2762" s="185"/>
      <c r="D2762" t="s">
        <v>24</v>
      </c>
      <c r="E2762" t="s">
        <v>386</v>
      </c>
      <c r="F2762" t="s">
        <v>493</v>
      </c>
      <c r="G2762" t="s">
        <v>1197</v>
      </c>
      <c r="H2762" t="s">
        <v>12414</v>
      </c>
      <c r="I2762">
        <v>16071</v>
      </c>
      <c r="J2762" t="s">
        <v>12415</v>
      </c>
      <c r="K2762" t="s">
        <v>12416</v>
      </c>
      <c r="L2762" t="s">
        <v>386</v>
      </c>
      <c r="M2762" t="s">
        <v>1193</v>
      </c>
      <c r="N2762">
        <v>15509</v>
      </c>
      <c r="O2762">
        <v>76</v>
      </c>
      <c r="Q2762" t="s">
        <v>12417</v>
      </c>
      <c r="S2762" t="s">
        <v>12418</v>
      </c>
      <c r="T2762">
        <v>220</v>
      </c>
      <c r="U2762">
        <v>0</v>
      </c>
      <c r="V2762" t="s">
        <v>1194</v>
      </c>
      <c r="W2762" t="s">
        <v>2186</v>
      </c>
      <c r="X2762">
        <v>396</v>
      </c>
      <c r="Y2762" t="s">
        <v>1317</v>
      </c>
      <c r="Z2762" t="s">
        <v>12400</v>
      </c>
      <c r="AA2762" t="s">
        <v>387</v>
      </c>
      <c r="AB2762">
        <v>0</v>
      </c>
      <c r="AC2762">
        <v>6046</v>
      </c>
      <c r="AD2762" t="s">
        <v>12419</v>
      </c>
      <c r="AE2762">
        <v>2387</v>
      </c>
      <c r="AF2762" t="s">
        <v>12420</v>
      </c>
      <c r="AG2762" t="s">
        <v>3720</v>
      </c>
      <c r="AH2762" t="s">
        <v>12421</v>
      </c>
    </row>
    <row r="2763" spans="1:34" x14ac:dyDescent="0.25">
      <c r="A2763">
        <v>1553</v>
      </c>
      <c r="C2763" s="185"/>
      <c r="D2763" t="s">
        <v>157</v>
      </c>
      <c r="E2763" t="s">
        <v>386</v>
      </c>
      <c r="F2763" t="s">
        <v>196</v>
      </c>
      <c r="G2763" t="s">
        <v>1238</v>
      </c>
      <c r="H2763" t="s">
        <v>1239</v>
      </c>
      <c r="I2763">
        <v>14257</v>
      </c>
      <c r="J2763" t="s">
        <v>196</v>
      </c>
      <c r="K2763" t="s">
        <v>12422</v>
      </c>
      <c r="L2763" t="s">
        <v>386</v>
      </c>
      <c r="M2763" t="s">
        <v>1184</v>
      </c>
      <c r="N2763">
        <v>14257</v>
      </c>
      <c r="O2763">
        <v>59</v>
      </c>
      <c r="Q2763" t="s">
        <v>12423</v>
      </c>
      <c r="T2763">
        <v>571</v>
      </c>
      <c r="V2763" t="s">
        <v>2003</v>
      </c>
      <c r="W2763" t="s">
        <v>3321</v>
      </c>
      <c r="X2763">
        <v>246</v>
      </c>
      <c r="Z2763" t="s">
        <v>968</v>
      </c>
      <c r="AA2763" t="s">
        <v>387</v>
      </c>
      <c r="AB2763">
        <v>51000</v>
      </c>
      <c r="AC2763">
        <v>3377</v>
      </c>
      <c r="AD2763" t="s">
        <v>196</v>
      </c>
      <c r="AE2763">
        <v>18</v>
      </c>
      <c r="AF2763" t="s">
        <v>1259</v>
      </c>
      <c r="AG2763" t="s">
        <v>1244</v>
      </c>
      <c r="AH2763" t="s">
        <v>5572</v>
      </c>
    </row>
    <row r="2764" spans="1:34" x14ac:dyDescent="0.25">
      <c r="A2764">
        <v>1536</v>
      </c>
      <c r="C2764" s="185"/>
      <c r="E2764" t="s">
        <v>386</v>
      </c>
      <c r="F2764" t="s">
        <v>12424</v>
      </c>
      <c r="G2764" t="s">
        <v>1197</v>
      </c>
      <c r="H2764" t="s">
        <v>12425</v>
      </c>
      <c r="I2764">
        <v>17431</v>
      </c>
      <c r="J2764" t="s">
        <v>12424</v>
      </c>
      <c r="K2764" t="s">
        <v>12426</v>
      </c>
      <c r="L2764" t="s">
        <v>386</v>
      </c>
      <c r="M2764" t="s">
        <v>1193</v>
      </c>
      <c r="N2764">
        <v>17431</v>
      </c>
      <c r="O2764">
        <v>0</v>
      </c>
      <c r="Q2764" t="s">
        <v>12427</v>
      </c>
      <c r="T2764">
        <v>473</v>
      </c>
      <c r="V2764" t="s">
        <v>1964</v>
      </c>
      <c r="W2764" t="s">
        <v>1964</v>
      </c>
      <c r="X2764">
        <v>473</v>
      </c>
      <c r="Z2764" t="s">
        <v>12428</v>
      </c>
      <c r="AA2764" t="s">
        <v>387</v>
      </c>
      <c r="AB2764">
        <v>0</v>
      </c>
      <c r="AC2764">
        <v>6044</v>
      </c>
      <c r="AD2764" t="s">
        <v>3984</v>
      </c>
      <c r="AE2764">
        <v>3018</v>
      </c>
      <c r="AF2764" t="s">
        <v>12429</v>
      </c>
      <c r="AG2764" t="s">
        <v>1244</v>
      </c>
      <c r="AH2764" t="s">
        <v>12430</v>
      </c>
    </row>
    <row r="2765" spans="1:34" x14ac:dyDescent="0.25">
      <c r="A2765">
        <v>1536</v>
      </c>
      <c r="C2765" s="185"/>
      <c r="E2765" t="s">
        <v>386</v>
      </c>
      <c r="F2765" t="s">
        <v>12431</v>
      </c>
      <c r="G2765" t="s">
        <v>1197</v>
      </c>
      <c r="H2765" t="s">
        <v>12425</v>
      </c>
      <c r="I2765">
        <v>16327</v>
      </c>
      <c r="J2765" t="s">
        <v>12431</v>
      </c>
      <c r="K2765" t="s">
        <v>12431</v>
      </c>
      <c r="L2765" t="s">
        <v>386</v>
      </c>
      <c r="M2765" t="s">
        <v>1193</v>
      </c>
      <c r="N2765">
        <v>16327</v>
      </c>
      <c r="O2765">
        <v>0</v>
      </c>
      <c r="Q2765" t="s">
        <v>12432</v>
      </c>
      <c r="T2765">
        <v>260</v>
      </c>
      <c r="V2765" t="s">
        <v>1216</v>
      </c>
      <c r="W2765" t="s">
        <v>1216</v>
      </c>
      <c r="X2765">
        <v>260</v>
      </c>
      <c r="Z2765" t="s">
        <v>12428</v>
      </c>
      <c r="AA2765" t="s">
        <v>387</v>
      </c>
      <c r="AB2765">
        <v>0</v>
      </c>
      <c r="AC2765">
        <v>81</v>
      </c>
      <c r="AD2765" t="s">
        <v>10716</v>
      </c>
      <c r="AE2765">
        <v>2803</v>
      </c>
      <c r="AF2765" t="s">
        <v>12433</v>
      </c>
      <c r="AG2765" t="s">
        <v>1244</v>
      </c>
      <c r="AH2765" t="s">
        <v>12434</v>
      </c>
    </row>
    <row r="2766" spans="1:34" x14ac:dyDescent="0.25">
      <c r="A2766">
        <v>1536</v>
      </c>
      <c r="C2766" s="185"/>
      <c r="E2766" t="s">
        <v>386</v>
      </c>
      <c r="F2766" t="s">
        <v>12435</v>
      </c>
      <c r="G2766" t="s">
        <v>1197</v>
      </c>
      <c r="H2766" t="s">
        <v>12436</v>
      </c>
      <c r="I2766">
        <v>6446</v>
      </c>
      <c r="J2766" t="s">
        <v>12435</v>
      </c>
      <c r="K2766" t="s">
        <v>12435</v>
      </c>
      <c r="L2766" t="s">
        <v>386</v>
      </c>
      <c r="M2766" t="s">
        <v>1193</v>
      </c>
      <c r="N2766">
        <v>6446</v>
      </c>
      <c r="O2766">
        <v>0</v>
      </c>
      <c r="Q2766" t="s">
        <v>12437</v>
      </c>
      <c r="R2766" t="s">
        <v>1208</v>
      </c>
      <c r="T2766">
        <v>52</v>
      </c>
      <c r="V2766" t="s">
        <v>2024</v>
      </c>
      <c r="Z2766" t="s">
        <v>12428</v>
      </c>
      <c r="AA2766" t="s">
        <v>387</v>
      </c>
      <c r="AB2766">
        <v>0</v>
      </c>
      <c r="AC2766">
        <v>2913</v>
      </c>
      <c r="AD2766" t="s">
        <v>12438</v>
      </c>
      <c r="AE2766">
        <v>0</v>
      </c>
      <c r="AF2766" t="s">
        <v>1188</v>
      </c>
      <c r="AG2766" t="s">
        <v>12439</v>
      </c>
      <c r="AH2766" t="s">
        <v>12440</v>
      </c>
    </row>
    <row r="2767" spans="1:34" x14ac:dyDescent="0.25">
      <c r="A2767">
        <v>1536</v>
      </c>
      <c r="C2767" s="185"/>
      <c r="D2767" t="s">
        <v>157</v>
      </c>
      <c r="E2767" t="s">
        <v>386</v>
      </c>
      <c r="F2767" t="s">
        <v>12441</v>
      </c>
      <c r="G2767" t="s">
        <v>1197</v>
      </c>
      <c r="H2767" t="s">
        <v>12425</v>
      </c>
      <c r="I2767">
        <v>9280</v>
      </c>
      <c r="J2767" t="s">
        <v>12441</v>
      </c>
      <c r="K2767" t="s">
        <v>12441</v>
      </c>
      <c r="L2767" t="s">
        <v>386</v>
      </c>
      <c r="M2767" t="s">
        <v>1193</v>
      </c>
      <c r="N2767">
        <v>9280</v>
      </c>
      <c r="O2767">
        <v>0</v>
      </c>
      <c r="Q2767" t="s">
        <v>12442</v>
      </c>
      <c r="R2767" t="s">
        <v>398</v>
      </c>
      <c r="T2767">
        <v>185</v>
      </c>
      <c r="V2767" t="s">
        <v>1915</v>
      </c>
      <c r="Z2767" t="s">
        <v>12428</v>
      </c>
      <c r="AA2767" t="s">
        <v>387</v>
      </c>
      <c r="AB2767">
        <v>0</v>
      </c>
      <c r="AC2767">
        <v>3699</v>
      </c>
      <c r="AD2767" t="s">
        <v>8829</v>
      </c>
      <c r="AE2767">
        <v>377</v>
      </c>
      <c r="AF2767" t="s">
        <v>2358</v>
      </c>
    </row>
    <row r="2768" spans="1:34" x14ac:dyDescent="0.25">
      <c r="A2768">
        <v>1536</v>
      </c>
      <c r="C2768" s="185"/>
      <c r="D2768" t="s">
        <v>157</v>
      </c>
      <c r="E2768" t="s">
        <v>386</v>
      </c>
      <c r="F2768" t="s">
        <v>368</v>
      </c>
      <c r="G2768" t="s">
        <v>1197</v>
      </c>
      <c r="H2768" t="s">
        <v>12443</v>
      </c>
      <c r="I2768">
        <v>11207</v>
      </c>
      <c r="J2768" t="s">
        <v>619</v>
      </c>
      <c r="K2768" t="s">
        <v>12444</v>
      </c>
      <c r="L2768" t="s">
        <v>386</v>
      </c>
      <c r="M2768" t="s">
        <v>1193</v>
      </c>
      <c r="N2768">
        <v>15353</v>
      </c>
      <c r="O2768">
        <v>42</v>
      </c>
      <c r="Q2768" t="s">
        <v>12445</v>
      </c>
      <c r="T2768">
        <v>340</v>
      </c>
      <c r="V2768" t="s">
        <v>1200</v>
      </c>
      <c r="W2768" t="s">
        <v>2107</v>
      </c>
      <c r="X2768">
        <v>272</v>
      </c>
      <c r="Z2768" t="s">
        <v>12428</v>
      </c>
      <c r="AA2768" t="s">
        <v>387</v>
      </c>
      <c r="AB2768">
        <v>34000</v>
      </c>
      <c r="AC2768">
        <v>6341</v>
      </c>
      <c r="AD2768" t="s">
        <v>12446</v>
      </c>
      <c r="AE2768">
        <v>2901</v>
      </c>
      <c r="AF2768" t="s">
        <v>12447</v>
      </c>
      <c r="AG2768" t="s">
        <v>4000</v>
      </c>
      <c r="AH2768" t="s">
        <v>12448</v>
      </c>
    </row>
    <row r="2769" spans="1:34" x14ac:dyDescent="0.25">
      <c r="A2769">
        <v>1536</v>
      </c>
      <c r="C2769" s="185"/>
      <c r="D2769" t="s">
        <v>157</v>
      </c>
      <c r="E2769" t="s">
        <v>386</v>
      </c>
      <c r="F2769" t="s">
        <v>137</v>
      </c>
      <c r="G2769" t="s">
        <v>1197</v>
      </c>
      <c r="H2769" t="s">
        <v>12449</v>
      </c>
      <c r="I2769">
        <v>7167</v>
      </c>
      <c r="J2769" t="s">
        <v>137</v>
      </c>
      <c r="K2769" t="s">
        <v>12450</v>
      </c>
      <c r="L2769" t="s">
        <v>386</v>
      </c>
      <c r="M2769" t="s">
        <v>1193</v>
      </c>
      <c r="N2769">
        <v>7167</v>
      </c>
      <c r="O2769">
        <v>70</v>
      </c>
      <c r="Q2769" t="s">
        <v>12451</v>
      </c>
      <c r="R2769" t="s">
        <v>398</v>
      </c>
      <c r="T2769">
        <v>246</v>
      </c>
      <c r="V2769" t="s">
        <v>3321</v>
      </c>
      <c r="W2769" t="s">
        <v>1988</v>
      </c>
      <c r="X2769">
        <v>122</v>
      </c>
      <c r="Z2769" t="s">
        <v>12428</v>
      </c>
      <c r="AA2769" t="s">
        <v>387</v>
      </c>
      <c r="AB2769">
        <v>62000</v>
      </c>
      <c r="AC2769">
        <v>2380</v>
      </c>
      <c r="AD2769" t="s">
        <v>6543</v>
      </c>
      <c r="AE2769">
        <v>691</v>
      </c>
      <c r="AF2769" t="s">
        <v>6543</v>
      </c>
      <c r="AG2769" t="s">
        <v>12452</v>
      </c>
      <c r="AH2769" t="s">
        <v>12453</v>
      </c>
    </row>
    <row r="2770" spans="1:34" x14ac:dyDescent="0.25">
      <c r="A2770">
        <v>1536</v>
      </c>
      <c r="C2770" s="185"/>
      <c r="D2770" t="s">
        <v>157</v>
      </c>
      <c r="E2770" t="s">
        <v>386</v>
      </c>
      <c r="F2770" t="s">
        <v>177</v>
      </c>
      <c r="G2770" t="s">
        <v>1197</v>
      </c>
      <c r="H2770" t="s">
        <v>12454</v>
      </c>
      <c r="I2770">
        <v>10454</v>
      </c>
      <c r="J2770" t="s">
        <v>177</v>
      </c>
      <c r="K2770" t="s">
        <v>12455</v>
      </c>
      <c r="L2770" t="s">
        <v>386</v>
      </c>
      <c r="M2770" t="s">
        <v>1193</v>
      </c>
      <c r="N2770">
        <v>10454</v>
      </c>
      <c r="O2770">
        <v>42</v>
      </c>
      <c r="Q2770" t="s">
        <v>12456</v>
      </c>
      <c r="T2770">
        <v>122</v>
      </c>
      <c r="V2770" t="s">
        <v>1988</v>
      </c>
      <c r="W2770" t="s">
        <v>3321</v>
      </c>
      <c r="X2770">
        <v>246</v>
      </c>
      <c r="Z2770" t="s">
        <v>12428</v>
      </c>
      <c r="AA2770" t="s">
        <v>387</v>
      </c>
      <c r="AB2770">
        <v>34000</v>
      </c>
      <c r="AC2770">
        <v>787</v>
      </c>
      <c r="AD2770" t="s">
        <v>3649</v>
      </c>
      <c r="AE2770">
        <v>1379</v>
      </c>
      <c r="AF2770" t="s">
        <v>9957</v>
      </c>
      <c r="AG2770" t="s">
        <v>12457</v>
      </c>
      <c r="AH2770" t="s">
        <v>12458</v>
      </c>
    </row>
    <row r="2771" spans="1:34" x14ac:dyDescent="0.25">
      <c r="A2771">
        <v>1</v>
      </c>
      <c r="C2771" s="185"/>
      <c r="E2771" t="s">
        <v>386</v>
      </c>
      <c r="F2771" t="s">
        <v>12459</v>
      </c>
      <c r="G2771" t="s">
        <v>1197</v>
      </c>
      <c r="H2771" t="s">
        <v>6384</v>
      </c>
      <c r="I2771">
        <v>17516</v>
      </c>
      <c r="J2771" t="s">
        <v>12459</v>
      </c>
      <c r="K2771" t="s">
        <v>12459</v>
      </c>
      <c r="L2771" t="s">
        <v>386</v>
      </c>
      <c r="M2771" t="s">
        <v>1193</v>
      </c>
      <c r="N2771">
        <v>17516</v>
      </c>
      <c r="O2771">
        <v>0</v>
      </c>
      <c r="Q2771" t="s">
        <v>12460</v>
      </c>
      <c r="R2771" t="s">
        <v>1208</v>
      </c>
      <c r="T2771">
        <v>560</v>
      </c>
      <c r="V2771" t="s">
        <v>2602</v>
      </c>
      <c r="W2771" t="s">
        <v>1530</v>
      </c>
      <c r="X2771">
        <v>103</v>
      </c>
      <c r="Z2771" t="s">
        <v>865</v>
      </c>
      <c r="AA2771" t="s">
        <v>387</v>
      </c>
      <c r="AB2771">
        <v>0</v>
      </c>
      <c r="AC2771">
        <v>53</v>
      </c>
      <c r="AD2771" t="s">
        <v>6387</v>
      </c>
      <c r="AE2771">
        <v>143</v>
      </c>
      <c r="AF2771" t="s">
        <v>2604</v>
      </c>
      <c r="AG2771" t="s">
        <v>12461</v>
      </c>
      <c r="AH2771" t="s">
        <v>12462</v>
      </c>
    </row>
    <row r="2772" spans="1:34" x14ac:dyDescent="0.25">
      <c r="A2772">
        <v>1</v>
      </c>
      <c r="C2772" s="185"/>
      <c r="E2772" t="s">
        <v>386</v>
      </c>
      <c r="F2772" t="s">
        <v>12463</v>
      </c>
      <c r="G2772" t="s">
        <v>1197</v>
      </c>
      <c r="H2772" t="s">
        <v>12464</v>
      </c>
      <c r="I2772">
        <v>15465</v>
      </c>
      <c r="J2772" t="s">
        <v>12463</v>
      </c>
      <c r="K2772" t="s">
        <v>12465</v>
      </c>
      <c r="L2772" t="s">
        <v>386</v>
      </c>
      <c r="M2772" t="s">
        <v>1193</v>
      </c>
      <c r="N2772">
        <v>15465</v>
      </c>
      <c r="O2772">
        <v>0</v>
      </c>
      <c r="Q2772" t="s">
        <v>12466</v>
      </c>
      <c r="T2772">
        <v>571</v>
      </c>
      <c r="V2772" t="s">
        <v>2003</v>
      </c>
      <c r="W2772" t="s">
        <v>1199</v>
      </c>
      <c r="X2772">
        <v>200</v>
      </c>
      <c r="Z2772" t="s">
        <v>865</v>
      </c>
      <c r="AA2772" t="s">
        <v>387</v>
      </c>
      <c r="AB2772">
        <v>0</v>
      </c>
      <c r="AC2772">
        <v>164</v>
      </c>
      <c r="AD2772" t="s">
        <v>12467</v>
      </c>
      <c r="AE2772">
        <v>11</v>
      </c>
      <c r="AF2772" t="s">
        <v>5744</v>
      </c>
      <c r="AG2772" t="s">
        <v>12468</v>
      </c>
      <c r="AH2772" t="s">
        <v>12469</v>
      </c>
    </row>
    <row r="2773" spans="1:34" x14ac:dyDescent="0.25">
      <c r="A2773">
        <v>64</v>
      </c>
      <c r="B2773" t="s">
        <v>1313</v>
      </c>
      <c r="C2773" s="185"/>
      <c r="E2773" t="s">
        <v>386</v>
      </c>
      <c r="F2773" t="s">
        <v>12470</v>
      </c>
      <c r="G2773" t="s">
        <v>1197</v>
      </c>
      <c r="H2773" t="s">
        <v>12471</v>
      </c>
      <c r="I2773">
        <v>240</v>
      </c>
      <c r="J2773" t="s">
        <v>12470</v>
      </c>
      <c r="K2773" t="s">
        <v>12470</v>
      </c>
      <c r="L2773" t="s">
        <v>386</v>
      </c>
      <c r="M2773" t="s">
        <v>1193</v>
      </c>
      <c r="N2773">
        <v>240</v>
      </c>
      <c r="O2773">
        <v>0</v>
      </c>
      <c r="Q2773" t="s">
        <v>12472</v>
      </c>
      <c r="S2773" t="s">
        <v>1315</v>
      </c>
      <c r="T2773">
        <v>52</v>
      </c>
      <c r="U2773">
        <v>0</v>
      </c>
      <c r="V2773" t="s">
        <v>2024</v>
      </c>
      <c r="Y2773" t="s">
        <v>1317</v>
      </c>
      <c r="Z2773" t="s">
        <v>12473</v>
      </c>
      <c r="AA2773" t="s">
        <v>387</v>
      </c>
      <c r="AB2773">
        <v>0</v>
      </c>
      <c r="AC2773">
        <v>365</v>
      </c>
      <c r="AD2773" t="s">
        <v>12474</v>
      </c>
      <c r="AE2773">
        <v>107</v>
      </c>
      <c r="AF2773" t="s">
        <v>1235</v>
      </c>
      <c r="AG2773" t="s">
        <v>12475</v>
      </c>
      <c r="AH2773" t="s">
        <v>12476</v>
      </c>
    </row>
    <row r="2774" spans="1:34" x14ac:dyDescent="0.25">
      <c r="A2774">
        <v>64</v>
      </c>
      <c r="C2774" s="185"/>
      <c r="E2774" t="s">
        <v>386</v>
      </c>
      <c r="F2774" t="s">
        <v>12477</v>
      </c>
      <c r="G2774" t="s">
        <v>1197</v>
      </c>
      <c r="H2774" t="s">
        <v>12471</v>
      </c>
      <c r="I2774">
        <v>17631</v>
      </c>
      <c r="J2774" t="s">
        <v>12477</v>
      </c>
      <c r="K2774" t="s">
        <v>12477</v>
      </c>
      <c r="L2774" t="s">
        <v>386</v>
      </c>
      <c r="M2774" t="s">
        <v>1193</v>
      </c>
      <c r="N2774">
        <v>17631</v>
      </c>
      <c r="O2774">
        <v>0</v>
      </c>
      <c r="Q2774" t="s">
        <v>12478</v>
      </c>
      <c r="R2774" t="s">
        <v>398</v>
      </c>
      <c r="T2774">
        <v>52</v>
      </c>
      <c r="V2774" t="s">
        <v>2024</v>
      </c>
      <c r="W2774" t="s">
        <v>4468</v>
      </c>
      <c r="X2774">
        <v>470</v>
      </c>
      <c r="Z2774" t="s">
        <v>12473</v>
      </c>
      <c r="AA2774" t="s">
        <v>387</v>
      </c>
      <c r="AB2774">
        <v>0</v>
      </c>
      <c r="AC2774">
        <v>4204</v>
      </c>
      <c r="AD2774" t="s">
        <v>12479</v>
      </c>
      <c r="AE2774">
        <v>3044</v>
      </c>
      <c r="AF2774" t="s">
        <v>12480</v>
      </c>
      <c r="AG2774" t="s">
        <v>12481</v>
      </c>
      <c r="AH2774" t="s">
        <v>12482</v>
      </c>
    </row>
    <row r="2775" spans="1:34" x14ac:dyDescent="0.25">
      <c r="A2775">
        <v>1411</v>
      </c>
      <c r="C2775" s="185"/>
      <c r="E2775" t="s">
        <v>386</v>
      </c>
      <c r="F2775" t="s">
        <v>12483</v>
      </c>
      <c r="G2775" t="s">
        <v>1197</v>
      </c>
      <c r="H2775" t="s">
        <v>4679</v>
      </c>
      <c r="I2775">
        <v>16076</v>
      </c>
      <c r="J2775" t="s">
        <v>12483</v>
      </c>
      <c r="K2775" t="s">
        <v>12484</v>
      </c>
      <c r="L2775" t="s">
        <v>386</v>
      </c>
      <c r="M2775" t="s">
        <v>1193</v>
      </c>
      <c r="N2775">
        <v>16076</v>
      </c>
      <c r="O2775">
        <v>76</v>
      </c>
      <c r="Q2775" t="s">
        <v>12485</v>
      </c>
      <c r="T2775">
        <v>220</v>
      </c>
      <c r="V2775" t="s">
        <v>1194</v>
      </c>
      <c r="W2775" t="s">
        <v>1194</v>
      </c>
      <c r="X2775">
        <v>220</v>
      </c>
      <c r="Z2775" t="s">
        <v>1086</v>
      </c>
      <c r="AA2775" t="s">
        <v>387</v>
      </c>
      <c r="AB2775">
        <v>69000</v>
      </c>
      <c r="AC2775">
        <v>6047</v>
      </c>
      <c r="AD2775" t="s">
        <v>12486</v>
      </c>
      <c r="AE2775">
        <v>18</v>
      </c>
      <c r="AF2775" t="s">
        <v>1259</v>
      </c>
      <c r="AG2775" t="s">
        <v>12487</v>
      </c>
    </row>
    <row r="2776" spans="1:34" x14ac:dyDescent="0.25">
      <c r="A2776">
        <v>1411</v>
      </c>
      <c r="C2776" s="185"/>
      <c r="E2776" t="s">
        <v>386</v>
      </c>
      <c r="F2776" t="s">
        <v>12488</v>
      </c>
      <c r="G2776" t="s">
        <v>1197</v>
      </c>
      <c r="H2776" t="s">
        <v>4679</v>
      </c>
      <c r="I2776">
        <v>17548</v>
      </c>
      <c r="J2776" t="s">
        <v>12488</v>
      </c>
      <c r="K2776" t="s">
        <v>12489</v>
      </c>
      <c r="L2776" t="s">
        <v>386</v>
      </c>
      <c r="M2776" t="s">
        <v>1193</v>
      </c>
      <c r="N2776">
        <v>17548</v>
      </c>
      <c r="O2776">
        <v>76</v>
      </c>
      <c r="Q2776" t="s">
        <v>12490</v>
      </c>
      <c r="R2776" t="s">
        <v>398</v>
      </c>
      <c r="T2776">
        <v>220</v>
      </c>
      <c r="V2776" t="s">
        <v>1194</v>
      </c>
      <c r="W2776" t="s">
        <v>1194</v>
      </c>
      <c r="X2776">
        <v>220</v>
      </c>
      <c r="Z2776" t="s">
        <v>1086</v>
      </c>
      <c r="AA2776" t="s">
        <v>387</v>
      </c>
      <c r="AB2776">
        <v>69000</v>
      </c>
      <c r="AC2776">
        <v>6571</v>
      </c>
      <c r="AD2776" t="s">
        <v>12491</v>
      </c>
      <c r="AE2776">
        <v>18</v>
      </c>
      <c r="AF2776" t="s">
        <v>1259</v>
      </c>
      <c r="AG2776" t="s">
        <v>2044</v>
      </c>
      <c r="AH2776" t="s">
        <v>12492</v>
      </c>
    </row>
    <row r="2777" spans="1:34" x14ac:dyDescent="0.25">
      <c r="A2777">
        <v>1733</v>
      </c>
      <c r="C2777" s="185"/>
      <c r="D2777" t="s">
        <v>157</v>
      </c>
      <c r="E2777" t="s">
        <v>386</v>
      </c>
      <c r="F2777" t="s">
        <v>427</v>
      </c>
      <c r="G2777" t="s">
        <v>1197</v>
      </c>
      <c r="H2777" t="s">
        <v>12493</v>
      </c>
      <c r="I2777">
        <v>6431</v>
      </c>
      <c r="J2777" t="s">
        <v>427</v>
      </c>
      <c r="K2777" t="s">
        <v>12494</v>
      </c>
      <c r="L2777" t="s">
        <v>386</v>
      </c>
      <c r="M2777" t="s">
        <v>1193</v>
      </c>
      <c r="N2777">
        <v>6431</v>
      </c>
      <c r="O2777">
        <v>42</v>
      </c>
      <c r="Q2777" t="s">
        <v>12495</v>
      </c>
      <c r="T2777">
        <v>35</v>
      </c>
      <c r="V2777" t="s">
        <v>2015</v>
      </c>
      <c r="Z2777" t="s">
        <v>12496</v>
      </c>
      <c r="AA2777" t="s">
        <v>387</v>
      </c>
      <c r="AB2777">
        <v>34000</v>
      </c>
      <c r="AC2777">
        <v>3774</v>
      </c>
      <c r="AD2777" t="s">
        <v>12497</v>
      </c>
      <c r="AE2777">
        <v>2233</v>
      </c>
      <c r="AF2777" t="s">
        <v>12498</v>
      </c>
      <c r="AG2777" t="s">
        <v>12499</v>
      </c>
      <c r="AH2777" t="s">
        <v>12500</v>
      </c>
    </row>
    <row r="2778" spans="1:34" x14ac:dyDescent="0.25">
      <c r="A2778">
        <v>1733</v>
      </c>
      <c r="C2778" s="185"/>
      <c r="E2778" t="s">
        <v>386</v>
      </c>
      <c r="F2778" t="s">
        <v>12501</v>
      </c>
      <c r="G2778" t="s">
        <v>1197</v>
      </c>
      <c r="H2778" t="s">
        <v>12502</v>
      </c>
      <c r="I2778">
        <v>17444</v>
      </c>
      <c r="J2778" t="s">
        <v>12501</v>
      </c>
      <c r="K2778" t="s">
        <v>12503</v>
      </c>
      <c r="L2778" t="s">
        <v>386</v>
      </c>
      <c r="M2778" t="s">
        <v>1193</v>
      </c>
      <c r="N2778">
        <v>17444</v>
      </c>
      <c r="O2778">
        <v>0</v>
      </c>
      <c r="Q2778" t="s">
        <v>12504</v>
      </c>
      <c r="T2778">
        <v>496</v>
      </c>
      <c r="V2778" t="s">
        <v>2246</v>
      </c>
      <c r="W2778" t="s">
        <v>2246</v>
      </c>
      <c r="X2778">
        <v>496</v>
      </c>
      <c r="Z2778" t="s">
        <v>12496</v>
      </c>
      <c r="AA2778" t="s">
        <v>387</v>
      </c>
      <c r="AB2778">
        <v>0</v>
      </c>
      <c r="AC2778">
        <v>5610</v>
      </c>
      <c r="AD2778" t="s">
        <v>12505</v>
      </c>
      <c r="AE2778">
        <v>2595</v>
      </c>
      <c r="AF2778" t="s">
        <v>12506</v>
      </c>
      <c r="AG2778" t="s">
        <v>1931</v>
      </c>
      <c r="AH2778" t="s">
        <v>12507</v>
      </c>
    </row>
    <row r="2779" spans="1:34" x14ac:dyDescent="0.25">
      <c r="A2779">
        <v>1411</v>
      </c>
      <c r="B2779" t="s">
        <v>1313</v>
      </c>
      <c r="C2779" s="185"/>
      <c r="D2779" t="s">
        <v>24</v>
      </c>
      <c r="E2779" t="s">
        <v>386</v>
      </c>
      <c r="F2779" t="s">
        <v>244</v>
      </c>
      <c r="G2779" t="s">
        <v>1197</v>
      </c>
      <c r="H2779" t="s">
        <v>4679</v>
      </c>
      <c r="I2779">
        <v>14382</v>
      </c>
      <c r="J2779" t="s">
        <v>244</v>
      </c>
      <c r="K2779" t="s">
        <v>12508</v>
      </c>
      <c r="L2779" t="s">
        <v>386</v>
      </c>
      <c r="M2779" t="s">
        <v>1193</v>
      </c>
      <c r="N2779">
        <v>14382</v>
      </c>
      <c r="O2779">
        <v>76</v>
      </c>
      <c r="Q2779" t="s">
        <v>12509</v>
      </c>
      <c r="R2779" t="s">
        <v>398</v>
      </c>
      <c r="S2779" t="s">
        <v>1909</v>
      </c>
      <c r="T2779">
        <v>220</v>
      </c>
      <c r="U2779">
        <v>0</v>
      </c>
      <c r="V2779" t="s">
        <v>1194</v>
      </c>
      <c r="W2779" t="s">
        <v>1199</v>
      </c>
      <c r="X2779">
        <v>200</v>
      </c>
      <c r="Y2779" t="s">
        <v>1317</v>
      </c>
      <c r="Z2779" t="s">
        <v>1086</v>
      </c>
      <c r="AA2779" t="s">
        <v>387</v>
      </c>
      <c r="AB2779">
        <v>0</v>
      </c>
      <c r="AC2779">
        <v>5462</v>
      </c>
      <c r="AD2779" t="s">
        <v>12510</v>
      </c>
      <c r="AE2779">
        <v>18</v>
      </c>
      <c r="AF2779" t="s">
        <v>1259</v>
      </c>
      <c r="AG2779" t="s">
        <v>2044</v>
      </c>
      <c r="AH2779" t="s">
        <v>12511</v>
      </c>
    </row>
    <row r="2780" spans="1:34" x14ac:dyDescent="0.25">
      <c r="A2780">
        <v>1</v>
      </c>
      <c r="C2780" s="185"/>
      <c r="E2780" t="s">
        <v>386</v>
      </c>
      <c r="F2780" t="s">
        <v>12512</v>
      </c>
      <c r="G2780" t="s">
        <v>1197</v>
      </c>
      <c r="H2780" t="s">
        <v>12513</v>
      </c>
      <c r="I2780">
        <v>11139</v>
      </c>
      <c r="J2780" t="s">
        <v>12512</v>
      </c>
      <c r="K2780" t="s">
        <v>12514</v>
      </c>
      <c r="L2780" t="s">
        <v>386</v>
      </c>
      <c r="M2780" t="s">
        <v>1193</v>
      </c>
      <c r="N2780">
        <v>11139</v>
      </c>
      <c r="O2780">
        <v>0</v>
      </c>
      <c r="Q2780" t="s">
        <v>12515</v>
      </c>
      <c r="R2780" t="s">
        <v>398</v>
      </c>
      <c r="T2780">
        <v>571</v>
      </c>
      <c r="V2780" t="s">
        <v>2003</v>
      </c>
      <c r="W2780" t="s">
        <v>5803</v>
      </c>
      <c r="X2780">
        <v>509</v>
      </c>
      <c r="Z2780" t="s">
        <v>865</v>
      </c>
      <c r="AA2780" t="s">
        <v>387</v>
      </c>
      <c r="AB2780">
        <v>0</v>
      </c>
      <c r="AC2780">
        <v>2495</v>
      </c>
      <c r="AD2780" t="s">
        <v>12516</v>
      </c>
      <c r="AE2780">
        <v>652</v>
      </c>
      <c r="AF2780" t="s">
        <v>2859</v>
      </c>
      <c r="AG2780" t="s">
        <v>2991</v>
      </c>
      <c r="AH2780" t="s">
        <v>12517</v>
      </c>
    </row>
    <row r="2781" spans="1:34" x14ac:dyDescent="0.25">
      <c r="A2781">
        <v>1656</v>
      </c>
      <c r="C2781" s="185"/>
      <c r="D2781" t="s">
        <v>157</v>
      </c>
      <c r="E2781" t="s">
        <v>386</v>
      </c>
      <c r="F2781" t="s">
        <v>534</v>
      </c>
      <c r="G2781" t="s">
        <v>1197</v>
      </c>
      <c r="H2781" t="s">
        <v>4998</v>
      </c>
      <c r="I2781">
        <v>8265</v>
      </c>
      <c r="J2781" t="s">
        <v>534</v>
      </c>
      <c r="K2781" t="s">
        <v>12518</v>
      </c>
      <c r="L2781" t="s">
        <v>386</v>
      </c>
      <c r="M2781" t="s">
        <v>1193</v>
      </c>
      <c r="N2781">
        <v>8265</v>
      </c>
      <c r="O2781">
        <v>25</v>
      </c>
      <c r="Q2781" t="s">
        <v>12519</v>
      </c>
      <c r="R2781" t="s">
        <v>398</v>
      </c>
      <c r="T2781">
        <v>502</v>
      </c>
      <c r="V2781" t="s">
        <v>4156</v>
      </c>
      <c r="W2781" t="s">
        <v>3321</v>
      </c>
      <c r="X2781">
        <v>246</v>
      </c>
      <c r="Z2781" t="s">
        <v>5001</v>
      </c>
      <c r="AA2781" t="s">
        <v>387</v>
      </c>
      <c r="AB2781">
        <v>19000</v>
      </c>
      <c r="AC2781">
        <v>3324</v>
      </c>
      <c r="AD2781" t="s">
        <v>12520</v>
      </c>
      <c r="AE2781">
        <v>3</v>
      </c>
      <c r="AF2781" t="s">
        <v>1235</v>
      </c>
      <c r="AG2781" t="s">
        <v>12521</v>
      </c>
      <c r="AH2781" t="s">
        <v>12522</v>
      </c>
    </row>
    <row r="2782" spans="1:34" x14ac:dyDescent="0.25">
      <c r="A2782">
        <v>2097</v>
      </c>
      <c r="C2782" s="185"/>
      <c r="E2782" t="s">
        <v>386</v>
      </c>
      <c r="F2782" t="s">
        <v>12523</v>
      </c>
      <c r="G2782" t="s">
        <v>1238</v>
      </c>
      <c r="H2782" t="s">
        <v>12524</v>
      </c>
      <c r="I2782">
        <v>15752</v>
      </c>
      <c r="J2782" t="s">
        <v>12523</v>
      </c>
      <c r="K2782" t="s">
        <v>12525</v>
      </c>
      <c r="L2782" t="s">
        <v>386</v>
      </c>
      <c r="M2782" t="s">
        <v>1184</v>
      </c>
      <c r="N2782">
        <v>15752</v>
      </c>
      <c r="O2782">
        <v>0</v>
      </c>
      <c r="Q2782" t="s">
        <v>12526</v>
      </c>
      <c r="T2782">
        <v>260</v>
      </c>
      <c r="V2782" t="s">
        <v>1216</v>
      </c>
      <c r="W2782" t="s">
        <v>1216</v>
      </c>
      <c r="X2782">
        <v>260</v>
      </c>
      <c r="Z2782" t="s">
        <v>4011</v>
      </c>
      <c r="AA2782" t="s">
        <v>387</v>
      </c>
      <c r="AB2782">
        <v>0</v>
      </c>
      <c r="AC2782">
        <v>5936</v>
      </c>
      <c r="AD2782" t="s">
        <v>12527</v>
      </c>
      <c r="AE2782">
        <v>18</v>
      </c>
      <c r="AF2782" t="s">
        <v>1259</v>
      </c>
      <c r="AG2782" t="s">
        <v>1244</v>
      </c>
    </row>
    <row r="2783" spans="1:34" x14ac:dyDescent="0.25">
      <c r="A2783">
        <v>1</v>
      </c>
      <c r="C2783" s="185"/>
      <c r="D2783" t="s">
        <v>24</v>
      </c>
      <c r="E2783" t="s">
        <v>386</v>
      </c>
      <c r="F2783" t="s">
        <v>12528</v>
      </c>
      <c r="G2783" t="s">
        <v>1197</v>
      </c>
      <c r="H2783" t="s">
        <v>5249</v>
      </c>
      <c r="I2783">
        <v>4422</v>
      </c>
      <c r="J2783" t="s">
        <v>12528</v>
      </c>
      <c r="K2783" t="s">
        <v>12529</v>
      </c>
      <c r="L2783" t="s">
        <v>386</v>
      </c>
      <c r="M2783" t="s">
        <v>1193</v>
      </c>
      <c r="N2783">
        <v>4422</v>
      </c>
      <c r="O2783">
        <v>10</v>
      </c>
      <c r="Q2783" t="s">
        <v>12530</v>
      </c>
      <c r="R2783" t="s">
        <v>398</v>
      </c>
      <c r="T2783">
        <v>52</v>
      </c>
      <c r="V2783" t="s">
        <v>2024</v>
      </c>
      <c r="Z2783" t="s">
        <v>865</v>
      </c>
      <c r="AA2783" t="s">
        <v>387</v>
      </c>
      <c r="AB2783">
        <v>6000</v>
      </c>
      <c r="AC2783">
        <v>2321</v>
      </c>
      <c r="AD2783" t="s">
        <v>12531</v>
      </c>
      <c r="AE2783">
        <v>3</v>
      </c>
      <c r="AF2783" t="s">
        <v>1235</v>
      </c>
      <c r="AG2783" t="s">
        <v>1244</v>
      </c>
      <c r="AH2783" t="s">
        <v>12532</v>
      </c>
    </row>
    <row r="2784" spans="1:34" x14ac:dyDescent="0.25">
      <c r="A2784">
        <v>95</v>
      </c>
      <c r="B2784" t="s">
        <v>1313</v>
      </c>
      <c r="C2784" s="185"/>
      <c r="D2784" t="s">
        <v>24</v>
      </c>
      <c r="E2784" t="s">
        <v>386</v>
      </c>
      <c r="F2784" t="s">
        <v>213</v>
      </c>
      <c r="G2784" t="s">
        <v>1197</v>
      </c>
      <c r="H2784" t="s">
        <v>12034</v>
      </c>
      <c r="I2784">
        <v>833</v>
      </c>
      <c r="J2784" t="s">
        <v>213</v>
      </c>
      <c r="K2784" t="s">
        <v>12533</v>
      </c>
      <c r="L2784" t="s">
        <v>386</v>
      </c>
      <c r="M2784" t="s">
        <v>1193</v>
      </c>
      <c r="N2784">
        <v>833</v>
      </c>
      <c r="O2784">
        <v>76</v>
      </c>
      <c r="Q2784" t="s">
        <v>12534</v>
      </c>
      <c r="R2784" t="s">
        <v>398</v>
      </c>
      <c r="S2784" t="s">
        <v>1909</v>
      </c>
      <c r="T2784">
        <v>220</v>
      </c>
      <c r="U2784">
        <v>0</v>
      </c>
      <c r="V2784" t="s">
        <v>1194</v>
      </c>
      <c r="W2784" t="s">
        <v>2144</v>
      </c>
      <c r="X2784">
        <v>39</v>
      </c>
      <c r="Y2784" t="s">
        <v>1317</v>
      </c>
      <c r="Z2784" t="s">
        <v>952</v>
      </c>
      <c r="AA2784" t="s">
        <v>387</v>
      </c>
      <c r="AB2784">
        <v>0</v>
      </c>
      <c r="AC2784">
        <v>229</v>
      </c>
      <c r="AD2784" t="s">
        <v>12037</v>
      </c>
      <c r="AE2784">
        <v>138</v>
      </c>
      <c r="AF2784" t="s">
        <v>2509</v>
      </c>
      <c r="AG2784" t="s">
        <v>12535</v>
      </c>
      <c r="AH2784" t="s">
        <v>12536</v>
      </c>
    </row>
    <row r="2785" spans="1:34" x14ac:dyDescent="0.25">
      <c r="A2785">
        <v>1</v>
      </c>
      <c r="C2785" s="185"/>
      <c r="D2785" t="s">
        <v>24</v>
      </c>
      <c r="E2785" t="s">
        <v>386</v>
      </c>
      <c r="F2785" t="s">
        <v>12537</v>
      </c>
      <c r="G2785" t="s">
        <v>1197</v>
      </c>
      <c r="H2785" t="s">
        <v>5249</v>
      </c>
      <c r="I2785">
        <v>11451</v>
      </c>
      <c r="J2785" t="s">
        <v>12537</v>
      </c>
      <c r="K2785" t="s">
        <v>12538</v>
      </c>
      <c r="L2785" t="s">
        <v>386</v>
      </c>
      <c r="M2785" t="s">
        <v>1193</v>
      </c>
      <c r="N2785">
        <v>11451</v>
      </c>
      <c r="O2785">
        <v>35</v>
      </c>
      <c r="Q2785" t="s">
        <v>12539</v>
      </c>
      <c r="R2785" t="s">
        <v>398</v>
      </c>
      <c r="T2785">
        <v>280</v>
      </c>
      <c r="V2785" t="s">
        <v>3202</v>
      </c>
      <c r="Z2785" t="s">
        <v>865</v>
      </c>
      <c r="AA2785" t="s">
        <v>387</v>
      </c>
      <c r="AB2785">
        <v>27000</v>
      </c>
      <c r="AC2785">
        <v>4367</v>
      </c>
      <c r="AD2785" t="s">
        <v>12540</v>
      </c>
      <c r="AE2785">
        <v>3</v>
      </c>
      <c r="AF2785" t="s">
        <v>1235</v>
      </c>
      <c r="AG2785" t="s">
        <v>1244</v>
      </c>
      <c r="AH2785" t="s">
        <v>12541</v>
      </c>
    </row>
    <row r="2786" spans="1:34" x14ac:dyDescent="0.25">
      <c r="A2786">
        <v>1506</v>
      </c>
      <c r="C2786" s="185"/>
      <c r="D2786" t="s">
        <v>157</v>
      </c>
      <c r="E2786" t="s">
        <v>386</v>
      </c>
      <c r="F2786" t="s">
        <v>365</v>
      </c>
      <c r="G2786" t="s">
        <v>1197</v>
      </c>
      <c r="H2786" t="s">
        <v>5881</v>
      </c>
      <c r="I2786">
        <v>16387</v>
      </c>
      <c r="J2786" t="s">
        <v>634</v>
      </c>
      <c r="K2786" t="s">
        <v>7375</v>
      </c>
      <c r="L2786" t="s">
        <v>386</v>
      </c>
      <c r="M2786" t="s">
        <v>1193</v>
      </c>
      <c r="N2786">
        <v>15356</v>
      </c>
      <c r="O2786">
        <v>25</v>
      </c>
      <c r="Q2786" t="s">
        <v>12542</v>
      </c>
      <c r="T2786">
        <v>246</v>
      </c>
      <c r="V2786" t="s">
        <v>3321</v>
      </c>
      <c r="W2786" t="s">
        <v>3321</v>
      </c>
      <c r="X2786">
        <v>246</v>
      </c>
      <c r="Z2786" t="s">
        <v>5884</v>
      </c>
      <c r="AA2786" t="s">
        <v>387</v>
      </c>
      <c r="AB2786">
        <v>19000</v>
      </c>
      <c r="AC2786">
        <v>3422</v>
      </c>
      <c r="AD2786" t="s">
        <v>5885</v>
      </c>
      <c r="AE2786">
        <v>2814</v>
      </c>
      <c r="AF2786" t="s">
        <v>12543</v>
      </c>
      <c r="AG2786" t="s">
        <v>4905</v>
      </c>
      <c r="AH2786" t="s">
        <v>12544</v>
      </c>
    </row>
    <row r="2787" spans="1:34" x14ac:dyDescent="0.25">
      <c r="A2787">
        <v>95</v>
      </c>
      <c r="C2787" s="185"/>
      <c r="D2787" t="s">
        <v>157</v>
      </c>
      <c r="E2787" t="s">
        <v>386</v>
      </c>
      <c r="F2787" t="s">
        <v>365</v>
      </c>
      <c r="G2787" t="s">
        <v>1197</v>
      </c>
      <c r="H2787" t="s">
        <v>12545</v>
      </c>
      <c r="I2787">
        <v>6314</v>
      </c>
      <c r="J2787" t="s">
        <v>12546</v>
      </c>
      <c r="K2787" t="s">
        <v>7375</v>
      </c>
      <c r="L2787" t="s">
        <v>386</v>
      </c>
      <c r="M2787" t="s">
        <v>1193</v>
      </c>
      <c r="N2787">
        <v>15356</v>
      </c>
      <c r="O2787">
        <v>25</v>
      </c>
      <c r="Q2787" t="s">
        <v>12547</v>
      </c>
      <c r="R2787" t="s">
        <v>398</v>
      </c>
      <c r="T2787">
        <v>246</v>
      </c>
      <c r="V2787" t="s">
        <v>3321</v>
      </c>
      <c r="W2787" t="s">
        <v>1194</v>
      </c>
      <c r="X2787">
        <v>220</v>
      </c>
      <c r="Z2787" t="s">
        <v>952</v>
      </c>
      <c r="AA2787" t="s">
        <v>387</v>
      </c>
      <c r="AB2787">
        <v>19000</v>
      </c>
      <c r="AC2787">
        <v>2055</v>
      </c>
      <c r="AD2787" t="s">
        <v>4786</v>
      </c>
      <c r="AE2787">
        <v>618</v>
      </c>
      <c r="AF2787" t="s">
        <v>12548</v>
      </c>
      <c r="AG2787" t="s">
        <v>12549</v>
      </c>
      <c r="AH2787" t="s">
        <v>7379</v>
      </c>
    </row>
    <row r="2788" spans="1:34" x14ac:dyDescent="0.25">
      <c r="A2788">
        <v>1662</v>
      </c>
      <c r="C2788" s="185"/>
      <c r="D2788" t="s">
        <v>157</v>
      </c>
      <c r="E2788" t="s">
        <v>386</v>
      </c>
      <c r="F2788" t="s">
        <v>365</v>
      </c>
      <c r="G2788" t="s">
        <v>1197</v>
      </c>
      <c r="H2788" t="s">
        <v>12550</v>
      </c>
      <c r="I2788">
        <v>15858</v>
      </c>
      <c r="J2788" t="s">
        <v>985</v>
      </c>
      <c r="K2788" t="s">
        <v>7375</v>
      </c>
      <c r="L2788" t="s">
        <v>386</v>
      </c>
      <c r="M2788" t="s">
        <v>1193</v>
      </c>
      <c r="N2788">
        <v>15356</v>
      </c>
      <c r="O2788">
        <v>25</v>
      </c>
      <c r="Q2788" t="s">
        <v>12551</v>
      </c>
      <c r="R2788" t="s">
        <v>398</v>
      </c>
      <c r="T2788">
        <v>220</v>
      </c>
      <c r="V2788" t="s">
        <v>1194</v>
      </c>
      <c r="W2788" t="s">
        <v>3321</v>
      </c>
      <c r="X2788">
        <v>246</v>
      </c>
      <c r="Z2788" t="s">
        <v>987</v>
      </c>
      <c r="AA2788" t="s">
        <v>387</v>
      </c>
      <c r="AB2788">
        <v>19000</v>
      </c>
      <c r="AC2788">
        <v>5979</v>
      </c>
      <c r="AD2788" t="s">
        <v>12552</v>
      </c>
      <c r="AE2788">
        <v>1</v>
      </c>
      <c r="AF2788" t="s">
        <v>1922</v>
      </c>
      <c r="AG2788" t="s">
        <v>10347</v>
      </c>
      <c r="AH2788" t="s">
        <v>12553</v>
      </c>
    </row>
    <row r="2789" spans="1:34" x14ac:dyDescent="0.25">
      <c r="A2789">
        <v>676</v>
      </c>
      <c r="C2789" s="185"/>
      <c r="D2789" t="s">
        <v>157</v>
      </c>
      <c r="E2789" t="s">
        <v>386</v>
      </c>
      <c r="F2789" t="s">
        <v>365</v>
      </c>
      <c r="G2789" t="s">
        <v>1197</v>
      </c>
      <c r="H2789" t="s">
        <v>6972</v>
      </c>
      <c r="I2789">
        <v>14298</v>
      </c>
      <c r="J2789" t="s">
        <v>280</v>
      </c>
      <c r="K2789" t="s">
        <v>7375</v>
      </c>
      <c r="L2789" t="s">
        <v>386</v>
      </c>
      <c r="M2789" t="s">
        <v>1193</v>
      </c>
      <c r="N2789">
        <v>15356</v>
      </c>
      <c r="O2789">
        <v>25</v>
      </c>
      <c r="Q2789" t="s">
        <v>12554</v>
      </c>
      <c r="R2789" t="s">
        <v>398</v>
      </c>
      <c r="T2789">
        <v>260</v>
      </c>
      <c r="V2789" t="s">
        <v>1216</v>
      </c>
      <c r="W2789" t="s">
        <v>2073</v>
      </c>
      <c r="X2789">
        <v>372</v>
      </c>
      <c r="Z2789" t="s">
        <v>6975</v>
      </c>
      <c r="AA2789" t="s">
        <v>387</v>
      </c>
      <c r="AB2789">
        <v>19000</v>
      </c>
      <c r="AC2789">
        <v>5421</v>
      </c>
      <c r="AD2789" t="s">
        <v>12555</v>
      </c>
      <c r="AE2789">
        <v>2514</v>
      </c>
      <c r="AF2789" t="s">
        <v>12556</v>
      </c>
      <c r="AG2789" t="s">
        <v>3658</v>
      </c>
      <c r="AH2789" t="s">
        <v>12557</v>
      </c>
    </row>
    <row r="2790" spans="1:34" x14ac:dyDescent="0.25">
      <c r="A2790">
        <v>1279</v>
      </c>
      <c r="B2790" t="s">
        <v>1313</v>
      </c>
      <c r="C2790" s="185"/>
      <c r="D2790" t="s">
        <v>24</v>
      </c>
      <c r="E2790" t="s">
        <v>386</v>
      </c>
      <c r="F2790" t="s">
        <v>345</v>
      </c>
      <c r="G2790" t="s">
        <v>1197</v>
      </c>
      <c r="H2790" t="s">
        <v>5055</v>
      </c>
      <c r="I2790">
        <v>1341</v>
      </c>
      <c r="J2790" t="s">
        <v>345</v>
      </c>
      <c r="K2790" t="s">
        <v>12558</v>
      </c>
      <c r="L2790" t="s">
        <v>386</v>
      </c>
      <c r="M2790" t="s">
        <v>1193</v>
      </c>
      <c r="N2790">
        <v>1341</v>
      </c>
      <c r="O2790">
        <v>76</v>
      </c>
      <c r="Q2790" t="s">
        <v>12559</v>
      </c>
      <c r="R2790" t="s">
        <v>398</v>
      </c>
      <c r="S2790" t="s">
        <v>1909</v>
      </c>
      <c r="T2790">
        <v>220</v>
      </c>
      <c r="U2790">
        <v>0</v>
      </c>
      <c r="V2790" t="s">
        <v>1194</v>
      </c>
      <c r="W2790" t="s">
        <v>1194</v>
      </c>
      <c r="X2790">
        <v>220</v>
      </c>
      <c r="Y2790" t="s">
        <v>1317</v>
      </c>
      <c r="Z2790" t="s">
        <v>5058</v>
      </c>
      <c r="AA2790" t="s">
        <v>387</v>
      </c>
      <c r="AB2790">
        <v>69000</v>
      </c>
      <c r="AC2790">
        <v>1050</v>
      </c>
      <c r="AD2790" t="s">
        <v>12560</v>
      </c>
      <c r="AE2790">
        <v>3</v>
      </c>
      <c r="AF2790" t="s">
        <v>1235</v>
      </c>
      <c r="AG2790" t="s">
        <v>1244</v>
      </c>
    </row>
    <row r="2791" spans="1:34" x14ac:dyDescent="0.25">
      <c r="A2791">
        <v>53</v>
      </c>
      <c r="C2791" s="185"/>
      <c r="D2791" t="s">
        <v>157</v>
      </c>
      <c r="E2791" t="s">
        <v>386</v>
      </c>
      <c r="F2791" t="s">
        <v>365</v>
      </c>
      <c r="G2791" t="s">
        <v>1197</v>
      </c>
      <c r="H2791" t="s">
        <v>5374</v>
      </c>
      <c r="I2791">
        <v>8160</v>
      </c>
      <c r="J2791" t="s">
        <v>167</v>
      </c>
      <c r="K2791" t="s">
        <v>7375</v>
      </c>
      <c r="L2791" t="s">
        <v>386</v>
      </c>
      <c r="M2791" t="s">
        <v>1193</v>
      </c>
      <c r="N2791">
        <v>15356</v>
      </c>
      <c r="O2791">
        <v>25</v>
      </c>
      <c r="Q2791" t="s">
        <v>12561</v>
      </c>
      <c r="R2791" t="s">
        <v>398</v>
      </c>
      <c r="T2791">
        <v>220</v>
      </c>
      <c r="V2791" t="s">
        <v>1194</v>
      </c>
      <c r="W2791" t="s">
        <v>3321</v>
      </c>
      <c r="X2791">
        <v>246</v>
      </c>
      <c r="Z2791" t="s">
        <v>943</v>
      </c>
      <c r="AA2791" t="s">
        <v>387</v>
      </c>
      <c r="AB2791">
        <v>19000</v>
      </c>
      <c r="AC2791">
        <v>3155</v>
      </c>
      <c r="AD2791" t="s">
        <v>12562</v>
      </c>
      <c r="AE2791">
        <v>480</v>
      </c>
      <c r="AF2791" t="s">
        <v>2942</v>
      </c>
      <c r="AG2791" t="s">
        <v>4336</v>
      </c>
      <c r="AH2791" t="s">
        <v>12563</v>
      </c>
    </row>
    <row r="2792" spans="1:34" x14ac:dyDescent="0.25">
      <c r="A2792">
        <v>45</v>
      </c>
      <c r="C2792" s="185"/>
      <c r="E2792" t="s">
        <v>386</v>
      </c>
      <c r="F2792" t="s">
        <v>12564</v>
      </c>
      <c r="G2792" t="s">
        <v>1197</v>
      </c>
      <c r="H2792" t="s">
        <v>12565</v>
      </c>
      <c r="I2792">
        <v>16204</v>
      </c>
      <c r="J2792" t="s">
        <v>12564</v>
      </c>
      <c r="K2792" t="s">
        <v>12566</v>
      </c>
      <c r="L2792" t="s">
        <v>386</v>
      </c>
      <c r="M2792" t="s">
        <v>1193</v>
      </c>
      <c r="N2792">
        <v>16204</v>
      </c>
      <c r="O2792">
        <v>0</v>
      </c>
      <c r="Q2792" t="s">
        <v>12567</v>
      </c>
      <c r="T2792">
        <v>260</v>
      </c>
      <c r="V2792" t="s">
        <v>1216</v>
      </c>
      <c r="W2792" t="s">
        <v>1216</v>
      </c>
      <c r="X2792">
        <v>260</v>
      </c>
      <c r="Z2792" t="s">
        <v>12568</v>
      </c>
      <c r="AA2792" t="s">
        <v>387</v>
      </c>
      <c r="AB2792">
        <v>0</v>
      </c>
      <c r="AC2792">
        <v>6091</v>
      </c>
      <c r="AD2792" t="s">
        <v>12569</v>
      </c>
      <c r="AE2792">
        <v>1862</v>
      </c>
      <c r="AF2792" t="s">
        <v>12570</v>
      </c>
      <c r="AG2792" t="s">
        <v>5650</v>
      </c>
      <c r="AH2792" t="s">
        <v>12571</v>
      </c>
    </row>
    <row r="2793" spans="1:34" x14ac:dyDescent="0.25">
      <c r="A2793">
        <v>45</v>
      </c>
      <c r="C2793" s="185"/>
      <c r="E2793" t="s">
        <v>386</v>
      </c>
      <c r="F2793" t="s">
        <v>12572</v>
      </c>
      <c r="G2793" t="s">
        <v>1197</v>
      </c>
      <c r="H2793" t="s">
        <v>12573</v>
      </c>
      <c r="I2793">
        <v>179</v>
      </c>
      <c r="J2793" t="s">
        <v>12572</v>
      </c>
      <c r="K2793" t="s">
        <v>12574</v>
      </c>
      <c r="L2793" t="s">
        <v>386</v>
      </c>
      <c r="M2793" t="s">
        <v>1193</v>
      </c>
      <c r="N2793">
        <v>179</v>
      </c>
      <c r="O2793">
        <v>0</v>
      </c>
      <c r="Q2793" t="s">
        <v>12575</v>
      </c>
      <c r="T2793">
        <v>2</v>
      </c>
      <c r="V2793" t="s">
        <v>1205</v>
      </c>
      <c r="Z2793" t="s">
        <v>12568</v>
      </c>
      <c r="AA2793" t="s">
        <v>387</v>
      </c>
      <c r="AB2793">
        <v>0</v>
      </c>
      <c r="AC2793">
        <v>149</v>
      </c>
      <c r="AD2793" t="s">
        <v>12576</v>
      </c>
      <c r="AE2793">
        <v>83</v>
      </c>
      <c r="AF2793" t="s">
        <v>12577</v>
      </c>
      <c r="AG2793" t="s">
        <v>10685</v>
      </c>
      <c r="AH2793" t="s">
        <v>12578</v>
      </c>
    </row>
    <row r="2794" spans="1:34" x14ac:dyDescent="0.25">
      <c r="A2794">
        <v>2023</v>
      </c>
      <c r="C2794" s="185"/>
      <c r="E2794" t="s">
        <v>386</v>
      </c>
      <c r="F2794" t="s">
        <v>12579</v>
      </c>
      <c r="G2794" t="s">
        <v>1197</v>
      </c>
      <c r="H2794" t="s">
        <v>12580</v>
      </c>
      <c r="I2794">
        <v>12837</v>
      </c>
      <c r="J2794" t="s">
        <v>12579</v>
      </c>
      <c r="K2794" t="s">
        <v>12581</v>
      </c>
      <c r="L2794" t="s">
        <v>386</v>
      </c>
      <c r="M2794" t="s">
        <v>1193</v>
      </c>
      <c r="N2794">
        <v>12837</v>
      </c>
      <c r="O2794">
        <v>0</v>
      </c>
      <c r="Q2794" t="s">
        <v>12582</v>
      </c>
      <c r="R2794" t="s">
        <v>398</v>
      </c>
      <c r="T2794">
        <v>372</v>
      </c>
      <c r="V2794" t="s">
        <v>2073</v>
      </c>
      <c r="Z2794" t="s">
        <v>5014</v>
      </c>
      <c r="AA2794" t="s">
        <v>387</v>
      </c>
      <c r="AB2794">
        <v>0</v>
      </c>
      <c r="AC2794">
        <v>2100</v>
      </c>
      <c r="AD2794" t="s">
        <v>12583</v>
      </c>
      <c r="AE2794">
        <v>906</v>
      </c>
      <c r="AF2794" t="s">
        <v>8554</v>
      </c>
      <c r="AG2794" t="s">
        <v>1244</v>
      </c>
      <c r="AH2794" t="s">
        <v>12584</v>
      </c>
    </row>
    <row r="2795" spans="1:34" x14ac:dyDescent="0.25">
      <c r="A2795">
        <v>2023</v>
      </c>
      <c r="C2795" s="185"/>
      <c r="E2795" t="s">
        <v>386</v>
      </c>
      <c r="F2795" t="s">
        <v>8871</v>
      </c>
      <c r="G2795" t="s">
        <v>1197</v>
      </c>
      <c r="H2795" t="s">
        <v>12585</v>
      </c>
      <c r="I2795">
        <v>12813</v>
      </c>
      <c r="J2795" t="s">
        <v>8871</v>
      </c>
      <c r="K2795" t="s">
        <v>12586</v>
      </c>
      <c r="L2795" t="s">
        <v>386</v>
      </c>
      <c r="M2795" t="s">
        <v>1193</v>
      </c>
      <c r="N2795">
        <v>12813</v>
      </c>
      <c r="O2795">
        <v>0</v>
      </c>
      <c r="Q2795" t="s">
        <v>12587</v>
      </c>
      <c r="R2795" t="s">
        <v>398</v>
      </c>
      <c r="T2795">
        <v>304</v>
      </c>
      <c r="V2795" t="s">
        <v>2067</v>
      </c>
      <c r="Z2795" t="s">
        <v>5014</v>
      </c>
      <c r="AA2795" t="s">
        <v>387</v>
      </c>
      <c r="AB2795">
        <v>0</v>
      </c>
      <c r="AC2795">
        <v>4608</v>
      </c>
      <c r="AD2795" t="s">
        <v>3725</v>
      </c>
      <c r="AE2795">
        <v>270</v>
      </c>
      <c r="AF2795" t="s">
        <v>1030</v>
      </c>
      <c r="AG2795" t="s">
        <v>2044</v>
      </c>
      <c r="AH2795" t="s">
        <v>12584</v>
      </c>
    </row>
    <row r="2796" spans="1:34" x14ac:dyDescent="0.25">
      <c r="A2796">
        <v>676</v>
      </c>
      <c r="C2796" s="185"/>
      <c r="E2796" t="s">
        <v>386</v>
      </c>
      <c r="F2796" t="s">
        <v>12588</v>
      </c>
      <c r="G2796" t="s">
        <v>1238</v>
      </c>
      <c r="H2796" t="s">
        <v>6972</v>
      </c>
      <c r="I2796">
        <v>15104</v>
      </c>
      <c r="J2796" t="s">
        <v>12588</v>
      </c>
      <c r="K2796" t="s">
        <v>12589</v>
      </c>
      <c r="L2796" t="s">
        <v>386</v>
      </c>
      <c r="M2796" t="s">
        <v>1184</v>
      </c>
      <c r="N2796">
        <v>15104</v>
      </c>
      <c r="O2796">
        <v>0</v>
      </c>
      <c r="Q2796" t="s">
        <v>12590</v>
      </c>
      <c r="T2796">
        <v>260</v>
      </c>
      <c r="V2796" t="s">
        <v>1216</v>
      </c>
      <c r="W2796" t="s">
        <v>1216</v>
      </c>
      <c r="X2796">
        <v>260</v>
      </c>
      <c r="Z2796" t="s">
        <v>6975</v>
      </c>
      <c r="AA2796" t="s">
        <v>387</v>
      </c>
      <c r="AB2796">
        <v>0</v>
      </c>
      <c r="AC2796">
        <v>5734</v>
      </c>
      <c r="AD2796" t="s">
        <v>12591</v>
      </c>
      <c r="AE2796">
        <v>18</v>
      </c>
      <c r="AF2796" t="s">
        <v>1259</v>
      </c>
      <c r="AG2796" t="s">
        <v>1244</v>
      </c>
    </row>
    <row r="2797" spans="1:34" x14ac:dyDescent="0.25">
      <c r="A2797">
        <v>1828</v>
      </c>
      <c r="C2797" s="185"/>
      <c r="E2797" t="s">
        <v>386</v>
      </c>
      <c r="F2797" t="s">
        <v>12592</v>
      </c>
      <c r="G2797" t="s">
        <v>1238</v>
      </c>
      <c r="H2797" t="s">
        <v>11953</v>
      </c>
      <c r="I2797">
        <v>15814</v>
      </c>
      <c r="J2797" t="s">
        <v>12592</v>
      </c>
      <c r="K2797" t="s">
        <v>12593</v>
      </c>
      <c r="L2797" t="s">
        <v>386</v>
      </c>
      <c r="M2797" t="s">
        <v>1184</v>
      </c>
      <c r="N2797">
        <v>15814</v>
      </c>
      <c r="O2797">
        <v>0</v>
      </c>
      <c r="Q2797" t="s">
        <v>12594</v>
      </c>
      <c r="T2797">
        <v>426</v>
      </c>
      <c r="V2797" t="s">
        <v>1257</v>
      </c>
      <c r="W2797" t="s">
        <v>1257</v>
      </c>
      <c r="X2797">
        <v>426</v>
      </c>
      <c r="Z2797" t="s">
        <v>11955</v>
      </c>
      <c r="AA2797" t="s">
        <v>387</v>
      </c>
      <c r="AB2797">
        <v>0</v>
      </c>
      <c r="AC2797">
        <v>5953</v>
      </c>
      <c r="AD2797" t="s">
        <v>12592</v>
      </c>
      <c r="AE2797">
        <v>0</v>
      </c>
      <c r="AF2797" t="s">
        <v>1188</v>
      </c>
    </row>
    <row r="2798" spans="1:34" x14ac:dyDescent="0.25">
      <c r="A2798">
        <v>566</v>
      </c>
      <c r="C2798" s="185"/>
      <c r="E2798" t="s">
        <v>386</v>
      </c>
      <c r="F2798" t="s">
        <v>12595</v>
      </c>
      <c r="G2798" t="s">
        <v>1197</v>
      </c>
      <c r="H2798" t="s">
        <v>12596</v>
      </c>
      <c r="I2798">
        <v>16604</v>
      </c>
      <c r="J2798" t="s">
        <v>12595</v>
      </c>
      <c r="K2798" t="s">
        <v>12597</v>
      </c>
      <c r="L2798" t="s">
        <v>386</v>
      </c>
      <c r="M2798" t="s">
        <v>1193</v>
      </c>
      <c r="N2798">
        <v>16604</v>
      </c>
      <c r="O2798">
        <v>0</v>
      </c>
      <c r="Q2798" t="s">
        <v>12598</v>
      </c>
      <c r="T2798">
        <v>52</v>
      </c>
      <c r="V2798" t="s">
        <v>2024</v>
      </c>
      <c r="W2798" t="s">
        <v>1964</v>
      </c>
      <c r="X2798">
        <v>473</v>
      </c>
      <c r="Z2798" t="s">
        <v>5914</v>
      </c>
      <c r="AA2798" t="s">
        <v>387</v>
      </c>
      <c r="AB2798">
        <v>0</v>
      </c>
      <c r="AC2798">
        <v>6204</v>
      </c>
      <c r="AD2798" t="s">
        <v>12599</v>
      </c>
      <c r="AE2798">
        <v>2845</v>
      </c>
      <c r="AF2798" t="s">
        <v>12600</v>
      </c>
      <c r="AG2798" t="s">
        <v>8539</v>
      </c>
      <c r="AH2798" t="s">
        <v>12601</v>
      </c>
    </row>
    <row r="2799" spans="1:34" x14ac:dyDescent="0.25">
      <c r="A2799">
        <v>23</v>
      </c>
      <c r="B2799" t="s">
        <v>1313</v>
      </c>
      <c r="C2799" s="185"/>
      <c r="D2799" t="s">
        <v>24</v>
      </c>
      <c r="E2799" t="s">
        <v>386</v>
      </c>
      <c r="F2799" t="s">
        <v>448</v>
      </c>
      <c r="G2799" t="s">
        <v>1197</v>
      </c>
      <c r="H2799" t="s">
        <v>12602</v>
      </c>
      <c r="I2799">
        <v>80</v>
      </c>
      <c r="J2799" t="s">
        <v>148</v>
      </c>
      <c r="K2799" t="s">
        <v>7402</v>
      </c>
      <c r="L2799" t="s">
        <v>386</v>
      </c>
      <c r="M2799" t="s">
        <v>1193</v>
      </c>
      <c r="N2799">
        <v>15328</v>
      </c>
      <c r="O2799">
        <v>55</v>
      </c>
      <c r="Q2799" t="s">
        <v>12603</v>
      </c>
      <c r="R2799" t="s">
        <v>398</v>
      </c>
      <c r="S2799" t="s">
        <v>7404</v>
      </c>
      <c r="T2799">
        <v>272</v>
      </c>
      <c r="U2799">
        <v>0</v>
      </c>
      <c r="V2799" t="s">
        <v>2107</v>
      </c>
      <c r="W2799" t="s">
        <v>1194</v>
      </c>
      <c r="X2799">
        <v>220</v>
      </c>
      <c r="Y2799" t="s">
        <v>1317</v>
      </c>
      <c r="Z2799" t="s">
        <v>12604</v>
      </c>
      <c r="AA2799" t="s">
        <v>387</v>
      </c>
      <c r="AB2799">
        <v>47000</v>
      </c>
      <c r="AC2799">
        <v>56</v>
      </c>
      <c r="AD2799" t="s">
        <v>12605</v>
      </c>
      <c r="AE2799">
        <v>3</v>
      </c>
      <c r="AF2799" t="s">
        <v>1235</v>
      </c>
      <c r="AG2799" t="s">
        <v>1931</v>
      </c>
      <c r="AH2799" t="s">
        <v>12606</v>
      </c>
    </row>
    <row r="2800" spans="1:34" x14ac:dyDescent="0.25">
      <c r="A2800">
        <v>6</v>
      </c>
      <c r="C2800" s="185"/>
      <c r="D2800" t="s">
        <v>24</v>
      </c>
      <c r="E2800" t="s">
        <v>386</v>
      </c>
      <c r="F2800" t="s">
        <v>140</v>
      </c>
      <c r="G2800" t="s">
        <v>1238</v>
      </c>
      <c r="H2800" t="s">
        <v>12607</v>
      </c>
      <c r="I2800">
        <v>6406</v>
      </c>
      <c r="J2800" t="s">
        <v>140</v>
      </c>
      <c r="K2800" t="s">
        <v>140</v>
      </c>
      <c r="L2800" t="s">
        <v>386</v>
      </c>
      <c r="M2800" t="s">
        <v>1184</v>
      </c>
      <c r="N2800">
        <v>6406</v>
      </c>
      <c r="O2800">
        <v>29</v>
      </c>
      <c r="Q2800" t="s">
        <v>12608</v>
      </c>
      <c r="R2800" t="s">
        <v>398</v>
      </c>
      <c r="T2800">
        <v>571</v>
      </c>
      <c r="V2800" t="s">
        <v>2003</v>
      </c>
      <c r="W2800" t="s">
        <v>2144</v>
      </c>
      <c r="X2800">
        <v>39</v>
      </c>
      <c r="Z2800" t="s">
        <v>892</v>
      </c>
      <c r="AA2800" t="s">
        <v>387</v>
      </c>
      <c r="AB2800">
        <v>21000</v>
      </c>
      <c r="AC2800">
        <v>2898</v>
      </c>
      <c r="AD2800" t="s">
        <v>12609</v>
      </c>
      <c r="AE2800">
        <v>1374</v>
      </c>
      <c r="AF2800" t="s">
        <v>12610</v>
      </c>
      <c r="AG2800" t="s">
        <v>3490</v>
      </c>
      <c r="AH2800" t="s">
        <v>12611</v>
      </c>
    </row>
    <row r="2801" spans="1:34" x14ac:dyDescent="0.25">
      <c r="A2801">
        <v>1</v>
      </c>
      <c r="C2801" s="185"/>
      <c r="E2801" t="s">
        <v>386</v>
      </c>
      <c r="F2801" t="s">
        <v>12612</v>
      </c>
      <c r="G2801" t="s">
        <v>1197</v>
      </c>
      <c r="H2801" t="s">
        <v>6081</v>
      </c>
      <c r="I2801">
        <v>16774</v>
      </c>
      <c r="J2801" t="s">
        <v>12612</v>
      </c>
      <c r="K2801" t="s">
        <v>12613</v>
      </c>
      <c r="L2801" t="s">
        <v>386</v>
      </c>
      <c r="M2801" t="s">
        <v>1193</v>
      </c>
      <c r="N2801">
        <v>16774</v>
      </c>
      <c r="O2801">
        <v>0</v>
      </c>
      <c r="Q2801" t="s">
        <v>12614</v>
      </c>
      <c r="T2801">
        <v>52</v>
      </c>
      <c r="V2801" t="s">
        <v>2024</v>
      </c>
      <c r="W2801" t="s">
        <v>1964</v>
      </c>
      <c r="X2801">
        <v>473</v>
      </c>
      <c r="Z2801" t="s">
        <v>865</v>
      </c>
      <c r="AA2801" t="s">
        <v>387</v>
      </c>
      <c r="AB2801">
        <v>0</v>
      </c>
      <c r="AC2801">
        <v>40</v>
      </c>
      <c r="AD2801" t="s">
        <v>3067</v>
      </c>
      <c r="AE2801">
        <v>26</v>
      </c>
      <c r="AF2801" t="s">
        <v>2075</v>
      </c>
      <c r="AG2801" t="s">
        <v>12615</v>
      </c>
      <c r="AH2801" t="s">
        <v>12616</v>
      </c>
    </row>
    <row r="2802" spans="1:34" x14ac:dyDescent="0.25">
      <c r="A2802">
        <v>6</v>
      </c>
      <c r="C2802" s="185"/>
      <c r="D2802" t="s">
        <v>157</v>
      </c>
      <c r="E2802" t="s">
        <v>386</v>
      </c>
      <c r="F2802" t="s">
        <v>12617</v>
      </c>
      <c r="G2802" t="s">
        <v>1238</v>
      </c>
      <c r="H2802" t="s">
        <v>4685</v>
      </c>
      <c r="I2802">
        <v>16439</v>
      </c>
      <c r="J2802" t="s">
        <v>12617</v>
      </c>
      <c r="K2802" t="s">
        <v>12617</v>
      </c>
      <c r="L2802" t="s">
        <v>386</v>
      </c>
      <c r="M2802" t="s">
        <v>1184</v>
      </c>
      <c r="N2802">
        <v>16439</v>
      </c>
      <c r="O2802">
        <v>25</v>
      </c>
      <c r="Q2802" t="s">
        <v>12618</v>
      </c>
      <c r="R2802" t="s">
        <v>398</v>
      </c>
      <c r="T2802">
        <v>571</v>
      </c>
      <c r="V2802" t="s">
        <v>2003</v>
      </c>
      <c r="W2802" t="s">
        <v>1194</v>
      </c>
      <c r="X2802">
        <v>220</v>
      </c>
      <c r="Z2802" t="s">
        <v>892</v>
      </c>
      <c r="AA2802" t="s">
        <v>387</v>
      </c>
      <c r="AB2802">
        <v>19000</v>
      </c>
      <c r="AC2802">
        <v>6147</v>
      </c>
      <c r="AD2802" t="s">
        <v>12619</v>
      </c>
      <c r="AE2802">
        <v>2821</v>
      </c>
      <c r="AF2802" t="s">
        <v>12620</v>
      </c>
      <c r="AG2802" t="s">
        <v>12621</v>
      </c>
      <c r="AH2802" t="s">
        <v>12622</v>
      </c>
    </row>
    <row r="2803" spans="1:34" x14ac:dyDescent="0.25">
      <c r="A2803">
        <v>2202</v>
      </c>
      <c r="C2803" s="185"/>
      <c r="D2803" t="s">
        <v>157</v>
      </c>
      <c r="E2803" t="s">
        <v>386</v>
      </c>
      <c r="F2803" t="s">
        <v>12623</v>
      </c>
      <c r="G2803" t="s">
        <v>1197</v>
      </c>
      <c r="H2803" t="s">
        <v>12624</v>
      </c>
      <c r="I2803">
        <v>16997</v>
      </c>
      <c r="J2803" t="s">
        <v>12623</v>
      </c>
      <c r="K2803" t="s">
        <v>12625</v>
      </c>
      <c r="L2803" t="s">
        <v>386</v>
      </c>
      <c r="M2803" t="s">
        <v>1193</v>
      </c>
      <c r="N2803">
        <v>16997</v>
      </c>
      <c r="O2803">
        <v>0</v>
      </c>
      <c r="Q2803" t="s">
        <v>12626</v>
      </c>
      <c r="R2803" t="s">
        <v>398</v>
      </c>
      <c r="T2803">
        <v>200</v>
      </c>
      <c r="V2803" t="s">
        <v>1199</v>
      </c>
      <c r="W2803" t="s">
        <v>1199</v>
      </c>
      <c r="X2803">
        <v>200</v>
      </c>
      <c r="Z2803" t="s">
        <v>12627</v>
      </c>
      <c r="AA2803" t="s">
        <v>387</v>
      </c>
      <c r="AB2803">
        <v>0</v>
      </c>
      <c r="AC2803">
        <v>1979</v>
      </c>
      <c r="AD2803" t="s">
        <v>10889</v>
      </c>
      <c r="AE2803">
        <v>1</v>
      </c>
      <c r="AF2803" t="s">
        <v>1922</v>
      </c>
      <c r="AG2803" t="s">
        <v>12628</v>
      </c>
      <c r="AH2803" t="s">
        <v>12629</v>
      </c>
    </row>
    <row r="2804" spans="1:34" x14ac:dyDescent="0.25">
      <c r="A2804">
        <v>1293</v>
      </c>
      <c r="C2804" s="185"/>
      <c r="E2804" t="s">
        <v>386</v>
      </c>
      <c r="F2804" t="s">
        <v>12630</v>
      </c>
      <c r="G2804" t="s">
        <v>1192</v>
      </c>
      <c r="H2804" t="s">
        <v>12631</v>
      </c>
      <c r="I2804">
        <v>12492</v>
      </c>
      <c r="J2804" t="s">
        <v>12630</v>
      </c>
      <c r="K2804" t="s">
        <v>12630</v>
      </c>
      <c r="L2804" t="s">
        <v>386</v>
      </c>
      <c r="M2804" t="s">
        <v>1184</v>
      </c>
      <c r="N2804">
        <v>12492</v>
      </c>
      <c r="O2804">
        <v>0</v>
      </c>
      <c r="Q2804" t="s">
        <v>12632</v>
      </c>
      <c r="R2804" t="s">
        <v>1208</v>
      </c>
      <c r="T2804">
        <v>52</v>
      </c>
      <c r="V2804" t="s">
        <v>2024</v>
      </c>
      <c r="W2804" t="s">
        <v>1712</v>
      </c>
      <c r="X2804">
        <v>388</v>
      </c>
      <c r="Z2804" t="s">
        <v>3327</v>
      </c>
      <c r="AA2804" t="s">
        <v>387</v>
      </c>
      <c r="AB2804">
        <v>18000</v>
      </c>
      <c r="AC2804">
        <v>4689</v>
      </c>
      <c r="AD2804" t="s">
        <v>12633</v>
      </c>
      <c r="AE2804">
        <v>2163</v>
      </c>
      <c r="AF2804" t="s">
        <v>12634</v>
      </c>
      <c r="AG2804" t="s">
        <v>3834</v>
      </c>
    </row>
    <row r="2805" spans="1:34" x14ac:dyDescent="0.25">
      <c r="A2805">
        <v>1331</v>
      </c>
      <c r="B2805" t="s">
        <v>1313</v>
      </c>
      <c r="C2805" s="185"/>
      <c r="D2805" t="s">
        <v>24</v>
      </c>
      <c r="E2805" t="s">
        <v>386</v>
      </c>
      <c r="F2805" t="s">
        <v>12635</v>
      </c>
      <c r="G2805" t="s">
        <v>1197</v>
      </c>
      <c r="H2805" t="s">
        <v>12636</v>
      </c>
      <c r="I2805">
        <v>1740</v>
      </c>
      <c r="J2805" t="s">
        <v>12635</v>
      </c>
      <c r="K2805" t="s">
        <v>12635</v>
      </c>
      <c r="L2805" t="s">
        <v>386</v>
      </c>
      <c r="M2805" t="s">
        <v>1193</v>
      </c>
      <c r="N2805">
        <v>1740</v>
      </c>
      <c r="O2805">
        <v>8</v>
      </c>
      <c r="Q2805" t="s">
        <v>12637</v>
      </c>
      <c r="S2805" t="s">
        <v>1315</v>
      </c>
      <c r="T2805">
        <v>2</v>
      </c>
      <c r="U2805">
        <v>0</v>
      </c>
      <c r="V2805" t="s">
        <v>1205</v>
      </c>
      <c r="Y2805" t="s">
        <v>1317</v>
      </c>
      <c r="Z2805" t="s">
        <v>12638</v>
      </c>
      <c r="AA2805" t="s">
        <v>387</v>
      </c>
      <c r="AB2805">
        <v>2000</v>
      </c>
      <c r="AC2805">
        <v>1302</v>
      </c>
      <c r="AD2805" t="s">
        <v>12639</v>
      </c>
      <c r="AE2805">
        <v>18</v>
      </c>
      <c r="AF2805" t="s">
        <v>1259</v>
      </c>
      <c r="AG2805" t="s">
        <v>1931</v>
      </c>
      <c r="AH2805" t="s">
        <v>12640</v>
      </c>
    </row>
    <row r="2806" spans="1:34" x14ac:dyDescent="0.25">
      <c r="A2806">
        <v>2</v>
      </c>
      <c r="C2806" s="185"/>
      <c r="E2806" t="s">
        <v>386</v>
      </c>
      <c r="F2806" t="s">
        <v>12641</v>
      </c>
      <c r="G2806" t="s">
        <v>1197</v>
      </c>
      <c r="H2806" t="s">
        <v>12642</v>
      </c>
      <c r="I2806">
        <v>17525</v>
      </c>
      <c r="J2806" t="s">
        <v>12641</v>
      </c>
      <c r="K2806" t="s">
        <v>12641</v>
      </c>
      <c r="L2806" t="s">
        <v>386</v>
      </c>
      <c r="M2806" t="s">
        <v>1193</v>
      </c>
      <c r="N2806">
        <v>17525</v>
      </c>
      <c r="O2806">
        <v>0</v>
      </c>
      <c r="Q2806" t="s">
        <v>12643</v>
      </c>
      <c r="T2806">
        <v>473</v>
      </c>
      <c r="V2806" t="s">
        <v>1964</v>
      </c>
      <c r="W2806" t="s">
        <v>1964</v>
      </c>
      <c r="X2806">
        <v>473</v>
      </c>
      <c r="Z2806" t="s">
        <v>12644</v>
      </c>
      <c r="AA2806" t="s">
        <v>387</v>
      </c>
      <c r="AB2806">
        <v>0</v>
      </c>
      <c r="AC2806">
        <v>697</v>
      </c>
      <c r="AD2806" t="s">
        <v>4862</v>
      </c>
      <c r="AE2806">
        <v>3031</v>
      </c>
      <c r="AF2806" t="s">
        <v>12645</v>
      </c>
      <c r="AG2806" t="s">
        <v>5437</v>
      </c>
      <c r="AH2806" t="s">
        <v>12646</v>
      </c>
    </row>
    <row r="2807" spans="1:34" x14ac:dyDescent="0.25">
      <c r="A2807">
        <v>2</v>
      </c>
      <c r="B2807" t="s">
        <v>1313</v>
      </c>
      <c r="C2807" s="185"/>
      <c r="D2807" t="s">
        <v>24</v>
      </c>
      <c r="E2807" t="s">
        <v>386</v>
      </c>
      <c r="F2807" t="s">
        <v>448</v>
      </c>
      <c r="G2807" t="s">
        <v>1197</v>
      </c>
      <c r="H2807" t="s">
        <v>12647</v>
      </c>
      <c r="I2807">
        <v>40</v>
      </c>
      <c r="J2807" t="s">
        <v>154</v>
      </c>
      <c r="K2807" t="s">
        <v>7402</v>
      </c>
      <c r="L2807" t="s">
        <v>386</v>
      </c>
      <c r="M2807" t="s">
        <v>1193</v>
      </c>
      <c r="N2807">
        <v>15328</v>
      </c>
      <c r="O2807">
        <v>76</v>
      </c>
      <c r="Q2807" t="s">
        <v>12648</v>
      </c>
      <c r="R2807" t="s">
        <v>398</v>
      </c>
      <c r="S2807" t="s">
        <v>7404</v>
      </c>
      <c r="T2807">
        <v>220</v>
      </c>
      <c r="U2807">
        <v>0</v>
      </c>
      <c r="V2807" t="s">
        <v>1194</v>
      </c>
      <c r="W2807" t="s">
        <v>2107</v>
      </c>
      <c r="X2807">
        <v>272</v>
      </c>
      <c r="Y2807" t="s">
        <v>1317</v>
      </c>
      <c r="Z2807" t="s">
        <v>12644</v>
      </c>
      <c r="AA2807" t="s">
        <v>387</v>
      </c>
      <c r="AB2807">
        <v>0</v>
      </c>
      <c r="AC2807">
        <v>34</v>
      </c>
      <c r="AD2807" t="s">
        <v>12649</v>
      </c>
      <c r="AE2807">
        <v>20</v>
      </c>
      <c r="AF2807" t="s">
        <v>12650</v>
      </c>
      <c r="AG2807" t="s">
        <v>12651</v>
      </c>
      <c r="AH2807" t="s">
        <v>12652</v>
      </c>
    </row>
    <row r="2808" spans="1:34" x14ac:dyDescent="0.25">
      <c r="A2808">
        <v>2</v>
      </c>
      <c r="B2808" t="s">
        <v>1313</v>
      </c>
      <c r="C2808" s="185"/>
      <c r="D2808" t="s">
        <v>24</v>
      </c>
      <c r="E2808" t="s">
        <v>386</v>
      </c>
      <c r="F2808" t="s">
        <v>12653</v>
      </c>
      <c r="G2808" t="s">
        <v>1197</v>
      </c>
      <c r="H2808" t="s">
        <v>12654</v>
      </c>
      <c r="I2808">
        <v>38</v>
      </c>
      <c r="J2808" t="s">
        <v>12653</v>
      </c>
      <c r="K2808" t="s">
        <v>12655</v>
      </c>
      <c r="L2808" t="s">
        <v>386</v>
      </c>
      <c r="M2808" t="s">
        <v>1193</v>
      </c>
      <c r="N2808">
        <v>38</v>
      </c>
      <c r="O2808">
        <v>29</v>
      </c>
      <c r="Q2808" t="s">
        <v>12656</v>
      </c>
      <c r="R2808" t="s">
        <v>398</v>
      </c>
      <c r="S2808" t="s">
        <v>1909</v>
      </c>
      <c r="T2808">
        <v>220</v>
      </c>
      <c r="U2808">
        <v>0</v>
      </c>
      <c r="V2808" t="s">
        <v>1194</v>
      </c>
      <c r="W2808" t="s">
        <v>2144</v>
      </c>
      <c r="X2808">
        <v>39</v>
      </c>
      <c r="Y2808" t="s">
        <v>1317</v>
      </c>
      <c r="Z2808" t="s">
        <v>12644</v>
      </c>
      <c r="AA2808" t="s">
        <v>387</v>
      </c>
      <c r="AB2808">
        <v>21000</v>
      </c>
      <c r="AC2808">
        <v>32</v>
      </c>
      <c r="AD2808" t="s">
        <v>12657</v>
      </c>
      <c r="AE2808">
        <v>20</v>
      </c>
      <c r="AF2808" t="s">
        <v>12650</v>
      </c>
      <c r="AG2808" t="s">
        <v>3980</v>
      </c>
      <c r="AH2808" t="s">
        <v>12658</v>
      </c>
    </row>
    <row r="2809" spans="1:34" x14ac:dyDescent="0.25">
      <c r="A2809">
        <v>2</v>
      </c>
      <c r="C2809" s="185"/>
      <c r="E2809" t="s">
        <v>386</v>
      </c>
      <c r="F2809" t="s">
        <v>12659</v>
      </c>
      <c r="G2809" t="s">
        <v>1197</v>
      </c>
      <c r="H2809" t="s">
        <v>12660</v>
      </c>
      <c r="I2809">
        <v>2955</v>
      </c>
      <c r="J2809" t="s">
        <v>12659</v>
      </c>
      <c r="K2809" t="s">
        <v>12661</v>
      </c>
      <c r="L2809" t="s">
        <v>386</v>
      </c>
      <c r="M2809" t="s">
        <v>1193</v>
      </c>
      <c r="N2809">
        <v>2955</v>
      </c>
      <c r="O2809">
        <v>0</v>
      </c>
      <c r="Q2809" t="s">
        <v>12662</v>
      </c>
      <c r="T2809">
        <v>39</v>
      </c>
      <c r="V2809" t="s">
        <v>2144</v>
      </c>
      <c r="W2809" t="s">
        <v>2144</v>
      </c>
      <c r="X2809">
        <v>39</v>
      </c>
      <c r="Z2809" t="s">
        <v>12644</v>
      </c>
      <c r="AA2809" t="s">
        <v>387</v>
      </c>
      <c r="AB2809">
        <v>0</v>
      </c>
      <c r="AC2809">
        <v>1985</v>
      </c>
      <c r="AD2809" t="s">
        <v>12663</v>
      </c>
      <c r="AE2809">
        <v>53</v>
      </c>
      <c r="AF2809" t="s">
        <v>2455</v>
      </c>
      <c r="AG2809" t="s">
        <v>12664</v>
      </c>
      <c r="AH2809" t="s">
        <v>12665</v>
      </c>
    </row>
    <row r="2810" spans="1:34" x14ac:dyDescent="0.25">
      <c r="A2810">
        <v>2</v>
      </c>
      <c r="C2810" s="185"/>
      <c r="E2810" t="s">
        <v>386</v>
      </c>
      <c r="F2810" t="s">
        <v>12666</v>
      </c>
      <c r="G2810" t="s">
        <v>1197</v>
      </c>
      <c r="H2810" t="s">
        <v>12654</v>
      </c>
      <c r="I2810">
        <v>1321</v>
      </c>
      <c r="J2810" t="s">
        <v>12666</v>
      </c>
      <c r="K2810" t="s">
        <v>12666</v>
      </c>
      <c r="L2810" t="s">
        <v>386</v>
      </c>
      <c r="M2810" t="s">
        <v>1193</v>
      </c>
      <c r="N2810">
        <v>1321</v>
      </c>
      <c r="O2810">
        <v>0</v>
      </c>
      <c r="Q2810" t="s">
        <v>12667</v>
      </c>
      <c r="T2810">
        <v>21</v>
      </c>
      <c r="V2810" t="s">
        <v>12668</v>
      </c>
      <c r="Z2810" t="s">
        <v>12644</v>
      </c>
      <c r="AA2810" t="s">
        <v>387</v>
      </c>
      <c r="AB2810">
        <v>0</v>
      </c>
      <c r="AC2810">
        <v>0</v>
      </c>
      <c r="AD2810" t="s">
        <v>1187</v>
      </c>
      <c r="AE2810">
        <v>481</v>
      </c>
      <c r="AF2810" t="s">
        <v>3443</v>
      </c>
      <c r="AH2810" t="s">
        <v>12669</v>
      </c>
    </row>
    <row r="2811" spans="1:34" x14ac:dyDescent="0.25">
      <c r="A2811">
        <v>2</v>
      </c>
      <c r="C2811" s="185"/>
      <c r="E2811" t="s">
        <v>386</v>
      </c>
      <c r="F2811" t="s">
        <v>12670</v>
      </c>
      <c r="G2811" t="s">
        <v>1197</v>
      </c>
      <c r="H2811" t="s">
        <v>12671</v>
      </c>
      <c r="I2811">
        <v>1865</v>
      </c>
      <c r="J2811" t="s">
        <v>12670</v>
      </c>
      <c r="K2811" t="s">
        <v>12670</v>
      </c>
      <c r="L2811" t="s">
        <v>386</v>
      </c>
      <c r="M2811" t="s">
        <v>1193</v>
      </c>
      <c r="N2811">
        <v>1865</v>
      </c>
      <c r="O2811">
        <v>0</v>
      </c>
      <c r="Q2811" t="s">
        <v>12672</v>
      </c>
      <c r="R2811" t="s">
        <v>398</v>
      </c>
      <c r="T2811">
        <v>35</v>
      </c>
      <c r="V2811" t="s">
        <v>2015</v>
      </c>
      <c r="Z2811" t="s">
        <v>12644</v>
      </c>
      <c r="AA2811" t="s">
        <v>387</v>
      </c>
      <c r="AB2811">
        <v>0</v>
      </c>
      <c r="AC2811">
        <v>1387</v>
      </c>
      <c r="AD2811" t="s">
        <v>12673</v>
      </c>
      <c r="AE2811">
        <v>76</v>
      </c>
      <c r="AF2811" t="s">
        <v>12674</v>
      </c>
      <c r="AG2811" t="s">
        <v>3564</v>
      </c>
      <c r="AH2811" t="s">
        <v>12675</v>
      </c>
    </row>
    <row r="2812" spans="1:34" x14ac:dyDescent="0.25">
      <c r="A2812">
        <v>2</v>
      </c>
      <c r="C2812" s="185"/>
      <c r="E2812" t="s">
        <v>386</v>
      </c>
      <c r="F2812" t="s">
        <v>12676</v>
      </c>
      <c r="G2812" t="s">
        <v>1197</v>
      </c>
      <c r="H2812" t="s">
        <v>12677</v>
      </c>
      <c r="I2812">
        <v>5285</v>
      </c>
      <c r="J2812" t="s">
        <v>12676</v>
      </c>
      <c r="K2812" t="s">
        <v>12678</v>
      </c>
      <c r="L2812" t="s">
        <v>386</v>
      </c>
      <c r="M2812" t="s">
        <v>1193</v>
      </c>
      <c r="N2812">
        <v>5285</v>
      </c>
      <c r="O2812">
        <v>0</v>
      </c>
      <c r="Q2812" t="s">
        <v>12679</v>
      </c>
      <c r="T2812">
        <v>496</v>
      </c>
      <c r="V2812" t="s">
        <v>2246</v>
      </c>
      <c r="W2812" t="s">
        <v>1200</v>
      </c>
      <c r="X2812">
        <v>340</v>
      </c>
      <c r="Z2812" t="s">
        <v>12644</v>
      </c>
      <c r="AA2812" t="s">
        <v>387</v>
      </c>
      <c r="AB2812">
        <v>0</v>
      </c>
      <c r="AC2812">
        <v>2542</v>
      </c>
      <c r="AD2812" t="s">
        <v>12680</v>
      </c>
      <c r="AE2812">
        <v>20</v>
      </c>
      <c r="AF2812" t="s">
        <v>12650</v>
      </c>
      <c r="AG2812" t="s">
        <v>2744</v>
      </c>
      <c r="AH2812" t="s">
        <v>12681</v>
      </c>
    </row>
    <row r="2813" spans="1:34" x14ac:dyDescent="0.25">
      <c r="A2813">
        <v>2</v>
      </c>
      <c r="C2813" s="185"/>
      <c r="D2813" t="s">
        <v>24</v>
      </c>
      <c r="E2813" t="s">
        <v>386</v>
      </c>
      <c r="F2813" t="s">
        <v>359</v>
      </c>
      <c r="G2813" t="s">
        <v>1197</v>
      </c>
      <c r="H2813" t="s">
        <v>12682</v>
      </c>
      <c r="I2813">
        <v>6397</v>
      </c>
      <c r="J2813" t="s">
        <v>12683</v>
      </c>
      <c r="K2813" t="s">
        <v>7607</v>
      </c>
      <c r="L2813" t="s">
        <v>386</v>
      </c>
      <c r="M2813" t="s">
        <v>1193</v>
      </c>
      <c r="N2813">
        <v>15345</v>
      </c>
      <c r="O2813">
        <v>76</v>
      </c>
      <c r="Q2813" t="s">
        <v>12684</v>
      </c>
      <c r="R2813" t="s">
        <v>398</v>
      </c>
      <c r="T2813">
        <v>220</v>
      </c>
      <c r="V2813" t="s">
        <v>1194</v>
      </c>
      <c r="W2813" t="s">
        <v>1199</v>
      </c>
      <c r="X2813">
        <v>200</v>
      </c>
      <c r="Z2813" t="s">
        <v>12644</v>
      </c>
      <c r="AA2813" t="s">
        <v>387</v>
      </c>
      <c r="AB2813">
        <v>0</v>
      </c>
      <c r="AC2813">
        <v>2894</v>
      </c>
      <c r="AD2813" t="s">
        <v>12685</v>
      </c>
      <c r="AE2813">
        <v>20</v>
      </c>
      <c r="AF2813" t="s">
        <v>12650</v>
      </c>
      <c r="AG2813" t="s">
        <v>3980</v>
      </c>
    </row>
    <row r="2814" spans="1:34" x14ac:dyDescent="0.25">
      <c r="A2814">
        <v>2</v>
      </c>
      <c r="B2814" t="s">
        <v>1313</v>
      </c>
      <c r="C2814" s="185"/>
      <c r="D2814" t="s">
        <v>24</v>
      </c>
      <c r="E2814" t="s">
        <v>386</v>
      </c>
      <c r="F2814" t="s">
        <v>450</v>
      </c>
      <c r="G2814" t="s">
        <v>1197</v>
      </c>
      <c r="H2814" t="s">
        <v>12686</v>
      </c>
      <c r="I2814">
        <v>10823</v>
      </c>
      <c r="J2814" t="s">
        <v>275</v>
      </c>
      <c r="K2814" t="s">
        <v>6366</v>
      </c>
      <c r="L2814" t="s">
        <v>386</v>
      </c>
      <c r="M2814" t="s">
        <v>1193</v>
      </c>
      <c r="N2814">
        <v>15720</v>
      </c>
      <c r="O2814">
        <v>76</v>
      </c>
      <c r="Q2814" t="s">
        <v>12687</v>
      </c>
      <c r="R2814" t="s">
        <v>398</v>
      </c>
      <c r="S2814" t="s">
        <v>4594</v>
      </c>
      <c r="T2814">
        <v>220</v>
      </c>
      <c r="U2814">
        <v>0</v>
      </c>
      <c r="V2814" t="s">
        <v>1194</v>
      </c>
      <c r="W2814" t="s">
        <v>1199</v>
      </c>
      <c r="X2814">
        <v>200</v>
      </c>
      <c r="Y2814" t="s">
        <v>1317</v>
      </c>
      <c r="Z2814" t="s">
        <v>12644</v>
      </c>
      <c r="AA2814" t="s">
        <v>387</v>
      </c>
      <c r="AB2814">
        <v>0</v>
      </c>
      <c r="AC2814">
        <v>32</v>
      </c>
      <c r="AD2814" t="s">
        <v>12657</v>
      </c>
      <c r="AE2814">
        <v>20</v>
      </c>
      <c r="AF2814" t="s">
        <v>12650</v>
      </c>
      <c r="AG2814" t="s">
        <v>12688</v>
      </c>
      <c r="AH2814" t="s">
        <v>12689</v>
      </c>
    </row>
    <row r="2815" spans="1:34" x14ac:dyDescent="0.25">
      <c r="A2815">
        <v>2</v>
      </c>
      <c r="C2815" s="185"/>
      <c r="E2815" t="s">
        <v>386</v>
      </c>
      <c r="F2815" t="s">
        <v>12690</v>
      </c>
      <c r="G2815" t="s">
        <v>1197</v>
      </c>
      <c r="H2815" t="s">
        <v>12691</v>
      </c>
      <c r="I2815">
        <v>17055</v>
      </c>
      <c r="J2815" t="s">
        <v>12690</v>
      </c>
      <c r="K2815" t="s">
        <v>12692</v>
      </c>
      <c r="L2815" t="s">
        <v>386</v>
      </c>
      <c r="M2815" t="s">
        <v>1193</v>
      </c>
      <c r="N2815">
        <v>17055</v>
      </c>
      <c r="O2815">
        <v>0</v>
      </c>
      <c r="Q2815" t="s">
        <v>12693</v>
      </c>
      <c r="T2815">
        <v>496</v>
      </c>
      <c r="V2815" t="s">
        <v>2246</v>
      </c>
      <c r="W2815" t="s">
        <v>2246</v>
      </c>
      <c r="X2815">
        <v>496</v>
      </c>
      <c r="Z2815" t="s">
        <v>12644</v>
      </c>
      <c r="AA2815" t="s">
        <v>387</v>
      </c>
      <c r="AB2815">
        <v>0</v>
      </c>
      <c r="AC2815">
        <v>6425</v>
      </c>
      <c r="AD2815" t="s">
        <v>12694</v>
      </c>
      <c r="AE2815">
        <v>2959</v>
      </c>
      <c r="AF2815" t="s">
        <v>12695</v>
      </c>
      <c r="AG2815" t="s">
        <v>2379</v>
      </c>
      <c r="AH2815" t="s">
        <v>12696</v>
      </c>
    </row>
    <row r="2816" spans="1:34" x14ac:dyDescent="0.25">
      <c r="A2816">
        <v>2</v>
      </c>
      <c r="C2816" s="185"/>
      <c r="E2816" t="s">
        <v>386</v>
      </c>
      <c r="F2816" t="s">
        <v>12697</v>
      </c>
      <c r="G2816" t="s">
        <v>1197</v>
      </c>
      <c r="H2816" t="s">
        <v>12698</v>
      </c>
      <c r="I2816">
        <v>17363</v>
      </c>
      <c r="J2816" t="s">
        <v>12697</v>
      </c>
      <c r="K2816" t="s">
        <v>12697</v>
      </c>
      <c r="L2816" t="s">
        <v>386</v>
      </c>
      <c r="M2816" t="s">
        <v>1193</v>
      </c>
      <c r="N2816">
        <v>17363</v>
      </c>
      <c r="O2816">
        <v>0</v>
      </c>
      <c r="Q2816" t="s">
        <v>12699</v>
      </c>
      <c r="R2816" t="s">
        <v>1208</v>
      </c>
      <c r="T2816">
        <v>103</v>
      </c>
      <c r="V2816" t="s">
        <v>1530</v>
      </c>
      <c r="W2816" t="s">
        <v>1530</v>
      </c>
      <c r="X2816">
        <v>103</v>
      </c>
      <c r="Z2816" t="s">
        <v>12644</v>
      </c>
      <c r="AA2816" t="s">
        <v>387</v>
      </c>
      <c r="AB2816">
        <v>0</v>
      </c>
      <c r="AC2816">
        <v>6520</v>
      </c>
      <c r="AD2816" t="s">
        <v>12700</v>
      </c>
      <c r="AE2816">
        <v>1716</v>
      </c>
      <c r="AF2816" t="s">
        <v>12701</v>
      </c>
      <c r="AG2816" t="s">
        <v>3980</v>
      </c>
      <c r="AH2816" t="s">
        <v>12702</v>
      </c>
    </row>
    <row r="2817" spans="1:34" x14ac:dyDescent="0.25">
      <c r="A2817">
        <v>6</v>
      </c>
      <c r="C2817" s="185"/>
      <c r="E2817" t="s">
        <v>386</v>
      </c>
      <c r="F2817" t="s">
        <v>7913</v>
      </c>
      <c r="G2817" t="s">
        <v>1197</v>
      </c>
      <c r="H2817" t="s">
        <v>4795</v>
      </c>
      <c r="I2817">
        <v>316</v>
      </c>
      <c r="J2817" t="s">
        <v>12703</v>
      </c>
      <c r="K2817" t="s">
        <v>7915</v>
      </c>
      <c r="L2817" t="s">
        <v>386</v>
      </c>
      <c r="M2817" t="s">
        <v>1193</v>
      </c>
      <c r="N2817">
        <v>165</v>
      </c>
      <c r="O2817">
        <v>10</v>
      </c>
      <c r="Q2817" t="s">
        <v>12704</v>
      </c>
      <c r="R2817" t="s">
        <v>398</v>
      </c>
      <c r="T2817">
        <v>0</v>
      </c>
      <c r="V2817" t="s">
        <v>1186</v>
      </c>
      <c r="Z2817" t="s">
        <v>892</v>
      </c>
      <c r="AA2817" t="s">
        <v>387</v>
      </c>
      <c r="AB2817">
        <v>6000</v>
      </c>
      <c r="AC2817">
        <v>27</v>
      </c>
      <c r="AD2817" t="s">
        <v>4792</v>
      </c>
      <c r="AE2817">
        <v>3</v>
      </c>
      <c r="AF2817" t="s">
        <v>1235</v>
      </c>
      <c r="AG2817" t="s">
        <v>12705</v>
      </c>
      <c r="AH2817" t="s">
        <v>12706</v>
      </c>
    </row>
    <row r="2818" spans="1:34" x14ac:dyDescent="0.25">
      <c r="A2818">
        <v>2143</v>
      </c>
      <c r="C2818" s="185"/>
      <c r="E2818" t="s">
        <v>386</v>
      </c>
      <c r="F2818" t="s">
        <v>9931</v>
      </c>
      <c r="G2818" t="s">
        <v>1197</v>
      </c>
      <c r="H2818" t="s">
        <v>12707</v>
      </c>
      <c r="I2818">
        <v>15547</v>
      </c>
      <c r="J2818" t="s">
        <v>9931</v>
      </c>
      <c r="K2818" t="s">
        <v>12708</v>
      </c>
      <c r="L2818" t="s">
        <v>386</v>
      </c>
      <c r="M2818" t="s">
        <v>1193</v>
      </c>
      <c r="N2818">
        <v>15547</v>
      </c>
      <c r="O2818">
        <v>0</v>
      </c>
      <c r="Q2818" t="s">
        <v>12709</v>
      </c>
      <c r="T2818">
        <v>260</v>
      </c>
      <c r="V2818" t="s">
        <v>1216</v>
      </c>
      <c r="W2818" t="s">
        <v>1216</v>
      </c>
      <c r="X2818">
        <v>260</v>
      </c>
      <c r="Z2818" t="s">
        <v>12710</v>
      </c>
      <c r="AA2818" t="s">
        <v>387</v>
      </c>
      <c r="AB2818">
        <v>0</v>
      </c>
      <c r="AC2818">
        <v>5862</v>
      </c>
      <c r="AD2818" t="s">
        <v>12711</v>
      </c>
      <c r="AE2818">
        <v>18</v>
      </c>
      <c r="AF2818" t="s">
        <v>1259</v>
      </c>
      <c r="AG2818" t="s">
        <v>1244</v>
      </c>
      <c r="AH2818" t="s">
        <v>12712</v>
      </c>
    </row>
    <row r="2819" spans="1:34" x14ac:dyDescent="0.25">
      <c r="A2819">
        <v>1293</v>
      </c>
      <c r="C2819" s="185"/>
      <c r="E2819" t="s">
        <v>386</v>
      </c>
      <c r="F2819" t="s">
        <v>12713</v>
      </c>
      <c r="G2819" t="s">
        <v>1197</v>
      </c>
      <c r="H2819" t="s">
        <v>12714</v>
      </c>
      <c r="I2819">
        <v>12709</v>
      </c>
      <c r="J2819" t="s">
        <v>12713</v>
      </c>
      <c r="K2819" t="s">
        <v>12713</v>
      </c>
      <c r="L2819" t="s">
        <v>386</v>
      </c>
      <c r="M2819" t="s">
        <v>1193</v>
      </c>
      <c r="N2819">
        <v>12709</v>
      </c>
      <c r="O2819">
        <v>0</v>
      </c>
      <c r="Q2819" t="s">
        <v>12715</v>
      </c>
      <c r="R2819" t="s">
        <v>1208</v>
      </c>
      <c r="T2819">
        <v>571</v>
      </c>
      <c r="V2819" t="s">
        <v>2003</v>
      </c>
      <c r="W2819" t="s">
        <v>2067</v>
      </c>
      <c r="X2819">
        <v>304</v>
      </c>
      <c r="Z2819" t="s">
        <v>3327</v>
      </c>
      <c r="AA2819" t="s">
        <v>387</v>
      </c>
      <c r="AB2819">
        <v>0</v>
      </c>
      <c r="AC2819">
        <v>4750</v>
      </c>
      <c r="AD2819" t="s">
        <v>4922</v>
      </c>
      <c r="AE2819">
        <v>2193</v>
      </c>
      <c r="AF2819" t="s">
        <v>12716</v>
      </c>
      <c r="AG2819" t="s">
        <v>2058</v>
      </c>
      <c r="AH2819" t="s">
        <v>12717</v>
      </c>
    </row>
    <row r="2820" spans="1:34" x14ac:dyDescent="0.25">
      <c r="A2820">
        <v>1293</v>
      </c>
      <c r="C2820" s="185"/>
      <c r="E2820" t="s">
        <v>386</v>
      </c>
      <c r="F2820" t="s">
        <v>12718</v>
      </c>
      <c r="G2820" t="s">
        <v>1197</v>
      </c>
      <c r="H2820" t="s">
        <v>12714</v>
      </c>
      <c r="I2820">
        <v>13370</v>
      </c>
      <c r="J2820" t="s">
        <v>12718</v>
      </c>
      <c r="K2820" t="s">
        <v>12718</v>
      </c>
      <c r="L2820" t="s">
        <v>386</v>
      </c>
      <c r="M2820" t="s">
        <v>1193</v>
      </c>
      <c r="N2820">
        <v>13370</v>
      </c>
      <c r="O2820">
        <v>0</v>
      </c>
      <c r="Q2820" t="s">
        <v>12719</v>
      </c>
      <c r="R2820" t="s">
        <v>1208</v>
      </c>
      <c r="T2820">
        <v>304</v>
      </c>
      <c r="V2820" t="s">
        <v>2067</v>
      </c>
      <c r="W2820" t="s">
        <v>2067</v>
      </c>
      <c r="X2820">
        <v>304</v>
      </c>
      <c r="Z2820" t="s">
        <v>3327</v>
      </c>
      <c r="AA2820" t="s">
        <v>387</v>
      </c>
      <c r="AB2820">
        <v>0</v>
      </c>
      <c r="AC2820">
        <v>4750</v>
      </c>
      <c r="AD2820" t="s">
        <v>4922</v>
      </c>
      <c r="AE2820">
        <v>319</v>
      </c>
      <c r="AF2820" t="s">
        <v>4076</v>
      </c>
      <c r="AG2820" t="s">
        <v>12720</v>
      </c>
      <c r="AH2820" t="s">
        <v>12721</v>
      </c>
    </row>
    <row r="2821" spans="1:34" x14ac:dyDescent="0.25">
      <c r="A2821">
        <v>1377</v>
      </c>
      <c r="C2821" s="185"/>
      <c r="E2821" t="s">
        <v>386</v>
      </c>
      <c r="F2821" t="s">
        <v>798</v>
      </c>
      <c r="G2821" t="s">
        <v>1197</v>
      </c>
      <c r="H2821" t="s">
        <v>12722</v>
      </c>
      <c r="I2821">
        <v>17647</v>
      </c>
      <c r="J2821" t="s">
        <v>798</v>
      </c>
      <c r="K2821" t="s">
        <v>798</v>
      </c>
      <c r="L2821" t="s">
        <v>386</v>
      </c>
      <c r="M2821" t="s">
        <v>1193</v>
      </c>
      <c r="N2821">
        <v>17647</v>
      </c>
      <c r="O2821">
        <v>0</v>
      </c>
      <c r="Q2821" t="s">
        <v>12723</v>
      </c>
      <c r="R2821" t="s">
        <v>398</v>
      </c>
      <c r="T2821">
        <v>556</v>
      </c>
      <c r="V2821" t="s">
        <v>4502</v>
      </c>
      <c r="W2821" t="s">
        <v>4502</v>
      </c>
      <c r="X2821">
        <v>556</v>
      </c>
      <c r="Z2821" t="s">
        <v>12724</v>
      </c>
      <c r="AA2821" t="s">
        <v>387</v>
      </c>
      <c r="AB2821">
        <v>0</v>
      </c>
      <c r="AC2821">
        <v>6599</v>
      </c>
      <c r="AD2821" t="s">
        <v>12725</v>
      </c>
      <c r="AE2821">
        <v>1</v>
      </c>
      <c r="AF2821" t="s">
        <v>1922</v>
      </c>
      <c r="AG2821" t="s">
        <v>2588</v>
      </c>
      <c r="AH2821" t="s">
        <v>12726</v>
      </c>
    </row>
    <row r="2822" spans="1:34" x14ac:dyDescent="0.25">
      <c r="A2822">
        <v>1361</v>
      </c>
      <c r="C2822" s="185"/>
      <c r="D2822" t="s">
        <v>157</v>
      </c>
      <c r="E2822" t="s">
        <v>386</v>
      </c>
      <c r="F2822" t="s">
        <v>331</v>
      </c>
      <c r="G2822" t="s">
        <v>1197</v>
      </c>
      <c r="H2822" t="s">
        <v>12727</v>
      </c>
      <c r="I2822">
        <v>13567</v>
      </c>
      <c r="J2822" t="s">
        <v>331</v>
      </c>
      <c r="K2822" t="s">
        <v>12728</v>
      </c>
      <c r="L2822" t="s">
        <v>386</v>
      </c>
      <c r="M2822" t="s">
        <v>1193</v>
      </c>
      <c r="N2822">
        <v>13567</v>
      </c>
      <c r="O2822">
        <v>25</v>
      </c>
      <c r="Q2822" t="s">
        <v>12729</v>
      </c>
      <c r="R2822" t="s">
        <v>398</v>
      </c>
      <c r="T2822">
        <v>200</v>
      </c>
      <c r="V2822" t="s">
        <v>1199</v>
      </c>
      <c r="W2822" t="s">
        <v>1199</v>
      </c>
      <c r="X2822">
        <v>200</v>
      </c>
      <c r="Z2822" t="s">
        <v>1113</v>
      </c>
      <c r="AA2822" t="s">
        <v>387</v>
      </c>
      <c r="AB2822">
        <v>19000</v>
      </c>
      <c r="AC2822">
        <v>5103</v>
      </c>
      <c r="AD2822" t="s">
        <v>12730</v>
      </c>
      <c r="AE2822">
        <v>2365</v>
      </c>
      <c r="AF2822" t="s">
        <v>12731</v>
      </c>
      <c r="AG2822" t="s">
        <v>1244</v>
      </c>
      <c r="AH2822" t="s">
        <v>12732</v>
      </c>
    </row>
    <row r="2823" spans="1:34" x14ac:dyDescent="0.25">
      <c r="A2823">
        <v>1361</v>
      </c>
      <c r="C2823" s="185"/>
      <c r="D2823" t="s">
        <v>24</v>
      </c>
      <c r="E2823" t="s">
        <v>386</v>
      </c>
      <c r="F2823" t="s">
        <v>563</v>
      </c>
      <c r="G2823" t="s">
        <v>1197</v>
      </c>
      <c r="H2823" t="s">
        <v>12733</v>
      </c>
      <c r="I2823">
        <v>5998</v>
      </c>
      <c r="J2823" t="s">
        <v>563</v>
      </c>
      <c r="K2823" t="s">
        <v>12734</v>
      </c>
      <c r="L2823" t="s">
        <v>386</v>
      </c>
      <c r="M2823" t="s">
        <v>1193</v>
      </c>
      <c r="N2823">
        <v>5998</v>
      </c>
      <c r="O2823">
        <v>76</v>
      </c>
      <c r="Q2823" t="s">
        <v>12735</v>
      </c>
      <c r="R2823" t="s">
        <v>398</v>
      </c>
      <c r="T2823">
        <v>220</v>
      </c>
      <c r="V2823" t="s">
        <v>1194</v>
      </c>
      <c r="W2823" t="s">
        <v>1216</v>
      </c>
      <c r="X2823">
        <v>260</v>
      </c>
      <c r="Z2823" t="s">
        <v>1113</v>
      </c>
      <c r="AA2823" t="s">
        <v>387</v>
      </c>
      <c r="AB2823">
        <v>0</v>
      </c>
      <c r="AC2823">
        <v>2786</v>
      </c>
      <c r="AD2823" t="s">
        <v>12736</v>
      </c>
      <c r="AE2823">
        <v>1324</v>
      </c>
      <c r="AF2823" t="s">
        <v>12737</v>
      </c>
      <c r="AG2823" t="s">
        <v>5668</v>
      </c>
      <c r="AH2823" t="s">
        <v>12738</v>
      </c>
    </row>
    <row r="2824" spans="1:34" x14ac:dyDescent="0.25">
      <c r="A2824">
        <v>2043</v>
      </c>
      <c r="C2824" s="185"/>
      <c r="E2824" t="s">
        <v>386</v>
      </c>
      <c r="F2824" t="s">
        <v>12739</v>
      </c>
      <c r="G2824" t="s">
        <v>1197</v>
      </c>
      <c r="H2824" t="s">
        <v>12740</v>
      </c>
      <c r="I2824">
        <v>13160</v>
      </c>
      <c r="J2824" t="s">
        <v>12739</v>
      </c>
      <c r="K2824" t="s">
        <v>12739</v>
      </c>
      <c r="L2824" t="s">
        <v>386</v>
      </c>
      <c r="M2824" t="s">
        <v>1193</v>
      </c>
      <c r="N2824">
        <v>13160</v>
      </c>
      <c r="O2824">
        <v>0</v>
      </c>
      <c r="Q2824" t="s">
        <v>12741</v>
      </c>
      <c r="R2824" t="s">
        <v>1208</v>
      </c>
      <c r="T2824">
        <v>571</v>
      </c>
      <c r="V2824" t="s">
        <v>2003</v>
      </c>
      <c r="W2824" t="s">
        <v>2067</v>
      </c>
      <c r="X2824">
        <v>304</v>
      </c>
      <c r="Z2824" t="s">
        <v>12742</v>
      </c>
      <c r="AA2824" t="s">
        <v>387</v>
      </c>
      <c r="AB2824">
        <v>0</v>
      </c>
      <c r="AC2824">
        <v>4922</v>
      </c>
      <c r="AD2824" t="s">
        <v>12743</v>
      </c>
      <c r="AE2824">
        <v>1</v>
      </c>
      <c r="AF2824" t="s">
        <v>1922</v>
      </c>
      <c r="AG2824" t="s">
        <v>7673</v>
      </c>
    </row>
    <row r="2825" spans="1:34" x14ac:dyDescent="0.25">
      <c r="A2825">
        <v>2028</v>
      </c>
      <c r="C2825" s="185"/>
      <c r="E2825" t="s">
        <v>386</v>
      </c>
      <c r="F2825" t="s">
        <v>12744</v>
      </c>
      <c r="G2825" t="s">
        <v>1197</v>
      </c>
      <c r="H2825" t="s">
        <v>12745</v>
      </c>
      <c r="I2825">
        <v>12863</v>
      </c>
      <c r="J2825" t="s">
        <v>12744</v>
      </c>
      <c r="K2825" t="s">
        <v>12746</v>
      </c>
      <c r="L2825" t="s">
        <v>386</v>
      </c>
      <c r="M2825" t="s">
        <v>1193</v>
      </c>
      <c r="N2825">
        <v>12863</v>
      </c>
      <c r="O2825">
        <v>0</v>
      </c>
      <c r="Q2825" t="s">
        <v>12747</v>
      </c>
      <c r="R2825" t="s">
        <v>398</v>
      </c>
      <c r="T2825">
        <v>571</v>
      </c>
      <c r="V2825" t="s">
        <v>2003</v>
      </c>
      <c r="W2825" t="s">
        <v>2067</v>
      </c>
      <c r="X2825">
        <v>304</v>
      </c>
      <c r="Z2825" t="s">
        <v>12748</v>
      </c>
      <c r="AA2825" t="s">
        <v>387</v>
      </c>
      <c r="AB2825">
        <v>0</v>
      </c>
      <c r="AC2825">
        <v>4803</v>
      </c>
      <c r="AD2825" t="s">
        <v>12749</v>
      </c>
      <c r="AE2825">
        <v>2215</v>
      </c>
      <c r="AF2825" t="s">
        <v>5003</v>
      </c>
      <c r="AG2825" t="s">
        <v>1244</v>
      </c>
      <c r="AH2825" t="s">
        <v>12750</v>
      </c>
    </row>
    <row r="2826" spans="1:34" x14ac:dyDescent="0.25">
      <c r="A2826">
        <v>1</v>
      </c>
      <c r="C2826" s="185"/>
      <c r="E2826" t="s">
        <v>386</v>
      </c>
      <c r="F2826" t="s">
        <v>805</v>
      </c>
      <c r="G2826" t="s">
        <v>1197</v>
      </c>
      <c r="H2826" t="s">
        <v>12751</v>
      </c>
      <c r="I2826">
        <v>17415</v>
      </c>
      <c r="J2826" t="s">
        <v>805</v>
      </c>
      <c r="K2826" t="s">
        <v>805</v>
      </c>
      <c r="L2826" t="s">
        <v>386</v>
      </c>
      <c r="M2826" t="s">
        <v>1193</v>
      </c>
      <c r="N2826">
        <v>17415</v>
      </c>
      <c r="O2826">
        <v>0</v>
      </c>
      <c r="Q2826" t="s">
        <v>12752</v>
      </c>
      <c r="T2826">
        <v>473</v>
      </c>
      <c r="V2826" t="s">
        <v>1964</v>
      </c>
      <c r="W2826" t="s">
        <v>1964</v>
      </c>
      <c r="X2826">
        <v>473</v>
      </c>
      <c r="Z2826" t="s">
        <v>865</v>
      </c>
      <c r="AA2826" t="s">
        <v>387</v>
      </c>
      <c r="AB2826">
        <v>0</v>
      </c>
      <c r="AC2826">
        <v>6516</v>
      </c>
      <c r="AD2826" t="s">
        <v>12753</v>
      </c>
      <c r="AE2826">
        <v>217</v>
      </c>
      <c r="AF2826" t="s">
        <v>3067</v>
      </c>
      <c r="AG2826" t="s">
        <v>12754</v>
      </c>
      <c r="AH2826" t="s">
        <v>12755</v>
      </c>
    </row>
    <row r="2827" spans="1:34" x14ac:dyDescent="0.25">
      <c r="A2827">
        <v>1</v>
      </c>
      <c r="C2827" s="185"/>
      <c r="E2827" t="s">
        <v>386</v>
      </c>
      <c r="F2827" t="s">
        <v>12756</v>
      </c>
      <c r="G2827" t="s">
        <v>1192</v>
      </c>
      <c r="I2827">
        <v>2114</v>
      </c>
      <c r="J2827" t="s">
        <v>12756</v>
      </c>
      <c r="K2827" t="s">
        <v>12756</v>
      </c>
      <c r="L2827" t="s">
        <v>386</v>
      </c>
      <c r="M2827" t="s">
        <v>1184</v>
      </c>
      <c r="N2827">
        <v>2114</v>
      </c>
      <c r="O2827">
        <v>0</v>
      </c>
      <c r="Q2827" t="s">
        <v>12757</v>
      </c>
      <c r="R2827" t="s">
        <v>1208</v>
      </c>
      <c r="T2827">
        <v>0</v>
      </c>
      <c r="V2827" t="s">
        <v>1186</v>
      </c>
      <c r="Z2827" t="s">
        <v>865</v>
      </c>
      <c r="AA2827" t="s">
        <v>387</v>
      </c>
      <c r="AB2827">
        <v>0</v>
      </c>
      <c r="AC2827">
        <v>1566</v>
      </c>
      <c r="AD2827" t="s">
        <v>12758</v>
      </c>
      <c r="AE2827">
        <v>110</v>
      </c>
      <c r="AF2827" t="s">
        <v>3928</v>
      </c>
      <c r="AG2827" t="s">
        <v>8657</v>
      </c>
    </row>
    <row r="2828" spans="1:34" x14ac:dyDescent="0.25">
      <c r="A2828">
        <v>60</v>
      </c>
      <c r="C2828" s="185"/>
      <c r="E2828" t="s">
        <v>386</v>
      </c>
      <c r="F2828" t="s">
        <v>12759</v>
      </c>
      <c r="G2828" t="s">
        <v>1197</v>
      </c>
      <c r="H2828" t="s">
        <v>12760</v>
      </c>
      <c r="I2828">
        <v>5555</v>
      </c>
      <c r="J2828" t="s">
        <v>12759</v>
      </c>
      <c r="K2828" t="s">
        <v>12761</v>
      </c>
      <c r="L2828" t="s">
        <v>386</v>
      </c>
      <c r="M2828" t="s">
        <v>1193</v>
      </c>
      <c r="N2828">
        <v>5555</v>
      </c>
      <c r="O2828">
        <v>0</v>
      </c>
      <c r="Q2828" t="s">
        <v>12762</v>
      </c>
      <c r="T2828">
        <v>39</v>
      </c>
      <c r="V2828" t="s">
        <v>2144</v>
      </c>
      <c r="Z2828" t="s">
        <v>3997</v>
      </c>
      <c r="AA2828" t="s">
        <v>387</v>
      </c>
      <c r="AB2828">
        <v>0</v>
      </c>
      <c r="AC2828">
        <v>2636</v>
      </c>
      <c r="AD2828" t="s">
        <v>12763</v>
      </c>
      <c r="AE2828">
        <v>1270</v>
      </c>
      <c r="AF2828" t="s">
        <v>12764</v>
      </c>
      <c r="AG2828" t="s">
        <v>12765</v>
      </c>
      <c r="AH2828" t="s">
        <v>12766</v>
      </c>
    </row>
    <row r="2829" spans="1:34" x14ac:dyDescent="0.25">
      <c r="A2829">
        <v>60</v>
      </c>
      <c r="C2829" s="185"/>
      <c r="D2829" t="s">
        <v>24</v>
      </c>
      <c r="E2829" t="s">
        <v>386</v>
      </c>
      <c r="F2829" t="s">
        <v>12767</v>
      </c>
      <c r="G2829" t="s">
        <v>1197</v>
      </c>
      <c r="H2829" t="s">
        <v>12768</v>
      </c>
      <c r="I2829">
        <v>4271</v>
      </c>
      <c r="J2829" t="s">
        <v>12767</v>
      </c>
      <c r="K2829" t="s">
        <v>12767</v>
      </c>
      <c r="L2829" t="s">
        <v>386</v>
      </c>
      <c r="M2829" t="s">
        <v>1193</v>
      </c>
      <c r="N2829">
        <v>4271</v>
      </c>
      <c r="O2829">
        <v>0</v>
      </c>
      <c r="Q2829" t="s">
        <v>12769</v>
      </c>
      <c r="T2829">
        <v>340</v>
      </c>
      <c r="V2829" t="s">
        <v>1200</v>
      </c>
      <c r="W2829" t="s">
        <v>1199</v>
      </c>
      <c r="X2829">
        <v>200</v>
      </c>
      <c r="Z2829" t="s">
        <v>3997</v>
      </c>
      <c r="AA2829" t="s">
        <v>387</v>
      </c>
      <c r="AB2829">
        <v>0</v>
      </c>
      <c r="AC2829">
        <v>3637</v>
      </c>
      <c r="AD2829" t="s">
        <v>12770</v>
      </c>
      <c r="AE2829">
        <v>1087</v>
      </c>
      <c r="AF2829" t="s">
        <v>12771</v>
      </c>
      <c r="AG2829" t="s">
        <v>12772</v>
      </c>
      <c r="AH2829" t="s">
        <v>12773</v>
      </c>
    </row>
    <row r="2830" spans="1:34" x14ac:dyDescent="0.25">
      <c r="A2830">
        <v>60</v>
      </c>
      <c r="C2830" s="185">
        <v>32349</v>
      </c>
      <c r="E2830" t="s">
        <v>386</v>
      </c>
      <c r="F2830" t="s">
        <v>12774</v>
      </c>
      <c r="G2830" t="s">
        <v>1197</v>
      </c>
      <c r="H2830" t="s">
        <v>12775</v>
      </c>
      <c r="I2830">
        <v>8032</v>
      </c>
      <c r="J2830" t="s">
        <v>12774</v>
      </c>
      <c r="K2830" t="s">
        <v>12774</v>
      </c>
      <c r="L2830" t="s">
        <v>386</v>
      </c>
      <c r="M2830" t="s">
        <v>1193</v>
      </c>
      <c r="N2830">
        <v>8032</v>
      </c>
      <c r="O2830">
        <v>0</v>
      </c>
      <c r="Q2830" t="s">
        <v>12776</v>
      </c>
      <c r="R2830" t="s">
        <v>398</v>
      </c>
      <c r="T2830">
        <v>146</v>
      </c>
      <c r="V2830" t="s">
        <v>2727</v>
      </c>
      <c r="Z2830" t="s">
        <v>3997</v>
      </c>
      <c r="AA2830" t="s">
        <v>387</v>
      </c>
      <c r="AB2830">
        <v>0</v>
      </c>
      <c r="AC2830">
        <v>3268</v>
      </c>
      <c r="AD2830" t="s">
        <v>12777</v>
      </c>
      <c r="AE2830">
        <v>1539</v>
      </c>
      <c r="AF2830" t="s">
        <v>12778</v>
      </c>
      <c r="AG2830" t="s">
        <v>2201</v>
      </c>
      <c r="AH2830" t="s">
        <v>12779</v>
      </c>
    </row>
    <row r="2831" spans="1:34" x14ac:dyDescent="0.25">
      <c r="A2831">
        <v>60</v>
      </c>
      <c r="C2831" s="185"/>
      <c r="E2831" t="s">
        <v>386</v>
      </c>
      <c r="F2831" t="s">
        <v>12780</v>
      </c>
      <c r="G2831" t="s">
        <v>1197</v>
      </c>
      <c r="H2831" t="s">
        <v>12781</v>
      </c>
      <c r="I2831">
        <v>3876</v>
      </c>
      <c r="J2831" t="s">
        <v>12780</v>
      </c>
      <c r="K2831" t="s">
        <v>12782</v>
      </c>
      <c r="L2831" t="s">
        <v>386</v>
      </c>
      <c r="M2831" t="s">
        <v>1193</v>
      </c>
      <c r="N2831">
        <v>3876</v>
      </c>
      <c r="O2831">
        <v>10</v>
      </c>
      <c r="Q2831" t="s">
        <v>12783</v>
      </c>
      <c r="R2831" t="s">
        <v>398</v>
      </c>
      <c r="T2831">
        <v>2</v>
      </c>
      <c r="V2831" t="s">
        <v>1205</v>
      </c>
      <c r="Z2831" t="s">
        <v>3997</v>
      </c>
      <c r="AA2831" t="s">
        <v>387</v>
      </c>
      <c r="AB2831">
        <v>6000</v>
      </c>
      <c r="AC2831">
        <v>2232</v>
      </c>
      <c r="AD2831" t="s">
        <v>12784</v>
      </c>
      <c r="AE2831">
        <v>1075</v>
      </c>
      <c r="AF2831" t="s">
        <v>12785</v>
      </c>
      <c r="AG2831" t="s">
        <v>7603</v>
      </c>
      <c r="AH2831" t="s">
        <v>12786</v>
      </c>
    </row>
    <row r="2832" spans="1:34" x14ac:dyDescent="0.25">
      <c r="A2832">
        <v>60</v>
      </c>
      <c r="C2832" s="185"/>
      <c r="E2832" t="s">
        <v>386</v>
      </c>
      <c r="F2832" t="s">
        <v>12787</v>
      </c>
      <c r="G2832" t="s">
        <v>1197</v>
      </c>
      <c r="H2832" t="s">
        <v>12788</v>
      </c>
      <c r="I2832">
        <v>5562</v>
      </c>
      <c r="J2832" t="s">
        <v>12787</v>
      </c>
      <c r="K2832" t="s">
        <v>12787</v>
      </c>
      <c r="L2832" t="s">
        <v>386</v>
      </c>
      <c r="M2832" t="s">
        <v>1193</v>
      </c>
      <c r="N2832">
        <v>5562</v>
      </c>
      <c r="O2832">
        <v>0</v>
      </c>
      <c r="Q2832" t="s">
        <v>12789</v>
      </c>
      <c r="T2832">
        <v>39</v>
      </c>
      <c r="V2832" t="s">
        <v>2144</v>
      </c>
      <c r="Z2832" t="s">
        <v>3997</v>
      </c>
      <c r="AA2832" t="s">
        <v>387</v>
      </c>
      <c r="AB2832">
        <v>0</v>
      </c>
      <c r="AC2832">
        <v>2638</v>
      </c>
      <c r="AD2832" t="s">
        <v>12790</v>
      </c>
      <c r="AE2832">
        <v>1272</v>
      </c>
      <c r="AF2832" t="s">
        <v>11330</v>
      </c>
      <c r="AG2832" t="s">
        <v>3232</v>
      </c>
      <c r="AH2832" t="s">
        <v>12791</v>
      </c>
    </row>
    <row r="2833" spans="1:34" x14ac:dyDescent="0.25">
      <c r="A2833">
        <v>60</v>
      </c>
      <c r="C2833" s="185"/>
      <c r="E2833" t="s">
        <v>386</v>
      </c>
      <c r="F2833" t="s">
        <v>12792</v>
      </c>
      <c r="G2833" t="s">
        <v>1197</v>
      </c>
      <c r="H2833" t="s">
        <v>12793</v>
      </c>
      <c r="I2833">
        <v>13527</v>
      </c>
      <c r="J2833" t="s">
        <v>12792</v>
      </c>
      <c r="K2833" t="s">
        <v>12794</v>
      </c>
      <c r="L2833" t="s">
        <v>386</v>
      </c>
      <c r="M2833" t="s">
        <v>1193</v>
      </c>
      <c r="N2833">
        <v>13527</v>
      </c>
      <c r="O2833">
        <v>0</v>
      </c>
      <c r="Q2833" t="s">
        <v>12795</v>
      </c>
      <c r="R2833" t="s">
        <v>1208</v>
      </c>
      <c r="T2833">
        <v>103</v>
      </c>
      <c r="V2833" t="s">
        <v>1530</v>
      </c>
      <c r="W2833" t="s">
        <v>1530</v>
      </c>
      <c r="X2833">
        <v>103</v>
      </c>
      <c r="Z2833" t="s">
        <v>3997</v>
      </c>
      <c r="AA2833" t="s">
        <v>387</v>
      </c>
      <c r="AB2833">
        <v>0</v>
      </c>
      <c r="AC2833">
        <v>1081</v>
      </c>
      <c r="AD2833" t="s">
        <v>4298</v>
      </c>
      <c r="AE2833">
        <v>2358</v>
      </c>
      <c r="AF2833" t="s">
        <v>12796</v>
      </c>
      <c r="AG2833" t="s">
        <v>12797</v>
      </c>
      <c r="AH2833" t="s">
        <v>12798</v>
      </c>
    </row>
    <row r="2834" spans="1:34" x14ac:dyDescent="0.25">
      <c r="A2834">
        <v>60</v>
      </c>
      <c r="C2834" s="185"/>
      <c r="E2834" t="s">
        <v>386</v>
      </c>
      <c r="F2834" t="s">
        <v>12799</v>
      </c>
      <c r="G2834" t="s">
        <v>1197</v>
      </c>
      <c r="H2834" t="s">
        <v>12800</v>
      </c>
      <c r="I2834">
        <v>7929</v>
      </c>
      <c r="J2834" t="s">
        <v>12799</v>
      </c>
      <c r="K2834" t="s">
        <v>12801</v>
      </c>
      <c r="L2834" t="s">
        <v>386</v>
      </c>
      <c r="M2834" t="s">
        <v>1193</v>
      </c>
      <c r="N2834">
        <v>7929</v>
      </c>
      <c r="O2834">
        <v>0</v>
      </c>
      <c r="Q2834" t="s">
        <v>12802</v>
      </c>
      <c r="R2834" t="s">
        <v>1208</v>
      </c>
      <c r="T2834">
        <v>2</v>
      </c>
      <c r="V2834" t="s">
        <v>1205</v>
      </c>
      <c r="Z2834" t="s">
        <v>3997</v>
      </c>
      <c r="AA2834" t="s">
        <v>387</v>
      </c>
      <c r="AB2834">
        <v>0</v>
      </c>
      <c r="AC2834">
        <v>0</v>
      </c>
      <c r="AD2834" t="s">
        <v>1187</v>
      </c>
      <c r="AE2834">
        <v>88</v>
      </c>
      <c r="AF2834" t="s">
        <v>12803</v>
      </c>
      <c r="AG2834" t="s">
        <v>7186</v>
      </c>
      <c r="AH2834" t="s">
        <v>12804</v>
      </c>
    </row>
    <row r="2835" spans="1:34" x14ac:dyDescent="0.25">
      <c r="A2835">
        <v>60</v>
      </c>
      <c r="C2835" s="185"/>
      <c r="E2835" t="s">
        <v>386</v>
      </c>
      <c r="F2835" t="s">
        <v>12805</v>
      </c>
      <c r="G2835" t="s">
        <v>1197</v>
      </c>
      <c r="H2835" t="s">
        <v>12806</v>
      </c>
      <c r="I2835">
        <v>13199</v>
      </c>
      <c r="J2835" t="s">
        <v>12805</v>
      </c>
      <c r="K2835" t="s">
        <v>12807</v>
      </c>
      <c r="L2835" t="s">
        <v>386</v>
      </c>
      <c r="M2835" t="s">
        <v>1193</v>
      </c>
      <c r="N2835">
        <v>13199</v>
      </c>
      <c r="O2835">
        <v>0</v>
      </c>
      <c r="Q2835" t="s">
        <v>12808</v>
      </c>
      <c r="R2835" t="s">
        <v>1223</v>
      </c>
      <c r="T2835">
        <v>103</v>
      </c>
      <c r="V2835" t="s">
        <v>1530</v>
      </c>
      <c r="W2835" t="s">
        <v>1530</v>
      </c>
      <c r="X2835">
        <v>103</v>
      </c>
      <c r="Z2835" t="s">
        <v>3997</v>
      </c>
      <c r="AA2835" t="s">
        <v>387</v>
      </c>
      <c r="AB2835">
        <v>0</v>
      </c>
      <c r="AC2835">
        <v>4940</v>
      </c>
      <c r="AD2835" t="s">
        <v>12809</v>
      </c>
      <c r="AE2835">
        <v>2277</v>
      </c>
      <c r="AF2835" t="s">
        <v>12810</v>
      </c>
      <c r="AG2835" t="s">
        <v>5437</v>
      </c>
      <c r="AH2835" t="s">
        <v>12811</v>
      </c>
    </row>
    <row r="2836" spans="1:34" x14ac:dyDescent="0.25">
      <c r="A2836">
        <v>1446</v>
      </c>
      <c r="C2836" s="185"/>
      <c r="D2836" t="s">
        <v>24</v>
      </c>
      <c r="E2836" t="s">
        <v>386</v>
      </c>
      <c r="F2836" t="s">
        <v>12812</v>
      </c>
      <c r="G2836" t="s">
        <v>1197</v>
      </c>
      <c r="H2836" t="s">
        <v>12813</v>
      </c>
      <c r="I2836">
        <v>2552</v>
      </c>
      <c r="J2836" t="s">
        <v>12812</v>
      </c>
      <c r="K2836" t="s">
        <v>12812</v>
      </c>
      <c r="L2836" t="s">
        <v>386</v>
      </c>
      <c r="M2836" t="s">
        <v>1193</v>
      </c>
      <c r="N2836">
        <v>2552</v>
      </c>
      <c r="O2836">
        <v>0</v>
      </c>
      <c r="Q2836" t="s">
        <v>12814</v>
      </c>
      <c r="R2836" t="s">
        <v>398</v>
      </c>
      <c r="T2836">
        <v>52</v>
      </c>
      <c r="V2836" t="s">
        <v>2024</v>
      </c>
      <c r="Z2836" t="s">
        <v>12815</v>
      </c>
      <c r="AA2836" t="s">
        <v>387</v>
      </c>
      <c r="AB2836">
        <v>0</v>
      </c>
      <c r="AC2836">
        <v>1839</v>
      </c>
      <c r="AD2836" t="s">
        <v>12816</v>
      </c>
      <c r="AE2836">
        <v>900</v>
      </c>
      <c r="AF2836" t="s">
        <v>12817</v>
      </c>
      <c r="AG2836" t="s">
        <v>2105</v>
      </c>
    </row>
    <row r="2837" spans="1:34" x14ac:dyDescent="0.25">
      <c r="A2837">
        <v>2232</v>
      </c>
      <c r="C2837" s="185"/>
      <c r="E2837" t="s">
        <v>386</v>
      </c>
      <c r="F2837" t="s">
        <v>797</v>
      </c>
      <c r="G2837" t="s">
        <v>1197</v>
      </c>
      <c r="H2837" t="s">
        <v>12818</v>
      </c>
      <c r="I2837">
        <v>17646</v>
      </c>
      <c r="J2837" t="s">
        <v>797</v>
      </c>
      <c r="K2837" t="s">
        <v>797</v>
      </c>
      <c r="L2837" t="s">
        <v>386</v>
      </c>
      <c r="M2837" t="s">
        <v>1193</v>
      </c>
      <c r="N2837">
        <v>17646</v>
      </c>
      <c r="O2837">
        <v>0</v>
      </c>
      <c r="Q2837" t="s">
        <v>12819</v>
      </c>
      <c r="R2837" t="s">
        <v>398</v>
      </c>
      <c r="T2837">
        <v>556</v>
      </c>
      <c r="V2837" t="s">
        <v>4502</v>
      </c>
      <c r="W2837" t="s">
        <v>4502</v>
      </c>
      <c r="X2837">
        <v>556</v>
      </c>
      <c r="Z2837" t="s">
        <v>12820</v>
      </c>
      <c r="AA2837" t="s">
        <v>387</v>
      </c>
      <c r="AB2837">
        <v>0</v>
      </c>
      <c r="AC2837">
        <v>6502</v>
      </c>
      <c r="AD2837" t="s">
        <v>10405</v>
      </c>
      <c r="AE2837">
        <v>1</v>
      </c>
      <c r="AF2837" t="s">
        <v>1922</v>
      </c>
      <c r="AG2837" t="s">
        <v>12821</v>
      </c>
      <c r="AH2837" t="s">
        <v>12822</v>
      </c>
    </row>
    <row r="2838" spans="1:34" x14ac:dyDescent="0.25">
      <c r="A2838">
        <v>2082</v>
      </c>
      <c r="C2838" s="185"/>
      <c r="E2838" t="s">
        <v>386</v>
      </c>
      <c r="F2838" t="s">
        <v>12823</v>
      </c>
      <c r="G2838" t="s">
        <v>1197</v>
      </c>
      <c r="H2838" t="s">
        <v>12824</v>
      </c>
      <c r="I2838">
        <v>14078</v>
      </c>
      <c r="J2838" t="s">
        <v>12823</v>
      </c>
      <c r="K2838" t="s">
        <v>12825</v>
      </c>
      <c r="L2838" t="s">
        <v>386</v>
      </c>
      <c r="M2838" t="s">
        <v>1193</v>
      </c>
      <c r="N2838">
        <v>14078</v>
      </c>
      <c r="O2838">
        <v>0</v>
      </c>
      <c r="Q2838" t="s">
        <v>12826</v>
      </c>
      <c r="R2838" t="s">
        <v>398</v>
      </c>
      <c r="T2838">
        <v>103</v>
      </c>
      <c r="V2838" t="s">
        <v>1530</v>
      </c>
      <c r="W2838" t="s">
        <v>1530</v>
      </c>
      <c r="X2838">
        <v>103</v>
      </c>
      <c r="Z2838" t="s">
        <v>6278</v>
      </c>
      <c r="AA2838" t="s">
        <v>387</v>
      </c>
      <c r="AB2838">
        <v>0</v>
      </c>
      <c r="AC2838">
        <v>742</v>
      </c>
      <c r="AD2838" t="s">
        <v>12827</v>
      </c>
      <c r="AE2838">
        <v>2469</v>
      </c>
      <c r="AF2838" t="s">
        <v>12828</v>
      </c>
      <c r="AG2838" t="s">
        <v>12829</v>
      </c>
      <c r="AH2838" t="s">
        <v>12830</v>
      </c>
    </row>
    <row r="2839" spans="1:34" x14ac:dyDescent="0.25">
      <c r="A2839">
        <v>1603</v>
      </c>
      <c r="C2839" s="185"/>
      <c r="E2839" t="s">
        <v>386</v>
      </c>
      <c r="F2839" t="s">
        <v>12831</v>
      </c>
      <c r="G2839" t="s">
        <v>1197</v>
      </c>
      <c r="H2839" t="s">
        <v>12832</v>
      </c>
      <c r="I2839">
        <v>6189</v>
      </c>
      <c r="J2839" t="s">
        <v>12831</v>
      </c>
      <c r="K2839" t="s">
        <v>12831</v>
      </c>
      <c r="L2839" t="s">
        <v>386</v>
      </c>
      <c r="M2839" t="s">
        <v>1193</v>
      </c>
      <c r="N2839">
        <v>6189</v>
      </c>
      <c r="O2839">
        <v>0</v>
      </c>
      <c r="Q2839" t="s">
        <v>12833</v>
      </c>
      <c r="T2839">
        <v>39</v>
      </c>
      <c r="V2839" t="s">
        <v>2144</v>
      </c>
      <c r="Z2839" t="s">
        <v>12834</v>
      </c>
      <c r="AA2839" t="s">
        <v>387</v>
      </c>
      <c r="AB2839">
        <v>0</v>
      </c>
      <c r="AC2839">
        <v>139</v>
      </c>
      <c r="AD2839" t="s">
        <v>3951</v>
      </c>
      <c r="AE2839">
        <v>1348</v>
      </c>
      <c r="AF2839" t="s">
        <v>12835</v>
      </c>
      <c r="AG2839" t="s">
        <v>12836</v>
      </c>
      <c r="AH2839" t="s">
        <v>12837</v>
      </c>
    </row>
    <row r="2840" spans="1:34" x14ac:dyDescent="0.25">
      <c r="A2840">
        <v>133</v>
      </c>
      <c r="B2840" t="s">
        <v>1313</v>
      </c>
      <c r="C2840" s="185"/>
      <c r="E2840" t="s">
        <v>386</v>
      </c>
      <c r="F2840" t="s">
        <v>12838</v>
      </c>
      <c r="G2840" t="s">
        <v>1192</v>
      </c>
      <c r="H2840" t="s">
        <v>12839</v>
      </c>
      <c r="I2840">
        <v>1769</v>
      </c>
      <c r="J2840" t="s">
        <v>12838</v>
      </c>
      <c r="K2840" t="s">
        <v>12838</v>
      </c>
      <c r="L2840" t="s">
        <v>386</v>
      </c>
      <c r="M2840" t="s">
        <v>1184</v>
      </c>
      <c r="N2840">
        <v>1769</v>
      </c>
      <c r="O2840">
        <v>9</v>
      </c>
      <c r="Q2840" t="s">
        <v>12840</v>
      </c>
      <c r="R2840" t="s">
        <v>1208</v>
      </c>
      <c r="S2840" t="s">
        <v>1315</v>
      </c>
      <c r="T2840">
        <v>260</v>
      </c>
      <c r="U2840">
        <v>0</v>
      </c>
      <c r="V2840" t="s">
        <v>1216</v>
      </c>
      <c r="W2840" t="s">
        <v>1199</v>
      </c>
      <c r="X2840">
        <v>200</v>
      </c>
      <c r="Y2840" t="s">
        <v>1317</v>
      </c>
      <c r="Z2840" t="s">
        <v>3195</v>
      </c>
      <c r="AA2840" t="s">
        <v>386</v>
      </c>
      <c r="AB2840">
        <v>0</v>
      </c>
      <c r="AC2840">
        <v>1358</v>
      </c>
      <c r="AD2840" t="s">
        <v>12841</v>
      </c>
      <c r="AE2840">
        <v>647</v>
      </c>
      <c r="AF2840" t="s">
        <v>12842</v>
      </c>
      <c r="AG2840" t="s">
        <v>12843</v>
      </c>
    </row>
    <row r="2841" spans="1:34" x14ac:dyDescent="0.25">
      <c r="A2841">
        <v>88</v>
      </c>
      <c r="C2841" s="185"/>
      <c r="E2841" t="s">
        <v>386</v>
      </c>
      <c r="F2841" t="s">
        <v>12844</v>
      </c>
      <c r="G2841" t="s">
        <v>4184</v>
      </c>
      <c r="H2841" t="s">
        <v>12845</v>
      </c>
      <c r="I2841">
        <v>354</v>
      </c>
      <c r="J2841" t="s">
        <v>12844</v>
      </c>
      <c r="K2841" t="s">
        <v>12846</v>
      </c>
      <c r="L2841" t="s">
        <v>386</v>
      </c>
      <c r="M2841" t="s">
        <v>1193</v>
      </c>
      <c r="N2841">
        <v>354</v>
      </c>
      <c r="O2841">
        <v>0</v>
      </c>
      <c r="Q2841" t="s">
        <v>12847</v>
      </c>
      <c r="T2841">
        <v>35</v>
      </c>
      <c r="V2841" t="s">
        <v>2015</v>
      </c>
      <c r="Z2841" t="s">
        <v>12848</v>
      </c>
      <c r="AA2841" t="s">
        <v>387</v>
      </c>
      <c r="AB2841">
        <v>0</v>
      </c>
      <c r="AC2841">
        <v>411</v>
      </c>
      <c r="AD2841" t="s">
        <v>12849</v>
      </c>
      <c r="AE2841">
        <v>145</v>
      </c>
      <c r="AF2841" t="s">
        <v>8443</v>
      </c>
      <c r="AG2841" t="s">
        <v>3681</v>
      </c>
      <c r="AH2841" t="s">
        <v>12850</v>
      </c>
    </row>
    <row r="2842" spans="1:34" x14ac:dyDescent="0.25">
      <c r="A2842">
        <v>88</v>
      </c>
      <c r="C2842" s="185"/>
      <c r="E2842" t="s">
        <v>386</v>
      </c>
      <c r="F2842" t="s">
        <v>12851</v>
      </c>
      <c r="G2842" t="s">
        <v>1197</v>
      </c>
      <c r="H2842" t="s">
        <v>12852</v>
      </c>
      <c r="I2842">
        <v>4967</v>
      </c>
      <c r="J2842" t="s">
        <v>12851</v>
      </c>
      <c r="K2842" t="s">
        <v>12853</v>
      </c>
      <c r="L2842" t="s">
        <v>386</v>
      </c>
      <c r="M2842" t="s">
        <v>1193</v>
      </c>
      <c r="N2842">
        <v>4967</v>
      </c>
      <c r="O2842">
        <v>0</v>
      </c>
      <c r="Q2842" t="s">
        <v>12854</v>
      </c>
      <c r="R2842" t="s">
        <v>1208</v>
      </c>
      <c r="T2842">
        <v>340</v>
      </c>
      <c r="V2842" t="s">
        <v>1200</v>
      </c>
      <c r="W2842" t="s">
        <v>1199</v>
      </c>
      <c r="X2842">
        <v>200</v>
      </c>
      <c r="Z2842" t="s">
        <v>12848</v>
      </c>
      <c r="AA2842" t="s">
        <v>387</v>
      </c>
      <c r="AB2842">
        <v>0</v>
      </c>
      <c r="AC2842">
        <v>1110</v>
      </c>
      <c r="AD2842" t="s">
        <v>12855</v>
      </c>
      <c r="AE2842">
        <v>2934</v>
      </c>
      <c r="AF2842" t="s">
        <v>12856</v>
      </c>
      <c r="AG2842" t="s">
        <v>12857</v>
      </c>
      <c r="AH2842" t="s">
        <v>12858</v>
      </c>
    </row>
    <row r="2843" spans="1:34" x14ac:dyDescent="0.25">
      <c r="A2843">
        <v>88</v>
      </c>
      <c r="C2843" s="185"/>
      <c r="E2843" t="s">
        <v>386</v>
      </c>
      <c r="F2843" t="s">
        <v>12859</v>
      </c>
      <c r="G2843" t="s">
        <v>1197</v>
      </c>
      <c r="H2843" t="s">
        <v>12860</v>
      </c>
      <c r="I2843">
        <v>10638</v>
      </c>
      <c r="J2843" t="s">
        <v>12859</v>
      </c>
      <c r="K2843" t="s">
        <v>12859</v>
      </c>
      <c r="L2843" t="s">
        <v>386</v>
      </c>
      <c r="M2843" t="s">
        <v>1193</v>
      </c>
      <c r="N2843">
        <v>10638</v>
      </c>
      <c r="O2843">
        <v>0</v>
      </c>
      <c r="Q2843" t="s">
        <v>12861</v>
      </c>
      <c r="R2843" t="s">
        <v>1208</v>
      </c>
      <c r="T2843">
        <v>39</v>
      </c>
      <c r="V2843" t="s">
        <v>2144</v>
      </c>
      <c r="W2843" t="s">
        <v>6337</v>
      </c>
      <c r="X2843">
        <v>234</v>
      </c>
      <c r="Z2843" t="s">
        <v>12848</v>
      </c>
      <c r="AA2843" t="s">
        <v>387</v>
      </c>
      <c r="AB2843">
        <v>0</v>
      </c>
      <c r="AC2843">
        <v>2445</v>
      </c>
      <c r="AD2843" t="s">
        <v>12862</v>
      </c>
      <c r="AE2843">
        <v>1886</v>
      </c>
      <c r="AF2843" t="s">
        <v>12863</v>
      </c>
      <c r="AG2843" t="s">
        <v>9523</v>
      </c>
    </row>
    <row r="2844" spans="1:34" x14ac:dyDescent="0.25">
      <c r="A2844">
        <v>1609</v>
      </c>
      <c r="B2844" t="s">
        <v>1313</v>
      </c>
      <c r="C2844" s="185"/>
      <c r="D2844" t="s">
        <v>24</v>
      </c>
      <c r="E2844" t="s">
        <v>386</v>
      </c>
      <c r="F2844" t="s">
        <v>367</v>
      </c>
      <c r="G2844" t="s">
        <v>1197</v>
      </c>
      <c r="H2844" t="s">
        <v>12864</v>
      </c>
      <c r="I2844">
        <v>11724</v>
      </c>
      <c r="J2844" t="s">
        <v>107</v>
      </c>
      <c r="K2844" t="s">
        <v>11252</v>
      </c>
      <c r="L2844" t="s">
        <v>386</v>
      </c>
      <c r="M2844" t="s">
        <v>1193</v>
      </c>
      <c r="N2844">
        <v>15334</v>
      </c>
      <c r="O2844">
        <v>55</v>
      </c>
      <c r="Q2844" t="s">
        <v>12865</v>
      </c>
      <c r="R2844" t="s">
        <v>398</v>
      </c>
      <c r="S2844" t="s">
        <v>10109</v>
      </c>
      <c r="T2844">
        <v>272</v>
      </c>
      <c r="U2844">
        <v>0</v>
      </c>
      <c r="V2844" t="s">
        <v>2107</v>
      </c>
      <c r="W2844" t="s">
        <v>2073</v>
      </c>
      <c r="X2844">
        <v>372</v>
      </c>
      <c r="Y2844" t="s">
        <v>1317</v>
      </c>
      <c r="Z2844" t="s">
        <v>963</v>
      </c>
      <c r="AA2844" t="s">
        <v>387</v>
      </c>
      <c r="AB2844">
        <v>47000</v>
      </c>
      <c r="AC2844">
        <v>4471</v>
      </c>
      <c r="AD2844" t="s">
        <v>12866</v>
      </c>
      <c r="AE2844">
        <v>18</v>
      </c>
      <c r="AF2844" t="s">
        <v>1259</v>
      </c>
      <c r="AG2844" t="s">
        <v>1244</v>
      </c>
      <c r="AH2844" t="s">
        <v>12867</v>
      </c>
    </row>
    <row r="2845" spans="1:34" x14ac:dyDescent="0.25">
      <c r="A2845">
        <v>1866</v>
      </c>
      <c r="C2845" s="185"/>
      <c r="D2845" t="s">
        <v>157</v>
      </c>
      <c r="E2845" t="s">
        <v>386</v>
      </c>
      <c r="F2845" t="s">
        <v>12868</v>
      </c>
      <c r="G2845" t="s">
        <v>1238</v>
      </c>
      <c r="H2845" t="s">
        <v>12869</v>
      </c>
      <c r="I2845">
        <v>9565</v>
      </c>
      <c r="J2845" t="s">
        <v>12868</v>
      </c>
      <c r="K2845" t="s">
        <v>12868</v>
      </c>
      <c r="L2845" t="s">
        <v>386</v>
      </c>
      <c r="M2845" t="s">
        <v>1193</v>
      </c>
      <c r="N2845">
        <v>9565</v>
      </c>
      <c r="O2845">
        <v>0</v>
      </c>
      <c r="Q2845" t="s">
        <v>12870</v>
      </c>
      <c r="R2845" t="s">
        <v>398</v>
      </c>
      <c r="T2845">
        <v>185</v>
      </c>
      <c r="V2845" t="s">
        <v>1915</v>
      </c>
      <c r="Z2845" t="s">
        <v>12871</v>
      </c>
      <c r="AA2845" t="s">
        <v>387</v>
      </c>
      <c r="AB2845">
        <v>0</v>
      </c>
      <c r="AC2845">
        <v>3812</v>
      </c>
      <c r="AD2845" t="s">
        <v>12872</v>
      </c>
      <c r="AE2845">
        <v>1762</v>
      </c>
      <c r="AF2845" t="s">
        <v>12873</v>
      </c>
      <c r="AG2845" t="s">
        <v>1244</v>
      </c>
    </row>
    <row r="2846" spans="1:34" x14ac:dyDescent="0.25">
      <c r="A2846">
        <v>1866</v>
      </c>
      <c r="C2846" s="185"/>
      <c r="E2846" t="s">
        <v>386</v>
      </c>
      <c r="F2846" t="s">
        <v>12874</v>
      </c>
      <c r="G2846" t="s">
        <v>1197</v>
      </c>
      <c r="H2846" t="s">
        <v>12869</v>
      </c>
      <c r="I2846">
        <v>14960</v>
      </c>
      <c r="J2846" t="s">
        <v>12874</v>
      </c>
      <c r="K2846" t="s">
        <v>12875</v>
      </c>
      <c r="L2846" t="s">
        <v>386</v>
      </c>
      <c r="M2846" t="s">
        <v>1193</v>
      </c>
      <c r="N2846">
        <v>14960</v>
      </c>
      <c r="O2846">
        <v>0</v>
      </c>
      <c r="Q2846" t="s">
        <v>12876</v>
      </c>
      <c r="T2846">
        <v>260</v>
      </c>
      <c r="V2846" t="s">
        <v>1216</v>
      </c>
      <c r="W2846" t="s">
        <v>1216</v>
      </c>
      <c r="X2846">
        <v>260</v>
      </c>
      <c r="Z2846" t="s">
        <v>12871</v>
      </c>
      <c r="AA2846" t="s">
        <v>387</v>
      </c>
      <c r="AB2846">
        <v>0</v>
      </c>
      <c r="AC2846">
        <v>5692</v>
      </c>
      <c r="AD2846" t="s">
        <v>12877</v>
      </c>
      <c r="AE2846">
        <v>18</v>
      </c>
      <c r="AF2846" t="s">
        <v>1259</v>
      </c>
      <c r="AG2846" t="s">
        <v>1244</v>
      </c>
      <c r="AH2846" t="s">
        <v>12878</v>
      </c>
    </row>
    <row r="2847" spans="1:34" x14ac:dyDescent="0.25">
      <c r="A2847">
        <v>1366</v>
      </c>
      <c r="C2847" s="185"/>
      <c r="E2847" t="s">
        <v>386</v>
      </c>
      <c r="F2847" t="s">
        <v>12879</v>
      </c>
      <c r="G2847" t="s">
        <v>1197</v>
      </c>
      <c r="H2847" t="s">
        <v>12880</v>
      </c>
      <c r="I2847">
        <v>1901</v>
      </c>
      <c r="J2847" t="s">
        <v>12879</v>
      </c>
      <c r="K2847" t="s">
        <v>12879</v>
      </c>
      <c r="L2847" t="s">
        <v>386</v>
      </c>
      <c r="M2847" t="s">
        <v>1193</v>
      </c>
      <c r="N2847">
        <v>1901</v>
      </c>
      <c r="O2847">
        <v>0</v>
      </c>
      <c r="Q2847" t="s">
        <v>12881</v>
      </c>
      <c r="R2847" t="s">
        <v>1208</v>
      </c>
      <c r="T2847">
        <v>39</v>
      </c>
      <c r="V2847" t="s">
        <v>2144</v>
      </c>
      <c r="W2847" t="s">
        <v>1216</v>
      </c>
      <c r="X2847">
        <v>260</v>
      </c>
      <c r="Z2847" t="s">
        <v>12882</v>
      </c>
      <c r="AA2847" t="s">
        <v>387</v>
      </c>
      <c r="AB2847">
        <v>0</v>
      </c>
      <c r="AC2847">
        <v>1406</v>
      </c>
      <c r="AD2847" t="s">
        <v>12883</v>
      </c>
      <c r="AE2847">
        <v>678</v>
      </c>
      <c r="AF2847" t="s">
        <v>12884</v>
      </c>
      <c r="AG2847" t="s">
        <v>2336</v>
      </c>
    </row>
    <row r="2848" spans="1:34" x14ac:dyDescent="0.25">
      <c r="A2848">
        <v>1700</v>
      </c>
      <c r="C2848" s="185"/>
      <c r="E2848" t="s">
        <v>386</v>
      </c>
      <c r="F2848" t="s">
        <v>12885</v>
      </c>
      <c r="G2848" t="s">
        <v>1197</v>
      </c>
      <c r="H2848" t="s">
        <v>12886</v>
      </c>
      <c r="I2848">
        <v>5650</v>
      </c>
      <c r="J2848" t="s">
        <v>12885</v>
      </c>
      <c r="K2848" t="s">
        <v>12887</v>
      </c>
      <c r="L2848" t="s">
        <v>386</v>
      </c>
      <c r="M2848" t="s">
        <v>1193</v>
      </c>
      <c r="N2848">
        <v>5650</v>
      </c>
      <c r="O2848">
        <v>0</v>
      </c>
      <c r="Q2848" t="s">
        <v>12888</v>
      </c>
      <c r="T2848">
        <v>39</v>
      </c>
      <c r="V2848" t="s">
        <v>2144</v>
      </c>
      <c r="Z2848" t="s">
        <v>12889</v>
      </c>
      <c r="AA2848" t="s">
        <v>387</v>
      </c>
      <c r="AB2848">
        <v>0</v>
      </c>
      <c r="AC2848">
        <v>2662</v>
      </c>
      <c r="AD2848" t="s">
        <v>12890</v>
      </c>
      <c r="AE2848">
        <v>1282</v>
      </c>
      <c r="AF2848" t="s">
        <v>12891</v>
      </c>
      <c r="AG2848" t="s">
        <v>12892</v>
      </c>
      <c r="AH2848" t="s">
        <v>12893</v>
      </c>
    </row>
    <row r="2849" spans="1:34" x14ac:dyDescent="0.25">
      <c r="A2849">
        <v>22</v>
      </c>
      <c r="B2849" t="s">
        <v>1313</v>
      </c>
      <c r="C2849" s="185"/>
      <c r="D2849" t="s">
        <v>24</v>
      </c>
      <c r="E2849" t="s">
        <v>386</v>
      </c>
      <c r="F2849" t="s">
        <v>12894</v>
      </c>
      <c r="G2849" t="s">
        <v>1197</v>
      </c>
      <c r="H2849" t="s">
        <v>12895</v>
      </c>
      <c r="I2849">
        <v>1153</v>
      </c>
      <c r="J2849" t="s">
        <v>12894</v>
      </c>
      <c r="K2849" t="s">
        <v>12894</v>
      </c>
      <c r="L2849" t="s">
        <v>386</v>
      </c>
      <c r="M2849" t="s">
        <v>1193</v>
      </c>
      <c r="N2849">
        <v>1153</v>
      </c>
      <c r="O2849">
        <v>76</v>
      </c>
      <c r="Q2849" t="s">
        <v>12896</v>
      </c>
      <c r="R2849" t="s">
        <v>398</v>
      </c>
      <c r="S2849" t="s">
        <v>1909</v>
      </c>
      <c r="T2849">
        <v>220</v>
      </c>
      <c r="U2849">
        <v>0</v>
      </c>
      <c r="V2849" t="s">
        <v>1194</v>
      </c>
      <c r="W2849" t="s">
        <v>1194</v>
      </c>
      <c r="X2849">
        <v>220</v>
      </c>
      <c r="Y2849" t="s">
        <v>1317</v>
      </c>
      <c r="Z2849" t="s">
        <v>12897</v>
      </c>
      <c r="AA2849" t="s">
        <v>387</v>
      </c>
      <c r="AB2849">
        <v>0</v>
      </c>
      <c r="AC2849">
        <v>923</v>
      </c>
      <c r="AD2849" t="s">
        <v>12898</v>
      </c>
      <c r="AE2849">
        <v>432</v>
      </c>
      <c r="AF2849" t="s">
        <v>12899</v>
      </c>
      <c r="AG2849" t="s">
        <v>1244</v>
      </c>
      <c r="AH2849" t="s">
        <v>12900</v>
      </c>
    </row>
    <row r="2850" spans="1:34" x14ac:dyDescent="0.25">
      <c r="A2850">
        <v>22</v>
      </c>
      <c r="C2850" s="185"/>
      <c r="E2850" t="s">
        <v>386</v>
      </c>
      <c r="F2850" t="s">
        <v>12901</v>
      </c>
      <c r="G2850" t="s">
        <v>1197</v>
      </c>
      <c r="H2850" t="s">
        <v>12902</v>
      </c>
      <c r="I2850">
        <v>6829</v>
      </c>
      <c r="J2850" t="s">
        <v>12901</v>
      </c>
      <c r="K2850" t="s">
        <v>12901</v>
      </c>
      <c r="L2850" t="s">
        <v>386</v>
      </c>
      <c r="M2850" t="s">
        <v>1193</v>
      </c>
      <c r="N2850">
        <v>6829</v>
      </c>
      <c r="O2850">
        <v>0</v>
      </c>
      <c r="Q2850" t="s">
        <v>12903</v>
      </c>
      <c r="T2850">
        <v>189</v>
      </c>
      <c r="V2850" t="s">
        <v>1910</v>
      </c>
      <c r="Z2850" t="s">
        <v>12897</v>
      </c>
      <c r="AA2850" t="s">
        <v>387</v>
      </c>
      <c r="AB2850">
        <v>0</v>
      </c>
      <c r="AC2850">
        <v>2635</v>
      </c>
      <c r="AD2850" t="s">
        <v>7601</v>
      </c>
      <c r="AE2850">
        <v>658</v>
      </c>
      <c r="AF2850" t="s">
        <v>6549</v>
      </c>
      <c r="AG2850" t="s">
        <v>12904</v>
      </c>
    </row>
    <row r="2851" spans="1:34" x14ac:dyDescent="0.25">
      <c r="A2851">
        <v>204</v>
      </c>
      <c r="C2851" s="185"/>
      <c r="E2851" t="s">
        <v>386</v>
      </c>
      <c r="F2851" t="s">
        <v>15569</v>
      </c>
      <c r="G2851" t="s">
        <v>1197</v>
      </c>
      <c r="H2851" t="s">
        <v>15570</v>
      </c>
      <c r="I2851">
        <v>17731</v>
      </c>
      <c r="J2851" t="s">
        <v>15569</v>
      </c>
      <c r="K2851" t="s">
        <v>15571</v>
      </c>
      <c r="L2851" t="s">
        <v>386</v>
      </c>
      <c r="M2851" t="s">
        <v>1193</v>
      </c>
      <c r="N2851">
        <v>17731</v>
      </c>
      <c r="O2851">
        <v>0</v>
      </c>
      <c r="Q2851" t="s">
        <v>15572</v>
      </c>
      <c r="T2851">
        <v>473</v>
      </c>
      <c r="V2851" t="s">
        <v>1964</v>
      </c>
      <c r="W2851" t="s">
        <v>1964</v>
      </c>
      <c r="X2851">
        <v>473</v>
      </c>
      <c r="Z2851" t="s">
        <v>11919</v>
      </c>
      <c r="AA2851" t="s">
        <v>387</v>
      </c>
      <c r="AB2851">
        <v>0</v>
      </c>
      <c r="AC2851">
        <v>6625</v>
      </c>
      <c r="AD2851" t="s">
        <v>15573</v>
      </c>
      <c r="AE2851">
        <v>3060</v>
      </c>
      <c r="AF2851" t="s">
        <v>15574</v>
      </c>
      <c r="AG2851" t="s">
        <v>1952</v>
      </c>
      <c r="AH2851" t="s">
        <v>15575</v>
      </c>
    </row>
    <row r="2852" spans="1:34" x14ac:dyDescent="0.25">
      <c r="A2852">
        <v>1830</v>
      </c>
      <c r="C2852" s="185"/>
      <c r="E2852" t="s">
        <v>386</v>
      </c>
      <c r="F2852" t="s">
        <v>1897</v>
      </c>
      <c r="G2852" t="s">
        <v>4184</v>
      </c>
      <c r="H2852" t="s">
        <v>5862</v>
      </c>
      <c r="I2852">
        <v>8515</v>
      </c>
      <c r="J2852" t="s">
        <v>12905</v>
      </c>
      <c r="K2852" t="s">
        <v>12906</v>
      </c>
      <c r="L2852" t="s">
        <v>386</v>
      </c>
      <c r="M2852" t="s">
        <v>1193</v>
      </c>
      <c r="N2852">
        <v>0</v>
      </c>
      <c r="O2852">
        <v>0</v>
      </c>
      <c r="Q2852" t="s">
        <v>12907</v>
      </c>
      <c r="R2852" t="s">
        <v>398</v>
      </c>
      <c r="T2852">
        <v>23</v>
      </c>
      <c r="V2852" t="s">
        <v>1981</v>
      </c>
      <c r="Z2852" t="s">
        <v>5865</v>
      </c>
      <c r="AA2852" t="s">
        <v>387</v>
      </c>
      <c r="AB2852">
        <v>26000</v>
      </c>
      <c r="AC2852">
        <v>3416</v>
      </c>
      <c r="AD2852" t="s">
        <v>12908</v>
      </c>
      <c r="AE2852">
        <v>1553</v>
      </c>
      <c r="AF2852" t="s">
        <v>12909</v>
      </c>
      <c r="AG2852" t="s">
        <v>8484</v>
      </c>
    </row>
    <row r="2853" spans="1:34" x14ac:dyDescent="0.25">
      <c r="A2853">
        <v>1344</v>
      </c>
      <c r="C2853" s="185"/>
      <c r="E2853" t="s">
        <v>386</v>
      </c>
      <c r="F2853" t="s">
        <v>12910</v>
      </c>
      <c r="G2853" t="s">
        <v>1197</v>
      </c>
      <c r="H2853" t="s">
        <v>12911</v>
      </c>
      <c r="I2853">
        <v>14438</v>
      </c>
      <c r="J2853" t="s">
        <v>12910</v>
      </c>
      <c r="K2853" t="s">
        <v>12910</v>
      </c>
      <c r="L2853" t="s">
        <v>386</v>
      </c>
      <c r="M2853" t="s">
        <v>1193</v>
      </c>
      <c r="N2853">
        <v>14438</v>
      </c>
      <c r="O2853">
        <v>0</v>
      </c>
      <c r="Q2853" t="s">
        <v>12912</v>
      </c>
      <c r="R2853" t="s">
        <v>1223</v>
      </c>
      <c r="T2853">
        <v>372</v>
      </c>
      <c r="V2853" t="s">
        <v>2073</v>
      </c>
      <c r="W2853" t="s">
        <v>2024</v>
      </c>
      <c r="X2853">
        <v>52</v>
      </c>
      <c r="Z2853" t="s">
        <v>12913</v>
      </c>
      <c r="AA2853" t="s">
        <v>387</v>
      </c>
      <c r="AB2853">
        <v>0</v>
      </c>
      <c r="AC2853">
        <v>5490</v>
      </c>
      <c r="AD2853" t="s">
        <v>12914</v>
      </c>
      <c r="AE2853">
        <v>1</v>
      </c>
      <c r="AF2853" t="s">
        <v>1922</v>
      </c>
      <c r="AG2853" t="s">
        <v>12915</v>
      </c>
      <c r="AH2853" t="s">
        <v>12916</v>
      </c>
    </row>
    <row r="2854" spans="1:34" x14ac:dyDescent="0.25">
      <c r="A2854">
        <v>143</v>
      </c>
      <c r="C2854" s="185"/>
      <c r="E2854" t="s">
        <v>386</v>
      </c>
      <c r="F2854" t="s">
        <v>12917</v>
      </c>
      <c r="G2854" t="s">
        <v>1197</v>
      </c>
      <c r="H2854" t="s">
        <v>12918</v>
      </c>
      <c r="I2854">
        <v>13315</v>
      </c>
      <c r="J2854" t="s">
        <v>12917</v>
      </c>
      <c r="K2854" t="s">
        <v>12917</v>
      </c>
      <c r="L2854" t="s">
        <v>386</v>
      </c>
      <c r="M2854" t="s">
        <v>1193</v>
      </c>
      <c r="N2854">
        <v>13315</v>
      </c>
      <c r="O2854">
        <v>0</v>
      </c>
      <c r="Q2854" t="s">
        <v>12919</v>
      </c>
      <c r="R2854" t="s">
        <v>1208</v>
      </c>
      <c r="T2854">
        <v>571</v>
      </c>
      <c r="V2854" t="s">
        <v>2003</v>
      </c>
      <c r="W2854" t="s">
        <v>12920</v>
      </c>
      <c r="X2854">
        <v>346</v>
      </c>
      <c r="Z2854" t="s">
        <v>12921</v>
      </c>
      <c r="AA2854" t="s">
        <v>387</v>
      </c>
      <c r="AB2854">
        <v>0</v>
      </c>
      <c r="AC2854">
        <v>4989</v>
      </c>
      <c r="AD2854" t="s">
        <v>2794</v>
      </c>
      <c r="AE2854">
        <v>691</v>
      </c>
      <c r="AF2854" t="s">
        <v>6543</v>
      </c>
      <c r="AG2854" t="s">
        <v>12922</v>
      </c>
      <c r="AH2854" t="s">
        <v>1252</v>
      </c>
    </row>
    <row r="2855" spans="1:34" x14ac:dyDescent="0.25">
      <c r="A2855">
        <v>1683</v>
      </c>
      <c r="C2855" s="185"/>
      <c r="E2855" t="s">
        <v>386</v>
      </c>
      <c r="F2855" t="s">
        <v>12923</v>
      </c>
      <c r="G2855" t="s">
        <v>1197</v>
      </c>
      <c r="H2855" t="s">
        <v>12924</v>
      </c>
      <c r="I2855">
        <v>17382</v>
      </c>
      <c r="J2855" t="s">
        <v>12923</v>
      </c>
      <c r="K2855" t="s">
        <v>12923</v>
      </c>
      <c r="L2855" t="s">
        <v>386</v>
      </c>
      <c r="M2855" t="s">
        <v>1193</v>
      </c>
      <c r="N2855">
        <v>17382</v>
      </c>
      <c r="O2855">
        <v>0</v>
      </c>
      <c r="Q2855" t="s">
        <v>12925</v>
      </c>
      <c r="R2855" t="s">
        <v>1208</v>
      </c>
      <c r="T2855">
        <v>103</v>
      </c>
      <c r="V2855" t="s">
        <v>1530</v>
      </c>
      <c r="W2855" t="s">
        <v>1530</v>
      </c>
      <c r="X2855">
        <v>103</v>
      </c>
      <c r="Z2855" t="s">
        <v>12926</v>
      </c>
      <c r="AA2855" t="s">
        <v>387</v>
      </c>
      <c r="AB2855">
        <v>0</v>
      </c>
      <c r="AC2855">
        <v>6526</v>
      </c>
      <c r="AD2855" t="s">
        <v>12927</v>
      </c>
      <c r="AE2855">
        <v>3011</v>
      </c>
      <c r="AF2855" t="s">
        <v>12928</v>
      </c>
      <c r="AG2855" t="s">
        <v>12929</v>
      </c>
      <c r="AH2855" t="s">
        <v>12930</v>
      </c>
    </row>
    <row r="2856" spans="1:34" x14ac:dyDescent="0.25">
      <c r="A2856">
        <v>132</v>
      </c>
      <c r="C2856" s="185"/>
      <c r="E2856" t="s">
        <v>386</v>
      </c>
      <c r="F2856" t="s">
        <v>12931</v>
      </c>
      <c r="G2856" t="s">
        <v>1197</v>
      </c>
      <c r="H2856" t="s">
        <v>12932</v>
      </c>
      <c r="I2856">
        <v>17106</v>
      </c>
      <c r="J2856" t="s">
        <v>12931</v>
      </c>
      <c r="K2856" t="s">
        <v>12931</v>
      </c>
      <c r="L2856" t="s">
        <v>386</v>
      </c>
      <c r="M2856" t="s">
        <v>1193</v>
      </c>
      <c r="N2856">
        <v>17106</v>
      </c>
      <c r="O2856">
        <v>0</v>
      </c>
      <c r="Q2856" t="s">
        <v>12933</v>
      </c>
      <c r="T2856">
        <v>473</v>
      </c>
      <c r="V2856" t="s">
        <v>1964</v>
      </c>
      <c r="W2856" t="s">
        <v>1964</v>
      </c>
      <c r="X2856">
        <v>473</v>
      </c>
      <c r="Z2856" t="s">
        <v>12934</v>
      </c>
      <c r="AA2856" t="s">
        <v>387</v>
      </c>
      <c r="AB2856">
        <v>0</v>
      </c>
      <c r="AC2856">
        <v>6450</v>
      </c>
      <c r="AD2856" t="s">
        <v>12935</v>
      </c>
      <c r="AE2856">
        <v>2972</v>
      </c>
      <c r="AF2856" t="s">
        <v>12936</v>
      </c>
      <c r="AG2856" t="s">
        <v>4097</v>
      </c>
      <c r="AH2856" t="s">
        <v>12937</v>
      </c>
    </row>
    <row r="2857" spans="1:34" x14ac:dyDescent="0.25">
      <c r="A2857">
        <v>1788</v>
      </c>
      <c r="C2857" s="185"/>
      <c r="E2857" t="s">
        <v>386</v>
      </c>
      <c r="F2857" t="s">
        <v>12938</v>
      </c>
      <c r="G2857" t="s">
        <v>1197</v>
      </c>
      <c r="H2857" t="s">
        <v>12939</v>
      </c>
      <c r="I2857">
        <v>14579</v>
      </c>
      <c r="J2857" t="s">
        <v>12938</v>
      </c>
      <c r="K2857" t="s">
        <v>12940</v>
      </c>
      <c r="L2857" t="s">
        <v>386</v>
      </c>
      <c r="M2857" t="s">
        <v>1193</v>
      </c>
      <c r="N2857">
        <v>14579</v>
      </c>
      <c r="O2857">
        <v>0</v>
      </c>
      <c r="Q2857" t="s">
        <v>12941</v>
      </c>
      <c r="R2857" t="s">
        <v>1208</v>
      </c>
      <c r="T2857">
        <v>517</v>
      </c>
      <c r="V2857" t="s">
        <v>4167</v>
      </c>
      <c r="W2857" t="s">
        <v>2073</v>
      </c>
      <c r="X2857">
        <v>372</v>
      </c>
      <c r="Z2857" t="s">
        <v>12942</v>
      </c>
      <c r="AA2857" t="s">
        <v>387</v>
      </c>
      <c r="AB2857">
        <v>0</v>
      </c>
      <c r="AC2857">
        <v>290</v>
      </c>
      <c r="AD2857" t="s">
        <v>3916</v>
      </c>
      <c r="AE2857">
        <v>2570</v>
      </c>
      <c r="AF2857" t="s">
        <v>12943</v>
      </c>
      <c r="AG2857" t="s">
        <v>12944</v>
      </c>
      <c r="AH2857" t="s">
        <v>12945</v>
      </c>
    </row>
    <row r="2858" spans="1:34" x14ac:dyDescent="0.25">
      <c r="A2858">
        <v>1788</v>
      </c>
      <c r="B2858" t="s">
        <v>1313</v>
      </c>
      <c r="C2858" s="185"/>
      <c r="E2858" t="s">
        <v>386</v>
      </c>
      <c r="F2858" t="s">
        <v>12946</v>
      </c>
      <c r="G2858" t="s">
        <v>1197</v>
      </c>
      <c r="H2858" t="s">
        <v>12947</v>
      </c>
      <c r="I2858">
        <v>15821</v>
      </c>
      <c r="J2858" t="s">
        <v>12946</v>
      </c>
      <c r="K2858" t="s">
        <v>12948</v>
      </c>
      <c r="L2858" t="s">
        <v>386</v>
      </c>
      <c r="M2858" t="s">
        <v>1193</v>
      </c>
      <c r="N2858">
        <v>15821</v>
      </c>
      <c r="O2858">
        <v>76</v>
      </c>
      <c r="Q2858" t="s">
        <v>12949</v>
      </c>
      <c r="R2858" t="s">
        <v>398</v>
      </c>
      <c r="S2858" t="s">
        <v>7693</v>
      </c>
      <c r="T2858">
        <v>220</v>
      </c>
      <c r="U2858">
        <v>0</v>
      </c>
      <c r="V2858" t="s">
        <v>1194</v>
      </c>
      <c r="W2858" t="s">
        <v>2186</v>
      </c>
      <c r="X2858">
        <v>396</v>
      </c>
      <c r="Y2858" t="s">
        <v>1317</v>
      </c>
      <c r="Z2858" t="s">
        <v>12942</v>
      </c>
      <c r="AA2858" t="s">
        <v>387</v>
      </c>
      <c r="AB2858">
        <v>0</v>
      </c>
      <c r="AC2858">
        <v>5956</v>
      </c>
      <c r="AD2858" t="s">
        <v>12950</v>
      </c>
      <c r="AE2858">
        <v>3</v>
      </c>
      <c r="AF2858" t="s">
        <v>1235</v>
      </c>
      <c r="AG2858" t="s">
        <v>12951</v>
      </c>
      <c r="AH2858" t="s">
        <v>12952</v>
      </c>
    </row>
    <row r="2859" spans="1:34" x14ac:dyDescent="0.25">
      <c r="A2859">
        <v>1</v>
      </c>
      <c r="C2859" s="185"/>
      <c r="E2859" t="s">
        <v>386</v>
      </c>
      <c r="F2859" t="s">
        <v>12953</v>
      </c>
      <c r="G2859" t="s">
        <v>1192</v>
      </c>
      <c r="I2859">
        <v>2979</v>
      </c>
      <c r="J2859" t="s">
        <v>12953</v>
      </c>
      <c r="K2859" t="s">
        <v>12953</v>
      </c>
      <c r="L2859" t="s">
        <v>386</v>
      </c>
      <c r="M2859" t="s">
        <v>1184</v>
      </c>
      <c r="N2859">
        <v>2979</v>
      </c>
      <c r="O2859">
        <v>0</v>
      </c>
      <c r="Q2859" t="s">
        <v>12954</v>
      </c>
      <c r="R2859" t="s">
        <v>1208</v>
      </c>
      <c r="T2859">
        <v>35</v>
      </c>
      <c r="V2859" t="s">
        <v>2015</v>
      </c>
      <c r="Z2859" t="s">
        <v>865</v>
      </c>
      <c r="AA2859" t="s">
        <v>387</v>
      </c>
      <c r="AB2859">
        <v>0</v>
      </c>
      <c r="AC2859">
        <v>1997</v>
      </c>
      <c r="AD2859" t="s">
        <v>12955</v>
      </c>
      <c r="AE2859">
        <v>58</v>
      </c>
      <c r="AF2859" t="s">
        <v>12956</v>
      </c>
      <c r="AG2859" t="s">
        <v>7141</v>
      </c>
      <c r="AH2859" t="s">
        <v>12957</v>
      </c>
    </row>
    <row r="2860" spans="1:34" x14ac:dyDescent="0.25">
      <c r="A2860">
        <v>1797</v>
      </c>
      <c r="C2860" s="185"/>
      <c r="D2860" t="s">
        <v>24</v>
      </c>
      <c r="E2860" t="s">
        <v>386</v>
      </c>
      <c r="F2860" t="s">
        <v>12958</v>
      </c>
      <c r="G2860" t="s">
        <v>1197</v>
      </c>
      <c r="H2860" t="s">
        <v>12959</v>
      </c>
      <c r="I2860">
        <v>7257</v>
      </c>
      <c r="J2860" t="s">
        <v>12958</v>
      </c>
      <c r="K2860" t="s">
        <v>12958</v>
      </c>
      <c r="L2860" t="s">
        <v>386</v>
      </c>
      <c r="M2860" t="s">
        <v>1193</v>
      </c>
      <c r="N2860">
        <v>7257</v>
      </c>
      <c r="O2860">
        <v>76</v>
      </c>
      <c r="Q2860" t="s">
        <v>12960</v>
      </c>
      <c r="R2860" t="s">
        <v>398</v>
      </c>
      <c r="T2860">
        <v>220</v>
      </c>
      <c r="V2860" t="s">
        <v>1194</v>
      </c>
      <c r="W2860" t="s">
        <v>2073</v>
      </c>
      <c r="X2860">
        <v>372</v>
      </c>
      <c r="Z2860" t="s">
        <v>12961</v>
      </c>
      <c r="AA2860" t="s">
        <v>387</v>
      </c>
      <c r="AB2860">
        <v>0</v>
      </c>
      <c r="AC2860">
        <v>4903</v>
      </c>
      <c r="AD2860" t="s">
        <v>12962</v>
      </c>
      <c r="AE2860">
        <v>786</v>
      </c>
      <c r="AF2860" t="s">
        <v>12963</v>
      </c>
      <c r="AG2860" t="s">
        <v>2044</v>
      </c>
      <c r="AH2860" t="s">
        <v>12964</v>
      </c>
    </row>
    <row r="2861" spans="1:34" x14ac:dyDescent="0.25">
      <c r="A2861">
        <v>1665</v>
      </c>
      <c r="C2861" s="185"/>
      <c r="E2861" t="s">
        <v>386</v>
      </c>
      <c r="F2861" t="s">
        <v>506</v>
      </c>
      <c r="G2861" t="s">
        <v>1197</v>
      </c>
      <c r="H2861" t="s">
        <v>6013</v>
      </c>
      <c r="I2861">
        <v>15799</v>
      </c>
      <c r="J2861" t="s">
        <v>506</v>
      </c>
      <c r="K2861" t="s">
        <v>12965</v>
      </c>
      <c r="L2861" t="s">
        <v>386</v>
      </c>
      <c r="M2861" t="s">
        <v>1193</v>
      </c>
      <c r="N2861">
        <v>15799</v>
      </c>
      <c r="O2861">
        <v>0</v>
      </c>
      <c r="Q2861" t="s">
        <v>12966</v>
      </c>
      <c r="T2861">
        <v>426</v>
      </c>
      <c r="V2861" t="s">
        <v>1257</v>
      </c>
      <c r="W2861" t="s">
        <v>1257</v>
      </c>
      <c r="X2861">
        <v>426</v>
      </c>
      <c r="Z2861" t="s">
        <v>6017</v>
      </c>
      <c r="AA2861" t="s">
        <v>387</v>
      </c>
      <c r="AB2861">
        <v>0</v>
      </c>
      <c r="AC2861">
        <v>2550</v>
      </c>
      <c r="AD2861" t="s">
        <v>6619</v>
      </c>
      <c r="AE2861">
        <v>18</v>
      </c>
      <c r="AF2861" t="s">
        <v>1259</v>
      </c>
      <c r="AG2861" t="s">
        <v>1244</v>
      </c>
      <c r="AH2861" t="s">
        <v>12967</v>
      </c>
    </row>
    <row r="2862" spans="1:34" x14ac:dyDescent="0.25">
      <c r="A2862">
        <v>1665</v>
      </c>
      <c r="C2862" s="185"/>
      <c r="D2862" t="s">
        <v>157</v>
      </c>
      <c r="E2862" t="s">
        <v>386</v>
      </c>
      <c r="F2862" t="s">
        <v>365</v>
      </c>
      <c r="G2862" t="s">
        <v>4184</v>
      </c>
      <c r="H2862" t="s">
        <v>6013</v>
      </c>
      <c r="I2862">
        <v>8460</v>
      </c>
      <c r="J2862" t="s">
        <v>12968</v>
      </c>
      <c r="K2862" t="s">
        <v>7375</v>
      </c>
      <c r="L2862" t="s">
        <v>386</v>
      </c>
      <c r="M2862" t="s">
        <v>1193</v>
      </c>
      <c r="N2862">
        <v>15356</v>
      </c>
      <c r="O2862">
        <v>59</v>
      </c>
      <c r="Q2862" t="s">
        <v>12969</v>
      </c>
      <c r="R2862" t="s">
        <v>398</v>
      </c>
      <c r="T2862">
        <v>272</v>
      </c>
      <c r="V2862" t="s">
        <v>2107</v>
      </c>
      <c r="W2862" t="s">
        <v>3321</v>
      </c>
      <c r="X2862">
        <v>246</v>
      </c>
      <c r="Z2862" t="s">
        <v>6017</v>
      </c>
      <c r="AA2862" t="s">
        <v>387</v>
      </c>
      <c r="AB2862">
        <v>51000</v>
      </c>
      <c r="AC2862">
        <v>3385</v>
      </c>
      <c r="AD2862" t="s">
        <v>12970</v>
      </c>
      <c r="AE2862">
        <v>18</v>
      </c>
      <c r="AF2862" t="s">
        <v>1259</v>
      </c>
      <c r="AG2862" t="s">
        <v>1244</v>
      </c>
    </row>
    <row r="2863" spans="1:34" x14ac:dyDescent="0.25">
      <c r="A2863">
        <v>1479</v>
      </c>
      <c r="C2863" s="185"/>
      <c r="E2863" t="s">
        <v>386</v>
      </c>
      <c r="F2863" t="s">
        <v>12971</v>
      </c>
      <c r="G2863" t="s">
        <v>1197</v>
      </c>
      <c r="H2863" t="s">
        <v>12972</v>
      </c>
      <c r="I2863">
        <v>13675</v>
      </c>
      <c r="J2863" t="s">
        <v>12971</v>
      </c>
      <c r="K2863" t="s">
        <v>12973</v>
      </c>
      <c r="L2863" t="s">
        <v>386</v>
      </c>
      <c r="M2863" t="s">
        <v>1193</v>
      </c>
      <c r="N2863">
        <v>13675</v>
      </c>
      <c r="O2863">
        <v>0</v>
      </c>
      <c r="Q2863" t="s">
        <v>12974</v>
      </c>
      <c r="R2863" t="s">
        <v>1208</v>
      </c>
      <c r="T2863">
        <v>103</v>
      </c>
      <c r="V2863" t="s">
        <v>1530</v>
      </c>
      <c r="W2863" t="s">
        <v>1530</v>
      </c>
      <c r="X2863">
        <v>103</v>
      </c>
      <c r="Z2863" t="s">
        <v>2665</v>
      </c>
      <c r="AA2863" t="s">
        <v>387</v>
      </c>
      <c r="AB2863">
        <v>0</v>
      </c>
      <c r="AC2863">
        <v>5145</v>
      </c>
      <c r="AD2863" t="s">
        <v>12975</v>
      </c>
      <c r="AE2863">
        <v>1225</v>
      </c>
      <c r="AF2863" t="s">
        <v>12976</v>
      </c>
      <c r="AG2863" t="s">
        <v>12977</v>
      </c>
      <c r="AH2863" t="s">
        <v>12978</v>
      </c>
    </row>
    <row r="2864" spans="1:34" x14ac:dyDescent="0.25">
      <c r="A2864">
        <v>2081</v>
      </c>
      <c r="C2864" s="185"/>
      <c r="E2864" t="s">
        <v>386</v>
      </c>
      <c r="F2864" t="s">
        <v>12979</v>
      </c>
      <c r="G2864" t="s">
        <v>1197</v>
      </c>
      <c r="H2864" t="s">
        <v>12980</v>
      </c>
      <c r="I2864">
        <v>14072</v>
      </c>
      <c r="J2864" t="s">
        <v>12979</v>
      </c>
      <c r="K2864" t="s">
        <v>12981</v>
      </c>
      <c r="L2864" t="s">
        <v>386</v>
      </c>
      <c r="M2864" t="s">
        <v>1193</v>
      </c>
      <c r="N2864">
        <v>14072</v>
      </c>
      <c r="O2864">
        <v>0</v>
      </c>
      <c r="Q2864" t="s">
        <v>12982</v>
      </c>
      <c r="R2864" t="s">
        <v>398</v>
      </c>
      <c r="T2864">
        <v>103</v>
      </c>
      <c r="V2864" t="s">
        <v>1530</v>
      </c>
      <c r="W2864" t="s">
        <v>1530</v>
      </c>
      <c r="X2864">
        <v>103</v>
      </c>
      <c r="Z2864" t="s">
        <v>12983</v>
      </c>
      <c r="AA2864" t="s">
        <v>387</v>
      </c>
      <c r="AB2864">
        <v>0</v>
      </c>
      <c r="AC2864">
        <v>5320</v>
      </c>
      <c r="AD2864" t="s">
        <v>12984</v>
      </c>
      <c r="AE2864">
        <v>2468</v>
      </c>
      <c r="AF2864" t="s">
        <v>12985</v>
      </c>
      <c r="AG2864" t="s">
        <v>2044</v>
      </c>
    </row>
    <row r="2865" spans="1:34" x14ac:dyDescent="0.25">
      <c r="A2865">
        <v>86</v>
      </c>
      <c r="C2865" s="185"/>
      <c r="E2865" t="s">
        <v>386</v>
      </c>
      <c r="F2865" t="s">
        <v>12666</v>
      </c>
      <c r="G2865" t="s">
        <v>1197</v>
      </c>
      <c r="H2865" t="s">
        <v>12986</v>
      </c>
      <c r="I2865">
        <v>1169</v>
      </c>
      <c r="J2865" t="s">
        <v>12666</v>
      </c>
      <c r="K2865" t="s">
        <v>12666</v>
      </c>
      <c r="L2865" t="s">
        <v>386</v>
      </c>
      <c r="M2865" t="s">
        <v>1193</v>
      </c>
      <c r="N2865">
        <v>1169</v>
      </c>
      <c r="O2865">
        <v>0</v>
      </c>
      <c r="Q2865" t="s">
        <v>12987</v>
      </c>
      <c r="T2865">
        <v>0</v>
      </c>
      <c r="V2865" t="s">
        <v>1186</v>
      </c>
      <c r="Z2865" t="s">
        <v>12988</v>
      </c>
      <c r="AA2865" t="s">
        <v>387</v>
      </c>
      <c r="AB2865">
        <v>0</v>
      </c>
      <c r="AC2865">
        <v>935</v>
      </c>
      <c r="AD2865" t="s">
        <v>12989</v>
      </c>
      <c r="AE2865">
        <v>1</v>
      </c>
      <c r="AF2865" t="s">
        <v>1922</v>
      </c>
      <c r="AG2865" t="s">
        <v>12990</v>
      </c>
      <c r="AH2865" t="s">
        <v>12669</v>
      </c>
    </row>
    <row r="2866" spans="1:34" x14ac:dyDescent="0.25">
      <c r="A2866">
        <v>86</v>
      </c>
      <c r="B2866" t="s">
        <v>1313</v>
      </c>
      <c r="C2866" s="185"/>
      <c r="E2866" t="s">
        <v>386</v>
      </c>
      <c r="F2866" t="s">
        <v>12991</v>
      </c>
      <c r="G2866" t="s">
        <v>1197</v>
      </c>
      <c r="H2866" t="s">
        <v>12992</v>
      </c>
      <c r="I2866">
        <v>1632</v>
      </c>
      <c r="J2866" t="s">
        <v>12991</v>
      </c>
      <c r="K2866" t="s">
        <v>12991</v>
      </c>
      <c r="L2866" t="s">
        <v>386</v>
      </c>
      <c r="M2866" t="s">
        <v>1193</v>
      </c>
      <c r="N2866">
        <v>1632</v>
      </c>
      <c r="O2866">
        <v>0</v>
      </c>
      <c r="Q2866" t="s">
        <v>12993</v>
      </c>
      <c r="S2866" t="s">
        <v>1315</v>
      </c>
      <c r="T2866">
        <v>200</v>
      </c>
      <c r="U2866">
        <v>0</v>
      </c>
      <c r="V2866" t="s">
        <v>1199</v>
      </c>
      <c r="W2866" t="s">
        <v>6218</v>
      </c>
      <c r="X2866">
        <v>181</v>
      </c>
      <c r="Y2866" t="s">
        <v>1317</v>
      </c>
      <c r="Z2866" t="s">
        <v>12988</v>
      </c>
      <c r="AA2866" t="s">
        <v>387</v>
      </c>
      <c r="AB2866">
        <v>0</v>
      </c>
      <c r="AC2866">
        <v>1105</v>
      </c>
      <c r="AD2866" t="s">
        <v>12994</v>
      </c>
      <c r="AE2866">
        <v>588</v>
      </c>
      <c r="AF2866" t="s">
        <v>12995</v>
      </c>
      <c r="AG2866" t="s">
        <v>7341</v>
      </c>
      <c r="AH2866" t="s">
        <v>12996</v>
      </c>
    </row>
    <row r="2867" spans="1:34" x14ac:dyDescent="0.25">
      <c r="A2867">
        <v>86</v>
      </c>
      <c r="C2867" s="185"/>
      <c r="E2867" t="s">
        <v>386</v>
      </c>
      <c r="F2867" t="s">
        <v>12997</v>
      </c>
      <c r="G2867" t="s">
        <v>1197</v>
      </c>
      <c r="H2867" t="s">
        <v>12998</v>
      </c>
      <c r="I2867">
        <v>5488</v>
      </c>
      <c r="J2867" t="s">
        <v>12997</v>
      </c>
      <c r="K2867" t="s">
        <v>12999</v>
      </c>
      <c r="L2867" t="s">
        <v>386</v>
      </c>
      <c r="M2867" t="s">
        <v>1193</v>
      </c>
      <c r="N2867">
        <v>5488</v>
      </c>
      <c r="O2867">
        <v>0</v>
      </c>
      <c r="Q2867" t="s">
        <v>13000</v>
      </c>
      <c r="T2867">
        <v>22</v>
      </c>
      <c r="V2867" t="s">
        <v>13001</v>
      </c>
      <c r="Z2867" t="s">
        <v>12988</v>
      </c>
      <c r="AA2867" t="s">
        <v>387</v>
      </c>
      <c r="AB2867">
        <v>0</v>
      </c>
      <c r="AC2867">
        <v>2618</v>
      </c>
      <c r="AD2867" t="s">
        <v>13002</v>
      </c>
      <c r="AE2867">
        <v>53</v>
      </c>
      <c r="AF2867" t="s">
        <v>2455</v>
      </c>
      <c r="AG2867" t="s">
        <v>13003</v>
      </c>
    </row>
    <row r="2868" spans="1:34" x14ac:dyDescent="0.25">
      <c r="A2868">
        <v>1800</v>
      </c>
      <c r="C2868" s="185"/>
      <c r="D2868" t="s">
        <v>157</v>
      </c>
      <c r="E2868" t="s">
        <v>386</v>
      </c>
      <c r="F2868" t="s">
        <v>13004</v>
      </c>
      <c r="G2868" t="s">
        <v>1238</v>
      </c>
      <c r="H2868" t="s">
        <v>13005</v>
      </c>
      <c r="I2868">
        <v>9367</v>
      </c>
      <c r="J2868" t="s">
        <v>13004</v>
      </c>
      <c r="K2868" t="s">
        <v>13004</v>
      </c>
      <c r="L2868" t="s">
        <v>386</v>
      </c>
      <c r="M2868" t="s">
        <v>1193</v>
      </c>
      <c r="N2868">
        <v>9367</v>
      </c>
      <c r="O2868">
        <v>0</v>
      </c>
      <c r="Q2868" t="s">
        <v>13006</v>
      </c>
      <c r="R2868" t="s">
        <v>398</v>
      </c>
      <c r="T2868">
        <v>185</v>
      </c>
      <c r="V2868" t="s">
        <v>1915</v>
      </c>
      <c r="Z2868" t="s">
        <v>13007</v>
      </c>
      <c r="AA2868" t="s">
        <v>387</v>
      </c>
      <c r="AB2868">
        <v>0</v>
      </c>
      <c r="AC2868">
        <v>3740</v>
      </c>
      <c r="AD2868" t="s">
        <v>13008</v>
      </c>
      <c r="AE2868">
        <v>1732</v>
      </c>
      <c r="AF2868" t="s">
        <v>13009</v>
      </c>
      <c r="AG2868" t="s">
        <v>1244</v>
      </c>
    </row>
    <row r="2869" spans="1:34" x14ac:dyDescent="0.25">
      <c r="A2869">
        <v>33</v>
      </c>
      <c r="C2869" s="185"/>
      <c r="D2869" t="s">
        <v>24</v>
      </c>
      <c r="E2869" t="s">
        <v>386</v>
      </c>
      <c r="F2869" t="s">
        <v>1114</v>
      </c>
      <c r="G2869" t="s">
        <v>1197</v>
      </c>
      <c r="H2869" t="s">
        <v>13010</v>
      </c>
      <c r="I2869">
        <v>16453</v>
      </c>
      <c r="J2869" t="s">
        <v>1114</v>
      </c>
      <c r="K2869" t="s">
        <v>1114</v>
      </c>
      <c r="L2869" t="s">
        <v>386</v>
      </c>
      <c r="M2869" t="s">
        <v>1193</v>
      </c>
      <c r="N2869">
        <v>16453</v>
      </c>
      <c r="O2869">
        <v>76</v>
      </c>
      <c r="Q2869" t="s">
        <v>13011</v>
      </c>
      <c r="R2869" t="s">
        <v>398</v>
      </c>
      <c r="T2869">
        <v>521</v>
      </c>
      <c r="V2869" t="s">
        <v>6311</v>
      </c>
      <c r="W2869" t="s">
        <v>1194</v>
      </c>
      <c r="X2869">
        <v>220</v>
      </c>
      <c r="Z2869" t="s">
        <v>1115</v>
      </c>
      <c r="AA2869" t="s">
        <v>387</v>
      </c>
      <c r="AB2869">
        <v>0</v>
      </c>
      <c r="AC2869">
        <v>3312</v>
      </c>
      <c r="AD2869" t="s">
        <v>13012</v>
      </c>
      <c r="AE2869">
        <v>418</v>
      </c>
      <c r="AF2869" t="s">
        <v>13013</v>
      </c>
      <c r="AG2869" t="s">
        <v>1244</v>
      </c>
      <c r="AH2869" t="s">
        <v>13014</v>
      </c>
    </row>
    <row r="2870" spans="1:34" x14ac:dyDescent="0.25">
      <c r="A2870">
        <v>33</v>
      </c>
      <c r="B2870" t="s">
        <v>1313</v>
      </c>
      <c r="C2870" s="185"/>
      <c r="D2870" t="s">
        <v>24</v>
      </c>
      <c r="E2870" t="s">
        <v>386</v>
      </c>
      <c r="F2870" t="s">
        <v>583</v>
      </c>
      <c r="G2870" t="s">
        <v>1197</v>
      </c>
      <c r="H2870" t="s">
        <v>13015</v>
      </c>
      <c r="I2870">
        <v>13018</v>
      </c>
      <c r="J2870" t="s">
        <v>585</v>
      </c>
      <c r="K2870" t="s">
        <v>13016</v>
      </c>
      <c r="L2870" t="s">
        <v>386</v>
      </c>
      <c r="M2870" t="s">
        <v>1193</v>
      </c>
      <c r="N2870">
        <v>16723</v>
      </c>
      <c r="O2870">
        <v>76</v>
      </c>
      <c r="Q2870" t="s">
        <v>13017</v>
      </c>
      <c r="R2870" t="s">
        <v>398</v>
      </c>
      <c r="S2870" t="s">
        <v>1909</v>
      </c>
      <c r="T2870">
        <v>396</v>
      </c>
      <c r="U2870">
        <v>0</v>
      </c>
      <c r="V2870" t="s">
        <v>2186</v>
      </c>
      <c r="W2870" t="s">
        <v>1216</v>
      </c>
      <c r="X2870">
        <v>260</v>
      </c>
      <c r="Y2870" t="s">
        <v>1317</v>
      </c>
      <c r="Z2870" t="s">
        <v>1115</v>
      </c>
      <c r="AA2870" t="s">
        <v>387</v>
      </c>
      <c r="AB2870">
        <v>69000</v>
      </c>
      <c r="AC2870">
        <v>3190</v>
      </c>
      <c r="AD2870" t="s">
        <v>11186</v>
      </c>
      <c r="AE2870">
        <v>2248</v>
      </c>
      <c r="AF2870" t="s">
        <v>13018</v>
      </c>
      <c r="AG2870" t="s">
        <v>1244</v>
      </c>
      <c r="AH2870" t="s">
        <v>13019</v>
      </c>
    </row>
    <row r="2871" spans="1:34" x14ac:dyDescent="0.25">
      <c r="A2871">
        <v>33</v>
      </c>
      <c r="B2871" t="s">
        <v>1313</v>
      </c>
      <c r="C2871" s="185"/>
      <c r="D2871" t="s">
        <v>24</v>
      </c>
      <c r="E2871" t="s">
        <v>386</v>
      </c>
      <c r="F2871" t="s">
        <v>265</v>
      </c>
      <c r="G2871" t="s">
        <v>1197</v>
      </c>
      <c r="H2871" t="s">
        <v>13020</v>
      </c>
      <c r="I2871">
        <v>10413</v>
      </c>
      <c r="J2871" t="s">
        <v>265</v>
      </c>
      <c r="K2871" t="s">
        <v>13021</v>
      </c>
      <c r="L2871" t="s">
        <v>386</v>
      </c>
      <c r="M2871" t="s">
        <v>1193</v>
      </c>
      <c r="N2871">
        <v>10413</v>
      </c>
      <c r="O2871">
        <v>76</v>
      </c>
      <c r="Q2871" t="s">
        <v>13022</v>
      </c>
      <c r="R2871" t="s">
        <v>398</v>
      </c>
      <c r="S2871" t="s">
        <v>11557</v>
      </c>
      <c r="T2871">
        <v>220</v>
      </c>
      <c r="U2871">
        <v>0</v>
      </c>
      <c r="V2871" t="s">
        <v>1194</v>
      </c>
      <c r="W2871" t="s">
        <v>1200</v>
      </c>
      <c r="X2871">
        <v>340</v>
      </c>
      <c r="Y2871" t="s">
        <v>1317</v>
      </c>
      <c r="Z2871" t="s">
        <v>1115</v>
      </c>
      <c r="AA2871" t="s">
        <v>387</v>
      </c>
      <c r="AB2871">
        <v>0</v>
      </c>
      <c r="AC2871">
        <v>6394</v>
      </c>
      <c r="AD2871" t="s">
        <v>13023</v>
      </c>
      <c r="AE2871">
        <v>534</v>
      </c>
      <c r="AF2871" t="s">
        <v>13024</v>
      </c>
      <c r="AG2871" t="s">
        <v>13025</v>
      </c>
      <c r="AH2871" t="s">
        <v>13026</v>
      </c>
    </row>
    <row r="2872" spans="1:34" x14ac:dyDescent="0.25">
      <c r="A2872">
        <v>33</v>
      </c>
      <c r="C2872" s="185"/>
      <c r="E2872" t="s">
        <v>386</v>
      </c>
      <c r="F2872" t="s">
        <v>13027</v>
      </c>
      <c r="G2872" t="s">
        <v>1197</v>
      </c>
      <c r="H2872" t="s">
        <v>13028</v>
      </c>
      <c r="I2872">
        <v>16934</v>
      </c>
      <c r="J2872" t="s">
        <v>13027</v>
      </c>
      <c r="K2872" t="s">
        <v>13027</v>
      </c>
      <c r="L2872" t="s">
        <v>386</v>
      </c>
      <c r="M2872" t="s">
        <v>1193</v>
      </c>
      <c r="N2872">
        <v>16934</v>
      </c>
      <c r="O2872">
        <v>0</v>
      </c>
      <c r="Q2872" t="s">
        <v>13029</v>
      </c>
      <c r="T2872">
        <v>259</v>
      </c>
      <c r="V2872" t="s">
        <v>1215</v>
      </c>
      <c r="W2872" t="s">
        <v>1215</v>
      </c>
      <c r="X2872">
        <v>259</v>
      </c>
      <c r="Z2872" t="s">
        <v>1115</v>
      </c>
      <c r="AA2872" t="s">
        <v>387</v>
      </c>
      <c r="AB2872">
        <v>0</v>
      </c>
      <c r="AC2872">
        <v>6301</v>
      </c>
      <c r="AD2872" t="s">
        <v>13030</v>
      </c>
      <c r="AE2872">
        <v>2119</v>
      </c>
      <c r="AF2872" t="s">
        <v>13031</v>
      </c>
      <c r="AG2872" t="s">
        <v>1952</v>
      </c>
      <c r="AH2872" t="s">
        <v>13032</v>
      </c>
    </row>
    <row r="2873" spans="1:34" x14ac:dyDescent="0.25">
      <c r="A2873">
        <v>33</v>
      </c>
      <c r="C2873" s="185"/>
      <c r="E2873" t="s">
        <v>386</v>
      </c>
      <c r="F2873" t="s">
        <v>13033</v>
      </c>
      <c r="G2873" t="s">
        <v>1197</v>
      </c>
      <c r="H2873" t="s">
        <v>13034</v>
      </c>
      <c r="I2873">
        <v>13897</v>
      </c>
      <c r="J2873" t="s">
        <v>13033</v>
      </c>
      <c r="K2873" t="s">
        <v>13035</v>
      </c>
      <c r="L2873" t="s">
        <v>386</v>
      </c>
      <c r="M2873" t="s">
        <v>1193</v>
      </c>
      <c r="N2873">
        <v>13897</v>
      </c>
      <c r="O2873">
        <v>0</v>
      </c>
      <c r="Q2873" t="s">
        <v>13036</v>
      </c>
      <c r="T2873">
        <v>260</v>
      </c>
      <c r="V2873" t="s">
        <v>1216</v>
      </c>
      <c r="W2873" t="s">
        <v>3129</v>
      </c>
      <c r="X2873">
        <v>435</v>
      </c>
      <c r="Z2873" t="s">
        <v>1115</v>
      </c>
      <c r="AA2873" t="s">
        <v>387</v>
      </c>
      <c r="AB2873">
        <v>0</v>
      </c>
      <c r="AC2873">
        <v>2187</v>
      </c>
      <c r="AD2873" t="s">
        <v>13037</v>
      </c>
      <c r="AE2873">
        <v>1</v>
      </c>
      <c r="AF2873" t="s">
        <v>1922</v>
      </c>
      <c r="AG2873" t="s">
        <v>3861</v>
      </c>
      <c r="AH2873" t="s">
        <v>13038</v>
      </c>
    </row>
    <row r="2874" spans="1:34" x14ac:dyDescent="0.25">
      <c r="A2874">
        <v>2071</v>
      </c>
      <c r="C2874" s="185"/>
      <c r="E2874" t="s">
        <v>386</v>
      </c>
      <c r="F2874" t="s">
        <v>13039</v>
      </c>
      <c r="G2874" t="s">
        <v>1197</v>
      </c>
      <c r="H2874" t="s">
        <v>13040</v>
      </c>
      <c r="I2874">
        <v>17104</v>
      </c>
      <c r="J2874" t="s">
        <v>13039</v>
      </c>
      <c r="K2874" t="s">
        <v>13039</v>
      </c>
      <c r="L2874" t="s">
        <v>386</v>
      </c>
      <c r="M2874" t="s">
        <v>1193</v>
      </c>
      <c r="N2874">
        <v>17104</v>
      </c>
      <c r="O2874">
        <v>0</v>
      </c>
      <c r="Q2874" t="s">
        <v>13041</v>
      </c>
      <c r="T2874">
        <v>560</v>
      </c>
      <c r="V2874" t="s">
        <v>2602</v>
      </c>
      <c r="W2874" t="s">
        <v>1215</v>
      </c>
      <c r="X2874">
        <v>259</v>
      </c>
      <c r="Z2874" t="s">
        <v>13042</v>
      </c>
      <c r="AA2874" t="s">
        <v>387</v>
      </c>
      <c r="AB2874">
        <v>0</v>
      </c>
      <c r="AC2874">
        <v>6446</v>
      </c>
      <c r="AD2874" t="s">
        <v>13043</v>
      </c>
      <c r="AE2874">
        <v>2971</v>
      </c>
      <c r="AF2874" t="s">
        <v>13044</v>
      </c>
      <c r="AG2874" t="s">
        <v>5930</v>
      </c>
      <c r="AH2874" t="s">
        <v>13045</v>
      </c>
    </row>
    <row r="2875" spans="1:34" x14ac:dyDescent="0.25">
      <c r="A2875">
        <v>1295</v>
      </c>
      <c r="B2875" t="s">
        <v>1313</v>
      </c>
      <c r="C2875" s="185"/>
      <c r="E2875" t="s">
        <v>386</v>
      </c>
      <c r="F2875" t="s">
        <v>13046</v>
      </c>
      <c r="G2875" t="s">
        <v>1197</v>
      </c>
      <c r="H2875" t="s">
        <v>13047</v>
      </c>
      <c r="I2875">
        <v>1771</v>
      </c>
      <c r="J2875" t="s">
        <v>13046</v>
      </c>
      <c r="K2875" t="s">
        <v>13046</v>
      </c>
      <c r="L2875" t="s">
        <v>386</v>
      </c>
      <c r="M2875" t="s">
        <v>1193</v>
      </c>
      <c r="N2875">
        <v>1771</v>
      </c>
      <c r="O2875">
        <v>0</v>
      </c>
      <c r="Q2875" t="s">
        <v>13048</v>
      </c>
      <c r="S2875" t="s">
        <v>1315</v>
      </c>
      <c r="T2875">
        <v>2</v>
      </c>
      <c r="U2875">
        <v>0</v>
      </c>
      <c r="V2875" t="s">
        <v>1205</v>
      </c>
      <c r="Y2875" t="s">
        <v>1317</v>
      </c>
      <c r="Z2875" t="s">
        <v>13049</v>
      </c>
      <c r="AA2875" t="s">
        <v>387</v>
      </c>
      <c r="AB2875">
        <v>0</v>
      </c>
      <c r="AC2875">
        <v>78</v>
      </c>
      <c r="AD2875" t="s">
        <v>9291</v>
      </c>
      <c r="AE2875">
        <v>634</v>
      </c>
      <c r="AF2875" t="s">
        <v>13050</v>
      </c>
      <c r="AG2875" t="s">
        <v>13051</v>
      </c>
      <c r="AH2875" t="s">
        <v>13052</v>
      </c>
    </row>
    <row r="2876" spans="1:34" x14ac:dyDescent="0.25">
      <c r="A2876">
        <v>1295</v>
      </c>
      <c r="C2876" s="185"/>
      <c r="E2876" t="s">
        <v>386</v>
      </c>
      <c r="F2876" t="s">
        <v>13053</v>
      </c>
      <c r="G2876" t="s">
        <v>1197</v>
      </c>
      <c r="H2876" t="s">
        <v>13054</v>
      </c>
      <c r="I2876">
        <v>17169</v>
      </c>
      <c r="J2876" t="s">
        <v>13053</v>
      </c>
      <c r="K2876" t="s">
        <v>13053</v>
      </c>
      <c r="L2876" t="s">
        <v>386</v>
      </c>
      <c r="M2876" t="s">
        <v>1193</v>
      </c>
      <c r="N2876">
        <v>17169</v>
      </c>
      <c r="O2876">
        <v>0</v>
      </c>
      <c r="Q2876" t="s">
        <v>13055</v>
      </c>
      <c r="R2876" t="s">
        <v>1208</v>
      </c>
      <c r="T2876">
        <v>509</v>
      </c>
      <c r="V2876" t="s">
        <v>5803</v>
      </c>
      <c r="W2876" t="s">
        <v>5803</v>
      </c>
      <c r="X2876">
        <v>509</v>
      </c>
      <c r="Z2876" t="s">
        <v>13049</v>
      </c>
      <c r="AA2876" t="s">
        <v>387</v>
      </c>
      <c r="AB2876">
        <v>0</v>
      </c>
      <c r="AC2876">
        <v>5282</v>
      </c>
      <c r="AD2876" t="s">
        <v>13056</v>
      </c>
      <c r="AE2876">
        <v>246</v>
      </c>
      <c r="AF2876" t="s">
        <v>7455</v>
      </c>
      <c r="AG2876" t="s">
        <v>2080</v>
      </c>
      <c r="AH2876" t="s">
        <v>13057</v>
      </c>
    </row>
    <row r="2877" spans="1:34" x14ac:dyDescent="0.25">
      <c r="A2877">
        <v>1295</v>
      </c>
      <c r="C2877" s="185"/>
      <c r="E2877" t="s">
        <v>386</v>
      </c>
      <c r="F2877" t="s">
        <v>13058</v>
      </c>
      <c r="G2877" t="s">
        <v>1197</v>
      </c>
      <c r="H2877" t="s">
        <v>13059</v>
      </c>
      <c r="I2877">
        <v>13640</v>
      </c>
      <c r="J2877" t="s">
        <v>13058</v>
      </c>
      <c r="K2877" t="s">
        <v>13060</v>
      </c>
      <c r="L2877" t="s">
        <v>386</v>
      </c>
      <c r="M2877" t="s">
        <v>1193</v>
      </c>
      <c r="N2877">
        <v>13640</v>
      </c>
      <c r="O2877">
        <v>0</v>
      </c>
      <c r="Q2877" t="s">
        <v>13061</v>
      </c>
      <c r="R2877" t="s">
        <v>1208</v>
      </c>
      <c r="T2877">
        <v>372</v>
      </c>
      <c r="V2877" t="s">
        <v>2073</v>
      </c>
      <c r="W2877" t="s">
        <v>2073</v>
      </c>
      <c r="X2877">
        <v>372</v>
      </c>
      <c r="Z2877" t="s">
        <v>13049</v>
      </c>
      <c r="AA2877" t="s">
        <v>387</v>
      </c>
      <c r="AB2877">
        <v>0</v>
      </c>
      <c r="AC2877">
        <v>5128</v>
      </c>
      <c r="AD2877" t="s">
        <v>13062</v>
      </c>
      <c r="AE2877">
        <v>2377</v>
      </c>
      <c r="AF2877" t="s">
        <v>13063</v>
      </c>
      <c r="AG2877" t="s">
        <v>13064</v>
      </c>
      <c r="AH2877" t="s">
        <v>13065</v>
      </c>
    </row>
    <row r="2878" spans="1:34" x14ac:dyDescent="0.25">
      <c r="A2878">
        <v>2033</v>
      </c>
      <c r="C2878" s="185"/>
      <c r="E2878" t="s">
        <v>386</v>
      </c>
      <c r="F2878" t="s">
        <v>13066</v>
      </c>
      <c r="G2878" t="s">
        <v>1197</v>
      </c>
      <c r="H2878" t="s">
        <v>13067</v>
      </c>
      <c r="I2878">
        <v>12954</v>
      </c>
      <c r="J2878" t="s">
        <v>13066</v>
      </c>
      <c r="K2878" t="s">
        <v>13068</v>
      </c>
      <c r="L2878" t="s">
        <v>386</v>
      </c>
      <c r="M2878" t="s">
        <v>1193</v>
      </c>
      <c r="N2878">
        <v>12954</v>
      </c>
      <c r="O2878">
        <v>0</v>
      </c>
      <c r="Q2878" t="s">
        <v>13069</v>
      </c>
      <c r="R2878" t="s">
        <v>1208</v>
      </c>
      <c r="T2878">
        <v>372</v>
      </c>
      <c r="V2878" t="s">
        <v>2073</v>
      </c>
      <c r="Z2878" t="s">
        <v>13070</v>
      </c>
      <c r="AA2878" t="s">
        <v>387</v>
      </c>
      <c r="AB2878">
        <v>0</v>
      </c>
      <c r="AC2878">
        <v>4633</v>
      </c>
      <c r="AD2878" t="s">
        <v>13071</v>
      </c>
      <c r="AE2878">
        <v>2202</v>
      </c>
      <c r="AF2878" t="s">
        <v>13072</v>
      </c>
      <c r="AG2878" t="s">
        <v>3761</v>
      </c>
      <c r="AH2878" t="s">
        <v>13073</v>
      </c>
    </row>
    <row r="2879" spans="1:34" x14ac:dyDescent="0.25">
      <c r="A2879">
        <v>1940</v>
      </c>
      <c r="C2879" s="185"/>
      <c r="E2879" t="s">
        <v>386</v>
      </c>
      <c r="F2879" t="s">
        <v>13074</v>
      </c>
      <c r="G2879" t="s">
        <v>1197</v>
      </c>
      <c r="H2879" t="s">
        <v>13075</v>
      </c>
      <c r="I2879">
        <v>11175</v>
      </c>
      <c r="J2879" t="s">
        <v>13074</v>
      </c>
      <c r="K2879" t="s">
        <v>13074</v>
      </c>
      <c r="L2879" t="s">
        <v>386</v>
      </c>
      <c r="M2879" t="s">
        <v>1193</v>
      </c>
      <c r="N2879">
        <v>11175</v>
      </c>
      <c r="O2879">
        <v>0</v>
      </c>
      <c r="Q2879" t="s">
        <v>13076</v>
      </c>
      <c r="T2879">
        <v>260</v>
      </c>
      <c r="V2879" t="s">
        <v>1216</v>
      </c>
      <c r="Z2879" t="s">
        <v>13077</v>
      </c>
      <c r="AA2879" t="s">
        <v>387</v>
      </c>
      <c r="AB2879">
        <v>0</v>
      </c>
      <c r="AC2879">
        <v>4278</v>
      </c>
      <c r="AD2879" t="s">
        <v>13078</v>
      </c>
      <c r="AE2879">
        <v>1974</v>
      </c>
      <c r="AF2879" t="s">
        <v>1243</v>
      </c>
      <c r="AG2879" t="s">
        <v>1244</v>
      </c>
    </row>
    <row r="2880" spans="1:34" x14ac:dyDescent="0.25">
      <c r="A2880">
        <v>1831</v>
      </c>
      <c r="C2880" s="185"/>
      <c r="E2880" t="s">
        <v>386</v>
      </c>
      <c r="F2880" t="s">
        <v>10524</v>
      </c>
      <c r="G2880" t="s">
        <v>4184</v>
      </c>
      <c r="H2880" t="s">
        <v>13079</v>
      </c>
      <c r="I2880">
        <v>8526</v>
      </c>
      <c r="J2880" t="s">
        <v>10524</v>
      </c>
      <c r="K2880" t="s">
        <v>10524</v>
      </c>
      <c r="L2880" t="s">
        <v>386</v>
      </c>
      <c r="M2880" t="s">
        <v>1193</v>
      </c>
      <c r="N2880">
        <v>8525</v>
      </c>
      <c r="O2880">
        <v>0</v>
      </c>
      <c r="Q2880" t="s">
        <v>13080</v>
      </c>
      <c r="R2880" t="s">
        <v>398</v>
      </c>
      <c r="T2880">
        <v>185</v>
      </c>
      <c r="V2880" t="s">
        <v>1915</v>
      </c>
      <c r="Z2880" t="s">
        <v>13081</v>
      </c>
      <c r="AA2880" t="s">
        <v>387</v>
      </c>
      <c r="AB2880">
        <v>0</v>
      </c>
      <c r="AC2880">
        <v>3425</v>
      </c>
      <c r="AD2880" t="s">
        <v>13082</v>
      </c>
      <c r="AE2880">
        <v>1590</v>
      </c>
      <c r="AF2880" t="s">
        <v>13083</v>
      </c>
      <c r="AG2880" t="s">
        <v>4279</v>
      </c>
    </row>
    <row r="2881" spans="1:34" x14ac:dyDescent="0.25">
      <c r="A2881">
        <v>1</v>
      </c>
      <c r="C2881" s="185"/>
      <c r="E2881" t="s">
        <v>386</v>
      </c>
      <c r="F2881" t="s">
        <v>1220</v>
      </c>
      <c r="I2881">
        <v>17665</v>
      </c>
      <c r="J2881" t="s">
        <v>13084</v>
      </c>
      <c r="K2881" t="s">
        <v>13085</v>
      </c>
      <c r="L2881" t="s">
        <v>386</v>
      </c>
      <c r="M2881" t="s">
        <v>1193</v>
      </c>
      <c r="N2881">
        <v>1860</v>
      </c>
      <c r="O2881">
        <v>0</v>
      </c>
      <c r="Q2881" t="s">
        <v>13086</v>
      </c>
      <c r="R2881" t="s">
        <v>1208</v>
      </c>
      <c r="T2881">
        <v>152</v>
      </c>
      <c r="V2881" t="s">
        <v>1265</v>
      </c>
      <c r="W2881" t="s">
        <v>1265</v>
      </c>
      <c r="X2881">
        <v>152</v>
      </c>
      <c r="Z2881" t="s">
        <v>865</v>
      </c>
      <c r="AA2881" t="s">
        <v>387</v>
      </c>
      <c r="AB2881">
        <v>0</v>
      </c>
      <c r="AC2881">
        <v>5631</v>
      </c>
      <c r="AD2881" t="s">
        <v>13087</v>
      </c>
      <c r="AE2881">
        <v>0</v>
      </c>
      <c r="AF2881" t="s">
        <v>1188</v>
      </c>
      <c r="AG2881" t="s">
        <v>11306</v>
      </c>
    </row>
    <row r="2882" spans="1:34" x14ac:dyDescent="0.25">
      <c r="A2882">
        <v>1437</v>
      </c>
      <c r="C2882" s="185"/>
      <c r="E2882" t="s">
        <v>386</v>
      </c>
      <c r="F2882" t="s">
        <v>789</v>
      </c>
      <c r="G2882" t="s">
        <v>1197</v>
      </c>
      <c r="H2882" t="s">
        <v>13088</v>
      </c>
      <c r="I2882">
        <v>17645</v>
      </c>
      <c r="J2882" t="s">
        <v>789</v>
      </c>
      <c r="K2882" t="s">
        <v>789</v>
      </c>
      <c r="L2882" t="s">
        <v>386</v>
      </c>
      <c r="M2882" t="s">
        <v>1193</v>
      </c>
      <c r="N2882">
        <v>17645</v>
      </c>
      <c r="O2882">
        <v>0</v>
      </c>
      <c r="Q2882" t="s">
        <v>13089</v>
      </c>
      <c r="R2882" t="s">
        <v>398</v>
      </c>
      <c r="T2882">
        <v>556</v>
      </c>
      <c r="V2882" t="s">
        <v>4502</v>
      </c>
      <c r="W2882" t="s">
        <v>4502</v>
      </c>
      <c r="X2882">
        <v>556</v>
      </c>
      <c r="Z2882" t="s">
        <v>1144</v>
      </c>
      <c r="AA2882" t="s">
        <v>387</v>
      </c>
      <c r="AB2882">
        <v>0</v>
      </c>
      <c r="AC2882">
        <v>6244</v>
      </c>
      <c r="AD2882" t="s">
        <v>13090</v>
      </c>
      <c r="AE2882">
        <v>2861</v>
      </c>
      <c r="AF2882" t="s">
        <v>13091</v>
      </c>
      <c r="AG2882" t="s">
        <v>11068</v>
      </c>
      <c r="AH2882" t="s">
        <v>13092</v>
      </c>
    </row>
    <row r="2883" spans="1:34" x14ac:dyDescent="0.25">
      <c r="A2883">
        <v>1437</v>
      </c>
      <c r="C2883" s="185"/>
      <c r="E2883" t="s">
        <v>386</v>
      </c>
      <c r="F2883" t="s">
        <v>13093</v>
      </c>
      <c r="G2883" t="s">
        <v>1197</v>
      </c>
      <c r="H2883" t="s">
        <v>13094</v>
      </c>
      <c r="I2883">
        <v>2625</v>
      </c>
      <c r="J2883" t="s">
        <v>13093</v>
      </c>
      <c r="K2883" t="s">
        <v>9821</v>
      </c>
      <c r="L2883" t="s">
        <v>386</v>
      </c>
      <c r="M2883" t="s">
        <v>1193</v>
      </c>
      <c r="N2883">
        <v>2625</v>
      </c>
      <c r="O2883">
        <v>0</v>
      </c>
      <c r="Q2883" t="s">
        <v>13095</v>
      </c>
      <c r="T2883">
        <v>52</v>
      </c>
      <c r="V2883" t="s">
        <v>2024</v>
      </c>
      <c r="Z2883" t="s">
        <v>1144</v>
      </c>
      <c r="AA2883" t="s">
        <v>387</v>
      </c>
      <c r="AB2883">
        <v>0</v>
      </c>
      <c r="AC2883">
        <v>1841</v>
      </c>
      <c r="AD2883" t="s">
        <v>13096</v>
      </c>
      <c r="AE2883">
        <v>3</v>
      </c>
      <c r="AF2883" t="s">
        <v>1235</v>
      </c>
      <c r="AG2883" t="s">
        <v>13097</v>
      </c>
      <c r="AH2883" t="s">
        <v>13098</v>
      </c>
    </row>
    <row r="2884" spans="1:34" x14ac:dyDescent="0.25">
      <c r="A2884">
        <v>1437</v>
      </c>
      <c r="C2884" s="185"/>
      <c r="E2884" t="s">
        <v>386</v>
      </c>
      <c r="F2884" t="s">
        <v>13099</v>
      </c>
      <c r="G2884" t="s">
        <v>1197</v>
      </c>
      <c r="H2884" t="s">
        <v>13100</v>
      </c>
      <c r="I2884">
        <v>9943</v>
      </c>
      <c r="J2884" t="s">
        <v>13099</v>
      </c>
      <c r="K2884" t="s">
        <v>13101</v>
      </c>
      <c r="L2884" t="s">
        <v>386</v>
      </c>
      <c r="M2884" t="s">
        <v>1193</v>
      </c>
      <c r="N2884">
        <v>9943</v>
      </c>
      <c r="O2884">
        <v>0</v>
      </c>
      <c r="Q2884" t="s">
        <v>13102</v>
      </c>
      <c r="R2884" t="s">
        <v>1208</v>
      </c>
      <c r="T2884">
        <v>340</v>
      </c>
      <c r="V2884" t="s">
        <v>1200</v>
      </c>
      <c r="W2884" t="s">
        <v>1200</v>
      </c>
      <c r="X2884">
        <v>340</v>
      </c>
      <c r="Z2884" t="s">
        <v>1144</v>
      </c>
      <c r="AA2884" t="s">
        <v>387</v>
      </c>
      <c r="AB2884">
        <v>0</v>
      </c>
      <c r="AC2884">
        <v>2999</v>
      </c>
      <c r="AD2884" t="s">
        <v>13103</v>
      </c>
      <c r="AE2884">
        <v>1</v>
      </c>
      <c r="AF2884" t="s">
        <v>1922</v>
      </c>
      <c r="AG2884" t="s">
        <v>13104</v>
      </c>
      <c r="AH2884" t="s">
        <v>13105</v>
      </c>
    </row>
    <row r="2885" spans="1:34" x14ac:dyDescent="0.25">
      <c r="A2885">
        <v>1437</v>
      </c>
      <c r="B2885" t="s">
        <v>1313</v>
      </c>
      <c r="C2885" s="185"/>
      <c r="D2885" t="s">
        <v>24</v>
      </c>
      <c r="E2885" t="s">
        <v>386</v>
      </c>
      <c r="F2885" t="s">
        <v>468</v>
      </c>
      <c r="G2885" t="s">
        <v>1197</v>
      </c>
      <c r="H2885" t="s">
        <v>13106</v>
      </c>
      <c r="I2885">
        <v>15749</v>
      </c>
      <c r="J2885" t="s">
        <v>468</v>
      </c>
      <c r="K2885" t="s">
        <v>13107</v>
      </c>
      <c r="L2885" t="s">
        <v>386</v>
      </c>
      <c r="M2885" t="s">
        <v>1193</v>
      </c>
      <c r="N2885">
        <v>15749</v>
      </c>
      <c r="O2885">
        <v>76</v>
      </c>
      <c r="Q2885" t="s">
        <v>13108</v>
      </c>
      <c r="R2885" t="s">
        <v>398</v>
      </c>
      <c r="S2885" t="s">
        <v>1909</v>
      </c>
      <c r="T2885">
        <v>340</v>
      </c>
      <c r="U2885">
        <v>0</v>
      </c>
      <c r="V2885" t="s">
        <v>1200</v>
      </c>
      <c r="W2885" t="s">
        <v>1200</v>
      </c>
      <c r="X2885">
        <v>340</v>
      </c>
      <c r="Y2885" t="s">
        <v>1317</v>
      </c>
      <c r="Z2885" t="s">
        <v>1144</v>
      </c>
      <c r="AA2885" t="s">
        <v>387</v>
      </c>
      <c r="AB2885">
        <v>0</v>
      </c>
      <c r="AC2885">
        <v>5934</v>
      </c>
      <c r="AD2885" t="s">
        <v>13109</v>
      </c>
      <c r="AE2885">
        <v>875</v>
      </c>
      <c r="AF2885" t="s">
        <v>3235</v>
      </c>
      <c r="AG2885" t="s">
        <v>13110</v>
      </c>
      <c r="AH2885" t="s">
        <v>13111</v>
      </c>
    </row>
    <row r="2886" spans="1:34" x14ac:dyDescent="0.25">
      <c r="A2886">
        <v>1437</v>
      </c>
      <c r="B2886" t="s">
        <v>1313</v>
      </c>
      <c r="C2886" s="185"/>
      <c r="D2886" t="s">
        <v>24</v>
      </c>
      <c r="E2886" t="s">
        <v>386</v>
      </c>
      <c r="F2886" t="s">
        <v>13112</v>
      </c>
      <c r="G2886" t="s">
        <v>1197</v>
      </c>
      <c r="H2886" t="s">
        <v>13113</v>
      </c>
      <c r="I2886">
        <v>3126</v>
      </c>
      <c r="J2886" t="s">
        <v>13112</v>
      </c>
      <c r="K2886" t="s">
        <v>13114</v>
      </c>
      <c r="L2886" t="s">
        <v>386</v>
      </c>
      <c r="M2886" t="s">
        <v>1193</v>
      </c>
      <c r="N2886">
        <v>3126</v>
      </c>
      <c r="O2886">
        <v>76</v>
      </c>
      <c r="Q2886" t="s">
        <v>13115</v>
      </c>
      <c r="R2886" t="s">
        <v>398</v>
      </c>
      <c r="S2886" t="s">
        <v>1909</v>
      </c>
      <c r="T2886">
        <v>220</v>
      </c>
      <c r="U2886">
        <v>0</v>
      </c>
      <c r="V2886" t="s">
        <v>1194</v>
      </c>
      <c r="W2886" t="s">
        <v>1194</v>
      </c>
      <c r="X2886">
        <v>220</v>
      </c>
      <c r="Y2886" t="s">
        <v>1317</v>
      </c>
      <c r="Z2886" t="s">
        <v>1144</v>
      </c>
      <c r="AA2886" t="s">
        <v>387</v>
      </c>
      <c r="AB2886">
        <v>69000</v>
      </c>
      <c r="AC2886">
        <v>2082</v>
      </c>
      <c r="AD2886" t="s">
        <v>13116</v>
      </c>
      <c r="AE2886">
        <v>3</v>
      </c>
      <c r="AF2886" t="s">
        <v>1235</v>
      </c>
      <c r="AG2886" t="s">
        <v>7033</v>
      </c>
      <c r="AH2886" t="s">
        <v>13117</v>
      </c>
    </row>
    <row r="2887" spans="1:34" x14ac:dyDescent="0.25">
      <c r="A2887">
        <v>1437</v>
      </c>
      <c r="B2887" t="s">
        <v>1313</v>
      </c>
      <c r="C2887" s="185"/>
      <c r="D2887" t="s">
        <v>24</v>
      </c>
      <c r="E2887" t="s">
        <v>386</v>
      </c>
      <c r="F2887" t="s">
        <v>13118</v>
      </c>
      <c r="G2887" t="s">
        <v>1197</v>
      </c>
      <c r="H2887" t="s">
        <v>13119</v>
      </c>
      <c r="I2887">
        <v>12029</v>
      </c>
      <c r="J2887" t="s">
        <v>13118</v>
      </c>
      <c r="K2887" t="s">
        <v>12533</v>
      </c>
      <c r="L2887" t="s">
        <v>386</v>
      </c>
      <c r="M2887" t="s">
        <v>1193</v>
      </c>
      <c r="N2887">
        <v>12029</v>
      </c>
      <c r="O2887">
        <v>76</v>
      </c>
      <c r="Q2887" t="s">
        <v>13120</v>
      </c>
      <c r="R2887" t="s">
        <v>398</v>
      </c>
      <c r="S2887" t="s">
        <v>1909</v>
      </c>
      <c r="T2887">
        <v>220</v>
      </c>
      <c r="U2887">
        <v>0</v>
      </c>
      <c r="V2887" t="s">
        <v>1194</v>
      </c>
      <c r="W2887" t="s">
        <v>3202</v>
      </c>
      <c r="X2887">
        <v>280</v>
      </c>
      <c r="Y2887" t="s">
        <v>1317</v>
      </c>
      <c r="Z2887" t="s">
        <v>1144</v>
      </c>
      <c r="AA2887" t="s">
        <v>387</v>
      </c>
      <c r="AB2887">
        <v>0</v>
      </c>
      <c r="AC2887">
        <v>4569</v>
      </c>
      <c r="AD2887" t="s">
        <v>13121</v>
      </c>
      <c r="AE2887">
        <v>2123</v>
      </c>
      <c r="AF2887" t="s">
        <v>13122</v>
      </c>
      <c r="AG2887" t="s">
        <v>5437</v>
      </c>
      <c r="AH2887" t="s">
        <v>13123</v>
      </c>
    </row>
    <row r="2888" spans="1:34" x14ac:dyDescent="0.25">
      <c r="A2888">
        <v>1437</v>
      </c>
      <c r="C2888" s="185"/>
      <c r="E2888" t="s">
        <v>386</v>
      </c>
      <c r="F2888" t="s">
        <v>13124</v>
      </c>
      <c r="G2888" t="s">
        <v>1197</v>
      </c>
      <c r="H2888" t="s">
        <v>13125</v>
      </c>
      <c r="I2888">
        <v>12722</v>
      </c>
      <c r="J2888" t="s">
        <v>13124</v>
      </c>
      <c r="K2888" t="s">
        <v>13124</v>
      </c>
      <c r="L2888" t="s">
        <v>386</v>
      </c>
      <c r="M2888" t="s">
        <v>1193</v>
      </c>
      <c r="N2888">
        <v>12722</v>
      </c>
      <c r="O2888">
        <v>0</v>
      </c>
      <c r="Q2888" t="s">
        <v>13126</v>
      </c>
      <c r="R2888" t="s">
        <v>1208</v>
      </c>
      <c r="T2888">
        <v>571</v>
      </c>
      <c r="V2888" t="s">
        <v>2003</v>
      </c>
      <c r="W2888" t="s">
        <v>2073</v>
      </c>
      <c r="X2888">
        <v>372</v>
      </c>
      <c r="Z2888" t="s">
        <v>1144</v>
      </c>
      <c r="AA2888" t="s">
        <v>387</v>
      </c>
      <c r="AB2888">
        <v>0</v>
      </c>
      <c r="AC2888">
        <v>4756</v>
      </c>
      <c r="AD2888" t="s">
        <v>13127</v>
      </c>
      <c r="AE2888">
        <v>1</v>
      </c>
      <c r="AF2888" t="s">
        <v>1922</v>
      </c>
      <c r="AG2888" t="s">
        <v>13128</v>
      </c>
      <c r="AH2888" t="s">
        <v>13129</v>
      </c>
    </row>
    <row r="2889" spans="1:34" x14ac:dyDescent="0.25">
      <c r="A2889">
        <v>2029</v>
      </c>
      <c r="C2889" s="185"/>
      <c r="D2889" t="s">
        <v>157</v>
      </c>
      <c r="E2889" t="s">
        <v>386</v>
      </c>
      <c r="F2889" t="s">
        <v>332</v>
      </c>
      <c r="G2889" t="s">
        <v>1197</v>
      </c>
      <c r="H2889" t="s">
        <v>13130</v>
      </c>
      <c r="I2889">
        <v>14948</v>
      </c>
      <c r="J2889" t="s">
        <v>332</v>
      </c>
      <c r="K2889" t="s">
        <v>13131</v>
      </c>
      <c r="L2889" t="s">
        <v>386</v>
      </c>
      <c r="M2889" t="s">
        <v>1193</v>
      </c>
      <c r="N2889">
        <v>14948</v>
      </c>
      <c r="O2889">
        <v>25</v>
      </c>
      <c r="Q2889" t="s">
        <v>13132</v>
      </c>
      <c r="R2889" t="s">
        <v>398</v>
      </c>
      <c r="T2889">
        <v>372</v>
      </c>
      <c r="V2889" t="s">
        <v>2073</v>
      </c>
      <c r="W2889" t="s">
        <v>3321</v>
      </c>
      <c r="X2889">
        <v>246</v>
      </c>
      <c r="Z2889" t="s">
        <v>5995</v>
      </c>
      <c r="AA2889" t="s">
        <v>387</v>
      </c>
      <c r="AB2889">
        <v>19000</v>
      </c>
      <c r="AC2889">
        <v>5685</v>
      </c>
      <c r="AD2889" t="s">
        <v>13133</v>
      </c>
      <c r="AE2889">
        <v>2625</v>
      </c>
      <c r="AF2889" t="s">
        <v>13134</v>
      </c>
      <c r="AG2889" t="s">
        <v>13135</v>
      </c>
      <c r="AH2889" t="s">
        <v>13136</v>
      </c>
    </row>
    <row r="2890" spans="1:34" x14ac:dyDescent="0.25">
      <c r="A2890">
        <v>2029</v>
      </c>
      <c r="C2890" s="185"/>
      <c r="E2890" t="s">
        <v>386</v>
      </c>
      <c r="F2890" t="s">
        <v>13137</v>
      </c>
      <c r="G2890" t="s">
        <v>1238</v>
      </c>
      <c r="H2890" t="s">
        <v>13130</v>
      </c>
      <c r="I2890">
        <v>15744</v>
      </c>
      <c r="J2890" t="s">
        <v>13137</v>
      </c>
      <c r="K2890" t="s">
        <v>13137</v>
      </c>
      <c r="L2890" t="s">
        <v>386</v>
      </c>
      <c r="M2890" t="s">
        <v>1193</v>
      </c>
      <c r="N2890">
        <v>15744</v>
      </c>
      <c r="O2890">
        <v>0</v>
      </c>
      <c r="Q2890" t="s">
        <v>13138</v>
      </c>
      <c r="T2890">
        <v>260</v>
      </c>
      <c r="V2890" t="s">
        <v>1216</v>
      </c>
      <c r="W2890" t="s">
        <v>1216</v>
      </c>
      <c r="X2890">
        <v>260</v>
      </c>
      <c r="Z2890" t="s">
        <v>5995</v>
      </c>
      <c r="AA2890" t="s">
        <v>387</v>
      </c>
      <c r="AB2890">
        <v>0</v>
      </c>
      <c r="AC2890">
        <v>5931</v>
      </c>
      <c r="AD2890" t="s">
        <v>13139</v>
      </c>
      <c r="AE2890">
        <v>486</v>
      </c>
      <c r="AF2890" t="s">
        <v>13140</v>
      </c>
      <c r="AG2890" t="s">
        <v>2044</v>
      </c>
    </row>
    <row r="2891" spans="1:34" x14ac:dyDescent="0.25">
      <c r="A2891">
        <v>142</v>
      </c>
      <c r="C2891" s="185"/>
      <c r="E2891" t="s">
        <v>386</v>
      </c>
      <c r="F2891" t="s">
        <v>13141</v>
      </c>
      <c r="G2891" t="s">
        <v>1197</v>
      </c>
      <c r="H2891" t="s">
        <v>13142</v>
      </c>
      <c r="I2891">
        <v>5582</v>
      </c>
      <c r="J2891" t="s">
        <v>13141</v>
      </c>
      <c r="K2891" t="s">
        <v>13141</v>
      </c>
      <c r="L2891" t="s">
        <v>386</v>
      </c>
      <c r="M2891" t="s">
        <v>1193</v>
      </c>
      <c r="N2891">
        <v>5582</v>
      </c>
      <c r="O2891">
        <v>0</v>
      </c>
      <c r="Q2891" t="s">
        <v>13143</v>
      </c>
      <c r="T2891">
        <v>39</v>
      </c>
      <c r="V2891" t="s">
        <v>2144</v>
      </c>
      <c r="Z2891" t="s">
        <v>3967</v>
      </c>
      <c r="AA2891" t="s">
        <v>387</v>
      </c>
      <c r="AB2891">
        <v>0</v>
      </c>
      <c r="AC2891">
        <v>2644</v>
      </c>
      <c r="AD2891" t="s">
        <v>13144</v>
      </c>
      <c r="AE2891">
        <v>1</v>
      </c>
      <c r="AF2891" t="s">
        <v>1922</v>
      </c>
      <c r="AG2891" t="s">
        <v>7830</v>
      </c>
      <c r="AH2891" t="s">
        <v>13145</v>
      </c>
    </row>
    <row r="2892" spans="1:34" x14ac:dyDescent="0.25">
      <c r="A2892">
        <v>142</v>
      </c>
      <c r="C2892" s="185"/>
      <c r="E2892" t="s">
        <v>386</v>
      </c>
      <c r="F2892" t="s">
        <v>13146</v>
      </c>
      <c r="G2892" t="s">
        <v>1197</v>
      </c>
      <c r="H2892" t="s">
        <v>13147</v>
      </c>
      <c r="I2892">
        <v>11966</v>
      </c>
      <c r="J2892" t="s">
        <v>13146</v>
      </c>
      <c r="K2892" t="s">
        <v>13146</v>
      </c>
      <c r="L2892" t="s">
        <v>386</v>
      </c>
      <c r="M2892" t="s">
        <v>1193</v>
      </c>
      <c r="N2892">
        <v>11966</v>
      </c>
      <c r="O2892">
        <v>0</v>
      </c>
      <c r="Q2892" t="s">
        <v>13148</v>
      </c>
      <c r="R2892" t="s">
        <v>1223</v>
      </c>
      <c r="T2892">
        <v>304</v>
      </c>
      <c r="V2892" t="s">
        <v>2067</v>
      </c>
      <c r="Z2892" t="s">
        <v>3967</v>
      </c>
      <c r="AA2892" t="s">
        <v>387</v>
      </c>
      <c r="AB2892">
        <v>0</v>
      </c>
      <c r="AC2892">
        <v>4552</v>
      </c>
      <c r="AD2892" t="s">
        <v>13149</v>
      </c>
      <c r="AE2892">
        <v>1527</v>
      </c>
      <c r="AF2892" t="s">
        <v>3507</v>
      </c>
      <c r="AG2892" t="s">
        <v>13150</v>
      </c>
    </row>
    <row r="2893" spans="1:34" x14ac:dyDescent="0.25">
      <c r="A2893">
        <v>142</v>
      </c>
      <c r="C2893" s="185"/>
      <c r="E2893" t="s">
        <v>386</v>
      </c>
      <c r="F2893" t="s">
        <v>13151</v>
      </c>
      <c r="G2893" t="s">
        <v>1197</v>
      </c>
      <c r="H2893" t="s">
        <v>13152</v>
      </c>
      <c r="I2893">
        <v>13504</v>
      </c>
      <c r="J2893" t="s">
        <v>13151</v>
      </c>
      <c r="K2893" t="s">
        <v>13151</v>
      </c>
      <c r="L2893" t="s">
        <v>386</v>
      </c>
      <c r="M2893" t="s">
        <v>1193</v>
      </c>
      <c r="N2893">
        <v>13504</v>
      </c>
      <c r="O2893">
        <v>0</v>
      </c>
      <c r="Q2893" t="s">
        <v>13153</v>
      </c>
      <c r="R2893" t="s">
        <v>1208</v>
      </c>
      <c r="T2893">
        <v>571</v>
      </c>
      <c r="V2893" t="s">
        <v>2003</v>
      </c>
      <c r="W2893" t="s">
        <v>2015</v>
      </c>
      <c r="X2893">
        <v>35</v>
      </c>
      <c r="Z2893" t="s">
        <v>3967</v>
      </c>
      <c r="AA2893" t="s">
        <v>387</v>
      </c>
      <c r="AB2893">
        <v>0</v>
      </c>
      <c r="AC2893">
        <v>5073</v>
      </c>
      <c r="AD2893" t="s">
        <v>13154</v>
      </c>
      <c r="AE2893">
        <v>2348</v>
      </c>
      <c r="AF2893" t="s">
        <v>13155</v>
      </c>
      <c r="AG2893" t="s">
        <v>13156</v>
      </c>
      <c r="AH2893" t="s">
        <v>13157</v>
      </c>
    </row>
    <row r="2894" spans="1:34" x14ac:dyDescent="0.25">
      <c r="A2894">
        <v>1135</v>
      </c>
      <c r="C2894" s="185"/>
      <c r="E2894" t="s">
        <v>386</v>
      </c>
      <c r="F2894" t="s">
        <v>13158</v>
      </c>
      <c r="G2894" t="s">
        <v>1197</v>
      </c>
      <c r="H2894" t="s">
        <v>13159</v>
      </c>
      <c r="I2894">
        <v>17220</v>
      </c>
      <c r="J2894" t="s">
        <v>13158</v>
      </c>
      <c r="K2894" t="s">
        <v>13158</v>
      </c>
      <c r="L2894" t="s">
        <v>386</v>
      </c>
      <c r="M2894" t="s">
        <v>1193</v>
      </c>
      <c r="N2894">
        <v>17220</v>
      </c>
      <c r="O2894">
        <v>0</v>
      </c>
      <c r="Q2894" t="s">
        <v>13160</v>
      </c>
      <c r="T2894">
        <v>52</v>
      </c>
      <c r="V2894" t="s">
        <v>2024</v>
      </c>
      <c r="W2894" t="s">
        <v>1964</v>
      </c>
      <c r="X2894">
        <v>473</v>
      </c>
      <c r="Z2894" t="s">
        <v>2313</v>
      </c>
      <c r="AA2894" t="s">
        <v>387</v>
      </c>
      <c r="AB2894">
        <v>0</v>
      </c>
      <c r="AC2894">
        <v>6486</v>
      </c>
      <c r="AD2894" t="s">
        <v>13161</v>
      </c>
      <c r="AE2894">
        <v>2990</v>
      </c>
      <c r="AF2894" t="s">
        <v>13162</v>
      </c>
      <c r="AG2894" t="s">
        <v>3251</v>
      </c>
      <c r="AH2894" t="s">
        <v>13163</v>
      </c>
    </row>
    <row r="2895" spans="1:34" x14ac:dyDescent="0.25">
      <c r="A2895">
        <v>1135</v>
      </c>
      <c r="C2895" s="185"/>
      <c r="E2895" t="s">
        <v>386</v>
      </c>
      <c r="F2895" t="s">
        <v>13164</v>
      </c>
      <c r="G2895" t="s">
        <v>1197</v>
      </c>
      <c r="H2895" t="s">
        <v>13165</v>
      </c>
      <c r="I2895">
        <v>14271</v>
      </c>
      <c r="J2895" t="s">
        <v>13164</v>
      </c>
      <c r="K2895" t="s">
        <v>13164</v>
      </c>
      <c r="L2895" t="s">
        <v>386</v>
      </c>
      <c r="M2895" t="s">
        <v>1193</v>
      </c>
      <c r="N2895">
        <v>14271</v>
      </c>
      <c r="O2895">
        <v>0</v>
      </c>
      <c r="Q2895" t="s">
        <v>13166</v>
      </c>
      <c r="R2895" t="s">
        <v>1223</v>
      </c>
      <c r="T2895">
        <v>103</v>
      </c>
      <c r="V2895" t="s">
        <v>1530</v>
      </c>
      <c r="W2895" t="s">
        <v>1530</v>
      </c>
      <c r="X2895">
        <v>103</v>
      </c>
      <c r="Z2895" t="s">
        <v>2313</v>
      </c>
      <c r="AA2895" t="s">
        <v>387</v>
      </c>
      <c r="AB2895">
        <v>0</v>
      </c>
      <c r="AC2895">
        <v>4315</v>
      </c>
      <c r="AD2895" t="s">
        <v>13167</v>
      </c>
      <c r="AE2895">
        <v>1995</v>
      </c>
      <c r="AF2895" t="s">
        <v>13168</v>
      </c>
      <c r="AG2895" t="s">
        <v>3736</v>
      </c>
      <c r="AH2895" t="s">
        <v>13169</v>
      </c>
    </row>
    <row r="2896" spans="1:34" x14ac:dyDescent="0.25">
      <c r="A2896">
        <v>1135</v>
      </c>
      <c r="C2896" s="185"/>
      <c r="E2896" t="s">
        <v>386</v>
      </c>
      <c r="F2896" t="s">
        <v>13170</v>
      </c>
      <c r="G2896" t="s">
        <v>1197</v>
      </c>
      <c r="H2896" t="s">
        <v>13171</v>
      </c>
      <c r="I2896">
        <v>13366</v>
      </c>
      <c r="J2896" t="s">
        <v>13170</v>
      </c>
      <c r="K2896" t="s">
        <v>13170</v>
      </c>
      <c r="L2896" t="s">
        <v>386</v>
      </c>
      <c r="M2896" t="s">
        <v>1193</v>
      </c>
      <c r="N2896">
        <v>13366</v>
      </c>
      <c r="O2896">
        <v>0</v>
      </c>
      <c r="Q2896" t="s">
        <v>13172</v>
      </c>
      <c r="R2896" t="s">
        <v>1208</v>
      </c>
      <c r="T2896">
        <v>35</v>
      </c>
      <c r="V2896" t="s">
        <v>2015</v>
      </c>
      <c r="W2896" t="s">
        <v>2986</v>
      </c>
      <c r="X2896">
        <v>386</v>
      </c>
      <c r="Z2896" t="s">
        <v>2313</v>
      </c>
      <c r="AA2896" t="s">
        <v>387</v>
      </c>
      <c r="AB2896">
        <v>0</v>
      </c>
      <c r="AC2896">
        <v>5010</v>
      </c>
      <c r="AD2896" t="s">
        <v>13173</v>
      </c>
      <c r="AE2896">
        <v>2320</v>
      </c>
      <c r="AF2896" t="s">
        <v>13174</v>
      </c>
      <c r="AG2896" t="s">
        <v>8649</v>
      </c>
      <c r="AH2896" t="s">
        <v>13175</v>
      </c>
    </row>
    <row r="2897" spans="1:34" x14ac:dyDescent="0.25">
      <c r="A2897">
        <v>1341</v>
      </c>
      <c r="C2897" s="185"/>
      <c r="E2897" t="s">
        <v>386</v>
      </c>
      <c r="F2897" t="s">
        <v>13176</v>
      </c>
      <c r="G2897" t="s">
        <v>1197</v>
      </c>
      <c r="H2897" t="s">
        <v>13177</v>
      </c>
      <c r="I2897">
        <v>16597</v>
      </c>
      <c r="J2897" t="s">
        <v>13176</v>
      </c>
      <c r="K2897" t="s">
        <v>13178</v>
      </c>
      <c r="L2897" t="s">
        <v>386</v>
      </c>
      <c r="M2897" t="s">
        <v>1193</v>
      </c>
      <c r="N2897">
        <v>16597</v>
      </c>
      <c r="O2897">
        <v>0</v>
      </c>
      <c r="Q2897" t="s">
        <v>13179</v>
      </c>
      <c r="T2897">
        <v>52</v>
      </c>
      <c r="V2897" t="s">
        <v>2024</v>
      </c>
      <c r="W2897" t="s">
        <v>2246</v>
      </c>
      <c r="X2897">
        <v>496</v>
      </c>
      <c r="Z2897" t="s">
        <v>13180</v>
      </c>
      <c r="AA2897" t="s">
        <v>387</v>
      </c>
      <c r="AB2897">
        <v>0</v>
      </c>
      <c r="AC2897">
        <v>6203</v>
      </c>
      <c r="AD2897" t="s">
        <v>13181</v>
      </c>
      <c r="AE2897">
        <v>2844</v>
      </c>
      <c r="AF2897" t="s">
        <v>13182</v>
      </c>
      <c r="AG2897" t="s">
        <v>13183</v>
      </c>
      <c r="AH2897" t="s">
        <v>9352</v>
      </c>
    </row>
    <row r="2898" spans="1:34" x14ac:dyDescent="0.25">
      <c r="A2898">
        <v>1341</v>
      </c>
      <c r="C2898" s="185"/>
      <c r="E2898" t="s">
        <v>386</v>
      </c>
      <c r="F2898" t="s">
        <v>12338</v>
      </c>
      <c r="G2898" t="s">
        <v>1197</v>
      </c>
      <c r="H2898" t="s">
        <v>13184</v>
      </c>
      <c r="I2898">
        <v>17221</v>
      </c>
      <c r="J2898" t="s">
        <v>12338</v>
      </c>
      <c r="K2898" t="s">
        <v>12338</v>
      </c>
      <c r="L2898" t="s">
        <v>386</v>
      </c>
      <c r="M2898" t="s">
        <v>1193</v>
      </c>
      <c r="N2898">
        <v>17221</v>
      </c>
      <c r="O2898">
        <v>0</v>
      </c>
      <c r="Q2898" t="s">
        <v>13185</v>
      </c>
      <c r="T2898">
        <v>509</v>
      </c>
      <c r="V2898" t="s">
        <v>5803</v>
      </c>
      <c r="W2898" t="s">
        <v>5803</v>
      </c>
      <c r="X2898">
        <v>509</v>
      </c>
      <c r="Z2898" t="s">
        <v>13180</v>
      </c>
      <c r="AA2898" t="s">
        <v>387</v>
      </c>
      <c r="AB2898">
        <v>0</v>
      </c>
      <c r="AC2898">
        <v>6487</v>
      </c>
      <c r="AD2898" t="s">
        <v>13186</v>
      </c>
      <c r="AE2898">
        <v>2991</v>
      </c>
      <c r="AF2898" t="s">
        <v>13187</v>
      </c>
      <c r="AG2898" t="s">
        <v>13188</v>
      </c>
      <c r="AH2898" t="s">
        <v>13189</v>
      </c>
    </row>
    <row r="2899" spans="1:34" x14ac:dyDescent="0.25">
      <c r="A2899">
        <v>1341</v>
      </c>
      <c r="C2899" s="185"/>
      <c r="E2899" t="s">
        <v>386</v>
      </c>
      <c r="F2899" t="s">
        <v>12338</v>
      </c>
      <c r="G2899" t="s">
        <v>1197</v>
      </c>
      <c r="H2899" t="s">
        <v>13190</v>
      </c>
      <c r="I2899">
        <v>10429</v>
      </c>
      <c r="J2899" t="s">
        <v>12338</v>
      </c>
      <c r="K2899" t="s">
        <v>12338</v>
      </c>
      <c r="L2899" t="s">
        <v>386</v>
      </c>
      <c r="M2899" t="s">
        <v>1193</v>
      </c>
      <c r="N2899">
        <v>10429</v>
      </c>
      <c r="O2899">
        <v>0</v>
      </c>
      <c r="Q2899" t="s">
        <v>13191</v>
      </c>
      <c r="R2899" t="s">
        <v>1208</v>
      </c>
      <c r="T2899">
        <v>260</v>
      </c>
      <c r="V2899" t="s">
        <v>1216</v>
      </c>
      <c r="W2899" t="s">
        <v>1215</v>
      </c>
      <c r="X2899">
        <v>259</v>
      </c>
      <c r="Z2899" t="s">
        <v>13180</v>
      </c>
      <c r="AA2899" t="s">
        <v>387</v>
      </c>
      <c r="AB2899">
        <v>0</v>
      </c>
      <c r="AC2899">
        <v>4043</v>
      </c>
      <c r="AD2899" t="s">
        <v>13192</v>
      </c>
      <c r="AE2899">
        <v>1859</v>
      </c>
      <c r="AF2899" t="s">
        <v>13193</v>
      </c>
      <c r="AG2899" t="s">
        <v>7603</v>
      </c>
    </row>
    <row r="2900" spans="1:34" x14ac:dyDescent="0.25">
      <c r="A2900">
        <v>1341</v>
      </c>
      <c r="C2900" s="185"/>
      <c r="E2900" t="s">
        <v>386</v>
      </c>
      <c r="F2900" t="s">
        <v>13194</v>
      </c>
      <c r="G2900" t="s">
        <v>1197</v>
      </c>
      <c r="H2900" t="s">
        <v>13184</v>
      </c>
      <c r="I2900">
        <v>12094</v>
      </c>
      <c r="J2900" t="s">
        <v>13194</v>
      </c>
      <c r="K2900" t="s">
        <v>13194</v>
      </c>
      <c r="L2900" t="s">
        <v>386</v>
      </c>
      <c r="M2900" t="s">
        <v>1193</v>
      </c>
      <c r="N2900">
        <v>12094</v>
      </c>
      <c r="O2900">
        <v>0</v>
      </c>
      <c r="Q2900" t="s">
        <v>13195</v>
      </c>
      <c r="R2900" t="s">
        <v>1208</v>
      </c>
      <c r="T2900">
        <v>304</v>
      </c>
      <c r="V2900" t="s">
        <v>2067</v>
      </c>
      <c r="Z2900" t="s">
        <v>13180</v>
      </c>
      <c r="AA2900" t="s">
        <v>387</v>
      </c>
      <c r="AB2900">
        <v>0</v>
      </c>
      <c r="AC2900">
        <v>2141</v>
      </c>
      <c r="AD2900" t="s">
        <v>13196</v>
      </c>
      <c r="AE2900">
        <v>1026</v>
      </c>
      <c r="AF2900" t="s">
        <v>13197</v>
      </c>
      <c r="AG2900" t="s">
        <v>13198</v>
      </c>
    </row>
    <row r="2901" spans="1:34" x14ac:dyDescent="0.25">
      <c r="A2901">
        <v>1341</v>
      </c>
      <c r="C2901" s="185"/>
      <c r="E2901" t="s">
        <v>386</v>
      </c>
      <c r="F2901" t="s">
        <v>13199</v>
      </c>
      <c r="G2901" t="s">
        <v>1197</v>
      </c>
      <c r="H2901" t="s">
        <v>13200</v>
      </c>
      <c r="I2901">
        <v>16475</v>
      </c>
      <c r="J2901" t="s">
        <v>13199</v>
      </c>
      <c r="K2901" t="s">
        <v>13178</v>
      </c>
      <c r="L2901" t="s">
        <v>386</v>
      </c>
      <c r="M2901" t="s">
        <v>1193</v>
      </c>
      <c r="N2901">
        <v>16475</v>
      </c>
      <c r="O2901">
        <v>0</v>
      </c>
      <c r="Q2901" t="s">
        <v>13201</v>
      </c>
      <c r="T2901">
        <v>496</v>
      </c>
      <c r="V2901" t="s">
        <v>2246</v>
      </c>
      <c r="W2901" t="s">
        <v>2246</v>
      </c>
      <c r="X2901">
        <v>496</v>
      </c>
      <c r="Z2901" t="s">
        <v>13180</v>
      </c>
      <c r="AA2901" t="s">
        <v>387</v>
      </c>
      <c r="AB2901">
        <v>0</v>
      </c>
      <c r="AC2901">
        <v>5573</v>
      </c>
      <c r="AD2901" t="s">
        <v>13202</v>
      </c>
      <c r="AE2901">
        <v>2582</v>
      </c>
      <c r="AF2901" t="s">
        <v>13203</v>
      </c>
      <c r="AG2901" t="s">
        <v>13204</v>
      </c>
      <c r="AH2901" t="s">
        <v>13205</v>
      </c>
    </row>
    <row r="2902" spans="1:34" x14ac:dyDescent="0.25">
      <c r="A2902">
        <v>1</v>
      </c>
      <c r="C2902" s="185"/>
      <c r="E2902" t="s">
        <v>386</v>
      </c>
      <c r="F2902" t="s">
        <v>13206</v>
      </c>
      <c r="G2902" t="s">
        <v>1192</v>
      </c>
      <c r="H2902" t="s">
        <v>13207</v>
      </c>
      <c r="I2902">
        <v>2220</v>
      </c>
      <c r="J2902" t="s">
        <v>13206</v>
      </c>
      <c r="K2902" t="s">
        <v>13206</v>
      </c>
      <c r="L2902" t="s">
        <v>386</v>
      </c>
      <c r="M2902" t="s">
        <v>1184</v>
      </c>
      <c r="N2902">
        <v>2220</v>
      </c>
      <c r="O2902">
        <v>0</v>
      </c>
      <c r="Q2902" t="s">
        <v>13208</v>
      </c>
      <c r="R2902" t="s">
        <v>1208</v>
      </c>
      <c r="T2902">
        <v>65</v>
      </c>
      <c r="V2902" t="s">
        <v>2315</v>
      </c>
      <c r="Z2902" t="s">
        <v>865</v>
      </c>
      <c r="AA2902" t="s">
        <v>387</v>
      </c>
      <c r="AB2902">
        <v>0</v>
      </c>
      <c r="AC2902">
        <v>1636</v>
      </c>
      <c r="AD2902" t="s">
        <v>13209</v>
      </c>
      <c r="AE2902">
        <v>794</v>
      </c>
      <c r="AF2902" t="s">
        <v>12803</v>
      </c>
      <c r="AG2902" t="s">
        <v>9664</v>
      </c>
      <c r="AH2902" t="s">
        <v>13210</v>
      </c>
    </row>
    <row r="2903" spans="1:34" x14ac:dyDescent="0.25">
      <c r="A2903">
        <v>1340</v>
      </c>
      <c r="C2903" s="185"/>
      <c r="E2903" t="s">
        <v>386</v>
      </c>
      <c r="F2903" t="s">
        <v>13211</v>
      </c>
      <c r="G2903" t="s">
        <v>1197</v>
      </c>
      <c r="H2903" t="s">
        <v>13212</v>
      </c>
      <c r="I2903">
        <v>3107</v>
      </c>
      <c r="J2903" t="s">
        <v>13211</v>
      </c>
      <c r="K2903" t="s">
        <v>13213</v>
      </c>
      <c r="L2903" t="s">
        <v>386</v>
      </c>
      <c r="M2903" t="s">
        <v>1193</v>
      </c>
      <c r="N2903">
        <v>3107</v>
      </c>
      <c r="O2903">
        <v>10</v>
      </c>
      <c r="Q2903" t="s">
        <v>13214</v>
      </c>
      <c r="R2903" t="s">
        <v>398</v>
      </c>
      <c r="T2903">
        <v>185</v>
      </c>
      <c r="V2903" t="s">
        <v>1915</v>
      </c>
      <c r="Z2903" t="s">
        <v>1066</v>
      </c>
      <c r="AA2903" t="s">
        <v>387</v>
      </c>
      <c r="AB2903">
        <v>6000</v>
      </c>
      <c r="AC2903">
        <v>2072</v>
      </c>
      <c r="AD2903" t="s">
        <v>13215</v>
      </c>
      <c r="AE2903">
        <v>18</v>
      </c>
      <c r="AF2903" t="s">
        <v>1259</v>
      </c>
      <c r="AG2903" t="s">
        <v>1244</v>
      </c>
      <c r="AH2903" t="s">
        <v>13216</v>
      </c>
    </row>
    <row r="2904" spans="1:34" x14ac:dyDescent="0.25">
      <c r="A2904">
        <v>1340</v>
      </c>
      <c r="C2904" s="185"/>
      <c r="E2904" t="s">
        <v>386</v>
      </c>
      <c r="F2904" t="s">
        <v>13217</v>
      </c>
      <c r="G2904" t="s">
        <v>1197</v>
      </c>
      <c r="H2904" t="s">
        <v>6308</v>
      </c>
      <c r="I2904">
        <v>17258</v>
      </c>
      <c r="J2904" t="s">
        <v>13217</v>
      </c>
      <c r="K2904" t="s">
        <v>13218</v>
      </c>
      <c r="L2904" t="s">
        <v>386</v>
      </c>
      <c r="M2904" t="s">
        <v>1193</v>
      </c>
      <c r="N2904">
        <v>17258</v>
      </c>
      <c r="O2904">
        <v>0</v>
      </c>
      <c r="Q2904" t="s">
        <v>13219</v>
      </c>
      <c r="T2904">
        <v>473</v>
      </c>
      <c r="V2904" t="s">
        <v>1964</v>
      </c>
      <c r="W2904" t="s">
        <v>1964</v>
      </c>
      <c r="X2904">
        <v>473</v>
      </c>
      <c r="Z2904" t="s">
        <v>1066</v>
      </c>
      <c r="AA2904" t="s">
        <v>387</v>
      </c>
      <c r="AB2904">
        <v>0</v>
      </c>
      <c r="AC2904">
        <v>5376</v>
      </c>
      <c r="AD2904" t="s">
        <v>6312</v>
      </c>
      <c r="AE2904">
        <v>1135</v>
      </c>
      <c r="AF2904" t="s">
        <v>6313</v>
      </c>
      <c r="AG2904" t="s">
        <v>2044</v>
      </c>
      <c r="AH2904" t="s">
        <v>6314</v>
      </c>
    </row>
    <row r="2905" spans="1:34" x14ac:dyDescent="0.25">
      <c r="A2905">
        <v>1</v>
      </c>
      <c r="C2905" s="185"/>
      <c r="E2905" t="s">
        <v>386</v>
      </c>
      <c r="F2905" t="s">
        <v>13220</v>
      </c>
      <c r="G2905" t="s">
        <v>1192</v>
      </c>
      <c r="H2905" t="s">
        <v>13221</v>
      </c>
      <c r="I2905">
        <v>3116</v>
      </c>
      <c r="J2905" t="s">
        <v>13220</v>
      </c>
      <c r="K2905" t="s">
        <v>13220</v>
      </c>
      <c r="L2905" t="s">
        <v>386</v>
      </c>
      <c r="M2905" t="s">
        <v>1184</v>
      </c>
      <c r="N2905">
        <v>3116</v>
      </c>
      <c r="O2905">
        <v>0</v>
      </c>
      <c r="Q2905" t="s">
        <v>13222</v>
      </c>
      <c r="R2905" t="s">
        <v>1208</v>
      </c>
      <c r="T2905">
        <v>372</v>
      </c>
      <c r="V2905" t="s">
        <v>2073</v>
      </c>
      <c r="W2905" t="s">
        <v>1186</v>
      </c>
      <c r="X2905">
        <v>0</v>
      </c>
      <c r="Z2905" t="s">
        <v>865</v>
      </c>
      <c r="AA2905" t="s">
        <v>386</v>
      </c>
      <c r="AB2905">
        <v>0</v>
      </c>
      <c r="AC2905">
        <v>2075</v>
      </c>
      <c r="AD2905" t="s">
        <v>13223</v>
      </c>
      <c r="AE2905">
        <v>999</v>
      </c>
      <c r="AF2905" t="s">
        <v>8574</v>
      </c>
      <c r="AG2905" t="s">
        <v>8036</v>
      </c>
      <c r="AH2905" t="s">
        <v>13224</v>
      </c>
    </row>
    <row r="2906" spans="1:34" x14ac:dyDescent="0.25">
      <c r="A2906">
        <v>2161</v>
      </c>
      <c r="C2906" s="185"/>
      <c r="E2906" t="s">
        <v>386</v>
      </c>
      <c r="F2906" t="s">
        <v>13225</v>
      </c>
      <c r="G2906" t="s">
        <v>1197</v>
      </c>
      <c r="H2906" t="s">
        <v>13226</v>
      </c>
      <c r="I2906">
        <v>15931</v>
      </c>
      <c r="J2906" t="s">
        <v>13225</v>
      </c>
      <c r="K2906" t="s">
        <v>13227</v>
      </c>
      <c r="L2906" t="s">
        <v>386</v>
      </c>
      <c r="M2906" t="s">
        <v>1193</v>
      </c>
      <c r="N2906">
        <v>15931</v>
      </c>
      <c r="O2906">
        <v>76</v>
      </c>
      <c r="Q2906" t="s">
        <v>13228</v>
      </c>
      <c r="R2906" t="s">
        <v>398</v>
      </c>
      <c r="T2906">
        <v>220</v>
      </c>
      <c r="V2906" t="s">
        <v>1194</v>
      </c>
      <c r="W2906" t="s">
        <v>1194</v>
      </c>
      <c r="X2906">
        <v>220</v>
      </c>
      <c r="Z2906" t="s">
        <v>13229</v>
      </c>
      <c r="AA2906" t="s">
        <v>387</v>
      </c>
      <c r="AB2906">
        <v>0</v>
      </c>
      <c r="AC2906">
        <v>6003</v>
      </c>
      <c r="AD2906" t="s">
        <v>13230</v>
      </c>
      <c r="AE2906">
        <v>18</v>
      </c>
      <c r="AF2906" t="s">
        <v>1259</v>
      </c>
      <c r="AG2906" t="s">
        <v>1244</v>
      </c>
    </row>
    <row r="2907" spans="1:34" x14ac:dyDescent="0.25">
      <c r="A2907">
        <v>208</v>
      </c>
      <c r="C2907" s="185"/>
      <c r="E2907" t="s">
        <v>386</v>
      </c>
      <c r="F2907" t="s">
        <v>13231</v>
      </c>
      <c r="G2907" t="s">
        <v>1197</v>
      </c>
      <c r="H2907" t="s">
        <v>13232</v>
      </c>
      <c r="I2907">
        <v>14221</v>
      </c>
      <c r="J2907" t="s">
        <v>13231</v>
      </c>
      <c r="K2907" t="s">
        <v>13231</v>
      </c>
      <c r="L2907" t="s">
        <v>386</v>
      </c>
      <c r="M2907" t="s">
        <v>1193</v>
      </c>
      <c r="N2907">
        <v>14221</v>
      </c>
      <c r="O2907">
        <v>0</v>
      </c>
      <c r="Q2907" t="s">
        <v>13233</v>
      </c>
      <c r="T2907">
        <v>426</v>
      </c>
      <c r="V2907" t="s">
        <v>1257</v>
      </c>
      <c r="W2907" t="s">
        <v>1257</v>
      </c>
      <c r="X2907">
        <v>426</v>
      </c>
      <c r="Z2907" t="s">
        <v>13234</v>
      </c>
      <c r="AA2907" t="s">
        <v>387</v>
      </c>
      <c r="AB2907">
        <v>0</v>
      </c>
      <c r="AC2907">
        <v>5382</v>
      </c>
      <c r="AD2907" t="s">
        <v>13235</v>
      </c>
      <c r="AE2907">
        <v>308</v>
      </c>
      <c r="AF2907" t="s">
        <v>8714</v>
      </c>
      <c r="AG2907" t="s">
        <v>13236</v>
      </c>
    </row>
    <row r="2908" spans="1:34" x14ac:dyDescent="0.25">
      <c r="A2908">
        <v>1555</v>
      </c>
      <c r="B2908" t="s">
        <v>1313</v>
      </c>
      <c r="C2908" s="185"/>
      <c r="D2908" t="s">
        <v>24</v>
      </c>
      <c r="E2908" t="s">
        <v>386</v>
      </c>
      <c r="F2908" t="s">
        <v>79</v>
      </c>
      <c r="G2908" t="s">
        <v>1197</v>
      </c>
      <c r="H2908" t="s">
        <v>13237</v>
      </c>
      <c r="I2908">
        <v>3273</v>
      </c>
      <c r="J2908" t="s">
        <v>79</v>
      </c>
      <c r="K2908" t="s">
        <v>13238</v>
      </c>
      <c r="L2908" t="s">
        <v>386</v>
      </c>
      <c r="M2908" t="s">
        <v>1193</v>
      </c>
      <c r="N2908">
        <v>3273</v>
      </c>
      <c r="O2908">
        <v>65</v>
      </c>
      <c r="Q2908" t="s">
        <v>13239</v>
      </c>
      <c r="R2908" t="s">
        <v>398</v>
      </c>
      <c r="S2908" t="s">
        <v>1909</v>
      </c>
      <c r="T2908">
        <v>521</v>
      </c>
      <c r="U2908">
        <v>0</v>
      </c>
      <c r="V2908" t="s">
        <v>6311</v>
      </c>
      <c r="W2908" t="s">
        <v>1194</v>
      </c>
      <c r="X2908">
        <v>220</v>
      </c>
      <c r="Y2908" t="s">
        <v>1317</v>
      </c>
      <c r="Z2908" t="s">
        <v>884</v>
      </c>
      <c r="AA2908" t="s">
        <v>387</v>
      </c>
      <c r="AB2908">
        <v>57000</v>
      </c>
      <c r="AC2908">
        <v>2161</v>
      </c>
      <c r="AD2908" t="s">
        <v>13240</v>
      </c>
      <c r="AE2908">
        <v>0</v>
      </c>
      <c r="AF2908" t="s">
        <v>1188</v>
      </c>
      <c r="AG2908" t="s">
        <v>1931</v>
      </c>
      <c r="AH2908" t="s">
        <v>13241</v>
      </c>
    </row>
    <row r="2909" spans="1:34" x14ac:dyDescent="0.25">
      <c r="A2909">
        <v>44</v>
      </c>
      <c r="B2909" t="s">
        <v>1313</v>
      </c>
      <c r="C2909" s="185"/>
      <c r="D2909" t="s">
        <v>24</v>
      </c>
      <c r="E2909" t="s">
        <v>386</v>
      </c>
      <c r="F2909" t="s">
        <v>448</v>
      </c>
      <c r="G2909" t="s">
        <v>1197</v>
      </c>
      <c r="H2909" t="s">
        <v>9564</v>
      </c>
      <c r="I2909">
        <v>176</v>
      </c>
      <c r="J2909" t="s">
        <v>219</v>
      </c>
      <c r="K2909" t="s">
        <v>7402</v>
      </c>
      <c r="L2909" t="s">
        <v>386</v>
      </c>
      <c r="M2909" t="s">
        <v>1193</v>
      </c>
      <c r="N2909">
        <v>15328</v>
      </c>
      <c r="O2909">
        <v>76</v>
      </c>
      <c r="Q2909" t="s">
        <v>13242</v>
      </c>
      <c r="R2909" t="s">
        <v>398</v>
      </c>
      <c r="S2909" t="s">
        <v>7404</v>
      </c>
      <c r="T2909">
        <v>220</v>
      </c>
      <c r="U2909">
        <v>0</v>
      </c>
      <c r="V2909" t="s">
        <v>1194</v>
      </c>
      <c r="W2909" t="s">
        <v>2107</v>
      </c>
      <c r="X2909">
        <v>272</v>
      </c>
      <c r="Y2909" t="s">
        <v>1317</v>
      </c>
      <c r="Z2909" t="s">
        <v>1052</v>
      </c>
      <c r="AA2909" t="s">
        <v>387</v>
      </c>
      <c r="AB2909">
        <v>0</v>
      </c>
      <c r="AC2909">
        <v>146</v>
      </c>
      <c r="AD2909" t="s">
        <v>13243</v>
      </c>
      <c r="AE2909">
        <v>3</v>
      </c>
      <c r="AF2909" t="s">
        <v>1235</v>
      </c>
      <c r="AG2909" t="s">
        <v>1931</v>
      </c>
      <c r="AH2909" t="s">
        <v>13244</v>
      </c>
    </row>
    <row r="2910" spans="1:34" x14ac:dyDescent="0.25">
      <c r="A2910">
        <v>1792</v>
      </c>
      <c r="C2910" s="185"/>
      <c r="E2910" t="s">
        <v>386</v>
      </c>
      <c r="F2910" t="s">
        <v>13245</v>
      </c>
      <c r="G2910" t="s">
        <v>1197</v>
      </c>
      <c r="H2910" t="s">
        <v>4919</v>
      </c>
      <c r="I2910">
        <v>8514</v>
      </c>
      <c r="J2910" t="s">
        <v>13245</v>
      </c>
      <c r="K2910" t="s">
        <v>12906</v>
      </c>
      <c r="L2910" t="s">
        <v>386</v>
      </c>
      <c r="M2910" t="s">
        <v>1193</v>
      </c>
      <c r="N2910">
        <v>8514</v>
      </c>
      <c r="O2910">
        <v>0</v>
      </c>
      <c r="Q2910" t="s">
        <v>13246</v>
      </c>
      <c r="R2910" t="s">
        <v>398</v>
      </c>
      <c r="T2910">
        <v>23</v>
      </c>
      <c r="V2910" t="s">
        <v>1981</v>
      </c>
      <c r="Z2910" t="s">
        <v>1053</v>
      </c>
      <c r="AA2910" t="s">
        <v>387</v>
      </c>
      <c r="AB2910">
        <v>0</v>
      </c>
      <c r="AC2910">
        <v>3415</v>
      </c>
      <c r="AD2910" t="s">
        <v>10473</v>
      </c>
      <c r="AE2910">
        <v>1587</v>
      </c>
      <c r="AF2910" t="s">
        <v>10085</v>
      </c>
      <c r="AG2910" t="s">
        <v>4728</v>
      </c>
    </row>
    <row r="2911" spans="1:34" x14ac:dyDescent="0.25">
      <c r="A2911">
        <v>1785</v>
      </c>
      <c r="C2911" s="185"/>
      <c r="E2911" t="s">
        <v>386</v>
      </c>
      <c r="F2911" t="s">
        <v>1897</v>
      </c>
      <c r="G2911" t="s">
        <v>4184</v>
      </c>
      <c r="H2911" t="s">
        <v>4981</v>
      </c>
      <c r="I2911">
        <v>8516</v>
      </c>
      <c r="J2911" t="s">
        <v>13247</v>
      </c>
      <c r="K2911" t="s">
        <v>12906</v>
      </c>
      <c r="L2911" t="s">
        <v>386</v>
      </c>
      <c r="M2911" t="s">
        <v>1193</v>
      </c>
      <c r="N2911">
        <v>0</v>
      </c>
      <c r="O2911">
        <v>0</v>
      </c>
      <c r="Q2911" t="s">
        <v>13248</v>
      </c>
      <c r="R2911" t="s">
        <v>398</v>
      </c>
      <c r="T2911">
        <v>23</v>
      </c>
      <c r="V2911" t="s">
        <v>1981</v>
      </c>
      <c r="Z2911" t="s">
        <v>4983</v>
      </c>
      <c r="AA2911" t="s">
        <v>387</v>
      </c>
      <c r="AB2911">
        <v>26000</v>
      </c>
      <c r="AC2911">
        <v>3417</v>
      </c>
      <c r="AD2911" t="s">
        <v>13249</v>
      </c>
      <c r="AE2911">
        <v>1588</v>
      </c>
      <c r="AF2911" t="s">
        <v>13250</v>
      </c>
      <c r="AG2911" t="s">
        <v>3434</v>
      </c>
    </row>
    <row r="2912" spans="1:34" x14ac:dyDescent="0.25">
      <c r="A2912">
        <v>1349</v>
      </c>
      <c r="C2912" s="185"/>
      <c r="E2912" t="s">
        <v>386</v>
      </c>
      <c r="F2912" t="s">
        <v>786</v>
      </c>
      <c r="G2912" t="s">
        <v>1197</v>
      </c>
      <c r="H2912" t="s">
        <v>13251</v>
      </c>
      <c r="I2912">
        <v>17644</v>
      </c>
      <c r="J2912" t="s">
        <v>786</v>
      </c>
      <c r="K2912" t="s">
        <v>786</v>
      </c>
      <c r="L2912" t="s">
        <v>386</v>
      </c>
      <c r="M2912" t="s">
        <v>1193</v>
      </c>
      <c r="N2912">
        <v>17644</v>
      </c>
      <c r="O2912">
        <v>0</v>
      </c>
      <c r="Q2912" t="s">
        <v>13252</v>
      </c>
      <c r="R2912" t="s">
        <v>398</v>
      </c>
      <c r="T2912">
        <v>52</v>
      </c>
      <c r="V2912" t="s">
        <v>2024</v>
      </c>
      <c r="W2912" t="s">
        <v>4502</v>
      </c>
      <c r="X2912">
        <v>556</v>
      </c>
      <c r="Z2912" t="s">
        <v>13253</v>
      </c>
      <c r="AA2912" t="s">
        <v>387</v>
      </c>
      <c r="AB2912">
        <v>0</v>
      </c>
      <c r="AC2912">
        <v>583</v>
      </c>
      <c r="AD2912" t="s">
        <v>2615</v>
      </c>
      <c r="AE2912">
        <v>3047</v>
      </c>
      <c r="AF2912" t="s">
        <v>13254</v>
      </c>
      <c r="AG2912" t="s">
        <v>4728</v>
      </c>
      <c r="AH2912" t="s">
        <v>13255</v>
      </c>
    </row>
    <row r="2913" spans="1:34" x14ac:dyDescent="0.25">
      <c r="A2913">
        <v>6</v>
      </c>
      <c r="C2913" s="185"/>
      <c r="E2913" t="s">
        <v>386</v>
      </c>
      <c r="F2913" t="s">
        <v>13256</v>
      </c>
      <c r="G2913" t="s">
        <v>1197</v>
      </c>
      <c r="H2913" t="s">
        <v>13257</v>
      </c>
      <c r="I2913">
        <v>13494</v>
      </c>
      <c r="J2913" t="s">
        <v>13256</v>
      </c>
      <c r="K2913" t="s">
        <v>13258</v>
      </c>
      <c r="L2913" t="s">
        <v>386</v>
      </c>
      <c r="M2913" t="s">
        <v>1193</v>
      </c>
      <c r="N2913">
        <v>13494</v>
      </c>
      <c r="O2913">
        <v>0</v>
      </c>
      <c r="Q2913" t="s">
        <v>13259</v>
      </c>
      <c r="R2913" t="s">
        <v>1208</v>
      </c>
      <c r="T2913">
        <v>304</v>
      </c>
      <c r="V2913" t="s">
        <v>2067</v>
      </c>
      <c r="W2913" t="s">
        <v>2067</v>
      </c>
      <c r="X2913">
        <v>304</v>
      </c>
      <c r="Z2913" t="s">
        <v>892</v>
      </c>
      <c r="AA2913" t="s">
        <v>387</v>
      </c>
      <c r="AB2913">
        <v>0</v>
      </c>
      <c r="AC2913">
        <v>3139</v>
      </c>
      <c r="AD2913" t="s">
        <v>13260</v>
      </c>
      <c r="AE2913">
        <v>2344</v>
      </c>
      <c r="AF2913" t="s">
        <v>13261</v>
      </c>
      <c r="AG2913" t="s">
        <v>13262</v>
      </c>
      <c r="AH2913" t="s">
        <v>13263</v>
      </c>
    </row>
    <row r="2914" spans="1:34" x14ac:dyDescent="0.25">
      <c r="A2914">
        <v>6</v>
      </c>
      <c r="B2914" t="s">
        <v>1313</v>
      </c>
      <c r="C2914" s="185"/>
      <c r="D2914" t="s">
        <v>24</v>
      </c>
      <c r="E2914" t="s">
        <v>386</v>
      </c>
      <c r="F2914" t="s">
        <v>448</v>
      </c>
      <c r="G2914" t="s">
        <v>1197</v>
      </c>
      <c r="H2914" t="s">
        <v>4790</v>
      </c>
      <c r="I2914">
        <v>32</v>
      </c>
      <c r="J2914" t="s">
        <v>13264</v>
      </c>
      <c r="K2914" t="s">
        <v>7402</v>
      </c>
      <c r="L2914" t="s">
        <v>386</v>
      </c>
      <c r="M2914" t="s">
        <v>1193</v>
      </c>
      <c r="N2914">
        <v>15328</v>
      </c>
      <c r="O2914">
        <v>23</v>
      </c>
      <c r="Q2914" t="s">
        <v>13265</v>
      </c>
      <c r="R2914" t="s">
        <v>398</v>
      </c>
      <c r="S2914" t="s">
        <v>7404</v>
      </c>
      <c r="T2914">
        <v>272</v>
      </c>
      <c r="U2914">
        <v>0</v>
      </c>
      <c r="V2914" t="s">
        <v>2107</v>
      </c>
      <c r="W2914" t="s">
        <v>2024</v>
      </c>
      <c r="X2914">
        <v>52</v>
      </c>
      <c r="Y2914" t="s">
        <v>1317</v>
      </c>
      <c r="Z2914" t="s">
        <v>892</v>
      </c>
      <c r="AA2914" t="s">
        <v>387</v>
      </c>
      <c r="AB2914">
        <v>17000</v>
      </c>
      <c r="AC2914">
        <v>27</v>
      </c>
      <c r="AD2914" t="s">
        <v>4792</v>
      </c>
      <c r="AE2914">
        <v>3</v>
      </c>
      <c r="AF2914" t="s">
        <v>1235</v>
      </c>
      <c r="AG2914" t="s">
        <v>6580</v>
      </c>
      <c r="AH2914" t="s">
        <v>13266</v>
      </c>
    </row>
    <row r="2915" spans="1:34" x14ac:dyDescent="0.25">
      <c r="A2915">
        <v>78</v>
      </c>
      <c r="C2915" s="185"/>
      <c r="D2915" t="s">
        <v>24</v>
      </c>
      <c r="E2915" t="s">
        <v>386</v>
      </c>
      <c r="F2915" t="s">
        <v>13267</v>
      </c>
      <c r="G2915" t="s">
        <v>1197</v>
      </c>
      <c r="H2915" t="s">
        <v>13268</v>
      </c>
      <c r="I2915">
        <v>10568</v>
      </c>
      <c r="J2915" t="s">
        <v>13267</v>
      </c>
      <c r="K2915" t="s">
        <v>13269</v>
      </c>
      <c r="L2915" t="s">
        <v>386</v>
      </c>
      <c r="M2915" t="s">
        <v>1193</v>
      </c>
      <c r="N2915">
        <v>10568</v>
      </c>
      <c r="O2915">
        <v>0</v>
      </c>
      <c r="Q2915" t="s">
        <v>13270</v>
      </c>
      <c r="R2915" t="s">
        <v>398</v>
      </c>
      <c r="T2915">
        <v>260</v>
      </c>
      <c r="V2915" t="s">
        <v>1216</v>
      </c>
      <c r="Z2915" t="s">
        <v>13271</v>
      </c>
      <c r="AA2915" t="s">
        <v>387</v>
      </c>
      <c r="AB2915">
        <v>0</v>
      </c>
      <c r="AC2915">
        <v>4077</v>
      </c>
      <c r="AD2915" t="s">
        <v>13272</v>
      </c>
      <c r="AE2915">
        <v>1875</v>
      </c>
      <c r="AF2915" t="s">
        <v>12044</v>
      </c>
      <c r="AG2915" t="s">
        <v>13273</v>
      </c>
      <c r="AH2915" t="s">
        <v>13274</v>
      </c>
    </row>
    <row r="2916" spans="1:34" x14ac:dyDescent="0.25">
      <c r="A2916">
        <v>6</v>
      </c>
      <c r="B2916" t="s">
        <v>1313</v>
      </c>
      <c r="C2916" s="185"/>
      <c r="D2916" t="s">
        <v>24</v>
      </c>
      <c r="E2916" t="s">
        <v>386</v>
      </c>
      <c r="F2916" t="s">
        <v>431</v>
      </c>
      <c r="G2916" t="s">
        <v>1197</v>
      </c>
      <c r="H2916" t="s">
        <v>4685</v>
      </c>
      <c r="I2916">
        <v>1525</v>
      </c>
      <c r="J2916" t="s">
        <v>13275</v>
      </c>
      <c r="K2916" t="s">
        <v>7785</v>
      </c>
      <c r="L2916" t="s">
        <v>386</v>
      </c>
      <c r="M2916" t="s">
        <v>1193</v>
      </c>
      <c r="N2916">
        <v>15336</v>
      </c>
      <c r="O2916">
        <v>29</v>
      </c>
      <c r="Q2916" t="s">
        <v>13276</v>
      </c>
      <c r="R2916" t="s">
        <v>398</v>
      </c>
      <c r="S2916" t="s">
        <v>2293</v>
      </c>
      <c r="T2916">
        <v>220</v>
      </c>
      <c r="U2916">
        <v>0</v>
      </c>
      <c r="V2916" t="s">
        <v>1194</v>
      </c>
      <c r="W2916" t="s">
        <v>1199</v>
      </c>
      <c r="X2916">
        <v>200</v>
      </c>
      <c r="Y2916" t="s">
        <v>1317</v>
      </c>
      <c r="Z2916" t="s">
        <v>892</v>
      </c>
      <c r="AA2916" t="s">
        <v>387</v>
      </c>
      <c r="AB2916">
        <v>21000</v>
      </c>
      <c r="AC2916">
        <v>88</v>
      </c>
      <c r="AD2916" t="s">
        <v>5896</v>
      </c>
      <c r="AE2916">
        <v>553</v>
      </c>
      <c r="AF2916" t="s">
        <v>13277</v>
      </c>
      <c r="AG2916" t="s">
        <v>13278</v>
      </c>
      <c r="AH2916" t="s">
        <v>13279</v>
      </c>
    </row>
    <row r="2917" spans="1:34" x14ac:dyDescent="0.25">
      <c r="A2917">
        <v>6</v>
      </c>
      <c r="B2917" t="s">
        <v>1313</v>
      </c>
      <c r="C2917" s="185"/>
      <c r="D2917" t="s">
        <v>24</v>
      </c>
      <c r="E2917" t="s">
        <v>386</v>
      </c>
      <c r="F2917" t="s">
        <v>431</v>
      </c>
      <c r="G2917" t="s">
        <v>1197</v>
      </c>
      <c r="H2917" t="s">
        <v>4795</v>
      </c>
      <c r="I2917">
        <v>6124</v>
      </c>
      <c r="J2917" t="s">
        <v>695</v>
      </c>
      <c r="K2917" t="s">
        <v>7785</v>
      </c>
      <c r="L2917" t="s">
        <v>386</v>
      </c>
      <c r="M2917" t="s">
        <v>1193</v>
      </c>
      <c r="N2917">
        <v>15336</v>
      </c>
      <c r="O2917">
        <v>76</v>
      </c>
      <c r="Q2917" t="s">
        <v>13280</v>
      </c>
      <c r="R2917" t="s">
        <v>398</v>
      </c>
      <c r="S2917" t="s">
        <v>2293</v>
      </c>
      <c r="T2917">
        <v>220</v>
      </c>
      <c r="U2917">
        <v>0</v>
      </c>
      <c r="V2917" t="s">
        <v>1194</v>
      </c>
      <c r="W2917" t="s">
        <v>1194</v>
      </c>
      <c r="X2917">
        <v>220</v>
      </c>
      <c r="Y2917" t="s">
        <v>1317</v>
      </c>
      <c r="Z2917" t="s">
        <v>892</v>
      </c>
      <c r="AA2917" t="s">
        <v>387</v>
      </c>
      <c r="AB2917">
        <v>0</v>
      </c>
      <c r="AC2917">
        <v>27</v>
      </c>
      <c r="AD2917" t="s">
        <v>4792</v>
      </c>
      <c r="AE2917">
        <v>1526</v>
      </c>
      <c r="AF2917" t="s">
        <v>4797</v>
      </c>
      <c r="AG2917" t="s">
        <v>12705</v>
      </c>
      <c r="AH2917" t="s">
        <v>7788</v>
      </c>
    </row>
    <row r="2918" spans="1:34" x14ac:dyDescent="0.25">
      <c r="A2918">
        <v>6</v>
      </c>
      <c r="C2918" s="185"/>
      <c r="D2918" t="s">
        <v>24</v>
      </c>
      <c r="E2918" t="s">
        <v>386</v>
      </c>
      <c r="F2918" t="s">
        <v>362</v>
      </c>
      <c r="G2918" t="s">
        <v>1197</v>
      </c>
      <c r="H2918" t="s">
        <v>5892</v>
      </c>
      <c r="I2918">
        <v>111</v>
      </c>
      <c r="J2918" t="s">
        <v>13281</v>
      </c>
      <c r="K2918" t="s">
        <v>10248</v>
      </c>
      <c r="L2918" t="s">
        <v>386</v>
      </c>
      <c r="M2918" t="s">
        <v>1193</v>
      </c>
      <c r="N2918">
        <v>15321</v>
      </c>
      <c r="O2918">
        <v>10</v>
      </c>
      <c r="Q2918" t="s">
        <v>13282</v>
      </c>
      <c r="R2918" t="s">
        <v>398</v>
      </c>
      <c r="T2918">
        <v>272</v>
      </c>
      <c r="V2918" t="s">
        <v>2107</v>
      </c>
      <c r="W2918" t="s">
        <v>1186</v>
      </c>
      <c r="X2918">
        <v>0</v>
      </c>
      <c r="Z2918" t="s">
        <v>892</v>
      </c>
      <c r="AA2918" t="s">
        <v>387</v>
      </c>
      <c r="AB2918">
        <v>6000</v>
      </c>
      <c r="AC2918">
        <v>182</v>
      </c>
      <c r="AD2918" t="s">
        <v>5896</v>
      </c>
      <c r="AE2918">
        <v>107</v>
      </c>
      <c r="AF2918" t="s">
        <v>1235</v>
      </c>
      <c r="AG2918" t="s">
        <v>5897</v>
      </c>
      <c r="AH2918" t="s">
        <v>5898</v>
      </c>
    </row>
    <row r="2919" spans="1:34" x14ac:dyDescent="0.25">
      <c r="A2919">
        <v>78</v>
      </c>
      <c r="C2919" s="185">
        <v>30742</v>
      </c>
      <c r="D2919" t="s">
        <v>24</v>
      </c>
      <c r="E2919" t="s">
        <v>386</v>
      </c>
      <c r="F2919" t="s">
        <v>13283</v>
      </c>
      <c r="G2919" t="s">
        <v>1197</v>
      </c>
      <c r="H2919" t="s">
        <v>13284</v>
      </c>
      <c r="I2919">
        <v>318</v>
      </c>
      <c r="J2919" t="s">
        <v>13283</v>
      </c>
      <c r="K2919" t="s">
        <v>13285</v>
      </c>
      <c r="L2919" t="s">
        <v>386</v>
      </c>
      <c r="M2919" t="s">
        <v>1193</v>
      </c>
      <c r="N2919">
        <v>318</v>
      </c>
      <c r="O2919">
        <v>55</v>
      </c>
      <c r="Q2919" t="s">
        <v>13286</v>
      </c>
      <c r="R2919" t="s">
        <v>398</v>
      </c>
      <c r="T2919">
        <v>396</v>
      </c>
      <c r="V2919" t="s">
        <v>2186</v>
      </c>
      <c r="W2919" t="s">
        <v>1194</v>
      </c>
      <c r="X2919">
        <v>220</v>
      </c>
      <c r="Z2919" t="s">
        <v>13271</v>
      </c>
      <c r="AA2919" t="s">
        <v>387</v>
      </c>
      <c r="AB2919">
        <v>47000</v>
      </c>
      <c r="AC2919">
        <v>287</v>
      </c>
      <c r="AD2919" t="s">
        <v>12265</v>
      </c>
      <c r="AE2919">
        <v>128</v>
      </c>
      <c r="AF2919" t="s">
        <v>13287</v>
      </c>
      <c r="AG2919" t="s">
        <v>13288</v>
      </c>
      <c r="AH2919" t="s">
        <v>13289</v>
      </c>
    </row>
    <row r="2920" spans="1:34" x14ac:dyDescent="0.25">
      <c r="A2920">
        <v>6</v>
      </c>
      <c r="C2920" s="185"/>
      <c r="E2920" t="s">
        <v>386</v>
      </c>
      <c r="F2920" t="s">
        <v>13290</v>
      </c>
      <c r="G2920" t="s">
        <v>1192</v>
      </c>
      <c r="H2920" t="s">
        <v>13291</v>
      </c>
      <c r="I2920">
        <v>2286</v>
      </c>
      <c r="J2920" t="s">
        <v>13290</v>
      </c>
      <c r="K2920" t="s">
        <v>13292</v>
      </c>
      <c r="L2920" t="s">
        <v>386</v>
      </c>
      <c r="M2920" t="s">
        <v>1193</v>
      </c>
      <c r="N2920">
        <v>2286</v>
      </c>
      <c r="O2920">
        <v>0</v>
      </c>
      <c r="Q2920" t="s">
        <v>13293</v>
      </c>
      <c r="R2920" t="s">
        <v>1208</v>
      </c>
      <c r="T2920">
        <v>372</v>
      </c>
      <c r="V2920" t="s">
        <v>2073</v>
      </c>
      <c r="W2920" t="s">
        <v>2073</v>
      </c>
      <c r="X2920">
        <v>372</v>
      </c>
      <c r="Z2920" t="s">
        <v>892</v>
      </c>
      <c r="AA2920" t="s">
        <v>387</v>
      </c>
      <c r="AB2920">
        <v>0</v>
      </c>
      <c r="AC2920">
        <v>1683</v>
      </c>
      <c r="AD2920" t="s">
        <v>13294</v>
      </c>
      <c r="AE2920">
        <v>12</v>
      </c>
      <c r="AF2920" t="s">
        <v>5521</v>
      </c>
      <c r="AG2920" t="s">
        <v>13295</v>
      </c>
      <c r="AH2920" t="s">
        <v>13296</v>
      </c>
    </row>
    <row r="2921" spans="1:34" x14ac:dyDescent="0.25">
      <c r="A2921">
        <v>6</v>
      </c>
      <c r="C2921" s="185"/>
      <c r="E2921" t="s">
        <v>386</v>
      </c>
      <c r="F2921" t="s">
        <v>13297</v>
      </c>
      <c r="G2921" t="s">
        <v>1197</v>
      </c>
      <c r="H2921" t="s">
        <v>13298</v>
      </c>
      <c r="I2921">
        <v>5219</v>
      </c>
      <c r="J2921" t="s">
        <v>13297</v>
      </c>
      <c r="K2921" t="s">
        <v>13297</v>
      </c>
      <c r="L2921" t="s">
        <v>386</v>
      </c>
      <c r="M2921" t="s">
        <v>1193</v>
      </c>
      <c r="N2921">
        <v>5219</v>
      </c>
      <c r="O2921">
        <v>0</v>
      </c>
      <c r="Q2921" t="s">
        <v>13299</v>
      </c>
      <c r="T2921">
        <v>52</v>
      </c>
      <c r="V2921" t="s">
        <v>2024</v>
      </c>
      <c r="Z2921" t="s">
        <v>892</v>
      </c>
      <c r="AA2921" t="s">
        <v>387</v>
      </c>
      <c r="AB2921">
        <v>0</v>
      </c>
      <c r="AC2921">
        <v>2520</v>
      </c>
      <c r="AD2921" t="s">
        <v>13300</v>
      </c>
      <c r="AE2921">
        <v>164</v>
      </c>
      <c r="AF2921" t="s">
        <v>2743</v>
      </c>
      <c r="AG2921" t="s">
        <v>3236</v>
      </c>
    </row>
    <row r="2922" spans="1:34" x14ac:dyDescent="0.25">
      <c r="A2922">
        <v>6</v>
      </c>
      <c r="C2922" s="185"/>
      <c r="D2922" t="s">
        <v>157</v>
      </c>
      <c r="E2922" t="s">
        <v>386</v>
      </c>
      <c r="F2922" t="s">
        <v>13301</v>
      </c>
      <c r="G2922" t="s">
        <v>1197</v>
      </c>
      <c r="H2922" t="s">
        <v>5390</v>
      </c>
      <c r="I2922">
        <v>6379</v>
      </c>
      <c r="J2922" t="s">
        <v>13301</v>
      </c>
      <c r="K2922" t="s">
        <v>13302</v>
      </c>
      <c r="L2922" t="s">
        <v>386</v>
      </c>
      <c r="M2922" t="s">
        <v>1193</v>
      </c>
      <c r="N2922">
        <v>6379</v>
      </c>
      <c r="O2922">
        <v>24</v>
      </c>
      <c r="Q2922" t="s">
        <v>13303</v>
      </c>
      <c r="R2922" t="s">
        <v>398</v>
      </c>
      <c r="T2922">
        <v>246</v>
      </c>
      <c r="V2922" t="s">
        <v>3321</v>
      </c>
      <c r="Z2922" t="s">
        <v>892</v>
      </c>
      <c r="AA2922" t="s">
        <v>387</v>
      </c>
      <c r="AB2922">
        <v>22000</v>
      </c>
      <c r="AC2922">
        <v>2520</v>
      </c>
      <c r="AD2922" t="s">
        <v>13300</v>
      </c>
      <c r="AE2922">
        <v>247</v>
      </c>
      <c r="AF2922" t="s">
        <v>6461</v>
      </c>
      <c r="AG2922" t="s">
        <v>3251</v>
      </c>
      <c r="AH2922" t="s">
        <v>13304</v>
      </c>
    </row>
    <row r="2923" spans="1:34" x14ac:dyDescent="0.25">
      <c r="A2923">
        <v>6</v>
      </c>
      <c r="C2923" s="185"/>
      <c r="E2923" t="s">
        <v>386</v>
      </c>
      <c r="F2923" t="s">
        <v>13305</v>
      </c>
      <c r="G2923" t="s">
        <v>1197</v>
      </c>
      <c r="H2923" t="s">
        <v>13306</v>
      </c>
      <c r="I2923">
        <v>9706</v>
      </c>
      <c r="J2923" t="s">
        <v>13305</v>
      </c>
      <c r="K2923" t="s">
        <v>13305</v>
      </c>
      <c r="L2923" t="s">
        <v>386</v>
      </c>
      <c r="M2923" t="s">
        <v>1193</v>
      </c>
      <c r="N2923">
        <v>9706</v>
      </c>
      <c r="O2923">
        <v>0</v>
      </c>
      <c r="Q2923" t="s">
        <v>13307</v>
      </c>
      <c r="R2923" t="s">
        <v>398</v>
      </c>
      <c r="T2923">
        <v>185</v>
      </c>
      <c r="V2923" t="s">
        <v>1915</v>
      </c>
      <c r="Z2923" t="s">
        <v>892</v>
      </c>
      <c r="AA2923" t="s">
        <v>387</v>
      </c>
      <c r="AB2923">
        <v>0</v>
      </c>
      <c r="AC2923">
        <v>3861</v>
      </c>
      <c r="AD2923" t="s">
        <v>13308</v>
      </c>
      <c r="AE2923">
        <v>247</v>
      </c>
      <c r="AF2923" t="s">
        <v>6461</v>
      </c>
      <c r="AG2923" t="s">
        <v>13025</v>
      </c>
    </row>
    <row r="2924" spans="1:34" x14ac:dyDescent="0.25">
      <c r="A2924">
        <v>1</v>
      </c>
      <c r="C2924" s="185"/>
      <c r="D2924" t="s">
        <v>157</v>
      </c>
      <c r="E2924" t="s">
        <v>386</v>
      </c>
      <c r="F2924" t="s">
        <v>13309</v>
      </c>
      <c r="G2924" t="s">
        <v>1197</v>
      </c>
      <c r="H2924" t="s">
        <v>13310</v>
      </c>
      <c r="I2924">
        <v>6429</v>
      </c>
      <c r="J2924" t="s">
        <v>13309</v>
      </c>
      <c r="K2924" t="s">
        <v>13302</v>
      </c>
      <c r="L2924" t="s">
        <v>386</v>
      </c>
      <c r="M2924" t="s">
        <v>1193</v>
      </c>
      <c r="N2924">
        <v>6429</v>
      </c>
      <c r="O2924">
        <v>24</v>
      </c>
      <c r="Q2924" t="s">
        <v>13311</v>
      </c>
      <c r="T2924">
        <v>122</v>
      </c>
      <c r="V2924" t="s">
        <v>1988</v>
      </c>
      <c r="Z2924" t="s">
        <v>865</v>
      </c>
      <c r="AA2924" t="s">
        <v>387</v>
      </c>
      <c r="AB2924">
        <v>18000</v>
      </c>
      <c r="AC2924">
        <v>551</v>
      </c>
      <c r="AD2924" t="s">
        <v>13312</v>
      </c>
      <c r="AE2924">
        <v>84</v>
      </c>
      <c r="AF2924" t="s">
        <v>1034</v>
      </c>
      <c r="AG2924" t="s">
        <v>13313</v>
      </c>
      <c r="AH2924" t="s">
        <v>13314</v>
      </c>
    </row>
    <row r="2925" spans="1:34" x14ac:dyDescent="0.25">
      <c r="A2925">
        <v>1730</v>
      </c>
      <c r="C2925" s="185"/>
      <c r="E2925" t="s">
        <v>386</v>
      </c>
      <c r="F2925" t="s">
        <v>13301</v>
      </c>
      <c r="H2925" t="s">
        <v>5069</v>
      </c>
      <c r="I2925">
        <v>8009</v>
      </c>
      <c r="J2925" t="s">
        <v>13315</v>
      </c>
      <c r="K2925" t="s">
        <v>13316</v>
      </c>
      <c r="L2925" t="s">
        <v>386</v>
      </c>
      <c r="M2925" t="s">
        <v>1193</v>
      </c>
      <c r="N2925">
        <v>6379</v>
      </c>
      <c r="O2925">
        <v>24</v>
      </c>
      <c r="Q2925" t="s">
        <v>13317</v>
      </c>
      <c r="T2925">
        <v>185</v>
      </c>
      <c r="V2925" t="s">
        <v>1915</v>
      </c>
      <c r="Z2925" t="s">
        <v>5071</v>
      </c>
      <c r="AA2925" t="s">
        <v>387</v>
      </c>
      <c r="AB2925">
        <v>18000</v>
      </c>
      <c r="AC2925">
        <v>3263</v>
      </c>
      <c r="AD2925" t="s">
        <v>13318</v>
      </c>
      <c r="AE2925">
        <v>1</v>
      </c>
      <c r="AF2925" t="s">
        <v>1922</v>
      </c>
      <c r="AG2925" t="s">
        <v>4262</v>
      </c>
    </row>
    <row r="2926" spans="1:34" x14ac:dyDescent="0.25">
      <c r="A2926">
        <v>1765</v>
      </c>
      <c r="C2926" s="185"/>
      <c r="E2926" t="s">
        <v>386</v>
      </c>
      <c r="F2926" t="s">
        <v>13319</v>
      </c>
      <c r="G2926" t="s">
        <v>1197</v>
      </c>
      <c r="H2926" t="s">
        <v>2141</v>
      </c>
      <c r="I2926">
        <v>7818</v>
      </c>
      <c r="J2926" t="s">
        <v>13319</v>
      </c>
      <c r="K2926" t="s">
        <v>13315</v>
      </c>
      <c r="L2926" t="s">
        <v>386</v>
      </c>
      <c r="M2926" t="s">
        <v>1193</v>
      </c>
      <c r="N2926">
        <v>7818</v>
      </c>
      <c r="O2926">
        <v>24</v>
      </c>
      <c r="Q2926" t="s">
        <v>13320</v>
      </c>
      <c r="T2926">
        <v>122</v>
      </c>
      <c r="V2926" t="s">
        <v>1988</v>
      </c>
      <c r="Z2926" t="s">
        <v>4903</v>
      </c>
      <c r="AA2926" t="s">
        <v>387</v>
      </c>
      <c r="AB2926">
        <v>18000</v>
      </c>
      <c r="AC2926">
        <v>1221</v>
      </c>
      <c r="AD2926" t="s">
        <v>4126</v>
      </c>
      <c r="AE2926">
        <v>311</v>
      </c>
      <c r="AF2926" t="s">
        <v>4126</v>
      </c>
      <c r="AG2926" t="s">
        <v>4905</v>
      </c>
    </row>
    <row r="2927" spans="1:34" x14ac:dyDescent="0.25">
      <c r="A2927">
        <v>95</v>
      </c>
      <c r="C2927" s="185"/>
      <c r="E2927" t="s">
        <v>386</v>
      </c>
      <c r="F2927" t="s">
        <v>13305</v>
      </c>
      <c r="G2927" t="s">
        <v>1197</v>
      </c>
      <c r="H2927" t="s">
        <v>13321</v>
      </c>
      <c r="I2927">
        <v>9607</v>
      </c>
      <c r="J2927" t="s">
        <v>13305</v>
      </c>
      <c r="K2927" t="s">
        <v>13305</v>
      </c>
      <c r="L2927" t="s">
        <v>386</v>
      </c>
      <c r="M2927" t="s">
        <v>1193</v>
      </c>
      <c r="N2927">
        <v>9607</v>
      </c>
      <c r="O2927">
        <v>0</v>
      </c>
      <c r="Q2927" t="s">
        <v>13322</v>
      </c>
      <c r="R2927" t="s">
        <v>398</v>
      </c>
      <c r="T2927">
        <v>185</v>
      </c>
      <c r="V2927" t="s">
        <v>1915</v>
      </c>
      <c r="Z2927" t="s">
        <v>952</v>
      </c>
      <c r="AA2927" t="s">
        <v>387</v>
      </c>
      <c r="AB2927">
        <v>0</v>
      </c>
      <c r="AC2927">
        <v>2055</v>
      </c>
      <c r="AD2927" t="s">
        <v>4786</v>
      </c>
      <c r="AE2927">
        <v>393</v>
      </c>
      <c r="AF2927" t="s">
        <v>4822</v>
      </c>
      <c r="AG2927" t="s">
        <v>13323</v>
      </c>
    </row>
    <row r="2928" spans="1:34" x14ac:dyDescent="0.25">
      <c r="A2928">
        <v>1</v>
      </c>
      <c r="C2928" s="185"/>
      <c r="E2928" t="s">
        <v>386</v>
      </c>
      <c r="F2928" t="s">
        <v>13324</v>
      </c>
      <c r="G2928" t="s">
        <v>1192</v>
      </c>
      <c r="I2928">
        <v>2140</v>
      </c>
      <c r="J2928" t="s">
        <v>13324</v>
      </c>
      <c r="K2928" t="s">
        <v>13324</v>
      </c>
      <c r="L2928" t="s">
        <v>386</v>
      </c>
      <c r="M2928" t="s">
        <v>1184</v>
      </c>
      <c r="N2928">
        <v>2140</v>
      </c>
      <c r="O2928">
        <v>0</v>
      </c>
      <c r="Q2928" t="s">
        <v>13325</v>
      </c>
      <c r="R2928" t="s">
        <v>1185</v>
      </c>
      <c r="T2928">
        <v>35</v>
      </c>
      <c r="V2928" t="s">
        <v>2015</v>
      </c>
      <c r="Z2928" t="s">
        <v>865</v>
      </c>
      <c r="AA2928" t="s">
        <v>387</v>
      </c>
      <c r="AB2928">
        <v>0</v>
      </c>
      <c r="AC2928">
        <v>0</v>
      </c>
      <c r="AD2928" t="s">
        <v>1187</v>
      </c>
      <c r="AE2928">
        <v>0</v>
      </c>
      <c r="AF2928" t="s">
        <v>1188</v>
      </c>
    </row>
    <row r="2929" spans="1:34" x14ac:dyDescent="0.25">
      <c r="A2929">
        <v>6</v>
      </c>
      <c r="B2929" t="s">
        <v>1313</v>
      </c>
      <c r="C2929" s="185"/>
      <c r="D2929" t="s">
        <v>24</v>
      </c>
      <c r="E2929" t="s">
        <v>386</v>
      </c>
      <c r="F2929" t="s">
        <v>13326</v>
      </c>
      <c r="G2929" t="s">
        <v>1197</v>
      </c>
      <c r="H2929" t="s">
        <v>4790</v>
      </c>
      <c r="I2929">
        <v>36</v>
      </c>
      <c r="J2929" t="s">
        <v>13326</v>
      </c>
      <c r="K2929" t="s">
        <v>7999</v>
      </c>
      <c r="L2929" t="s">
        <v>386</v>
      </c>
      <c r="M2929" t="s">
        <v>1193</v>
      </c>
      <c r="N2929">
        <v>36</v>
      </c>
      <c r="O2929">
        <v>76</v>
      </c>
      <c r="Q2929" t="s">
        <v>13327</v>
      </c>
      <c r="R2929" t="s">
        <v>398</v>
      </c>
      <c r="S2929" t="s">
        <v>1909</v>
      </c>
      <c r="T2929">
        <v>220</v>
      </c>
      <c r="U2929">
        <v>0</v>
      </c>
      <c r="V2929" t="s">
        <v>1194</v>
      </c>
      <c r="W2929" t="s">
        <v>1194</v>
      </c>
      <c r="X2929">
        <v>220</v>
      </c>
      <c r="Y2929" t="s">
        <v>1317</v>
      </c>
      <c r="Z2929" t="s">
        <v>892</v>
      </c>
      <c r="AA2929" t="s">
        <v>387</v>
      </c>
      <c r="AB2929">
        <v>0</v>
      </c>
      <c r="AC2929">
        <v>27</v>
      </c>
      <c r="AD2929" t="s">
        <v>4792</v>
      </c>
      <c r="AE2929">
        <v>3</v>
      </c>
      <c r="AF2929" t="s">
        <v>1235</v>
      </c>
      <c r="AG2929" t="s">
        <v>13328</v>
      </c>
      <c r="AH2929" t="s">
        <v>13329</v>
      </c>
    </row>
    <row r="2930" spans="1:34" x14ac:dyDescent="0.25">
      <c r="A2930">
        <v>6</v>
      </c>
      <c r="C2930" s="185"/>
      <c r="E2930" t="s">
        <v>386</v>
      </c>
      <c r="F2930" t="s">
        <v>5516</v>
      </c>
      <c r="G2930" t="s">
        <v>4184</v>
      </c>
      <c r="H2930" t="s">
        <v>5517</v>
      </c>
      <c r="I2930">
        <v>302</v>
      </c>
      <c r="J2930" t="s">
        <v>5516</v>
      </c>
      <c r="K2930" t="s">
        <v>13330</v>
      </c>
      <c r="L2930" t="s">
        <v>386</v>
      </c>
      <c r="M2930" t="s">
        <v>1193</v>
      </c>
      <c r="N2930">
        <v>302</v>
      </c>
      <c r="O2930">
        <v>0</v>
      </c>
      <c r="Q2930" t="s">
        <v>13331</v>
      </c>
      <c r="T2930">
        <v>260</v>
      </c>
      <c r="V2930" t="s">
        <v>1216</v>
      </c>
      <c r="Z2930" t="s">
        <v>892</v>
      </c>
      <c r="AA2930" t="s">
        <v>387</v>
      </c>
      <c r="AB2930">
        <v>0</v>
      </c>
      <c r="AC2930">
        <v>14</v>
      </c>
      <c r="AD2930" t="s">
        <v>13332</v>
      </c>
      <c r="AE2930">
        <v>12</v>
      </c>
      <c r="AF2930" t="s">
        <v>5521</v>
      </c>
      <c r="AG2930" t="s">
        <v>4604</v>
      </c>
      <c r="AH2930" t="s">
        <v>5522</v>
      </c>
    </row>
    <row r="2931" spans="1:34" x14ac:dyDescent="0.25">
      <c r="A2931">
        <v>6</v>
      </c>
      <c r="C2931" s="185"/>
      <c r="E2931" t="s">
        <v>386</v>
      </c>
      <c r="F2931" t="s">
        <v>13333</v>
      </c>
      <c r="G2931" t="s">
        <v>1197</v>
      </c>
      <c r="H2931" t="s">
        <v>13306</v>
      </c>
      <c r="I2931">
        <v>566</v>
      </c>
      <c r="J2931" t="s">
        <v>13333</v>
      </c>
      <c r="K2931" t="s">
        <v>13334</v>
      </c>
      <c r="L2931" t="s">
        <v>386</v>
      </c>
      <c r="M2931" t="s">
        <v>1193</v>
      </c>
      <c r="N2931">
        <v>566</v>
      </c>
      <c r="O2931">
        <v>0</v>
      </c>
      <c r="Q2931" t="s">
        <v>13335</v>
      </c>
      <c r="R2931" t="s">
        <v>1208</v>
      </c>
      <c r="T2931">
        <v>103</v>
      </c>
      <c r="V2931" t="s">
        <v>1530</v>
      </c>
      <c r="W2931" t="s">
        <v>1186</v>
      </c>
      <c r="X2931">
        <v>0</v>
      </c>
      <c r="Z2931" t="s">
        <v>892</v>
      </c>
      <c r="AA2931" t="s">
        <v>387</v>
      </c>
      <c r="AB2931">
        <v>0</v>
      </c>
      <c r="AC2931">
        <v>545</v>
      </c>
      <c r="AD2931" t="s">
        <v>13336</v>
      </c>
      <c r="AE2931">
        <v>247</v>
      </c>
      <c r="AF2931" t="s">
        <v>6461</v>
      </c>
      <c r="AG2931" t="s">
        <v>10479</v>
      </c>
    </row>
    <row r="2932" spans="1:34" x14ac:dyDescent="0.25">
      <c r="A2932">
        <v>1</v>
      </c>
      <c r="C2932" s="185"/>
      <c r="E2932" t="s">
        <v>386</v>
      </c>
      <c r="F2932" t="s">
        <v>13337</v>
      </c>
      <c r="G2932" t="s">
        <v>1197</v>
      </c>
      <c r="H2932" t="s">
        <v>13338</v>
      </c>
      <c r="I2932">
        <v>5581</v>
      </c>
      <c r="J2932" t="s">
        <v>13337</v>
      </c>
      <c r="K2932" t="s">
        <v>13337</v>
      </c>
      <c r="L2932" t="s">
        <v>386</v>
      </c>
      <c r="M2932" t="s">
        <v>1193</v>
      </c>
      <c r="N2932">
        <v>5581</v>
      </c>
      <c r="O2932">
        <v>0</v>
      </c>
      <c r="Q2932" t="s">
        <v>13339</v>
      </c>
      <c r="T2932">
        <v>39</v>
      </c>
      <c r="V2932" t="s">
        <v>2144</v>
      </c>
      <c r="Z2932" t="s">
        <v>865</v>
      </c>
      <c r="AA2932" t="s">
        <v>387</v>
      </c>
      <c r="AB2932">
        <v>0</v>
      </c>
      <c r="AC2932">
        <v>2643</v>
      </c>
      <c r="AD2932" t="s">
        <v>13340</v>
      </c>
      <c r="AE2932">
        <v>1</v>
      </c>
      <c r="AF2932" t="s">
        <v>1922</v>
      </c>
      <c r="AG2932" t="s">
        <v>3696</v>
      </c>
    </row>
    <row r="2933" spans="1:34" x14ac:dyDescent="0.25">
      <c r="A2933">
        <v>1</v>
      </c>
      <c r="C2933" s="185"/>
      <c r="E2933" t="s">
        <v>386</v>
      </c>
      <c r="F2933" t="s">
        <v>13341</v>
      </c>
      <c r="G2933" t="s">
        <v>1197</v>
      </c>
      <c r="H2933" t="s">
        <v>5585</v>
      </c>
      <c r="I2933">
        <v>10547</v>
      </c>
      <c r="J2933" t="s">
        <v>13341</v>
      </c>
      <c r="K2933" t="s">
        <v>13341</v>
      </c>
      <c r="L2933" t="s">
        <v>386</v>
      </c>
      <c r="M2933" t="s">
        <v>1193</v>
      </c>
      <c r="N2933">
        <v>10547</v>
      </c>
      <c r="O2933">
        <v>0</v>
      </c>
      <c r="Q2933" t="s">
        <v>13342</v>
      </c>
      <c r="T2933">
        <v>260</v>
      </c>
      <c r="V2933" t="s">
        <v>1216</v>
      </c>
      <c r="Z2933" t="s">
        <v>865</v>
      </c>
      <c r="AA2933" t="s">
        <v>387</v>
      </c>
      <c r="AB2933">
        <v>0</v>
      </c>
      <c r="AC2933">
        <v>131</v>
      </c>
      <c r="AD2933" t="s">
        <v>3098</v>
      </c>
      <c r="AE2933">
        <v>154</v>
      </c>
      <c r="AF2933" t="s">
        <v>3141</v>
      </c>
      <c r="AG2933" t="s">
        <v>10244</v>
      </c>
    </row>
    <row r="2934" spans="1:34" x14ac:dyDescent="0.25">
      <c r="A2934">
        <v>1</v>
      </c>
      <c r="B2934" t="s">
        <v>1313</v>
      </c>
      <c r="C2934" s="185"/>
      <c r="D2934" t="s">
        <v>707</v>
      </c>
      <c r="E2934" t="s">
        <v>386</v>
      </c>
      <c r="F2934" t="s">
        <v>357</v>
      </c>
      <c r="G2934" t="s">
        <v>1197</v>
      </c>
      <c r="H2934" t="s">
        <v>13343</v>
      </c>
      <c r="I2934">
        <v>2</v>
      </c>
      <c r="J2934" t="s">
        <v>28</v>
      </c>
      <c r="K2934" t="s">
        <v>7983</v>
      </c>
      <c r="L2934" t="s">
        <v>386</v>
      </c>
      <c r="M2934" t="s">
        <v>1193</v>
      </c>
      <c r="N2934">
        <v>15324</v>
      </c>
      <c r="O2934">
        <v>14</v>
      </c>
      <c r="Q2934" t="s">
        <v>13344</v>
      </c>
      <c r="R2934" t="s">
        <v>398</v>
      </c>
      <c r="S2934" t="s">
        <v>1909</v>
      </c>
      <c r="T2934">
        <v>259</v>
      </c>
      <c r="U2934">
        <v>0</v>
      </c>
      <c r="V2934" t="s">
        <v>1215</v>
      </c>
      <c r="W2934" t="s">
        <v>1530</v>
      </c>
      <c r="X2934">
        <v>103</v>
      </c>
      <c r="Y2934" t="s">
        <v>1317</v>
      </c>
      <c r="Z2934" t="s">
        <v>865</v>
      </c>
      <c r="AA2934" t="s">
        <v>387</v>
      </c>
      <c r="AB2934">
        <v>10000</v>
      </c>
      <c r="AC2934">
        <v>3</v>
      </c>
      <c r="AD2934" t="s">
        <v>13345</v>
      </c>
      <c r="AE2934">
        <v>3</v>
      </c>
      <c r="AF2934" t="s">
        <v>1235</v>
      </c>
      <c r="AG2934" t="s">
        <v>6895</v>
      </c>
      <c r="AH2934" t="s">
        <v>13346</v>
      </c>
    </row>
    <row r="2935" spans="1:34" x14ac:dyDescent="0.25">
      <c r="A2935">
        <v>1</v>
      </c>
      <c r="B2935" t="s">
        <v>1313</v>
      </c>
      <c r="C2935" s="185"/>
      <c r="E2935" t="s">
        <v>386</v>
      </c>
      <c r="F2935" t="s">
        <v>357</v>
      </c>
      <c r="G2935" t="s">
        <v>1197</v>
      </c>
      <c r="H2935" t="s">
        <v>13343</v>
      </c>
      <c r="I2935">
        <v>970</v>
      </c>
      <c r="J2935" t="s">
        <v>13347</v>
      </c>
      <c r="K2935" t="s">
        <v>7983</v>
      </c>
      <c r="L2935" t="s">
        <v>386</v>
      </c>
      <c r="M2935" t="s">
        <v>1193</v>
      </c>
      <c r="N2935">
        <v>15324</v>
      </c>
      <c r="O2935">
        <v>0</v>
      </c>
      <c r="Q2935" t="s">
        <v>13348</v>
      </c>
      <c r="S2935" t="s">
        <v>1315</v>
      </c>
      <c r="T2935">
        <v>272</v>
      </c>
      <c r="U2935">
        <v>0</v>
      </c>
      <c r="V2935" t="s">
        <v>2107</v>
      </c>
      <c r="W2935" t="s">
        <v>2015</v>
      </c>
      <c r="X2935">
        <v>35</v>
      </c>
      <c r="Y2935" t="s">
        <v>1317</v>
      </c>
      <c r="Z2935" t="s">
        <v>865</v>
      </c>
      <c r="AA2935" t="s">
        <v>387</v>
      </c>
      <c r="AB2935">
        <v>0</v>
      </c>
      <c r="AC2935">
        <v>3</v>
      </c>
      <c r="AD2935" t="s">
        <v>13345</v>
      </c>
      <c r="AE2935">
        <v>258</v>
      </c>
      <c r="AF2935" t="s">
        <v>5257</v>
      </c>
      <c r="AG2935" t="s">
        <v>6895</v>
      </c>
      <c r="AH2935" t="s">
        <v>13349</v>
      </c>
    </row>
    <row r="2936" spans="1:34" x14ac:dyDescent="0.25">
      <c r="A2936">
        <v>1</v>
      </c>
      <c r="C2936" s="185"/>
      <c r="E2936" t="s">
        <v>386</v>
      </c>
      <c r="F2936" t="s">
        <v>13350</v>
      </c>
      <c r="G2936" t="s">
        <v>1197</v>
      </c>
      <c r="H2936" t="s">
        <v>4705</v>
      </c>
      <c r="I2936">
        <v>12</v>
      </c>
      <c r="J2936" t="s">
        <v>13350</v>
      </c>
      <c r="K2936" t="s">
        <v>13351</v>
      </c>
      <c r="L2936" t="s">
        <v>386</v>
      </c>
      <c r="M2936" t="s">
        <v>1193</v>
      </c>
      <c r="N2936">
        <v>12</v>
      </c>
      <c r="O2936">
        <v>0</v>
      </c>
      <c r="Q2936" t="s">
        <v>13352</v>
      </c>
      <c r="R2936" t="s">
        <v>1208</v>
      </c>
      <c r="T2936">
        <v>260</v>
      </c>
      <c r="V2936" t="s">
        <v>1216</v>
      </c>
      <c r="W2936" t="s">
        <v>1530</v>
      </c>
      <c r="X2936">
        <v>103</v>
      </c>
      <c r="Z2936" t="s">
        <v>865</v>
      </c>
      <c r="AA2936" t="s">
        <v>387</v>
      </c>
      <c r="AB2936">
        <v>0</v>
      </c>
      <c r="AC2936">
        <v>10</v>
      </c>
      <c r="AD2936" t="s">
        <v>4708</v>
      </c>
      <c r="AE2936">
        <v>8</v>
      </c>
      <c r="AF2936" t="s">
        <v>2805</v>
      </c>
      <c r="AG2936" t="s">
        <v>5879</v>
      </c>
      <c r="AH2936" t="s">
        <v>13353</v>
      </c>
    </row>
    <row r="2937" spans="1:34" x14ac:dyDescent="0.25">
      <c r="A2937">
        <v>1</v>
      </c>
      <c r="C2937" s="185"/>
      <c r="E2937" t="s">
        <v>386</v>
      </c>
      <c r="F2937" t="s">
        <v>13354</v>
      </c>
      <c r="G2937" t="s">
        <v>1197</v>
      </c>
      <c r="H2937" t="s">
        <v>13355</v>
      </c>
      <c r="I2937">
        <v>1086</v>
      </c>
      <c r="J2937" t="s">
        <v>13354</v>
      </c>
      <c r="K2937" t="s">
        <v>13351</v>
      </c>
      <c r="L2937" t="s">
        <v>386</v>
      </c>
      <c r="M2937" t="s">
        <v>1193</v>
      </c>
      <c r="N2937">
        <v>1086</v>
      </c>
      <c r="O2937">
        <v>0</v>
      </c>
      <c r="Q2937" t="s">
        <v>13356</v>
      </c>
      <c r="T2937">
        <v>260</v>
      </c>
      <c r="V2937" t="s">
        <v>1216</v>
      </c>
      <c r="W2937" t="s">
        <v>5591</v>
      </c>
      <c r="X2937">
        <v>407</v>
      </c>
      <c r="Z2937" t="s">
        <v>865</v>
      </c>
      <c r="AA2937" t="s">
        <v>387</v>
      </c>
      <c r="AB2937">
        <v>0</v>
      </c>
      <c r="AC2937">
        <v>10</v>
      </c>
      <c r="AD2937" t="s">
        <v>4708</v>
      </c>
      <c r="AE2937">
        <v>8</v>
      </c>
      <c r="AF2937" t="s">
        <v>2805</v>
      </c>
      <c r="AG2937" t="s">
        <v>2730</v>
      </c>
      <c r="AH2937" t="s">
        <v>13353</v>
      </c>
    </row>
    <row r="2938" spans="1:34" x14ac:dyDescent="0.25">
      <c r="A2938">
        <v>1</v>
      </c>
      <c r="C2938" s="185"/>
      <c r="E2938" t="s">
        <v>386</v>
      </c>
      <c r="F2938" t="s">
        <v>7203</v>
      </c>
      <c r="G2938" t="s">
        <v>1197</v>
      </c>
      <c r="H2938" t="s">
        <v>7204</v>
      </c>
      <c r="I2938">
        <v>2749</v>
      </c>
      <c r="J2938" t="s">
        <v>7203</v>
      </c>
      <c r="K2938" t="s">
        <v>7205</v>
      </c>
      <c r="L2938" t="s">
        <v>386</v>
      </c>
      <c r="M2938" t="s">
        <v>1193</v>
      </c>
      <c r="N2938">
        <v>159</v>
      </c>
      <c r="O2938">
        <v>0</v>
      </c>
      <c r="Q2938" t="s">
        <v>13357</v>
      </c>
      <c r="R2938" t="s">
        <v>398</v>
      </c>
      <c r="T2938">
        <v>35</v>
      </c>
      <c r="V2938" t="s">
        <v>2015</v>
      </c>
      <c r="Z2938" t="s">
        <v>865</v>
      </c>
      <c r="AA2938" t="s">
        <v>387</v>
      </c>
      <c r="AB2938">
        <v>0</v>
      </c>
      <c r="AC2938">
        <v>131</v>
      </c>
      <c r="AD2938" t="s">
        <v>3098</v>
      </c>
      <c r="AE2938">
        <v>26</v>
      </c>
      <c r="AF2938" t="s">
        <v>2075</v>
      </c>
      <c r="AG2938" t="s">
        <v>7207</v>
      </c>
      <c r="AH2938" t="s">
        <v>7208</v>
      </c>
    </row>
    <row r="2939" spans="1:34" x14ac:dyDescent="0.25">
      <c r="A2939">
        <v>1</v>
      </c>
      <c r="C2939" s="185"/>
      <c r="E2939" t="s">
        <v>386</v>
      </c>
      <c r="F2939" t="s">
        <v>13358</v>
      </c>
      <c r="G2939" t="s">
        <v>1197</v>
      </c>
      <c r="H2939" t="s">
        <v>11689</v>
      </c>
      <c r="I2939">
        <v>2289</v>
      </c>
      <c r="J2939" t="s">
        <v>13358</v>
      </c>
      <c r="K2939" t="s">
        <v>13359</v>
      </c>
      <c r="L2939" t="s">
        <v>386</v>
      </c>
      <c r="M2939" t="s">
        <v>1193</v>
      </c>
      <c r="N2939">
        <v>2289</v>
      </c>
      <c r="O2939">
        <v>0</v>
      </c>
      <c r="Q2939" t="s">
        <v>13360</v>
      </c>
      <c r="T2939">
        <v>340</v>
      </c>
      <c r="V2939" t="s">
        <v>1200</v>
      </c>
      <c r="W2939" t="s">
        <v>2144</v>
      </c>
      <c r="X2939">
        <v>39</v>
      </c>
      <c r="Z2939" t="s">
        <v>865</v>
      </c>
      <c r="AA2939" t="s">
        <v>387</v>
      </c>
      <c r="AB2939">
        <v>0</v>
      </c>
      <c r="AC2939">
        <v>5842</v>
      </c>
      <c r="AD2939" t="s">
        <v>11691</v>
      </c>
      <c r="AE2939">
        <v>983</v>
      </c>
      <c r="AF2939" t="s">
        <v>2693</v>
      </c>
      <c r="AG2939" t="s">
        <v>13361</v>
      </c>
      <c r="AH2939" t="s">
        <v>13362</v>
      </c>
    </row>
    <row r="2940" spans="1:34" x14ac:dyDescent="0.25">
      <c r="A2940">
        <v>1</v>
      </c>
      <c r="C2940" s="185"/>
      <c r="E2940" t="s">
        <v>386</v>
      </c>
      <c r="F2940" t="s">
        <v>13363</v>
      </c>
      <c r="G2940" t="s">
        <v>1197</v>
      </c>
      <c r="H2940" t="s">
        <v>5524</v>
      </c>
      <c r="I2940">
        <v>16247</v>
      </c>
      <c r="J2940" t="s">
        <v>13363</v>
      </c>
      <c r="K2940" t="s">
        <v>13363</v>
      </c>
      <c r="L2940" t="s">
        <v>386</v>
      </c>
      <c r="M2940" t="s">
        <v>1193</v>
      </c>
      <c r="N2940">
        <v>16247</v>
      </c>
      <c r="O2940">
        <v>0</v>
      </c>
      <c r="Q2940" t="s">
        <v>13364</v>
      </c>
      <c r="T2940">
        <v>340</v>
      </c>
      <c r="V2940" t="s">
        <v>1200</v>
      </c>
      <c r="W2940" t="s">
        <v>4131</v>
      </c>
      <c r="X2940">
        <v>501</v>
      </c>
      <c r="Z2940" t="s">
        <v>865</v>
      </c>
      <c r="AA2940" t="s">
        <v>387</v>
      </c>
      <c r="AB2940">
        <v>0</v>
      </c>
      <c r="AC2940">
        <v>4888</v>
      </c>
      <c r="AD2940" t="s">
        <v>5527</v>
      </c>
      <c r="AE2940">
        <v>2795</v>
      </c>
      <c r="AF2940" t="s">
        <v>13365</v>
      </c>
      <c r="AG2940" t="s">
        <v>1244</v>
      </c>
      <c r="AH2940" t="s">
        <v>13366</v>
      </c>
    </row>
    <row r="2941" spans="1:34" x14ac:dyDescent="0.25">
      <c r="A2941">
        <v>1</v>
      </c>
      <c r="C2941" s="185"/>
      <c r="E2941" t="s">
        <v>386</v>
      </c>
      <c r="F2941" t="s">
        <v>13367</v>
      </c>
      <c r="G2941" t="s">
        <v>1197</v>
      </c>
      <c r="H2941" t="s">
        <v>3562</v>
      </c>
      <c r="I2941">
        <v>105</v>
      </c>
      <c r="J2941" t="s">
        <v>13367</v>
      </c>
      <c r="K2941" t="s">
        <v>13368</v>
      </c>
      <c r="L2941" t="s">
        <v>386</v>
      </c>
      <c r="M2941" t="s">
        <v>1193</v>
      </c>
      <c r="N2941">
        <v>105</v>
      </c>
      <c r="O2941">
        <v>0</v>
      </c>
      <c r="Q2941" t="s">
        <v>13369</v>
      </c>
      <c r="R2941" t="s">
        <v>1208</v>
      </c>
      <c r="T2941">
        <v>185</v>
      </c>
      <c r="V2941" t="s">
        <v>1915</v>
      </c>
      <c r="Z2941" t="s">
        <v>865</v>
      </c>
      <c r="AA2941" t="s">
        <v>387</v>
      </c>
      <c r="AB2941">
        <v>0</v>
      </c>
      <c r="AC2941">
        <v>82</v>
      </c>
      <c r="AD2941" t="s">
        <v>2692</v>
      </c>
      <c r="AE2941">
        <v>49</v>
      </c>
      <c r="AF2941" t="s">
        <v>4080</v>
      </c>
      <c r="AG2941" t="s">
        <v>9713</v>
      </c>
      <c r="AH2941" t="s">
        <v>13370</v>
      </c>
    </row>
    <row r="2942" spans="1:34" x14ac:dyDescent="0.25">
      <c r="A2942">
        <v>1</v>
      </c>
      <c r="C2942" s="185"/>
      <c r="E2942" t="s">
        <v>386</v>
      </c>
      <c r="F2942" t="s">
        <v>13371</v>
      </c>
      <c r="G2942" t="s">
        <v>1197</v>
      </c>
      <c r="H2942" t="s">
        <v>12272</v>
      </c>
      <c r="I2942">
        <v>8623</v>
      </c>
      <c r="J2942" t="s">
        <v>13371</v>
      </c>
      <c r="K2942" t="s">
        <v>13372</v>
      </c>
      <c r="L2942" t="s">
        <v>386</v>
      </c>
      <c r="M2942" t="s">
        <v>1193</v>
      </c>
      <c r="N2942">
        <v>8623</v>
      </c>
      <c r="O2942">
        <v>0</v>
      </c>
      <c r="Q2942" t="s">
        <v>13373</v>
      </c>
      <c r="R2942" t="s">
        <v>1208</v>
      </c>
      <c r="T2942">
        <v>372</v>
      </c>
      <c r="V2942" t="s">
        <v>2073</v>
      </c>
      <c r="W2942" t="s">
        <v>1216</v>
      </c>
      <c r="X2942">
        <v>260</v>
      </c>
      <c r="Z2942" t="s">
        <v>865</v>
      </c>
      <c r="AA2942" t="s">
        <v>387</v>
      </c>
      <c r="AB2942">
        <v>0</v>
      </c>
      <c r="AC2942">
        <v>827</v>
      </c>
      <c r="AD2942" t="s">
        <v>12275</v>
      </c>
      <c r="AE2942">
        <v>150</v>
      </c>
      <c r="AF2942" t="s">
        <v>2587</v>
      </c>
      <c r="AG2942" t="s">
        <v>4629</v>
      </c>
      <c r="AH2942" t="s">
        <v>13374</v>
      </c>
    </row>
    <row r="2943" spans="1:34" x14ac:dyDescent="0.25">
      <c r="A2943">
        <v>1</v>
      </c>
      <c r="C2943" s="185"/>
      <c r="E2943" t="s">
        <v>386</v>
      </c>
      <c r="F2943" t="s">
        <v>13375</v>
      </c>
      <c r="G2943" t="s">
        <v>1197</v>
      </c>
      <c r="H2943" t="s">
        <v>2033</v>
      </c>
      <c r="I2943">
        <v>1008</v>
      </c>
      <c r="J2943" t="s">
        <v>13375</v>
      </c>
      <c r="K2943" t="s">
        <v>13375</v>
      </c>
      <c r="L2943" t="s">
        <v>386</v>
      </c>
      <c r="M2943" t="s">
        <v>1193</v>
      </c>
      <c r="N2943">
        <v>1008</v>
      </c>
      <c r="O2943">
        <v>0</v>
      </c>
      <c r="Q2943" t="s">
        <v>13376</v>
      </c>
      <c r="T2943">
        <v>152</v>
      </c>
      <c r="V2943" t="s">
        <v>1265</v>
      </c>
      <c r="W2943" t="s">
        <v>1216</v>
      </c>
      <c r="X2943">
        <v>260</v>
      </c>
      <c r="Z2943" t="s">
        <v>865</v>
      </c>
      <c r="AA2943" t="s">
        <v>387</v>
      </c>
      <c r="AB2943">
        <v>0</v>
      </c>
      <c r="AC2943">
        <v>131</v>
      </c>
      <c r="AD2943" t="s">
        <v>3098</v>
      </c>
      <c r="AE2943">
        <v>26</v>
      </c>
      <c r="AF2943" t="s">
        <v>2075</v>
      </c>
      <c r="AG2943" t="s">
        <v>4209</v>
      </c>
      <c r="AH2943" t="s">
        <v>13377</v>
      </c>
    </row>
    <row r="2944" spans="1:34" x14ac:dyDescent="0.25">
      <c r="A2944">
        <v>1</v>
      </c>
      <c r="C2944" s="185"/>
      <c r="E2944" t="s">
        <v>386</v>
      </c>
      <c r="F2944" t="s">
        <v>13378</v>
      </c>
      <c r="G2944" t="s">
        <v>1197</v>
      </c>
      <c r="H2944" t="s">
        <v>13379</v>
      </c>
      <c r="I2944">
        <v>13309</v>
      </c>
      <c r="J2944" t="s">
        <v>13378</v>
      </c>
      <c r="K2944" t="s">
        <v>13375</v>
      </c>
      <c r="L2944" t="s">
        <v>386</v>
      </c>
      <c r="M2944" t="s">
        <v>1193</v>
      </c>
      <c r="N2944">
        <v>13309</v>
      </c>
      <c r="O2944">
        <v>0</v>
      </c>
      <c r="Q2944" t="s">
        <v>13380</v>
      </c>
      <c r="R2944" t="s">
        <v>1208</v>
      </c>
      <c r="T2944">
        <v>304</v>
      </c>
      <c r="V2944" t="s">
        <v>2067</v>
      </c>
      <c r="W2944" t="s">
        <v>2067</v>
      </c>
      <c r="X2944">
        <v>304</v>
      </c>
      <c r="Z2944" t="s">
        <v>865</v>
      </c>
      <c r="AA2944" t="s">
        <v>387</v>
      </c>
      <c r="AB2944">
        <v>0</v>
      </c>
      <c r="AC2944">
        <v>4987</v>
      </c>
      <c r="AD2944" t="s">
        <v>13381</v>
      </c>
      <c r="AE2944">
        <v>26</v>
      </c>
      <c r="AF2944" t="s">
        <v>2075</v>
      </c>
      <c r="AG2944" t="s">
        <v>13382</v>
      </c>
      <c r="AH2944" t="s">
        <v>13383</v>
      </c>
    </row>
    <row r="2945" spans="1:34" x14ac:dyDescent="0.25">
      <c r="A2945">
        <v>1</v>
      </c>
      <c r="C2945" s="185"/>
      <c r="E2945" t="s">
        <v>386</v>
      </c>
      <c r="F2945" t="s">
        <v>13384</v>
      </c>
      <c r="G2945" t="s">
        <v>1197</v>
      </c>
      <c r="H2945" t="s">
        <v>13385</v>
      </c>
      <c r="I2945">
        <v>1032</v>
      </c>
      <c r="J2945" t="s">
        <v>13384</v>
      </c>
      <c r="K2945" t="s">
        <v>13386</v>
      </c>
      <c r="L2945" t="s">
        <v>386</v>
      </c>
      <c r="M2945" t="s">
        <v>1193</v>
      </c>
      <c r="N2945">
        <v>1032</v>
      </c>
      <c r="O2945">
        <v>0</v>
      </c>
      <c r="Q2945" t="s">
        <v>13387</v>
      </c>
      <c r="R2945" t="s">
        <v>1208</v>
      </c>
      <c r="T2945">
        <v>259</v>
      </c>
      <c r="V2945" t="s">
        <v>1215</v>
      </c>
      <c r="W2945" t="s">
        <v>2144</v>
      </c>
      <c r="X2945">
        <v>39</v>
      </c>
      <c r="Z2945" t="s">
        <v>865</v>
      </c>
      <c r="AA2945" t="s">
        <v>387</v>
      </c>
      <c r="AB2945">
        <v>0</v>
      </c>
      <c r="AC2945">
        <v>228</v>
      </c>
      <c r="AD2945" t="s">
        <v>13388</v>
      </c>
      <c r="AE2945">
        <v>14</v>
      </c>
      <c r="AF2945" t="s">
        <v>2615</v>
      </c>
      <c r="AG2945" t="s">
        <v>12317</v>
      </c>
      <c r="AH2945" t="s">
        <v>13389</v>
      </c>
    </row>
    <row r="2946" spans="1:34" x14ac:dyDescent="0.25">
      <c r="A2946">
        <v>1</v>
      </c>
      <c r="C2946" s="185"/>
      <c r="E2946" t="s">
        <v>386</v>
      </c>
      <c r="F2946" t="s">
        <v>13390</v>
      </c>
      <c r="G2946" t="s">
        <v>1197</v>
      </c>
      <c r="H2946" t="s">
        <v>13391</v>
      </c>
      <c r="I2946">
        <v>3316</v>
      </c>
      <c r="J2946" t="s">
        <v>13390</v>
      </c>
      <c r="K2946" t="s">
        <v>13390</v>
      </c>
      <c r="L2946" t="s">
        <v>386</v>
      </c>
      <c r="M2946" t="s">
        <v>1193</v>
      </c>
      <c r="N2946">
        <v>3316</v>
      </c>
      <c r="O2946">
        <v>0</v>
      </c>
      <c r="Q2946" t="s">
        <v>13392</v>
      </c>
      <c r="R2946" t="s">
        <v>1208</v>
      </c>
      <c r="T2946">
        <v>372</v>
      </c>
      <c r="V2946" t="s">
        <v>2073</v>
      </c>
      <c r="W2946" t="s">
        <v>2144</v>
      </c>
      <c r="X2946">
        <v>39</v>
      </c>
      <c r="Z2946" t="s">
        <v>865</v>
      </c>
      <c r="AA2946" t="s">
        <v>387</v>
      </c>
      <c r="AB2946">
        <v>0</v>
      </c>
      <c r="AC2946">
        <v>1329</v>
      </c>
      <c r="AD2946" t="s">
        <v>13393</v>
      </c>
      <c r="AE2946">
        <v>122</v>
      </c>
      <c r="AF2946" t="s">
        <v>4628</v>
      </c>
      <c r="AG2946" t="s">
        <v>13394</v>
      </c>
      <c r="AH2946" t="s">
        <v>13395</v>
      </c>
    </row>
    <row r="2947" spans="1:34" x14ac:dyDescent="0.25">
      <c r="A2947">
        <v>1</v>
      </c>
      <c r="C2947" s="185"/>
      <c r="E2947" t="s">
        <v>386</v>
      </c>
      <c r="F2947" t="s">
        <v>13396</v>
      </c>
      <c r="G2947" t="s">
        <v>1197</v>
      </c>
      <c r="H2947" t="s">
        <v>13397</v>
      </c>
      <c r="I2947">
        <v>2288</v>
      </c>
      <c r="J2947" t="s">
        <v>13396</v>
      </c>
      <c r="K2947" t="s">
        <v>13396</v>
      </c>
      <c r="L2947" t="s">
        <v>386</v>
      </c>
      <c r="M2947" t="s">
        <v>1193</v>
      </c>
      <c r="N2947">
        <v>2288</v>
      </c>
      <c r="O2947">
        <v>0</v>
      </c>
      <c r="Q2947" t="s">
        <v>13398</v>
      </c>
      <c r="T2947">
        <v>52</v>
      </c>
      <c r="V2947" t="s">
        <v>2024</v>
      </c>
      <c r="Z2947" t="s">
        <v>865</v>
      </c>
      <c r="AA2947" t="s">
        <v>387</v>
      </c>
      <c r="AB2947">
        <v>0</v>
      </c>
      <c r="AC2947">
        <v>1685</v>
      </c>
      <c r="AD2947" t="s">
        <v>13399</v>
      </c>
      <c r="AE2947">
        <v>150</v>
      </c>
      <c r="AF2947" t="s">
        <v>2587</v>
      </c>
      <c r="AG2947" t="s">
        <v>13400</v>
      </c>
      <c r="AH2947" t="s">
        <v>13401</v>
      </c>
    </row>
    <row r="2948" spans="1:34" x14ac:dyDescent="0.25">
      <c r="A2948">
        <v>1</v>
      </c>
      <c r="C2948" s="185"/>
      <c r="E2948" t="s">
        <v>386</v>
      </c>
      <c r="F2948" t="s">
        <v>13402</v>
      </c>
      <c r="G2948" t="s">
        <v>1197</v>
      </c>
      <c r="H2948" t="s">
        <v>13403</v>
      </c>
      <c r="I2948">
        <v>13792</v>
      </c>
      <c r="J2948" t="s">
        <v>13402</v>
      </c>
      <c r="K2948" t="s">
        <v>13402</v>
      </c>
      <c r="L2948" t="s">
        <v>386</v>
      </c>
      <c r="M2948" t="s">
        <v>1193</v>
      </c>
      <c r="N2948">
        <v>13792</v>
      </c>
      <c r="O2948">
        <v>0</v>
      </c>
      <c r="Q2948" t="s">
        <v>13404</v>
      </c>
      <c r="R2948" t="s">
        <v>1208</v>
      </c>
      <c r="T2948">
        <v>571</v>
      </c>
      <c r="V2948" t="s">
        <v>2003</v>
      </c>
      <c r="W2948" t="s">
        <v>2067</v>
      </c>
      <c r="X2948">
        <v>304</v>
      </c>
      <c r="Z2948" t="s">
        <v>865</v>
      </c>
      <c r="AA2948" t="s">
        <v>387</v>
      </c>
      <c r="AB2948">
        <v>0</v>
      </c>
      <c r="AC2948">
        <v>243</v>
      </c>
      <c r="AD2948" t="s">
        <v>9903</v>
      </c>
      <c r="AE2948">
        <v>8</v>
      </c>
      <c r="AF2948" t="s">
        <v>2805</v>
      </c>
      <c r="AG2948" t="s">
        <v>13405</v>
      </c>
      <c r="AH2948" t="s">
        <v>13406</v>
      </c>
    </row>
    <row r="2949" spans="1:34" x14ac:dyDescent="0.25">
      <c r="A2949">
        <v>1</v>
      </c>
      <c r="B2949" t="s">
        <v>1313</v>
      </c>
      <c r="C2949" s="185"/>
      <c r="E2949" t="s">
        <v>386</v>
      </c>
      <c r="F2949" t="s">
        <v>13407</v>
      </c>
      <c r="G2949" t="s">
        <v>1197</v>
      </c>
      <c r="H2949" t="s">
        <v>4346</v>
      </c>
      <c r="I2949">
        <v>347</v>
      </c>
      <c r="J2949" t="s">
        <v>13407</v>
      </c>
      <c r="K2949" t="s">
        <v>13408</v>
      </c>
      <c r="L2949" t="s">
        <v>386</v>
      </c>
      <c r="M2949" t="s">
        <v>1193</v>
      </c>
      <c r="N2949">
        <v>347</v>
      </c>
      <c r="O2949">
        <v>0</v>
      </c>
      <c r="Q2949" t="s">
        <v>13409</v>
      </c>
      <c r="R2949" t="s">
        <v>1223</v>
      </c>
      <c r="S2949" t="s">
        <v>1315</v>
      </c>
      <c r="T2949">
        <v>556</v>
      </c>
      <c r="U2949">
        <v>0</v>
      </c>
      <c r="V2949" t="s">
        <v>4502</v>
      </c>
      <c r="W2949" t="s">
        <v>1530</v>
      </c>
      <c r="X2949">
        <v>103</v>
      </c>
      <c r="Y2949" t="s">
        <v>1317</v>
      </c>
      <c r="Z2949" t="s">
        <v>865</v>
      </c>
      <c r="AA2949" t="s">
        <v>387</v>
      </c>
      <c r="AB2949">
        <v>0</v>
      </c>
      <c r="AC2949">
        <v>50</v>
      </c>
      <c r="AD2949" t="s">
        <v>4347</v>
      </c>
      <c r="AE2949">
        <v>3</v>
      </c>
      <c r="AF2949" t="s">
        <v>1235</v>
      </c>
      <c r="AG2949" t="s">
        <v>2677</v>
      </c>
      <c r="AH2949" t="s">
        <v>13410</v>
      </c>
    </row>
    <row r="2950" spans="1:34" x14ac:dyDescent="0.25">
      <c r="A2950">
        <v>1</v>
      </c>
      <c r="C2950" s="185"/>
      <c r="E2950" t="s">
        <v>386</v>
      </c>
      <c r="F2950" t="s">
        <v>13411</v>
      </c>
      <c r="G2950" t="s">
        <v>1197</v>
      </c>
      <c r="H2950" t="s">
        <v>6825</v>
      </c>
      <c r="I2950">
        <v>71</v>
      </c>
      <c r="J2950" t="s">
        <v>13411</v>
      </c>
      <c r="K2950" t="s">
        <v>13412</v>
      </c>
      <c r="L2950" t="s">
        <v>386</v>
      </c>
      <c r="M2950" t="s">
        <v>1193</v>
      </c>
      <c r="N2950">
        <v>71</v>
      </c>
      <c r="O2950">
        <v>0</v>
      </c>
      <c r="Q2950" t="s">
        <v>13413</v>
      </c>
      <c r="T2950">
        <v>340</v>
      </c>
      <c r="V2950" t="s">
        <v>1200</v>
      </c>
      <c r="W2950" t="s">
        <v>3129</v>
      </c>
      <c r="X2950">
        <v>435</v>
      </c>
      <c r="Z2950" t="s">
        <v>865</v>
      </c>
      <c r="AA2950" t="s">
        <v>387</v>
      </c>
      <c r="AB2950">
        <v>0</v>
      </c>
      <c r="AC2950">
        <v>53</v>
      </c>
      <c r="AD2950" t="s">
        <v>6387</v>
      </c>
      <c r="AE2950">
        <v>150</v>
      </c>
      <c r="AF2950" t="s">
        <v>2587</v>
      </c>
      <c r="AG2950" t="s">
        <v>13414</v>
      </c>
      <c r="AH2950" t="s">
        <v>13415</v>
      </c>
    </row>
    <row r="2951" spans="1:34" x14ac:dyDescent="0.25">
      <c r="A2951">
        <v>1</v>
      </c>
      <c r="C2951" s="185"/>
      <c r="E2951" t="s">
        <v>386</v>
      </c>
      <c r="F2951" t="s">
        <v>13416</v>
      </c>
      <c r="G2951" t="s">
        <v>1197</v>
      </c>
      <c r="H2951" t="s">
        <v>13417</v>
      </c>
      <c r="I2951">
        <v>68</v>
      </c>
      <c r="J2951" t="s">
        <v>13416</v>
      </c>
      <c r="K2951" t="s">
        <v>13418</v>
      </c>
      <c r="L2951" t="s">
        <v>386</v>
      </c>
      <c r="M2951" t="s">
        <v>1193</v>
      </c>
      <c r="N2951">
        <v>68</v>
      </c>
      <c r="O2951">
        <v>0</v>
      </c>
      <c r="Q2951" t="s">
        <v>13419</v>
      </c>
      <c r="T2951">
        <v>340</v>
      </c>
      <c r="V2951" t="s">
        <v>1200</v>
      </c>
      <c r="W2951" t="s">
        <v>1216</v>
      </c>
      <c r="X2951">
        <v>260</v>
      </c>
      <c r="Z2951" t="s">
        <v>865</v>
      </c>
      <c r="AA2951" t="s">
        <v>387</v>
      </c>
      <c r="AB2951">
        <v>0</v>
      </c>
      <c r="AC2951">
        <v>1204</v>
      </c>
      <c r="AD2951" t="s">
        <v>4611</v>
      </c>
      <c r="AE2951">
        <v>138</v>
      </c>
      <c r="AF2951" t="s">
        <v>2509</v>
      </c>
      <c r="AG2951" t="s">
        <v>13420</v>
      </c>
      <c r="AH2951" t="s">
        <v>13421</v>
      </c>
    </row>
    <row r="2952" spans="1:34" x14ac:dyDescent="0.25">
      <c r="A2952">
        <v>1</v>
      </c>
      <c r="C2952" s="185"/>
      <c r="E2952" t="s">
        <v>386</v>
      </c>
      <c r="F2952" t="s">
        <v>13422</v>
      </c>
      <c r="G2952" t="s">
        <v>1197</v>
      </c>
      <c r="H2952" t="s">
        <v>5585</v>
      </c>
      <c r="I2952">
        <v>2216</v>
      </c>
      <c r="J2952" t="s">
        <v>13422</v>
      </c>
      <c r="K2952" t="s">
        <v>13422</v>
      </c>
      <c r="L2952" t="s">
        <v>386</v>
      </c>
      <c r="M2952" t="s">
        <v>1193</v>
      </c>
      <c r="N2952">
        <v>2216</v>
      </c>
      <c r="O2952">
        <v>0</v>
      </c>
      <c r="Q2952" t="s">
        <v>13423</v>
      </c>
      <c r="T2952">
        <v>52</v>
      </c>
      <c r="V2952" t="s">
        <v>2024</v>
      </c>
      <c r="Z2952" t="s">
        <v>865</v>
      </c>
      <c r="AA2952" t="s">
        <v>387</v>
      </c>
      <c r="AB2952">
        <v>0</v>
      </c>
      <c r="AC2952">
        <v>1609</v>
      </c>
      <c r="AD2952" t="s">
        <v>2035</v>
      </c>
      <c r="AE2952">
        <v>113</v>
      </c>
      <c r="AF2952" t="s">
        <v>2115</v>
      </c>
      <c r="AG2952" t="s">
        <v>5587</v>
      </c>
      <c r="AH2952" t="s">
        <v>13424</v>
      </c>
    </row>
    <row r="2953" spans="1:34" x14ac:dyDescent="0.25">
      <c r="A2953">
        <v>1</v>
      </c>
      <c r="B2953" t="s">
        <v>1313</v>
      </c>
      <c r="C2953" s="185"/>
      <c r="E2953" t="s">
        <v>386</v>
      </c>
      <c r="F2953" t="s">
        <v>13425</v>
      </c>
      <c r="G2953" t="s">
        <v>1197</v>
      </c>
      <c r="H2953" t="s">
        <v>2023</v>
      </c>
      <c r="I2953">
        <v>843</v>
      </c>
      <c r="J2953" t="s">
        <v>13425</v>
      </c>
      <c r="K2953" t="s">
        <v>13425</v>
      </c>
      <c r="L2953" t="s">
        <v>386</v>
      </c>
      <c r="M2953" t="s">
        <v>1193</v>
      </c>
      <c r="N2953">
        <v>843</v>
      </c>
      <c r="O2953">
        <v>0</v>
      </c>
      <c r="Q2953" t="s">
        <v>13426</v>
      </c>
      <c r="S2953" t="s">
        <v>1315</v>
      </c>
      <c r="T2953">
        <v>571</v>
      </c>
      <c r="U2953">
        <v>0</v>
      </c>
      <c r="V2953" t="s">
        <v>2003</v>
      </c>
      <c r="W2953" t="s">
        <v>2073</v>
      </c>
      <c r="X2953">
        <v>372</v>
      </c>
      <c r="Y2953" t="s">
        <v>1317</v>
      </c>
      <c r="Z2953" t="s">
        <v>865</v>
      </c>
      <c r="AA2953" t="s">
        <v>387</v>
      </c>
      <c r="AB2953">
        <v>0</v>
      </c>
      <c r="AC2953">
        <v>729</v>
      </c>
      <c r="AD2953" t="s">
        <v>13427</v>
      </c>
      <c r="AE2953">
        <v>207</v>
      </c>
      <c r="AF2953" t="s">
        <v>10716</v>
      </c>
      <c r="AG2953" t="s">
        <v>2027</v>
      </c>
      <c r="AH2953" t="s">
        <v>13428</v>
      </c>
    </row>
    <row r="2954" spans="1:34" x14ac:dyDescent="0.25">
      <c r="A2954">
        <v>1</v>
      </c>
      <c r="C2954" s="185"/>
      <c r="E2954" t="s">
        <v>386</v>
      </c>
      <c r="F2954" t="s">
        <v>15576</v>
      </c>
      <c r="G2954" t="s">
        <v>1197</v>
      </c>
      <c r="H2954" t="s">
        <v>2618</v>
      </c>
      <c r="I2954">
        <v>17775</v>
      </c>
      <c r="J2954" t="s">
        <v>15576</v>
      </c>
      <c r="K2954" t="s">
        <v>15577</v>
      </c>
      <c r="L2954" t="s">
        <v>386</v>
      </c>
      <c r="M2954" t="s">
        <v>1193</v>
      </c>
      <c r="N2954">
        <v>17775</v>
      </c>
      <c r="O2954">
        <v>0</v>
      </c>
      <c r="Q2954" t="s">
        <v>15578</v>
      </c>
      <c r="R2954" t="s">
        <v>1208</v>
      </c>
      <c r="T2954">
        <v>260</v>
      </c>
      <c r="V2954" t="s">
        <v>1216</v>
      </c>
      <c r="W2954" t="s">
        <v>1216</v>
      </c>
      <c r="X2954">
        <v>260</v>
      </c>
      <c r="Z2954" t="s">
        <v>865</v>
      </c>
      <c r="AA2954" t="s">
        <v>387</v>
      </c>
      <c r="AB2954">
        <v>0</v>
      </c>
      <c r="AC2954">
        <v>135</v>
      </c>
      <c r="AD2954" t="s">
        <v>6102</v>
      </c>
      <c r="AE2954">
        <v>78</v>
      </c>
      <c r="AF2954" t="s">
        <v>3061</v>
      </c>
      <c r="AG2954" t="s">
        <v>15579</v>
      </c>
      <c r="AH2954" t="s">
        <v>15580</v>
      </c>
    </row>
    <row r="2955" spans="1:34" x14ac:dyDescent="0.25">
      <c r="A2955">
        <v>1</v>
      </c>
      <c r="C2955" s="185"/>
      <c r="E2955" t="s">
        <v>386</v>
      </c>
      <c r="F2955" t="s">
        <v>709</v>
      </c>
      <c r="G2955" t="s">
        <v>1197</v>
      </c>
      <c r="H2955" t="s">
        <v>13429</v>
      </c>
      <c r="I2955">
        <v>16189</v>
      </c>
      <c r="J2955" t="s">
        <v>709</v>
      </c>
      <c r="K2955" t="s">
        <v>13430</v>
      </c>
      <c r="L2955" t="s">
        <v>386</v>
      </c>
      <c r="M2955" t="s">
        <v>1193</v>
      </c>
      <c r="N2955">
        <v>16189</v>
      </c>
      <c r="O2955">
        <v>0</v>
      </c>
      <c r="Q2955" t="s">
        <v>13431</v>
      </c>
      <c r="T2955">
        <v>200</v>
      </c>
      <c r="V2955" t="s">
        <v>1199</v>
      </c>
      <c r="W2955" t="s">
        <v>1216</v>
      </c>
      <c r="X2955">
        <v>260</v>
      </c>
      <c r="Z2955" t="s">
        <v>865</v>
      </c>
      <c r="AA2955" t="s">
        <v>387</v>
      </c>
      <c r="AB2955">
        <v>0</v>
      </c>
      <c r="AC2955">
        <v>787</v>
      </c>
      <c r="AD2955" t="s">
        <v>3649</v>
      </c>
      <c r="AE2955">
        <v>14</v>
      </c>
      <c r="AF2955" t="s">
        <v>2615</v>
      </c>
      <c r="AG2955" t="s">
        <v>6020</v>
      </c>
      <c r="AH2955" t="s">
        <v>3560</v>
      </c>
    </row>
    <row r="2956" spans="1:34" x14ac:dyDescent="0.25">
      <c r="A2956">
        <v>1</v>
      </c>
      <c r="C2956" s="185"/>
      <c r="E2956" t="s">
        <v>386</v>
      </c>
      <c r="F2956" t="s">
        <v>13432</v>
      </c>
      <c r="G2956" t="s">
        <v>1197</v>
      </c>
      <c r="H2956" t="s">
        <v>13433</v>
      </c>
      <c r="I2956">
        <v>945</v>
      </c>
      <c r="J2956" t="s">
        <v>13432</v>
      </c>
      <c r="K2956" t="s">
        <v>13432</v>
      </c>
      <c r="L2956" t="s">
        <v>386</v>
      </c>
      <c r="M2956" t="s">
        <v>1193</v>
      </c>
      <c r="N2956">
        <v>945</v>
      </c>
      <c r="O2956">
        <v>0</v>
      </c>
      <c r="Q2956" t="s">
        <v>13434</v>
      </c>
      <c r="T2956">
        <v>21</v>
      </c>
      <c r="V2956" t="s">
        <v>12668</v>
      </c>
      <c r="Z2956" t="s">
        <v>865</v>
      </c>
      <c r="AA2956" t="s">
        <v>387</v>
      </c>
      <c r="AB2956">
        <v>0</v>
      </c>
      <c r="AC2956">
        <v>793</v>
      </c>
      <c r="AD2956" t="s">
        <v>13435</v>
      </c>
      <c r="AE2956">
        <v>25</v>
      </c>
      <c r="AF2956" t="s">
        <v>2017</v>
      </c>
      <c r="AG2956" t="s">
        <v>3750</v>
      </c>
    </row>
    <row r="2957" spans="1:34" x14ac:dyDescent="0.25">
      <c r="A2957">
        <v>1</v>
      </c>
      <c r="C2957" s="185"/>
      <c r="E2957" t="s">
        <v>386</v>
      </c>
      <c r="F2957" t="s">
        <v>13436</v>
      </c>
      <c r="G2957" t="s">
        <v>1197</v>
      </c>
      <c r="H2957" t="s">
        <v>6127</v>
      </c>
      <c r="I2957">
        <v>6206</v>
      </c>
      <c r="J2957" t="s">
        <v>13437</v>
      </c>
      <c r="K2957" t="s">
        <v>13438</v>
      </c>
      <c r="L2957" t="s">
        <v>386</v>
      </c>
      <c r="M2957" t="s">
        <v>1193</v>
      </c>
      <c r="N2957">
        <v>5967</v>
      </c>
      <c r="O2957">
        <v>0</v>
      </c>
      <c r="Q2957" t="s">
        <v>13439</v>
      </c>
      <c r="T2957">
        <v>260</v>
      </c>
      <c r="V2957" t="s">
        <v>1216</v>
      </c>
      <c r="W2957" t="s">
        <v>1216</v>
      </c>
      <c r="X2957">
        <v>260</v>
      </c>
      <c r="Z2957" t="s">
        <v>865</v>
      </c>
      <c r="AA2957" t="s">
        <v>387</v>
      </c>
      <c r="AB2957">
        <v>0</v>
      </c>
      <c r="AC2957">
        <v>1607</v>
      </c>
      <c r="AD2957" t="s">
        <v>6129</v>
      </c>
      <c r="AE2957">
        <v>114</v>
      </c>
      <c r="AF2957" t="s">
        <v>1218</v>
      </c>
      <c r="AG2957" t="s">
        <v>13440</v>
      </c>
      <c r="AH2957" t="s">
        <v>13441</v>
      </c>
    </row>
    <row r="2958" spans="1:34" x14ac:dyDescent="0.25">
      <c r="A2958">
        <v>1</v>
      </c>
      <c r="C2958" s="185"/>
      <c r="D2958" t="s">
        <v>24</v>
      </c>
      <c r="E2958" t="s">
        <v>386</v>
      </c>
      <c r="F2958" t="s">
        <v>13442</v>
      </c>
      <c r="G2958" t="s">
        <v>1197</v>
      </c>
      <c r="H2958" t="s">
        <v>13443</v>
      </c>
      <c r="I2958">
        <v>906</v>
      </c>
      <c r="J2958" t="s">
        <v>13442</v>
      </c>
      <c r="K2958" t="s">
        <v>13442</v>
      </c>
      <c r="L2958" t="s">
        <v>386</v>
      </c>
      <c r="M2958" t="s">
        <v>1193</v>
      </c>
      <c r="N2958">
        <v>906</v>
      </c>
      <c r="O2958">
        <v>0</v>
      </c>
      <c r="Q2958" t="s">
        <v>13444</v>
      </c>
      <c r="T2958">
        <v>21</v>
      </c>
      <c r="V2958" t="s">
        <v>12668</v>
      </c>
      <c r="Z2958" t="s">
        <v>865</v>
      </c>
      <c r="AA2958" t="s">
        <v>387</v>
      </c>
      <c r="AB2958">
        <v>0</v>
      </c>
      <c r="AC2958">
        <v>774</v>
      </c>
      <c r="AD2958" t="s">
        <v>13445</v>
      </c>
      <c r="AE2958">
        <v>9</v>
      </c>
      <c r="AF2958" t="s">
        <v>2957</v>
      </c>
      <c r="AG2958" t="s">
        <v>13446</v>
      </c>
    </row>
    <row r="2959" spans="1:34" x14ac:dyDescent="0.25">
      <c r="A2959">
        <v>1</v>
      </c>
      <c r="C2959" s="185"/>
      <c r="E2959" t="s">
        <v>386</v>
      </c>
      <c r="F2959" t="s">
        <v>13447</v>
      </c>
      <c r="G2959" t="s">
        <v>1197</v>
      </c>
      <c r="H2959" t="s">
        <v>13448</v>
      </c>
      <c r="I2959">
        <v>9826</v>
      </c>
      <c r="J2959" t="s">
        <v>13447</v>
      </c>
      <c r="K2959" t="s">
        <v>13447</v>
      </c>
      <c r="L2959" t="s">
        <v>386</v>
      </c>
      <c r="M2959" t="s">
        <v>1193</v>
      </c>
      <c r="N2959">
        <v>9826</v>
      </c>
      <c r="O2959">
        <v>0</v>
      </c>
      <c r="Q2959" t="s">
        <v>13449</v>
      </c>
      <c r="R2959" t="s">
        <v>1208</v>
      </c>
      <c r="T2959">
        <v>259</v>
      </c>
      <c r="V2959" t="s">
        <v>1215</v>
      </c>
      <c r="W2959" t="s">
        <v>2003</v>
      </c>
      <c r="X2959">
        <v>571</v>
      </c>
      <c r="Z2959" t="s">
        <v>865</v>
      </c>
      <c r="AA2959" t="s">
        <v>387</v>
      </c>
      <c r="AB2959">
        <v>0</v>
      </c>
      <c r="AC2959">
        <v>3908</v>
      </c>
      <c r="AD2959" t="s">
        <v>13450</v>
      </c>
      <c r="AE2959">
        <v>3</v>
      </c>
      <c r="AF2959" t="s">
        <v>1235</v>
      </c>
      <c r="AG2959" t="s">
        <v>13451</v>
      </c>
    </row>
    <row r="2960" spans="1:34" x14ac:dyDescent="0.25">
      <c r="A2960">
        <v>1</v>
      </c>
      <c r="C2960" s="185"/>
      <c r="E2960" t="s">
        <v>386</v>
      </c>
      <c r="F2960" t="s">
        <v>13452</v>
      </c>
      <c r="G2960" t="s">
        <v>1197</v>
      </c>
      <c r="H2960" t="s">
        <v>13453</v>
      </c>
      <c r="I2960">
        <v>15553</v>
      </c>
      <c r="J2960" t="s">
        <v>13452</v>
      </c>
      <c r="K2960" t="s">
        <v>13452</v>
      </c>
      <c r="L2960" t="s">
        <v>386</v>
      </c>
      <c r="M2960" t="s">
        <v>1193</v>
      </c>
      <c r="N2960">
        <v>15553</v>
      </c>
      <c r="O2960">
        <v>0</v>
      </c>
      <c r="Q2960" t="s">
        <v>13454</v>
      </c>
      <c r="R2960" t="s">
        <v>1208</v>
      </c>
      <c r="T2960">
        <v>103</v>
      </c>
      <c r="V2960" t="s">
        <v>1530</v>
      </c>
      <c r="W2960" t="s">
        <v>1530</v>
      </c>
      <c r="X2960">
        <v>103</v>
      </c>
      <c r="Z2960" t="s">
        <v>865</v>
      </c>
      <c r="AA2960" t="s">
        <v>387</v>
      </c>
      <c r="AB2960">
        <v>0</v>
      </c>
      <c r="AC2960">
        <v>53</v>
      </c>
      <c r="AD2960" t="s">
        <v>6387</v>
      </c>
      <c r="AE2960">
        <v>652</v>
      </c>
      <c r="AF2960" t="s">
        <v>2859</v>
      </c>
      <c r="AG2960" t="s">
        <v>4336</v>
      </c>
      <c r="AH2960" t="s">
        <v>13455</v>
      </c>
    </row>
    <row r="2961" spans="1:34" x14ac:dyDescent="0.25">
      <c r="A2961">
        <v>1</v>
      </c>
      <c r="B2961" t="s">
        <v>1313</v>
      </c>
      <c r="C2961" s="185"/>
      <c r="E2961" t="s">
        <v>386</v>
      </c>
      <c r="F2961" t="s">
        <v>13456</v>
      </c>
      <c r="G2961" t="s">
        <v>1197</v>
      </c>
      <c r="H2961" t="s">
        <v>6748</v>
      </c>
      <c r="I2961">
        <v>1396</v>
      </c>
      <c r="J2961" t="s">
        <v>13456</v>
      </c>
      <c r="K2961" t="s">
        <v>13457</v>
      </c>
      <c r="L2961" t="s">
        <v>386</v>
      </c>
      <c r="M2961" t="s">
        <v>1193</v>
      </c>
      <c r="N2961">
        <v>1396</v>
      </c>
      <c r="O2961">
        <v>0</v>
      </c>
      <c r="Q2961" t="s">
        <v>13458</v>
      </c>
      <c r="S2961" t="s">
        <v>1315</v>
      </c>
      <c r="T2961">
        <v>560</v>
      </c>
      <c r="U2961">
        <v>0</v>
      </c>
      <c r="V2961" t="s">
        <v>2602</v>
      </c>
      <c r="W2961" t="s">
        <v>4468</v>
      </c>
      <c r="X2961">
        <v>470</v>
      </c>
      <c r="Y2961" t="s">
        <v>1317</v>
      </c>
      <c r="Z2961" t="s">
        <v>865</v>
      </c>
      <c r="AA2961" t="s">
        <v>387</v>
      </c>
      <c r="AB2961">
        <v>0</v>
      </c>
      <c r="AC2961">
        <v>13</v>
      </c>
      <c r="AD2961" t="s">
        <v>6750</v>
      </c>
      <c r="AE2961">
        <v>11</v>
      </c>
      <c r="AF2961" t="s">
        <v>5744</v>
      </c>
      <c r="AG2961" t="s">
        <v>13459</v>
      </c>
      <c r="AH2961" t="s">
        <v>13460</v>
      </c>
    </row>
    <row r="2962" spans="1:34" x14ac:dyDescent="0.25">
      <c r="A2962">
        <v>1</v>
      </c>
      <c r="C2962" s="185"/>
      <c r="E2962" t="s">
        <v>386</v>
      </c>
      <c r="F2962" t="s">
        <v>7356</v>
      </c>
      <c r="G2962" t="s">
        <v>1197</v>
      </c>
      <c r="H2962" t="s">
        <v>13461</v>
      </c>
      <c r="I2962">
        <v>2189</v>
      </c>
      <c r="J2962" t="s">
        <v>7356</v>
      </c>
      <c r="K2962" t="s">
        <v>6099</v>
      </c>
      <c r="L2962" t="s">
        <v>386</v>
      </c>
      <c r="M2962" t="s">
        <v>1193</v>
      </c>
      <c r="N2962">
        <v>2189</v>
      </c>
      <c r="O2962">
        <v>0</v>
      </c>
      <c r="Q2962" t="s">
        <v>13462</v>
      </c>
      <c r="T2962">
        <v>52</v>
      </c>
      <c r="V2962" t="s">
        <v>2024</v>
      </c>
      <c r="Z2962" t="s">
        <v>865</v>
      </c>
      <c r="AA2962" t="s">
        <v>387</v>
      </c>
      <c r="AB2962">
        <v>0</v>
      </c>
      <c r="AC2962">
        <v>1611</v>
      </c>
      <c r="AD2962" t="s">
        <v>5479</v>
      </c>
      <c r="AE2962">
        <v>14</v>
      </c>
      <c r="AF2962" t="s">
        <v>2615</v>
      </c>
      <c r="AG2962" t="s">
        <v>13463</v>
      </c>
      <c r="AH2962" t="s">
        <v>11415</v>
      </c>
    </row>
    <row r="2963" spans="1:34" x14ac:dyDescent="0.25">
      <c r="A2963">
        <v>1</v>
      </c>
      <c r="C2963" s="185"/>
      <c r="E2963" t="s">
        <v>386</v>
      </c>
      <c r="F2963" t="s">
        <v>13464</v>
      </c>
      <c r="G2963" t="s">
        <v>1197</v>
      </c>
      <c r="H2963" t="s">
        <v>13465</v>
      </c>
      <c r="I2963">
        <v>130</v>
      </c>
      <c r="J2963" t="s">
        <v>13464</v>
      </c>
      <c r="K2963" t="s">
        <v>13466</v>
      </c>
      <c r="L2963" t="s">
        <v>386</v>
      </c>
      <c r="M2963" t="s">
        <v>1193</v>
      </c>
      <c r="N2963">
        <v>130</v>
      </c>
      <c r="O2963">
        <v>0</v>
      </c>
      <c r="Q2963" t="s">
        <v>13467</v>
      </c>
      <c r="T2963">
        <v>372</v>
      </c>
      <c r="V2963" t="s">
        <v>2073</v>
      </c>
      <c r="W2963" t="s">
        <v>1186</v>
      </c>
      <c r="X2963">
        <v>0</v>
      </c>
      <c r="Z2963" t="s">
        <v>865</v>
      </c>
      <c r="AA2963" t="s">
        <v>387</v>
      </c>
      <c r="AB2963">
        <v>0</v>
      </c>
      <c r="AC2963">
        <v>72</v>
      </c>
      <c r="AD2963" t="s">
        <v>6836</v>
      </c>
      <c r="AE2963">
        <v>8</v>
      </c>
      <c r="AF2963" t="s">
        <v>2805</v>
      </c>
      <c r="AG2963" t="s">
        <v>13468</v>
      </c>
      <c r="AH2963" t="s">
        <v>13469</v>
      </c>
    </row>
    <row r="2964" spans="1:34" x14ac:dyDescent="0.25">
      <c r="A2964">
        <v>1</v>
      </c>
      <c r="C2964" s="185"/>
      <c r="E2964" t="s">
        <v>386</v>
      </c>
      <c r="F2964" t="s">
        <v>13470</v>
      </c>
      <c r="G2964" t="s">
        <v>1197</v>
      </c>
      <c r="H2964" t="s">
        <v>6081</v>
      </c>
      <c r="I2964">
        <v>5561</v>
      </c>
      <c r="J2964" t="s">
        <v>13470</v>
      </c>
      <c r="K2964" t="s">
        <v>13470</v>
      </c>
      <c r="L2964" t="s">
        <v>386</v>
      </c>
      <c r="M2964" t="s">
        <v>1193</v>
      </c>
      <c r="N2964">
        <v>5561</v>
      </c>
      <c r="O2964">
        <v>0</v>
      </c>
      <c r="Q2964" t="s">
        <v>13471</v>
      </c>
      <c r="T2964">
        <v>39</v>
      </c>
      <c r="V2964" t="s">
        <v>2144</v>
      </c>
      <c r="Z2964" t="s">
        <v>865</v>
      </c>
      <c r="AA2964" t="s">
        <v>387</v>
      </c>
      <c r="AB2964">
        <v>0</v>
      </c>
      <c r="AC2964">
        <v>40</v>
      </c>
      <c r="AD2964" t="s">
        <v>3067</v>
      </c>
      <c r="AE2964">
        <v>26</v>
      </c>
      <c r="AF2964" t="s">
        <v>2075</v>
      </c>
      <c r="AG2964" t="s">
        <v>10121</v>
      </c>
      <c r="AH2964" t="s">
        <v>13472</v>
      </c>
    </row>
    <row r="2965" spans="1:34" x14ac:dyDescent="0.25">
      <c r="A2965">
        <v>1</v>
      </c>
      <c r="C2965" s="185"/>
      <c r="E2965" t="s">
        <v>386</v>
      </c>
      <c r="F2965" t="s">
        <v>13473</v>
      </c>
      <c r="G2965" t="s">
        <v>1197</v>
      </c>
      <c r="H2965" t="s">
        <v>13474</v>
      </c>
      <c r="I2965">
        <v>16912</v>
      </c>
      <c r="J2965" t="s">
        <v>13473</v>
      </c>
      <c r="K2965" t="s">
        <v>13475</v>
      </c>
      <c r="L2965" t="s">
        <v>386</v>
      </c>
      <c r="M2965" t="s">
        <v>1193</v>
      </c>
      <c r="N2965">
        <v>16912</v>
      </c>
      <c r="O2965">
        <v>0</v>
      </c>
      <c r="Q2965" t="s">
        <v>13476</v>
      </c>
      <c r="R2965" t="s">
        <v>398</v>
      </c>
      <c r="T2965">
        <v>560</v>
      </c>
      <c r="V2965" t="s">
        <v>2602</v>
      </c>
      <c r="W2965" t="s">
        <v>1215</v>
      </c>
      <c r="X2965">
        <v>259</v>
      </c>
      <c r="Z2965" t="s">
        <v>865</v>
      </c>
      <c r="AA2965" t="s">
        <v>387</v>
      </c>
      <c r="AB2965">
        <v>0</v>
      </c>
      <c r="AC2965">
        <v>6293</v>
      </c>
      <c r="AD2965" t="s">
        <v>13477</v>
      </c>
      <c r="AE2965">
        <v>78</v>
      </c>
      <c r="AF2965" t="s">
        <v>3061</v>
      </c>
      <c r="AG2965" t="s">
        <v>2058</v>
      </c>
    </row>
    <row r="2966" spans="1:34" x14ac:dyDescent="0.25">
      <c r="A2966">
        <v>1</v>
      </c>
      <c r="C2966" s="185"/>
      <c r="E2966" t="s">
        <v>386</v>
      </c>
      <c r="F2966" t="s">
        <v>13478</v>
      </c>
      <c r="G2966" t="s">
        <v>1197</v>
      </c>
      <c r="H2966" t="s">
        <v>6807</v>
      </c>
      <c r="I2966">
        <v>2188</v>
      </c>
      <c r="J2966" t="s">
        <v>13478</v>
      </c>
      <c r="K2966" t="s">
        <v>13479</v>
      </c>
      <c r="L2966" t="s">
        <v>386</v>
      </c>
      <c r="M2966" t="s">
        <v>1193</v>
      </c>
      <c r="N2966">
        <v>2188</v>
      </c>
      <c r="O2966">
        <v>0</v>
      </c>
      <c r="Q2966" t="s">
        <v>13480</v>
      </c>
      <c r="T2966">
        <v>52</v>
      </c>
      <c r="V2966" t="s">
        <v>2024</v>
      </c>
      <c r="Z2966" t="s">
        <v>865</v>
      </c>
      <c r="AA2966" t="s">
        <v>387</v>
      </c>
      <c r="AB2966">
        <v>0</v>
      </c>
      <c r="AC2966">
        <v>1610</v>
      </c>
      <c r="AD2966" t="s">
        <v>3102</v>
      </c>
      <c r="AE2966">
        <v>14</v>
      </c>
      <c r="AF2966" t="s">
        <v>2615</v>
      </c>
      <c r="AG2966" t="s">
        <v>13481</v>
      </c>
      <c r="AH2966" t="s">
        <v>13482</v>
      </c>
    </row>
    <row r="2967" spans="1:34" x14ac:dyDescent="0.25">
      <c r="A2967">
        <v>1</v>
      </c>
      <c r="C2967" s="185"/>
      <c r="E2967" t="s">
        <v>386</v>
      </c>
      <c r="F2967" t="s">
        <v>13483</v>
      </c>
      <c r="G2967" t="s">
        <v>1197</v>
      </c>
      <c r="H2967" t="s">
        <v>5524</v>
      </c>
      <c r="I2967">
        <v>17675</v>
      </c>
      <c r="J2967" t="s">
        <v>13483</v>
      </c>
      <c r="K2967" t="s">
        <v>13484</v>
      </c>
      <c r="L2967" t="s">
        <v>386</v>
      </c>
      <c r="M2967" t="s">
        <v>1193</v>
      </c>
      <c r="N2967">
        <v>17675</v>
      </c>
      <c r="O2967">
        <v>0</v>
      </c>
      <c r="Q2967" t="s">
        <v>13485</v>
      </c>
      <c r="R2967" t="s">
        <v>1208</v>
      </c>
      <c r="T2967">
        <v>259</v>
      </c>
      <c r="V2967" t="s">
        <v>1215</v>
      </c>
      <c r="W2967" t="s">
        <v>5803</v>
      </c>
      <c r="X2967">
        <v>509</v>
      </c>
      <c r="Z2967" t="s">
        <v>865</v>
      </c>
      <c r="AA2967" t="s">
        <v>387</v>
      </c>
      <c r="AB2967">
        <v>0</v>
      </c>
      <c r="AC2967">
        <v>4888</v>
      </c>
      <c r="AD2967" t="s">
        <v>5527</v>
      </c>
      <c r="AE2967">
        <v>18</v>
      </c>
      <c r="AF2967" t="s">
        <v>1259</v>
      </c>
      <c r="AG2967" t="s">
        <v>1244</v>
      </c>
      <c r="AH2967" t="s">
        <v>13486</v>
      </c>
    </row>
    <row r="2968" spans="1:34" x14ac:dyDescent="0.25">
      <c r="A2968">
        <v>1</v>
      </c>
      <c r="B2968" t="s">
        <v>1313</v>
      </c>
      <c r="C2968" s="185"/>
      <c r="D2968" t="s">
        <v>24</v>
      </c>
      <c r="E2968" t="s">
        <v>386</v>
      </c>
      <c r="F2968" t="s">
        <v>422</v>
      </c>
      <c r="G2968" t="s">
        <v>1197</v>
      </c>
      <c r="H2968" t="s">
        <v>6783</v>
      </c>
      <c r="I2968">
        <v>341</v>
      </c>
      <c r="J2968" t="s">
        <v>422</v>
      </c>
      <c r="K2968" t="s">
        <v>13487</v>
      </c>
      <c r="L2968" t="s">
        <v>386</v>
      </c>
      <c r="M2968" t="s">
        <v>1193</v>
      </c>
      <c r="N2968">
        <v>341</v>
      </c>
      <c r="O2968">
        <v>35</v>
      </c>
      <c r="Q2968" t="s">
        <v>13488</v>
      </c>
      <c r="R2968" t="s">
        <v>398</v>
      </c>
      <c r="S2968" t="s">
        <v>7765</v>
      </c>
      <c r="T2968">
        <v>560</v>
      </c>
      <c r="U2968">
        <v>0</v>
      </c>
      <c r="V2968" t="s">
        <v>2602</v>
      </c>
      <c r="W2968" t="s">
        <v>1200</v>
      </c>
      <c r="X2968">
        <v>340</v>
      </c>
      <c r="Y2968" t="s">
        <v>1317</v>
      </c>
      <c r="Z2968" t="s">
        <v>865</v>
      </c>
      <c r="AA2968" t="s">
        <v>387</v>
      </c>
      <c r="AB2968">
        <v>27000</v>
      </c>
      <c r="AC2968">
        <v>1262</v>
      </c>
      <c r="AD2968" t="s">
        <v>1234</v>
      </c>
      <c r="AE2968">
        <v>2</v>
      </c>
      <c r="AF2968" t="s">
        <v>2919</v>
      </c>
      <c r="AG2968" t="s">
        <v>13489</v>
      </c>
      <c r="AH2968" t="s">
        <v>13490</v>
      </c>
    </row>
    <row r="2969" spans="1:34" x14ac:dyDescent="0.25">
      <c r="A2969">
        <v>1</v>
      </c>
      <c r="B2969" t="s">
        <v>1313</v>
      </c>
      <c r="C2969" s="185"/>
      <c r="D2969" t="s">
        <v>24</v>
      </c>
      <c r="E2969" t="s">
        <v>386</v>
      </c>
      <c r="F2969" t="s">
        <v>4759</v>
      </c>
      <c r="G2969" t="s">
        <v>1197</v>
      </c>
      <c r="H2969" t="s">
        <v>13491</v>
      </c>
      <c r="I2969">
        <v>216</v>
      </c>
      <c r="J2969" t="s">
        <v>4759</v>
      </c>
      <c r="K2969" t="s">
        <v>13492</v>
      </c>
      <c r="L2969" t="s">
        <v>386</v>
      </c>
      <c r="M2969" t="s">
        <v>1193</v>
      </c>
      <c r="N2969">
        <v>216</v>
      </c>
      <c r="O2969">
        <v>0</v>
      </c>
      <c r="Q2969" t="s">
        <v>13493</v>
      </c>
      <c r="S2969" t="s">
        <v>1315</v>
      </c>
      <c r="T2969">
        <v>571</v>
      </c>
      <c r="U2969">
        <v>0</v>
      </c>
      <c r="V2969" t="s">
        <v>2003</v>
      </c>
      <c r="W2969" t="s">
        <v>1257</v>
      </c>
      <c r="X2969">
        <v>426</v>
      </c>
      <c r="Y2969" t="s">
        <v>1317</v>
      </c>
      <c r="Z2969" t="s">
        <v>865</v>
      </c>
      <c r="AA2969" t="s">
        <v>387</v>
      </c>
      <c r="AB2969">
        <v>0</v>
      </c>
      <c r="AC2969">
        <v>188</v>
      </c>
      <c r="AD2969" t="s">
        <v>13494</v>
      </c>
      <c r="AE2969">
        <v>26</v>
      </c>
      <c r="AF2969" t="s">
        <v>2075</v>
      </c>
      <c r="AG2969" t="s">
        <v>13495</v>
      </c>
      <c r="AH2969" t="s">
        <v>13496</v>
      </c>
    </row>
    <row r="2970" spans="1:34" x14ac:dyDescent="0.25">
      <c r="A2970">
        <v>1</v>
      </c>
      <c r="C2970" s="185"/>
      <c r="E2970" t="s">
        <v>386</v>
      </c>
      <c r="F2970" t="s">
        <v>13497</v>
      </c>
      <c r="G2970" t="s">
        <v>1197</v>
      </c>
      <c r="H2970" t="s">
        <v>13403</v>
      </c>
      <c r="I2970">
        <v>2879</v>
      </c>
      <c r="J2970" t="s">
        <v>13497</v>
      </c>
      <c r="K2970" t="s">
        <v>13497</v>
      </c>
      <c r="L2970" t="s">
        <v>386</v>
      </c>
      <c r="M2970" t="s">
        <v>1193</v>
      </c>
      <c r="N2970">
        <v>2879</v>
      </c>
      <c r="O2970">
        <v>0</v>
      </c>
      <c r="Q2970" t="s">
        <v>13498</v>
      </c>
      <c r="R2970" t="s">
        <v>1208</v>
      </c>
      <c r="T2970">
        <v>103</v>
      </c>
      <c r="V2970" t="s">
        <v>1530</v>
      </c>
      <c r="W2970" t="s">
        <v>2024</v>
      </c>
      <c r="X2970">
        <v>52</v>
      </c>
      <c r="Z2970" t="s">
        <v>865</v>
      </c>
      <c r="AA2970" t="s">
        <v>387</v>
      </c>
      <c r="AB2970">
        <v>0</v>
      </c>
      <c r="AC2970">
        <v>243</v>
      </c>
      <c r="AD2970" t="s">
        <v>9903</v>
      </c>
      <c r="AE2970">
        <v>8</v>
      </c>
      <c r="AF2970" t="s">
        <v>2805</v>
      </c>
      <c r="AG2970" t="s">
        <v>13499</v>
      </c>
      <c r="AH2970" t="s">
        <v>13500</v>
      </c>
    </row>
    <row r="2971" spans="1:34" x14ac:dyDescent="0.25">
      <c r="A2971">
        <v>1</v>
      </c>
      <c r="C2971" s="185"/>
      <c r="E2971" t="s">
        <v>386</v>
      </c>
      <c r="F2971" t="s">
        <v>13501</v>
      </c>
      <c r="G2971" t="s">
        <v>1197</v>
      </c>
      <c r="H2971" t="s">
        <v>6622</v>
      </c>
      <c r="I2971">
        <v>2199</v>
      </c>
      <c r="J2971" t="s">
        <v>13501</v>
      </c>
      <c r="K2971" t="s">
        <v>13502</v>
      </c>
      <c r="L2971" t="s">
        <v>386</v>
      </c>
      <c r="M2971" t="s">
        <v>1193</v>
      </c>
      <c r="N2971">
        <v>2199</v>
      </c>
      <c r="O2971">
        <v>0</v>
      </c>
      <c r="Q2971" t="s">
        <v>13503</v>
      </c>
      <c r="T2971">
        <v>52</v>
      </c>
      <c r="V2971" t="s">
        <v>2024</v>
      </c>
      <c r="Z2971" t="s">
        <v>865</v>
      </c>
      <c r="AA2971" t="s">
        <v>387</v>
      </c>
      <c r="AB2971">
        <v>0</v>
      </c>
      <c r="AC2971">
        <v>76</v>
      </c>
      <c r="AD2971" t="s">
        <v>6032</v>
      </c>
      <c r="AE2971">
        <v>1</v>
      </c>
      <c r="AF2971" t="s">
        <v>1922</v>
      </c>
      <c r="AG2971" t="s">
        <v>13504</v>
      </c>
      <c r="AH2971" t="s">
        <v>13505</v>
      </c>
    </row>
    <row r="2972" spans="1:34" x14ac:dyDescent="0.25">
      <c r="A2972">
        <v>1</v>
      </c>
      <c r="C2972" s="185"/>
      <c r="E2972" t="s">
        <v>386</v>
      </c>
      <c r="F2972" t="s">
        <v>13506</v>
      </c>
      <c r="G2972" t="s">
        <v>1197</v>
      </c>
      <c r="H2972" t="s">
        <v>13507</v>
      </c>
      <c r="I2972">
        <v>305</v>
      </c>
      <c r="J2972" t="s">
        <v>13506</v>
      </c>
      <c r="K2972" t="s">
        <v>13508</v>
      </c>
      <c r="L2972" t="s">
        <v>386</v>
      </c>
      <c r="M2972" t="s">
        <v>1193</v>
      </c>
      <c r="N2972">
        <v>305</v>
      </c>
      <c r="O2972">
        <v>0</v>
      </c>
      <c r="Q2972" t="s">
        <v>13509</v>
      </c>
      <c r="T2972">
        <v>260</v>
      </c>
      <c r="V2972" t="s">
        <v>1216</v>
      </c>
      <c r="W2972" t="s">
        <v>1186</v>
      </c>
      <c r="X2972">
        <v>0</v>
      </c>
      <c r="Z2972" t="s">
        <v>865</v>
      </c>
      <c r="AA2972" t="s">
        <v>387</v>
      </c>
      <c r="AB2972">
        <v>0</v>
      </c>
      <c r="AC2972">
        <v>3271</v>
      </c>
      <c r="AD2972" t="s">
        <v>13510</v>
      </c>
      <c r="AE2972">
        <v>14</v>
      </c>
      <c r="AF2972" t="s">
        <v>2615</v>
      </c>
      <c r="AG2972" t="s">
        <v>13511</v>
      </c>
      <c r="AH2972" t="s">
        <v>13512</v>
      </c>
    </row>
    <row r="2973" spans="1:34" x14ac:dyDescent="0.25">
      <c r="A2973">
        <v>1</v>
      </c>
      <c r="C2973" s="185"/>
      <c r="E2973" t="s">
        <v>386</v>
      </c>
      <c r="F2973" t="s">
        <v>13513</v>
      </c>
      <c r="G2973" t="s">
        <v>1197</v>
      </c>
      <c r="H2973" t="s">
        <v>13514</v>
      </c>
      <c r="I2973">
        <v>2276</v>
      </c>
      <c r="J2973" t="s">
        <v>13513</v>
      </c>
      <c r="K2973" t="s">
        <v>13513</v>
      </c>
      <c r="L2973" t="s">
        <v>386</v>
      </c>
      <c r="M2973" t="s">
        <v>1193</v>
      </c>
      <c r="N2973">
        <v>2276</v>
      </c>
      <c r="O2973">
        <v>0</v>
      </c>
      <c r="Q2973" t="s">
        <v>13515</v>
      </c>
      <c r="T2973">
        <v>560</v>
      </c>
      <c r="V2973" t="s">
        <v>2602</v>
      </c>
      <c r="W2973" t="s">
        <v>2003</v>
      </c>
      <c r="X2973">
        <v>571</v>
      </c>
      <c r="Z2973" t="s">
        <v>865</v>
      </c>
      <c r="AA2973" t="s">
        <v>387</v>
      </c>
      <c r="AB2973">
        <v>0</v>
      </c>
      <c r="AC2973">
        <v>1238</v>
      </c>
      <c r="AD2973" t="s">
        <v>13516</v>
      </c>
      <c r="AE2973">
        <v>54</v>
      </c>
      <c r="AF2973" t="s">
        <v>3250</v>
      </c>
      <c r="AG2973" t="s">
        <v>13517</v>
      </c>
      <c r="AH2973" t="s">
        <v>13518</v>
      </c>
    </row>
    <row r="2974" spans="1:34" x14ac:dyDescent="0.25">
      <c r="A2974">
        <v>1</v>
      </c>
      <c r="C2974" s="185"/>
      <c r="E2974" t="s">
        <v>386</v>
      </c>
      <c r="F2974" t="s">
        <v>13519</v>
      </c>
      <c r="G2974" t="s">
        <v>1192</v>
      </c>
      <c r="H2974" t="s">
        <v>13520</v>
      </c>
      <c r="I2974">
        <v>545</v>
      </c>
      <c r="J2974" t="s">
        <v>13519</v>
      </c>
      <c r="K2974" t="s">
        <v>13519</v>
      </c>
      <c r="L2974" t="s">
        <v>386</v>
      </c>
      <c r="M2974" t="s">
        <v>1193</v>
      </c>
      <c r="N2974">
        <v>545</v>
      </c>
      <c r="O2974">
        <v>0</v>
      </c>
      <c r="Q2974" t="s">
        <v>13521</v>
      </c>
      <c r="T2974">
        <v>0</v>
      </c>
      <c r="V2974" t="s">
        <v>1186</v>
      </c>
      <c r="Z2974" t="s">
        <v>865</v>
      </c>
      <c r="AA2974" t="s">
        <v>387</v>
      </c>
      <c r="AB2974">
        <v>0</v>
      </c>
      <c r="AC2974">
        <v>257</v>
      </c>
      <c r="AD2974" t="s">
        <v>13522</v>
      </c>
      <c r="AE2974">
        <v>84</v>
      </c>
      <c r="AF2974" t="s">
        <v>1034</v>
      </c>
      <c r="AG2974" t="s">
        <v>13523</v>
      </c>
      <c r="AH2974" t="s">
        <v>13524</v>
      </c>
    </row>
    <row r="2975" spans="1:34" x14ac:dyDescent="0.25">
      <c r="A2975">
        <v>1</v>
      </c>
      <c r="C2975" s="185"/>
      <c r="E2975" t="s">
        <v>386</v>
      </c>
      <c r="F2975" t="s">
        <v>13525</v>
      </c>
      <c r="G2975" t="s">
        <v>1197</v>
      </c>
      <c r="H2975" t="s">
        <v>4078</v>
      </c>
      <c r="I2975">
        <v>7004</v>
      </c>
      <c r="J2975" t="s">
        <v>13525</v>
      </c>
      <c r="K2975" t="s">
        <v>13525</v>
      </c>
      <c r="L2975" t="s">
        <v>386</v>
      </c>
      <c r="M2975" t="s">
        <v>1193</v>
      </c>
      <c r="N2975">
        <v>7004</v>
      </c>
      <c r="O2975">
        <v>0</v>
      </c>
      <c r="Q2975" t="s">
        <v>13526</v>
      </c>
      <c r="T2975">
        <v>571</v>
      </c>
      <c r="V2975" t="s">
        <v>2003</v>
      </c>
      <c r="W2975" t="s">
        <v>2144</v>
      </c>
      <c r="X2975">
        <v>39</v>
      </c>
      <c r="Z2975" t="s">
        <v>865</v>
      </c>
      <c r="AA2975" t="s">
        <v>387</v>
      </c>
      <c r="AB2975">
        <v>0</v>
      </c>
      <c r="AC2975">
        <v>615</v>
      </c>
      <c r="AD2975" t="s">
        <v>4079</v>
      </c>
      <c r="AE2975">
        <v>702</v>
      </c>
      <c r="AF2975" t="s">
        <v>13527</v>
      </c>
      <c r="AG2975" t="s">
        <v>13528</v>
      </c>
    </row>
    <row r="2976" spans="1:34" x14ac:dyDescent="0.25">
      <c r="A2976">
        <v>1</v>
      </c>
      <c r="C2976" s="185"/>
      <c r="D2976" t="s">
        <v>157</v>
      </c>
      <c r="E2976" t="s">
        <v>386</v>
      </c>
      <c r="F2976" t="s">
        <v>562</v>
      </c>
      <c r="G2976" t="s">
        <v>1197</v>
      </c>
      <c r="H2976" t="s">
        <v>6783</v>
      </c>
      <c r="I2976">
        <v>7</v>
      </c>
      <c r="J2976" t="s">
        <v>562</v>
      </c>
      <c r="K2976" t="s">
        <v>13529</v>
      </c>
      <c r="L2976" t="s">
        <v>386</v>
      </c>
      <c r="M2976" t="s">
        <v>1193</v>
      </c>
      <c r="N2976">
        <v>7</v>
      </c>
      <c r="O2976">
        <v>7</v>
      </c>
      <c r="Q2976" t="s">
        <v>13530</v>
      </c>
      <c r="R2976" t="s">
        <v>398</v>
      </c>
      <c r="T2976">
        <v>260</v>
      </c>
      <c r="V2976" t="s">
        <v>1216</v>
      </c>
      <c r="W2976" t="s">
        <v>1194</v>
      </c>
      <c r="X2976">
        <v>220</v>
      </c>
      <c r="Z2976" t="s">
        <v>865</v>
      </c>
      <c r="AA2976" t="s">
        <v>387</v>
      </c>
      <c r="AB2976">
        <v>0</v>
      </c>
      <c r="AC2976">
        <v>8</v>
      </c>
      <c r="AD2976" t="s">
        <v>1234</v>
      </c>
      <c r="AE2976">
        <v>10</v>
      </c>
      <c r="AF2976" t="s">
        <v>1225</v>
      </c>
      <c r="AG2976" t="s">
        <v>4870</v>
      </c>
      <c r="AH2976" t="s">
        <v>13531</v>
      </c>
    </row>
    <row r="2977" spans="1:34" x14ac:dyDescent="0.25">
      <c r="A2977">
        <v>1</v>
      </c>
      <c r="C2977" s="185"/>
      <c r="E2977" t="s">
        <v>386</v>
      </c>
      <c r="F2977" t="s">
        <v>13532</v>
      </c>
      <c r="G2977" t="s">
        <v>1197</v>
      </c>
      <c r="H2977" t="s">
        <v>1229</v>
      </c>
      <c r="I2977">
        <v>13695</v>
      </c>
      <c r="J2977" t="s">
        <v>13532</v>
      </c>
      <c r="K2977" t="s">
        <v>13533</v>
      </c>
      <c r="L2977" t="s">
        <v>386</v>
      </c>
      <c r="M2977" t="s">
        <v>1193</v>
      </c>
      <c r="N2977">
        <v>13695</v>
      </c>
      <c r="O2977">
        <v>0</v>
      </c>
      <c r="Q2977" t="s">
        <v>13534</v>
      </c>
      <c r="R2977" t="s">
        <v>1208</v>
      </c>
      <c r="T2977">
        <v>260</v>
      </c>
      <c r="V2977" t="s">
        <v>1216</v>
      </c>
      <c r="W2977" t="s">
        <v>1216</v>
      </c>
      <c r="X2977">
        <v>260</v>
      </c>
      <c r="Z2977" t="s">
        <v>865</v>
      </c>
      <c r="AA2977" t="s">
        <v>387</v>
      </c>
      <c r="AB2977">
        <v>0</v>
      </c>
      <c r="AC2977">
        <v>1262</v>
      </c>
      <c r="AD2977" t="s">
        <v>1234</v>
      </c>
      <c r="AE2977">
        <v>3</v>
      </c>
      <c r="AF2977" t="s">
        <v>1235</v>
      </c>
      <c r="AG2977" t="s">
        <v>13535</v>
      </c>
      <c r="AH2977" t="s">
        <v>6012</v>
      </c>
    </row>
    <row r="2978" spans="1:34" x14ac:dyDescent="0.25">
      <c r="A2978">
        <v>1</v>
      </c>
      <c r="C2978" s="185"/>
      <c r="E2978" t="s">
        <v>386</v>
      </c>
      <c r="F2978" t="s">
        <v>13536</v>
      </c>
      <c r="G2978" t="s">
        <v>1197</v>
      </c>
      <c r="H2978" t="s">
        <v>8624</v>
      </c>
      <c r="I2978">
        <v>2215</v>
      </c>
      <c r="J2978" t="s">
        <v>13536</v>
      </c>
      <c r="K2978" t="s">
        <v>13536</v>
      </c>
      <c r="L2978" t="s">
        <v>386</v>
      </c>
      <c r="M2978" t="s">
        <v>1193</v>
      </c>
      <c r="N2978">
        <v>2215</v>
      </c>
      <c r="O2978">
        <v>0</v>
      </c>
      <c r="Q2978" t="s">
        <v>13537</v>
      </c>
      <c r="T2978">
        <v>52</v>
      </c>
      <c r="V2978" t="s">
        <v>2024</v>
      </c>
      <c r="Z2978" t="s">
        <v>865</v>
      </c>
      <c r="AA2978" t="s">
        <v>387</v>
      </c>
      <c r="AB2978">
        <v>0</v>
      </c>
      <c r="AC2978">
        <v>1633</v>
      </c>
      <c r="AD2978" t="s">
        <v>13538</v>
      </c>
      <c r="AE2978">
        <v>36</v>
      </c>
      <c r="AF2978" t="s">
        <v>3664</v>
      </c>
      <c r="AG2978" t="s">
        <v>11482</v>
      </c>
      <c r="AH2978" t="s">
        <v>13539</v>
      </c>
    </row>
    <row r="2979" spans="1:34" x14ac:dyDescent="0.25">
      <c r="A2979">
        <v>1</v>
      </c>
      <c r="C2979" s="185"/>
      <c r="E2979" t="s">
        <v>386</v>
      </c>
      <c r="F2979" t="s">
        <v>5807</v>
      </c>
      <c r="G2979" t="s">
        <v>1197</v>
      </c>
      <c r="H2979" t="s">
        <v>6400</v>
      </c>
      <c r="I2979">
        <v>51</v>
      </c>
      <c r="J2979" t="s">
        <v>5807</v>
      </c>
      <c r="K2979" t="s">
        <v>13540</v>
      </c>
      <c r="L2979" t="s">
        <v>386</v>
      </c>
      <c r="M2979" t="s">
        <v>1193</v>
      </c>
      <c r="N2979">
        <v>51</v>
      </c>
      <c r="O2979">
        <v>0</v>
      </c>
      <c r="Q2979" t="s">
        <v>13541</v>
      </c>
      <c r="T2979">
        <v>340</v>
      </c>
      <c r="V2979" t="s">
        <v>1200</v>
      </c>
      <c r="W2979" t="s">
        <v>2073</v>
      </c>
      <c r="X2979">
        <v>372</v>
      </c>
      <c r="Z2979" t="s">
        <v>865</v>
      </c>
      <c r="AA2979" t="s">
        <v>387</v>
      </c>
      <c r="AB2979">
        <v>0</v>
      </c>
      <c r="AC2979">
        <v>10</v>
      </c>
      <c r="AD2979" t="s">
        <v>4708</v>
      </c>
      <c r="AE2979">
        <v>8</v>
      </c>
      <c r="AF2979" t="s">
        <v>2805</v>
      </c>
      <c r="AG2979" t="s">
        <v>5760</v>
      </c>
      <c r="AH2979" t="s">
        <v>13542</v>
      </c>
    </row>
    <row r="2980" spans="1:34" x14ac:dyDescent="0.25">
      <c r="A2980">
        <v>1</v>
      </c>
      <c r="C2980" s="185"/>
      <c r="E2980" t="s">
        <v>386</v>
      </c>
      <c r="F2980" t="s">
        <v>13543</v>
      </c>
      <c r="G2980" t="s">
        <v>1197</v>
      </c>
      <c r="H2980" t="s">
        <v>13544</v>
      </c>
      <c r="I2980">
        <v>4397</v>
      </c>
      <c r="J2980" t="s">
        <v>13543</v>
      </c>
      <c r="K2980" t="s">
        <v>13545</v>
      </c>
      <c r="L2980" t="s">
        <v>386</v>
      </c>
      <c r="M2980" t="s">
        <v>1193</v>
      </c>
      <c r="N2980">
        <v>4397</v>
      </c>
      <c r="O2980">
        <v>0</v>
      </c>
      <c r="Q2980" t="s">
        <v>13546</v>
      </c>
      <c r="T2980">
        <v>260</v>
      </c>
      <c r="V2980" t="s">
        <v>1216</v>
      </c>
      <c r="W2980" t="s">
        <v>1216</v>
      </c>
      <c r="X2980">
        <v>260</v>
      </c>
      <c r="Z2980" t="s">
        <v>865</v>
      </c>
      <c r="AA2980" t="s">
        <v>387</v>
      </c>
      <c r="AB2980">
        <v>0</v>
      </c>
      <c r="AC2980">
        <v>2316</v>
      </c>
      <c r="AD2980" t="s">
        <v>3327</v>
      </c>
      <c r="AE2980">
        <v>33</v>
      </c>
      <c r="AF2980" t="s">
        <v>6133</v>
      </c>
      <c r="AG2980" t="s">
        <v>13547</v>
      </c>
    </row>
    <row r="2981" spans="1:34" x14ac:dyDescent="0.25">
      <c r="A2981">
        <v>1</v>
      </c>
      <c r="C2981" s="185"/>
      <c r="E2981" t="s">
        <v>386</v>
      </c>
      <c r="F2981" t="s">
        <v>13548</v>
      </c>
      <c r="G2981" t="s">
        <v>1197</v>
      </c>
      <c r="H2981" t="s">
        <v>13355</v>
      </c>
      <c r="I2981">
        <v>62</v>
      </c>
      <c r="J2981" t="s">
        <v>13548</v>
      </c>
      <c r="K2981" t="s">
        <v>13549</v>
      </c>
      <c r="L2981" t="s">
        <v>386</v>
      </c>
      <c r="M2981" t="s">
        <v>1193</v>
      </c>
      <c r="N2981">
        <v>62</v>
      </c>
      <c r="O2981">
        <v>0</v>
      </c>
      <c r="Q2981" t="s">
        <v>13550</v>
      </c>
      <c r="T2981">
        <v>39</v>
      </c>
      <c r="V2981" t="s">
        <v>2144</v>
      </c>
      <c r="W2981" t="s">
        <v>1199</v>
      </c>
      <c r="X2981">
        <v>200</v>
      </c>
      <c r="Z2981" t="s">
        <v>865</v>
      </c>
      <c r="AA2981" t="s">
        <v>387</v>
      </c>
      <c r="AB2981">
        <v>0</v>
      </c>
      <c r="AC2981">
        <v>10</v>
      </c>
      <c r="AD2981" t="s">
        <v>4708</v>
      </c>
      <c r="AE2981">
        <v>11</v>
      </c>
      <c r="AF2981" t="s">
        <v>5744</v>
      </c>
      <c r="AG2981" t="s">
        <v>13551</v>
      </c>
      <c r="AH2981" t="s">
        <v>13552</v>
      </c>
    </row>
    <row r="2982" spans="1:34" x14ac:dyDescent="0.25">
      <c r="A2982">
        <v>1</v>
      </c>
      <c r="C2982" s="185"/>
      <c r="E2982" t="s">
        <v>386</v>
      </c>
      <c r="F2982" t="s">
        <v>13553</v>
      </c>
      <c r="G2982" t="s">
        <v>1197</v>
      </c>
      <c r="H2982" t="s">
        <v>13554</v>
      </c>
      <c r="I2982">
        <v>350</v>
      </c>
      <c r="J2982" t="s">
        <v>13553</v>
      </c>
      <c r="K2982" t="s">
        <v>13555</v>
      </c>
      <c r="L2982" t="s">
        <v>386</v>
      </c>
      <c r="M2982" t="s">
        <v>1193</v>
      </c>
      <c r="N2982">
        <v>350</v>
      </c>
      <c r="O2982">
        <v>0</v>
      </c>
      <c r="Q2982" t="s">
        <v>13556</v>
      </c>
      <c r="T2982">
        <v>21</v>
      </c>
      <c r="V2982" t="s">
        <v>12668</v>
      </c>
      <c r="Z2982" t="s">
        <v>865</v>
      </c>
      <c r="AA2982" t="s">
        <v>387</v>
      </c>
      <c r="AB2982">
        <v>0</v>
      </c>
      <c r="AC2982">
        <v>409</v>
      </c>
      <c r="AD2982" t="s">
        <v>13557</v>
      </c>
      <c r="AE2982">
        <v>54</v>
      </c>
      <c r="AF2982" t="s">
        <v>3250</v>
      </c>
      <c r="AG2982" t="s">
        <v>13558</v>
      </c>
      <c r="AH2982" t="s">
        <v>13559</v>
      </c>
    </row>
    <row r="2983" spans="1:34" x14ac:dyDescent="0.25">
      <c r="A2983">
        <v>1</v>
      </c>
      <c r="C2983" s="185"/>
      <c r="E2983" t="s">
        <v>386</v>
      </c>
      <c r="F2983" t="s">
        <v>13560</v>
      </c>
      <c r="G2983" t="s">
        <v>4184</v>
      </c>
      <c r="H2983" t="s">
        <v>5440</v>
      </c>
      <c r="I2983">
        <v>644</v>
      </c>
      <c r="J2983" t="s">
        <v>13560</v>
      </c>
      <c r="K2983" t="s">
        <v>13560</v>
      </c>
      <c r="L2983" t="s">
        <v>386</v>
      </c>
      <c r="M2983" t="s">
        <v>1193</v>
      </c>
      <c r="N2983">
        <v>644</v>
      </c>
      <c r="O2983">
        <v>0</v>
      </c>
      <c r="Q2983" t="s">
        <v>13561</v>
      </c>
      <c r="R2983" t="s">
        <v>1208</v>
      </c>
      <c r="T2983">
        <v>226</v>
      </c>
      <c r="V2983" t="s">
        <v>5068</v>
      </c>
      <c r="Z2983" t="s">
        <v>865</v>
      </c>
      <c r="AA2983" t="s">
        <v>387</v>
      </c>
      <c r="AB2983">
        <v>0</v>
      </c>
      <c r="AC2983">
        <v>547</v>
      </c>
      <c r="AD2983" t="s">
        <v>5796</v>
      </c>
      <c r="AE2983">
        <v>14</v>
      </c>
      <c r="AF2983" t="s">
        <v>2615</v>
      </c>
      <c r="AG2983" t="s">
        <v>13562</v>
      </c>
      <c r="AH2983" t="s">
        <v>13563</v>
      </c>
    </row>
    <row r="2984" spans="1:34" x14ac:dyDescent="0.25">
      <c r="A2984">
        <v>1</v>
      </c>
      <c r="C2984" s="185"/>
      <c r="E2984" t="s">
        <v>386</v>
      </c>
      <c r="F2984" t="s">
        <v>13560</v>
      </c>
      <c r="G2984" t="s">
        <v>1192</v>
      </c>
      <c r="H2984" t="s">
        <v>13429</v>
      </c>
      <c r="I2984">
        <v>9221</v>
      </c>
      <c r="J2984" t="s">
        <v>13560</v>
      </c>
      <c r="K2984" t="s">
        <v>13560</v>
      </c>
      <c r="L2984" t="s">
        <v>386</v>
      </c>
      <c r="M2984" t="s">
        <v>1193</v>
      </c>
      <c r="N2984">
        <v>644</v>
      </c>
      <c r="O2984">
        <v>0</v>
      </c>
      <c r="Q2984" t="s">
        <v>13564</v>
      </c>
      <c r="R2984" t="s">
        <v>1208</v>
      </c>
      <c r="T2984">
        <v>185</v>
      </c>
      <c r="V2984" t="s">
        <v>1915</v>
      </c>
      <c r="Z2984" t="s">
        <v>865</v>
      </c>
      <c r="AA2984" t="s">
        <v>387</v>
      </c>
      <c r="AB2984">
        <v>0</v>
      </c>
      <c r="AC2984">
        <v>787</v>
      </c>
      <c r="AD2984" t="s">
        <v>3649</v>
      </c>
      <c r="AE2984">
        <v>14</v>
      </c>
      <c r="AF2984" t="s">
        <v>2615</v>
      </c>
      <c r="AG2984" t="s">
        <v>13565</v>
      </c>
    </row>
    <row r="2985" spans="1:34" x14ac:dyDescent="0.25">
      <c r="A2985">
        <v>1</v>
      </c>
      <c r="C2985" s="185"/>
      <c r="E2985" t="s">
        <v>386</v>
      </c>
      <c r="F2985" t="s">
        <v>13566</v>
      </c>
      <c r="G2985" t="s">
        <v>1197</v>
      </c>
      <c r="H2985" t="s">
        <v>6622</v>
      </c>
      <c r="I2985">
        <v>7136</v>
      </c>
      <c r="J2985" t="s">
        <v>13566</v>
      </c>
      <c r="K2985" t="s">
        <v>13566</v>
      </c>
      <c r="L2985" t="s">
        <v>386</v>
      </c>
      <c r="M2985" t="s">
        <v>1193</v>
      </c>
      <c r="N2985">
        <v>7136</v>
      </c>
      <c r="O2985">
        <v>0</v>
      </c>
      <c r="Q2985" t="s">
        <v>13567</v>
      </c>
      <c r="T2985">
        <v>259</v>
      </c>
      <c r="V2985" t="s">
        <v>1215</v>
      </c>
      <c r="W2985" t="s">
        <v>1215</v>
      </c>
      <c r="X2985">
        <v>259</v>
      </c>
      <c r="Z2985" t="s">
        <v>865</v>
      </c>
      <c r="AA2985" t="s">
        <v>387</v>
      </c>
      <c r="AB2985">
        <v>0</v>
      </c>
      <c r="AC2985">
        <v>76</v>
      </c>
      <c r="AD2985" t="s">
        <v>6032</v>
      </c>
      <c r="AE2985">
        <v>114</v>
      </c>
      <c r="AF2985" t="s">
        <v>1218</v>
      </c>
      <c r="AG2985" t="s">
        <v>13568</v>
      </c>
      <c r="AH2985" t="s">
        <v>13569</v>
      </c>
    </row>
    <row r="2986" spans="1:34" x14ac:dyDescent="0.25">
      <c r="A2986">
        <v>1</v>
      </c>
      <c r="C2986" s="185"/>
      <c r="D2986" t="s">
        <v>157</v>
      </c>
      <c r="E2986" t="s">
        <v>386</v>
      </c>
      <c r="F2986" t="s">
        <v>13570</v>
      </c>
      <c r="G2986" t="s">
        <v>1197</v>
      </c>
      <c r="H2986" t="s">
        <v>5539</v>
      </c>
      <c r="I2986">
        <v>7673</v>
      </c>
      <c r="J2986" t="s">
        <v>13571</v>
      </c>
      <c r="K2986" t="s">
        <v>13572</v>
      </c>
      <c r="L2986" t="s">
        <v>386</v>
      </c>
      <c r="M2986" t="s">
        <v>1193</v>
      </c>
      <c r="N2986">
        <v>15382</v>
      </c>
      <c r="O2986">
        <v>0</v>
      </c>
      <c r="Q2986" t="s">
        <v>13573</v>
      </c>
      <c r="R2986" t="s">
        <v>398</v>
      </c>
      <c r="T2986">
        <v>272</v>
      </c>
      <c r="V2986" t="s">
        <v>2107</v>
      </c>
      <c r="W2986" t="s">
        <v>3321</v>
      </c>
      <c r="X2986">
        <v>246</v>
      </c>
      <c r="Z2986" t="s">
        <v>865</v>
      </c>
      <c r="AA2986" t="s">
        <v>387</v>
      </c>
      <c r="AB2986">
        <v>19000</v>
      </c>
      <c r="AC2986">
        <v>384</v>
      </c>
      <c r="AD2986" t="s">
        <v>6688</v>
      </c>
      <c r="AE2986">
        <v>37</v>
      </c>
      <c r="AF2986" t="s">
        <v>5542</v>
      </c>
      <c r="AG2986" t="s">
        <v>6689</v>
      </c>
      <c r="AH2986" t="s">
        <v>13574</v>
      </c>
    </row>
    <row r="2987" spans="1:34" x14ac:dyDescent="0.25">
      <c r="A2987">
        <v>1746</v>
      </c>
      <c r="C2987" s="185"/>
      <c r="E2987" t="s">
        <v>386</v>
      </c>
      <c r="F2987" t="s">
        <v>13570</v>
      </c>
      <c r="G2987" t="s">
        <v>1197</v>
      </c>
      <c r="H2987" t="s">
        <v>13575</v>
      </c>
      <c r="I2987">
        <v>12712</v>
      </c>
      <c r="J2987" t="s">
        <v>13576</v>
      </c>
      <c r="K2987" t="s">
        <v>13572</v>
      </c>
      <c r="L2987" t="s">
        <v>386</v>
      </c>
      <c r="M2987" t="s">
        <v>1193</v>
      </c>
      <c r="N2987">
        <v>15382</v>
      </c>
      <c r="O2987">
        <v>54</v>
      </c>
      <c r="Q2987" t="s">
        <v>13577</v>
      </c>
      <c r="R2987" t="s">
        <v>398</v>
      </c>
      <c r="T2987">
        <v>272</v>
      </c>
      <c r="V2987" t="s">
        <v>2107</v>
      </c>
      <c r="W2987" t="s">
        <v>3321</v>
      </c>
      <c r="X2987">
        <v>246</v>
      </c>
      <c r="Z2987" t="s">
        <v>5352</v>
      </c>
      <c r="AA2987" t="s">
        <v>387</v>
      </c>
      <c r="AB2987">
        <v>19000</v>
      </c>
      <c r="AC2987">
        <v>4752</v>
      </c>
      <c r="AD2987" t="s">
        <v>13578</v>
      </c>
      <c r="AE2987">
        <v>2194</v>
      </c>
      <c r="AF2987" t="s">
        <v>13579</v>
      </c>
      <c r="AG2987" t="s">
        <v>13580</v>
      </c>
      <c r="AH2987" t="s">
        <v>5500</v>
      </c>
    </row>
    <row r="2988" spans="1:34" x14ac:dyDescent="0.25">
      <c r="A2988">
        <v>95</v>
      </c>
      <c r="C2988" s="185"/>
      <c r="E2988" t="s">
        <v>386</v>
      </c>
      <c r="F2988" t="s">
        <v>13570</v>
      </c>
      <c r="G2988" t="s">
        <v>1197</v>
      </c>
      <c r="H2988" t="s">
        <v>12545</v>
      </c>
      <c r="I2988">
        <v>12697</v>
      </c>
      <c r="J2988" t="s">
        <v>13581</v>
      </c>
      <c r="K2988" t="s">
        <v>13572</v>
      </c>
      <c r="L2988" t="s">
        <v>386</v>
      </c>
      <c r="M2988" t="s">
        <v>1193</v>
      </c>
      <c r="N2988">
        <v>15382</v>
      </c>
      <c r="O2988">
        <v>54</v>
      </c>
      <c r="Q2988" t="s">
        <v>13582</v>
      </c>
      <c r="T2988">
        <v>272</v>
      </c>
      <c r="V2988" t="s">
        <v>2107</v>
      </c>
      <c r="W2988" t="s">
        <v>3321</v>
      </c>
      <c r="X2988">
        <v>246</v>
      </c>
      <c r="Z2988" t="s">
        <v>952</v>
      </c>
      <c r="AA2988" t="s">
        <v>387</v>
      </c>
      <c r="AB2988">
        <v>19000</v>
      </c>
      <c r="AC2988">
        <v>2055</v>
      </c>
      <c r="AD2988" t="s">
        <v>4786</v>
      </c>
      <c r="AE2988">
        <v>618</v>
      </c>
      <c r="AF2988" t="s">
        <v>12548</v>
      </c>
      <c r="AG2988" t="s">
        <v>13583</v>
      </c>
      <c r="AH2988" t="s">
        <v>5500</v>
      </c>
    </row>
    <row r="2989" spans="1:34" x14ac:dyDescent="0.25">
      <c r="A2989">
        <v>1</v>
      </c>
      <c r="C2989" s="185"/>
      <c r="E2989" t="s">
        <v>386</v>
      </c>
      <c r="F2989" t="s">
        <v>13584</v>
      </c>
      <c r="G2989" t="s">
        <v>1197</v>
      </c>
      <c r="H2989" t="s">
        <v>6029</v>
      </c>
      <c r="I2989">
        <v>5391</v>
      </c>
      <c r="J2989" t="s">
        <v>13584</v>
      </c>
      <c r="K2989" t="s">
        <v>13584</v>
      </c>
      <c r="L2989" t="s">
        <v>386</v>
      </c>
      <c r="M2989" t="s">
        <v>1193</v>
      </c>
      <c r="N2989">
        <v>5391</v>
      </c>
      <c r="O2989">
        <v>0</v>
      </c>
      <c r="Q2989" t="s">
        <v>13585</v>
      </c>
      <c r="T2989">
        <v>103</v>
      </c>
      <c r="V2989" t="s">
        <v>1530</v>
      </c>
      <c r="Z2989" t="s">
        <v>865</v>
      </c>
      <c r="AA2989" t="s">
        <v>387</v>
      </c>
      <c r="AB2989">
        <v>0</v>
      </c>
      <c r="AC2989">
        <v>76</v>
      </c>
      <c r="AD2989" t="s">
        <v>6032</v>
      </c>
      <c r="AE2989">
        <v>1</v>
      </c>
      <c r="AF2989" t="s">
        <v>1922</v>
      </c>
      <c r="AG2989" t="s">
        <v>6151</v>
      </c>
    </row>
    <row r="2990" spans="1:34" x14ac:dyDescent="0.25">
      <c r="A2990">
        <v>1</v>
      </c>
      <c r="C2990" s="185"/>
      <c r="E2990" t="s">
        <v>386</v>
      </c>
      <c r="F2990" t="s">
        <v>13586</v>
      </c>
      <c r="G2990" t="s">
        <v>1197</v>
      </c>
      <c r="H2990" t="s">
        <v>13587</v>
      </c>
      <c r="I2990">
        <v>5682</v>
      </c>
      <c r="J2990" t="s">
        <v>13586</v>
      </c>
      <c r="K2990" t="s">
        <v>13586</v>
      </c>
      <c r="L2990" t="s">
        <v>386</v>
      </c>
      <c r="M2990" t="s">
        <v>1193</v>
      </c>
      <c r="N2990">
        <v>5682</v>
      </c>
      <c r="O2990">
        <v>0</v>
      </c>
      <c r="Q2990" t="s">
        <v>13588</v>
      </c>
      <c r="T2990">
        <v>571</v>
      </c>
      <c r="V2990" t="s">
        <v>2003</v>
      </c>
      <c r="W2990" t="s">
        <v>4131</v>
      </c>
      <c r="X2990">
        <v>501</v>
      </c>
      <c r="Z2990" t="s">
        <v>865</v>
      </c>
      <c r="AA2990" t="s">
        <v>387</v>
      </c>
      <c r="AB2990">
        <v>0</v>
      </c>
      <c r="AC2990">
        <v>2675</v>
      </c>
      <c r="AD2990" t="s">
        <v>5197</v>
      </c>
      <c r="AE2990">
        <v>669</v>
      </c>
      <c r="AF2990" t="s">
        <v>13589</v>
      </c>
      <c r="AG2990" t="s">
        <v>10244</v>
      </c>
      <c r="AH2990" t="s">
        <v>13590</v>
      </c>
    </row>
    <row r="2991" spans="1:34" x14ac:dyDescent="0.25">
      <c r="A2991">
        <v>1</v>
      </c>
      <c r="C2991" s="185"/>
      <c r="E2991" t="s">
        <v>386</v>
      </c>
      <c r="F2991" t="s">
        <v>13591</v>
      </c>
      <c r="G2991" t="s">
        <v>1197</v>
      </c>
      <c r="H2991" t="s">
        <v>13417</v>
      </c>
      <c r="I2991">
        <v>218</v>
      </c>
      <c r="J2991" t="s">
        <v>13591</v>
      </c>
      <c r="K2991" t="s">
        <v>13591</v>
      </c>
      <c r="L2991" t="s">
        <v>386</v>
      </c>
      <c r="M2991" t="s">
        <v>1193</v>
      </c>
      <c r="N2991">
        <v>218</v>
      </c>
      <c r="O2991">
        <v>0</v>
      </c>
      <c r="Q2991" t="s">
        <v>13592</v>
      </c>
      <c r="T2991">
        <v>39</v>
      </c>
      <c r="V2991" t="s">
        <v>2144</v>
      </c>
      <c r="Z2991" t="s">
        <v>865</v>
      </c>
      <c r="AA2991" t="s">
        <v>387</v>
      </c>
      <c r="AB2991">
        <v>0</v>
      </c>
      <c r="AC2991">
        <v>49</v>
      </c>
      <c r="AD2991" t="s">
        <v>5179</v>
      </c>
      <c r="AE2991">
        <v>100</v>
      </c>
      <c r="AF2991" t="s">
        <v>13593</v>
      </c>
      <c r="AG2991" t="s">
        <v>13594</v>
      </c>
      <c r="AH2991" t="s">
        <v>1227</v>
      </c>
    </row>
    <row r="2992" spans="1:34" x14ac:dyDescent="0.25">
      <c r="A2992">
        <v>1</v>
      </c>
      <c r="C2992" s="185"/>
      <c r="E2992" t="s">
        <v>386</v>
      </c>
      <c r="F2992" t="s">
        <v>13595</v>
      </c>
      <c r="G2992" t="s">
        <v>1197</v>
      </c>
      <c r="H2992" t="s">
        <v>13596</v>
      </c>
      <c r="I2992">
        <v>9275</v>
      </c>
      <c r="J2992" t="s">
        <v>13595</v>
      </c>
      <c r="K2992" t="s">
        <v>13595</v>
      </c>
      <c r="L2992" t="s">
        <v>386</v>
      </c>
      <c r="M2992" t="s">
        <v>1193</v>
      </c>
      <c r="N2992">
        <v>9275</v>
      </c>
      <c r="O2992">
        <v>0</v>
      </c>
      <c r="Q2992" t="s">
        <v>13597</v>
      </c>
      <c r="R2992" t="s">
        <v>398</v>
      </c>
      <c r="T2992">
        <v>226</v>
      </c>
      <c r="V2992" t="s">
        <v>5068</v>
      </c>
      <c r="Z2992" t="s">
        <v>865</v>
      </c>
      <c r="AA2992" t="s">
        <v>387</v>
      </c>
      <c r="AB2992">
        <v>0</v>
      </c>
      <c r="AC2992">
        <v>3698</v>
      </c>
      <c r="AD2992" t="s">
        <v>13598</v>
      </c>
      <c r="AE2992">
        <v>143</v>
      </c>
      <c r="AF2992" t="s">
        <v>2604</v>
      </c>
    </row>
    <row r="2993" spans="1:34" x14ac:dyDescent="0.25">
      <c r="A2993">
        <v>1</v>
      </c>
      <c r="B2993" t="s">
        <v>1313</v>
      </c>
      <c r="C2993" s="185"/>
      <c r="E2993" t="s">
        <v>386</v>
      </c>
      <c r="F2993" t="s">
        <v>13599</v>
      </c>
      <c r="G2993" t="s">
        <v>1197</v>
      </c>
      <c r="H2993" t="s">
        <v>13600</v>
      </c>
      <c r="I2993">
        <v>14</v>
      </c>
      <c r="J2993" t="s">
        <v>13599</v>
      </c>
      <c r="K2993" t="s">
        <v>13599</v>
      </c>
      <c r="L2993" t="s">
        <v>386</v>
      </c>
      <c r="M2993" t="s">
        <v>1193</v>
      </c>
      <c r="N2993">
        <v>14</v>
      </c>
      <c r="O2993">
        <v>0</v>
      </c>
      <c r="Q2993" t="s">
        <v>13601</v>
      </c>
      <c r="R2993" t="s">
        <v>1208</v>
      </c>
      <c r="S2993" t="s">
        <v>1909</v>
      </c>
      <c r="T2993">
        <v>259</v>
      </c>
      <c r="U2993">
        <v>0</v>
      </c>
      <c r="V2993" t="s">
        <v>1215</v>
      </c>
      <c r="W2993" t="s">
        <v>1215</v>
      </c>
      <c r="X2993">
        <v>259</v>
      </c>
      <c r="Y2993" t="s">
        <v>1317</v>
      </c>
      <c r="Z2993" t="s">
        <v>865</v>
      </c>
      <c r="AA2993" t="s">
        <v>387</v>
      </c>
      <c r="AB2993">
        <v>0</v>
      </c>
      <c r="AC2993">
        <v>12</v>
      </c>
      <c r="AD2993" t="s">
        <v>13602</v>
      </c>
      <c r="AE2993">
        <v>10</v>
      </c>
      <c r="AF2993" t="s">
        <v>1225</v>
      </c>
      <c r="AG2993" t="s">
        <v>2201</v>
      </c>
      <c r="AH2993" t="s">
        <v>13603</v>
      </c>
    </row>
    <row r="2994" spans="1:34" x14ac:dyDescent="0.25">
      <c r="A2994">
        <v>1</v>
      </c>
      <c r="C2994" s="185"/>
      <c r="D2994" t="s">
        <v>24</v>
      </c>
      <c r="E2994" t="s">
        <v>386</v>
      </c>
      <c r="F2994" t="s">
        <v>13604</v>
      </c>
      <c r="G2994" t="s">
        <v>1197</v>
      </c>
      <c r="H2994" t="s">
        <v>13417</v>
      </c>
      <c r="I2994">
        <v>4301</v>
      </c>
      <c r="J2994" t="s">
        <v>13604</v>
      </c>
      <c r="K2994" t="s">
        <v>13604</v>
      </c>
      <c r="L2994" t="s">
        <v>386</v>
      </c>
      <c r="M2994" t="s">
        <v>1193</v>
      </c>
      <c r="N2994">
        <v>4301</v>
      </c>
      <c r="O2994">
        <v>0</v>
      </c>
      <c r="Q2994" t="s">
        <v>13605</v>
      </c>
      <c r="T2994">
        <v>560</v>
      </c>
      <c r="V2994" t="s">
        <v>2602</v>
      </c>
      <c r="W2994" t="s">
        <v>5803</v>
      </c>
      <c r="X2994">
        <v>509</v>
      </c>
      <c r="Z2994" t="s">
        <v>865</v>
      </c>
      <c r="AA2994" t="s">
        <v>387</v>
      </c>
      <c r="AB2994">
        <v>0</v>
      </c>
      <c r="AC2994">
        <v>1204</v>
      </c>
      <c r="AD2994" t="s">
        <v>4611</v>
      </c>
      <c r="AE2994">
        <v>3</v>
      </c>
      <c r="AF2994" t="s">
        <v>1235</v>
      </c>
      <c r="AG2994" t="s">
        <v>13606</v>
      </c>
    </row>
    <row r="2995" spans="1:34" x14ac:dyDescent="0.25">
      <c r="A2995">
        <v>1</v>
      </c>
      <c r="C2995" s="185"/>
      <c r="E2995" t="s">
        <v>386</v>
      </c>
      <c r="F2995" t="s">
        <v>13607</v>
      </c>
      <c r="G2995" t="s">
        <v>1197</v>
      </c>
      <c r="H2995" t="s">
        <v>5477</v>
      </c>
      <c r="I2995">
        <v>646</v>
      </c>
      <c r="J2995" t="s">
        <v>13607</v>
      </c>
      <c r="K2995" t="s">
        <v>13608</v>
      </c>
      <c r="L2995" t="s">
        <v>386</v>
      </c>
      <c r="M2995" t="s">
        <v>1193</v>
      </c>
      <c r="N2995">
        <v>646</v>
      </c>
      <c r="O2995">
        <v>0</v>
      </c>
      <c r="Q2995" t="s">
        <v>13609</v>
      </c>
      <c r="R2995" t="s">
        <v>1208</v>
      </c>
      <c r="T2995">
        <v>259</v>
      </c>
      <c r="V2995" t="s">
        <v>1215</v>
      </c>
      <c r="W2995" t="s">
        <v>2144</v>
      </c>
      <c r="X2995">
        <v>39</v>
      </c>
      <c r="Z2995" t="s">
        <v>865</v>
      </c>
      <c r="AA2995" t="s">
        <v>387</v>
      </c>
      <c r="AB2995">
        <v>0</v>
      </c>
      <c r="AC2995">
        <v>11</v>
      </c>
      <c r="AD2995" t="s">
        <v>5479</v>
      </c>
      <c r="AE2995">
        <v>14</v>
      </c>
      <c r="AF2995" t="s">
        <v>2615</v>
      </c>
      <c r="AG2995" t="s">
        <v>13610</v>
      </c>
      <c r="AH2995" t="s">
        <v>13611</v>
      </c>
    </row>
    <row r="2996" spans="1:34" x14ac:dyDescent="0.25">
      <c r="A2996">
        <v>1</v>
      </c>
      <c r="C2996" s="185"/>
      <c r="E2996" t="s">
        <v>386</v>
      </c>
      <c r="F2996" t="s">
        <v>13612</v>
      </c>
      <c r="G2996" t="s">
        <v>1197</v>
      </c>
      <c r="H2996" t="s">
        <v>13613</v>
      </c>
      <c r="I2996">
        <v>1138</v>
      </c>
      <c r="J2996" t="s">
        <v>13612</v>
      </c>
      <c r="K2996" t="s">
        <v>13612</v>
      </c>
      <c r="L2996" t="s">
        <v>386</v>
      </c>
      <c r="M2996" t="s">
        <v>1193</v>
      </c>
      <c r="N2996">
        <v>1138</v>
      </c>
      <c r="O2996">
        <v>0</v>
      </c>
      <c r="Q2996" t="s">
        <v>13614</v>
      </c>
      <c r="T2996">
        <v>200</v>
      </c>
      <c r="V2996" t="s">
        <v>1199</v>
      </c>
      <c r="W2996" t="s">
        <v>2073</v>
      </c>
      <c r="X2996">
        <v>372</v>
      </c>
      <c r="Z2996" t="s">
        <v>865</v>
      </c>
      <c r="AA2996" t="s">
        <v>387</v>
      </c>
      <c r="AB2996">
        <v>0</v>
      </c>
      <c r="AC2996">
        <v>10</v>
      </c>
      <c r="AD2996" t="s">
        <v>4708</v>
      </c>
      <c r="AE2996">
        <v>11</v>
      </c>
      <c r="AF2996" t="s">
        <v>5744</v>
      </c>
      <c r="AG2996" t="s">
        <v>13615</v>
      </c>
      <c r="AH2996" t="s">
        <v>13616</v>
      </c>
    </row>
    <row r="2997" spans="1:34" x14ac:dyDescent="0.25">
      <c r="A2997">
        <v>1</v>
      </c>
      <c r="C2997" s="185"/>
      <c r="E2997" t="s">
        <v>386</v>
      </c>
      <c r="F2997" t="s">
        <v>13617</v>
      </c>
      <c r="G2997" t="s">
        <v>1197</v>
      </c>
      <c r="H2997" t="s">
        <v>6081</v>
      </c>
      <c r="I2997">
        <v>15972</v>
      </c>
      <c r="J2997" t="s">
        <v>13617</v>
      </c>
      <c r="K2997" t="s">
        <v>13618</v>
      </c>
      <c r="L2997" t="s">
        <v>386</v>
      </c>
      <c r="M2997" t="s">
        <v>1193</v>
      </c>
      <c r="N2997">
        <v>15972</v>
      </c>
      <c r="O2997">
        <v>0</v>
      </c>
      <c r="Q2997" t="s">
        <v>13619</v>
      </c>
      <c r="T2997">
        <v>372</v>
      </c>
      <c r="V2997" t="s">
        <v>2073</v>
      </c>
      <c r="W2997" t="s">
        <v>2024</v>
      </c>
      <c r="X2997">
        <v>52</v>
      </c>
      <c r="Z2997" t="s">
        <v>865</v>
      </c>
      <c r="AA2997" t="s">
        <v>387</v>
      </c>
      <c r="AB2997">
        <v>0</v>
      </c>
      <c r="AC2997">
        <v>40</v>
      </c>
      <c r="AD2997" t="s">
        <v>3067</v>
      </c>
      <c r="AE2997">
        <v>2765</v>
      </c>
      <c r="AF2997" t="s">
        <v>13620</v>
      </c>
      <c r="AG2997" t="s">
        <v>8462</v>
      </c>
    </row>
    <row r="2998" spans="1:34" x14ac:dyDescent="0.25">
      <c r="A2998">
        <v>1</v>
      </c>
      <c r="C2998" s="185"/>
      <c r="E2998" t="s">
        <v>386</v>
      </c>
      <c r="F2998" t="s">
        <v>13621</v>
      </c>
      <c r="G2998" t="s">
        <v>1197</v>
      </c>
      <c r="H2998" t="s">
        <v>13622</v>
      </c>
      <c r="I2998">
        <v>16253</v>
      </c>
      <c r="J2998" t="s">
        <v>13621</v>
      </c>
      <c r="K2998" t="s">
        <v>13621</v>
      </c>
      <c r="L2998" t="s">
        <v>386</v>
      </c>
      <c r="M2998" t="s">
        <v>1193</v>
      </c>
      <c r="N2998">
        <v>16253</v>
      </c>
      <c r="O2998">
        <v>0</v>
      </c>
      <c r="Q2998" t="s">
        <v>13623</v>
      </c>
      <c r="T2998">
        <v>571</v>
      </c>
      <c r="V2998" t="s">
        <v>2003</v>
      </c>
      <c r="W2998" t="s">
        <v>2246</v>
      </c>
      <c r="X2998">
        <v>496</v>
      </c>
      <c r="Z2998" t="s">
        <v>865</v>
      </c>
      <c r="AA2998" t="s">
        <v>387</v>
      </c>
      <c r="AB2998">
        <v>0</v>
      </c>
      <c r="AC2998">
        <v>6103</v>
      </c>
      <c r="AD2998" t="s">
        <v>13624</v>
      </c>
      <c r="AE2998">
        <v>150</v>
      </c>
      <c r="AF2998" t="s">
        <v>2587</v>
      </c>
      <c r="AG2998" t="s">
        <v>6220</v>
      </c>
      <c r="AH2998" t="s">
        <v>13625</v>
      </c>
    </row>
    <row r="2999" spans="1:34" x14ac:dyDescent="0.25">
      <c r="A2999">
        <v>1</v>
      </c>
      <c r="B2999" t="s">
        <v>1313</v>
      </c>
      <c r="C2999" s="185"/>
      <c r="E2999" t="s">
        <v>386</v>
      </c>
      <c r="F2999" t="s">
        <v>13626</v>
      </c>
      <c r="G2999" t="s">
        <v>1197</v>
      </c>
      <c r="H2999" t="s">
        <v>13627</v>
      </c>
      <c r="I2999">
        <v>1436</v>
      </c>
      <c r="J2999" t="s">
        <v>13626</v>
      </c>
      <c r="K2999" t="s">
        <v>13628</v>
      </c>
      <c r="L2999" t="s">
        <v>386</v>
      </c>
      <c r="M2999" t="s">
        <v>1193</v>
      </c>
      <c r="N2999">
        <v>1436</v>
      </c>
      <c r="O2999">
        <v>0</v>
      </c>
      <c r="Q2999" t="s">
        <v>13629</v>
      </c>
      <c r="S2999" t="s">
        <v>1315</v>
      </c>
      <c r="T2999">
        <v>103</v>
      </c>
      <c r="U2999">
        <v>0</v>
      </c>
      <c r="V2999" t="s">
        <v>1530</v>
      </c>
      <c r="W2999" t="s">
        <v>1530</v>
      </c>
      <c r="X2999">
        <v>103</v>
      </c>
      <c r="Y2999" t="s">
        <v>1317</v>
      </c>
      <c r="Z2999" t="s">
        <v>865</v>
      </c>
      <c r="AA2999" t="s">
        <v>387</v>
      </c>
      <c r="AB2999">
        <v>0</v>
      </c>
      <c r="AC2999">
        <v>4367</v>
      </c>
      <c r="AD2999" t="s">
        <v>12540</v>
      </c>
      <c r="AE2999">
        <v>258</v>
      </c>
      <c r="AF2999" t="s">
        <v>5257</v>
      </c>
      <c r="AG2999" t="s">
        <v>7603</v>
      </c>
      <c r="AH2999" t="s">
        <v>13630</v>
      </c>
    </row>
    <row r="3000" spans="1:34" x14ac:dyDescent="0.25">
      <c r="A3000">
        <v>1</v>
      </c>
      <c r="C3000" s="185"/>
      <c r="E3000" t="s">
        <v>386</v>
      </c>
      <c r="F3000" t="s">
        <v>13631</v>
      </c>
      <c r="G3000" t="s">
        <v>1197</v>
      </c>
      <c r="H3000" t="s">
        <v>4705</v>
      </c>
      <c r="I3000">
        <v>11798</v>
      </c>
      <c r="J3000" t="s">
        <v>13631</v>
      </c>
      <c r="K3000" t="s">
        <v>13632</v>
      </c>
      <c r="L3000" t="s">
        <v>386</v>
      </c>
      <c r="M3000" t="s">
        <v>1193</v>
      </c>
      <c r="N3000">
        <v>11798</v>
      </c>
      <c r="O3000">
        <v>0</v>
      </c>
      <c r="Q3000" t="s">
        <v>13633</v>
      </c>
      <c r="R3000" t="s">
        <v>1208</v>
      </c>
      <c r="T3000">
        <v>200</v>
      </c>
      <c r="V3000" t="s">
        <v>1199</v>
      </c>
      <c r="W3000" t="s">
        <v>3129</v>
      </c>
      <c r="X3000">
        <v>435</v>
      </c>
      <c r="Z3000" t="s">
        <v>865</v>
      </c>
      <c r="AA3000" t="s">
        <v>387</v>
      </c>
      <c r="AB3000">
        <v>0</v>
      </c>
      <c r="AC3000">
        <v>3267</v>
      </c>
      <c r="AD3000" t="s">
        <v>13634</v>
      </c>
      <c r="AE3000">
        <v>33</v>
      </c>
      <c r="AF3000" t="s">
        <v>6133</v>
      </c>
      <c r="AG3000" t="s">
        <v>13635</v>
      </c>
    </row>
    <row r="3001" spans="1:34" x14ac:dyDescent="0.25">
      <c r="A3001">
        <v>1</v>
      </c>
      <c r="C3001" s="185"/>
      <c r="E3001" t="s">
        <v>386</v>
      </c>
      <c r="F3001" t="s">
        <v>13636</v>
      </c>
      <c r="G3001" t="s">
        <v>1197</v>
      </c>
      <c r="H3001" t="s">
        <v>13637</v>
      </c>
      <c r="I3001">
        <v>59</v>
      </c>
      <c r="J3001" t="s">
        <v>13636</v>
      </c>
      <c r="K3001" t="s">
        <v>13638</v>
      </c>
      <c r="L3001" t="s">
        <v>386</v>
      </c>
      <c r="M3001" t="s">
        <v>1193</v>
      </c>
      <c r="N3001">
        <v>59</v>
      </c>
      <c r="O3001">
        <v>0</v>
      </c>
      <c r="Q3001" t="s">
        <v>13639</v>
      </c>
      <c r="T3001">
        <v>52</v>
      </c>
      <c r="V3001" t="s">
        <v>2024</v>
      </c>
      <c r="Z3001" t="s">
        <v>865</v>
      </c>
      <c r="AA3001" t="s">
        <v>386</v>
      </c>
      <c r="AB3001">
        <v>0</v>
      </c>
      <c r="AC3001">
        <v>47</v>
      </c>
      <c r="AD3001" t="s">
        <v>13640</v>
      </c>
      <c r="AE3001">
        <v>2</v>
      </c>
      <c r="AF3001" t="s">
        <v>2919</v>
      </c>
      <c r="AG3001" t="s">
        <v>13641</v>
      </c>
      <c r="AH3001" t="s">
        <v>13642</v>
      </c>
    </row>
    <row r="3002" spans="1:34" x14ac:dyDescent="0.25">
      <c r="A3002">
        <v>1</v>
      </c>
      <c r="C3002" s="185"/>
      <c r="E3002" t="s">
        <v>386</v>
      </c>
      <c r="F3002" t="s">
        <v>13643</v>
      </c>
      <c r="G3002" t="s">
        <v>1197</v>
      </c>
      <c r="H3002" t="s">
        <v>13644</v>
      </c>
      <c r="I3002">
        <v>5647</v>
      </c>
      <c r="J3002" t="s">
        <v>13643</v>
      </c>
      <c r="K3002" t="s">
        <v>13645</v>
      </c>
      <c r="L3002" t="s">
        <v>386</v>
      </c>
      <c r="M3002" t="s">
        <v>1193</v>
      </c>
      <c r="N3002">
        <v>5647</v>
      </c>
      <c r="O3002">
        <v>0</v>
      </c>
      <c r="Q3002" t="s">
        <v>13646</v>
      </c>
      <c r="T3002">
        <v>226</v>
      </c>
      <c r="V3002" t="s">
        <v>5068</v>
      </c>
      <c r="Z3002" t="s">
        <v>865</v>
      </c>
      <c r="AA3002" t="s">
        <v>387</v>
      </c>
      <c r="AB3002">
        <v>0</v>
      </c>
      <c r="AC3002">
        <v>1611</v>
      </c>
      <c r="AD3002" t="s">
        <v>5479</v>
      </c>
      <c r="AE3002">
        <v>1</v>
      </c>
      <c r="AF3002" t="s">
        <v>1922</v>
      </c>
      <c r="AG3002" t="s">
        <v>13647</v>
      </c>
      <c r="AH3002" t="s">
        <v>13648</v>
      </c>
    </row>
    <row r="3003" spans="1:34" x14ac:dyDescent="0.25">
      <c r="A3003">
        <v>1</v>
      </c>
      <c r="C3003" s="185"/>
      <c r="E3003" t="s">
        <v>386</v>
      </c>
      <c r="F3003" t="s">
        <v>13649</v>
      </c>
      <c r="G3003" t="s">
        <v>1197</v>
      </c>
      <c r="H3003" t="s">
        <v>6622</v>
      </c>
      <c r="I3003">
        <v>2821</v>
      </c>
      <c r="J3003" t="s">
        <v>13649</v>
      </c>
      <c r="K3003" t="s">
        <v>13650</v>
      </c>
      <c r="L3003" t="s">
        <v>386</v>
      </c>
      <c r="M3003" t="s">
        <v>1193</v>
      </c>
      <c r="N3003">
        <v>2821</v>
      </c>
      <c r="O3003">
        <v>0</v>
      </c>
      <c r="Q3003" t="s">
        <v>13651</v>
      </c>
      <c r="R3003" t="s">
        <v>1208</v>
      </c>
      <c r="T3003">
        <v>103</v>
      </c>
      <c r="V3003" t="s">
        <v>1530</v>
      </c>
      <c r="Z3003" t="s">
        <v>865</v>
      </c>
      <c r="AA3003" t="s">
        <v>387</v>
      </c>
      <c r="AB3003">
        <v>0</v>
      </c>
      <c r="AC3003">
        <v>1631</v>
      </c>
      <c r="AD3003" t="s">
        <v>6032</v>
      </c>
      <c r="AE3003">
        <v>114</v>
      </c>
      <c r="AF3003" t="s">
        <v>1218</v>
      </c>
      <c r="AG3003" t="s">
        <v>10837</v>
      </c>
      <c r="AH3003" t="s">
        <v>13652</v>
      </c>
    </row>
    <row r="3004" spans="1:34" x14ac:dyDescent="0.25">
      <c r="A3004">
        <v>1</v>
      </c>
      <c r="C3004" s="185"/>
      <c r="E3004" t="s">
        <v>386</v>
      </c>
      <c r="F3004" t="s">
        <v>13653</v>
      </c>
      <c r="G3004" t="s">
        <v>1197</v>
      </c>
      <c r="H3004" t="s">
        <v>13654</v>
      </c>
      <c r="I3004">
        <v>1993</v>
      </c>
      <c r="J3004" t="s">
        <v>13653</v>
      </c>
      <c r="K3004" t="s">
        <v>13653</v>
      </c>
      <c r="L3004" t="s">
        <v>386</v>
      </c>
      <c r="M3004" t="s">
        <v>1193</v>
      </c>
      <c r="N3004">
        <v>1993</v>
      </c>
      <c r="O3004">
        <v>0</v>
      </c>
      <c r="Q3004" t="s">
        <v>13655</v>
      </c>
      <c r="T3004">
        <v>39</v>
      </c>
      <c r="V3004" t="s">
        <v>2144</v>
      </c>
      <c r="Z3004" t="s">
        <v>865</v>
      </c>
      <c r="AA3004" t="s">
        <v>387</v>
      </c>
      <c r="AB3004">
        <v>0</v>
      </c>
      <c r="AC3004">
        <v>1482</v>
      </c>
      <c r="AD3004" t="s">
        <v>13656</v>
      </c>
      <c r="AE3004">
        <v>3</v>
      </c>
      <c r="AF3004" t="s">
        <v>1235</v>
      </c>
      <c r="AG3004" t="s">
        <v>11068</v>
      </c>
    </row>
    <row r="3005" spans="1:34" x14ac:dyDescent="0.25">
      <c r="A3005">
        <v>1</v>
      </c>
      <c r="C3005" s="185"/>
      <c r="E3005" t="s">
        <v>386</v>
      </c>
      <c r="F3005" t="s">
        <v>13657</v>
      </c>
      <c r="G3005" t="s">
        <v>1197</v>
      </c>
      <c r="H3005" t="s">
        <v>13658</v>
      </c>
      <c r="I3005">
        <v>2206</v>
      </c>
      <c r="J3005" t="s">
        <v>13657</v>
      </c>
      <c r="K3005" t="s">
        <v>13657</v>
      </c>
      <c r="L3005" t="s">
        <v>386</v>
      </c>
      <c r="M3005" t="s">
        <v>1193</v>
      </c>
      <c r="N3005">
        <v>2206</v>
      </c>
      <c r="O3005">
        <v>0</v>
      </c>
      <c r="Q3005" t="s">
        <v>13659</v>
      </c>
      <c r="T3005">
        <v>260</v>
      </c>
      <c r="V3005" t="s">
        <v>1216</v>
      </c>
      <c r="W3005" t="s">
        <v>1199</v>
      </c>
      <c r="X3005">
        <v>200</v>
      </c>
      <c r="Z3005" t="s">
        <v>865</v>
      </c>
      <c r="AA3005" t="s">
        <v>387</v>
      </c>
      <c r="AB3005">
        <v>0</v>
      </c>
      <c r="AC3005">
        <v>691</v>
      </c>
      <c r="AD3005" t="s">
        <v>13660</v>
      </c>
      <c r="AE3005">
        <v>155</v>
      </c>
      <c r="AF3005" t="s">
        <v>5198</v>
      </c>
      <c r="AG3005" t="s">
        <v>12651</v>
      </c>
    </row>
    <row r="3006" spans="1:34" x14ac:dyDescent="0.25">
      <c r="A3006">
        <v>1</v>
      </c>
      <c r="C3006" s="185"/>
      <c r="E3006" t="s">
        <v>386</v>
      </c>
      <c r="F3006" t="s">
        <v>13661</v>
      </c>
      <c r="G3006" t="s">
        <v>1197</v>
      </c>
      <c r="H3006" t="s">
        <v>6131</v>
      </c>
      <c r="I3006">
        <v>21</v>
      </c>
      <c r="J3006" t="s">
        <v>13661</v>
      </c>
      <c r="K3006" t="s">
        <v>13662</v>
      </c>
      <c r="L3006" t="s">
        <v>386</v>
      </c>
      <c r="M3006" t="s">
        <v>1193</v>
      </c>
      <c r="N3006">
        <v>21</v>
      </c>
      <c r="O3006">
        <v>0</v>
      </c>
      <c r="Q3006" t="s">
        <v>13663</v>
      </c>
      <c r="R3006" t="s">
        <v>1208</v>
      </c>
      <c r="T3006">
        <v>560</v>
      </c>
      <c r="V3006" t="s">
        <v>2602</v>
      </c>
      <c r="W3006" t="s">
        <v>2073</v>
      </c>
      <c r="X3006">
        <v>372</v>
      </c>
      <c r="Z3006" t="s">
        <v>865</v>
      </c>
      <c r="AA3006" t="s">
        <v>387</v>
      </c>
      <c r="AB3006">
        <v>0</v>
      </c>
      <c r="AC3006">
        <v>18</v>
      </c>
      <c r="AD3006" t="s">
        <v>1132</v>
      </c>
      <c r="AE3006">
        <v>0</v>
      </c>
      <c r="AF3006" t="s">
        <v>1188</v>
      </c>
      <c r="AG3006" t="s">
        <v>13664</v>
      </c>
      <c r="AH3006" t="s">
        <v>13665</v>
      </c>
    </row>
    <row r="3007" spans="1:34" x14ac:dyDescent="0.25">
      <c r="A3007">
        <v>1</v>
      </c>
      <c r="B3007" t="s">
        <v>1313</v>
      </c>
      <c r="C3007" s="185"/>
      <c r="E3007" t="s">
        <v>386</v>
      </c>
      <c r="F3007" t="s">
        <v>13666</v>
      </c>
      <c r="G3007" t="s">
        <v>4184</v>
      </c>
      <c r="H3007" t="s">
        <v>5482</v>
      </c>
      <c r="I3007">
        <v>813</v>
      </c>
      <c r="J3007" t="s">
        <v>13666</v>
      </c>
      <c r="K3007" t="s">
        <v>13666</v>
      </c>
      <c r="L3007" t="s">
        <v>386</v>
      </c>
      <c r="M3007" t="s">
        <v>1193</v>
      </c>
      <c r="N3007">
        <v>813</v>
      </c>
      <c r="O3007">
        <v>0</v>
      </c>
      <c r="Q3007" t="s">
        <v>13667</v>
      </c>
      <c r="R3007" t="s">
        <v>1208</v>
      </c>
      <c r="S3007" t="s">
        <v>1315</v>
      </c>
      <c r="T3007">
        <v>560</v>
      </c>
      <c r="U3007">
        <v>0</v>
      </c>
      <c r="V3007" t="s">
        <v>2602</v>
      </c>
      <c r="W3007" t="s">
        <v>5803</v>
      </c>
      <c r="X3007">
        <v>509</v>
      </c>
      <c r="Y3007" t="s">
        <v>1317</v>
      </c>
      <c r="Z3007" t="s">
        <v>865</v>
      </c>
      <c r="AA3007" t="s">
        <v>387</v>
      </c>
      <c r="AB3007">
        <v>0</v>
      </c>
      <c r="AC3007">
        <v>478</v>
      </c>
      <c r="AD3007" t="s">
        <v>5485</v>
      </c>
      <c r="AE3007">
        <v>14</v>
      </c>
      <c r="AF3007" t="s">
        <v>2615</v>
      </c>
      <c r="AG3007" t="s">
        <v>11306</v>
      </c>
      <c r="AH3007" t="s">
        <v>13668</v>
      </c>
    </row>
    <row r="3008" spans="1:34" x14ac:dyDescent="0.25">
      <c r="A3008">
        <v>1</v>
      </c>
      <c r="C3008" s="185"/>
      <c r="E3008" t="s">
        <v>386</v>
      </c>
      <c r="F3008" t="s">
        <v>13669</v>
      </c>
      <c r="G3008" t="s">
        <v>1197</v>
      </c>
      <c r="H3008" t="s">
        <v>7204</v>
      </c>
      <c r="I3008">
        <v>14117</v>
      </c>
      <c r="J3008" t="s">
        <v>13669</v>
      </c>
      <c r="K3008" t="s">
        <v>13670</v>
      </c>
      <c r="L3008" t="s">
        <v>386</v>
      </c>
      <c r="M3008" t="s">
        <v>1193</v>
      </c>
      <c r="N3008">
        <v>14117</v>
      </c>
      <c r="O3008">
        <v>0</v>
      </c>
      <c r="Q3008" t="s">
        <v>13671</v>
      </c>
      <c r="T3008">
        <v>260</v>
      </c>
      <c r="V3008" t="s">
        <v>1216</v>
      </c>
      <c r="W3008" t="s">
        <v>1216</v>
      </c>
      <c r="X3008">
        <v>260</v>
      </c>
      <c r="Z3008" t="s">
        <v>865</v>
      </c>
      <c r="AA3008" t="s">
        <v>387</v>
      </c>
      <c r="AB3008">
        <v>0</v>
      </c>
      <c r="AC3008">
        <v>1609</v>
      </c>
      <c r="AD3008" t="s">
        <v>2035</v>
      </c>
      <c r="AE3008">
        <v>26</v>
      </c>
      <c r="AF3008" t="s">
        <v>2075</v>
      </c>
      <c r="AG3008" t="s">
        <v>13672</v>
      </c>
      <c r="AH3008" t="s">
        <v>13673</v>
      </c>
    </row>
    <row r="3009" spans="1:34" x14ac:dyDescent="0.25">
      <c r="A3009">
        <v>1</v>
      </c>
      <c r="B3009" t="s">
        <v>1313</v>
      </c>
      <c r="C3009" s="185"/>
      <c r="E3009" t="s">
        <v>386</v>
      </c>
      <c r="F3009" t="s">
        <v>13674</v>
      </c>
      <c r="G3009" t="s">
        <v>1197</v>
      </c>
      <c r="H3009" t="s">
        <v>2023</v>
      </c>
      <c r="I3009">
        <v>498</v>
      </c>
      <c r="J3009" t="s">
        <v>13674</v>
      </c>
      <c r="K3009" t="s">
        <v>13674</v>
      </c>
      <c r="L3009" t="s">
        <v>386</v>
      </c>
      <c r="M3009" t="s">
        <v>1193</v>
      </c>
      <c r="N3009">
        <v>498</v>
      </c>
      <c r="O3009">
        <v>0</v>
      </c>
      <c r="Q3009" t="s">
        <v>13675</v>
      </c>
      <c r="S3009" t="s">
        <v>1315</v>
      </c>
      <c r="T3009">
        <v>372</v>
      </c>
      <c r="U3009">
        <v>0</v>
      </c>
      <c r="V3009" t="s">
        <v>2073</v>
      </c>
      <c r="W3009" t="s">
        <v>2073</v>
      </c>
      <c r="X3009">
        <v>372</v>
      </c>
      <c r="Y3009" t="s">
        <v>1317</v>
      </c>
      <c r="Z3009" t="s">
        <v>865</v>
      </c>
      <c r="AA3009" t="s">
        <v>387</v>
      </c>
      <c r="AB3009">
        <v>0</v>
      </c>
      <c r="AC3009">
        <v>2566</v>
      </c>
      <c r="AD3009" t="s">
        <v>13676</v>
      </c>
      <c r="AE3009">
        <v>652</v>
      </c>
      <c r="AF3009" t="s">
        <v>2859</v>
      </c>
      <c r="AG3009" t="s">
        <v>10244</v>
      </c>
      <c r="AH3009" t="s">
        <v>13677</v>
      </c>
    </row>
    <row r="3010" spans="1:34" x14ac:dyDescent="0.25">
      <c r="A3010">
        <v>1</v>
      </c>
      <c r="C3010" s="185"/>
      <c r="E3010" t="s">
        <v>386</v>
      </c>
      <c r="F3010" t="s">
        <v>13678</v>
      </c>
      <c r="G3010" t="s">
        <v>1197</v>
      </c>
      <c r="H3010" t="s">
        <v>13679</v>
      </c>
      <c r="I3010">
        <v>8718</v>
      </c>
      <c r="J3010" t="s">
        <v>13678</v>
      </c>
      <c r="K3010" t="s">
        <v>13680</v>
      </c>
      <c r="L3010" t="s">
        <v>386</v>
      </c>
      <c r="M3010" t="s">
        <v>1193</v>
      </c>
      <c r="N3010">
        <v>8718</v>
      </c>
      <c r="O3010">
        <v>0</v>
      </c>
      <c r="Q3010" t="s">
        <v>13681</v>
      </c>
      <c r="R3010" t="s">
        <v>1208</v>
      </c>
      <c r="T3010">
        <v>39</v>
      </c>
      <c r="V3010" t="s">
        <v>2144</v>
      </c>
      <c r="W3010" t="s">
        <v>2003</v>
      </c>
      <c r="X3010">
        <v>571</v>
      </c>
      <c r="Z3010" t="s">
        <v>865</v>
      </c>
      <c r="AA3010" t="s">
        <v>387</v>
      </c>
      <c r="AB3010">
        <v>0</v>
      </c>
      <c r="AC3010">
        <v>41</v>
      </c>
      <c r="AD3010" t="s">
        <v>3102</v>
      </c>
      <c r="AE3010">
        <v>1</v>
      </c>
      <c r="AF3010" t="s">
        <v>1922</v>
      </c>
      <c r="AG3010" t="s">
        <v>13682</v>
      </c>
    </row>
    <row r="3011" spans="1:34" x14ac:dyDescent="0.25">
      <c r="A3011">
        <v>2208</v>
      </c>
      <c r="C3011" s="185"/>
      <c r="E3011" t="s">
        <v>386</v>
      </c>
      <c r="F3011" t="s">
        <v>13683</v>
      </c>
      <c r="G3011" t="s">
        <v>1197</v>
      </c>
      <c r="H3011" t="s">
        <v>13684</v>
      </c>
      <c r="I3011">
        <v>17038</v>
      </c>
      <c r="J3011" t="s">
        <v>13683</v>
      </c>
      <c r="K3011" t="s">
        <v>13683</v>
      </c>
      <c r="L3011" t="s">
        <v>386</v>
      </c>
      <c r="M3011" t="s">
        <v>1193</v>
      </c>
      <c r="N3011">
        <v>17038</v>
      </c>
      <c r="O3011">
        <v>0</v>
      </c>
      <c r="Q3011" t="s">
        <v>13685</v>
      </c>
      <c r="R3011" t="s">
        <v>398</v>
      </c>
      <c r="T3011">
        <v>103</v>
      </c>
      <c r="V3011" t="s">
        <v>1530</v>
      </c>
      <c r="W3011" t="s">
        <v>1530</v>
      </c>
      <c r="X3011">
        <v>103</v>
      </c>
      <c r="Z3011" t="s">
        <v>13686</v>
      </c>
      <c r="AA3011" t="s">
        <v>387</v>
      </c>
      <c r="AB3011">
        <v>0</v>
      </c>
      <c r="AC3011">
        <v>81</v>
      </c>
      <c r="AD3011" t="s">
        <v>10716</v>
      </c>
      <c r="AE3011">
        <v>2954</v>
      </c>
      <c r="AF3011" t="s">
        <v>13687</v>
      </c>
      <c r="AG3011" t="s">
        <v>1244</v>
      </c>
      <c r="AH3011" t="s">
        <v>13688</v>
      </c>
    </row>
    <row r="3012" spans="1:34" x14ac:dyDescent="0.25">
      <c r="A3012">
        <v>177</v>
      </c>
      <c r="C3012" s="185"/>
      <c r="E3012" t="s">
        <v>386</v>
      </c>
      <c r="F3012" t="s">
        <v>13689</v>
      </c>
      <c r="G3012" t="s">
        <v>1197</v>
      </c>
      <c r="H3012" t="s">
        <v>13690</v>
      </c>
      <c r="I3012">
        <v>8508</v>
      </c>
      <c r="J3012" t="s">
        <v>13689</v>
      </c>
      <c r="K3012" t="s">
        <v>13689</v>
      </c>
      <c r="L3012" t="s">
        <v>386</v>
      </c>
      <c r="M3012" t="s">
        <v>1193</v>
      </c>
      <c r="N3012">
        <v>8508</v>
      </c>
      <c r="O3012">
        <v>0</v>
      </c>
      <c r="Q3012" t="s">
        <v>13691</v>
      </c>
      <c r="R3012" t="s">
        <v>398</v>
      </c>
      <c r="T3012">
        <v>185</v>
      </c>
      <c r="V3012" t="s">
        <v>1915</v>
      </c>
      <c r="Z3012" t="s">
        <v>1054</v>
      </c>
      <c r="AA3012" t="s">
        <v>387</v>
      </c>
      <c r="AB3012">
        <v>0</v>
      </c>
      <c r="AC3012">
        <v>3410</v>
      </c>
      <c r="AD3012" t="s">
        <v>13692</v>
      </c>
      <c r="AE3012">
        <v>1583</v>
      </c>
      <c r="AF3012" t="s">
        <v>13693</v>
      </c>
      <c r="AG3012" t="s">
        <v>7366</v>
      </c>
    </row>
    <row r="3013" spans="1:34" x14ac:dyDescent="0.25">
      <c r="A3013">
        <v>177</v>
      </c>
      <c r="B3013" t="s">
        <v>1313</v>
      </c>
      <c r="C3013" s="185"/>
      <c r="D3013" t="s">
        <v>24</v>
      </c>
      <c r="E3013" t="s">
        <v>386</v>
      </c>
      <c r="F3013" t="s">
        <v>515</v>
      </c>
      <c r="G3013" t="s">
        <v>1197</v>
      </c>
      <c r="H3013" t="s">
        <v>13694</v>
      </c>
      <c r="I3013">
        <v>812</v>
      </c>
      <c r="J3013" t="s">
        <v>151</v>
      </c>
      <c r="K3013" t="s">
        <v>13695</v>
      </c>
      <c r="L3013" t="s">
        <v>386</v>
      </c>
      <c r="M3013" t="s">
        <v>1193</v>
      </c>
      <c r="N3013">
        <v>16147</v>
      </c>
      <c r="O3013">
        <v>76</v>
      </c>
      <c r="Q3013" t="s">
        <v>13696</v>
      </c>
      <c r="R3013" t="s">
        <v>398</v>
      </c>
      <c r="S3013" t="s">
        <v>1909</v>
      </c>
      <c r="T3013">
        <v>220</v>
      </c>
      <c r="U3013">
        <v>0</v>
      </c>
      <c r="V3013" t="s">
        <v>1194</v>
      </c>
      <c r="W3013" t="s">
        <v>4502</v>
      </c>
      <c r="X3013">
        <v>556</v>
      </c>
      <c r="Y3013" t="s">
        <v>1317</v>
      </c>
      <c r="Z3013" t="s">
        <v>1054</v>
      </c>
      <c r="AA3013" t="s">
        <v>387</v>
      </c>
      <c r="AB3013">
        <v>69000</v>
      </c>
      <c r="AC3013">
        <v>711</v>
      </c>
      <c r="AD3013" t="s">
        <v>13697</v>
      </c>
      <c r="AE3013">
        <v>344</v>
      </c>
      <c r="AF3013" t="s">
        <v>13698</v>
      </c>
      <c r="AG3013" t="s">
        <v>1999</v>
      </c>
      <c r="AH3013" t="s">
        <v>13699</v>
      </c>
    </row>
    <row r="3014" spans="1:34" x14ac:dyDescent="0.25">
      <c r="A3014">
        <v>564</v>
      </c>
      <c r="B3014" t="s">
        <v>1313</v>
      </c>
      <c r="C3014" s="185"/>
      <c r="D3014" t="s">
        <v>24</v>
      </c>
      <c r="E3014" t="s">
        <v>386</v>
      </c>
      <c r="F3014" t="s">
        <v>515</v>
      </c>
      <c r="G3014" t="s">
        <v>1197</v>
      </c>
      <c r="H3014" t="s">
        <v>13700</v>
      </c>
      <c r="I3014">
        <v>16652</v>
      </c>
      <c r="J3014" t="s">
        <v>1138</v>
      </c>
      <c r="K3014" t="s">
        <v>13695</v>
      </c>
      <c r="L3014" t="s">
        <v>386</v>
      </c>
      <c r="M3014" t="s">
        <v>1193</v>
      </c>
      <c r="N3014">
        <v>16147</v>
      </c>
      <c r="O3014">
        <v>76</v>
      </c>
      <c r="Q3014" t="s">
        <v>13701</v>
      </c>
      <c r="R3014" t="s">
        <v>398</v>
      </c>
      <c r="S3014" t="s">
        <v>1909</v>
      </c>
      <c r="T3014">
        <v>220</v>
      </c>
      <c r="U3014">
        <v>0</v>
      </c>
      <c r="V3014" t="s">
        <v>1194</v>
      </c>
      <c r="W3014" t="s">
        <v>1199</v>
      </c>
      <c r="X3014">
        <v>200</v>
      </c>
      <c r="Y3014" t="s">
        <v>1317</v>
      </c>
      <c r="Z3014" t="s">
        <v>1139</v>
      </c>
      <c r="AA3014" t="s">
        <v>387</v>
      </c>
      <c r="AB3014">
        <v>69000</v>
      </c>
      <c r="AC3014">
        <v>6218</v>
      </c>
      <c r="AD3014" t="s">
        <v>13702</v>
      </c>
      <c r="AE3014">
        <v>18</v>
      </c>
      <c r="AF3014" t="s">
        <v>1259</v>
      </c>
      <c r="AG3014" t="s">
        <v>1244</v>
      </c>
      <c r="AH3014" t="s">
        <v>9297</v>
      </c>
    </row>
    <row r="3015" spans="1:34" x14ac:dyDescent="0.25">
      <c r="A3015">
        <v>177</v>
      </c>
      <c r="C3015" s="185"/>
      <c r="D3015" t="s">
        <v>157</v>
      </c>
      <c r="E3015" t="s">
        <v>386</v>
      </c>
      <c r="F3015" t="s">
        <v>232</v>
      </c>
      <c r="G3015" t="s">
        <v>1197</v>
      </c>
      <c r="H3015" t="s">
        <v>13703</v>
      </c>
      <c r="I3015">
        <v>12653</v>
      </c>
      <c r="J3015" t="s">
        <v>232</v>
      </c>
      <c r="K3015" t="s">
        <v>13704</v>
      </c>
      <c r="L3015" t="s">
        <v>386</v>
      </c>
      <c r="M3015" t="s">
        <v>1193</v>
      </c>
      <c r="N3015">
        <v>12653</v>
      </c>
      <c r="O3015">
        <v>25</v>
      </c>
      <c r="Q3015" t="s">
        <v>13705</v>
      </c>
      <c r="R3015" t="s">
        <v>398</v>
      </c>
      <c r="T3015">
        <v>122</v>
      </c>
      <c r="V3015" t="s">
        <v>1988</v>
      </c>
      <c r="W3015" t="s">
        <v>2073</v>
      </c>
      <c r="X3015">
        <v>372</v>
      </c>
      <c r="Z3015" t="s">
        <v>1054</v>
      </c>
      <c r="AA3015" t="s">
        <v>387</v>
      </c>
      <c r="AB3015">
        <v>19000</v>
      </c>
      <c r="AC3015">
        <v>2250</v>
      </c>
      <c r="AD3015" t="s">
        <v>13706</v>
      </c>
      <c r="AE3015">
        <v>2182</v>
      </c>
      <c r="AF3015" t="s">
        <v>13707</v>
      </c>
      <c r="AG3015" t="s">
        <v>13708</v>
      </c>
      <c r="AH3015" t="s">
        <v>13709</v>
      </c>
    </row>
    <row r="3016" spans="1:34" x14ac:dyDescent="0.25">
      <c r="A3016">
        <v>177</v>
      </c>
      <c r="C3016" s="185"/>
      <c r="E3016" t="s">
        <v>386</v>
      </c>
      <c r="F3016" t="s">
        <v>13710</v>
      </c>
      <c r="G3016" t="s">
        <v>1197</v>
      </c>
      <c r="H3016" t="s">
        <v>13711</v>
      </c>
      <c r="I3016">
        <v>2342</v>
      </c>
      <c r="J3016" t="s">
        <v>13710</v>
      </c>
      <c r="K3016" t="s">
        <v>13712</v>
      </c>
      <c r="L3016" t="s">
        <v>386</v>
      </c>
      <c r="M3016" t="s">
        <v>1193</v>
      </c>
      <c r="N3016">
        <v>2342</v>
      </c>
      <c r="O3016">
        <v>0</v>
      </c>
      <c r="Q3016" t="s">
        <v>13713</v>
      </c>
      <c r="T3016">
        <v>52</v>
      </c>
      <c r="V3016" t="s">
        <v>2024</v>
      </c>
      <c r="Z3016" t="s">
        <v>1054</v>
      </c>
      <c r="AA3016" t="s">
        <v>387</v>
      </c>
      <c r="AB3016">
        <v>0</v>
      </c>
      <c r="AC3016">
        <v>1723</v>
      </c>
      <c r="AD3016" t="s">
        <v>13714</v>
      </c>
      <c r="AE3016">
        <v>482</v>
      </c>
      <c r="AF3016" t="s">
        <v>13715</v>
      </c>
      <c r="AG3016" t="s">
        <v>10475</v>
      </c>
      <c r="AH3016" t="s">
        <v>13716</v>
      </c>
    </row>
    <row r="3017" spans="1:34" x14ac:dyDescent="0.25">
      <c r="A3017">
        <v>98</v>
      </c>
      <c r="C3017" s="185"/>
      <c r="E3017" t="s">
        <v>386</v>
      </c>
      <c r="F3017" t="s">
        <v>13717</v>
      </c>
      <c r="G3017" t="s">
        <v>1197</v>
      </c>
      <c r="H3017" t="s">
        <v>13718</v>
      </c>
      <c r="I3017">
        <v>17207</v>
      </c>
      <c r="J3017" t="s">
        <v>13717</v>
      </c>
      <c r="K3017" t="s">
        <v>13719</v>
      </c>
      <c r="L3017" t="s">
        <v>386</v>
      </c>
      <c r="M3017" t="s">
        <v>1193</v>
      </c>
      <c r="N3017">
        <v>17207</v>
      </c>
      <c r="O3017">
        <v>0</v>
      </c>
      <c r="Q3017" t="s">
        <v>13720</v>
      </c>
      <c r="T3017">
        <v>259</v>
      </c>
      <c r="V3017" t="s">
        <v>1215</v>
      </c>
      <c r="W3017" t="s">
        <v>1216</v>
      </c>
      <c r="X3017">
        <v>260</v>
      </c>
      <c r="Z3017" t="s">
        <v>13721</v>
      </c>
      <c r="AA3017" t="s">
        <v>387</v>
      </c>
      <c r="AB3017">
        <v>0</v>
      </c>
      <c r="AC3017">
        <v>6481</v>
      </c>
      <c r="AD3017" t="s">
        <v>13722</v>
      </c>
      <c r="AE3017">
        <v>2987</v>
      </c>
      <c r="AF3017" t="s">
        <v>13723</v>
      </c>
      <c r="AG3017" t="s">
        <v>13724</v>
      </c>
      <c r="AH3017" t="s">
        <v>13725</v>
      </c>
    </row>
    <row r="3018" spans="1:34" x14ac:dyDescent="0.25">
      <c r="A3018">
        <v>1621</v>
      </c>
      <c r="B3018" t="s">
        <v>1313</v>
      </c>
      <c r="C3018" s="185"/>
      <c r="D3018" t="s">
        <v>24</v>
      </c>
      <c r="E3018" t="s">
        <v>386</v>
      </c>
      <c r="F3018" t="s">
        <v>13726</v>
      </c>
      <c r="G3018" t="s">
        <v>1197</v>
      </c>
      <c r="H3018" t="s">
        <v>13727</v>
      </c>
      <c r="I3018">
        <v>401</v>
      </c>
      <c r="J3018" t="s">
        <v>13726</v>
      </c>
      <c r="K3018" t="s">
        <v>13728</v>
      </c>
      <c r="L3018" t="s">
        <v>386</v>
      </c>
      <c r="M3018" t="s">
        <v>1193</v>
      </c>
      <c r="N3018">
        <v>401</v>
      </c>
      <c r="O3018">
        <v>11</v>
      </c>
      <c r="Q3018" t="s">
        <v>13729</v>
      </c>
      <c r="R3018" t="s">
        <v>398</v>
      </c>
      <c r="S3018" t="s">
        <v>1315</v>
      </c>
      <c r="T3018">
        <v>340</v>
      </c>
      <c r="U3018">
        <v>0</v>
      </c>
      <c r="V3018" t="s">
        <v>1200</v>
      </c>
      <c r="W3018" t="s">
        <v>10008</v>
      </c>
      <c r="X3018">
        <v>306</v>
      </c>
      <c r="Y3018" t="s">
        <v>1317</v>
      </c>
      <c r="Z3018" t="s">
        <v>13730</v>
      </c>
      <c r="AA3018" t="s">
        <v>387</v>
      </c>
      <c r="AB3018">
        <v>7000</v>
      </c>
      <c r="AC3018">
        <v>4561</v>
      </c>
      <c r="AD3018" t="s">
        <v>13731</v>
      </c>
      <c r="AE3018">
        <v>2120</v>
      </c>
      <c r="AF3018" t="s">
        <v>13732</v>
      </c>
      <c r="AG3018" t="s">
        <v>6724</v>
      </c>
      <c r="AH3018" t="s">
        <v>13733</v>
      </c>
    </row>
    <row r="3019" spans="1:34" x14ac:dyDescent="0.25">
      <c r="A3019">
        <v>98</v>
      </c>
      <c r="C3019" s="185"/>
      <c r="E3019" t="s">
        <v>386</v>
      </c>
      <c r="F3019" t="s">
        <v>13734</v>
      </c>
      <c r="G3019" t="s">
        <v>1197</v>
      </c>
      <c r="H3019" t="s">
        <v>13735</v>
      </c>
      <c r="I3019">
        <v>14191</v>
      </c>
      <c r="J3019" t="s">
        <v>13734</v>
      </c>
      <c r="K3019" t="s">
        <v>13734</v>
      </c>
      <c r="L3019" t="s">
        <v>386</v>
      </c>
      <c r="M3019" t="s">
        <v>1193</v>
      </c>
      <c r="N3019">
        <v>14191</v>
      </c>
      <c r="O3019">
        <v>0</v>
      </c>
      <c r="Q3019" t="s">
        <v>13736</v>
      </c>
      <c r="R3019" t="s">
        <v>1208</v>
      </c>
      <c r="T3019">
        <v>260</v>
      </c>
      <c r="V3019" t="s">
        <v>1216</v>
      </c>
      <c r="W3019" t="s">
        <v>1216</v>
      </c>
      <c r="X3019">
        <v>260</v>
      </c>
      <c r="Z3019" t="s">
        <v>13721</v>
      </c>
      <c r="AA3019" t="s">
        <v>387</v>
      </c>
      <c r="AB3019">
        <v>0</v>
      </c>
      <c r="AC3019">
        <v>5259</v>
      </c>
      <c r="AD3019" t="s">
        <v>13737</v>
      </c>
      <c r="AE3019">
        <v>2492</v>
      </c>
      <c r="AF3019" t="s">
        <v>13738</v>
      </c>
      <c r="AG3019" t="s">
        <v>13739</v>
      </c>
      <c r="AH3019" t="s">
        <v>13740</v>
      </c>
    </row>
    <row r="3020" spans="1:34" x14ac:dyDescent="0.25">
      <c r="A3020">
        <v>1701</v>
      </c>
      <c r="B3020" t="s">
        <v>1313</v>
      </c>
      <c r="C3020" s="185"/>
      <c r="D3020" t="s">
        <v>24</v>
      </c>
      <c r="E3020" t="s">
        <v>386</v>
      </c>
      <c r="F3020" t="s">
        <v>84</v>
      </c>
      <c r="G3020" t="s">
        <v>1197</v>
      </c>
      <c r="H3020" t="s">
        <v>13741</v>
      </c>
      <c r="I3020">
        <v>5657</v>
      </c>
      <c r="J3020" t="s">
        <v>84</v>
      </c>
      <c r="K3020" t="s">
        <v>13742</v>
      </c>
      <c r="L3020" t="s">
        <v>386</v>
      </c>
      <c r="M3020" t="s">
        <v>1193</v>
      </c>
      <c r="N3020">
        <v>5657</v>
      </c>
      <c r="O3020">
        <v>76</v>
      </c>
      <c r="Q3020" t="s">
        <v>13743</v>
      </c>
      <c r="R3020" t="s">
        <v>398</v>
      </c>
      <c r="S3020" t="s">
        <v>1909</v>
      </c>
      <c r="T3020">
        <v>220</v>
      </c>
      <c r="U3020">
        <v>0</v>
      </c>
      <c r="V3020" t="s">
        <v>1194</v>
      </c>
      <c r="W3020" t="s">
        <v>1194</v>
      </c>
      <c r="X3020">
        <v>220</v>
      </c>
      <c r="Y3020" t="s">
        <v>1317</v>
      </c>
      <c r="Z3020" t="s">
        <v>1067</v>
      </c>
      <c r="AA3020" t="s">
        <v>387</v>
      </c>
      <c r="AB3020">
        <v>0</v>
      </c>
      <c r="AC3020">
        <v>2669</v>
      </c>
      <c r="AD3020" t="s">
        <v>13744</v>
      </c>
      <c r="AE3020">
        <v>481</v>
      </c>
      <c r="AF3020" t="s">
        <v>3443</v>
      </c>
      <c r="AG3020" t="s">
        <v>1244</v>
      </c>
      <c r="AH3020" t="s">
        <v>13745</v>
      </c>
    </row>
    <row r="3021" spans="1:34" x14ac:dyDescent="0.25">
      <c r="A3021">
        <v>151</v>
      </c>
      <c r="C3021" s="185"/>
      <c r="D3021" t="s">
        <v>24</v>
      </c>
      <c r="E3021" t="s">
        <v>386</v>
      </c>
      <c r="F3021" t="s">
        <v>13746</v>
      </c>
      <c r="G3021" t="s">
        <v>1197</v>
      </c>
      <c r="H3021" t="s">
        <v>13747</v>
      </c>
      <c r="I3021">
        <v>6125</v>
      </c>
      <c r="J3021" t="s">
        <v>13746</v>
      </c>
      <c r="K3021" t="s">
        <v>13746</v>
      </c>
      <c r="L3021" t="s">
        <v>386</v>
      </c>
      <c r="M3021" t="s">
        <v>1193</v>
      </c>
      <c r="N3021">
        <v>6125</v>
      </c>
      <c r="O3021">
        <v>23</v>
      </c>
      <c r="Q3021" t="s">
        <v>13748</v>
      </c>
      <c r="T3021">
        <v>0</v>
      </c>
      <c r="V3021" t="s">
        <v>1186</v>
      </c>
      <c r="Z3021" t="s">
        <v>2301</v>
      </c>
      <c r="AA3021" t="s">
        <v>387</v>
      </c>
      <c r="AB3021">
        <v>17000</v>
      </c>
      <c r="AC3021">
        <v>2826</v>
      </c>
      <c r="AD3021" t="s">
        <v>13749</v>
      </c>
      <c r="AE3021">
        <v>1338</v>
      </c>
      <c r="AF3021" t="s">
        <v>13750</v>
      </c>
      <c r="AG3021" t="s">
        <v>7780</v>
      </c>
    </row>
    <row r="3022" spans="1:34" x14ac:dyDescent="0.25">
      <c r="A3022">
        <v>151</v>
      </c>
      <c r="C3022" s="185"/>
      <c r="E3022" t="s">
        <v>386</v>
      </c>
      <c r="F3022" t="s">
        <v>13751</v>
      </c>
      <c r="G3022" t="s">
        <v>1197</v>
      </c>
      <c r="H3022" t="s">
        <v>13747</v>
      </c>
      <c r="I3022">
        <v>16018</v>
      </c>
      <c r="J3022" t="s">
        <v>13751</v>
      </c>
      <c r="K3022" t="s">
        <v>13752</v>
      </c>
      <c r="L3022" t="s">
        <v>386</v>
      </c>
      <c r="M3022" t="s">
        <v>1193</v>
      </c>
      <c r="N3022">
        <v>16018</v>
      </c>
      <c r="O3022">
        <v>0</v>
      </c>
      <c r="Q3022" t="s">
        <v>13753</v>
      </c>
      <c r="T3022">
        <v>502</v>
      </c>
      <c r="V3022" t="s">
        <v>4156</v>
      </c>
      <c r="W3022" t="s">
        <v>1199</v>
      </c>
      <c r="X3022">
        <v>200</v>
      </c>
      <c r="Z3022" t="s">
        <v>2301</v>
      </c>
      <c r="AA3022" t="s">
        <v>387</v>
      </c>
      <c r="AB3022">
        <v>0</v>
      </c>
      <c r="AC3022">
        <v>2826</v>
      </c>
      <c r="AD3022" t="s">
        <v>13749</v>
      </c>
      <c r="AE3022">
        <v>1338</v>
      </c>
      <c r="AF3022" t="s">
        <v>13750</v>
      </c>
      <c r="AG3022" t="s">
        <v>7780</v>
      </c>
      <c r="AH3022" t="s">
        <v>13754</v>
      </c>
    </row>
    <row r="3023" spans="1:34" x14ac:dyDescent="0.25">
      <c r="A3023">
        <v>1378</v>
      </c>
      <c r="C3023" s="185"/>
      <c r="E3023" t="s">
        <v>386</v>
      </c>
      <c r="F3023" t="s">
        <v>13755</v>
      </c>
      <c r="G3023" t="s">
        <v>1197</v>
      </c>
      <c r="H3023" t="s">
        <v>13756</v>
      </c>
      <c r="I3023">
        <v>8260</v>
      </c>
      <c r="J3023" t="s">
        <v>13755</v>
      </c>
      <c r="K3023" t="s">
        <v>13755</v>
      </c>
      <c r="L3023" t="s">
        <v>386</v>
      </c>
      <c r="M3023" t="s">
        <v>1193</v>
      </c>
      <c r="N3023">
        <v>8260</v>
      </c>
      <c r="O3023">
        <v>0</v>
      </c>
      <c r="Q3023" t="s">
        <v>13757</v>
      </c>
      <c r="R3023" t="s">
        <v>1208</v>
      </c>
      <c r="T3023">
        <v>185</v>
      </c>
      <c r="V3023" t="s">
        <v>1915</v>
      </c>
      <c r="Z3023" t="s">
        <v>5946</v>
      </c>
      <c r="AA3023" t="s">
        <v>387</v>
      </c>
      <c r="AB3023">
        <v>0</v>
      </c>
      <c r="AC3023">
        <v>3319</v>
      </c>
      <c r="AD3023" t="s">
        <v>13758</v>
      </c>
      <c r="AE3023">
        <v>3</v>
      </c>
      <c r="AF3023" t="s">
        <v>1235</v>
      </c>
      <c r="AG3023" t="s">
        <v>13759</v>
      </c>
    </row>
    <row r="3024" spans="1:34" x14ac:dyDescent="0.25">
      <c r="A3024">
        <v>3</v>
      </c>
      <c r="B3024" t="s">
        <v>1313</v>
      </c>
      <c r="C3024" s="185"/>
      <c r="E3024" t="s">
        <v>386</v>
      </c>
      <c r="F3024" t="s">
        <v>13760</v>
      </c>
      <c r="H3024" t="s">
        <v>13761</v>
      </c>
      <c r="I3024">
        <v>17717</v>
      </c>
      <c r="J3024" t="s">
        <v>13760</v>
      </c>
      <c r="K3024" t="s">
        <v>15581</v>
      </c>
      <c r="L3024" t="s">
        <v>386</v>
      </c>
      <c r="M3024" t="s">
        <v>1193</v>
      </c>
      <c r="N3024">
        <v>17717</v>
      </c>
      <c r="O3024">
        <v>0</v>
      </c>
      <c r="Q3024" t="s">
        <v>13762</v>
      </c>
      <c r="S3024" t="s">
        <v>1315</v>
      </c>
      <c r="T3024">
        <v>584</v>
      </c>
      <c r="U3024">
        <v>0</v>
      </c>
      <c r="V3024" t="s">
        <v>15582</v>
      </c>
      <c r="W3024" t="s">
        <v>1265</v>
      </c>
      <c r="X3024">
        <v>152</v>
      </c>
      <c r="Y3024" t="s">
        <v>1317</v>
      </c>
      <c r="Z3024" t="s">
        <v>1935</v>
      </c>
      <c r="AA3024" t="s">
        <v>387</v>
      </c>
      <c r="AB3024">
        <v>0</v>
      </c>
      <c r="AC3024">
        <v>0</v>
      </c>
      <c r="AD3024" t="s">
        <v>1187</v>
      </c>
      <c r="AE3024">
        <v>0</v>
      </c>
      <c r="AF3024" t="s">
        <v>1188</v>
      </c>
    </row>
    <row r="3025" spans="1:34" x14ac:dyDescent="0.25">
      <c r="A3025">
        <v>46</v>
      </c>
      <c r="B3025" t="s">
        <v>1313</v>
      </c>
      <c r="C3025" s="185"/>
      <c r="E3025" t="s">
        <v>386</v>
      </c>
      <c r="F3025" t="s">
        <v>13763</v>
      </c>
      <c r="G3025" t="s">
        <v>1197</v>
      </c>
      <c r="H3025" t="s">
        <v>13764</v>
      </c>
      <c r="I3025">
        <v>858</v>
      </c>
      <c r="J3025" t="s">
        <v>13763</v>
      </c>
      <c r="K3025" t="s">
        <v>13765</v>
      </c>
      <c r="L3025" t="s">
        <v>386</v>
      </c>
      <c r="M3025" t="s">
        <v>1193</v>
      </c>
      <c r="N3025">
        <v>858</v>
      </c>
      <c r="O3025">
        <v>0</v>
      </c>
      <c r="Q3025" t="s">
        <v>13766</v>
      </c>
      <c r="S3025" t="s">
        <v>1315</v>
      </c>
      <c r="T3025">
        <v>0</v>
      </c>
      <c r="U3025">
        <v>0</v>
      </c>
      <c r="V3025" t="s">
        <v>1186</v>
      </c>
      <c r="Y3025" t="s">
        <v>1317</v>
      </c>
      <c r="Z3025" t="s">
        <v>13767</v>
      </c>
      <c r="AA3025" t="s">
        <v>387</v>
      </c>
      <c r="AB3025">
        <v>0</v>
      </c>
      <c r="AC3025">
        <v>957</v>
      </c>
      <c r="AD3025" t="s">
        <v>13768</v>
      </c>
      <c r="AE3025">
        <v>18</v>
      </c>
      <c r="AF3025" t="s">
        <v>1259</v>
      </c>
      <c r="AG3025" t="s">
        <v>1931</v>
      </c>
      <c r="AH3025" t="s">
        <v>13769</v>
      </c>
    </row>
    <row r="3026" spans="1:34" x14ac:dyDescent="0.25">
      <c r="A3026">
        <v>46</v>
      </c>
      <c r="C3026" s="185"/>
      <c r="D3026" t="s">
        <v>24</v>
      </c>
      <c r="E3026" t="s">
        <v>386</v>
      </c>
      <c r="F3026" t="s">
        <v>13763</v>
      </c>
      <c r="G3026" t="s">
        <v>1197</v>
      </c>
      <c r="H3026" t="s">
        <v>13764</v>
      </c>
      <c r="I3026">
        <v>181</v>
      </c>
      <c r="J3026" t="s">
        <v>13763</v>
      </c>
      <c r="K3026" t="s">
        <v>13770</v>
      </c>
      <c r="L3026" t="s">
        <v>386</v>
      </c>
      <c r="M3026" t="s">
        <v>1193</v>
      </c>
      <c r="N3026">
        <v>181</v>
      </c>
      <c r="O3026">
        <v>0</v>
      </c>
      <c r="Q3026" t="s">
        <v>13771</v>
      </c>
      <c r="T3026">
        <v>0</v>
      </c>
      <c r="V3026" t="s">
        <v>1186</v>
      </c>
      <c r="Z3026" t="s">
        <v>13767</v>
      </c>
      <c r="AA3026" t="s">
        <v>387</v>
      </c>
      <c r="AB3026">
        <v>0</v>
      </c>
      <c r="AC3026">
        <v>152</v>
      </c>
      <c r="AD3026" t="s">
        <v>13772</v>
      </c>
      <c r="AE3026">
        <v>18</v>
      </c>
      <c r="AF3026" t="s">
        <v>1259</v>
      </c>
      <c r="AG3026" t="s">
        <v>1931</v>
      </c>
      <c r="AH3026" t="s">
        <v>13769</v>
      </c>
    </row>
    <row r="3027" spans="1:34" x14ac:dyDescent="0.25">
      <c r="A3027">
        <v>1362</v>
      </c>
      <c r="C3027" s="185"/>
      <c r="E3027" t="s">
        <v>386</v>
      </c>
      <c r="F3027" t="s">
        <v>799</v>
      </c>
      <c r="G3027" t="s">
        <v>1197</v>
      </c>
      <c r="H3027" t="s">
        <v>13773</v>
      </c>
      <c r="I3027">
        <v>17643</v>
      </c>
      <c r="J3027" t="s">
        <v>799</v>
      </c>
      <c r="K3027" t="s">
        <v>13774</v>
      </c>
      <c r="L3027" t="s">
        <v>386</v>
      </c>
      <c r="M3027" t="s">
        <v>1193</v>
      </c>
      <c r="N3027">
        <v>17643</v>
      </c>
      <c r="O3027">
        <v>0</v>
      </c>
      <c r="Q3027" t="s">
        <v>13775</v>
      </c>
      <c r="R3027" t="s">
        <v>398</v>
      </c>
      <c r="T3027">
        <v>52</v>
      </c>
      <c r="V3027" t="s">
        <v>2024</v>
      </c>
      <c r="W3027" t="s">
        <v>4502</v>
      </c>
      <c r="X3027">
        <v>556</v>
      </c>
      <c r="Z3027" t="s">
        <v>13776</v>
      </c>
      <c r="AA3027" t="s">
        <v>387</v>
      </c>
      <c r="AB3027">
        <v>0</v>
      </c>
      <c r="AC3027">
        <v>6598</v>
      </c>
      <c r="AD3027" t="s">
        <v>13777</v>
      </c>
      <c r="AE3027">
        <v>2479</v>
      </c>
      <c r="AF3027" t="s">
        <v>13778</v>
      </c>
      <c r="AG3027" t="s">
        <v>13779</v>
      </c>
      <c r="AH3027" t="s">
        <v>13780</v>
      </c>
    </row>
    <row r="3028" spans="1:34" x14ac:dyDescent="0.25">
      <c r="A3028">
        <v>2036</v>
      </c>
      <c r="C3028" s="185"/>
      <c r="E3028" t="s">
        <v>386</v>
      </c>
      <c r="F3028" t="s">
        <v>13781</v>
      </c>
      <c r="G3028" t="s">
        <v>1197</v>
      </c>
      <c r="H3028" t="s">
        <v>13782</v>
      </c>
      <c r="I3028">
        <v>12981</v>
      </c>
      <c r="J3028" t="s">
        <v>13781</v>
      </c>
      <c r="K3028" t="s">
        <v>13783</v>
      </c>
      <c r="L3028" t="s">
        <v>386</v>
      </c>
      <c r="M3028" t="s">
        <v>1193</v>
      </c>
      <c r="N3028">
        <v>12981</v>
      </c>
      <c r="O3028">
        <v>0</v>
      </c>
      <c r="Q3028" t="s">
        <v>13784</v>
      </c>
      <c r="R3028" t="s">
        <v>1208</v>
      </c>
      <c r="T3028">
        <v>260</v>
      </c>
      <c r="V3028" t="s">
        <v>1216</v>
      </c>
      <c r="W3028" t="s">
        <v>1216</v>
      </c>
      <c r="X3028">
        <v>260</v>
      </c>
      <c r="Z3028" t="s">
        <v>13785</v>
      </c>
      <c r="AA3028" t="s">
        <v>387</v>
      </c>
      <c r="AB3028">
        <v>0</v>
      </c>
      <c r="AC3028">
        <v>4847</v>
      </c>
      <c r="AD3028" t="s">
        <v>13786</v>
      </c>
      <c r="AE3028">
        <v>2238</v>
      </c>
      <c r="AF3028" t="s">
        <v>13787</v>
      </c>
      <c r="AG3028" t="s">
        <v>7603</v>
      </c>
      <c r="AH3028" t="s">
        <v>13788</v>
      </c>
    </row>
    <row r="3029" spans="1:34" x14ac:dyDescent="0.25">
      <c r="A3029">
        <v>541</v>
      </c>
      <c r="C3029" s="185"/>
      <c r="E3029" t="s">
        <v>386</v>
      </c>
      <c r="F3029" t="s">
        <v>13789</v>
      </c>
      <c r="G3029" t="s">
        <v>1197</v>
      </c>
      <c r="H3029" t="s">
        <v>13790</v>
      </c>
      <c r="I3029">
        <v>17720</v>
      </c>
      <c r="J3029" t="s">
        <v>13789</v>
      </c>
      <c r="K3029" t="s">
        <v>13789</v>
      </c>
      <c r="L3029" t="s">
        <v>386</v>
      </c>
      <c r="M3029" t="s">
        <v>1193</v>
      </c>
      <c r="N3029">
        <v>17720</v>
      </c>
      <c r="O3029">
        <v>0</v>
      </c>
      <c r="Q3029" t="s">
        <v>13791</v>
      </c>
      <c r="R3029" t="s">
        <v>398</v>
      </c>
      <c r="T3029">
        <v>470</v>
      </c>
      <c r="V3029" t="s">
        <v>4468</v>
      </c>
      <c r="W3029" t="s">
        <v>4468</v>
      </c>
      <c r="X3029">
        <v>470</v>
      </c>
      <c r="Z3029" t="s">
        <v>13792</v>
      </c>
      <c r="AA3029" t="s">
        <v>387</v>
      </c>
      <c r="AB3029">
        <v>0</v>
      </c>
      <c r="AC3029">
        <v>255</v>
      </c>
      <c r="AD3029" t="s">
        <v>13793</v>
      </c>
      <c r="AE3029">
        <v>18</v>
      </c>
      <c r="AF3029" t="s">
        <v>1259</v>
      </c>
    </row>
    <row r="3030" spans="1:34" x14ac:dyDescent="0.25">
      <c r="A3030">
        <v>1</v>
      </c>
      <c r="C3030" s="185"/>
      <c r="E3030" t="s">
        <v>386</v>
      </c>
      <c r="F3030" t="s">
        <v>13794</v>
      </c>
      <c r="G3030" t="s">
        <v>1192</v>
      </c>
      <c r="I3030">
        <v>3086</v>
      </c>
      <c r="J3030" t="s">
        <v>13794</v>
      </c>
      <c r="K3030" t="s">
        <v>13794</v>
      </c>
      <c r="L3030" t="s">
        <v>386</v>
      </c>
      <c r="M3030" t="s">
        <v>1184</v>
      </c>
      <c r="N3030">
        <v>3086</v>
      </c>
      <c r="O3030">
        <v>0</v>
      </c>
      <c r="Q3030" t="s">
        <v>13795</v>
      </c>
      <c r="R3030" t="s">
        <v>1208</v>
      </c>
      <c r="T3030">
        <v>2</v>
      </c>
      <c r="V3030" t="s">
        <v>1205</v>
      </c>
      <c r="Z3030" t="s">
        <v>865</v>
      </c>
      <c r="AA3030" t="s">
        <v>387</v>
      </c>
      <c r="AB3030">
        <v>0</v>
      </c>
      <c r="AC3030">
        <v>40</v>
      </c>
      <c r="AD3030" t="s">
        <v>3067</v>
      </c>
      <c r="AE3030">
        <v>26</v>
      </c>
      <c r="AF3030" t="s">
        <v>2075</v>
      </c>
      <c r="AG3030" t="s">
        <v>13796</v>
      </c>
      <c r="AH3030" t="s">
        <v>13797</v>
      </c>
    </row>
    <row r="3031" spans="1:34" x14ac:dyDescent="0.25">
      <c r="A3031">
        <v>156</v>
      </c>
      <c r="C3031" s="185"/>
      <c r="E3031" t="s">
        <v>386</v>
      </c>
      <c r="F3031" t="s">
        <v>13798</v>
      </c>
      <c r="G3031" t="s">
        <v>1197</v>
      </c>
      <c r="H3031" t="s">
        <v>13799</v>
      </c>
      <c r="I3031">
        <v>12615</v>
      </c>
      <c r="J3031" t="s">
        <v>13798</v>
      </c>
      <c r="K3031" t="s">
        <v>13800</v>
      </c>
      <c r="L3031" t="s">
        <v>386</v>
      </c>
      <c r="M3031" t="s">
        <v>1193</v>
      </c>
      <c r="N3031">
        <v>12615</v>
      </c>
      <c r="O3031">
        <v>0</v>
      </c>
      <c r="Q3031" t="s">
        <v>13801</v>
      </c>
      <c r="R3031" t="s">
        <v>1208</v>
      </c>
      <c r="T3031">
        <v>340</v>
      </c>
      <c r="V3031" t="s">
        <v>1200</v>
      </c>
      <c r="W3031" t="s">
        <v>1200</v>
      </c>
      <c r="X3031">
        <v>340</v>
      </c>
      <c r="Z3031" t="s">
        <v>13802</v>
      </c>
      <c r="AA3031" t="s">
        <v>387</v>
      </c>
      <c r="AB3031">
        <v>0</v>
      </c>
      <c r="AC3031">
        <v>4713</v>
      </c>
      <c r="AD3031" t="s">
        <v>13803</v>
      </c>
      <c r="AE3031">
        <v>2173</v>
      </c>
      <c r="AF3031" t="s">
        <v>13804</v>
      </c>
      <c r="AG3031" t="s">
        <v>2018</v>
      </c>
      <c r="AH3031" t="s">
        <v>13805</v>
      </c>
    </row>
    <row r="3032" spans="1:34" x14ac:dyDescent="0.25">
      <c r="A3032">
        <v>721</v>
      </c>
      <c r="C3032" s="185"/>
      <c r="E3032" t="s">
        <v>386</v>
      </c>
      <c r="F3032" t="s">
        <v>13806</v>
      </c>
      <c r="G3032" t="s">
        <v>1197</v>
      </c>
      <c r="H3032" t="s">
        <v>13807</v>
      </c>
      <c r="I3032">
        <v>10293</v>
      </c>
      <c r="J3032" t="s">
        <v>13806</v>
      </c>
      <c r="K3032" t="s">
        <v>13806</v>
      </c>
      <c r="L3032" t="s">
        <v>386</v>
      </c>
      <c r="M3032" t="s">
        <v>1193</v>
      </c>
      <c r="N3032">
        <v>10293</v>
      </c>
      <c r="O3032">
        <v>0</v>
      </c>
      <c r="Q3032" t="s">
        <v>13808</v>
      </c>
      <c r="T3032">
        <v>52</v>
      </c>
      <c r="V3032" t="s">
        <v>2024</v>
      </c>
      <c r="W3032" t="s">
        <v>1216</v>
      </c>
      <c r="X3032">
        <v>260</v>
      </c>
      <c r="Z3032" t="s">
        <v>13809</v>
      </c>
      <c r="AA3032" t="s">
        <v>387</v>
      </c>
      <c r="AB3032">
        <v>0</v>
      </c>
      <c r="AC3032">
        <v>3999</v>
      </c>
      <c r="AD3032" t="s">
        <v>13810</v>
      </c>
      <c r="AE3032">
        <v>18</v>
      </c>
      <c r="AF3032" t="s">
        <v>1259</v>
      </c>
      <c r="AG3032" t="s">
        <v>2044</v>
      </c>
    </row>
    <row r="3033" spans="1:34" x14ac:dyDescent="0.25">
      <c r="A3033">
        <v>1358</v>
      </c>
      <c r="B3033" t="s">
        <v>1313</v>
      </c>
      <c r="C3033" s="185"/>
      <c r="D3033" t="s">
        <v>24</v>
      </c>
      <c r="E3033" t="s">
        <v>386</v>
      </c>
      <c r="F3033" t="s">
        <v>514</v>
      </c>
      <c r="G3033" t="s">
        <v>1197</v>
      </c>
      <c r="H3033" t="s">
        <v>13811</v>
      </c>
      <c r="I3033">
        <v>2133</v>
      </c>
      <c r="J3033" t="s">
        <v>260</v>
      </c>
      <c r="K3033" t="s">
        <v>13812</v>
      </c>
      <c r="L3033" t="s">
        <v>386</v>
      </c>
      <c r="M3033" t="s">
        <v>1193</v>
      </c>
      <c r="N3033">
        <v>16143</v>
      </c>
      <c r="O3033">
        <v>55</v>
      </c>
      <c r="Q3033" t="s">
        <v>13813</v>
      </c>
      <c r="R3033" t="s">
        <v>398</v>
      </c>
      <c r="S3033" t="s">
        <v>1909</v>
      </c>
      <c r="T3033">
        <v>340</v>
      </c>
      <c r="U3033">
        <v>0</v>
      </c>
      <c r="V3033" t="s">
        <v>1200</v>
      </c>
      <c r="W3033" t="s">
        <v>5678</v>
      </c>
      <c r="X3033">
        <v>449</v>
      </c>
      <c r="Y3033" t="s">
        <v>1317</v>
      </c>
      <c r="Z3033" t="s">
        <v>973</v>
      </c>
      <c r="AA3033" t="s">
        <v>387</v>
      </c>
      <c r="AB3033">
        <v>47000</v>
      </c>
      <c r="AC3033">
        <v>543</v>
      </c>
      <c r="AD3033" t="s">
        <v>11822</v>
      </c>
      <c r="AE3033">
        <v>2479</v>
      </c>
      <c r="AF3033" t="s">
        <v>13778</v>
      </c>
      <c r="AG3033" t="s">
        <v>1244</v>
      </c>
      <c r="AH3033" t="s">
        <v>9297</v>
      </c>
    </row>
    <row r="3034" spans="1:34" x14ac:dyDescent="0.25">
      <c r="A3034">
        <v>8</v>
      </c>
      <c r="C3034" s="185"/>
      <c r="E3034" t="s">
        <v>386</v>
      </c>
      <c r="F3034" t="s">
        <v>13814</v>
      </c>
      <c r="G3034" t="s">
        <v>1197</v>
      </c>
      <c r="H3034" t="s">
        <v>13815</v>
      </c>
      <c r="I3034">
        <v>17120</v>
      </c>
      <c r="J3034" t="s">
        <v>13814</v>
      </c>
      <c r="K3034" t="s">
        <v>13814</v>
      </c>
      <c r="L3034" t="s">
        <v>386</v>
      </c>
      <c r="M3034" t="s">
        <v>1193</v>
      </c>
      <c r="N3034">
        <v>17120</v>
      </c>
      <c r="O3034">
        <v>0</v>
      </c>
      <c r="Q3034" t="s">
        <v>13816</v>
      </c>
      <c r="R3034" t="s">
        <v>1223</v>
      </c>
      <c r="T3034">
        <v>560</v>
      </c>
      <c r="V3034" t="s">
        <v>2602</v>
      </c>
      <c r="W3034" t="s">
        <v>1530</v>
      </c>
      <c r="X3034">
        <v>103</v>
      </c>
      <c r="Z3034" t="s">
        <v>13817</v>
      </c>
      <c r="AA3034" t="s">
        <v>387</v>
      </c>
      <c r="AB3034">
        <v>0</v>
      </c>
      <c r="AC3034">
        <v>3857</v>
      </c>
      <c r="AD3034" t="s">
        <v>13818</v>
      </c>
      <c r="AE3034">
        <v>2976</v>
      </c>
      <c r="AF3034" t="s">
        <v>13819</v>
      </c>
      <c r="AG3034" t="s">
        <v>5805</v>
      </c>
      <c r="AH3034" t="s">
        <v>13820</v>
      </c>
    </row>
    <row r="3035" spans="1:34" x14ac:dyDescent="0.25">
      <c r="A3035">
        <v>8</v>
      </c>
      <c r="C3035" s="185"/>
      <c r="E3035" t="s">
        <v>386</v>
      </c>
      <c r="F3035" t="s">
        <v>13821</v>
      </c>
      <c r="G3035" t="s">
        <v>1197</v>
      </c>
      <c r="H3035" t="s">
        <v>13822</v>
      </c>
      <c r="I3035">
        <v>5469</v>
      </c>
      <c r="J3035" t="s">
        <v>13821</v>
      </c>
      <c r="K3035" t="s">
        <v>13823</v>
      </c>
      <c r="L3035" t="s">
        <v>386</v>
      </c>
      <c r="M3035" t="s">
        <v>1193</v>
      </c>
      <c r="N3035">
        <v>5469</v>
      </c>
      <c r="O3035">
        <v>0</v>
      </c>
      <c r="Q3035" t="s">
        <v>13824</v>
      </c>
      <c r="T3035">
        <v>52</v>
      </c>
      <c r="V3035" t="s">
        <v>2024</v>
      </c>
      <c r="Z3035" t="s">
        <v>13817</v>
      </c>
      <c r="AA3035" t="s">
        <v>387</v>
      </c>
      <c r="AB3035">
        <v>0</v>
      </c>
      <c r="AC3035">
        <v>2615</v>
      </c>
      <c r="AD3035" t="s">
        <v>13825</v>
      </c>
      <c r="AE3035">
        <v>1255</v>
      </c>
      <c r="AF3035" t="s">
        <v>13826</v>
      </c>
      <c r="AG3035" t="s">
        <v>13827</v>
      </c>
      <c r="AH3035" t="s">
        <v>13828</v>
      </c>
    </row>
    <row r="3036" spans="1:34" x14ac:dyDescent="0.25">
      <c r="A3036">
        <v>58</v>
      </c>
      <c r="B3036" t="s">
        <v>1313</v>
      </c>
      <c r="C3036" s="185"/>
      <c r="D3036" t="s">
        <v>24</v>
      </c>
      <c r="E3036" t="s">
        <v>386</v>
      </c>
      <c r="F3036" t="s">
        <v>657</v>
      </c>
      <c r="G3036" t="s">
        <v>1197</v>
      </c>
      <c r="H3036" t="s">
        <v>12027</v>
      </c>
      <c r="I3036">
        <v>560</v>
      </c>
      <c r="J3036" t="s">
        <v>13829</v>
      </c>
      <c r="K3036" t="s">
        <v>13830</v>
      </c>
      <c r="L3036" t="s">
        <v>386</v>
      </c>
      <c r="M3036" t="s">
        <v>1193</v>
      </c>
      <c r="N3036">
        <v>15331</v>
      </c>
      <c r="O3036">
        <v>10</v>
      </c>
      <c r="Q3036" t="s">
        <v>13831</v>
      </c>
      <c r="R3036" t="s">
        <v>398</v>
      </c>
      <c r="S3036" t="s">
        <v>1315</v>
      </c>
      <c r="T3036">
        <v>272</v>
      </c>
      <c r="U3036">
        <v>0</v>
      </c>
      <c r="V3036" t="s">
        <v>2107</v>
      </c>
      <c r="W3036" t="s">
        <v>1915</v>
      </c>
      <c r="X3036">
        <v>185</v>
      </c>
      <c r="Y3036" t="s">
        <v>1317</v>
      </c>
      <c r="Z3036" t="s">
        <v>12030</v>
      </c>
      <c r="AA3036" t="s">
        <v>387</v>
      </c>
      <c r="AB3036">
        <v>6000</v>
      </c>
      <c r="AC3036">
        <v>360</v>
      </c>
      <c r="AD3036" t="s">
        <v>12031</v>
      </c>
      <c r="AE3036">
        <v>99</v>
      </c>
      <c r="AF3036" t="s">
        <v>12032</v>
      </c>
      <c r="AG3036" t="s">
        <v>13832</v>
      </c>
      <c r="AH3036" t="s">
        <v>13833</v>
      </c>
    </row>
    <row r="3037" spans="1:34" x14ac:dyDescent="0.25">
      <c r="A3037">
        <v>2153</v>
      </c>
      <c r="C3037" s="185"/>
      <c r="E3037" t="s">
        <v>386</v>
      </c>
      <c r="F3037" t="s">
        <v>13834</v>
      </c>
      <c r="G3037" t="s">
        <v>1238</v>
      </c>
      <c r="H3037" t="s">
        <v>13835</v>
      </c>
      <c r="I3037">
        <v>15745</v>
      </c>
      <c r="J3037" t="s">
        <v>13834</v>
      </c>
      <c r="K3037" t="s">
        <v>13834</v>
      </c>
      <c r="L3037" t="s">
        <v>386</v>
      </c>
      <c r="M3037" t="s">
        <v>1193</v>
      </c>
      <c r="N3037">
        <v>15745</v>
      </c>
      <c r="O3037">
        <v>0</v>
      </c>
      <c r="Q3037" t="s">
        <v>13836</v>
      </c>
      <c r="T3037">
        <v>340</v>
      </c>
      <c r="V3037" t="s">
        <v>1200</v>
      </c>
      <c r="W3037" t="s">
        <v>1216</v>
      </c>
      <c r="X3037">
        <v>260</v>
      </c>
      <c r="Z3037" t="s">
        <v>13837</v>
      </c>
      <c r="AA3037" t="s">
        <v>387</v>
      </c>
      <c r="AB3037">
        <v>0</v>
      </c>
      <c r="AC3037">
        <v>5932</v>
      </c>
      <c r="AD3037" t="s">
        <v>13838</v>
      </c>
      <c r="AE3037">
        <v>2731</v>
      </c>
      <c r="AF3037" t="s">
        <v>13839</v>
      </c>
      <c r="AG3037" t="s">
        <v>1244</v>
      </c>
      <c r="AH3037" t="s">
        <v>13840</v>
      </c>
    </row>
    <row r="3038" spans="1:34" x14ac:dyDescent="0.25">
      <c r="A3038">
        <v>1587</v>
      </c>
      <c r="C3038" s="185"/>
      <c r="E3038" t="s">
        <v>386</v>
      </c>
      <c r="F3038" t="s">
        <v>13841</v>
      </c>
      <c r="G3038" t="s">
        <v>1197</v>
      </c>
      <c r="H3038" t="s">
        <v>13842</v>
      </c>
      <c r="I3038">
        <v>17664</v>
      </c>
      <c r="J3038" t="s">
        <v>13841</v>
      </c>
      <c r="K3038" t="s">
        <v>13841</v>
      </c>
      <c r="L3038" t="s">
        <v>386</v>
      </c>
      <c r="M3038" t="s">
        <v>1193</v>
      </c>
      <c r="N3038">
        <v>17664</v>
      </c>
      <c r="O3038">
        <v>0</v>
      </c>
      <c r="Q3038" t="s">
        <v>13843</v>
      </c>
      <c r="R3038" t="s">
        <v>1208</v>
      </c>
      <c r="T3038">
        <v>260</v>
      </c>
      <c r="V3038" t="s">
        <v>1216</v>
      </c>
      <c r="W3038" t="s">
        <v>1216</v>
      </c>
      <c r="X3038">
        <v>260</v>
      </c>
      <c r="Z3038" t="s">
        <v>7177</v>
      </c>
      <c r="AA3038" t="s">
        <v>387</v>
      </c>
      <c r="AB3038">
        <v>0</v>
      </c>
      <c r="AC3038">
        <v>6606</v>
      </c>
      <c r="AD3038" t="s">
        <v>13844</v>
      </c>
      <c r="AE3038">
        <v>3053</v>
      </c>
      <c r="AF3038" t="s">
        <v>13845</v>
      </c>
      <c r="AG3038" t="s">
        <v>6375</v>
      </c>
      <c r="AH3038" t="s">
        <v>13846</v>
      </c>
    </row>
    <row r="3039" spans="1:34" x14ac:dyDescent="0.25">
      <c r="A3039">
        <v>63</v>
      </c>
      <c r="C3039" s="185"/>
      <c r="E3039" t="s">
        <v>386</v>
      </c>
      <c r="F3039" t="s">
        <v>13847</v>
      </c>
      <c r="G3039" t="s">
        <v>1197</v>
      </c>
      <c r="H3039" t="s">
        <v>13848</v>
      </c>
      <c r="I3039">
        <v>5360</v>
      </c>
      <c r="J3039" t="s">
        <v>13847</v>
      </c>
      <c r="K3039" t="s">
        <v>13847</v>
      </c>
      <c r="L3039" t="s">
        <v>386</v>
      </c>
      <c r="M3039" t="s">
        <v>1193</v>
      </c>
      <c r="N3039">
        <v>5360</v>
      </c>
      <c r="O3039">
        <v>0</v>
      </c>
      <c r="Q3039" t="s">
        <v>13849</v>
      </c>
      <c r="T3039">
        <v>103</v>
      </c>
      <c r="V3039" t="s">
        <v>1530</v>
      </c>
      <c r="Z3039" t="s">
        <v>3649</v>
      </c>
      <c r="AA3039" t="s">
        <v>387</v>
      </c>
      <c r="AB3039">
        <v>0</v>
      </c>
      <c r="AC3039">
        <v>2571</v>
      </c>
      <c r="AD3039" t="s">
        <v>13850</v>
      </c>
      <c r="AE3039">
        <v>1238</v>
      </c>
      <c r="AF3039" t="s">
        <v>7127</v>
      </c>
      <c r="AG3039" t="s">
        <v>3599</v>
      </c>
    </row>
    <row r="3040" spans="1:34" x14ac:dyDescent="0.25">
      <c r="A3040">
        <v>180</v>
      </c>
      <c r="B3040" t="s">
        <v>1313</v>
      </c>
      <c r="C3040" s="185"/>
      <c r="E3040" t="s">
        <v>386</v>
      </c>
      <c r="F3040" t="s">
        <v>7335</v>
      </c>
      <c r="G3040" t="s">
        <v>1197</v>
      </c>
      <c r="H3040" t="s">
        <v>13851</v>
      </c>
      <c r="I3040">
        <v>825</v>
      </c>
      <c r="J3040" t="s">
        <v>7335</v>
      </c>
      <c r="K3040" t="s">
        <v>7335</v>
      </c>
      <c r="L3040" t="s">
        <v>386</v>
      </c>
      <c r="M3040" t="s">
        <v>1193</v>
      </c>
      <c r="N3040">
        <v>824</v>
      </c>
      <c r="O3040">
        <v>65</v>
      </c>
      <c r="Q3040" t="s">
        <v>13852</v>
      </c>
      <c r="R3040" t="s">
        <v>398</v>
      </c>
      <c r="S3040" t="s">
        <v>1315</v>
      </c>
      <c r="T3040">
        <v>220</v>
      </c>
      <c r="U3040">
        <v>0</v>
      </c>
      <c r="V3040" t="s">
        <v>1194</v>
      </c>
      <c r="W3040" t="s">
        <v>1186</v>
      </c>
      <c r="X3040">
        <v>0</v>
      </c>
      <c r="Y3040" t="s">
        <v>1317</v>
      </c>
      <c r="Z3040" t="s">
        <v>7485</v>
      </c>
      <c r="AA3040" t="s">
        <v>387</v>
      </c>
      <c r="AB3040">
        <v>57000</v>
      </c>
      <c r="AC3040">
        <v>717</v>
      </c>
      <c r="AD3040" t="s">
        <v>13853</v>
      </c>
      <c r="AE3040">
        <v>348</v>
      </c>
      <c r="AF3040" t="s">
        <v>13854</v>
      </c>
      <c r="AG3040" t="s">
        <v>4064</v>
      </c>
      <c r="AH3040" t="s">
        <v>13855</v>
      </c>
    </row>
    <row r="3041" spans="1:34" x14ac:dyDescent="0.25">
      <c r="A3041">
        <v>1502</v>
      </c>
      <c r="C3041" s="185"/>
      <c r="E3041" t="s">
        <v>386</v>
      </c>
      <c r="F3041" t="s">
        <v>13856</v>
      </c>
      <c r="G3041" t="s">
        <v>1197</v>
      </c>
      <c r="H3041" t="s">
        <v>13857</v>
      </c>
      <c r="I3041">
        <v>2892</v>
      </c>
      <c r="J3041" t="s">
        <v>13856</v>
      </c>
      <c r="K3041" t="s">
        <v>13858</v>
      </c>
      <c r="L3041" t="s">
        <v>386</v>
      </c>
      <c r="M3041" t="s">
        <v>1193</v>
      </c>
      <c r="N3041">
        <v>2892</v>
      </c>
      <c r="O3041">
        <v>0</v>
      </c>
      <c r="Q3041" t="s">
        <v>13859</v>
      </c>
      <c r="T3041">
        <v>52</v>
      </c>
      <c r="V3041" t="s">
        <v>2024</v>
      </c>
      <c r="Z3041" t="s">
        <v>13860</v>
      </c>
      <c r="AA3041" t="s">
        <v>387</v>
      </c>
      <c r="AB3041">
        <v>0</v>
      </c>
      <c r="AC3041">
        <v>1942</v>
      </c>
      <c r="AD3041" t="s">
        <v>13861</v>
      </c>
      <c r="AE3041">
        <v>481</v>
      </c>
      <c r="AF3041" t="s">
        <v>3443</v>
      </c>
      <c r="AG3041" t="s">
        <v>1244</v>
      </c>
    </row>
    <row r="3042" spans="1:34" x14ac:dyDescent="0.25">
      <c r="A3042">
        <v>133</v>
      </c>
      <c r="B3042" t="s">
        <v>1313</v>
      </c>
      <c r="C3042" s="185"/>
      <c r="D3042" t="s">
        <v>707</v>
      </c>
      <c r="E3042" t="s">
        <v>386</v>
      </c>
      <c r="F3042" t="s">
        <v>357</v>
      </c>
      <c r="G3042" t="s">
        <v>4184</v>
      </c>
      <c r="H3042" t="s">
        <v>13862</v>
      </c>
      <c r="I3042">
        <v>712</v>
      </c>
      <c r="J3042" t="s">
        <v>13863</v>
      </c>
      <c r="K3042" t="s">
        <v>7983</v>
      </c>
      <c r="L3042" t="s">
        <v>386</v>
      </c>
      <c r="M3042" t="s">
        <v>1193</v>
      </c>
      <c r="N3042">
        <v>15324</v>
      </c>
      <c r="O3042">
        <v>0</v>
      </c>
      <c r="Q3042" t="s">
        <v>13864</v>
      </c>
      <c r="S3042" t="s">
        <v>1909</v>
      </c>
      <c r="T3042">
        <v>272</v>
      </c>
      <c r="U3042">
        <v>0</v>
      </c>
      <c r="V3042" t="s">
        <v>2107</v>
      </c>
      <c r="W3042" t="s">
        <v>2015</v>
      </c>
      <c r="X3042">
        <v>35</v>
      </c>
      <c r="Y3042" t="s">
        <v>1317</v>
      </c>
      <c r="Z3042" t="s">
        <v>3195</v>
      </c>
      <c r="AA3042" t="s">
        <v>387</v>
      </c>
      <c r="AB3042">
        <v>0</v>
      </c>
      <c r="AC3042">
        <v>643</v>
      </c>
      <c r="AD3042" t="s">
        <v>13865</v>
      </c>
      <c r="AE3042">
        <v>299</v>
      </c>
      <c r="AF3042" t="s">
        <v>13866</v>
      </c>
      <c r="AG3042" t="s">
        <v>5732</v>
      </c>
      <c r="AH3042" t="s">
        <v>13867</v>
      </c>
    </row>
    <row r="3043" spans="1:34" x14ac:dyDescent="0.25">
      <c r="A3043">
        <v>61</v>
      </c>
      <c r="C3043" s="185"/>
      <c r="D3043" t="s">
        <v>24</v>
      </c>
      <c r="E3043" t="s">
        <v>386</v>
      </c>
      <c r="F3043" t="s">
        <v>132</v>
      </c>
      <c r="G3043" t="s">
        <v>1197</v>
      </c>
      <c r="H3043" t="s">
        <v>13868</v>
      </c>
      <c r="I3043">
        <v>7321</v>
      </c>
      <c r="J3043" t="s">
        <v>132</v>
      </c>
      <c r="K3043" t="s">
        <v>132</v>
      </c>
      <c r="L3043" t="s">
        <v>386</v>
      </c>
      <c r="M3043" t="s">
        <v>1193</v>
      </c>
      <c r="N3043">
        <v>7321</v>
      </c>
      <c r="O3043">
        <v>0</v>
      </c>
      <c r="Q3043" t="s">
        <v>13869</v>
      </c>
      <c r="R3043" t="s">
        <v>1208</v>
      </c>
      <c r="T3043">
        <v>260</v>
      </c>
      <c r="V3043" t="s">
        <v>1216</v>
      </c>
      <c r="Z3043" t="s">
        <v>4548</v>
      </c>
      <c r="AA3043" t="s">
        <v>387</v>
      </c>
      <c r="AB3043">
        <v>0</v>
      </c>
      <c r="AC3043">
        <v>3152</v>
      </c>
      <c r="AD3043" t="s">
        <v>13870</v>
      </c>
      <c r="AE3043">
        <v>1487</v>
      </c>
      <c r="AF3043" t="s">
        <v>13871</v>
      </c>
      <c r="AG3043" t="s">
        <v>2451</v>
      </c>
      <c r="AH3043" t="s">
        <v>13872</v>
      </c>
    </row>
    <row r="3044" spans="1:34" x14ac:dyDescent="0.25">
      <c r="A3044">
        <v>22</v>
      </c>
      <c r="C3044" s="185"/>
      <c r="E3044" t="s">
        <v>386</v>
      </c>
      <c r="F3044" t="s">
        <v>13873</v>
      </c>
      <c r="G3044" t="s">
        <v>1197</v>
      </c>
      <c r="H3044" t="s">
        <v>13874</v>
      </c>
      <c r="I3044">
        <v>10388</v>
      </c>
      <c r="J3044" t="s">
        <v>13873</v>
      </c>
      <c r="K3044" t="s">
        <v>13875</v>
      </c>
      <c r="L3044" t="s">
        <v>386</v>
      </c>
      <c r="M3044" t="s">
        <v>1193</v>
      </c>
      <c r="N3044">
        <v>10388</v>
      </c>
      <c r="O3044">
        <v>0</v>
      </c>
      <c r="Q3044" t="s">
        <v>13876</v>
      </c>
      <c r="R3044" t="s">
        <v>1208</v>
      </c>
      <c r="T3044">
        <v>146</v>
      </c>
      <c r="V3044" t="s">
        <v>2727</v>
      </c>
      <c r="Z3044" t="s">
        <v>12897</v>
      </c>
      <c r="AA3044" t="s">
        <v>387</v>
      </c>
      <c r="AB3044">
        <v>0</v>
      </c>
      <c r="AC3044">
        <v>2844</v>
      </c>
      <c r="AD3044" t="s">
        <v>13877</v>
      </c>
      <c r="AE3044">
        <v>775</v>
      </c>
      <c r="AF3044" t="s">
        <v>3495</v>
      </c>
      <c r="AG3044" t="s">
        <v>13878</v>
      </c>
    </row>
    <row r="3045" spans="1:34" x14ac:dyDescent="0.25">
      <c r="A3045">
        <v>142</v>
      </c>
      <c r="C3045" s="185"/>
      <c r="E3045" t="s">
        <v>386</v>
      </c>
      <c r="F3045" t="s">
        <v>13879</v>
      </c>
      <c r="G3045" t="s">
        <v>1197</v>
      </c>
      <c r="H3045" t="s">
        <v>13880</v>
      </c>
      <c r="I3045">
        <v>16052</v>
      </c>
      <c r="J3045" t="s">
        <v>13879</v>
      </c>
      <c r="K3045" t="s">
        <v>13881</v>
      </c>
      <c r="L3045" t="s">
        <v>386</v>
      </c>
      <c r="M3045" t="s">
        <v>1193</v>
      </c>
      <c r="N3045">
        <v>16052</v>
      </c>
      <c r="O3045">
        <v>0</v>
      </c>
      <c r="Q3045" t="s">
        <v>13882</v>
      </c>
      <c r="T3045">
        <v>52</v>
      </c>
      <c r="V3045" t="s">
        <v>2024</v>
      </c>
      <c r="W3045" t="s">
        <v>1964</v>
      </c>
      <c r="X3045">
        <v>473</v>
      </c>
      <c r="Z3045" t="s">
        <v>3967</v>
      </c>
      <c r="AA3045" t="s">
        <v>387</v>
      </c>
      <c r="AB3045">
        <v>0</v>
      </c>
      <c r="AC3045">
        <v>5259</v>
      </c>
      <c r="AD3045" t="s">
        <v>13737</v>
      </c>
      <c r="AE3045">
        <v>1273</v>
      </c>
      <c r="AF3045" t="s">
        <v>13883</v>
      </c>
      <c r="AG3045" t="s">
        <v>13884</v>
      </c>
      <c r="AH3045" t="s">
        <v>13885</v>
      </c>
    </row>
    <row r="3046" spans="1:34" x14ac:dyDescent="0.25">
      <c r="A3046">
        <v>142</v>
      </c>
      <c r="C3046" s="185"/>
      <c r="E3046" t="s">
        <v>386</v>
      </c>
      <c r="F3046" t="s">
        <v>13886</v>
      </c>
      <c r="G3046" t="s">
        <v>1197</v>
      </c>
      <c r="H3046" t="s">
        <v>13887</v>
      </c>
      <c r="I3046">
        <v>5568</v>
      </c>
      <c r="J3046" t="s">
        <v>13886</v>
      </c>
      <c r="K3046" t="s">
        <v>13886</v>
      </c>
      <c r="L3046" t="s">
        <v>386</v>
      </c>
      <c r="M3046" t="s">
        <v>1193</v>
      </c>
      <c r="N3046">
        <v>5568</v>
      </c>
      <c r="O3046">
        <v>0</v>
      </c>
      <c r="Q3046" t="s">
        <v>13888</v>
      </c>
      <c r="T3046">
        <v>39</v>
      </c>
      <c r="V3046" t="s">
        <v>2144</v>
      </c>
      <c r="Z3046" t="s">
        <v>3967</v>
      </c>
      <c r="AA3046" t="s">
        <v>387</v>
      </c>
      <c r="AB3046">
        <v>0</v>
      </c>
      <c r="AC3046">
        <v>2639</v>
      </c>
      <c r="AD3046" t="s">
        <v>13889</v>
      </c>
      <c r="AE3046">
        <v>1273</v>
      </c>
      <c r="AF3046" t="s">
        <v>13883</v>
      </c>
      <c r="AG3046" t="s">
        <v>9824</v>
      </c>
      <c r="AH3046" t="s">
        <v>13890</v>
      </c>
    </row>
    <row r="3047" spans="1:34" x14ac:dyDescent="0.25">
      <c r="A3047">
        <v>63</v>
      </c>
      <c r="B3047" t="s">
        <v>1313</v>
      </c>
      <c r="C3047" s="185"/>
      <c r="D3047" t="s">
        <v>24</v>
      </c>
      <c r="E3047" t="s">
        <v>386</v>
      </c>
      <c r="F3047" t="s">
        <v>10950</v>
      </c>
      <c r="G3047" t="s">
        <v>1197</v>
      </c>
      <c r="H3047" t="s">
        <v>13891</v>
      </c>
      <c r="I3047">
        <v>1000</v>
      </c>
      <c r="J3047" t="s">
        <v>10950</v>
      </c>
      <c r="K3047" t="s">
        <v>4618</v>
      </c>
      <c r="L3047" t="s">
        <v>386</v>
      </c>
      <c r="M3047" t="s">
        <v>1193</v>
      </c>
      <c r="N3047">
        <v>1000</v>
      </c>
      <c r="O3047">
        <v>55</v>
      </c>
      <c r="Q3047" t="s">
        <v>13892</v>
      </c>
      <c r="R3047" t="s">
        <v>398</v>
      </c>
      <c r="S3047" t="s">
        <v>1315</v>
      </c>
      <c r="T3047">
        <v>220</v>
      </c>
      <c r="U3047">
        <v>0</v>
      </c>
      <c r="V3047" t="s">
        <v>1194</v>
      </c>
      <c r="W3047" t="s">
        <v>1194</v>
      </c>
      <c r="X3047">
        <v>220</v>
      </c>
      <c r="Y3047" t="s">
        <v>1317</v>
      </c>
      <c r="Z3047" t="s">
        <v>3649</v>
      </c>
      <c r="AA3047" t="s">
        <v>387</v>
      </c>
      <c r="AB3047">
        <v>47000</v>
      </c>
      <c r="AC3047">
        <v>830</v>
      </c>
      <c r="AD3047" t="s">
        <v>13893</v>
      </c>
      <c r="AE3047">
        <v>385</v>
      </c>
      <c r="AF3047" t="s">
        <v>13894</v>
      </c>
      <c r="AG3047" t="s">
        <v>13895</v>
      </c>
    </row>
    <row r="3048" spans="1:34" x14ac:dyDescent="0.25">
      <c r="A3048">
        <v>1470</v>
      </c>
      <c r="C3048" s="185"/>
      <c r="E3048" t="s">
        <v>386</v>
      </c>
      <c r="F3048" t="s">
        <v>13896</v>
      </c>
      <c r="G3048" t="s">
        <v>1197</v>
      </c>
      <c r="H3048" t="s">
        <v>13897</v>
      </c>
      <c r="I3048">
        <v>13357</v>
      </c>
      <c r="J3048" t="s">
        <v>13896</v>
      </c>
      <c r="K3048" t="s">
        <v>13898</v>
      </c>
      <c r="L3048" t="s">
        <v>386</v>
      </c>
      <c r="M3048" t="s">
        <v>1193</v>
      </c>
      <c r="N3048">
        <v>13357</v>
      </c>
      <c r="O3048">
        <v>0</v>
      </c>
      <c r="Q3048" t="s">
        <v>13899</v>
      </c>
      <c r="T3048">
        <v>260</v>
      </c>
      <c r="V3048" t="s">
        <v>1216</v>
      </c>
      <c r="W3048" t="s">
        <v>1216</v>
      </c>
      <c r="X3048">
        <v>260</v>
      </c>
      <c r="Z3048" t="s">
        <v>13900</v>
      </c>
      <c r="AA3048" t="s">
        <v>387</v>
      </c>
      <c r="AB3048">
        <v>0</v>
      </c>
      <c r="AC3048">
        <v>2835</v>
      </c>
      <c r="AD3048" t="s">
        <v>13901</v>
      </c>
      <c r="AE3048">
        <v>63</v>
      </c>
      <c r="AF3048" t="s">
        <v>3896</v>
      </c>
      <c r="AG3048" t="s">
        <v>2982</v>
      </c>
      <c r="AH3048" t="s">
        <v>13902</v>
      </c>
    </row>
    <row r="3049" spans="1:34" x14ac:dyDescent="0.25">
      <c r="A3049">
        <v>1288</v>
      </c>
      <c r="C3049" s="185"/>
      <c r="E3049" t="s">
        <v>386</v>
      </c>
      <c r="F3049" t="s">
        <v>13903</v>
      </c>
      <c r="G3049" t="s">
        <v>1197</v>
      </c>
      <c r="H3049" t="s">
        <v>13904</v>
      </c>
      <c r="I3049">
        <v>16252</v>
      </c>
      <c r="J3049" t="s">
        <v>13903</v>
      </c>
      <c r="K3049" t="s">
        <v>13903</v>
      </c>
      <c r="L3049" t="s">
        <v>386</v>
      </c>
      <c r="M3049" t="s">
        <v>1193</v>
      </c>
      <c r="N3049">
        <v>16252</v>
      </c>
      <c r="O3049">
        <v>0</v>
      </c>
      <c r="Q3049" t="s">
        <v>13905</v>
      </c>
      <c r="T3049">
        <v>52</v>
      </c>
      <c r="V3049" t="s">
        <v>2024</v>
      </c>
      <c r="W3049" t="s">
        <v>2246</v>
      </c>
      <c r="X3049">
        <v>496</v>
      </c>
      <c r="Z3049" t="s">
        <v>4495</v>
      </c>
      <c r="AA3049" t="s">
        <v>387</v>
      </c>
      <c r="AB3049">
        <v>0</v>
      </c>
      <c r="AC3049">
        <v>6102</v>
      </c>
      <c r="AD3049" t="s">
        <v>13906</v>
      </c>
      <c r="AE3049">
        <v>2796</v>
      </c>
      <c r="AF3049" t="s">
        <v>13907</v>
      </c>
      <c r="AG3049" t="s">
        <v>7141</v>
      </c>
      <c r="AH3049" t="s">
        <v>13908</v>
      </c>
    </row>
    <row r="3050" spans="1:34" x14ac:dyDescent="0.25">
      <c r="A3050">
        <v>1453</v>
      </c>
      <c r="C3050" s="185"/>
      <c r="E3050" t="s">
        <v>386</v>
      </c>
      <c r="F3050" t="s">
        <v>13909</v>
      </c>
      <c r="I3050">
        <v>17599</v>
      </c>
      <c r="J3050" t="s">
        <v>13909</v>
      </c>
      <c r="K3050" t="s">
        <v>13909</v>
      </c>
      <c r="L3050" t="s">
        <v>386</v>
      </c>
      <c r="M3050" t="s">
        <v>1193</v>
      </c>
      <c r="N3050">
        <v>17599</v>
      </c>
      <c r="O3050">
        <v>0</v>
      </c>
      <c r="Q3050" t="s">
        <v>13910</v>
      </c>
      <c r="R3050" t="s">
        <v>1208</v>
      </c>
      <c r="T3050">
        <v>259</v>
      </c>
      <c r="V3050" t="s">
        <v>1215</v>
      </c>
      <c r="W3050" t="s">
        <v>1265</v>
      </c>
      <c r="X3050">
        <v>152</v>
      </c>
      <c r="Z3050" t="s">
        <v>1195</v>
      </c>
      <c r="AA3050" t="s">
        <v>386</v>
      </c>
      <c r="AB3050">
        <v>0</v>
      </c>
      <c r="AC3050">
        <v>0</v>
      </c>
      <c r="AD3050" t="s">
        <v>1187</v>
      </c>
      <c r="AE3050">
        <v>0</v>
      </c>
      <c r="AF3050" t="s">
        <v>1188</v>
      </c>
    </row>
    <row r="3051" spans="1:34" x14ac:dyDescent="0.25">
      <c r="A3051">
        <v>261</v>
      </c>
      <c r="C3051" s="185"/>
      <c r="E3051" t="s">
        <v>386</v>
      </c>
      <c r="F3051" t="s">
        <v>13911</v>
      </c>
      <c r="G3051" t="s">
        <v>1197</v>
      </c>
      <c r="H3051" t="s">
        <v>13912</v>
      </c>
      <c r="I3051">
        <v>8435</v>
      </c>
      <c r="J3051" t="s">
        <v>13911</v>
      </c>
      <c r="K3051" t="s">
        <v>8032</v>
      </c>
      <c r="L3051" t="s">
        <v>386</v>
      </c>
      <c r="M3051" t="s">
        <v>1193</v>
      </c>
      <c r="N3051">
        <v>8435</v>
      </c>
      <c r="O3051">
        <v>0</v>
      </c>
      <c r="Q3051" t="s">
        <v>13913</v>
      </c>
      <c r="R3051" t="s">
        <v>1223</v>
      </c>
      <c r="T3051">
        <v>517</v>
      </c>
      <c r="V3051" t="s">
        <v>4167</v>
      </c>
      <c r="W3051" t="s">
        <v>1216</v>
      </c>
      <c r="X3051">
        <v>260</v>
      </c>
      <c r="Z3051" t="s">
        <v>13914</v>
      </c>
      <c r="AA3051" t="s">
        <v>387</v>
      </c>
      <c r="AB3051">
        <v>0</v>
      </c>
      <c r="AC3051">
        <v>3374</v>
      </c>
      <c r="AD3051" t="s">
        <v>13915</v>
      </c>
      <c r="AE3051">
        <v>481</v>
      </c>
      <c r="AF3051" t="s">
        <v>3443</v>
      </c>
      <c r="AG3051" t="s">
        <v>1244</v>
      </c>
    </row>
    <row r="3052" spans="1:34" x14ac:dyDescent="0.25">
      <c r="A3052">
        <v>144</v>
      </c>
      <c r="C3052" s="185"/>
      <c r="E3052" t="s">
        <v>386</v>
      </c>
      <c r="F3052" t="s">
        <v>13916</v>
      </c>
      <c r="G3052" t="s">
        <v>1197</v>
      </c>
      <c r="H3052" t="s">
        <v>13917</v>
      </c>
      <c r="I3052">
        <v>13228</v>
      </c>
      <c r="J3052" t="s">
        <v>13916</v>
      </c>
      <c r="K3052" t="s">
        <v>13918</v>
      </c>
      <c r="L3052" t="s">
        <v>386</v>
      </c>
      <c r="M3052" t="s">
        <v>1193</v>
      </c>
      <c r="N3052">
        <v>13228</v>
      </c>
      <c r="O3052">
        <v>0</v>
      </c>
      <c r="Q3052" t="s">
        <v>13919</v>
      </c>
      <c r="R3052" t="s">
        <v>398</v>
      </c>
      <c r="T3052">
        <v>571</v>
      </c>
      <c r="V3052" t="s">
        <v>2003</v>
      </c>
      <c r="W3052" t="s">
        <v>2073</v>
      </c>
      <c r="X3052">
        <v>372</v>
      </c>
      <c r="Z3052" t="s">
        <v>13920</v>
      </c>
      <c r="AA3052" t="s">
        <v>387</v>
      </c>
      <c r="AB3052">
        <v>0</v>
      </c>
      <c r="AC3052">
        <v>4953</v>
      </c>
      <c r="AD3052" t="s">
        <v>13921</v>
      </c>
      <c r="AE3052">
        <v>2286</v>
      </c>
      <c r="AF3052" t="s">
        <v>13922</v>
      </c>
      <c r="AG3052" t="s">
        <v>3356</v>
      </c>
      <c r="AH3052" t="s">
        <v>13923</v>
      </c>
    </row>
    <row r="3053" spans="1:34" x14ac:dyDescent="0.25">
      <c r="A3053">
        <v>1</v>
      </c>
      <c r="C3053" s="185"/>
      <c r="E3053" t="s">
        <v>386</v>
      </c>
      <c r="F3053" t="s">
        <v>13924</v>
      </c>
      <c r="G3053" t="s">
        <v>1192</v>
      </c>
      <c r="I3053">
        <v>2466</v>
      </c>
      <c r="J3053" t="s">
        <v>13924</v>
      </c>
      <c r="K3053" t="s">
        <v>13925</v>
      </c>
      <c r="L3053" t="s">
        <v>386</v>
      </c>
      <c r="M3053" t="s">
        <v>1184</v>
      </c>
      <c r="N3053">
        <v>2466</v>
      </c>
      <c r="O3053">
        <v>0</v>
      </c>
      <c r="Q3053" t="s">
        <v>13926</v>
      </c>
      <c r="R3053" t="s">
        <v>1223</v>
      </c>
      <c r="T3053">
        <v>74</v>
      </c>
      <c r="V3053" t="s">
        <v>1209</v>
      </c>
      <c r="Z3053" t="s">
        <v>865</v>
      </c>
      <c r="AA3053" t="s">
        <v>387</v>
      </c>
      <c r="AB3053">
        <v>0</v>
      </c>
      <c r="AC3053">
        <v>1783</v>
      </c>
      <c r="AD3053" t="s">
        <v>6555</v>
      </c>
      <c r="AE3053">
        <v>7</v>
      </c>
      <c r="AF3053" t="s">
        <v>5878</v>
      </c>
      <c r="AG3053" t="s">
        <v>6556</v>
      </c>
      <c r="AH3053" t="s">
        <v>13927</v>
      </c>
    </row>
    <row r="3054" spans="1:34" x14ac:dyDescent="0.25">
      <c r="A3054">
        <v>9</v>
      </c>
      <c r="C3054" s="185"/>
      <c r="E3054" t="s">
        <v>386</v>
      </c>
      <c r="F3054" t="s">
        <v>13928</v>
      </c>
      <c r="G3054" t="s">
        <v>4184</v>
      </c>
      <c r="H3054" t="s">
        <v>13929</v>
      </c>
      <c r="I3054">
        <v>5813</v>
      </c>
      <c r="J3054" t="s">
        <v>13928</v>
      </c>
      <c r="K3054" t="s">
        <v>13928</v>
      </c>
      <c r="L3054" t="s">
        <v>386</v>
      </c>
      <c r="M3054" t="s">
        <v>1193</v>
      </c>
      <c r="N3054">
        <v>5813</v>
      </c>
      <c r="O3054">
        <v>0</v>
      </c>
      <c r="Q3054" t="s">
        <v>13930</v>
      </c>
      <c r="R3054" t="s">
        <v>398</v>
      </c>
      <c r="T3054">
        <v>470</v>
      </c>
      <c r="V3054" t="s">
        <v>4468</v>
      </c>
      <c r="W3054" t="s">
        <v>4468</v>
      </c>
      <c r="X3054">
        <v>470</v>
      </c>
      <c r="Z3054" t="s">
        <v>864</v>
      </c>
      <c r="AA3054" t="s">
        <v>387</v>
      </c>
      <c r="AB3054">
        <v>0</v>
      </c>
      <c r="AC3054">
        <v>2737</v>
      </c>
      <c r="AD3054" t="s">
        <v>13931</v>
      </c>
      <c r="AE3054">
        <v>134</v>
      </c>
      <c r="AF3054" t="s">
        <v>13932</v>
      </c>
      <c r="AG3054" t="s">
        <v>2464</v>
      </c>
      <c r="AH3054" t="s">
        <v>13933</v>
      </c>
    </row>
    <row r="3055" spans="1:34" x14ac:dyDescent="0.25">
      <c r="A3055">
        <v>37</v>
      </c>
      <c r="B3055" t="s">
        <v>1313</v>
      </c>
      <c r="C3055" s="185"/>
      <c r="D3055" t="s">
        <v>24</v>
      </c>
      <c r="E3055" t="s">
        <v>386</v>
      </c>
      <c r="F3055" t="s">
        <v>13934</v>
      </c>
      <c r="G3055" t="s">
        <v>1197</v>
      </c>
      <c r="H3055" t="s">
        <v>13935</v>
      </c>
      <c r="I3055">
        <v>3070</v>
      </c>
      <c r="J3055" t="s">
        <v>13934</v>
      </c>
      <c r="K3055" t="s">
        <v>13934</v>
      </c>
      <c r="L3055" t="s">
        <v>386</v>
      </c>
      <c r="M3055" t="s">
        <v>1193</v>
      </c>
      <c r="N3055">
        <v>3070</v>
      </c>
      <c r="O3055">
        <v>55</v>
      </c>
      <c r="Q3055" t="s">
        <v>13936</v>
      </c>
      <c r="R3055" t="s">
        <v>398</v>
      </c>
      <c r="S3055" t="s">
        <v>1909</v>
      </c>
      <c r="T3055">
        <v>396</v>
      </c>
      <c r="U3055">
        <v>0</v>
      </c>
      <c r="V3055" t="s">
        <v>2186</v>
      </c>
      <c r="W3055" t="s">
        <v>1194</v>
      </c>
      <c r="X3055">
        <v>220</v>
      </c>
      <c r="Y3055" t="s">
        <v>1317</v>
      </c>
      <c r="Z3055" t="s">
        <v>1121</v>
      </c>
      <c r="AA3055" t="s">
        <v>387</v>
      </c>
      <c r="AB3055">
        <v>47000</v>
      </c>
      <c r="AC3055">
        <v>2052</v>
      </c>
      <c r="AD3055" t="s">
        <v>7942</v>
      </c>
      <c r="AE3055">
        <v>985</v>
      </c>
      <c r="AF3055" t="s">
        <v>7943</v>
      </c>
      <c r="AG3055" t="s">
        <v>3466</v>
      </c>
      <c r="AH3055" t="s">
        <v>13937</v>
      </c>
    </row>
    <row r="3056" spans="1:34" x14ac:dyDescent="0.25">
      <c r="A3056">
        <v>183</v>
      </c>
      <c r="C3056" s="185"/>
      <c r="E3056" t="s">
        <v>386</v>
      </c>
      <c r="F3056" t="s">
        <v>13938</v>
      </c>
      <c r="G3056" t="s">
        <v>1197</v>
      </c>
      <c r="H3056" t="s">
        <v>13939</v>
      </c>
      <c r="I3056">
        <v>1493</v>
      </c>
      <c r="J3056" t="s">
        <v>13938</v>
      </c>
      <c r="K3056" t="s">
        <v>13938</v>
      </c>
      <c r="L3056" t="s">
        <v>386</v>
      </c>
      <c r="M3056" t="s">
        <v>1193</v>
      </c>
      <c r="N3056">
        <v>1493</v>
      </c>
      <c r="O3056">
        <v>0</v>
      </c>
      <c r="Q3056" t="s">
        <v>13940</v>
      </c>
      <c r="T3056">
        <v>35</v>
      </c>
      <c r="V3056" t="s">
        <v>2015</v>
      </c>
      <c r="Z3056" t="s">
        <v>10258</v>
      </c>
      <c r="AA3056" t="s">
        <v>387</v>
      </c>
      <c r="AB3056">
        <v>0</v>
      </c>
      <c r="AC3056">
        <v>1131</v>
      </c>
      <c r="AD3056" t="s">
        <v>13941</v>
      </c>
      <c r="AE3056">
        <v>292</v>
      </c>
      <c r="AF3056" t="s">
        <v>10260</v>
      </c>
      <c r="AG3056" t="s">
        <v>2044</v>
      </c>
      <c r="AH3056" t="s">
        <v>13942</v>
      </c>
    </row>
    <row r="3057" spans="1:34" x14ac:dyDescent="0.25">
      <c r="A3057">
        <v>39</v>
      </c>
      <c r="C3057" s="185"/>
      <c r="E3057" t="s">
        <v>386</v>
      </c>
      <c r="F3057" t="s">
        <v>13943</v>
      </c>
      <c r="G3057" t="s">
        <v>1197</v>
      </c>
      <c r="H3057" t="s">
        <v>13944</v>
      </c>
      <c r="I3057">
        <v>13483</v>
      </c>
      <c r="J3057" t="s">
        <v>13943</v>
      </c>
      <c r="K3057" t="s">
        <v>13945</v>
      </c>
      <c r="L3057" t="s">
        <v>386</v>
      </c>
      <c r="M3057" t="s">
        <v>1193</v>
      </c>
      <c r="N3057">
        <v>13483</v>
      </c>
      <c r="O3057">
        <v>0</v>
      </c>
      <c r="Q3057" t="s">
        <v>13946</v>
      </c>
      <c r="R3057" t="s">
        <v>1208</v>
      </c>
      <c r="T3057">
        <v>571</v>
      </c>
      <c r="V3057" t="s">
        <v>2003</v>
      </c>
      <c r="W3057" t="s">
        <v>2015</v>
      </c>
      <c r="X3057">
        <v>35</v>
      </c>
      <c r="Z3057" t="s">
        <v>2303</v>
      </c>
      <c r="AA3057" t="s">
        <v>387</v>
      </c>
      <c r="AB3057">
        <v>0</v>
      </c>
      <c r="AC3057">
        <v>5060</v>
      </c>
      <c r="AD3057" t="s">
        <v>13947</v>
      </c>
      <c r="AE3057">
        <v>1757</v>
      </c>
      <c r="AF3057" t="s">
        <v>13948</v>
      </c>
      <c r="AG3057" t="s">
        <v>13949</v>
      </c>
      <c r="AH3057" t="s">
        <v>13950</v>
      </c>
    </row>
    <row r="3058" spans="1:34" x14ac:dyDescent="0.25">
      <c r="A3058">
        <v>1524</v>
      </c>
      <c r="B3058" t="s">
        <v>1313</v>
      </c>
      <c r="C3058" s="185"/>
      <c r="D3058" t="s">
        <v>24</v>
      </c>
      <c r="E3058" t="s">
        <v>386</v>
      </c>
      <c r="F3058" t="s">
        <v>361</v>
      </c>
      <c r="G3058" t="s">
        <v>1197</v>
      </c>
      <c r="H3058" t="s">
        <v>13951</v>
      </c>
      <c r="I3058">
        <v>2992</v>
      </c>
      <c r="J3058" t="s">
        <v>77</v>
      </c>
      <c r="K3058" t="s">
        <v>13952</v>
      </c>
      <c r="L3058" t="s">
        <v>386</v>
      </c>
      <c r="M3058" t="s">
        <v>1193</v>
      </c>
      <c r="N3058">
        <v>15341</v>
      </c>
      <c r="O3058">
        <v>55</v>
      </c>
      <c r="Q3058" t="s">
        <v>13953</v>
      </c>
      <c r="R3058" t="s">
        <v>398</v>
      </c>
      <c r="S3058" t="s">
        <v>13954</v>
      </c>
      <c r="T3058">
        <v>470</v>
      </c>
      <c r="U3058">
        <v>0</v>
      </c>
      <c r="V3058" t="s">
        <v>4468</v>
      </c>
      <c r="W3058" t="s">
        <v>2186</v>
      </c>
      <c r="X3058">
        <v>396</v>
      </c>
      <c r="Y3058" t="s">
        <v>1317</v>
      </c>
      <c r="Z3058" t="s">
        <v>1019</v>
      </c>
      <c r="AA3058" t="s">
        <v>387</v>
      </c>
      <c r="AB3058">
        <v>47000</v>
      </c>
      <c r="AC3058">
        <v>2008</v>
      </c>
      <c r="AD3058" t="s">
        <v>13955</v>
      </c>
      <c r="AE3058">
        <v>965</v>
      </c>
      <c r="AF3058" t="s">
        <v>13956</v>
      </c>
      <c r="AG3058" t="s">
        <v>6781</v>
      </c>
      <c r="AH3058" t="s">
        <v>13957</v>
      </c>
    </row>
    <row r="3059" spans="1:34" x14ac:dyDescent="0.25">
      <c r="A3059">
        <v>2177</v>
      </c>
      <c r="C3059" s="185"/>
      <c r="E3059" t="s">
        <v>386</v>
      </c>
      <c r="F3059" t="s">
        <v>13958</v>
      </c>
      <c r="G3059" t="s">
        <v>1197</v>
      </c>
      <c r="H3059" t="s">
        <v>13959</v>
      </c>
      <c r="I3059">
        <v>16370</v>
      </c>
      <c r="J3059" t="s">
        <v>13958</v>
      </c>
      <c r="K3059" t="s">
        <v>13960</v>
      </c>
      <c r="L3059" t="s">
        <v>386</v>
      </c>
      <c r="M3059" t="s">
        <v>1193</v>
      </c>
      <c r="N3059">
        <v>16370</v>
      </c>
      <c r="O3059">
        <v>55</v>
      </c>
      <c r="Q3059" t="s">
        <v>13961</v>
      </c>
      <c r="R3059" t="s">
        <v>398</v>
      </c>
      <c r="T3059">
        <v>396</v>
      </c>
      <c r="V3059" t="s">
        <v>2186</v>
      </c>
      <c r="W3059" t="s">
        <v>2186</v>
      </c>
      <c r="X3059">
        <v>396</v>
      </c>
      <c r="Z3059" t="s">
        <v>13962</v>
      </c>
      <c r="AA3059" t="s">
        <v>387</v>
      </c>
      <c r="AB3059">
        <v>47000</v>
      </c>
      <c r="AC3059">
        <v>6131</v>
      </c>
      <c r="AD3059" t="s">
        <v>13963</v>
      </c>
      <c r="AE3059">
        <v>1556</v>
      </c>
      <c r="AF3059" t="s">
        <v>3725</v>
      </c>
      <c r="AG3059" t="s">
        <v>13964</v>
      </c>
      <c r="AH3059" t="s">
        <v>13965</v>
      </c>
    </row>
    <row r="3060" spans="1:34" x14ac:dyDescent="0.25">
      <c r="A3060">
        <v>9</v>
      </c>
      <c r="B3060" t="s">
        <v>1313</v>
      </c>
      <c r="C3060" s="185"/>
      <c r="D3060" t="s">
        <v>24</v>
      </c>
      <c r="E3060" t="s">
        <v>386</v>
      </c>
      <c r="F3060" t="s">
        <v>354</v>
      </c>
      <c r="G3060" t="s">
        <v>1197</v>
      </c>
      <c r="H3060" t="s">
        <v>13966</v>
      </c>
      <c r="I3060">
        <v>1705</v>
      </c>
      <c r="J3060" t="s">
        <v>354</v>
      </c>
      <c r="K3060" t="s">
        <v>7951</v>
      </c>
      <c r="L3060" t="s">
        <v>386</v>
      </c>
      <c r="M3060" t="s">
        <v>1193</v>
      </c>
      <c r="N3060">
        <v>1705</v>
      </c>
      <c r="O3060">
        <v>55</v>
      </c>
      <c r="Q3060" t="s">
        <v>13967</v>
      </c>
      <c r="R3060" t="s">
        <v>398</v>
      </c>
      <c r="S3060" t="s">
        <v>1909</v>
      </c>
      <c r="T3060">
        <v>220</v>
      </c>
      <c r="U3060">
        <v>0</v>
      </c>
      <c r="V3060" t="s">
        <v>1194</v>
      </c>
      <c r="W3060" t="s">
        <v>1194</v>
      </c>
      <c r="X3060">
        <v>220</v>
      </c>
      <c r="Y3060" t="s">
        <v>1317</v>
      </c>
      <c r="Z3060" t="s">
        <v>864</v>
      </c>
      <c r="AA3060" t="s">
        <v>387</v>
      </c>
      <c r="AB3060">
        <v>47000</v>
      </c>
      <c r="AC3060">
        <v>1275</v>
      </c>
      <c r="AD3060" t="s">
        <v>13968</v>
      </c>
      <c r="AE3060">
        <v>610</v>
      </c>
      <c r="AF3060" t="s">
        <v>13969</v>
      </c>
      <c r="AG3060" t="s">
        <v>13970</v>
      </c>
      <c r="AH3060" t="s">
        <v>13971</v>
      </c>
    </row>
    <row r="3061" spans="1:34" x14ac:dyDescent="0.25">
      <c r="A3061">
        <v>39</v>
      </c>
      <c r="C3061" s="185"/>
      <c r="E3061" t="s">
        <v>386</v>
      </c>
      <c r="F3061" t="s">
        <v>13972</v>
      </c>
      <c r="G3061" t="s">
        <v>1197</v>
      </c>
      <c r="H3061" t="s">
        <v>13973</v>
      </c>
      <c r="I3061">
        <v>5645</v>
      </c>
      <c r="J3061" t="s">
        <v>13972</v>
      </c>
      <c r="K3061" t="s">
        <v>13974</v>
      </c>
      <c r="L3061" t="s">
        <v>386</v>
      </c>
      <c r="M3061" t="s">
        <v>1193</v>
      </c>
      <c r="N3061">
        <v>5645</v>
      </c>
      <c r="O3061">
        <v>0</v>
      </c>
      <c r="Q3061" t="s">
        <v>13975</v>
      </c>
      <c r="T3061">
        <v>39</v>
      </c>
      <c r="V3061" t="s">
        <v>2144</v>
      </c>
      <c r="Z3061" t="s">
        <v>2303</v>
      </c>
      <c r="AA3061" t="s">
        <v>387</v>
      </c>
      <c r="AB3061">
        <v>0</v>
      </c>
      <c r="AC3061">
        <v>2660</v>
      </c>
      <c r="AD3061" t="s">
        <v>13976</v>
      </c>
      <c r="AE3061">
        <v>162</v>
      </c>
      <c r="AF3061" t="s">
        <v>13977</v>
      </c>
      <c r="AG3061" t="s">
        <v>13978</v>
      </c>
      <c r="AH3061" t="s">
        <v>13979</v>
      </c>
    </row>
    <row r="3062" spans="1:34" x14ac:dyDescent="0.25">
      <c r="A3062">
        <v>9</v>
      </c>
      <c r="B3062" t="s">
        <v>1313</v>
      </c>
      <c r="C3062" s="185"/>
      <c r="D3062" t="s">
        <v>24</v>
      </c>
      <c r="E3062" t="s">
        <v>386</v>
      </c>
      <c r="F3062" t="s">
        <v>142</v>
      </c>
      <c r="G3062" t="s">
        <v>1197</v>
      </c>
      <c r="H3062" t="s">
        <v>13980</v>
      </c>
      <c r="I3062">
        <v>333</v>
      </c>
      <c r="J3062" t="s">
        <v>142</v>
      </c>
      <c r="K3062" t="s">
        <v>13981</v>
      </c>
      <c r="L3062" t="s">
        <v>386</v>
      </c>
      <c r="M3062" t="s">
        <v>1193</v>
      </c>
      <c r="N3062">
        <v>333</v>
      </c>
      <c r="O3062">
        <v>55</v>
      </c>
      <c r="Q3062" t="s">
        <v>13982</v>
      </c>
      <c r="R3062" t="s">
        <v>398</v>
      </c>
      <c r="S3062" t="s">
        <v>1315</v>
      </c>
      <c r="T3062">
        <v>220</v>
      </c>
      <c r="U3062">
        <v>0</v>
      </c>
      <c r="V3062" t="s">
        <v>1194</v>
      </c>
      <c r="W3062" t="s">
        <v>1194</v>
      </c>
      <c r="X3062">
        <v>220</v>
      </c>
      <c r="Y3062" t="s">
        <v>1317</v>
      </c>
      <c r="Z3062" t="s">
        <v>864</v>
      </c>
      <c r="AA3062" t="s">
        <v>387</v>
      </c>
      <c r="AB3062">
        <v>47000</v>
      </c>
      <c r="AC3062">
        <v>402</v>
      </c>
      <c r="AD3062" t="s">
        <v>13983</v>
      </c>
      <c r="AE3062">
        <v>134</v>
      </c>
      <c r="AF3062" t="s">
        <v>13932</v>
      </c>
      <c r="AG3062" t="s">
        <v>3013</v>
      </c>
      <c r="AH3062" t="s">
        <v>13984</v>
      </c>
    </row>
    <row r="3063" spans="1:34" x14ac:dyDescent="0.25">
      <c r="A3063">
        <v>9</v>
      </c>
      <c r="C3063" s="185"/>
      <c r="E3063" t="s">
        <v>386</v>
      </c>
      <c r="F3063" t="s">
        <v>13985</v>
      </c>
      <c r="G3063" t="s">
        <v>1197</v>
      </c>
      <c r="H3063" t="s">
        <v>13986</v>
      </c>
      <c r="I3063">
        <v>2202</v>
      </c>
      <c r="J3063" t="s">
        <v>13985</v>
      </c>
      <c r="K3063" t="s">
        <v>13985</v>
      </c>
      <c r="L3063" t="s">
        <v>386</v>
      </c>
      <c r="M3063" t="s">
        <v>1193</v>
      </c>
      <c r="N3063">
        <v>2202</v>
      </c>
      <c r="O3063">
        <v>0</v>
      </c>
      <c r="Q3063" t="s">
        <v>13987</v>
      </c>
      <c r="T3063">
        <v>35</v>
      </c>
      <c r="V3063" t="s">
        <v>2015</v>
      </c>
      <c r="Z3063" t="s">
        <v>864</v>
      </c>
      <c r="AA3063" t="s">
        <v>387</v>
      </c>
      <c r="AB3063">
        <v>0</v>
      </c>
      <c r="AC3063">
        <v>1275</v>
      </c>
      <c r="AD3063" t="s">
        <v>13968</v>
      </c>
      <c r="AE3063">
        <v>302</v>
      </c>
      <c r="AF3063" t="s">
        <v>13988</v>
      </c>
      <c r="AG3063" t="s">
        <v>3472</v>
      </c>
      <c r="AH3063" t="s">
        <v>13989</v>
      </c>
    </row>
    <row r="3064" spans="1:34" x14ac:dyDescent="0.25">
      <c r="A3064">
        <v>1702</v>
      </c>
      <c r="C3064" s="185"/>
      <c r="E3064" t="s">
        <v>386</v>
      </c>
      <c r="F3064" t="s">
        <v>13990</v>
      </c>
      <c r="G3064" t="s">
        <v>1197</v>
      </c>
      <c r="H3064" t="s">
        <v>13991</v>
      </c>
      <c r="I3064">
        <v>5667</v>
      </c>
      <c r="J3064" t="s">
        <v>13990</v>
      </c>
      <c r="K3064" t="s">
        <v>13990</v>
      </c>
      <c r="L3064" t="s">
        <v>386</v>
      </c>
      <c r="M3064" t="s">
        <v>1193</v>
      </c>
      <c r="N3064">
        <v>5667</v>
      </c>
      <c r="O3064">
        <v>0</v>
      </c>
      <c r="Q3064" t="s">
        <v>13992</v>
      </c>
      <c r="T3064">
        <v>39</v>
      </c>
      <c r="V3064" t="s">
        <v>2144</v>
      </c>
      <c r="Z3064" t="s">
        <v>10370</v>
      </c>
      <c r="AA3064" t="s">
        <v>387</v>
      </c>
      <c r="AB3064">
        <v>0</v>
      </c>
      <c r="AC3064">
        <v>2670</v>
      </c>
      <c r="AD3064" t="s">
        <v>13993</v>
      </c>
      <c r="AE3064">
        <v>107</v>
      </c>
      <c r="AF3064" t="s">
        <v>1235</v>
      </c>
      <c r="AG3064" t="s">
        <v>6196</v>
      </c>
      <c r="AH3064" t="s">
        <v>13994</v>
      </c>
    </row>
    <row r="3065" spans="1:34" x14ac:dyDescent="0.25">
      <c r="A3065">
        <v>125</v>
      </c>
      <c r="B3065" t="s">
        <v>1313</v>
      </c>
      <c r="C3065" s="185"/>
      <c r="D3065" t="s">
        <v>24</v>
      </c>
      <c r="E3065" t="s">
        <v>386</v>
      </c>
      <c r="F3065" t="s">
        <v>360</v>
      </c>
      <c r="G3065" t="s">
        <v>1197</v>
      </c>
      <c r="H3065" t="s">
        <v>8213</v>
      </c>
      <c r="I3065">
        <v>5325</v>
      </c>
      <c r="J3065" t="s">
        <v>222</v>
      </c>
      <c r="K3065" t="s">
        <v>13995</v>
      </c>
      <c r="L3065" t="s">
        <v>386</v>
      </c>
      <c r="M3065" t="s">
        <v>1193</v>
      </c>
      <c r="N3065">
        <v>15330</v>
      </c>
      <c r="O3065">
        <v>55</v>
      </c>
      <c r="Q3065" t="s">
        <v>13996</v>
      </c>
      <c r="R3065" t="s">
        <v>398</v>
      </c>
      <c r="S3065" t="s">
        <v>7889</v>
      </c>
      <c r="T3065">
        <v>396</v>
      </c>
      <c r="U3065">
        <v>0</v>
      </c>
      <c r="V3065" t="s">
        <v>2186</v>
      </c>
      <c r="W3065" t="s">
        <v>2107</v>
      </c>
      <c r="X3065">
        <v>272</v>
      </c>
      <c r="Y3065" t="s">
        <v>1317</v>
      </c>
      <c r="Z3065" t="s">
        <v>1029</v>
      </c>
      <c r="AA3065" t="s">
        <v>387</v>
      </c>
      <c r="AB3065">
        <v>47000</v>
      </c>
      <c r="AC3065">
        <v>2555</v>
      </c>
      <c r="AD3065" t="s">
        <v>13997</v>
      </c>
      <c r="AE3065">
        <v>1229</v>
      </c>
      <c r="AF3065" t="s">
        <v>13998</v>
      </c>
      <c r="AG3065" t="s">
        <v>13999</v>
      </c>
    </row>
    <row r="3066" spans="1:34" x14ac:dyDescent="0.25">
      <c r="A3066">
        <v>13</v>
      </c>
      <c r="C3066" s="185"/>
      <c r="D3066" t="s">
        <v>24</v>
      </c>
      <c r="E3066" t="s">
        <v>386</v>
      </c>
      <c r="F3066" t="s">
        <v>14000</v>
      </c>
      <c r="G3066" t="s">
        <v>1197</v>
      </c>
      <c r="H3066" t="s">
        <v>14001</v>
      </c>
      <c r="I3066">
        <v>157</v>
      </c>
      <c r="J3066" t="s">
        <v>14000</v>
      </c>
      <c r="K3066" t="s">
        <v>12217</v>
      </c>
      <c r="L3066" t="s">
        <v>386</v>
      </c>
      <c r="M3066" t="s">
        <v>1193</v>
      </c>
      <c r="N3066">
        <v>157</v>
      </c>
      <c r="O3066">
        <v>55</v>
      </c>
      <c r="Q3066" t="s">
        <v>14002</v>
      </c>
      <c r="R3066" t="s">
        <v>398</v>
      </c>
      <c r="T3066">
        <v>220</v>
      </c>
      <c r="V3066" t="s">
        <v>1194</v>
      </c>
      <c r="W3066" t="s">
        <v>1194</v>
      </c>
      <c r="X3066">
        <v>220</v>
      </c>
      <c r="Z3066" t="s">
        <v>12219</v>
      </c>
      <c r="AA3066" t="s">
        <v>387</v>
      </c>
      <c r="AB3066">
        <v>47000</v>
      </c>
      <c r="AC3066">
        <v>130</v>
      </c>
      <c r="AD3066" t="s">
        <v>14003</v>
      </c>
      <c r="AE3066">
        <v>74</v>
      </c>
      <c r="AF3066" t="s">
        <v>14004</v>
      </c>
      <c r="AG3066" t="s">
        <v>1931</v>
      </c>
    </row>
    <row r="3067" spans="1:34" x14ac:dyDescent="0.25">
      <c r="A3067">
        <v>9</v>
      </c>
      <c r="C3067" s="185"/>
      <c r="D3067" t="s">
        <v>24</v>
      </c>
      <c r="E3067" t="s">
        <v>386</v>
      </c>
      <c r="F3067" t="s">
        <v>14005</v>
      </c>
      <c r="G3067" t="s">
        <v>1197</v>
      </c>
      <c r="H3067" t="s">
        <v>14006</v>
      </c>
      <c r="I3067">
        <v>143</v>
      </c>
      <c r="J3067" t="s">
        <v>14005</v>
      </c>
      <c r="K3067" t="s">
        <v>7915</v>
      </c>
      <c r="L3067" t="s">
        <v>386</v>
      </c>
      <c r="M3067" t="s">
        <v>1193</v>
      </c>
      <c r="N3067">
        <v>143</v>
      </c>
      <c r="O3067">
        <v>55</v>
      </c>
      <c r="Q3067" t="s">
        <v>14007</v>
      </c>
      <c r="R3067" t="s">
        <v>398</v>
      </c>
      <c r="T3067">
        <v>220</v>
      </c>
      <c r="V3067" t="s">
        <v>1194</v>
      </c>
      <c r="W3067" t="s">
        <v>1194</v>
      </c>
      <c r="X3067">
        <v>220</v>
      </c>
      <c r="Z3067" t="s">
        <v>864</v>
      </c>
      <c r="AA3067" t="s">
        <v>387</v>
      </c>
      <c r="AB3067">
        <v>47000</v>
      </c>
      <c r="AC3067">
        <v>114</v>
      </c>
      <c r="AD3067" t="s">
        <v>3408</v>
      </c>
      <c r="AE3067">
        <v>66</v>
      </c>
      <c r="AF3067" t="s">
        <v>14008</v>
      </c>
      <c r="AG3067" t="s">
        <v>14009</v>
      </c>
      <c r="AH3067" t="s">
        <v>14010</v>
      </c>
    </row>
    <row r="3068" spans="1:34" x14ac:dyDescent="0.25">
      <c r="A3068">
        <v>9</v>
      </c>
      <c r="C3068" s="185"/>
      <c r="D3068" t="s">
        <v>24</v>
      </c>
      <c r="E3068" t="s">
        <v>386</v>
      </c>
      <c r="F3068" t="s">
        <v>14011</v>
      </c>
      <c r="G3068" t="s">
        <v>1197</v>
      </c>
      <c r="H3068" t="s">
        <v>14006</v>
      </c>
      <c r="I3068">
        <v>202</v>
      </c>
      <c r="J3068" t="s">
        <v>14011</v>
      </c>
      <c r="K3068" t="s">
        <v>14012</v>
      </c>
      <c r="L3068" t="s">
        <v>386</v>
      </c>
      <c r="M3068" t="s">
        <v>1193</v>
      </c>
      <c r="N3068">
        <v>202</v>
      </c>
      <c r="O3068">
        <v>55</v>
      </c>
      <c r="Q3068" t="s">
        <v>14013</v>
      </c>
      <c r="R3068" t="s">
        <v>398</v>
      </c>
      <c r="T3068">
        <v>220</v>
      </c>
      <c r="V3068" t="s">
        <v>1194</v>
      </c>
      <c r="W3068" t="s">
        <v>1194</v>
      </c>
      <c r="X3068">
        <v>220</v>
      </c>
      <c r="Z3068" t="s">
        <v>864</v>
      </c>
      <c r="AA3068" t="s">
        <v>387</v>
      </c>
      <c r="AB3068">
        <v>47000</v>
      </c>
      <c r="AC3068">
        <v>114</v>
      </c>
      <c r="AD3068" t="s">
        <v>3408</v>
      </c>
      <c r="AE3068">
        <v>88</v>
      </c>
      <c r="AF3068" t="s">
        <v>12803</v>
      </c>
      <c r="AG3068" t="s">
        <v>14014</v>
      </c>
      <c r="AH3068" t="s">
        <v>14015</v>
      </c>
    </row>
    <row r="3069" spans="1:34" x14ac:dyDescent="0.25">
      <c r="A3069">
        <v>9</v>
      </c>
      <c r="B3069" t="s">
        <v>1313</v>
      </c>
      <c r="C3069" s="185"/>
      <c r="D3069" t="s">
        <v>24</v>
      </c>
      <c r="E3069" t="s">
        <v>386</v>
      </c>
      <c r="F3069" t="s">
        <v>420</v>
      </c>
      <c r="G3069" t="s">
        <v>1197</v>
      </c>
      <c r="H3069" t="s">
        <v>14006</v>
      </c>
      <c r="I3069">
        <v>2975</v>
      </c>
      <c r="J3069" t="s">
        <v>420</v>
      </c>
      <c r="K3069" t="s">
        <v>75</v>
      </c>
      <c r="L3069" t="s">
        <v>386</v>
      </c>
      <c r="M3069" t="s">
        <v>1193</v>
      </c>
      <c r="N3069">
        <v>2975</v>
      </c>
      <c r="O3069">
        <v>55</v>
      </c>
      <c r="Q3069" t="s">
        <v>14013</v>
      </c>
      <c r="R3069" t="s">
        <v>398</v>
      </c>
      <c r="S3069" t="s">
        <v>1909</v>
      </c>
      <c r="T3069">
        <v>396</v>
      </c>
      <c r="U3069">
        <v>0</v>
      </c>
      <c r="V3069" t="s">
        <v>2186</v>
      </c>
      <c r="W3069" t="s">
        <v>1194</v>
      </c>
      <c r="X3069">
        <v>220</v>
      </c>
      <c r="Y3069" t="s">
        <v>1317</v>
      </c>
      <c r="Z3069" t="s">
        <v>864</v>
      </c>
      <c r="AA3069" t="s">
        <v>387</v>
      </c>
      <c r="AB3069">
        <v>47000</v>
      </c>
      <c r="AC3069">
        <v>4839</v>
      </c>
      <c r="AD3069" t="s">
        <v>14016</v>
      </c>
      <c r="AE3069">
        <v>1496</v>
      </c>
      <c r="AF3069" t="s">
        <v>3409</v>
      </c>
      <c r="AG3069" t="s">
        <v>14017</v>
      </c>
      <c r="AH3069" t="s">
        <v>14018</v>
      </c>
    </row>
    <row r="3070" spans="1:34" x14ac:dyDescent="0.25">
      <c r="A3070">
        <v>1348</v>
      </c>
      <c r="B3070" t="s">
        <v>1313</v>
      </c>
      <c r="C3070" s="185"/>
      <c r="D3070" t="s">
        <v>24</v>
      </c>
      <c r="E3070" t="s">
        <v>386</v>
      </c>
      <c r="F3070" t="s">
        <v>272</v>
      </c>
      <c r="G3070" t="s">
        <v>1197</v>
      </c>
      <c r="H3070" t="s">
        <v>7876</v>
      </c>
      <c r="I3070">
        <v>5519</v>
      </c>
      <c r="J3070" t="s">
        <v>272</v>
      </c>
      <c r="K3070" t="s">
        <v>14019</v>
      </c>
      <c r="L3070" t="s">
        <v>386</v>
      </c>
      <c r="M3070" t="s">
        <v>1193</v>
      </c>
      <c r="N3070">
        <v>5519</v>
      </c>
      <c r="O3070">
        <v>55</v>
      </c>
      <c r="Q3070" t="s">
        <v>14020</v>
      </c>
      <c r="R3070" t="s">
        <v>398</v>
      </c>
      <c r="S3070" t="s">
        <v>1909</v>
      </c>
      <c r="T3070">
        <v>521</v>
      </c>
      <c r="U3070">
        <v>0</v>
      </c>
      <c r="V3070" t="s">
        <v>6311</v>
      </c>
      <c r="W3070" t="s">
        <v>5678</v>
      </c>
      <c r="X3070">
        <v>449</v>
      </c>
      <c r="Y3070" t="s">
        <v>1317</v>
      </c>
      <c r="Z3070" t="s">
        <v>1071</v>
      </c>
      <c r="AA3070" t="s">
        <v>387</v>
      </c>
      <c r="AB3070">
        <v>47000</v>
      </c>
      <c r="AC3070">
        <v>1367</v>
      </c>
      <c r="AD3070" t="s">
        <v>8339</v>
      </c>
      <c r="AE3070">
        <v>1259</v>
      </c>
      <c r="AF3070" t="s">
        <v>8335</v>
      </c>
      <c r="AG3070" t="s">
        <v>1244</v>
      </c>
    </row>
    <row r="3071" spans="1:34" x14ac:dyDescent="0.25">
      <c r="A3071">
        <v>149</v>
      </c>
      <c r="B3071" t="s">
        <v>1313</v>
      </c>
      <c r="C3071" s="185"/>
      <c r="D3071" t="s">
        <v>24</v>
      </c>
      <c r="E3071" t="s">
        <v>386</v>
      </c>
      <c r="F3071" t="s">
        <v>632</v>
      </c>
      <c r="G3071" t="s">
        <v>1197</v>
      </c>
      <c r="H3071" t="s">
        <v>14021</v>
      </c>
      <c r="I3071">
        <v>1831</v>
      </c>
      <c r="J3071" t="s">
        <v>632</v>
      </c>
      <c r="K3071" t="s">
        <v>632</v>
      </c>
      <c r="L3071" t="s">
        <v>386</v>
      </c>
      <c r="M3071" t="s">
        <v>1193</v>
      </c>
      <c r="N3071">
        <v>1831</v>
      </c>
      <c r="O3071">
        <v>55</v>
      </c>
      <c r="Q3071" t="s">
        <v>14022</v>
      </c>
      <c r="R3071" t="s">
        <v>398</v>
      </c>
      <c r="S3071" t="s">
        <v>1909</v>
      </c>
      <c r="T3071">
        <v>396</v>
      </c>
      <c r="U3071">
        <v>0</v>
      </c>
      <c r="V3071" t="s">
        <v>2186</v>
      </c>
      <c r="W3071" t="s">
        <v>1194</v>
      </c>
      <c r="X3071">
        <v>220</v>
      </c>
      <c r="Y3071" t="s">
        <v>1317</v>
      </c>
      <c r="Z3071" t="s">
        <v>7870</v>
      </c>
      <c r="AA3071" t="s">
        <v>387</v>
      </c>
      <c r="AB3071">
        <v>47000</v>
      </c>
      <c r="AC3071">
        <v>1367</v>
      </c>
      <c r="AD3071" t="s">
        <v>8339</v>
      </c>
      <c r="AE3071">
        <v>0</v>
      </c>
      <c r="AF3071" t="s">
        <v>1188</v>
      </c>
      <c r="AG3071" t="s">
        <v>14023</v>
      </c>
      <c r="AH3071" t="s">
        <v>14024</v>
      </c>
    </row>
    <row r="3072" spans="1:34" x14ac:dyDescent="0.25">
      <c r="A3072">
        <v>69</v>
      </c>
      <c r="C3072" s="185"/>
      <c r="D3072" t="s">
        <v>24</v>
      </c>
      <c r="E3072" t="s">
        <v>386</v>
      </c>
      <c r="F3072" t="s">
        <v>14025</v>
      </c>
      <c r="G3072" t="s">
        <v>1197</v>
      </c>
      <c r="H3072" t="s">
        <v>14026</v>
      </c>
      <c r="I3072">
        <v>2706</v>
      </c>
      <c r="J3072" t="s">
        <v>14025</v>
      </c>
      <c r="K3072" t="s">
        <v>14027</v>
      </c>
      <c r="L3072" t="s">
        <v>386</v>
      </c>
      <c r="M3072" t="s">
        <v>1193</v>
      </c>
      <c r="N3072">
        <v>2706</v>
      </c>
      <c r="O3072">
        <v>56</v>
      </c>
      <c r="Q3072" t="s">
        <v>14028</v>
      </c>
      <c r="R3072" t="s">
        <v>398</v>
      </c>
      <c r="T3072">
        <v>220</v>
      </c>
      <c r="V3072" t="s">
        <v>1194</v>
      </c>
      <c r="W3072" t="s">
        <v>1194</v>
      </c>
      <c r="X3072">
        <v>220</v>
      </c>
      <c r="Z3072" t="s">
        <v>2437</v>
      </c>
      <c r="AA3072" t="s">
        <v>387</v>
      </c>
      <c r="AB3072">
        <v>48000</v>
      </c>
      <c r="AC3072">
        <v>506</v>
      </c>
      <c r="AD3072" t="s">
        <v>2675</v>
      </c>
      <c r="AE3072">
        <v>1</v>
      </c>
      <c r="AF3072" t="s">
        <v>1922</v>
      </c>
      <c r="AG3072" t="s">
        <v>14029</v>
      </c>
    </row>
    <row r="3073" spans="1:34" x14ac:dyDescent="0.25">
      <c r="A3073">
        <v>9</v>
      </c>
      <c r="B3073" t="s">
        <v>1313</v>
      </c>
      <c r="C3073" s="185"/>
      <c r="D3073" t="s">
        <v>24</v>
      </c>
      <c r="E3073" t="s">
        <v>386</v>
      </c>
      <c r="F3073" t="s">
        <v>14030</v>
      </c>
      <c r="G3073" t="s">
        <v>1197</v>
      </c>
      <c r="H3073" t="s">
        <v>14031</v>
      </c>
      <c r="I3073">
        <v>479</v>
      </c>
      <c r="J3073" t="s">
        <v>14030</v>
      </c>
      <c r="K3073" t="s">
        <v>14032</v>
      </c>
      <c r="L3073" t="s">
        <v>386</v>
      </c>
      <c r="M3073" t="s">
        <v>1193</v>
      </c>
      <c r="N3073">
        <v>479</v>
      </c>
      <c r="O3073">
        <v>55</v>
      </c>
      <c r="Q3073" t="s">
        <v>14033</v>
      </c>
      <c r="R3073" t="s">
        <v>398</v>
      </c>
      <c r="S3073" t="s">
        <v>1315</v>
      </c>
      <c r="T3073">
        <v>220</v>
      </c>
      <c r="U3073">
        <v>0</v>
      </c>
      <c r="V3073" t="s">
        <v>1194</v>
      </c>
      <c r="W3073" t="s">
        <v>1194</v>
      </c>
      <c r="X3073">
        <v>220</v>
      </c>
      <c r="Y3073" t="s">
        <v>1317</v>
      </c>
      <c r="Z3073" t="s">
        <v>864</v>
      </c>
      <c r="AA3073" t="s">
        <v>387</v>
      </c>
      <c r="AB3073">
        <v>47000</v>
      </c>
      <c r="AC3073">
        <v>483</v>
      </c>
      <c r="AD3073" t="s">
        <v>14034</v>
      </c>
      <c r="AE3073">
        <v>302</v>
      </c>
      <c r="AF3073" t="s">
        <v>13988</v>
      </c>
      <c r="AG3073" t="s">
        <v>3283</v>
      </c>
      <c r="AH3073" t="s">
        <v>14035</v>
      </c>
    </row>
    <row r="3074" spans="1:34" x14ac:dyDescent="0.25">
      <c r="A3074">
        <v>37</v>
      </c>
      <c r="B3074" t="s">
        <v>1313</v>
      </c>
      <c r="C3074" s="185"/>
      <c r="D3074" t="s">
        <v>24</v>
      </c>
      <c r="E3074" t="s">
        <v>386</v>
      </c>
      <c r="G3074" t="s">
        <v>1197</v>
      </c>
      <c r="H3074" t="s">
        <v>7931</v>
      </c>
      <c r="I3074">
        <v>147</v>
      </c>
      <c r="J3074" t="s">
        <v>14036</v>
      </c>
      <c r="K3074" t="s">
        <v>14037</v>
      </c>
      <c r="L3074" t="s">
        <v>386</v>
      </c>
      <c r="M3074" t="s">
        <v>1193</v>
      </c>
      <c r="O3074">
        <v>55</v>
      </c>
      <c r="Q3074" t="s">
        <v>14038</v>
      </c>
      <c r="R3074" t="s">
        <v>398</v>
      </c>
      <c r="S3074" t="s">
        <v>1315</v>
      </c>
      <c r="T3074">
        <v>396</v>
      </c>
      <c r="U3074">
        <v>0</v>
      </c>
      <c r="V3074" t="s">
        <v>2186</v>
      </c>
      <c r="W3074" t="s">
        <v>1194</v>
      </c>
      <c r="X3074">
        <v>220</v>
      </c>
      <c r="Y3074" t="s">
        <v>1317</v>
      </c>
      <c r="Z3074" t="s">
        <v>1121</v>
      </c>
      <c r="AA3074" t="s">
        <v>387</v>
      </c>
      <c r="AB3074">
        <v>47000</v>
      </c>
      <c r="AC3074">
        <v>118</v>
      </c>
      <c r="AD3074" t="s">
        <v>14039</v>
      </c>
      <c r="AE3074">
        <v>69</v>
      </c>
      <c r="AF3074" t="s">
        <v>14040</v>
      </c>
      <c r="AG3074" t="s">
        <v>14041</v>
      </c>
      <c r="AH3074" t="s">
        <v>14042</v>
      </c>
    </row>
    <row r="3075" spans="1:34" x14ac:dyDescent="0.25">
      <c r="A3075">
        <v>1858</v>
      </c>
      <c r="C3075" s="185"/>
      <c r="E3075" t="s">
        <v>386</v>
      </c>
      <c r="F3075" t="s">
        <v>15583</v>
      </c>
      <c r="G3075" t="s">
        <v>1197</v>
      </c>
      <c r="H3075" t="s">
        <v>15584</v>
      </c>
      <c r="I3075">
        <v>9415</v>
      </c>
      <c r="J3075" t="s">
        <v>15583</v>
      </c>
      <c r="K3075" t="s">
        <v>15583</v>
      </c>
      <c r="L3075" t="s">
        <v>386</v>
      </c>
      <c r="M3075" t="s">
        <v>1193</v>
      </c>
      <c r="N3075">
        <v>9415</v>
      </c>
      <c r="O3075">
        <v>0</v>
      </c>
      <c r="Q3075" t="s">
        <v>15585</v>
      </c>
      <c r="R3075" t="s">
        <v>1208</v>
      </c>
      <c r="T3075">
        <v>560</v>
      </c>
      <c r="V3075" t="s">
        <v>2602</v>
      </c>
      <c r="W3075" t="s">
        <v>2602</v>
      </c>
      <c r="X3075">
        <v>560</v>
      </c>
      <c r="Z3075" t="s">
        <v>15586</v>
      </c>
      <c r="AA3075" t="s">
        <v>387</v>
      </c>
      <c r="AB3075">
        <v>0</v>
      </c>
      <c r="AC3075">
        <v>3177</v>
      </c>
      <c r="AD3075" t="s">
        <v>15587</v>
      </c>
      <c r="AE3075">
        <v>1120</v>
      </c>
      <c r="AF3075" t="s">
        <v>15588</v>
      </c>
      <c r="AG3075" t="s">
        <v>15589</v>
      </c>
    </row>
    <row r="3076" spans="1:34" x14ac:dyDescent="0.25">
      <c r="A3076">
        <v>1172</v>
      </c>
      <c r="C3076" s="185"/>
      <c r="E3076" t="s">
        <v>386</v>
      </c>
      <c r="F3076" t="s">
        <v>14043</v>
      </c>
      <c r="G3076" t="s">
        <v>1197</v>
      </c>
      <c r="H3076" t="s">
        <v>14044</v>
      </c>
      <c r="I3076">
        <v>11206</v>
      </c>
      <c r="J3076" t="s">
        <v>14043</v>
      </c>
      <c r="K3076" t="s">
        <v>14045</v>
      </c>
      <c r="L3076" t="s">
        <v>386</v>
      </c>
      <c r="M3076" t="s">
        <v>1193</v>
      </c>
      <c r="N3076">
        <v>11206</v>
      </c>
      <c r="O3076">
        <v>0</v>
      </c>
      <c r="Q3076" t="s">
        <v>14046</v>
      </c>
      <c r="T3076">
        <v>571</v>
      </c>
      <c r="V3076" t="s">
        <v>2003</v>
      </c>
      <c r="W3076" t="s">
        <v>1200</v>
      </c>
      <c r="X3076">
        <v>340</v>
      </c>
      <c r="Z3076" t="s">
        <v>14047</v>
      </c>
      <c r="AA3076" t="s">
        <v>387</v>
      </c>
      <c r="AB3076">
        <v>0</v>
      </c>
      <c r="AC3076">
        <v>4286</v>
      </c>
      <c r="AD3076" t="s">
        <v>14048</v>
      </c>
      <c r="AE3076">
        <v>1979</v>
      </c>
      <c r="AF3076" t="s">
        <v>14049</v>
      </c>
      <c r="AG3076" t="s">
        <v>14050</v>
      </c>
      <c r="AH3076" t="s">
        <v>14051</v>
      </c>
    </row>
    <row r="3077" spans="1:34" x14ac:dyDescent="0.25">
      <c r="A3077">
        <v>9</v>
      </c>
      <c r="B3077" t="s">
        <v>1313</v>
      </c>
      <c r="C3077" s="185"/>
      <c r="D3077" t="s">
        <v>24</v>
      </c>
      <c r="E3077" t="s">
        <v>386</v>
      </c>
      <c r="F3077" t="s">
        <v>142</v>
      </c>
      <c r="G3077" t="s">
        <v>1197</v>
      </c>
      <c r="H3077" t="s">
        <v>13980</v>
      </c>
      <c r="I3077">
        <v>818</v>
      </c>
      <c r="J3077" t="s">
        <v>142</v>
      </c>
      <c r="K3077" t="s">
        <v>14052</v>
      </c>
      <c r="L3077" t="s">
        <v>386</v>
      </c>
      <c r="M3077" t="s">
        <v>1193</v>
      </c>
      <c r="N3077">
        <v>818</v>
      </c>
      <c r="O3077">
        <v>55</v>
      </c>
      <c r="Q3077" t="s">
        <v>14053</v>
      </c>
      <c r="R3077" t="s">
        <v>398</v>
      </c>
      <c r="S3077" t="s">
        <v>1315</v>
      </c>
      <c r="T3077">
        <v>220</v>
      </c>
      <c r="U3077">
        <v>0</v>
      </c>
      <c r="V3077" t="s">
        <v>1194</v>
      </c>
      <c r="W3077" t="s">
        <v>1194</v>
      </c>
      <c r="X3077">
        <v>220</v>
      </c>
      <c r="Y3077" t="s">
        <v>1317</v>
      </c>
      <c r="Z3077" t="s">
        <v>864</v>
      </c>
      <c r="AA3077" t="s">
        <v>387</v>
      </c>
      <c r="AB3077">
        <v>47000</v>
      </c>
      <c r="AC3077">
        <v>402</v>
      </c>
      <c r="AD3077" t="s">
        <v>13983</v>
      </c>
      <c r="AE3077">
        <v>134</v>
      </c>
      <c r="AF3077" t="s">
        <v>13932</v>
      </c>
      <c r="AG3077" t="s">
        <v>3013</v>
      </c>
      <c r="AH3077" t="s">
        <v>13984</v>
      </c>
    </row>
    <row r="3078" spans="1:34" x14ac:dyDescent="0.25">
      <c r="A3078">
        <v>102</v>
      </c>
      <c r="B3078" t="s">
        <v>1313</v>
      </c>
      <c r="C3078" s="185"/>
      <c r="D3078" t="s">
        <v>24</v>
      </c>
      <c r="E3078" t="s">
        <v>386</v>
      </c>
      <c r="F3078" t="s">
        <v>152</v>
      </c>
      <c r="G3078" t="s">
        <v>1197</v>
      </c>
      <c r="H3078" t="s">
        <v>14054</v>
      </c>
      <c r="I3078">
        <v>943</v>
      </c>
      <c r="J3078" t="s">
        <v>152</v>
      </c>
      <c r="K3078" t="s">
        <v>14055</v>
      </c>
      <c r="L3078" t="s">
        <v>386</v>
      </c>
      <c r="M3078" t="s">
        <v>1193</v>
      </c>
      <c r="N3078">
        <v>943</v>
      </c>
      <c r="O3078">
        <v>55</v>
      </c>
      <c r="Q3078" t="s">
        <v>14056</v>
      </c>
      <c r="R3078" t="s">
        <v>398</v>
      </c>
      <c r="S3078" t="s">
        <v>4594</v>
      </c>
      <c r="T3078">
        <v>260</v>
      </c>
      <c r="U3078">
        <v>0</v>
      </c>
      <c r="V3078" t="s">
        <v>1216</v>
      </c>
      <c r="W3078" t="s">
        <v>2073</v>
      </c>
      <c r="X3078">
        <v>372</v>
      </c>
      <c r="Y3078" t="s">
        <v>1317</v>
      </c>
      <c r="Z3078" t="s">
        <v>941</v>
      </c>
      <c r="AA3078" t="s">
        <v>387</v>
      </c>
      <c r="AB3078">
        <v>47000</v>
      </c>
      <c r="AC3078">
        <v>86</v>
      </c>
      <c r="AD3078" t="s">
        <v>2303</v>
      </c>
      <c r="AE3078">
        <v>376</v>
      </c>
      <c r="AF3078" t="s">
        <v>14057</v>
      </c>
      <c r="AG3078" t="s">
        <v>5897</v>
      </c>
      <c r="AH3078" t="s">
        <v>14058</v>
      </c>
    </row>
    <row r="3079" spans="1:34" x14ac:dyDescent="0.25">
      <c r="A3079">
        <v>78</v>
      </c>
      <c r="C3079" s="185"/>
      <c r="E3079" t="s">
        <v>386</v>
      </c>
      <c r="F3079" t="s">
        <v>14059</v>
      </c>
      <c r="G3079" t="s">
        <v>1197</v>
      </c>
      <c r="H3079" t="s">
        <v>13284</v>
      </c>
      <c r="I3079">
        <v>15463</v>
      </c>
      <c r="J3079" t="s">
        <v>14059</v>
      </c>
      <c r="K3079" t="s">
        <v>14060</v>
      </c>
      <c r="L3079" t="s">
        <v>386</v>
      </c>
      <c r="M3079" t="s">
        <v>1193</v>
      </c>
      <c r="N3079">
        <v>15463</v>
      </c>
      <c r="O3079">
        <v>0</v>
      </c>
      <c r="Q3079" t="s">
        <v>14061</v>
      </c>
      <c r="T3079">
        <v>426</v>
      </c>
      <c r="V3079" t="s">
        <v>1257</v>
      </c>
      <c r="W3079" t="s">
        <v>1257</v>
      </c>
      <c r="X3079">
        <v>426</v>
      </c>
      <c r="Z3079" t="s">
        <v>13271</v>
      </c>
      <c r="AA3079" t="s">
        <v>387</v>
      </c>
      <c r="AB3079">
        <v>0</v>
      </c>
      <c r="AC3079">
        <v>2271</v>
      </c>
      <c r="AD3079" t="s">
        <v>12265</v>
      </c>
      <c r="AE3079">
        <v>63</v>
      </c>
      <c r="AF3079" t="s">
        <v>3896</v>
      </c>
      <c r="AG3079" t="s">
        <v>14062</v>
      </c>
      <c r="AH3079" t="s">
        <v>14063</v>
      </c>
    </row>
    <row r="3080" spans="1:34" x14ac:dyDescent="0.25">
      <c r="A3080">
        <v>75</v>
      </c>
      <c r="C3080" s="185"/>
      <c r="D3080" t="s">
        <v>24</v>
      </c>
      <c r="E3080" t="s">
        <v>386</v>
      </c>
      <c r="F3080" t="s">
        <v>14064</v>
      </c>
      <c r="G3080" t="s">
        <v>1197</v>
      </c>
      <c r="H3080" t="s">
        <v>14065</v>
      </c>
      <c r="I3080">
        <v>11213</v>
      </c>
      <c r="J3080" t="s">
        <v>14064</v>
      </c>
      <c r="K3080" t="s">
        <v>14066</v>
      </c>
      <c r="L3080" t="s">
        <v>386</v>
      </c>
      <c r="M3080" t="s">
        <v>1193</v>
      </c>
      <c r="N3080">
        <v>11213</v>
      </c>
      <c r="O3080">
        <v>55</v>
      </c>
      <c r="Q3080" t="s">
        <v>14067</v>
      </c>
      <c r="R3080" t="s">
        <v>398</v>
      </c>
      <c r="T3080">
        <v>396</v>
      </c>
      <c r="V3080" t="s">
        <v>2186</v>
      </c>
      <c r="W3080" t="s">
        <v>1194</v>
      </c>
      <c r="X3080">
        <v>220</v>
      </c>
      <c r="Z3080" t="s">
        <v>1002</v>
      </c>
      <c r="AA3080" t="s">
        <v>387</v>
      </c>
      <c r="AB3080">
        <v>47000</v>
      </c>
      <c r="AC3080">
        <v>443</v>
      </c>
      <c r="AD3080" t="s">
        <v>14068</v>
      </c>
      <c r="AE3080">
        <v>3</v>
      </c>
      <c r="AF3080" t="s">
        <v>1235</v>
      </c>
      <c r="AG3080" t="s">
        <v>2044</v>
      </c>
    </row>
    <row r="3081" spans="1:34" x14ac:dyDescent="0.25">
      <c r="A3081">
        <v>9</v>
      </c>
      <c r="B3081" t="s">
        <v>1313</v>
      </c>
      <c r="C3081" s="185"/>
      <c r="D3081" t="s">
        <v>24</v>
      </c>
      <c r="E3081" t="s">
        <v>386</v>
      </c>
      <c r="F3081" t="s">
        <v>15465</v>
      </c>
      <c r="G3081" t="s">
        <v>1197</v>
      </c>
      <c r="H3081" t="s">
        <v>14069</v>
      </c>
      <c r="I3081">
        <v>1313</v>
      </c>
      <c r="J3081" t="s">
        <v>14070</v>
      </c>
      <c r="K3081" t="s">
        <v>14071</v>
      </c>
      <c r="L3081" t="s">
        <v>386</v>
      </c>
      <c r="M3081" t="s">
        <v>1193</v>
      </c>
      <c r="N3081">
        <v>17798</v>
      </c>
      <c r="O3081">
        <v>0</v>
      </c>
      <c r="Q3081" t="s">
        <v>14072</v>
      </c>
      <c r="R3081" t="s">
        <v>398</v>
      </c>
      <c r="S3081" t="s">
        <v>1909</v>
      </c>
      <c r="T3081">
        <v>200</v>
      </c>
      <c r="U3081">
        <v>0</v>
      </c>
      <c r="V3081" t="s">
        <v>1199</v>
      </c>
      <c r="W3081" t="s">
        <v>2107</v>
      </c>
      <c r="X3081">
        <v>272</v>
      </c>
      <c r="Y3081" t="s">
        <v>1317</v>
      </c>
      <c r="Z3081" t="s">
        <v>864</v>
      </c>
      <c r="AA3081" t="s">
        <v>387</v>
      </c>
      <c r="AB3081">
        <v>0</v>
      </c>
      <c r="AC3081">
        <v>1027</v>
      </c>
      <c r="AD3081" t="s">
        <v>14073</v>
      </c>
      <c r="AE3081">
        <v>138</v>
      </c>
      <c r="AF3081" t="s">
        <v>2509</v>
      </c>
      <c r="AG3081" t="s">
        <v>6786</v>
      </c>
      <c r="AH3081" t="s">
        <v>14074</v>
      </c>
    </row>
    <row r="3082" spans="1:34" x14ac:dyDescent="0.25">
      <c r="A3082">
        <v>1299</v>
      </c>
      <c r="B3082" t="s">
        <v>1313</v>
      </c>
      <c r="C3082" s="185"/>
      <c r="D3082" t="s">
        <v>24</v>
      </c>
      <c r="E3082" t="s">
        <v>386</v>
      </c>
      <c r="F3082" t="s">
        <v>14075</v>
      </c>
      <c r="G3082" t="s">
        <v>1197</v>
      </c>
      <c r="H3082" t="s">
        <v>14076</v>
      </c>
      <c r="I3082">
        <v>1454</v>
      </c>
      <c r="J3082" t="s">
        <v>14075</v>
      </c>
      <c r="K3082" t="s">
        <v>14075</v>
      </c>
      <c r="L3082" t="s">
        <v>386</v>
      </c>
      <c r="M3082" t="s">
        <v>1193</v>
      </c>
      <c r="N3082">
        <v>1454</v>
      </c>
      <c r="O3082">
        <v>0</v>
      </c>
      <c r="Q3082" t="s">
        <v>14077</v>
      </c>
      <c r="S3082" t="s">
        <v>1315</v>
      </c>
      <c r="T3082">
        <v>0</v>
      </c>
      <c r="U3082">
        <v>0</v>
      </c>
      <c r="V3082" t="s">
        <v>1186</v>
      </c>
      <c r="Y3082" t="s">
        <v>1317</v>
      </c>
      <c r="Z3082" t="s">
        <v>14078</v>
      </c>
      <c r="AA3082" t="s">
        <v>387</v>
      </c>
      <c r="AB3082">
        <v>0</v>
      </c>
      <c r="AC3082">
        <v>1109</v>
      </c>
      <c r="AD3082" t="s">
        <v>706</v>
      </c>
      <c r="AE3082">
        <v>524</v>
      </c>
      <c r="AF3082" t="s">
        <v>14079</v>
      </c>
      <c r="AG3082" t="s">
        <v>1244</v>
      </c>
      <c r="AH3082" t="s">
        <v>14080</v>
      </c>
    </row>
    <row r="3083" spans="1:34" x14ac:dyDescent="0.25">
      <c r="A3083">
        <v>9</v>
      </c>
      <c r="B3083" t="s">
        <v>1313</v>
      </c>
      <c r="C3083" s="185"/>
      <c r="D3083" t="s">
        <v>24</v>
      </c>
      <c r="E3083" t="s">
        <v>386</v>
      </c>
      <c r="F3083" t="s">
        <v>14081</v>
      </c>
      <c r="G3083" t="s">
        <v>1197</v>
      </c>
      <c r="H3083" t="s">
        <v>14082</v>
      </c>
      <c r="I3083">
        <v>3472</v>
      </c>
      <c r="J3083" t="s">
        <v>14081</v>
      </c>
      <c r="K3083" t="s">
        <v>14081</v>
      </c>
      <c r="L3083" t="s">
        <v>386</v>
      </c>
      <c r="M3083" t="s">
        <v>1193</v>
      </c>
      <c r="N3083">
        <v>3472</v>
      </c>
      <c r="O3083">
        <v>0</v>
      </c>
      <c r="Q3083" t="s">
        <v>14083</v>
      </c>
      <c r="S3083" t="s">
        <v>1909</v>
      </c>
      <c r="T3083">
        <v>52</v>
      </c>
      <c r="U3083">
        <v>0</v>
      </c>
      <c r="V3083" t="s">
        <v>2024</v>
      </c>
      <c r="Y3083" t="s">
        <v>1317</v>
      </c>
      <c r="Z3083" t="s">
        <v>864</v>
      </c>
      <c r="AA3083" t="s">
        <v>387</v>
      </c>
      <c r="AB3083">
        <v>0</v>
      </c>
      <c r="AC3083">
        <v>2228</v>
      </c>
      <c r="AD3083" t="s">
        <v>14084</v>
      </c>
      <c r="AE3083">
        <v>1073</v>
      </c>
      <c r="AF3083" t="s">
        <v>14085</v>
      </c>
      <c r="AG3083" t="s">
        <v>3702</v>
      </c>
    </row>
    <row r="3084" spans="1:34" x14ac:dyDescent="0.25">
      <c r="A3084">
        <v>9</v>
      </c>
      <c r="C3084" s="185"/>
      <c r="D3084" t="s">
        <v>24</v>
      </c>
      <c r="E3084" t="s">
        <v>386</v>
      </c>
      <c r="F3084" t="s">
        <v>14086</v>
      </c>
      <c r="G3084" t="s">
        <v>1197</v>
      </c>
      <c r="H3084" t="s">
        <v>14087</v>
      </c>
      <c r="I3084">
        <v>2816</v>
      </c>
      <c r="J3084" t="s">
        <v>14086</v>
      </c>
      <c r="K3084" t="s">
        <v>14086</v>
      </c>
      <c r="L3084" t="s">
        <v>386</v>
      </c>
      <c r="M3084" t="s">
        <v>1193</v>
      </c>
      <c r="N3084">
        <v>2816</v>
      </c>
      <c r="O3084">
        <v>0</v>
      </c>
      <c r="Q3084" t="s">
        <v>14088</v>
      </c>
      <c r="T3084">
        <v>52</v>
      </c>
      <c r="V3084" t="s">
        <v>2024</v>
      </c>
      <c r="Z3084" t="s">
        <v>864</v>
      </c>
      <c r="AA3084" t="s">
        <v>387</v>
      </c>
      <c r="AB3084">
        <v>0</v>
      </c>
      <c r="AC3084">
        <v>1897</v>
      </c>
      <c r="AD3084" t="s">
        <v>14089</v>
      </c>
      <c r="AE3084">
        <v>927</v>
      </c>
      <c r="AF3084" t="s">
        <v>14090</v>
      </c>
      <c r="AG3084" t="s">
        <v>1244</v>
      </c>
    </row>
    <row r="3085" spans="1:34" x14ac:dyDescent="0.25">
      <c r="A3085">
        <v>9</v>
      </c>
      <c r="B3085" t="s">
        <v>1313</v>
      </c>
      <c r="C3085" s="185"/>
      <c r="D3085" t="s">
        <v>24</v>
      </c>
      <c r="E3085" t="s">
        <v>386</v>
      </c>
      <c r="F3085" t="s">
        <v>448</v>
      </c>
      <c r="G3085" t="s">
        <v>1197</v>
      </c>
      <c r="H3085" t="s">
        <v>14091</v>
      </c>
      <c r="I3085">
        <v>33</v>
      </c>
      <c r="J3085" t="s">
        <v>757</v>
      </c>
      <c r="K3085" t="s">
        <v>7402</v>
      </c>
      <c r="L3085" t="s">
        <v>386</v>
      </c>
      <c r="M3085" t="s">
        <v>1193</v>
      </c>
      <c r="N3085">
        <v>15328</v>
      </c>
      <c r="O3085">
        <v>55</v>
      </c>
      <c r="Q3085" t="s">
        <v>14092</v>
      </c>
      <c r="R3085" t="s">
        <v>398</v>
      </c>
      <c r="S3085" t="s">
        <v>7404</v>
      </c>
      <c r="T3085">
        <v>220</v>
      </c>
      <c r="U3085">
        <v>0</v>
      </c>
      <c r="V3085" t="s">
        <v>1194</v>
      </c>
      <c r="W3085" t="s">
        <v>1216</v>
      </c>
      <c r="X3085">
        <v>260</v>
      </c>
      <c r="Y3085" t="s">
        <v>1317</v>
      </c>
      <c r="Z3085" t="s">
        <v>864</v>
      </c>
      <c r="AA3085" t="s">
        <v>387</v>
      </c>
      <c r="AB3085">
        <v>47000</v>
      </c>
      <c r="AC3085">
        <v>28</v>
      </c>
      <c r="AD3085" t="s">
        <v>14093</v>
      </c>
      <c r="AE3085">
        <v>229</v>
      </c>
      <c r="AF3085" t="s">
        <v>14094</v>
      </c>
      <c r="AG3085" t="s">
        <v>1931</v>
      </c>
      <c r="AH3085" t="s">
        <v>14095</v>
      </c>
    </row>
    <row r="3086" spans="1:34" x14ac:dyDescent="0.25">
      <c r="A3086">
        <v>132</v>
      </c>
      <c r="C3086" s="185"/>
      <c r="E3086" t="s">
        <v>386</v>
      </c>
      <c r="F3086" t="s">
        <v>14096</v>
      </c>
      <c r="G3086" t="s">
        <v>1197</v>
      </c>
      <c r="H3086" t="s">
        <v>14097</v>
      </c>
      <c r="I3086">
        <v>17672</v>
      </c>
      <c r="J3086" t="s">
        <v>14096</v>
      </c>
      <c r="K3086" t="s">
        <v>14096</v>
      </c>
      <c r="L3086" t="s">
        <v>386</v>
      </c>
      <c r="M3086" t="s">
        <v>1193</v>
      </c>
      <c r="N3086">
        <v>17672</v>
      </c>
      <c r="O3086">
        <v>0</v>
      </c>
      <c r="Q3086" t="s">
        <v>14098</v>
      </c>
      <c r="R3086" t="s">
        <v>398</v>
      </c>
      <c r="T3086">
        <v>470</v>
      </c>
      <c r="V3086" t="s">
        <v>4468</v>
      </c>
      <c r="W3086" t="s">
        <v>4468</v>
      </c>
      <c r="X3086">
        <v>470</v>
      </c>
      <c r="Z3086" t="s">
        <v>12934</v>
      </c>
      <c r="AA3086" t="s">
        <v>387</v>
      </c>
      <c r="AB3086">
        <v>0</v>
      </c>
      <c r="AC3086">
        <v>6610</v>
      </c>
      <c r="AD3086" t="s">
        <v>14099</v>
      </c>
      <c r="AE3086">
        <v>3056</v>
      </c>
      <c r="AF3086" t="s">
        <v>14100</v>
      </c>
      <c r="AG3086" t="s">
        <v>14101</v>
      </c>
      <c r="AH3086" t="s">
        <v>14102</v>
      </c>
    </row>
    <row r="3087" spans="1:34" x14ac:dyDescent="0.25">
      <c r="A3087">
        <v>9</v>
      </c>
      <c r="B3087" t="s">
        <v>1313</v>
      </c>
      <c r="C3087" s="185"/>
      <c r="D3087" t="s">
        <v>24</v>
      </c>
      <c r="E3087" t="s">
        <v>386</v>
      </c>
      <c r="F3087" t="s">
        <v>359</v>
      </c>
      <c r="G3087" t="s">
        <v>1197</v>
      </c>
      <c r="H3087" t="s">
        <v>14082</v>
      </c>
      <c r="I3087">
        <v>22</v>
      </c>
      <c r="J3087" t="s">
        <v>14103</v>
      </c>
      <c r="K3087" t="s">
        <v>7317</v>
      </c>
      <c r="L3087" t="s">
        <v>386</v>
      </c>
      <c r="M3087" t="s">
        <v>1193</v>
      </c>
      <c r="N3087">
        <v>15345</v>
      </c>
      <c r="O3087">
        <v>55</v>
      </c>
      <c r="Q3087" t="s">
        <v>14104</v>
      </c>
      <c r="R3087" t="s">
        <v>398</v>
      </c>
      <c r="S3087" t="s">
        <v>7319</v>
      </c>
      <c r="T3087">
        <v>220</v>
      </c>
      <c r="U3087">
        <v>0</v>
      </c>
      <c r="V3087" t="s">
        <v>1194</v>
      </c>
      <c r="W3087" t="s">
        <v>1200</v>
      </c>
      <c r="X3087">
        <v>340</v>
      </c>
      <c r="Y3087" t="s">
        <v>1317</v>
      </c>
      <c r="Z3087" t="s">
        <v>864</v>
      </c>
      <c r="AA3087" t="s">
        <v>387</v>
      </c>
      <c r="AB3087">
        <v>47000</v>
      </c>
      <c r="AC3087">
        <v>2228</v>
      </c>
      <c r="AD3087" t="s">
        <v>14084</v>
      </c>
      <c r="AE3087">
        <v>16</v>
      </c>
      <c r="AF3087" t="s">
        <v>14105</v>
      </c>
      <c r="AG3087" t="s">
        <v>2044</v>
      </c>
      <c r="AH3087" t="s">
        <v>7320</v>
      </c>
    </row>
    <row r="3088" spans="1:34" x14ac:dyDescent="0.25">
      <c r="A3088">
        <v>81</v>
      </c>
      <c r="C3088" s="185"/>
      <c r="E3088" t="s">
        <v>386</v>
      </c>
      <c r="F3088" t="s">
        <v>14106</v>
      </c>
      <c r="G3088" t="s">
        <v>1197</v>
      </c>
      <c r="H3088" t="s">
        <v>14107</v>
      </c>
      <c r="I3088">
        <v>4497</v>
      </c>
      <c r="J3088" t="s">
        <v>14106</v>
      </c>
      <c r="K3088" t="s">
        <v>14108</v>
      </c>
      <c r="L3088" t="s">
        <v>386</v>
      </c>
      <c r="M3088" t="s">
        <v>1193</v>
      </c>
      <c r="N3088">
        <v>4497</v>
      </c>
      <c r="O3088">
        <v>55</v>
      </c>
      <c r="Q3088" t="s">
        <v>14109</v>
      </c>
      <c r="R3088" t="s">
        <v>398</v>
      </c>
      <c r="T3088">
        <v>396</v>
      </c>
      <c r="V3088" t="s">
        <v>2186</v>
      </c>
      <c r="W3088" t="s">
        <v>1194</v>
      </c>
      <c r="X3088">
        <v>220</v>
      </c>
      <c r="Z3088" t="s">
        <v>12264</v>
      </c>
      <c r="AA3088" t="s">
        <v>387</v>
      </c>
      <c r="AB3088">
        <v>47000</v>
      </c>
      <c r="AC3088">
        <v>2349</v>
      </c>
      <c r="AD3088" t="s">
        <v>14110</v>
      </c>
      <c r="AE3088">
        <v>1125</v>
      </c>
      <c r="AF3088" t="s">
        <v>14111</v>
      </c>
      <c r="AG3088" t="s">
        <v>1244</v>
      </c>
      <c r="AH3088" t="s">
        <v>14112</v>
      </c>
    </row>
    <row r="3089" spans="1:34" x14ac:dyDescent="0.25">
      <c r="A3089">
        <v>9</v>
      </c>
      <c r="C3089" s="185"/>
      <c r="E3089" t="s">
        <v>386</v>
      </c>
      <c r="F3089" t="s">
        <v>14113</v>
      </c>
      <c r="H3089" t="s">
        <v>14114</v>
      </c>
      <c r="I3089">
        <v>8974</v>
      </c>
      <c r="J3089" t="s">
        <v>14113</v>
      </c>
      <c r="K3089" t="s">
        <v>14113</v>
      </c>
      <c r="L3089" t="s">
        <v>386</v>
      </c>
      <c r="M3089" t="s">
        <v>1193</v>
      </c>
      <c r="N3089">
        <v>8974</v>
      </c>
      <c r="O3089">
        <v>0</v>
      </c>
      <c r="Q3089" t="s">
        <v>14115</v>
      </c>
      <c r="R3089" t="s">
        <v>1223</v>
      </c>
      <c r="T3089">
        <v>103</v>
      </c>
      <c r="V3089" t="s">
        <v>1530</v>
      </c>
      <c r="Z3089" t="s">
        <v>864</v>
      </c>
      <c r="AA3089" t="s">
        <v>387</v>
      </c>
      <c r="AB3089">
        <v>0</v>
      </c>
      <c r="AC3089">
        <v>3579</v>
      </c>
      <c r="AD3089" t="s">
        <v>14116</v>
      </c>
      <c r="AE3089">
        <v>0</v>
      </c>
      <c r="AF3089" t="s">
        <v>1188</v>
      </c>
      <c r="AG3089" t="s">
        <v>14117</v>
      </c>
      <c r="AH3089" t="s">
        <v>14118</v>
      </c>
    </row>
    <row r="3090" spans="1:34" x14ac:dyDescent="0.25">
      <c r="A3090">
        <v>13</v>
      </c>
      <c r="C3090" s="185"/>
      <c r="E3090" t="s">
        <v>386</v>
      </c>
      <c r="F3090" t="s">
        <v>14119</v>
      </c>
      <c r="G3090" t="s">
        <v>1197</v>
      </c>
      <c r="H3090" t="s">
        <v>14120</v>
      </c>
      <c r="I3090">
        <v>2515</v>
      </c>
      <c r="J3090" t="s">
        <v>14119</v>
      </c>
      <c r="K3090" t="s">
        <v>14121</v>
      </c>
      <c r="L3090" t="s">
        <v>386</v>
      </c>
      <c r="M3090" t="s">
        <v>1193</v>
      </c>
      <c r="N3090">
        <v>2515</v>
      </c>
      <c r="O3090">
        <v>0</v>
      </c>
      <c r="Q3090" t="s">
        <v>14122</v>
      </c>
      <c r="T3090">
        <v>52</v>
      </c>
      <c r="V3090" t="s">
        <v>2024</v>
      </c>
      <c r="Z3090" t="s">
        <v>12219</v>
      </c>
      <c r="AA3090" t="s">
        <v>387</v>
      </c>
      <c r="AB3090">
        <v>0</v>
      </c>
      <c r="AC3090">
        <v>224</v>
      </c>
      <c r="AD3090" t="s">
        <v>13071</v>
      </c>
      <c r="AE3090">
        <v>1</v>
      </c>
      <c r="AF3090" t="s">
        <v>1922</v>
      </c>
      <c r="AG3090" t="s">
        <v>2012</v>
      </c>
      <c r="AH3090" t="s">
        <v>14123</v>
      </c>
    </row>
    <row r="3091" spans="1:34" x14ac:dyDescent="0.25">
      <c r="A3091">
        <v>104</v>
      </c>
      <c r="C3091" s="185"/>
      <c r="E3091" t="s">
        <v>386</v>
      </c>
      <c r="F3091" t="s">
        <v>14124</v>
      </c>
      <c r="G3091" t="s">
        <v>1197</v>
      </c>
      <c r="H3091" t="s">
        <v>14125</v>
      </c>
      <c r="I3091">
        <v>2318</v>
      </c>
      <c r="J3091" t="s">
        <v>14124</v>
      </c>
      <c r="K3091" t="s">
        <v>14126</v>
      </c>
      <c r="L3091" t="s">
        <v>386</v>
      </c>
      <c r="M3091" t="s">
        <v>1193</v>
      </c>
      <c r="N3091">
        <v>2318</v>
      </c>
      <c r="O3091">
        <v>0</v>
      </c>
      <c r="Q3091" t="s">
        <v>14127</v>
      </c>
      <c r="T3091">
        <v>52</v>
      </c>
      <c r="V3091" t="s">
        <v>2024</v>
      </c>
      <c r="Z3091" t="s">
        <v>14128</v>
      </c>
      <c r="AA3091" t="s">
        <v>387</v>
      </c>
      <c r="AB3091">
        <v>0</v>
      </c>
      <c r="AC3091">
        <v>1701</v>
      </c>
      <c r="AD3091" t="s">
        <v>14129</v>
      </c>
      <c r="AE3091">
        <v>1</v>
      </c>
      <c r="AF3091" t="s">
        <v>1922</v>
      </c>
      <c r="AG3091" t="s">
        <v>10609</v>
      </c>
      <c r="AH3091" t="s">
        <v>14130</v>
      </c>
    </row>
    <row r="3092" spans="1:34" x14ac:dyDescent="0.25">
      <c r="A3092">
        <v>1159</v>
      </c>
      <c r="C3092" s="185"/>
      <c r="E3092" t="s">
        <v>386</v>
      </c>
      <c r="F3092" t="s">
        <v>14131</v>
      </c>
      <c r="G3092" t="s">
        <v>1197</v>
      </c>
      <c r="H3092" t="s">
        <v>14132</v>
      </c>
      <c r="I3092">
        <v>6672</v>
      </c>
      <c r="J3092" t="s">
        <v>14131</v>
      </c>
      <c r="K3092" t="s">
        <v>14131</v>
      </c>
      <c r="L3092" t="s">
        <v>386</v>
      </c>
      <c r="M3092" t="s">
        <v>1193</v>
      </c>
      <c r="N3092">
        <v>6672</v>
      </c>
      <c r="O3092">
        <v>0</v>
      </c>
      <c r="Q3092" t="s">
        <v>14133</v>
      </c>
      <c r="T3092">
        <v>260</v>
      </c>
      <c r="V3092" t="s">
        <v>1216</v>
      </c>
      <c r="W3092" t="s">
        <v>2144</v>
      </c>
      <c r="X3092">
        <v>39</v>
      </c>
      <c r="Z3092" t="s">
        <v>14134</v>
      </c>
      <c r="AA3092" t="s">
        <v>387</v>
      </c>
      <c r="AB3092">
        <v>0</v>
      </c>
      <c r="AC3092">
        <v>2980</v>
      </c>
      <c r="AD3092" t="s">
        <v>14135</v>
      </c>
      <c r="AE3092">
        <v>1413</v>
      </c>
      <c r="AF3092" t="s">
        <v>14136</v>
      </c>
      <c r="AG3092" t="s">
        <v>9664</v>
      </c>
      <c r="AH3092" t="s">
        <v>14137</v>
      </c>
    </row>
    <row r="3093" spans="1:34" x14ac:dyDescent="0.25">
      <c r="A3093">
        <v>1972</v>
      </c>
      <c r="C3093" s="185"/>
      <c r="E3093" t="s">
        <v>386</v>
      </c>
      <c r="F3093" t="s">
        <v>14138</v>
      </c>
      <c r="G3093" t="s">
        <v>1197</v>
      </c>
      <c r="H3093" t="s">
        <v>14139</v>
      </c>
      <c r="I3093">
        <v>11722</v>
      </c>
      <c r="J3093" t="s">
        <v>14138</v>
      </c>
      <c r="K3093" t="s">
        <v>14138</v>
      </c>
      <c r="L3093" t="s">
        <v>386</v>
      </c>
      <c r="M3093" t="s">
        <v>1193</v>
      </c>
      <c r="N3093">
        <v>11722</v>
      </c>
      <c r="O3093">
        <v>0</v>
      </c>
      <c r="Q3093" t="s">
        <v>14140</v>
      </c>
      <c r="T3093">
        <v>260</v>
      </c>
      <c r="V3093" t="s">
        <v>1216</v>
      </c>
      <c r="Z3093" t="s">
        <v>14141</v>
      </c>
      <c r="AA3093" t="s">
        <v>387</v>
      </c>
      <c r="AB3093">
        <v>13000</v>
      </c>
      <c r="AC3093">
        <v>4470</v>
      </c>
      <c r="AD3093" t="s">
        <v>14142</v>
      </c>
      <c r="AE3093">
        <v>481</v>
      </c>
      <c r="AF3093" t="s">
        <v>3443</v>
      </c>
      <c r="AG3093" t="s">
        <v>14143</v>
      </c>
    </row>
    <row r="3094" spans="1:34" x14ac:dyDescent="0.25">
      <c r="A3094">
        <v>149</v>
      </c>
      <c r="B3094" t="s">
        <v>1313</v>
      </c>
      <c r="C3094" s="185"/>
      <c r="D3094" t="s">
        <v>24</v>
      </c>
      <c r="E3094" t="s">
        <v>386</v>
      </c>
      <c r="F3094" t="s">
        <v>360</v>
      </c>
      <c r="G3094" t="s">
        <v>1197</v>
      </c>
      <c r="H3094" t="s">
        <v>14144</v>
      </c>
      <c r="I3094">
        <v>912</v>
      </c>
      <c r="J3094" t="s">
        <v>217</v>
      </c>
      <c r="K3094" t="s">
        <v>14145</v>
      </c>
      <c r="L3094" t="s">
        <v>386</v>
      </c>
      <c r="M3094" t="s">
        <v>1193</v>
      </c>
      <c r="N3094">
        <v>15330</v>
      </c>
      <c r="O3094">
        <v>55</v>
      </c>
      <c r="Q3094" t="s">
        <v>14146</v>
      </c>
      <c r="R3094" t="s">
        <v>398</v>
      </c>
      <c r="S3094" t="s">
        <v>7889</v>
      </c>
      <c r="T3094">
        <v>396</v>
      </c>
      <c r="U3094">
        <v>0</v>
      </c>
      <c r="V3094" t="s">
        <v>2186</v>
      </c>
      <c r="W3094" t="s">
        <v>2186</v>
      </c>
      <c r="X3094">
        <v>396</v>
      </c>
      <c r="Y3094" t="s">
        <v>1317</v>
      </c>
      <c r="Z3094" t="s">
        <v>7870</v>
      </c>
      <c r="AA3094" t="s">
        <v>387</v>
      </c>
      <c r="AB3094">
        <v>47000</v>
      </c>
      <c r="AC3094">
        <v>777</v>
      </c>
      <c r="AD3094" t="s">
        <v>14147</v>
      </c>
      <c r="AE3094">
        <v>373</v>
      </c>
      <c r="AF3094" t="s">
        <v>8151</v>
      </c>
      <c r="AG3094" t="s">
        <v>14148</v>
      </c>
      <c r="AH3094" t="s">
        <v>14149</v>
      </c>
    </row>
    <row r="3095" spans="1:34" x14ac:dyDescent="0.25">
      <c r="A3095">
        <v>139</v>
      </c>
      <c r="C3095" s="185"/>
      <c r="D3095" t="s">
        <v>24</v>
      </c>
      <c r="E3095" t="s">
        <v>386</v>
      </c>
      <c r="G3095" t="s">
        <v>1197</v>
      </c>
      <c r="H3095" t="s">
        <v>14150</v>
      </c>
      <c r="I3095">
        <v>618</v>
      </c>
      <c r="J3095" t="s">
        <v>14151</v>
      </c>
      <c r="K3095" t="s">
        <v>14151</v>
      </c>
      <c r="L3095" t="s">
        <v>386</v>
      </c>
      <c r="M3095" t="s">
        <v>1193</v>
      </c>
      <c r="O3095">
        <v>55</v>
      </c>
      <c r="Q3095" t="s">
        <v>14152</v>
      </c>
      <c r="R3095" t="s">
        <v>398</v>
      </c>
      <c r="T3095">
        <v>396</v>
      </c>
      <c r="V3095" t="s">
        <v>2186</v>
      </c>
      <c r="W3095" t="s">
        <v>1194</v>
      </c>
      <c r="X3095">
        <v>220</v>
      </c>
      <c r="Z3095" t="s">
        <v>14153</v>
      </c>
      <c r="AA3095" t="s">
        <v>387</v>
      </c>
      <c r="AB3095">
        <v>47000</v>
      </c>
      <c r="AC3095">
        <v>574</v>
      </c>
      <c r="AD3095" t="s">
        <v>14154</v>
      </c>
      <c r="AE3095">
        <v>18</v>
      </c>
      <c r="AF3095" t="s">
        <v>1259</v>
      </c>
      <c r="AG3095" t="s">
        <v>1931</v>
      </c>
      <c r="AH3095" t="s">
        <v>14155</v>
      </c>
    </row>
    <row r="3096" spans="1:34" x14ac:dyDescent="0.25">
      <c r="A3096">
        <v>39</v>
      </c>
      <c r="C3096" s="185"/>
      <c r="E3096" t="s">
        <v>386</v>
      </c>
      <c r="F3096" t="s">
        <v>14156</v>
      </c>
      <c r="G3096" t="s">
        <v>1197</v>
      </c>
      <c r="H3096" t="s">
        <v>14157</v>
      </c>
      <c r="I3096">
        <v>1966</v>
      </c>
      <c r="J3096" t="s">
        <v>14156</v>
      </c>
      <c r="K3096" t="s">
        <v>14158</v>
      </c>
      <c r="L3096" t="s">
        <v>386</v>
      </c>
      <c r="M3096" t="s">
        <v>1193</v>
      </c>
      <c r="N3096">
        <v>1966</v>
      </c>
      <c r="O3096">
        <v>0</v>
      </c>
      <c r="Q3096" t="s">
        <v>14159</v>
      </c>
      <c r="T3096">
        <v>340</v>
      </c>
      <c r="V3096" t="s">
        <v>1200</v>
      </c>
      <c r="W3096" t="s">
        <v>2015</v>
      </c>
      <c r="X3096">
        <v>35</v>
      </c>
      <c r="Z3096" t="s">
        <v>2303</v>
      </c>
      <c r="AA3096" t="s">
        <v>387</v>
      </c>
      <c r="AB3096">
        <v>0</v>
      </c>
      <c r="AC3096">
        <v>1887</v>
      </c>
      <c r="AD3096" t="s">
        <v>14160</v>
      </c>
      <c r="AE3096">
        <v>1</v>
      </c>
      <c r="AF3096" t="s">
        <v>1922</v>
      </c>
      <c r="AG3096" t="s">
        <v>14161</v>
      </c>
      <c r="AH3096" t="s">
        <v>14162</v>
      </c>
    </row>
    <row r="3097" spans="1:34" x14ac:dyDescent="0.25">
      <c r="A3097">
        <v>39</v>
      </c>
      <c r="C3097" s="185"/>
      <c r="D3097" t="s">
        <v>24</v>
      </c>
      <c r="E3097" t="s">
        <v>386</v>
      </c>
      <c r="F3097" t="s">
        <v>650</v>
      </c>
      <c r="G3097" t="s">
        <v>1197</v>
      </c>
      <c r="H3097" t="s">
        <v>14163</v>
      </c>
      <c r="I3097">
        <v>17165</v>
      </c>
      <c r="J3097" t="s">
        <v>650</v>
      </c>
      <c r="K3097" t="s">
        <v>14164</v>
      </c>
      <c r="L3097" t="s">
        <v>386</v>
      </c>
      <c r="M3097" t="s">
        <v>1193</v>
      </c>
      <c r="N3097">
        <v>17165</v>
      </c>
      <c r="O3097">
        <v>0</v>
      </c>
      <c r="Q3097" t="s">
        <v>14165</v>
      </c>
      <c r="R3097" t="s">
        <v>398</v>
      </c>
      <c r="T3097">
        <v>521</v>
      </c>
      <c r="V3097" t="s">
        <v>6311</v>
      </c>
      <c r="W3097" t="s">
        <v>6311</v>
      </c>
      <c r="X3097">
        <v>521</v>
      </c>
      <c r="Z3097" t="s">
        <v>2303</v>
      </c>
      <c r="AA3097" t="s">
        <v>387</v>
      </c>
      <c r="AB3097">
        <v>0</v>
      </c>
      <c r="AC3097">
        <v>4338</v>
      </c>
      <c r="AD3097" t="s">
        <v>14166</v>
      </c>
      <c r="AE3097">
        <v>823</v>
      </c>
      <c r="AF3097" t="s">
        <v>14167</v>
      </c>
      <c r="AG3097" t="s">
        <v>14168</v>
      </c>
      <c r="AH3097" t="s">
        <v>14169</v>
      </c>
    </row>
    <row r="3098" spans="1:34" x14ac:dyDescent="0.25">
      <c r="A3098">
        <v>673</v>
      </c>
      <c r="C3098" s="185"/>
      <c r="E3098" t="s">
        <v>386</v>
      </c>
      <c r="F3098" t="s">
        <v>14170</v>
      </c>
      <c r="G3098" t="s">
        <v>1197</v>
      </c>
      <c r="H3098" t="s">
        <v>14171</v>
      </c>
      <c r="I3098">
        <v>4299</v>
      </c>
      <c r="J3098" t="s">
        <v>14170</v>
      </c>
      <c r="K3098" t="s">
        <v>14172</v>
      </c>
      <c r="L3098" t="s">
        <v>386</v>
      </c>
      <c r="M3098" t="s">
        <v>1193</v>
      </c>
      <c r="N3098">
        <v>4299</v>
      </c>
      <c r="O3098">
        <v>55</v>
      </c>
      <c r="Q3098" t="s">
        <v>14173</v>
      </c>
      <c r="R3098" t="s">
        <v>398</v>
      </c>
      <c r="T3098">
        <v>220</v>
      </c>
      <c r="V3098" t="s">
        <v>1194</v>
      </c>
      <c r="W3098" t="s">
        <v>1194</v>
      </c>
      <c r="X3098">
        <v>220</v>
      </c>
      <c r="Z3098" t="s">
        <v>14174</v>
      </c>
      <c r="AA3098" t="s">
        <v>387</v>
      </c>
      <c r="AB3098">
        <v>47000</v>
      </c>
      <c r="AC3098">
        <v>2281</v>
      </c>
      <c r="AD3098" t="s">
        <v>14175</v>
      </c>
      <c r="AE3098">
        <v>1</v>
      </c>
      <c r="AF3098" t="s">
        <v>1922</v>
      </c>
      <c r="AG3098" t="s">
        <v>14176</v>
      </c>
      <c r="AH3098" t="s">
        <v>14177</v>
      </c>
    </row>
    <row r="3099" spans="1:34" x14ac:dyDescent="0.25">
      <c r="A3099">
        <v>1524</v>
      </c>
      <c r="B3099" t="s">
        <v>1313</v>
      </c>
      <c r="C3099" s="185"/>
      <c r="D3099" t="s">
        <v>157</v>
      </c>
      <c r="E3099" t="s">
        <v>386</v>
      </c>
      <c r="F3099" t="s">
        <v>361</v>
      </c>
      <c r="G3099" t="s">
        <v>1197</v>
      </c>
      <c r="H3099" t="s">
        <v>13951</v>
      </c>
      <c r="I3099">
        <v>5266</v>
      </c>
      <c r="J3099" t="s">
        <v>14178</v>
      </c>
      <c r="K3099" t="s">
        <v>13952</v>
      </c>
      <c r="L3099" t="s">
        <v>386</v>
      </c>
      <c r="M3099" t="s">
        <v>1193</v>
      </c>
      <c r="N3099">
        <v>15341</v>
      </c>
      <c r="O3099">
        <v>55</v>
      </c>
      <c r="Q3099" t="s">
        <v>14179</v>
      </c>
      <c r="R3099" t="s">
        <v>398</v>
      </c>
      <c r="S3099" t="s">
        <v>13954</v>
      </c>
      <c r="T3099">
        <v>396</v>
      </c>
      <c r="U3099">
        <v>0</v>
      </c>
      <c r="V3099" t="s">
        <v>2186</v>
      </c>
      <c r="W3099" t="s">
        <v>4468</v>
      </c>
      <c r="X3099">
        <v>470</v>
      </c>
      <c r="Y3099" t="s">
        <v>1317</v>
      </c>
      <c r="Z3099" t="s">
        <v>1019</v>
      </c>
      <c r="AA3099" t="s">
        <v>387</v>
      </c>
      <c r="AB3099">
        <v>47000</v>
      </c>
      <c r="AC3099">
        <v>2536</v>
      </c>
      <c r="AD3099" t="s">
        <v>14180</v>
      </c>
      <c r="AE3099">
        <v>965</v>
      </c>
      <c r="AF3099" t="s">
        <v>13956</v>
      </c>
      <c r="AG3099" t="s">
        <v>2044</v>
      </c>
      <c r="AH3099" t="s">
        <v>13957</v>
      </c>
    </row>
    <row r="3100" spans="1:34" x14ac:dyDescent="0.25">
      <c r="A3100">
        <v>125</v>
      </c>
      <c r="B3100" t="s">
        <v>1313</v>
      </c>
      <c r="C3100" s="185"/>
      <c r="D3100" t="s">
        <v>24</v>
      </c>
      <c r="E3100" t="s">
        <v>386</v>
      </c>
      <c r="F3100" t="s">
        <v>14181</v>
      </c>
      <c r="G3100" t="s">
        <v>1197</v>
      </c>
      <c r="H3100" t="s">
        <v>14182</v>
      </c>
      <c r="I3100">
        <v>1039</v>
      </c>
      <c r="J3100" t="s">
        <v>14181</v>
      </c>
      <c r="K3100" t="s">
        <v>14181</v>
      </c>
      <c r="L3100" t="s">
        <v>386</v>
      </c>
      <c r="M3100" t="s">
        <v>1193</v>
      </c>
      <c r="N3100">
        <v>1039</v>
      </c>
      <c r="O3100">
        <v>2</v>
      </c>
      <c r="Q3100" t="s">
        <v>14183</v>
      </c>
      <c r="S3100" t="s">
        <v>1315</v>
      </c>
      <c r="T3100">
        <v>0</v>
      </c>
      <c r="U3100">
        <v>0</v>
      </c>
      <c r="V3100" t="s">
        <v>1186</v>
      </c>
      <c r="Y3100" t="s">
        <v>1317</v>
      </c>
      <c r="Z3100" t="s">
        <v>1029</v>
      </c>
      <c r="AA3100" t="s">
        <v>387</v>
      </c>
      <c r="AB3100">
        <v>4000</v>
      </c>
      <c r="AC3100">
        <v>857</v>
      </c>
      <c r="AD3100" t="s">
        <v>14184</v>
      </c>
      <c r="AE3100">
        <v>401</v>
      </c>
      <c r="AF3100" t="s">
        <v>14185</v>
      </c>
      <c r="AG3100" t="s">
        <v>7020</v>
      </c>
    </row>
    <row r="3101" spans="1:34" x14ac:dyDescent="0.25">
      <c r="A3101">
        <v>9</v>
      </c>
      <c r="B3101" t="s">
        <v>1313</v>
      </c>
      <c r="C3101" s="185"/>
      <c r="D3101" t="s">
        <v>24</v>
      </c>
      <c r="E3101" t="s">
        <v>386</v>
      </c>
      <c r="F3101" t="s">
        <v>15465</v>
      </c>
      <c r="G3101" t="s">
        <v>1197</v>
      </c>
      <c r="H3101" t="s">
        <v>14186</v>
      </c>
      <c r="I3101">
        <v>1936</v>
      </c>
      <c r="J3101" t="s">
        <v>64</v>
      </c>
      <c r="K3101" t="s">
        <v>14071</v>
      </c>
      <c r="L3101" t="s">
        <v>386</v>
      </c>
      <c r="M3101" t="s">
        <v>1193</v>
      </c>
      <c r="N3101">
        <v>17798</v>
      </c>
      <c r="O3101">
        <v>55</v>
      </c>
      <c r="Q3101" t="s">
        <v>14187</v>
      </c>
      <c r="R3101" t="s">
        <v>398</v>
      </c>
      <c r="S3101" t="s">
        <v>1909</v>
      </c>
      <c r="T3101">
        <v>200</v>
      </c>
      <c r="U3101">
        <v>0</v>
      </c>
      <c r="V3101" t="s">
        <v>1199</v>
      </c>
      <c r="W3101" t="s">
        <v>1194</v>
      </c>
      <c r="X3101">
        <v>220</v>
      </c>
      <c r="Y3101" t="s">
        <v>1317</v>
      </c>
      <c r="Z3101" t="s">
        <v>864</v>
      </c>
      <c r="AA3101" t="s">
        <v>387</v>
      </c>
      <c r="AB3101">
        <v>47000</v>
      </c>
      <c r="AC3101">
        <v>535</v>
      </c>
      <c r="AD3101" t="s">
        <v>14188</v>
      </c>
      <c r="AE3101">
        <v>109</v>
      </c>
      <c r="AF3101" t="s">
        <v>8568</v>
      </c>
      <c r="AG3101" t="s">
        <v>9557</v>
      </c>
      <c r="AH3101" t="s">
        <v>14074</v>
      </c>
    </row>
    <row r="3102" spans="1:34" x14ac:dyDescent="0.25">
      <c r="A3102">
        <v>9</v>
      </c>
      <c r="C3102" s="185"/>
      <c r="E3102" t="s">
        <v>386</v>
      </c>
      <c r="F3102" t="s">
        <v>14189</v>
      </c>
      <c r="G3102" t="s">
        <v>1197</v>
      </c>
      <c r="H3102" t="s">
        <v>14190</v>
      </c>
      <c r="I3102">
        <v>5368</v>
      </c>
      <c r="J3102" t="s">
        <v>14189</v>
      </c>
      <c r="K3102" t="s">
        <v>14189</v>
      </c>
      <c r="L3102" t="s">
        <v>386</v>
      </c>
      <c r="M3102" t="s">
        <v>1193</v>
      </c>
      <c r="N3102">
        <v>5368</v>
      </c>
      <c r="O3102">
        <v>0</v>
      </c>
      <c r="Q3102" t="s">
        <v>14191</v>
      </c>
      <c r="T3102">
        <v>35</v>
      </c>
      <c r="V3102" t="s">
        <v>2015</v>
      </c>
      <c r="Z3102" t="s">
        <v>864</v>
      </c>
      <c r="AA3102" t="s">
        <v>387</v>
      </c>
      <c r="AB3102">
        <v>0</v>
      </c>
      <c r="AC3102">
        <v>158</v>
      </c>
      <c r="AD3102" t="s">
        <v>14192</v>
      </c>
      <c r="AE3102">
        <v>1239</v>
      </c>
      <c r="AF3102" t="s">
        <v>14193</v>
      </c>
      <c r="AG3102" t="s">
        <v>4709</v>
      </c>
      <c r="AH3102" t="s">
        <v>14194</v>
      </c>
    </row>
    <row r="3103" spans="1:34" x14ac:dyDescent="0.25">
      <c r="A3103">
        <v>9</v>
      </c>
      <c r="C3103" s="185"/>
      <c r="E3103" t="s">
        <v>386</v>
      </c>
      <c r="F3103" t="s">
        <v>14195</v>
      </c>
      <c r="G3103" t="s">
        <v>1197</v>
      </c>
      <c r="H3103" t="s">
        <v>14196</v>
      </c>
      <c r="I3103">
        <v>2284</v>
      </c>
      <c r="J3103" t="s">
        <v>14195</v>
      </c>
      <c r="K3103" t="s">
        <v>14197</v>
      </c>
      <c r="L3103" t="s">
        <v>386</v>
      </c>
      <c r="M3103" t="s">
        <v>1193</v>
      </c>
      <c r="N3103">
        <v>2284</v>
      </c>
      <c r="O3103">
        <v>0</v>
      </c>
      <c r="Q3103" t="s">
        <v>14198</v>
      </c>
      <c r="T3103">
        <v>52</v>
      </c>
      <c r="V3103" t="s">
        <v>2024</v>
      </c>
      <c r="Z3103" t="s">
        <v>864</v>
      </c>
      <c r="AA3103" t="s">
        <v>387</v>
      </c>
      <c r="AB3103">
        <v>0</v>
      </c>
      <c r="AC3103">
        <v>1681</v>
      </c>
      <c r="AD3103" t="s">
        <v>14199</v>
      </c>
      <c r="AE3103">
        <v>138</v>
      </c>
      <c r="AF3103" t="s">
        <v>2509</v>
      </c>
      <c r="AG3103" t="s">
        <v>8816</v>
      </c>
      <c r="AH3103" t="s">
        <v>14200</v>
      </c>
    </row>
    <row r="3104" spans="1:34" x14ac:dyDescent="0.25">
      <c r="A3104">
        <v>39</v>
      </c>
      <c r="C3104" s="185"/>
      <c r="E3104" t="s">
        <v>386</v>
      </c>
      <c r="F3104" t="s">
        <v>14201</v>
      </c>
      <c r="G3104" t="s">
        <v>1197</v>
      </c>
      <c r="H3104" t="s">
        <v>14202</v>
      </c>
      <c r="I3104">
        <v>13325</v>
      </c>
      <c r="J3104" t="s">
        <v>14201</v>
      </c>
      <c r="K3104" t="s">
        <v>14201</v>
      </c>
      <c r="L3104" t="s">
        <v>386</v>
      </c>
      <c r="M3104" t="s">
        <v>1193</v>
      </c>
      <c r="N3104">
        <v>13325</v>
      </c>
      <c r="O3104">
        <v>0</v>
      </c>
      <c r="Q3104" t="s">
        <v>14203</v>
      </c>
      <c r="R3104" t="s">
        <v>1208</v>
      </c>
      <c r="T3104">
        <v>304</v>
      </c>
      <c r="V3104" t="s">
        <v>2067</v>
      </c>
      <c r="W3104" t="s">
        <v>2067</v>
      </c>
      <c r="X3104">
        <v>304</v>
      </c>
      <c r="Z3104" t="s">
        <v>2303</v>
      </c>
      <c r="AA3104" t="s">
        <v>387</v>
      </c>
      <c r="AB3104">
        <v>0</v>
      </c>
      <c r="AC3104">
        <v>4995</v>
      </c>
      <c r="AD3104" t="s">
        <v>14204</v>
      </c>
      <c r="AE3104">
        <v>146</v>
      </c>
      <c r="AF3104" t="s">
        <v>14205</v>
      </c>
      <c r="AG3104" t="s">
        <v>14206</v>
      </c>
      <c r="AH3104" t="s">
        <v>14207</v>
      </c>
    </row>
    <row r="3105" spans="1:34" x14ac:dyDescent="0.25">
      <c r="A3105">
        <v>1405</v>
      </c>
      <c r="C3105" s="185"/>
      <c r="D3105" t="s">
        <v>24</v>
      </c>
      <c r="E3105" t="s">
        <v>386</v>
      </c>
      <c r="G3105" t="s">
        <v>1197</v>
      </c>
      <c r="H3105" t="s">
        <v>14208</v>
      </c>
      <c r="I3105">
        <v>2179</v>
      </c>
      <c r="J3105" t="s">
        <v>14209</v>
      </c>
      <c r="K3105" t="s">
        <v>14210</v>
      </c>
      <c r="L3105" t="s">
        <v>386</v>
      </c>
      <c r="M3105" t="s">
        <v>1193</v>
      </c>
      <c r="O3105">
        <v>55</v>
      </c>
      <c r="Q3105" t="s">
        <v>14211</v>
      </c>
      <c r="R3105" t="s">
        <v>398</v>
      </c>
      <c r="T3105">
        <v>396</v>
      </c>
      <c r="V3105" t="s">
        <v>2186</v>
      </c>
      <c r="W3105" t="s">
        <v>1194</v>
      </c>
      <c r="X3105">
        <v>220</v>
      </c>
      <c r="Z3105" t="s">
        <v>14212</v>
      </c>
      <c r="AA3105" t="s">
        <v>387</v>
      </c>
      <c r="AB3105">
        <v>47000</v>
      </c>
      <c r="AC3105">
        <v>1602</v>
      </c>
      <c r="AD3105" t="s">
        <v>14213</v>
      </c>
      <c r="AE3105">
        <v>786</v>
      </c>
      <c r="AF3105" t="s">
        <v>12963</v>
      </c>
      <c r="AG3105" t="s">
        <v>11068</v>
      </c>
      <c r="AH3105" t="s">
        <v>14214</v>
      </c>
    </row>
    <row r="3106" spans="1:34" x14ac:dyDescent="0.25">
      <c r="A3106">
        <v>75</v>
      </c>
      <c r="B3106" t="s">
        <v>1313</v>
      </c>
      <c r="C3106" s="185"/>
      <c r="D3106" t="s">
        <v>24</v>
      </c>
      <c r="E3106" t="s">
        <v>386</v>
      </c>
      <c r="F3106" t="s">
        <v>362</v>
      </c>
      <c r="G3106" t="s">
        <v>1197</v>
      </c>
      <c r="H3106" t="s">
        <v>10246</v>
      </c>
      <c r="I3106">
        <v>773</v>
      </c>
      <c r="J3106" t="s">
        <v>14215</v>
      </c>
      <c r="K3106" t="s">
        <v>5894</v>
      </c>
      <c r="L3106" t="s">
        <v>386</v>
      </c>
      <c r="M3106" t="s">
        <v>1193</v>
      </c>
      <c r="N3106">
        <v>15321</v>
      </c>
      <c r="O3106">
        <v>0</v>
      </c>
      <c r="Q3106" t="s">
        <v>14216</v>
      </c>
      <c r="R3106" t="s">
        <v>398</v>
      </c>
      <c r="S3106" t="s">
        <v>1315</v>
      </c>
      <c r="T3106">
        <v>272</v>
      </c>
      <c r="U3106">
        <v>0</v>
      </c>
      <c r="V3106" t="s">
        <v>2107</v>
      </c>
      <c r="W3106" t="s">
        <v>1194</v>
      </c>
      <c r="X3106">
        <v>220</v>
      </c>
      <c r="Y3106" t="s">
        <v>1317</v>
      </c>
      <c r="Z3106" t="s">
        <v>1002</v>
      </c>
      <c r="AA3106" t="s">
        <v>387</v>
      </c>
      <c r="AB3106">
        <v>0</v>
      </c>
      <c r="AC3106">
        <v>208</v>
      </c>
      <c r="AD3106" t="s">
        <v>10250</v>
      </c>
      <c r="AE3106">
        <v>215</v>
      </c>
      <c r="AF3106" t="s">
        <v>10251</v>
      </c>
      <c r="AG3106" t="s">
        <v>10252</v>
      </c>
      <c r="AH3106" t="s">
        <v>10253</v>
      </c>
    </row>
    <row r="3107" spans="1:34" x14ac:dyDescent="0.25">
      <c r="A3107">
        <v>9</v>
      </c>
      <c r="C3107" s="185"/>
      <c r="E3107" t="s">
        <v>386</v>
      </c>
      <c r="F3107" t="s">
        <v>14217</v>
      </c>
      <c r="G3107" t="s">
        <v>1197</v>
      </c>
      <c r="H3107" t="s">
        <v>14218</v>
      </c>
      <c r="I3107">
        <v>2201</v>
      </c>
      <c r="J3107" t="s">
        <v>14217</v>
      </c>
      <c r="K3107" t="s">
        <v>14219</v>
      </c>
      <c r="L3107" t="s">
        <v>386</v>
      </c>
      <c r="M3107" t="s">
        <v>1193</v>
      </c>
      <c r="N3107">
        <v>2201</v>
      </c>
      <c r="O3107">
        <v>0</v>
      </c>
      <c r="Q3107" t="s">
        <v>14220</v>
      </c>
      <c r="T3107">
        <v>52</v>
      </c>
      <c r="V3107" t="s">
        <v>2024</v>
      </c>
      <c r="Z3107" t="s">
        <v>864</v>
      </c>
      <c r="AA3107" t="s">
        <v>387</v>
      </c>
      <c r="AB3107">
        <v>0</v>
      </c>
      <c r="AC3107">
        <v>1621</v>
      </c>
      <c r="AD3107" t="s">
        <v>14221</v>
      </c>
      <c r="AE3107">
        <v>367</v>
      </c>
      <c r="AF3107" t="s">
        <v>14222</v>
      </c>
      <c r="AG3107" t="s">
        <v>5507</v>
      </c>
      <c r="AH3107" t="s">
        <v>14223</v>
      </c>
    </row>
    <row r="3108" spans="1:34" x14ac:dyDescent="0.25">
      <c r="A3108">
        <v>75</v>
      </c>
      <c r="B3108" t="s">
        <v>1313</v>
      </c>
      <c r="C3108" s="185"/>
      <c r="D3108" t="s">
        <v>24</v>
      </c>
      <c r="E3108" t="s">
        <v>386</v>
      </c>
      <c r="F3108" t="s">
        <v>359</v>
      </c>
      <c r="G3108" t="s">
        <v>1197</v>
      </c>
      <c r="H3108" t="s">
        <v>10246</v>
      </c>
      <c r="I3108">
        <v>903</v>
      </c>
      <c r="J3108" t="s">
        <v>47</v>
      </c>
      <c r="K3108" t="s">
        <v>7607</v>
      </c>
      <c r="L3108" t="s">
        <v>386</v>
      </c>
      <c r="M3108" t="s">
        <v>1193</v>
      </c>
      <c r="N3108">
        <v>15345</v>
      </c>
      <c r="O3108">
        <v>55</v>
      </c>
      <c r="Q3108" t="s">
        <v>14224</v>
      </c>
      <c r="R3108" t="s">
        <v>398</v>
      </c>
      <c r="S3108" t="s">
        <v>7319</v>
      </c>
      <c r="T3108">
        <v>470</v>
      </c>
      <c r="U3108">
        <v>0</v>
      </c>
      <c r="V3108" t="s">
        <v>4468</v>
      </c>
      <c r="W3108" t="s">
        <v>1199</v>
      </c>
      <c r="X3108">
        <v>200</v>
      </c>
      <c r="Y3108" t="s">
        <v>1317</v>
      </c>
      <c r="Z3108" t="s">
        <v>1002</v>
      </c>
      <c r="AA3108" t="s">
        <v>387</v>
      </c>
      <c r="AB3108">
        <v>47000</v>
      </c>
      <c r="AC3108">
        <v>4838</v>
      </c>
      <c r="AD3108" t="s">
        <v>14225</v>
      </c>
      <c r="AE3108">
        <v>215</v>
      </c>
      <c r="AF3108" t="s">
        <v>10251</v>
      </c>
      <c r="AG3108" t="s">
        <v>14226</v>
      </c>
      <c r="AH3108" t="s">
        <v>14227</v>
      </c>
    </row>
    <row r="3109" spans="1:34" x14ac:dyDescent="0.25">
      <c r="A3109">
        <v>1144</v>
      </c>
      <c r="B3109" t="s">
        <v>1313</v>
      </c>
      <c r="C3109" s="185"/>
      <c r="D3109" t="s">
        <v>24</v>
      </c>
      <c r="E3109" t="s">
        <v>386</v>
      </c>
      <c r="F3109" t="s">
        <v>359</v>
      </c>
      <c r="G3109" t="s">
        <v>1197</v>
      </c>
      <c r="H3109" t="s">
        <v>14228</v>
      </c>
      <c r="I3109">
        <v>4386</v>
      </c>
      <c r="J3109" t="s">
        <v>14229</v>
      </c>
      <c r="K3109" t="s">
        <v>7607</v>
      </c>
      <c r="L3109" t="s">
        <v>386</v>
      </c>
      <c r="M3109" t="s">
        <v>1193</v>
      </c>
      <c r="N3109">
        <v>15345</v>
      </c>
      <c r="O3109">
        <v>55</v>
      </c>
      <c r="Q3109" t="s">
        <v>14230</v>
      </c>
      <c r="R3109" t="s">
        <v>398</v>
      </c>
      <c r="S3109" t="s">
        <v>7319</v>
      </c>
      <c r="T3109">
        <v>200</v>
      </c>
      <c r="U3109">
        <v>0</v>
      </c>
      <c r="V3109" t="s">
        <v>1199</v>
      </c>
      <c r="W3109" t="s">
        <v>2186</v>
      </c>
      <c r="X3109">
        <v>396</v>
      </c>
      <c r="Y3109" t="s">
        <v>1317</v>
      </c>
      <c r="Z3109" t="s">
        <v>14231</v>
      </c>
      <c r="AA3109" t="s">
        <v>387</v>
      </c>
      <c r="AB3109">
        <v>47000</v>
      </c>
      <c r="AC3109">
        <v>2309</v>
      </c>
      <c r="AD3109" t="s">
        <v>14232</v>
      </c>
      <c r="AE3109">
        <v>1104</v>
      </c>
      <c r="AF3109" t="s">
        <v>14233</v>
      </c>
      <c r="AG3109" t="s">
        <v>14234</v>
      </c>
    </row>
    <row r="3110" spans="1:34" x14ac:dyDescent="0.25">
      <c r="A3110">
        <v>13</v>
      </c>
      <c r="B3110" t="s">
        <v>1313</v>
      </c>
      <c r="C3110" s="185"/>
      <c r="E3110" t="s">
        <v>386</v>
      </c>
      <c r="F3110" t="s">
        <v>359</v>
      </c>
      <c r="G3110" t="s">
        <v>1197</v>
      </c>
      <c r="H3110" t="s">
        <v>14235</v>
      </c>
      <c r="I3110">
        <v>4387</v>
      </c>
      <c r="J3110" t="s">
        <v>14236</v>
      </c>
      <c r="K3110" t="s">
        <v>7607</v>
      </c>
      <c r="L3110" t="s">
        <v>386</v>
      </c>
      <c r="M3110" t="s">
        <v>1193</v>
      </c>
      <c r="N3110">
        <v>15345</v>
      </c>
      <c r="O3110">
        <v>55</v>
      </c>
      <c r="Q3110" t="s">
        <v>14237</v>
      </c>
      <c r="R3110" t="s">
        <v>398</v>
      </c>
      <c r="S3110" t="s">
        <v>7319</v>
      </c>
      <c r="T3110">
        <v>200</v>
      </c>
      <c r="U3110">
        <v>0</v>
      </c>
      <c r="V3110" t="s">
        <v>1199</v>
      </c>
      <c r="W3110" t="s">
        <v>1194</v>
      </c>
      <c r="X3110">
        <v>220</v>
      </c>
      <c r="Y3110" t="s">
        <v>1317</v>
      </c>
      <c r="Z3110" t="s">
        <v>12219</v>
      </c>
      <c r="AA3110" t="s">
        <v>387</v>
      </c>
      <c r="AB3110">
        <v>47000</v>
      </c>
      <c r="AC3110">
        <v>2310</v>
      </c>
      <c r="AD3110" t="s">
        <v>12220</v>
      </c>
      <c r="AE3110">
        <v>1105</v>
      </c>
      <c r="AF3110" t="s">
        <v>14238</v>
      </c>
      <c r="AG3110" t="s">
        <v>1244</v>
      </c>
    </row>
    <row r="3111" spans="1:34" x14ac:dyDescent="0.25">
      <c r="A3111">
        <v>81</v>
      </c>
      <c r="B3111" t="s">
        <v>1313</v>
      </c>
      <c r="C3111" s="185"/>
      <c r="D3111" t="s">
        <v>24</v>
      </c>
      <c r="E3111" t="s">
        <v>386</v>
      </c>
      <c r="F3111" t="s">
        <v>14239</v>
      </c>
      <c r="G3111" t="s">
        <v>1197</v>
      </c>
      <c r="H3111" t="s">
        <v>14240</v>
      </c>
      <c r="I3111">
        <v>1315</v>
      </c>
      <c r="J3111" t="s">
        <v>14239</v>
      </c>
      <c r="K3111" t="s">
        <v>14239</v>
      </c>
      <c r="L3111" t="s">
        <v>386</v>
      </c>
      <c r="M3111" t="s">
        <v>1193</v>
      </c>
      <c r="N3111">
        <v>1315</v>
      </c>
      <c r="O3111">
        <v>55</v>
      </c>
      <c r="Q3111" t="s">
        <v>14241</v>
      </c>
      <c r="R3111" t="s">
        <v>398</v>
      </c>
      <c r="S3111" t="s">
        <v>1909</v>
      </c>
      <c r="T3111">
        <v>396</v>
      </c>
      <c r="U3111">
        <v>0</v>
      </c>
      <c r="V3111" t="s">
        <v>2186</v>
      </c>
      <c r="W3111" t="s">
        <v>1194</v>
      </c>
      <c r="X3111">
        <v>220</v>
      </c>
      <c r="Y3111" t="s">
        <v>1317</v>
      </c>
      <c r="Z3111" t="s">
        <v>12264</v>
      </c>
      <c r="AA3111" t="s">
        <v>387</v>
      </c>
      <c r="AB3111">
        <v>47000</v>
      </c>
      <c r="AC3111">
        <v>2178</v>
      </c>
      <c r="AD3111" t="s">
        <v>14242</v>
      </c>
      <c r="AE3111">
        <v>1048</v>
      </c>
      <c r="AF3111" t="s">
        <v>14243</v>
      </c>
      <c r="AG3111" t="s">
        <v>1244</v>
      </c>
      <c r="AH3111" t="s">
        <v>14244</v>
      </c>
    </row>
    <row r="3112" spans="1:34" x14ac:dyDescent="0.25">
      <c r="A3112">
        <v>9</v>
      </c>
      <c r="B3112" t="s">
        <v>1313</v>
      </c>
      <c r="C3112" s="185"/>
      <c r="D3112" t="s">
        <v>157</v>
      </c>
      <c r="E3112" t="s">
        <v>386</v>
      </c>
      <c r="F3112" t="s">
        <v>14245</v>
      </c>
      <c r="G3112" t="s">
        <v>1197</v>
      </c>
      <c r="H3112" t="s">
        <v>14246</v>
      </c>
      <c r="I3112">
        <v>3408</v>
      </c>
      <c r="J3112" t="s">
        <v>14245</v>
      </c>
      <c r="K3112" t="s">
        <v>7797</v>
      </c>
      <c r="L3112" t="s">
        <v>386</v>
      </c>
      <c r="M3112" t="s">
        <v>1193</v>
      </c>
      <c r="N3112">
        <v>3408</v>
      </c>
      <c r="O3112">
        <v>0</v>
      </c>
      <c r="Q3112" t="s">
        <v>14247</v>
      </c>
      <c r="R3112" t="s">
        <v>398</v>
      </c>
      <c r="S3112" t="s">
        <v>1909</v>
      </c>
      <c r="T3112">
        <v>220</v>
      </c>
      <c r="U3112">
        <v>0</v>
      </c>
      <c r="V3112" t="s">
        <v>1194</v>
      </c>
      <c r="W3112" t="s">
        <v>2015</v>
      </c>
      <c r="X3112">
        <v>35</v>
      </c>
      <c r="Y3112" t="s">
        <v>1317</v>
      </c>
      <c r="Z3112" t="s">
        <v>864</v>
      </c>
      <c r="AA3112" t="s">
        <v>387</v>
      </c>
      <c r="AB3112">
        <v>0</v>
      </c>
      <c r="AC3112">
        <v>2200</v>
      </c>
      <c r="AD3112" t="s">
        <v>14248</v>
      </c>
      <c r="AE3112">
        <v>778</v>
      </c>
      <c r="AF3112" t="s">
        <v>4519</v>
      </c>
      <c r="AG3112" t="s">
        <v>14249</v>
      </c>
      <c r="AH3112" t="s">
        <v>14250</v>
      </c>
    </row>
    <row r="3113" spans="1:34" x14ac:dyDescent="0.25">
      <c r="A3113">
        <v>1848</v>
      </c>
      <c r="C3113" s="185"/>
      <c r="D3113" t="s">
        <v>24</v>
      </c>
      <c r="E3113" t="s">
        <v>386</v>
      </c>
      <c r="F3113" t="s">
        <v>14251</v>
      </c>
      <c r="G3113" t="s">
        <v>1197</v>
      </c>
      <c r="H3113" t="s">
        <v>14252</v>
      </c>
      <c r="I3113">
        <v>9190</v>
      </c>
      <c r="J3113" t="s">
        <v>14251</v>
      </c>
      <c r="K3113" t="s">
        <v>14253</v>
      </c>
      <c r="L3113" t="s">
        <v>386</v>
      </c>
      <c r="M3113" t="s">
        <v>1193</v>
      </c>
      <c r="N3113">
        <v>9190</v>
      </c>
      <c r="O3113">
        <v>55</v>
      </c>
      <c r="Q3113" t="s">
        <v>14254</v>
      </c>
      <c r="R3113" t="s">
        <v>398</v>
      </c>
      <c r="T3113">
        <v>396</v>
      </c>
      <c r="V3113" t="s">
        <v>2186</v>
      </c>
      <c r="W3113" t="s">
        <v>1194</v>
      </c>
      <c r="X3113">
        <v>220</v>
      </c>
      <c r="Z3113" t="s">
        <v>14255</v>
      </c>
      <c r="AA3113" t="s">
        <v>387</v>
      </c>
      <c r="AB3113">
        <v>47000</v>
      </c>
      <c r="AC3113">
        <v>3665</v>
      </c>
      <c r="AD3113" t="s">
        <v>14256</v>
      </c>
      <c r="AE3113">
        <v>18</v>
      </c>
      <c r="AF3113" t="s">
        <v>1259</v>
      </c>
    </row>
    <row r="3114" spans="1:34" x14ac:dyDescent="0.25">
      <c r="A3114">
        <v>9</v>
      </c>
      <c r="B3114" t="s">
        <v>1313</v>
      </c>
      <c r="C3114" s="185"/>
      <c r="D3114" t="s">
        <v>24</v>
      </c>
      <c r="E3114" t="s">
        <v>386</v>
      </c>
      <c r="F3114" t="s">
        <v>431</v>
      </c>
      <c r="G3114" t="s">
        <v>1197</v>
      </c>
      <c r="H3114" t="s">
        <v>14006</v>
      </c>
      <c r="I3114">
        <v>6477</v>
      </c>
      <c r="J3114" t="s">
        <v>87</v>
      </c>
      <c r="K3114" t="s">
        <v>4530</v>
      </c>
      <c r="L3114" t="s">
        <v>386</v>
      </c>
      <c r="M3114" t="s">
        <v>1193</v>
      </c>
      <c r="N3114">
        <v>15336</v>
      </c>
      <c r="O3114">
        <v>55</v>
      </c>
      <c r="Q3114" t="s">
        <v>14257</v>
      </c>
      <c r="R3114" t="s">
        <v>398</v>
      </c>
      <c r="S3114" t="s">
        <v>2293</v>
      </c>
      <c r="T3114">
        <v>396</v>
      </c>
      <c r="U3114">
        <v>0</v>
      </c>
      <c r="V3114" t="s">
        <v>2186</v>
      </c>
      <c r="W3114" t="s">
        <v>1194</v>
      </c>
      <c r="X3114">
        <v>220</v>
      </c>
      <c r="Y3114" t="s">
        <v>1317</v>
      </c>
      <c r="Z3114" t="s">
        <v>864</v>
      </c>
      <c r="AA3114" t="s">
        <v>387</v>
      </c>
      <c r="AB3114">
        <v>47000</v>
      </c>
      <c r="AC3114">
        <v>114</v>
      </c>
      <c r="AD3114" t="s">
        <v>3408</v>
      </c>
      <c r="AE3114">
        <v>1364</v>
      </c>
      <c r="AF3114" t="s">
        <v>14258</v>
      </c>
      <c r="AG3114" t="s">
        <v>7178</v>
      </c>
      <c r="AH3114" t="s">
        <v>5687</v>
      </c>
    </row>
    <row r="3115" spans="1:34" x14ac:dyDescent="0.25">
      <c r="A3115">
        <v>1818</v>
      </c>
      <c r="C3115" s="185"/>
      <c r="E3115" t="s">
        <v>386</v>
      </c>
      <c r="F3115" t="s">
        <v>14259</v>
      </c>
      <c r="G3115" t="s">
        <v>1197</v>
      </c>
      <c r="H3115" t="s">
        <v>14260</v>
      </c>
      <c r="I3115">
        <v>8261</v>
      </c>
      <c r="J3115" t="s">
        <v>14259</v>
      </c>
      <c r="K3115" t="s">
        <v>14259</v>
      </c>
      <c r="L3115" t="s">
        <v>386</v>
      </c>
      <c r="M3115" t="s">
        <v>1193</v>
      </c>
      <c r="N3115">
        <v>8261</v>
      </c>
      <c r="O3115">
        <v>0</v>
      </c>
      <c r="Q3115" t="s">
        <v>14261</v>
      </c>
      <c r="R3115" t="s">
        <v>1208</v>
      </c>
      <c r="T3115">
        <v>200</v>
      </c>
      <c r="V3115" t="s">
        <v>1199</v>
      </c>
      <c r="Z3115" t="s">
        <v>14262</v>
      </c>
      <c r="AA3115" t="s">
        <v>387</v>
      </c>
      <c r="AB3115">
        <v>0</v>
      </c>
      <c r="AC3115">
        <v>3320</v>
      </c>
      <c r="AD3115" t="s">
        <v>14263</v>
      </c>
      <c r="AE3115">
        <v>1556</v>
      </c>
      <c r="AF3115" t="s">
        <v>3725</v>
      </c>
      <c r="AG3115" t="s">
        <v>1244</v>
      </c>
      <c r="AH3115" t="s">
        <v>14264</v>
      </c>
    </row>
    <row r="3116" spans="1:34" x14ac:dyDescent="0.25">
      <c r="A3116">
        <v>75</v>
      </c>
      <c r="C3116" s="185"/>
      <c r="E3116" t="s">
        <v>386</v>
      </c>
      <c r="F3116" t="s">
        <v>14265</v>
      </c>
      <c r="G3116" t="s">
        <v>1197</v>
      </c>
      <c r="H3116" t="s">
        <v>14266</v>
      </c>
      <c r="I3116">
        <v>14480</v>
      </c>
      <c r="J3116" t="s">
        <v>14265</v>
      </c>
      <c r="K3116" t="s">
        <v>14267</v>
      </c>
      <c r="L3116" t="s">
        <v>386</v>
      </c>
      <c r="M3116" t="s">
        <v>1193</v>
      </c>
      <c r="N3116">
        <v>14480</v>
      </c>
      <c r="O3116">
        <v>0</v>
      </c>
      <c r="Q3116" t="s">
        <v>14268</v>
      </c>
      <c r="T3116">
        <v>435</v>
      </c>
      <c r="V3116" t="s">
        <v>3129</v>
      </c>
      <c r="W3116" t="s">
        <v>3129</v>
      </c>
      <c r="X3116">
        <v>435</v>
      </c>
      <c r="Z3116" t="s">
        <v>1002</v>
      </c>
      <c r="AA3116" t="s">
        <v>387</v>
      </c>
      <c r="AB3116">
        <v>0</v>
      </c>
      <c r="AC3116">
        <v>43</v>
      </c>
      <c r="AD3116" t="s">
        <v>14269</v>
      </c>
      <c r="AE3116">
        <v>116</v>
      </c>
      <c r="AF3116" t="s">
        <v>14270</v>
      </c>
      <c r="AG3116" t="s">
        <v>14271</v>
      </c>
      <c r="AH3116" t="s">
        <v>14272</v>
      </c>
    </row>
    <row r="3117" spans="1:34" x14ac:dyDescent="0.25">
      <c r="A3117">
        <v>78</v>
      </c>
      <c r="C3117" s="185"/>
      <c r="E3117" t="s">
        <v>386</v>
      </c>
      <c r="F3117" t="s">
        <v>14273</v>
      </c>
      <c r="G3117" t="s">
        <v>1197</v>
      </c>
      <c r="H3117" t="s">
        <v>14274</v>
      </c>
      <c r="I3117">
        <v>12898</v>
      </c>
      <c r="J3117" t="s">
        <v>14273</v>
      </c>
      <c r="K3117" t="s">
        <v>14275</v>
      </c>
      <c r="L3117" t="s">
        <v>386</v>
      </c>
      <c r="M3117" t="s">
        <v>1193</v>
      </c>
      <c r="N3117">
        <v>12898</v>
      </c>
      <c r="O3117">
        <v>0</v>
      </c>
      <c r="Q3117" t="s">
        <v>14276</v>
      </c>
      <c r="R3117" t="s">
        <v>398</v>
      </c>
      <c r="T3117">
        <v>52</v>
      </c>
      <c r="V3117" t="s">
        <v>2024</v>
      </c>
      <c r="W3117" t="s">
        <v>1194</v>
      </c>
      <c r="X3117">
        <v>220</v>
      </c>
      <c r="Z3117" t="s">
        <v>13271</v>
      </c>
      <c r="AA3117" t="s">
        <v>387</v>
      </c>
      <c r="AB3117">
        <v>0</v>
      </c>
      <c r="AC3117">
        <v>4811</v>
      </c>
      <c r="AD3117" t="s">
        <v>14277</v>
      </c>
      <c r="AE3117">
        <v>63</v>
      </c>
      <c r="AF3117" t="s">
        <v>3896</v>
      </c>
      <c r="AG3117" t="s">
        <v>2739</v>
      </c>
      <c r="AH3117" t="s">
        <v>14278</v>
      </c>
    </row>
    <row r="3118" spans="1:34" x14ac:dyDescent="0.25">
      <c r="A3118">
        <v>1348</v>
      </c>
      <c r="C3118" s="185"/>
      <c r="D3118" t="s">
        <v>24</v>
      </c>
      <c r="E3118" t="s">
        <v>386</v>
      </c>
      <c r="F3118" t="s">
        <v>14279</v>
      </c>
      <c r="G3118" t="s">
        <v>1197</v>
      </c>
      <c r="H3118" t="s">
        <v>14280</v>
      </c>
      <c r="I3118">
        <v>8147</v>
      </c>
      <c r="J3118" t="s">
        <v>14279</v>
      </c>
      <c r="K3118" t="s">
        <v>14281</v>
      </c>
      <c r="L3118" t="s">
        <v>386</v>
      </c>
      <c r="M3118" t="s">
        <v>1193</v>
      </c>
      <c r="N3118">
        <v>8147</v>
      </c>
      <c r="O3118">
        <v>55</v>
      </c>
      <c r="Q3118" t="s">
        <v>14282</v>
      </c>
      <c r="R3118" t="s">
        <v>398</v>
      </c>
      <c r="T3118">
        <v>340</v>
      </c>
      <c r="V3118" t="s">
        <v>1200</v>
      </c>
      <c r="W3118" t="s">
        <v>1194</v>
      </c>
      <c r="X3118">
        <v>220</v>
      </c>
      <c r="Z3118" t="s">
        <v>1071</v>
      </c>
      <c r="AA3118" t="s">
        <v>387</v>
      </c>
      <c r="AB3118">
        <v>47000</v>
      </c>
      <c r="AC3118">
        <v>6387</v>
      </c>
      <c r="AD3118" t="s">
        <v>14283</v>
      </c>
      <c r="AE3118">
        <v>1259</v>
      </c>
      <c r="AF3118" t="s">
        <v>8335</v>
      </c>
      <c r="AG3118" t="s">
        <v>1244</v>
      </c>
      <c r="AH3118" t="s">
        <v>14284</v>
      </c>
    </row>
    <row r="3119" spans="1:34" x14ac:dyDescent="0.25">
      <c r="A3119">
        <v>149</v>
      </c>
      <c r="C3119" s="185"/>
      <c r="E3119" t="s">
        <v>386</v>
      </c>
      <c r="F3119" t="s">
        <v>14285</v>
      </c>
      <c r="G3119" t="s">
        <v>1197</v>
      </c>
      <c r="H3119" t="s">
        <v>14286</v>
      </c>
      <c r="I3119">
        <v>4736</v>
      </c>
      <c r="J3119" t="s">
        <v>14285</v>
      </c>
      <c r="K3119" t="s">
        <v>14285</v>
      </c>
      <c r="L3119" t="s">
        <v>386</v>
      </c>
      <c r="M3119" t="s">
        <v>1193</v>
      </c>
      <c r="N3119">
        <v>4736</v>
      </c>
      <c r="O3119">
        <v>55</v>
      </c>
      <c r="Q3119" t="s">
        <v>14287</v>
      </c>
      <c r="R3119" t="s">
        <v>398</v>
      </c>
      <c r="T3119">
        <v>396</v>
      </c>
      <c r="V3119" t="s">
        <v>2186</v>
      </c>
      <c r="W3119" t="s">
        <v>1194</v>
      </c>
      <c r="X3119">
        <v>220</v>
      </c>
      <c r="Z3119" t="s">
        <v>7870</v>
      </c>
      <c r="AA3119" t="s">
        <v>387</v>
      </c>
      <c r="AB3119">
        <v>47000</v>
      </c>
      <c r="AC3119">
        <v>1367</v>
      </c>
      <c r="AD3119" t="s">
        <v>8339</v>
      </c>
      <c r="AE3119">
        <v>1154</v>
      </c>
      <c r="AF3119" t="s">
        <v>14288</v>
      </c>
      <c r="AG3119" t="s">
        <v>14289</v>
      </c>
    </row>
    <row r="3120" spans="1:34" x14ac:dyDescent="0.25">
      <c r="A3120">
        <v>37</v>
      </c>
      <c r="C3120" s="185"/>
      <c r="D3120" t="s">
        <v>24</v>
      </c>
      <c r="E3120" t="s">
        <v>386</v>
      </c>
      <c r="F3120" t="s">
        <v>14290</v>
      </c>
      <c r="G3120" t="s">
        <v>1197</v>
      </c>
      <c r="H3120" t="s">
        <v>14291</v>
      </c>
      <c r="I3120">
        <v>2125</v>
      </c>
      <c r="J3120" t="s">
        <v>14290</v>
      </c>
      <c r="K3120" t="s">
        <v>14290</v>
      </c>
      <c r="L3120" t="s">
        <v>386</v>
      </c>
      <c r="M3120" t="s">
        <v>1193</v>
      </c>
      <c r="N3120">
        <v>2125</v>
      </c>
      <c r="O3120">
        <v>55</v>
      </c>
      <c r="Q3120" t="s">
        <v>14292</v>
      </c>
      <c r="R3120" t="s">
        <v>398</v>
      </c>
      <c r="T3120">
        <v>396</v>
      </c>
      <c r="V3120" t="s">
        <v>2186</v>
      </c>
      <c r="W3120" t="s">
        <v>1194</v>
      </c>
      <c r="X3120">
        <v>220</v>
      </c>
      <c r="Z3120" t="s">
        <v>1121</v>
      </c>
      <c r="AA3120" t="s">
        <v>387</v>
      </c>
      <c r="AB3120">
        <v>47000</v>
      </c>
      <c r="AC3120">
        <v>1573</v>
      </c>
      <c r="AD3120" t="s">
        <v>14293</v>
      </c>
      <c r="AE3120">
        <v>769</v>
      </c>
      <c r="AF3120" t="s">
        <v>14294</v>
      </c>
      <c r="AG3120" t="s">
        <v>2482</v>
      </c>
      <c r="AH3120" t="s">
        <v>14295</v>
      </c>
    </row>
    <row r="3121" spans="1:34" x14ac:dyDescent="0.25">
      <c r="A3121">
        <v>9</v>
      </c>
      <c r="B3121" t="s">
        <v>1313</v>
      </c>
      <c r="C3121" s="185"/>
      <c r="D3121" t="s">
        <v>24</v>
      </c>
      <c r="E3121" t="s">
        <v>386</v>
      </c>
      <c r="F3121" t="s">
        <v>68</v>
      </c>
      <c r="G3121" t="s">
        <v>1197</v>
      </c>
      <c r="H3121" t="s">
        <v>13980</v>
      </c>
      <c r="I3121">
        <v>2352</v>
      </c>
      <c r="J3121" t="s">
        <v>68</v>
      </c>
      <c r="K3121" t="s">
        <v>14296</v>
      </c>
      <c r="L3121" t="s">
        <v>386</v>
      </c>
      <c r="M3121" t="s">
        <v>1193</v>
      </c>
      <c r="N3121">
        <v>2352</v>
      </c>
      <c r="O3121">
        <v>55</v>
      </c>
      <c r="Q3121" t="s">
        <v>14297</v>
      </c>
      <c r="R3121" t="s">
        <v>398</v>
      </c>
      <c r="S3121" t="s">
        <v>7319</v>
      </c>
      <c r="T3121">
        <v>220</v>
      </c>
      <c r="U3121">
        <v>0</v>
      </c>
      <c r="V3121" t="s">
        <v>1194</v>
      </c>
      <c r="W3121" t="s">
        <v>2186</v>
      </c>
      <c r="X3121">
        <v>396</v>
      </c>
      <c r="Y3121" t="s">
        <v>1317</v>
      </c>
      <c r="Z3121" t="s">
        <v>864</v>
      </c>
      <c r="AA3121" t="s">
        <v>387</v>
      </c>
      <c r="AB3121">
        <v>47000</v>
      </c>
      <c r="AC3121">
        <v>1727</v>
      </c>
      <c r="AD3121" t="s">
        <v>14298</v>
      </c>
      <c r="AE3121">
        <v>134</v>
      </c>
      <c r="AF3121" t="s">
        <v>13932</v>
      </c>
      <c r="AG3121" t="s">
        <v>3013</v>
      </c>
      <c r="AH3121" t="s">
        <v>14299</v>
      </c>
    </row>
    <row r="3122" spans="1:34" x14ac:dyDescent="0.25">
      <c r="A3122">
        <v>1172</v>
      </c>
      <c r="C3122" s="185"/>
      <c r="E3122" t="s">
        <v>386</v>
      </c>
      <c r="F3122" t="s">
        <v>14300</v>
      </c>
      <c r="G3122" t="s">
        <v>1197</v>
      </c>
      <c r="H3122" t="s">
        <v>14301</v>
      </c>
      <c r="I3122">
        <v>17154</v>
      </c>
      <c r="J3122" t="s">
        <v>14300</v>
      </c>
      <c r="K3122" t="s">
        <v>14302</v>
      </c>
      <c r="L3122" t="s">
        <v>386</v>
      </c>
      <c r="M3122" t="s">
        <v>1193</v>
      </c>
      <c r="N3122">
        <v>17154</v>
      </c>
      <c r="O3122">
        <v>0</v>
      </c>
      <c r="Q3122" t="s">
        <v>14303</v>
      </c>
      <c r="R3122" t="s">
        <v>398</v>
      </c>
      <c r="T3122">
        <v>260</v>
      </c>
      <c r="V3122" t="s">
        <v>1216</v>
      </c>
      <c r="W3122" t="s">
        <v>2186</v>
      </c>
      <c r="X3122">
        <v>396</v>
      </c>
      <c r="Z3122" t="s">
        <v>14047</v>
      </c>
      <c r="AA3122" t="s">
        <v>387</v>
      </c>
      <c r="AB3122">
        <v>0</v>
      </c>
      <c r="AC3122">
        <v>6463</v>
      </c>
      <c r="AD3122" t="s">
        <v>14304</v>
      </c>
      <c r="AE3122">
        <v>2980</v>
      </c>
      <c r="AF3122" t="s">
        <v>14305</v>
      </c>
      <c r="AG3122" t="s">
        <v>14306</v>
      </c>
      <c r="AH3122" t="s">
        <v>14307</v>
      </c>
    </row>
    <row r="3123" spans="1:34" x14ac:dyDescent="0.25">
      <c r="A3123">
        <v>9</v>
      </c>
      <c r="B3123" t="s">
        <v>1313</v>
      </c>
      <c r="C3123" s="185"/>
      <c r="D3123" t="s">
        <v>24</v>
      </c>
      <c r="E3123" t="s">
        <v>386</v>
      </c>
      <c r="F3123" t="s">
        <v>358</v>
      </c>
      <c r="G3123" t="s">
        <v>1197</v>
      </c>
      <c r="H3123" t="s">
        <v>14308</v>
      </c>
      <c r="I3123">
        <v>11133</v>
      </c>
      <c r="J3123" t="s">
        <v>105</v>
      </c>
      <c r="K3123" t="s">
        <v>7857</v>
      </c>
      <c r="L3123" t="s">
        <v>386</v>
      </c>
      <c r="M3123" t="s">
        <v>1193</v>
      </c>
      <c r="N3123">
        <v>15319</v>
      </c>
      <c r="O3123">
        <v>55</v>
      </c>
      <c r="Q3123" t="s">
        <v>14309</v>
      </c>
      <c r="R3123" t="s">
        <v>398</v>
      </c>
      <c r="S3123" t="s">
        <v>4594</v>
      </c>
      <c r="T3123">
        <v>220</v>
      </c>
      <c r="U3123">
        <v>0</v>
      </c>
      <c r="V3123" t="s">
        <v>1194</v>
      </c>
      <c r="W3123" t="s">
        <v>1200</v>
      </c>
      <c r="X3123">
        <v>340</v>
      </c>
      <c r="Y3123" t="s">
        <v>1317</v>
      </c>
      <c r="Z3123" t="s">
        <v>864</v>
      </c>
      <c r="AA3123" t="s">
        <v>387</v>
      </c>
      <c r="AB3123">
        <v>47000</v>
      </c>
      <c r="AC3123">
        <v>4254</v>
      </c>
      <c r="AD3123" t="s">
        <v>14310</v>
      </c>
      <c r="AE3123">
        <v>1496</v>
      </c>
      <c r="AF3123" t="s">
        <v>3409</v>
      </c>
      <c r="AG3123" t="s">
        <v>6745</v>
      </c>
      <c r="AH3123" t="s">
        <v>9528</v>
      </c>
    </row>
    <row r="3124" spans="1:34" x14ac:dyDescent="0.25">
      <c r="A3124">
        <v>494</v>
      </c>
      <c r="C3124" s="185"/>
      <c r="D3124" t="s">
        <v>24</v>
      </c>
      <c r="E3124" t="s">
        <v>386</v>
      </c>
      <c r="F3124" t="s">
        <v>14311</v>
      </c>
      <c r="G3124" t="s">
        <v>1197</v>
      </c>
      <c r="H3124" t="s">
        <v>14312</v>
      </c>
      <c r="I3124">
        <v>11217</v>
      </c>
      <c r="J3124" t="s">
        <v>14311</v>
      </c>
      <c r="K3124" t="s">
        <v>14311</v>
      </c>
      <c r="L3124" t="s">
        <v>386</v>
      </c>
      <c r="M3124" t="s">
        <v>1193</v>
      </c>
      <c r="N3124">
        <v>11217</v>
      </c>
      <c r="O3124">
        <v>55</v>
      </c>
      <c r="Q3124" t="s">
        <v>14313</v>
      </c>
      <c r="R3124" t="s">
        <v>398</v>
      </c>
      <c r="T3124">
        <v>396</v>
      </c>
      <c r="V3124" t="s">
        <v>2186</v>
      </c>
      <c r="W3124" t="s">
        <v>1194</v>
      </c>
      <c r="X3124">
        <v>220</v>
      </c>
      <c r="Z3124" t="s">
        <v>14314</v>
      </c>
      <c r="AA3124" t="s">
        <v>387</v>
      </c>
      <c r="AB3124">
        <v>47000</v>
      </c>
      <c r="AC3124">
        <v>4291</v>
      </c>
      <c r="AD3124" t="s">
        <v>14315</v>
      </c>
      <c r="AE3124">
        <v>1983</v>
      </c>
      <c r="AF3124" t="s">
        <v>14316</v>
      </c>
      <c r="AG3124" t="s">
        <v>14317</v>
      </c>
      <c r="AH3124" t="s">
        <v>14318</v>
      </c>
    </row>
    <row r="3125" spans="1:34" x14ac:dyDescent="0.25">
      <c r="A3125">
        <v>9</v>
      </c>
      <c r="B3125" t="s">
        <v>1313</v>
      </c>
      <c r="C3125" s="185"/>
      <c r="D3125" t="s">
        <v>24</v>
      </c>
      <c r="E3125" t="s">
        <v>386</v>
      </c>
      <c r="F3125" t="s">
        <v>230</v>
      </c>
      <c r="G3125" t="s">
        <v>1197</v>
      </c>
      <c r="H3125" t="s">
        <v>14319</v>
      </c>
      <c r="I3125">
        <v>11212</v>
      </c>
      <c r="J3125" t="s">
        <v>230</v>
      </c>
      <c r="K3125" t="s">
        <v>14320</v>
      </c>
      <c r="L3125" t="s">
        <v>386</v>
      </c>
      <c r="M3125" t="s">
        <v>1193</v>
      </c>
      <c r="N3125">
        <v>11212</v>
      </c>
      <c r="O3125">
        <v>55</v>
      </c>
      <c r="Q3125" t="s">
        <v>14321</v>
      </c>
      <c r="R3125" t="s">
        <v>398</v>
      </c>
      <c r="S3125" t="s">
        <v>1909</v>
      </c>
      <c r="T3125">
        <v>220</v>
      </c>
      <c r="U3125">
        <v>0</v>
      </c>
      <c r="V3125" t="s">
        <v>1194</v>
      </c>
      <c r="W3125" t="s">
        <v>2186</v>
      </c>
      <c r="X3125">
        <v>396</v>
      </c>
      <c r="Y3125" t="s">
        <v>1317</v>
      </c>
      <c r="Z3125" t="s">
        <v>864</v>
      </c>
      <c r="AA3125" t="s">
        <v>387</v>
      </c>
      <c r="AB3125">
        <v>47000</v>
      </c>
      <c r="AC3125">
        <v>91</v>
      </c>
      <c r="AD3125" t="s">
        <v>14322</v>
      </c>
      <c r="AE3125">
        <v>1981</v>
      </c>
      <c r="AF3125" t="s">
        <v>14323</v>
      </c>
      <c r="AG3125" t="s">
        <v>6781</v>
      </c>
    </row>
    <row r="3126" spans="1:34" x14ac:dyDescent="0.25">
      <c r="A3126">
        <v>39</v>
      </c>
      <c r="B3126" t="s">
        <v>1313</v>
      </c>
      <c r="C3126" s="185"/>
      <c r="D3126" t="s">
        <v>24</v>
      </c>
      <c r="E3126" t="s">
        <v>386</v>
      </c>
      <c r="F3126" t="s">
        <v>693</v>
      </c>
      <c r="G3126" t="s">
        <v>1197</v>
      </c>
      <c r="H3126" t="s">
        <v>14324</v>
      </c>
      <c r="I3126">
        <v>14766</v>
      </c>
      <c r="J3126" t="s">
        <v>693</v>
      </c>
      <c r="K3126" t="s">
        <v>14325</v>
      </c>
      <c r="L3126" t="s">
        <v>386</v>
      </c>
      <c r="M3126" t="s">
        <v>1193</v>
      </c>
      <c r="N3126">
        <v>14766</v>
      </c>
      <c r="O3126">
        <v>55</v>
      </c>
      <c r="Q3126" t="s">
        <v>14326</v>
      </c>
      <c r="R3126" t="s">
        <v>398</v>
      </c>
      <c r="S3126" t="s">
        <v>1909</v>
      </c>
      <c r="T3126">
        <v>220</v>
      </c>
      <c r="U3126">
        <v>0</v>
      </c>
      <c r="V3126" t="s">
        <v>1194</v>
      </c>
      <c r="W3126" t="s">
        <v>2186</v>
      </c>
      <c r="X3126">
        <v>396</v>
      </c>
      <c r="Y3126" t="s">
        <v>1317</v>
      </c>
      <c r="Z3126" t="s">
        <v>2303</v>
      </c>
      <c r="AA3126" t="s">
        <v>387</v>
      </c>
      <c r="AB3126">
        <v>47000</v>
      </c>
      <c r="AC3126">
        <v>2172</v>
      </c>
      <c r="AD3126" t="s">
        <v>9816</v>
      </c>
      <c r="AE3126">
        <v>1</v>
      </c>
      <c r="AF3126" t="s">
        <v>1922</v>
      </c>
      <c r="AG3126" t="s">
        <v>3564</v>
      </c>
      <c r="AH3126" t="s">
        <v>8950</v>
      </c>
    </row>
    <row r="3127" spans="1:34" x14ac:dyDescent="0.25">
      <c r="A3127">
        <v>494</v>
      </c>
      <c r="C3127" s="185"/>
      <c r="E3127" t="s">
        <v>386</v>
      </c>
      <c r="F3127" t="s">
        <v>14327</v>
      </c>
      <c r="G3127" t="s">
        <v>1197</v>
      </c>
      <c r="H3127" t="s">
        <v>14328</v>
      </c>
      <c r="I3127">
        <v>13573</v>
      </c>
      <c r="J3127" t="s">
        <v>14327</v>
      </c>
      <c r="K3127" t="s">
        <v>14329</v>
      </c>
      <c r="L3127" t="s">
        <v>386</v>
      </c>
      <c r="M3127" t="s">
        <v>1193</v>
      </c>
      <c r="N3127">
        <v>13573</v>
      </c>
      <c r="O3127">
        <v>0</v>
      </c>
      <c r="Q3127" t="s">
        <v>14330</v>
      </c>
      <c r="R3127" t="s">
        <v>1208</v>
      </c>
      <c r="T3127">
        <v>304</v>
      </c>
      <c r="V3127" t="s">
        <v>2067</v>
      </c>
      <c r="W3127" t="s">
        <v>2067</v>
      </c>
      <c r="X3127">
        <v>304</v>
      </c>
      <c r="Z3127" t="s">
        <v>14314</v>
      </c>
      <c r="AA3127" t="s">
        <v>387</v>
      </c>
      <c r="AB3127">
        <v>0</v>
      </c>
      <c r="AC3127">
        <v>5106</v>
      </c>
      <c r="AD3127" t="s">
        <v>14331</v>
      </c>
      <c r="AE3127">
        <v>2366</v>
      </c>
      <c r="AF3127" t="s">
        <v>14332</v>
      </c>
      <c r="AG3127" t="s">
        <v>6140</v>
      </c>
      <c r="AH3127" t="s">
        <v>14333</v>
      </c>
    </row>
    <row r="3128" spans="1:34" x14ac:dyDescent="0.25">
      <c r="A3128">
        <v>1163</v>
      </c>
      <c r="C3128" s="185"/>
      <c r="E3128" t="s">
        <v>386</v>
      </c>
      <c r="F3128" t="s">
        <v>14259</v>
      </c>
      <c r="G3128" t="s">
        <v>1197</v>
      </c>
      <c r="H3128" t="s">
        <v>14334</v>
      </c>
      <c r="I3128">
        <v>8164</v>
      </c>
      <c r="J3128" t="s">
        <v>14259</v>
      </c>
      <c r="K3128" t="s">
        <v>14259</v>
      </c>
      <c r="L3128" t="s">
        <v>386</v>
      </c>
      <c r="M3128" t="s">
        <v>1193</v>
      </c>
      <c r="N3128">
        <v>8164</v>
      </c>
      <c r="O3128">
        <v>0</v>
      </c>
      <c r="Q3128" t="s">
        <v>14335</v>
      </c>
      <c r="R3128" t="s">
        <v>1208</v>
      </c>
      <c r="T3128">
        <v>146</v>
      </c>
      <c r="V3128" t="s">
        <v>2727</v>
      </c>
      <c r="Z3128" t="s">
        <v>14336</v>
      </c>
      <c r="AA3128" t="s">
        <v>387</v>
      </c>
      <c r="AB3128">
        <v>0</v>
      </c>
      <c r="AC3128">
        <v>3288</v>
      </c>
      <c r="AD3128" t="s">
        <v>14337</v>
      </c>
      <c r="AE3128">
        <v>1548</v>
      </c>
      <c r="AF3128" t="s">
        <v>14338</v>
      </c>
      <c r="AG3128" t="s">
        <v>12234</v>
      </c>
    </row>
    <row r="3129" spans="1:34" x14ac:dyDescent="0.25">
      <c r="A3129">
        <v>37</v>
      </c>
      <c r="B3129" t="s">
        <v>1313</v>
      </c>
      <c r="C3129" s="185"/>
      <c r="D3129" t="s">
        <v>24</v>
      </c>
      <c r="E3129" t="s">
        <v>386</v>
      </c>
      <c r="F3129" t="s">
        <v>633</v>
      </c>
      <c r="G3129" t="s">
        <v>1197</v>
      </c>
      <c r="H3129" t="s">
        <v>13935</v>
      </c>
      <c r="I3129">
        <v>6177</v>
      </c>
      <c r="J3129" t="s">
        <v>633</v>
      </c>
      <c r="K3129" t="s">
        <v>633</v>
      </c>
      <c r="L3129" t="s">
        <v>386</v>
      </c>
      <c r="M3129" t="s">
        <v>1193</v>
      </c>
      <c r="N3129">
        <v>6177</v>
      </c>
      <c r="O3129">
        <v>55</v>
      </c>
      <c r="Q3129" t="s">
        <v>14339</v>
      </c>
      <c r="R3129" t="s">
        <v>398</v>
      </c>
      <c r="S3129" t="s">
        <v>7307</v>
      </c>
      <c r="T3129">
        <v>272</v>
      </c>
      <c r="U3129">
        <v>0</v>
      </c>
      <c r="V3129" t="s">
        <v>2107</v>
      </c>
      <c r="W3129" t="s">
        <v>2186</v>
      </c>
      <c r="X3129">
        <v>396</v>
      </c>
      <c r="Y3129" t="s">
        <v>1317</v>
      </c>
      <c r="Z3129" t="s">
        <v>1121</v>
      </c>
      <c r="AA3129" t="s">
        <v>387</v>
      </c>
      <c r="AB3129">
        <v>47000</v>
      </c>
      <c r="AC3129">
        <v>2842</v>
      </c>
      <c r="AD3129" t="s">
        <v>14340</v>
      </c>
      <c r="AE3129">
        <v>985</v>
      </c>
      <c r="AF3129" t="s">
        <v>7943</v>
      </c>
      <c r="AG3129" t="s">
        <v>3466</v>
      </c>
      <c r="AH3129" t="s">
        <v>14341</v>
      </c>
    </row>
    <row r="3130" spans="1:34" x14ac:dyDescent="0.25">
      <c r="A3130">
        <v>9</v>
      </c>
      <c r="C3130" s="185"/>
      <c r="E3130" t="s">
        <v>386</v>
      </c>
      <c r="F3130" t="s">
        <v>14342</v>
      </c>
      <c r="G3130" t="s">
        <v>1197</v>
      </c>
      <c r="H3130" t="s">
        <v>14343</v>
      </c>
      <c r="I3130">
        <v>12150</v>
      </c>
      <c r="J3130" t="s">
        <v>14342</v>
      </c>
      <c r="K3130" t="s">
        <v>12566</v>
      </c>
      <c r="L3130" t="s">
        <v>386</v>
      </c>
      <c r="M3130" t="s">
        <v>1193</v>
      </c>
      <c r="N3130">
        <v>12150</v>
      </c>
      <c r="O3130">
        <v>0</v>
      </c>
      <c r="Q3130" t="s">
        <v>14344</v>
      </c>
      <c r="R3130" t="s">
        <v>1208</v>
      </c>
      <c r="T3130">
        <v>260</v>
      </c>
      <c r="V3130" t="s">
        <v>1216</v>
      </c>
      <c r="W3130" t="s">
        <v>3202</v>
      </c>
      <c r="X3130">
        <v>280</v>
      </c>
      <c r="Z3130" t="s">
        <v>864</v>
      </c>
      <c r="AA3130" t="s">
        <v>387</v>
      </c>
      <c r="AB3130">
        <v>0</v>
      </c>
      <c r="AC3130">
        <v>4225</v>
      </c>
      <c r="AD3130" t="s">
        <v>14345</v>
      </c>
      <c r="AE3130">
        <v>997</v>
      </c>
      <c r="AF3130" t="s">
        <v>14346</v>
      </c>
      <c r="AG3130" t="s">
        <v>14347</v>
      </c>
    </row>
    <row r="3131" spans="1:34" x14ac:dyDescent="0.25">
      <c r="A3131">
        <v>75</v>
      </c>
      <c r="C3131" s="185"/>
      <c r="E3131" t="s">
        <v>386</v>
      </c>
      <c r="F3131" t="s">
        <v>14348</v>
      </c>
      <c r="G3131" t="s">
        <v>1197</v>
      </c>
      <c r="H3131" t="s">
        <v>14065</v>
      </c>
      <c r="I3131">
        <v>12755</v>
      </c>
      <c r="J3131" t="s">
        <v>14348</v>
      </c>
      <c r="K3131" t="s">
        <v>14349</v>
      </c>
      <c r="L3131" t="s">
        <v>386</v>
      </c>
      <c r="M3131" t="s">
        <v>1193</v>
      </c>
      <c r="N3131">
        <v>12755</v>
      </c>
      <c r="O3131">
        <v>0</v>
      </c>
      <c r="Q3131" t="s">
        <v>14350</v>
      </c>
      <c r="R3131" t="s">
        <v>1208</v>
      </c>
      <c r="T3131">
        <v>340</v>
      </c>
      <c r="V3131" t="s">
        <v>1200</v>
      </c>
      <c r="W3131" t="s">
        <v>2073</v>
      </c>
      <c r="X3131">
        <v>372</v>
      </c>
      <c r="Z3131" t="s">
        <v>1002</v>
      </c>
      <c r="AA3131" t="s">
        <v>387</v>
      </c>
      <c r="AB3131">
        <v>0</v>
      </c>
      <c r="AC3131">
        <v>2183</v>
      </c>
      <c r="AD3131" t="s">
        <v>14068</v>
      </c>
      <c r="AE3131">
        <v>1439</v>
      </c>
      <c r="AF3131" t="s">
        <v>14351</v>
      </c>
      <c r="AG3131" t="s">
        <v>14352</v>
      </c>
      <c r="AH3131" t="s">
        <v>14353</v>
      </c>
    </row>
    <row r="3132" spans="1:34" x14ac:dyDescent="0.25">
      <c r="A3132">
        <v>464</v>
      </c>
      <c r="B3132" t="s">
        <v>1313</v>
      </c>
      <c r="C3132" s="185"/>
      <c r="D3132" t="s">
        <v>24</v>
      </c>
      <c r="E3132" t="s">
        <v>386</v>
      </c>
      <c r="F3132" t="s">
        <v>694</v>
      </c>
      <c r="G3132" t="s">
        <v>1197</v>
      </c>
      <c r="H3132" t="s">
        <v>14354</v>
      </c>
      <c r="I3132">
        <v>17224</v>
      </c>
      <c r="J3132" t="s">
        <v>694</v>
      </c>
      <c r="K3132" t="s">
        <v>14355</v>
      </c>
      <c r="L3132" t="s">
        <v>386</v>
      </c>
      <c r="M3132" t="s">
        <v>1193</v>
      </c>
      <c r="N3132">
        <v>17224</v>
      </c>
      <c r="O3132">
        <v>55</v>
      </c>
      <c r="Q3132" t="s">
        <v>14356</v>
      </c>
      <c r="R3132" t="s">
        <v>398</v>
      </c>
      <c r="S3132" t="s">
        <v>14357</v>
      </c>
      <c r="T3132">
        <v>396</v>
      </c>
      <c r="U3132">
        <v>0</v>
      </c>
      <c r="V3132" t="s">
        <v>2186</v>
      </c>
      <c r="W3132" t="s">
        <v>2186</v>
      </c>
      <c r="X3132">
        <v>396</v>
      </c>
      <c r="Y3132" t="s">
        <v>1317</v>
      </c>
      <c r="Z3132" t="s">
        <v>14358</v>
      </c>
      <c r="AA3132" t="s">
        <v>387</v>
      </c>
      <c r="AB3132">
        <v>47000</v>
      </c>
      <c r="AC3132">
        <v>6488</v>
      </c>
      <c r="AD3132" t="s">
        <v>14359</v>
      </c>
      <c r="AE3132">
        <v>2992</v>
      </c>
      <c r="AF3132" t="s">
        <v>14360</v>
      </c>
      <c r="AG3132" t="s">
        <v>3782</v>
      </c>
      <c r="AH3132" t="s">
        <v>14361</v>
      </c>
    </row>
    <row r="3133" spans="1:34" x14ac:dyDescent="0.25">
      <c r="A3133">
        <v>125</v>
      </c>
      <c r="C3133" s="185"/>
      <c r="E3133" t="s">
        <v>386</v>
      </c>
      <c r="F3133" t="s">
        <v>6099</v>
      </c>
      <c r="G3133" t="s">
        <v>1197</v>
      </c>
      <c r="H3133" t="s">
        <v>14362</v>
      </c>
      <c r="I3133">
        <v>17549</v>
      </c>
      <c r="J3133" t="s">
        <v>6099</v>
      </c>
      <c r="K3133" t="s">
        <v>6099</v>
      </c>
      <c r="L3133" t="s">
        <v>386</v>
      </c>
      <c r="M3133" t="s">
        <v>1193</v>
      </c>
      <c r="N3133">
        <v>17549</v>
      </c>
      <c r="O3133">
        <v>0</v>
      </c>
      <c r="Q3133" t="s">
        <v>14363</v>
      </c>
      <c r="R3133" t="s">
        <v>1208</v>
      </c>
      <c r="T3133">
        <v>103</v>
      </c>
      <c r="V3133" t="s">
        <v>1530</v>
      </c>
      <c r="W3133" t="s">
        <v>1530</v>
      </c>
      <c r="X3133">
        <v>103</v>
      </c>
      <c r="Z3133" t="s">
        <v>1029</v>
      </c>
      <c r="AA3133" t="s">
        <v>387</v>
      </c>
      <c r="AB3133">
        <v>0</v>
      </c>
      <c r="AC3133">
        <v>6572</v>
      </c>
      <c r="AD3133" t="s">
        <v>14364</v>
      </c>
      <c r="AE3133">
        <v>3034</v>
      </c>
      <c r="AF3133" t="s">
        <v>14365</v>
      </c>
      <c r="AG3133" t="s">
        <v>4780</v>
      </c>
    </row>
    <row r="3134" spans="1:34" x14ac:dyDescent="0.25">
      <c r="A3134">
        <v>9</v>
      </c>
      <c r="B3134" t="s">
        <v>1313</v>
      </c>
      <c r="C3134" s="185"/>
      <c r="D3134" t="s">
        <v>24</v>
      </c>
      <c r="E3134" t="s">
        <v>386</v>
      </c>
      <c r="F3134" t="s">
        <v>364</v>
      </c>
      <c r="G3134" t="s">
        <v>1197</v>
      </c>
      <c r="H3134" t="s">
        <v>14319</v>
      </c>
      <c r="I3134">
        <v>7648</v>
      </c>
      <c r="J3134" t="s">
        <v>273</v>
      </c>
      <c r="K3134" t="s">
        <v>8312</v>
      </c>
      <c r="L3134" t="s">
        <v>386</v>
      </c>
      <c r="M3134" t="s">
        <v>1193</v>
      </c>
      <c r="N3134">
        <v>15327</v>
      </c>
      <c r="O3134">
        <v>55</v>
      </c>
      <c r="Q3134" t="s">
        <v>14366</v>
      </c>
      <c r="R3134" t="s">
        <v>398</v>
      </c>
      <c r="S3134" t="s">
        <v>8314</v>
      </c>
      <c r="T3134">
        <v>220</v>
      </c>
      <c r="U3134">
        <v>0</v>
      </c>
      <c r="V3134" t="s">
        <v>1194</v>
      </c>
      <c r="W3134" t="s">
        <v>1964</v>
      </c>
      <c r="X3134">
        <v>473</v>
      </c>
      <c r="Y3134" t="s">
        <v>1317</v>
      </c>
      <c r="Z3134" t="s">
        <v>864</v>
      </c>
      <c r="AA3134" t="s">
        <v>387</v>
      </c>
      <c r="AB3134">
        <v>47000</v>
      </c>
      <c r="AC3134">
        <v>3204</v>
      </c>
      <c r="AD3134" t="s">
        <v>14367</v>
      </c>
      <c r="AE3134">
        <v>0</v>
      </c>
      <c r="AF3134" t="s">
        <v>1188</v>
      </c>
      <c r="AG3134" t="s">
        <v>14368</v>
      </c>
      <c r="AH3134" t="s">
        <v>9469</v>
      </c>
    </row>
    <row r="3135" spans="1:34" x14ac:dyDescent="0.25">
      <c r="A3135">
        <v>39</v>
      </c>
      <c r="C3135" s="185"/>
      <c r="E3135" t="s">
        <v>386</v>
      </c>
      <c r="F3135" t="s">
        <v>14369</v>
      </c>
      <c r="G3135" t="s">
        <v>1197</v>
      </c>
      <c r="H3135" t="s">
        <v>14370</v>
      </c>
      <c r="I3135">
        <v>15295</v>
      </c>
      <c r="J3135" t="s">
        <v>14369</v>
      </c>
      <c r="K3135" t="s">
        <v>14371</v>
      </c>
      <c r="L3135" t="s">
        <v>386</v>
      </c>
      <c r="M3135" t="s">
        <v>1193</v>
      </c>
      <c r="N3135">
        <v>15295</v>
      </c>
      <c r="O3135">
        <v>0</v>
      </c>
      <c r="Q3135" t="s">
        <v>14372</v>
      </c>
      <c r="T3135">
        <v>435</v>
      </c>
      <c r="V3135" t="s">
        <v>3129</v>
      </c>
      <c r="W3135" t="s">
        <v>3129</v>
      </c>
      <c r="X3135">
        <v>435</v>
      </c>
      <c r="Z3135" t="s">
        <v>2303</v>
      </c>
      <c r="AA3135" t="s">
        <v>387</v>
      </c>
      <c r="AB3135">
        <v>0</v>
      </c>
      <c r="AC3135">
        <v>5798</v>
      </c>
      <c r="AD3135" t="s">
        <v>14373</v>
      </c>
      <c r="AE3135">
        <v>146</v>
      </c>
      <c r="AF3135" t="s">
        <v>14205</v>
      </c>
      <c r="AG3135" t="s">
        <v>7436</v>
      </c>
      <c r="AH3135" t="s">
        <v>14374</v>
      </c>
    </row>
    <row r="3136" spans="1:34" x14ac:dyDescent="0.25">
      <c r="A3136">
        <v>1284</v>
      </c>
      <c r="C3136" s="185"/>
      <c r="E3136" t="s">
        <v>386</v>
      </c>
      <c r="F3136" t="s">
        <v>14375</v>
      </c>
      <c r="G3136" t="s">
        <v>1197</v>
      </c>
      <c r="H3136" t="s">
        <v>14376</v>
      </c>
      <c r="I3136">
        <v>12885</v>
      </c>
      <c r="J3136" t="s">
        <v>14375</v>
      </c>
      <c r="K3136" t="s">
        <v>14375</v>
      </c>
      <c r="L3136" t="s">
        <v>386</v>
      </c>
      <c r="M3136" t="s">
        <v>1193</v>
      </c>
      <c r="N3136">
        <v>12885</v>
      </c>
      <c r="O3136">
        <v>0</v>
      </c>
      <c r="Q3136" t="s">
        <v>14377</v>
      </c>
      <c r="R3136" t="s">
        <v>1208</v>
      </c>
      <c r="T3136">
        <v>304</v>
      </c>
      <c r="V3136" t="s">
        <v>2067</v>
      </c>
      <c r="Z3136" t="s">
        <v>14378</v>
      </c>
      <c r="AA3136" t="s">
        <v>387</v>
      </c>
      <c r="AB3136">
        <v>0</v>
      </c>
      <c r="AC3136">
        <v>4807</v>
      </c>
      <c r="AD3136" t="s">
        <v>14379</v>
      </c>
      <c r="AE3136">
        <v>2220</v>
      </c>
      <c r="AF3136" t="s">
        <v>14380</v>
      </c>
      <c r="AG3136" t="s">
        <v>14381</v>
      </c>
    </row>
    <row r="3137" spans="1:34" x14ac:dyDescent="0.25">
      <c r="A3137">
        <v>9</v>
      </c>
      <c r="C3137" s="185"/>
      <c r="E3137" t="s">
        <v>386</v>
      </c>
      <c r="F3137" t="s">
        <v>370</v>
      </c>
      <c r="G3137" t="s">
        <v>1197</v>
      </c>
      <c r="H3137" t="s">
        <v>14382</v>
      </c>
      <c r="I3137">
        <v>14765</v>
      </c>
      <c r="J3137" t="s">
        <v>14383</v>
      </c>
      <c r="K3137" t="s">
        <v>8306</v>
      </c>
      <c r="L3137" t="s">
        <v>386</v>
      </c>
      <c r="M3137" t="s">
        <v>1193</v>
      </c>
      <c r="N3137">
        <v>15333</v>
      </c>
      <c r="O3137">
        <v>55</v>
      </c>
      <c r="Q3137" t="s">
        <v>14384</v>
      </c>
      <c r="R3137" t="s">
        <v>398</v>
      </c>
      <c r="T3137">
        <v>220</v>
      </c>
      <c r="V3137" t="s">
        <v>1194</v>
      </c>
      <c r="W3137" t="s">
        <v>1194</v>
      </c>
      <c r="X3137">
        <v>220</v>
      </c>
      <c r="Z3137" t="s">
        <v>864</v>
      </c>
      <c r="AA3137" t="s">
        <v>387</v>
      </c>
      <c r="AB3137">
        <v>47000</v>
      </c>
      <c r="AC3137">
        <v>5614</v>
      </c>
      <c r="AD3137" t="s">
        <v>14192</v>
      </c>
      <c r="AE3137">
        <v>134</v>
      </c>
      <c r="AF3137" t="s">
        <v>13932</v>
      </c>
      <c r="AG3137" t="s">
        <v>14385</v>
      </c>
      <c r="AH3137" t="s">
        <v>14386</v>
      </c>
    </row>
    <row r="3138" spans="1:34" x14ac:dyDescent="0.25">
      <c r="A3138">
        <v>2074</v>
      </c>
      <c r="C3138" s="185"/>
      <c r="E3138" t="s">
        <v>386</v>
      </c>
      <c r="F3138" t="s">
        <v>14387</v>
      </c>
      <c r="G3138" t="s">
        <v>1197</v>
      </c>
      <c r="H3138" t="s">
        <v>14388</v>
      </c>
      <c r="I3138">
        <v>17172</v>
      </c>
      <c r="J3138" t="s">
        <v>14387</v>
      </c>
      <c r="K3138" t="s">
        <v>14389</v>
      </c>
      <c r="L3138" t="s">
        <v>386</v>
      </c>
      <c r="M3138" t="s">
        <v>1193</v>
      </c>
      <c r="N3138">
        <v>17172</v>
      </c>
      <c r="O3138">
        <v>0</v>
      </c>
      <c r="Q3138" t="s">
        <v>14390</v>
      </c>
      <c r="R3138" t="s">
        <v>1208</v>
      </c>
      <c r="T3138">
        <v>509</v>
      </c>
      <c r="V3138" t="s">
        <v>5803</v>
      </c>
      <c r="W3138" t="s">
        <v>5803</v>
      </c>
      <c r="X3138">
        <v>509</v>
      </c>
      <c r="Z3138" t="s">
        <v>14391</v>
      </c>
      <c r="AA3138" t="s">
        <v>387</v>
      </c>
      <c r="AB3138">
        <v>0</v>
      </c>
      <c r="AC3138">
        <v>6470</v>
      </c>
      <c r="AD3138" t="s">
        <v>14392</v>
      </c>
      <c r="AE3138">
        <v>1</v>
      </c>
      <c r="AF3138" t="s">
        <v>1922</v>
      </c>
      <c r="AG3138" t="s">
        <v>14393</v>
      </c>
      <c r="AH3138" t="s">
        <v>14394</v>
      </c>
    </row>
    <row r="3139" spans="1:34" x14ac:dyDescent="0.25">
      <c r="A3139">
        <v>1207</v>
      </c>
      <c r="C3139" s="185"/>
      <c r="E3139" t="s">
        <v>386</v>
      </c>
      <c r="F3139" t="s">
        <v>14395</v>
      </c>
      <c r="G3139" t="s">
        <v>1197</v>
      </c>
      <c r="H3139" t="s">
        <v>14396</v>
      </c>
      <c r="I3139">
        <v>15424</v>
      </c>
      <c r="J3139" t="s">
        <v>14395</v>
      </c>
      <c r="K3139" t="s">
        <v>14397</v>
      </c>
      <c r="L3139" t="s">
        <v>386</v>
      </c>
      <c r="M3139" t="s">
        <v>1193</v>
      </c>
      <c r="N3139">
        <v>15424</v>
      </c>
      <c r="O3139">
        <v>0</v>
      </c>
      <c r="Q3139" t="s">
        <v>14398</v>
      </c>
      <c r="R3139" t="s">
        <v>398</v>
      </c>
      <c r="T3139">
        <v>396</v>
      </c>
      <c r="V3139" t="s">
        <v>2186</v>
      </c>
      <c r="W3139" t="s">
        <v>1216</v>
      </c>
      <c r="X3139">
        <v>260</v>
      </c>
      <c r="Z3139" t="s">
        <v>14399</v>
      </c>
      <c r="AA3139" t="s">
        <v>387</v>
      </c>
      <c r="AB3139">
        <v>0</v>
      </c>
      <c r="AC3139">
        <v>5833</v>
      </c>
      <c r="AD3139" t="s">
        <v>14400</v>
      </c>
      <c r="AE3139">
        <v>2686</v>
      </c>
      <c r="AF3139" t="s">
        <v>14401</v>
      </c>
      <c r="AG3139" t="s">
        <v>14402</v>
      </c>
      <c r="AH3139" t="s">
        <v>14403</v>
      </c>
    </row>
    <row r="3140" spans="1:34" x14ac:dyDescent="0.25">
      <c r="A3140">
        <v>9</v>
      </c>
      <c r="C3140" s="185"/>
      <c r="E3140" t="s">
        <v>386</v>
      </c>
      <c r="F3140" t="s">
        <v>14404</v>
      </c>
      <c r="G3140" t="s">
        <v>1197</v>
      </c>
      <c r="H3140" t="s">
        <v>14405</v>
      </c>
      <c r="I3140">
        <v>15489</v>
      </c>
      <c r="J3140" t="s">
        <v>14404</v>
      </c>
      <c r="K3140" t="s">
        <v>14406</v>
      </c>
      <c r="L3140" t="s">
        <v>386</v>
      </c>
      <c r="M3140" t="s">
        <v>1193</v>
      </c>
      <c r="N3140">
        <v>15489</v>
      </c>
      <c r="O3140">
        <v>0</v>
      </c>
      <c r="Q3140" t="s">
        <v>14407</v>
      </c>
      <c r="T3140">
        <v>52</v>
      </c>
      <c r="V3140" t="s">
        <v>2024</v>
      </c>
      <c r="W3140" t="s">
        <v>1216</v>
      </c>
      <c r="X3140">
        <v>260</v>
      </c>
      <c r="Z3140" t="s">
        <v>864</v>
      </c>
      <c r="AA3140" t="s">
        <v>387</v>
      </c>
      <c r="AB3140">
        <v>0</v>
      </c>
      <c r="AC3140">
        <v>2747</v>
      </c>
      <c r="AD3140" t="s">
        <v>14408</v>
      </c>
      <c r="AE3140">
        <v>1364</v>
      </c>
      <c r="AF3140" t="s">
        <v>14258</v>
      </c>
      <c r="AG3140" t="s">
        <v>14409</v>
      </c>
      <c r="AH3140" t="s">
        <v>14410</v>
      </c>
    </row>
    <row r="3141" spans="1:34" x14ac:dyDescent="0.25">
      <c r="A3141">
        <v>149</v>
      </c>
      <c r="C3141" s="185"/>
      <c r="E3141" t="s">
        <v>386</v>
      </c>
      <c r="F3141" t="s">
        <v>14411</v>
      </c>
      <c r="G3141" t="s">
        <v>1197</v>
      </c>
      <c r="H3141" t="s">
        <v>14412</v>
      </c>
      <c r="I3141">
        <v>14081</v>
      </c>
      <c r="J3141" t="s">
        <v>14411</v>
      </c>
      <c r="K3141" t="s">
        <v>14413</v>
      </c>
      <c r="L3141" t="s">
        <v>386</v>
      </c>
      <c r="M3141" t="s">
        <v>1193</v>
      </c>
      <c r="N3141">
        <v>14081</v>
      </c>
      <c r="O3141">
        <v>0</v>
      </c>
      <c r="Q3141" t="s">
        <v>14414</v>
      </c>
      <c r="R3141" t="s">
        <v>1208</v>
      </c>
      <c r="T3141">
        <v>571</v>
      </c>
      <c r="V3141" t="s">
        <v>2003</v>
      </c>
      <c r="W3141" t="s">
        <v>1530</v>
      </c>
      <c r="X3141">
        <v>103</v>
      </c>
      <c r="Z3141" t="s">
        <v>7870</v>
      </c>
      <c r="AA3141" t="s">
        <v>387</v>
      </c>
      <c r="AB3141">
        <v>0</v>
      </c>
      <c r="AC3141">
        <v>1342</v>
      </c>
      <c r="AD3141" t="s">
        <v>7878</v>
      </c>
      <c r="AE3141">
        <v>1154</v>
      </c>
      <c r="AF3141" t="s">
        <v>14288</v>
      </c>
      <c r="AG3141" t="s">
        <v>14415</v>
      </c>
      <c r="AH3141" t="s">
        <v>14416</v>
      </c>
    </row>
    <row r="3142" spans="1:34" x14ac:dyDescent="0.25">
      <c r="A3142">
        <v>39</v>
      </c>
      <c r="C3142" s="185"/>
      <c r="E3142" t="s">
        <v>386</v>
      </c>
      <c r="F3142" t="s">
        <v>12946</v>
      </c>
      <c r="G3142" t="s">
        <v>1197</v>
      </c>
      <c r="H3142" t="s">
        <v>14417</v>
      </c>
      <c r="I3142">
        <v>12747</v>
      </c>
      <c r="J3142" t="s">
        <v>12946</v>
      </c>
      <c r="K3142" t="s">
        <v>12948</v>
      </c>
      <c r="L3142" t="s">
        <v>386</v>
      </c>
      <c r="M3142" t="s">
        <v>1193</v>
      </c>
      <c r="N3142">
        <v>12747</v>
      </c>
      <c r="O3142">
        <v>35</v>
      </c>
      <c r="Q3142" t="s">
        <v>14418</v>
      </c>
      <c r="R3142" t="s">
        <v>398</v>
      </c>
      <c r="T3142">
        <v>52</v>
      </c>
      <c r="V3142" t="s">
        <v>2024</v>
      </c>
      <c r="W3142" t="s">
        <v>1194</v>
      </c>
      <c r="X3142">
        <v>220</v>
      </c>
      <c r="Z3142" t="s">
        <v>2303</v>
      </c>
      <c r="AA3142" t="s">
        <v>387</v>
      </c>
      <c r="AB3142">
        <v>27000</v>
      </c>
      <c r="AC3142">
        <v>4761</v>
      </c>
      <c r="AD3142" t="s">
        <v>14419</v>
      </c>
      <c r="AE3142">
        <v>1732</v>
      </c>
      <c r="AF3142" t="s">
        <v>13009</v>
      </c>
      <c r="AG3142" t="s">
        <v>14420</v>
      </c>
      <c r="AH3142" t="s">
        <v>12952</v>
      </c>
    </row>
    <row r="3143" spans="1:34" x14ac:dyDescent="0.25">
      <c r="A3143">
        <v>9</v>
      </c>
      <c r="C3143" s="185"/>
      <c r="E3143" t="s">
        <v>386</v>
      </c>
      <c r="F3143" t="s">
        <v>14421</v>
      </c>
      <c r="G3143" t="s">
        <v>1197</v>
      </c>
      <c r="H3143" t="s">
        <v>3407</v>
      </c>
      <c r="I3143">
        <v>17474</v>
      </c>
      <c r="J3143" t="s">
        <v>14421</v>
      </c>
      <c r="K3143" t="s">
        <v>14422</v>
      </c>
      <c r="L3143" t="s">
        <v>386</v>
      </c>
      <c r="M3143" t="s">
        <v>1193</v>
      </c>
      <c r="N3143">
        <v>17474</v>
      </c>
      <c r="O3143">
        <v>55</v>
      </c>
      <c r="Q3143" t="s">
        <v>14423</v>
      </c>
      <c r="R3143" t="s">
        <v>398</v>
      </c>
      <c r="T3143">
        <v>220</v>
      </c>
      <c r="V3143" t="s">
        <v>1194</v>
      </c>
      <c r="W3143" t="s">
        <v>1194</v>
      </c>
      <c r="X3143">
        <v>220</v>
      </c>
      <c r="Z3143" t="s">
        <v>864</v>
      </c>
      <c r="AA3143" t="s">
        <v>387</v>
      </c>
      <c r="AB3143">
        <v>47000</v>
      </c>
      <c r="AC3143">
        <v>114</v>
      </c>
      <c r="AD3143" t="s">
        <v>3408</v>
      </c>
      <c r="AE3143">
        <v>1496</v>
      </c>
      <c r="AF3143" t="s">
        <v>3409</v>
      </c>
      <c r="AG3143" t="s">
        <v>14424</v>
      </c>
      <c r="AH3143" t="s">
        <v>14425</v>
      </c>
    </row>
    <row r="3144" spans="1:34" x14ac:dyDescent="0.25">
      <c r="A3144">
        <v>2109</v>
      </c>
      <c r="C3144" s="185"/>
      <c r="E3144" t="s">
        <v>386</v>
      </c>
      <c r="F3144" t="s">
        <v>14426</v>
      </c>
      <c r="G3144" t="s">
        <v>1197</v>
      </c>
      <c r="H3144" t="s">
        <v>14427</v>
      </c>
      <c r="I3144">
        <v>14695</v>
      </c>
      <c r="J3144" t="s">
        <v>14426</v>
      </c>
      <c r="K3144" t="s">
        <v>9773</v>
      </c>
      <c r="L3144" t="s">
        <v>386</v>
      </c>
      <c r="M3144" t="s">
        <v>1193</v>
      </c>
      <c r="N3144">
        <v>14695</v>
      </c>
      <c r="O3144">
        <v>55</v>
      </c>
      <c r="Q3144" t="s">
        <v>14428</v>
      </c>
      <c r="R3144" t="s">
        <v>398</v>
      </c>
      <c r="T3144">
        <v>220</v>
      </c>
      <c r="V3144" t="s">
        <v>1194</v>
      </c>
      <c r="W3144" t="s">
        <v>1194</v>
      </c>
      <c r="X3144">
        <v>220</v>
      </c>
      <c r="Z3144" t="s">
        <v>14429</v>
      </c>
      <c r="AA3144" t="s">
        <v>387</v>
      </c>
      <c r="AB3144">
        <v>47000</v>
      </c>
      <c r="AC3144">
        <v>5580</v>
      </c>
      <c r="AD3144" t="s">
        <v>14430</v>
      </c>
      <c r="AE3144">
        <v>481</v>
      </c>
      <c r="AF3144" t="s">
        <v>3443</v>
      </c>
      <c r="AG3144" t="s">
        <v>1244</v>
      </c>
      <c r="AH3144" t="s">
        <v>14431</v>
      </c>
    </row>
    <row r="3145" spans="1:34" x14ac:dyDescent="0.25">
      <c r="A3145">
        <v>2189</v>
      </c>
      <c r="C3145" s="185"/>
      <c r="E3145" t="s">
        <v>386</v>
      </c>
      <c r="F3145" t="s">
        <v>14432</v>
      </c>
      <c r="G3145" t="s">
        <v>1197</v>
      </c>
      <c r="H3145" t="s">
        <v>14433</v>
      </c>
      <c r="I3145">
        <v>16789</v>
      </c>
      <c r="J3145" t="s">
        <v>14432</v>
      </c>
      <c r="K3145" t="s">
        <v>14434</v>
      </c>
      <c r="L3145" t="s">
        <v>386</v>
      </c>
      <c r="M3145" t="s">
        <v>1193</v>
      </c>
      <c r="N3145">
        <v>16789</v>
      </c>
      <c r="O3145">
        <v>0</v>
      </c>
      <c r="Q3145" t="s">
        <v>14435</v>
      </c>
      <c r="T3145">
        <v>52</v>
      </c>
      <c r="V3145" t="s">
        <v>2024</v>
      </c>
      <c r="W3145" t="s">
        <v>5803</v>
      </c>
      <c r="X3145">
        <v>509</v>
      </c>
      <c r="Z3145" t="s">
        <v>14436</v>
      </c>
      <c r="AA3145" t="s">
        <v>387</v>
      </c>
      <c r="AB3145">
        <v>0</v>
      </c>
      <c r="AC3145">
        <v>6246</v>
      </c>
      <c r="AD3145" t="s">
        <v>14437</v>
      </c>
      <c r="AE3145">
        <v>1</v>
      </c>
      <c r="AF3145" t="s">
        <v>1922</v>
      </c>
      <c r="AG3145" t="s">
        <v>3212</v>
      </c>
      <c r="AH3145" t="s">
        <v>14438</v>
      </c>
    </row>
    <row r="3146" spans="1:34" x14ac:dyDescent="0.25">
      <c r="A3146">
        <v>1163</v>
      </c>
      <c r="B3146" t="s">
        <v>1313</v>
      </c>
      <c r="C3146" s="185"/>
      <c r="D3146" t="s">
        <v>24</v>
      </c>
      <c r="E3146" t="s">
        <v>386</v>
      </c>
      <c r="F3146" t="s">
        <v>693</v>
      </c>
      <c r="G3146" t="s">
        <v>1197</v>
      </c>
      <c r="H3146" t="s">
        <v>14439</v>
      </c>
      <c r="I3146">
        <v>17458</v>
      </c>
      <c r="J3146" t="s">
        <v>14440</v>
      </c>
      <c r="K3146" t="s">
        <v>691</v>
      </c>
      <c r="L3146" t="s">
        <v>386</v>
      </c>
      <c r="M3146" t="s">
        <v>1193</v>
      </c>
      <c r="N3146">
        <v>14766</v>
      </c>
      <c r="O3146">
        <v>55</v>
      </c>
      <c r="Q3146" t="s">
        <v>14441</v>
      </c>
      <c r="R3146" t="s">
        <v>398</v>
      </c>
      <c r="S3146" t="s">
        <v>1909</v>
      </c>
      <c r="T3146">
        <v>396</v>
      </c>
      <c r="U3146">
        <v>0</v>
      </c>
      <c r="V3146" t="s">
        <v>2186</v>
      </c>
      <c r="W3146" t="s">
        <v>2024</v>
      </c>
      <c r="X3146">
        <v>52</v>
      </c>
      <c r="Y3146" t="s">
        <v>1317</v>
      </c>
      <c r="Z3146" t="s">
        <v>14336</v>
      </c>
      <c r="AA3146" t="s">
        <v>387</v>
      </c>
      <c r="AB3146">
        <v>47000</v>
      </c>
      <c r="AC3146">
        <v>6549</v>
      </c>
      <c r="AD3146" t="s">
        <v>14442</v>
      </c>
      <c r="AE3146">
        <v>3023</v>
      </c>
      <c r="AF3146" t="s">
        <v>14443</v>
      </c>
      <c r="AG3146" t="s">
        <v>2044</v>
      </c>
      <c r="AH3146" t="s">
        <v>14444</v>
      </c>
    </row>
    <row r="3147" spans="1:34" x14ac:dyDescent="0.25">
      <c r="A3147">
        <v>1782</v>
      </c>
      <c r="C3147" s="185"/>
      <c r="E3147" t="s">
        <v>386</v>
      </c>
      <c r="F3147" t="s">
        <v>14445</v>
      </c>
      <c r="G3147" t="s">
        <v>1197</v>
      </c>
      <c r="H3147" t="s">
        <v>14446</v>
      </c>
      <c r="I3147">
        <v>17170</v>
      </c>
      <c r="J3147" t="s">
        <v>14445</v>
      </c>
      <c r="K3147" t="s">
        <v>14445</v>
      </c>
      <c r="L3147" t="s">
        <v>386</v>
      </c>
      <c r="M3147" t="s">
        <v>1193</v>
      </c>
      <c r="N3147">
        <v>17170</v>
      </c>
      <c r="O3147">
        <v>0</v>
      </c>
      <c r="Q3147" t="s">
        <v>14447</v>
      </c>
      <c r="R3147" t="s">
        <v>1208</v>
      </c>
      <c r="T3147">
        <v>509</v>
      </c>
      <c r="V3147" t="s">
        <v>5803</v>
      </c>
      <c r="W3147" t="s">
        <v>5803</v>
      </c>
      <c r="X3147">
        <v>509</v>
      </c>
      <c r="Z3147" t="s">
        <v>14448</v>
      </c>
      <c r="AA3147" t="s">
        <v>387</v>
      </c>
      <c r="AB3147">
        <v>0</v>
      </c>
      <c r="AC3147">
        <v>6468</v>
      </c>
      <c r="AD3147" t="s">
        <v>14449</v>
      </c>
      <c r="AE3147">
        <v>2985</v>
      </c>
      <c r="AF3147" t="s">
        <v>14450</v>
      </c>
      <c r="AG3147" t="s">
        <v>2044</v>
      </c>
      <c r="AH3147" t="s">
        <v>14451</v>
      </c>
    </row>
    <row r="3148" spans="1:34" x14ac:dyDescent="0.25">
      <c r="A3148">
        <v>78</v>
      </c>
      <c r="C3148" s="185"/>
      <c r="E3148" t="s">
        <v>386</v>
      </c>
      <c r="F3148" t="s">
        <v>14452</v>
      </c>
      <c r="G3148" t="s">
        <v>1197</v>
      </c>
      <c r="H3148" t="s">
        <v>14453</v>
      </c>
      <c r="I3148">
        <v>17695</v>
      </c>
      <c r="J3148" t="s">
        <v>14452</v>
      </c>
      <c r="K3148" t="s">
        <v>14454</v>
      </c>
      <c r="L3148" t="s">
        <v>386</v>
      </c>
      <c r="M3148" t="s">
        <v>1193</v>
      </c>
      <c r="N3148">
        <v>17695</v>
      </c>
      <c r="O3148">
        <v>0</v>
      </c>
      <c r="Q3148" t="s">
        <v>14455</v>
      </c>
      <c r="R3148" t="s">
        <v>1208</v>
      </c>
      <c r="T3148">
        <v>103</v>
      </c>
      <c r="V3148" t="s">
        <v>1530</v>
      </c>
      <c r="W3148" t="s">
        <v>1530</v>
      </c>
      <c r="X3148">
        <v>103</v>
      </c>
      <c r="Z3148" t="s">
        <v>13271</v>
      </c>
      <c r="AA3148" t="s">
        <v>387</v>
      </c>
      <c r="AB3148">
        <v>0</v>
      </c>
      <c r="AC3148">
        <v>6618</v>
      </c>
      <c r="AD3148" t="s">
        <v>14456</v>
      </c>
      <c r="AE3148">
        <v>2890</v>
      </c>
      <c r="AF3148" t="s">
        <v>14457</v>
      </c>
      <c r="AG3148" t="s">
        <v>8539</v>
      </c>
      <c r="AH3148" t="s">
        <v>14458</v>
      </c>
    </row>
    <row r="3149" spans="1:34" x14ac:dyDescent="0.25">
      <c r="A3149">
        <v>48</v>
      </c>
      <c r="C3149" s="185"/>
      <c r="E3149" t="s">
        <v>386</v>
      </c>
      <c r="F3149" t="s">
        <v>359</v>
      </c>
      <c r="G3149" t="s">
        <v>1197</v>
      </c>
      <c r="H3149" t="s">
        <v>14459</v>
      </c>
      <c r="I3149">
        <v>1893</v>
      </c>
      <c r="J3149" t="s">
        <v>7606</v>
      </c>
      <c r="K3149" t="s">
        <v>7607</v>
      </c>
      <c r="L3149" t="s">
        <v>386</v>
      </c>
      <c r="M3149" t="s">
        <v>1193</v>
      </c>
      <c r="N3149">
        <v>15345</v>
      </c>
      <c r="O3149">
        <v>57</v>
      </c>
      <c r="Q3149" t="s">
        <v>14460</v>
      </c>
      <c r="R3149" t="s">
        <v>398</v>
      </c>
      <c r="T3149">
        <v>200</v>
      </c>
      <c r="V3149" t="s">
        <v>1199</v>
      </c>
      <c r="W3149" t="s">
        <v>3129</v>
      </c>
      <c r="X3149">
        <v>435</v>
      </c>
      <c r="Z3149" t="s">
        <v>2797</v>
      </c>
      <c r="AA3149" t="s">
        <v>387</v>
      </c>
      <c r="AB3149">
        <v>49000</v>
      </c>
      <c r="AC3149">
        <v>1403</v>
      </c>
      <c r="AD3149" t="s">
        <v>7627</v>
      </c>
      <c r="AE3149">
        <v>675</v>
      </c>
      <c r="AF3149" t="s">
        <v>14461</v>
      </c>
      <c r="AG3149" t="s">
        <v>14462</v>
      </c>
      <c r="AH3149" t="s">
        <v>7725</v>
      </c>
    </row>
    <row r="3150" spans="1:34" x14ac:dyDescent="0.25">
      <c r="A3150">
        <v>2170</v>
      </c>
      <c r="C3150" s="185"/>
      <c r="E3150" t="s">
        <v>386</v>
      </c>
      <c r="F3150" t="s">
        <v>14463</v>
      </c>
      <c r="G3150" t="s">
        <v>1197</v>
      </c>
      <c r="H3150" t="s">
        <v>14464</v>
      </c>
      <c r="I3150">
        <v>16159</v>
      </c>
      <c r="J3150" t="s">
        <v>14463</v>
      </c>
      <c r="K3150" t="s">
        <v>14465</v>
      </c>
      <c r="L3150" t="s">
        <v>386</v>
      </c>
      <c r="M3150" t="s">
        <v>1193</v>
      </c>
      <c r="N3150">
        <v>16159</v>
      </c>
      <c r="O3150">
        <v>0</v>
      </c>
      <c r="Q3150" t="s">
        <v>14466</v>
      </c>
      <c r="T3150">
        <v>571</v>
      </c>
      <c r="V3150" t="s">
        <v>2003</v>
      </c>
      <c r="W3150" t="s">
        <v>1964</v>
      </c>
      <c r="X3150">
        <v>473</v>
      </c>
      <c r="Z3150" t="s">
        <v>14467</v>
      </c>
      <c r="AA3150" t="s">
        <v>387</v>
      </c>
      <c r="AB3150">
        <v>0</v>
      </c>
      <c r="AC3150">
        <v>255</v>
      </c>
      <c r="AD3150" t="s">
        <v>13793</v>
      </c>
      <c r="AE3150">
        <v>2791</v>
      </c>
      <c r="AF3150" t="s">
        <v>14468</v>
      </c>
      <c r="AG3150" t="s">
        <v>1244</v>
      </c>
      <c r="AH3150" t="s">
        <v>14469</v>
      </c>
    </row>
    <row r="3151" spans="1:34" x14ac:dyDescent="0.25">
      <c r="A3151">
        <v>1623</v>
      </c>
      <c r="C3151" s="185"/>
      <c r="E3151" t="s">
        <v>386</v>
      </c>
      <c r="F3151" t="s">
        <v>14470</v>
      </c>
      <c r="G3151" t="s">
        <v>1197</v>
      </c>
      <c r="H3151" t="s">
        <v>14471</v>
      </c>
      <c r="I3151">
        <v>17288</v>
      </c>
      <c r="J3151" t="s">
        <v>14470</v>
      </c>
      <c r="K3151" t="s">
        <v>14472</v>
      </c>
      <c r="L3151" t="s">
        <v>386</v>
      </c>
      <c r="M3151" t="s">
        <v>1193</v>
      </c>
      <c r="N3151">
        <v>17288</v>
      </c>
      <c r="O3151">
        <v>0</v>
      </c>
      <c r="Q3151" t="s">
        <v>14473</v>
      </c>
      <c r="T3151">
        <v>473</v>
      </c>
      <c r="V3151" t="s">
        <v>1964</v>
      </c>
      <c r="W3151" t="s">
        <v>1964</v>
      </c>
      <c r="X3151">
        <v>473</v>
      </c>
      <c r="Z3151" t="s">
        <v>14474</v>
      </c>
      <c r="AA3151" t="s">
        <v>387</v>
      </c>
      <c r="AB3151">
        <v>0</v>
      </c>
      <c r="AC3151">
        <v>6503</v>
      </c>
      <c r="AD3151" t="s">
        <v>14475</v>
      </c>
      <c r="AE3151">
        <v>1</v>
      </c>
      <c r="AF3151" t="s">
        <v>1922</v>
      </c>
      <c r="AG3151" t="s">
        <v>1244</v>
      </c>
      <c r="AH3151" t="s">
        <v>14476</v>
      </c>
    </row>
    <row r="3152" spans="1:34" x14ac:dyDescent="0.25">
      <c r="A3152">
        <v>22</v>
      </c>
      <c r="C3152" s="185"/>
      <c r="E3152" t="s">
        <v>386</v>
      </c>
      <c r="F3152" t="s">
        <v>14477</v>
      </c>
      <c r="G3152" t="s">
        <v>1197</v>
      </c>
      <c r="H3152" t="s">
        <v>14478</v>
      </c>
      <c r="I3152">
        <v>13281</v>
      </c>
      <c r="J3152" t="s">
        <v>14477</v>
      </c>
      <c r="K3152" t="s">
        <v>14477</v>
      </c>
      <c r="L3152" t="s">
        <v>386</v>
      </c>
      <c r="M3152" t="s">
        <v>1193</v>
      </c>
      <c r="N3152">
        <v>13281</v>
      </c>
      <c r="O3152">
        <v>0</v>
      </c>
      <c r="Q3152" t="s">
        <v>14479</v>
      </c>
      <c r="R3152" t="s">
        <v>1208</v>
      </c>
      <c r="T3152">
        <v>103</v>
      </c>
      <c r="V3152" t="s">
        <v>1530</v>
      </c>
      <c r="W3152" t="s">
        <v>1530</v>
      </c>
      <c r="X3152">
        <v>103</v>
      </c>
      <c r="Z3152" t="s">
        <v>12897</v>
      </c>
      <c r="AA3152" t="s">
        <v>387</v>
      </c>
      <c r="AB3152">
        <v>0</v>
      </c>
      <c r="AC3152">
        <v>4977</v>
      </c>
      <c r="AD3152" t="s">
        <v>14480</v>
      </c>
      <c r="AE3152">
        <v>2299</v>
      </c>
      <c r="AF3152" t="s">
        <v>14481</v>
      </c>
      <c r="AG3152" t="s">
        <v>14482</v>
      </c>
      <c r="AH3152" t="s">
        <v>14483</v>
      </c>
    </row>
    <row r="3153" spans="1:34" x14ac:dyDescent="0.25">
      <c r="A3153">
        <v>1</v>
      </c>
      <c r="C3153" s="185"/>
      <c r="E3153" t="s">
        <v>386</v>
      </c>
      <c r="F3153" t="s">
        <v>14484</v>
      </c>
      <c r="G3153" t="s">
        <v>1192</v>
      </c>
      <c r="I3153">
        <v>2944</v>
      </c>
      <c r="J3153" t="s">
        <v>14484</v>
      </c>
      <c r="K3153" t="s">
        <v>14484</v>
      </c>
      <c r="L3153" t="s">
        <v>386</v>
      </c>
      <c r="M3153" t="s">
        <v>1184</v>
      </c>
      <c r="N3153">
        <v>2944</v>
      </c>
      <c r="O3153">
        <v>0</v>
      </c>
      <c r="Q3153" t="s">
        <v>14485</v>
      </c>
      <c r="R3153" t="s">
        <v>1208</v>
      </c>
      <c r="T3153">
        <v>4</v>
      </c>
      <c r="V3153" t="s">
        <v>7833</v>
      </c>
      <c r="Z3153" t="s">
        <v>865</v>
      </c>
      <c r="AA3153" t="s">
        <v>387</v>
      </c>
      <c r="AB3153">
        <v>0</v>
      </c>
      <c r="AC3153">
        <v>1977</v>
      </c>
      <c r="AD3153" t="s">
        <v>14486</v>
      </c>
      <c r="AE3153">
        <v>122</v>
      </c>
      <c r="AF3153" t="s">
        <v>4628</v>
      </c>
      <c r="AG3153" t="s">
        <v>14487</v>
      </c>
      <c r="AH3153" t="s">
        <v>14488</v>
      </c>
    </row>
    <row r="3154" spans="1:34" x14ac:dyDescent="0.25">
      <c r="A3154">
        <v>1</v>
      </c>
      <c r="C3154" s="185"/>
      <c r="E3154" t="s">
        <v>386</v>
      </c>
      <c r="F3154" t="s">
        <v>1189</v>
      </c>
      <c r="G3154" t="s">
        <v>1192</v>
      </c>
      <c r="H3154" t="s">
        <v>14489</v>
      </c>
      <c r="I3154">
        <v>1067</v>
      </c>
      <c r="J3154" t="s">
        <v>1189</v>
      </c>
      <c r="K3154" t="s">
        <v>1189</v>
      </c>
      <c r="L3154" t="s">
        <v>386</v>
      </c>
      <c r="M3154" t="s">
        <v>1184</v>
      </c>
      <c r="N3154">
        <v>1067</v>
      </c>
      <c r="O3154">
        <v>0</v>
      </c>
      <c r="Q3154" t="s">
        <v>14490</v>
      </c>
      <c r="R3154" t="s">
        <v>1185</v>
      </c>
      <c r="T3154">
        <v>44</v>
      </c>
      <c r="V3154" t="s">
        <v>2458</v>
      </c>
      <c r="Z3154" t="s">
        <v>865</v>
      </c>
      <c r="AA3154" t="s">
        <v>387</v>
      </c>
      <c r="AB3154">
        <v>0</v>
      </c>
      <c r="AC3154">
        <v>324</v>
      </c>
      <c r="AD3154" t="s">
        <v>14491</v>
      </c>
      <c r="AE3154">
        <v>10</v>
      </c>
      <c r="AF3154" t="s">
        <v>1225</v>
      </c>
      <c r="AG3154" t="s">
        <v>14492</v>
      </c>
      <c r="AH3154" t="s">
        <v>14493</v>
      </c>
    </row>
    <row r="3155" spans="1:34" x14ac:dyDescent="0.25">
      <c r="A3155">
        <v>69</v>
      </c>
      <c r="C3155" s="185"/>
      <c r="E3155" t="s">
        <v>386</v>
      </c>
      <c r="F3155" t="s">
        <v>14494</v>
      </c>
      <c r="G3155" t="s">
        <v>1238</v>
      </c>
      <c r="H3155" t="s">
        <v>14026</v>
      </c>
      <c r="I3155">
        <v>15280</v>
      </c>
      <c r="J3155" t="s">
        <v>14494</v>
      </c>
      <c r="K3155" t="s">
        <v>14494</v>
      </c>
      <c r="L3155" t="s">
        <v>386</v>
      </c>
      <c r="M3155" t="s">
        <v>1184</v>
      </c>
      <c r="N3155">
        <v>15280</v>
      </c>
      <c r="O3155">
        <v>0</v>
      </c>
      <c r="Q3155" t="s">
        <v>14495</v>
      </c>
      <c r="T3155">
        <v>571</v>
      </c>
      <c r="V3155" t="s">
        <v>2003</v>
      </c>
      <c r="W3155" t="s">
        <v>1216</v>
      </c>
      <c r="X3155">
        <v>260</v>
      </c>
      <c r="Z3155" t="s">
        <v>2437</v>
      </c>
      <c r="AA3155" t="s">
        <v>387</v>
      </c>
      <c r="AB3155">
        <v>0</v>
      </c>
      <c r="AC3155">
        <v>2045</v>
      </c>
      <c r="AD3155" t="s">
        <v>2675</v>
      </c>
      <c r="AE3155">
        <v>1</v>
      </c>
      <c r="AF3155" t="s">
        <v>1922</v>
      </c>
      <c r="AG3155" t="s">
        <v>14496</v>
      </c>
      <c r="AH3155" t="s">
        <v>14497</v>
      </c>
    </row>
    <row r="3156" spans="1:34" x14ac:dyDescent="0.25">
      <c r="A3156">
        <v>1448</v>
      </c>
      <c r="C3156" s="185"/>
      <c r="E3156" t="s">
        <v>386</v>
      </c>
      <c r="F3156" t="s">
        <v>14498</v>
      </c>
      <c r="G3156" t="s">
        <v>1197</v>
      </c>
      <c r="H3156" t="s">
        <v>14499</v>
      </c>
      <c r="I3156">
        <v>16519</v>
      </c>
      <c r="J3156" t="s">
        <v>14498</v>
      </c>
      <c r="K3156" t="s">
        <v>14500</v>
      </c>
      <c r="L3156" t="s">
        <v>386</v>
      </c>
      <c r="M3156" t="s">
        <v>1193</v>
      </c>
      <c r="N3156">
        <v>16519</v>
      </c>
      <c r="O3156">
        <v>0</v>
      </c>
      <c r="Q3156" t="s">
        <v>14501</v>
      </c>
      <c r="T3156">
        <v>571</v>
      </c>
      <c r="V3156" t="s">
        <v>2003</v>
      </c>
      <c r="W3156" t="s">
        <v>2003</v>
      </c>
      <c r="X3156">
        <v>571</v>
      </c>
      <c r="Z3156" t="s">
        <v>2115</v>
      </c>
      <c r="AA3156" t="s">
        <v>387</v>
      </c>
      <c r="AB3156">
        <v>0</v>
      </c>
      <c r="AC3156">
        <v>4225</v>
      </c>
      <c r="AD3156" t="s">
        <v>14345</v>
      </c>
      <c r="AE3156">
        <v>1</v>
      </c>
      <c r="AF3156" t="s">
        <v>1922</v>
      </c>
      <c r="AG3156" t="s">
        <v>2974</v>
      </c>
      <c r="AH3156" t="s">
        <v>14502</v>
      </c>
    </row>
    <row r="3157" spans="1:34" x14ac:dyDescent="0.25">
      <c r="A3157">
        <v>1606</v>
      </c>
      <c r="C3157" s="185"/>
      <c r="E3157" t="s">
        <v>386</v>
      </c>
      <c r="F3157" t="s">
        <v>14503</v>
      </c>
      <c r="G3157" t="s">
        <v>1197</v>
      </c>
      <c r="H3157" t="s">
        <v>14504</v>
      </c>
      <c r="I3157">
        <v>13133</v>
      </c>
      <c r="J3157" t="s">
        <v>14503</v>
      </c>
      <c r="K3157" t="s">
        <v>14505</v>
      </c>
      <c r="L3157" t="s">
        <v>386</v>
      </c>
      <c r="M3157" t="s">
        <v>1193</v>
      </c>
      <c r="N3157">
        <v>13133</v>
      </c>
      <c r="O3157">
        <v>0</v>
      </c>
      <c r="Q3157" t="s">
        <v>14506</v>
      </c>
      <c r="R3157" t="s">
        <v>1208</v>
      </c>
      <c r="T3157">
        <v>571</v>
      </c>
      <c r="V3157" t="s">
        <v>2003</v>
      </c>
      <c r="W3157" t="s">
        <v>1530</v>
      </c>
      <c r="X3157">
        <v>103</v>
      </c>
      <c r="Z3157" t="s">
        <v>14507</v>
      </c>
      <c r="AA3157" t="s">
        <v>387</v>
      </c>
      <c r="AB3157">
        <v>0</v>
      </c>
      <c r="AC3157">
        <v>4901</v>
      </c>
      <c r="AD3157" t="s">
        <v>14508</v>
      </c>
      <c r="AE3157">
        <v>2264</v>
      </c>
      <c r="AF3157" t="s">
        <v>14509</v>
      </c>
      <c r="AG3157" t="s">
        <v>2930</v>
      </c>
      <c r="AH3157" t="s">
        <v>14510</v>
      </c>
    </row>
    <row r="3158" spans="1:34" x14ac:dyDescent="0.25">
      <c r="A3158">
        <v>2156</v>
      </c>
      <c r="C3158" s="185"/>
      <c r="E3158" t="s">
        <v>386</v>
      </c>
      <c r="F3158" t="s">
        <v>14511</v>
      </c>
      <c r="G3158" t="s">
        <v>1197</v>
      </c>
      <c r="I3158">
        <v>15819</v>
      </c>
      <c r="J3158" t="s">
        <v>14511</v>
      </c>
      <c r="K3158" t="s">
        <v>14512</v>
      </c>
      <c r="L3158" t="s">
        <v>386</v>
      </c>
      <c r="M3158" t="s">
        <v>1193</v>
      </c>
      <c r="N3158">
        <v>15819</v>
      </c>
      <c r="O3158">
        <v>0</v>
      </c>
      <c r="Q3158" t="s">
        <v>14513</v>
      </c>
      <c r="T3158">
        <v>220</v>
      </c>
      <c r="V3158" t="s">
        <v>1194</v>
      </c>
      <c r="W3158" t="s">
        <v>1257</v>
      </c>
      <c r="X3158">
        <v>426</v>
      </c>
      <c r="Z3158" t="s">
        <v>14514</v>
      </c>
      <c r="AA3158" t="s">
        <v>387</v>
      </c>
      <c r="AB3158">
        <v>0</v>
      </c>
      <c r="AC3158">
        <v>5954</v>
      </c>
      <c r="AD3158" t="s">
        <v>14515</v>
      </c>
      <c r="AE3158">
        <v>2740</v>
      </c>
      <c r="AF3158" t="s">
        <v>14516</v>
      </c>
    </row>
    <row r="3159" spans="1:34" x14ac:dyDescent="0.25">
      <c r="A3159">
        <v>2130</v>
      </c>
      <c r="C3159" s="185"/>
      <c r="E3159" t="s">
        <v>386</v>
      </c>
      <c r="F3159" t="s">
        <v>14517</v>
      </c>
      <c r="G3159" t="s">
        <v>1197</v>
      </c>
      <c r="I3159">
        <v>15834</v>
      </c>
      <c r="J3159" t="s">
        <v>14517</v>
      </c>
      <c r="K3159" t="s">
        <v>14518</v>
      </c>
      <c r="L3159" t="s">
        <v>386</v>
      </c>
      <c r="M3159" t="s">
        <v>1193</v>
      </c>
      <c r="N3159">
        <v>15834</v>
      </c>
      <c r="O3159">
        <v>37</v>
      </c>
      <c r="Q3159" t="s">
        <v>14519</v>
      </c>
      <c r="T3159">
        <v>220</v>
      </c>
      <c r="V3159" t="s">
        <v>1194</v>
      </c>
      <c r="W3159" t="s">
        <v>2223</v>
      </c>
      <c r="X3159">
        <v>138</v>
      </c>
      <c r="Z3159" t="s">
        <v>940</v>
      </c>
      <c r="AA3159" t="s">
        <v>387</v>
      </c>
      <c r="AB3159">
        <v>29000</v>
      </c>
      <c r="AC3159">
        <v>0</v>
      </c>
      <c r="AD3159" t="s">
        <v>1187</v>
      </c>
      <c r="AE3159">
        <v>2746</v>
      </c>
      <c r="AF3159" t="s">
        <v>14520</v>
      </c>
      <c r="AG3159" t="s">
        <v>1244</v>
      </c>
      <c r="AH3159" t="s">
        <v>4065</v>
      </c>
    </row>
    <row r="3160" spans="1:34" x14ac:dyDescent="0.25">
      <c r="A3160">
        <v>1</v>
      </c>
      <c r="C3160" s="185"/>
      <c r="E3160" t="s">
        <v>386</v>
      </c>
      <c r="F3160" t="s">
        <v>14521</v>
      </c>
      <c r="G3160" t="s">
        <v>1903</v>
      </c>
      <c r="H3160" t="s">
        <v>6029</v>
      </c>
      <c r="I3160">
        <v>2214</v>
      </c>
      <c r="J3160" t="s">
        <v>14521</v>
      </c>
      <c r="K3160" t="s">
        <v>14522</v>
      </c>
      <c r="L3160" t="s">
        <v>386</v>
      </c>
      <c r="M3160" t="s">
        <v>1193</v>
      </c>
      <c r="N3160">
        <v>2214</v>
      </c>
      <c r="O3160">
        <v>0</v>
      </c>
      <c r="Q3160" t="s">
        <v>14523</v>
      </c>
      <c r="T3160">
        <v>52</v>
      </c>
      <c r="V3160" t="s">
        <v>2024</v>
      </c>
      <c r="Z3160" t="s">
        <v>865</v>
      </c>
      <c r="AA3160" t="s">
        <v>387</v>
      </c>
      <c r="AB3160">
        <v>0</v>
      </c>
      <c r="AC3160">
        <v>1631</v>
      </c>
      <c r="AD3160" t="s">
        <v>6032</v>
      </c>
      <c r="AE3160">
        <v>1</v>
      </c>
      <c r="AF3160" t="s">
        <v>1922</v>
      </c>
      <c r="AG3160" t="s">
        <v>6033</v>
      </c>
      <c r="AH3160" t="s">
        <v>5832</v>
      </c>
    </row>
    <row r="3161" spans="1:34" x14ac:dyDescent="0.25">
      <c r="A3161">
        <v>1</v>
      </c>
      <c r="C3161" s="185"/>
      <c r="E3161" t="s">
        <v>386</v>
      </c>
      <c r="H3161" t="s">
        <v>14524</v>
      </c>
      <c r="I3161">
        <v>3690</v>
      </c>
      <c r="J3161" t="s">
        <v>14525</v>
      </c>
      <c r="K3161" t="s">
        <v>14525</v>
      </c>
      <c r="L3161" t="s">
        <v>386</v>
      </c>
      <c r="M3161" t="s">
        <v>1193</v>
      </c>
      <c r="O3161">
        <v>0</v>
      </c>
      <c r="Q3161" t="s">
        <v>14526</v>
      </c>
      <c r="R3161" t="s">
        <v>1223</v>
      </c>
      <c r="T3161">
        <v>185</v>
      </c>
      <c r="V3161" t="s">
        <v>1915</v>
      </c>
      <c r="Z3161" t="s">
        <v>865</v>
      </c>
      <c r="AA3161" t="s">
        <v>387</v>
      </c>
      <c r="AB3161">
        <v>0</v>
      </c>
      <c r="AC3161">
        <v>3386</v>
      </c>
      <c r="AD3161" t="s">
        <v>14527</v>
      </c>
      <c r="AE3161">
        <v>453</v>
      </c>
      <c r="AF3161" t="s">
        <v>6286</v>
      </c>
      <c r="AG3161" t="s">
        <v>3212</v>
      </c>
    </row>
    <row r="3162" spans="1:34" x14ac:dyDescent="0.25">
      <c r="A3162">
        <v>28</v>
      </c>
      <c r="C3162" s="185"/>
      <c r="E3162" t="s">
        <v>386</v>
      </c>
      <c r="F3162" t="s">
        <v>14528</v>
      </c>
      <c r="G3162" t="s">
        <v>1903</v>
      </c>
      <c r="H3162" t="s">
        <v>14529</v>
      </c>
      <c r="I3162">
        <v>96</v>
      </c>
      <c r="J3162" t="s">
        <v>14528</v>
      </c>
      <c r="K3162" t="s">
        <v>14530</v>
      </c>
      <c r="L3162" t="s">
        <v>386</v>
      </c>
      <c r="M3162" t="s">
        <v>1193</v>
      </c>
      <c r="N3162">
        <v>96</v>
      </c>
      <c r="O3162">
        <v>0</v>
      </c>
      <c r="Q3162" t="s">
        <v>14526</v>
      </c>
      <c r="T3162">
        <v>2</v>
      </c>
      <c r="V3162" t="s">
        <v>1205</v>
      </c>
      <c r="Z3162" t="s">
        <v>3549</v>
      </c>
      <c r="AA3162" t="s">
        <v>387</v>
      </c>
      <c r="AB3162">
        <v>0</v>
      </c>
      <c r="AC3162">
        <v>0</v>
      </c>
      <c r="AD3162" t="s">
        <v>1187</v>
      </c>
      <c r="AE3162">
        <v>44</v>
      </c>
      <c r="AF3162" t="s">
        <v>14531</v>
      </c>
    </row>
    <row r="3163" spans="1:34" x14ac:dyDescent="0.25">
      <c r="A3163">
        <v>1</v>
      </c>
      <c r="C3163" s="185"/>
      <c r="E3163" t="s">
        <v>386</v>
      </c>
      <c r="F3163" t="s">
        <v>14532</v>
      </c>
      <c r="G3163" t="s">
        <v>1903</v>
      </c>
      <c r="H3163" t="s">
        <v>3562</v>
      </c>
      <c r="I3163">
        <v>116</v>
      </c>
      <c r="J3163" t="s">
        <v>14532</v>
      </c>
      <c r="K3163" t="s">
        <v>14532</v>
      </c>
      <c r="L3163" t="s">
        <v>386</v>
      </c>
      <c r="M3163" t="s">
        <v>1193</v>
      </c>
      <c r="N3163">
        <v>116</v>
      </c>
      <c r="O3163">
        <v>0</v>
      </c>
      <c r="Q3163" t="s">
        <v>14526</v>
      </c>
      <c r="T3163">
        <v>39</v>
      </c>
      <c r="V3163" t="s">
        <v>2144</v>
      </c>
      <c r="Z3163" t="s">
        <v>865</v>
      </c>
      <c r="AA3163" t="s">
        <v>387</v>
      </c>
      <c r="AB3163">
        <v>0</v>
      </c>
      <c r="AC3163">
        <v>82</v>
      </c>
      <c r="AD3163" t="s">
        <v>2692</v>
      </c>
      <c r="AE3163">
        <v>49</v>
      </c>
      <c r="AF3163" t="s">
        <v>4080</v>
      </c>
      <c r="AG3163" t="s">
        <v>14533</v>
      </c>
    </row>
    <row r="3164" spans="1:34" x14ac:dyDescent="0.25">
      <c r="A3164">
        <v>52</v>
      </c>
      <c r="C3164" s="185"/>
      <c r="D3164" t="s">
        <v>24</v>
      </c>
      <c r="E3164" t="s">
        <v>386</v>
      </c>
      <c r="F3164" t="s">
        <v>14534</v>
      </c>
      <c r="G3164" t="s">
        <v>1192</v>
      </c>
      <c r="H3164" t="s">
        <v>9132</v>
      </c>
      <c r="I3164">
        <v>206</v>
      </c>
      <c r="J3164" t="s">
        <v>14534</v>
      </c>
      <c r="K3164" t="s">
        <v>14534</v>
      </c>
      <c r="L3164" t="s">
        <v>386</v>
      </c>
      <c r="M3164" t="s">
        <v>1184</v>
      </c>
      <c r="N3164">
        <v>206</v>
      </c>
      <c r="O3164">
        <v>20</v>
      </c>
      <c r="Q3164" t="s">
        <v>14526</v>
      </c>
      <c r="R3164" t="s">
        <v>398</v>
      </c>
      <c r="T3164">
        <v>0</v>
      </c>
      <c r="V3164" t="s">
        <v>1186</v>
      </c>
      <c r="Z3164" t="s">
        <v>9135</v>
      </c>
      <c r="AA3164" t="s">
        <v>387</v>
      </c>
      <c r="AB3164">
        <v>14000</v>
      </c>
      <c r="AC3164">
        <v>252</v>
      </c>
      <c r="AD3164" t="s">
        <v>6933</v>
      </c>
      <c r="AE3164">
        <v>18</v>
      </c>
      <c r="AF3164" t="s">
        <v>1259</v>
      </c>
      <c r="AG3164" t="s">
        <v>2599</v>
      </c>
      <c r="AH3164" t="s">
        <v>14535</v>
      </c>
    </row>
    <row r="3165" spans="1:34" x14ac:dyDescent="0.25">
      <c r="A3165">
        <v>60</v>
      </c>
      <c r="B3165" t="s">
        <v>1313</v>
      </c>
      <c r="C3165" s="185"/>
      <c r="E3165" t="s">
        <v>386</v>
      </c>
      <c r="F3165" t="s">
        <v>14536</v>
      </c>
      <c r="G3165" t="s">
        <v>1903</v>
      </c>
      <c r="H3165" t="s">
        <v>14537</v>
      </c>
      <c r="I3165">
        <v>222</v>
      </c>
      <c r="J3165" t="s">
        <v>14536</v>
      </c>
      <c r="K3165" t="s">
        <v>14536</v>
      </c>
      <c r="L3165" t="s">
        <v>386</v>
      </c>
      <c r="M3165" t="s">
        <v>1193</v>
      </c>
      <c r="N3165">
        <v>222</v>
      </c>
      <c r="O3165">
        <v>0</v>
      </c>
      <c r="Q3165" t="s">
        <v>14526</v>
      </c>
      <c r="R3165" t="s">
        <v>398</v>
      </c>
      <c r="S3165" t="s">
        <v>1315</v>
      </c>
      <c r="T3165">
        <v>220</v>
      </c>
      <c r="U3165">
        <v>0</v>
      </c>
      <c r="V3165" t="s">
        <v>1194</v>
      </c>
      <c r="W3165" t="s">
        <v>2073</v>
      </c>
      <c r="X3165">
        <v>372</v>
      </c>
      <c r="Y3165" t="s">
        <v>1317</v>
      </c>
      <c r="Z3165" t="s">
        <v>3997</v>
      </c>
      <c r="AA3165" t="s">
        <v>387</v>
      </c>
      <c r="AB3165">
        <v>0</v>
      </c>
      <c r="AC3165">
        <v>342</v>
      </c>
      <c r="AD3165" t="s">
        <v>14538</v>
      </c>
      <c r="AE3165">
        <v>1771</v>
      </c>
      <c r="AF3165" t="s">
        <v>14539</v>
      </c>
      <c r="AG3165" t="s">
        <v>14540</v>
      </c>
    </row>
    <row r="3166" spans="1:34" x14ac:dyDescent="0.25">
      <c r="A3166">
        <v>63</v>
      </c>
      <c r="B3166" t="s">
        <v>1313</v>
      </c>
      <c r="C3166" s="185"/>
      <c r="E3166" t="s">
        <v>386</v>
      </c>
      <c r="F3166" t="s">
        <v>14541</v>
      </c>
      <c r="G3166" t="s">
        <v>1903</v>
      </c>
      <c r="H3166" t="s">
        <v>14542</v>
      </c>
      <c r="I3166">
        <v>236</v>
      </c>
      <c r="J3166" t="s">
        <v>14541</v>
      </c>
      <c r="K3166" t="s">
        <v>14541</v>
      </c>
      <c r="L3166" t="s">
        <v>386</v>
      </c>
      <c r="M3166" t="s">
        <v>1193</v>
      </c>
      <c r="N3166">
        <v>236</v>
      </c>
      <c r="O3166">
        <v>0</v>
      </c>
      <c r="Q3166" t="s">
        <v>14526</v>
      </c>
      <c r="S3166" t="s">
        <v>1315</v>
      </c>
      <c r="T3166">
        <v>35</v>
      </c>
      <c r="U3166">
        <v>0</v>
      </c>
      <c r="V3166" t="s">
        <v>2015</v>
      </c>
      <c r="Y3166" t="s">
        <v>1317</v>
      </c>
      <c r="Z3166" t="s">
        <v>3649</v>
      </c>
      <c r="AA3166" t="s">
        <v>387</v>
      </c>
      <c r="AB3166">
        <v>0</v>
      </c>
      <c r="AC3166">
        <v>363</v>
      </c>
      <c r="AD3166" t="s">
        <v>14543</v>
      </c>
      <c r="AE3166">
        <v>105</v>
      </c>
      <c r="AF3166" t="s">
        <v>9088</v>
      </c>
      <c r="AG3166" t="s">
        <v>8657</v>
      </c>
      <c r="AH3166" t="s">
        <v>14544</v>
      </c>
    </row>
    <row r="3167" spans="1:34" x14ac:dyDescent="0.25">
      <c r="A3167">
        <v>1</v>
      </c>
      <c r="B3167" t="s">
        <v>1313</v>
      </c>
      <c r="C3167" s="185"/>
      <c r="E3167" t="s">
        <v>386</v>
      </c>
      <c r="F3167" t="s">
        <v>14545</v>
      </c>
      <c r="G3167" t="s">
        <v>1903</v>
      </c>
      <c r="H3167" t="s">
        <v>14546</v>
      </c>
      <c r="I3167">
        <v>789</v>
      </c>
      <c r="J3167" t="s">
        <v>14545</v>
      </c>
      <c r="K3167" t="s">
        <v>14547</v>
      </c>
      <c r="L3167" t="s">
        <v>386</v>
      </c>
      <c r="M3167" t="s">
        <v>1193</v>
      </c>
      <c r="N3167">
        <v>789</v>
      </c>
      <c r="O3167">
        <v>0</v>
      </c>
      <c r="Q3167" t="s">
        <v>14526</v>
      </c>
      <c r="R3167" t="s">
        <v>1223</v>
      </c>
      <c r="S3167" t="s">
        <v>1315</v>
      </c>
      <c r="T3167">
        <v>260</v>
      </c>
      <c r="U3167">
        <v>0</v>
      </c>
      <c r="V3167" t="s">
        <v>1216</v>
      </c>
      <c r="W3167" t="s">
        <v>4468</v>
      </c>
      <c r="X3167">
        <v>470</v>
      </c>
      <c r="Y3167" t="s">
        <v>1317</v>
      </c>
      <c r="Z3167" t="s">
        <v>865</v>
      </c>
      <c r="AA3167" t="s">
        <v>387</v>
      </c>
      <c r="AB3167">
        <v>0</v>
      </c>
      <c r="AC3167">
        <v>3501</v>
      </c>
      <c r="AD3167" t="s">
        <v>14548</v>
      </c>
      <c r="AE3167">
        <v>3038</v>
      </c>
      <c r="AF3167" t="s">
        <v>14549</v>
      </c>
      <c r="AG3167" t="s">
        <v>7387</v>
      </c>
      <c r="AH3167" t="s">
        <v>14550</v>
      </c>
    </row>
    <row r="3168" spans="1:34" x14ac:dyDescent="0.25">
      <c r="A3168">
        <v>1348</v>
      </c>
      <c r="B3168" t="s">
        <v>1313</v>
      </c>
      <c r="C3168" s="185"/>
      <c r="E3168" t="s">
        <v>386</v>
      </c>
      <c r="F3168" t="s">
        <v>14551</v>
      </c>
      <c r="G3168" t="s">
        <v>1903</v>
      </c>
      <c r="I3168">
        <v>811</v>
      </c>
      <c r="J3168" t="s">
        <v>14551</v>
      </c>
      <c r="K3168" t="s">
        <v>14551</v>
      </c>
      <c r="L3168" t="s">
        <v>386</v>
      </c>
      <c r="M3168" t="s">
        <v>1193</v>
      </c>
      <c r="N3168">
        <v>811</v>
      </c>
      <c r="O3168">
        <v>0</v>
      </c>
      <c r="Q3168" t="s">
        <v>14526</v>
      </c>
      <c r="S3168" t="s">
        <v>1315</v>
      </c>
      <c r="T3168">
        <v>0</v>
      </c>
      <c r="U3168">
        <v>0</v>
      </c>
      <c r="V3168" t="s">
        <v>1186</v>
      </c>
      <c r="Y3168" t="s">
        <v>1317</v>
      </c>
      <c r="Z3168" t="s">
        <v>1071</v>
      </c>
      <c r="AA3168" t="s">
        <v>387</v>
      </c>
      <c r="AB3168">
        <v>0</v>
      </c>
      <c r="AC3168">
        <v>0</v>
      </c>
      <c r="AD3168" t="s">
        <v>1187</v>
      </c>
      <c r="AE3168">
        <v>0</v>
      </c>
      <c r="AF3168" t="s">
        <v>1188</v>
      </c>
    </row>
    <row r="3169" spans="1:34" x14ac:dyDescent="0.25">
      <c r="A3169">
        <v>3</v>
      </c>
      <c r="B3169" t="s">
        <v>1313</v>
      </c>
      <c r="C3169" s="185"/>
      <c r="E3169" t="s">
        <v>386</v>
      </c>
      <c r="F3169" t="s">
        <v>14552</v>
      </c>
      <c r="G3169" t="s">
        <v>1903</v>
      </c>
      <c r="I3169">
        <v>949</v>
      </c>
      <c r="J3169" t="s">
        <v>14552</v>
      </c>
      <c r="K3169" t="s">
        <v>14552</v>
      </c>
      <c r="L3169" t="s">
        <v>386</v>
      </c>
      <c r="M3169" t="s">
        <v>1193</v>
      </c>
      <c r="N3169">
        <v>949</v>
      </c>
      <c r="O3169">
        <v>0</v>
      </c>
      <c r="Q3169" t="s">
        <v>14526</v>
      </c>
      <c r="S3169" t="s">
        <v>1315</v>
      </c>
      <c r="T3169">
        <v>2</v>
      </c>
      <c r="U3169">
        <v>0</v>
      </c>
      <c r="V3169" t="s">
        <v>1205</v>
      </c>
      <c r="Y3169" t="s">
        <v>1317</v>
      </c>
      <c r="Z3169" t="s">
        <v>1935</v>
      </c>
      <c r="AA3169" t="s">
        <v>387</v>
      </c>
      <c r="AB3169">
        <v>0</v>
      </c>
      <c r="AC3169">
        <v>796</v>
      </c>
      <c r="AD3169" t="s">
        <v>8461</v>
      </c>
      <c r="AE3169">
        <v>1</v>
      </c>
      <c r="AF3169" t="s">
        <v>1922</v>
      </c>
      <c r="AG3169" t="s">
        <v>14553</v>
      </c>
      <c r="AH3169" t="s">
        <v>14554</v>
      </c>
    </row>
    <row r="3170" spans="1:34" x14ac:dyDescent="0.25">
      <c r="A3170">
        <v>146</v>
      </c>
      <c r="C3170" s="185"/>
      <c r="E3170" t="s">
        <v>386</v>
      </c>
      <c r="F3170" t="s">
        <v>14555</v>
      </c>
      <c r="G3170" t="s">
        <v>1903</v>
      </c>
      <c r="H3170" t="s">
        <v>2830</v>
      </c>
      <c r="I3170">
        <v>1110</v>
      </c>
      <c r="J3170" t="s">
        <v>14555</v>
      </c>
      <c r="K3170" t="s">
        <v>14556</v>
      </c>
      <c r="L3170" t="s">
        <v>386</v>
      </c>
      <c r="M3170" t="s">
        <v>1193</v>
      </c>
      <c r="N3170">
        <v>1110</v>
      </c>
      <c r="O3170">
        <v>0</v>
      </c>
      <c r="Q3170" t="s">
        <v>14526</v>
      </c>
      <c r="T3170">
        <v>0</v>
      </c>
      <c r="V3170" t="s">
        <v>1186</v>
      </c>
      <c r="Z3170" t="s">
        <v>14557</v>
      </c>
      <c r="AA3170" t="s">
        <v>387</v>
      </c>
      <c r="AB3170">
        <v>0</v>
      </c>
      <c r="AC3170">
        <v>901</v>
      </c>
      <c r="AD3170" t="s">
        <v>14558</v>
      </c>
      <c r="AE3170">
        <v>587</v>
      </c>
      <c r="AF3170" t="s">
        <v>14559</v>
      </c>
      <c r="AG3170" t="s">
        <v>14492</v>
      </c>
    </row>
    <row r="3171" spans="1:34" x14ac:dyDescent="0.25">
      <c r="A3171">
        <v>1</v>
      </c>
      <c r="B3171" t="s">
        <v>1313</v>
      </c>
      <c r="C3171" s="185"/>
      <c r="E3171" t="s">
        <v>386</v>
      </c>
      <c r="F3171" t="s">
        <v>14560</v>
      </c>
      <c r="G3171" t="s">
        <v>1192</v>
      </c>
      <c r="H3171" t="s">
        <v>2759</v>
      </c>
      <c r="I3171">
        <v>1527</v>
      </c>
      <c r="J3171" t="s">
        <v>14560</v>
      </c>
      <c r="K3171" t="s">
        <v>14560</v>
      </c>
      <c r="L3171" t="s">
        <v>386</v>
      </c>
      <c r="M3171" t="s">
        <v>1193</v>
      </c>
      <c r="N3171">
        <v>1527</v>
      </c>
      <c r="O3171">
        <v>0</v>
      </c>
      <c r="Q3171" t="s">
        <v>14526</v>
      </c>
      <c r="S3171" t="s">
        <v>1315</v>
      </c>
      <c r="T3171">
        <v>260</v>
      </c>
      <c r="U3171">
        <v>0</v>
      </c>
      <c r="V3171" t="s">
        <v>1216</v>
      </c>
      <c r="W3171" t="s">
        <v>8372</v>
      </c>
      <c r="X3171">
        <v>16</v>
      </c>
      <c r="Y3171" t="s">
        <v>1317</v>
      </c>
      <c r="Z3171" t="s">
        <v>865</v>
      </c>
      <c r="AA3171" t="s">
        <v>387</v>
      </c>
      <c r="AB3171">
        <v>0</v>
      </c>
      <c r="AC3171">
        <v>2626</v>
      </c>
      <c r="AD3171" t="s">
        <v>2760</v>
      </c>
      <c r="AE3171">
        <v>26</v>
      </c>
      <c r="AF3171" t="s">
        <v>2075</v>
      </c>
      <c r="AG3171" t="s">
        <v>6956</v>
      </c>
    </row>
    <row r="3172" spans="1:34" x14ac:dyDescent="0.25">
      <c r="A3172">
        <v>1</v>
      </c>
      <c r="B3172" t="s">
        <v>1313</v>
      </c>
      <c r="C3172" s="185"/>
      <c r="E3172" t="s">
        <v>386</v>
      </c>
      <c r="F3172" t="s">
        <v>14561</v>
      </c>
      <c r="G3172" t="s">
        <v>1903</v>
      </c>
      <c r="H3172" t="s">
        <v>14562</v>
      </c>
      <c r="I3172">
        <v>1608</v>
      </c>
      <c r="J3172" t="s">
        <v>14561</v>
      </c>
      <c r="K3172" t="s">
        <v>14561</v>
      </c>
      <c r="L3172" t="s">
        <v>386</v>
      </c>
      <c r="M3172" t="s">
        <v>1193</v>
      </c>
      <c r="N3172">
        <v>1608</v>
      </c>
      <c r="O3172">
        <v>0</v>
      </c>
      <c r="Q3172" t="s">
        <v>14526</v>
      </c>
      <c r="S3172" t="s">
        <v>1315</v>
      </c>
      <c r="T3172">
        <v>0</v>
      </c>
      <c r="U3172">
        <v>0</v>
      </c>
      <c r="V3172" t="s">
        <v>1186</v>
      </c>
      <c r="Y3172" t="s">
        <v>1317</v>
      </c>
      <c r="Z3172" t="s">
        <v>865</v>
      </c>
      <c r="AA3172" t="s">
        <v>387</v>
      </c>
      <c r="AB3172">
        <v>0</v>
      </c>
      <c r="AC3172">
        <v>1197</v>
      </c>
      <c r="AD3172" t="s">
        <v>14563</v>
      </c>
      <c r="AE3172">
        <v>394</v>
      </c>
      <c r="AF3172" t="s">
        <v>3171</v>
      </c>
      <c r="AG3172" t="s">
        <v>7603</v>
      </c>
    </row>
    <row r="3173" spans="1:34" x14ac:dyDescent="0.25">
      <c r="A3173">
        <v>31</v>
      </c>
      <c r="B3173" t="s">
        <v>1313</v>
      </c>
      <c r="C3173" s="185"/>
      <c r="E3173" t="s">
        <v>386</v>
      </c>
      <c r="F3173" t="s">
        <v>14564</v>
      </c>
      <c r="G3173" t="s">
        <v>1903</v>
      </c>
      <c r="H3173" t="s">
        <v>14565</v>
      </c>
      <c r="I3173">
        <v>1609</v>
      </c>
      <c r="J3173" t="s">
        <v>14564</v>
      </c>
      <c r="K3173" t="s">
        <v>14566</v>
      </c>
      <c r="L3173" t="s">
        <v>386</v>
      </c>
      <c r="M3173" t="s">
        <v>1193</v>
      </c>
      <c r="N3173">
        <v>1609</v>
      </c>
      <c r="O3173">
        <v>0</v>
      </c>
      <c r="Q3173" t="s">
        <v>14526</v>
      </c>
      <c r="S3173" t="s">
        <v>1315</v>
      </c>
      <c r="T3173">
        <v>340</v>
      </c>
      <c r="U3173">
        <v>0</v>
      </c>
      <c r="V3173" t="s">
        <v>1200</v>
      </c>
      <c r="W3173" t="s">
        <v>1205</v>
      </c>
      <c r="X3173">
        <v>2</v>
      </c>
      <c r="Y3173" t="s">
        <v>1317</v>
      </c>
      <c r="Z3173" t="s">
        <v>1132</v>
      </c>
      <c r="AA3173" t="s">
        <v>387</v>
      </c>
      <c r="AB3173">
        <v>0</v>
      </c>
      <c r="AC3173">
        <v>216</v>
      </c>
      <c r="AD3173" t="s">
        <v>5520</v>
      </c>
      <c r="AE3173">
        <v>55</v>
      </c>
      <c r="AF3173" t="s">
        <v>7200</v>
      </c>
      <c r="AG3173" t="s">
        <v>14567</v>
      </c>
      <c r="AH3173" t="s">
        <v>14568</v>
      </c>
    </row>
    <row r="3174" spans="1:34" x14ac:dyDescent="0.25">
      <c r="A3174">
        <v>39</v>
      </c>
      <c r="B3174" t="s">
        <v>1313</v>
      </c>
      <c r="C3174" s="185"/>
      <c r="D3174" t="s">
        <v>24</v>
      </c>
      <c r="E3174" t="s">
        <v>386</v>
      </c>
      <c r="F3174" t="s">
        <v>14569</v>
      </c>
      <c r="G3174" t="s">
        <v>1903</v>
      </c>
      <c r="H3174" t="s">
        <v>14570</v>
      </c>
      <c r="I3174">
        <v>1684</v>
      </c>
      <c r="J3174" t="s">
        <v>14569</v>
      </c>
      <c r="K3174" t="s">
        <v>14569</v>
      </c>
      <c r="L3174" t="s">
        <v>386</v>
      </c>
      <c r="M3174" t="s">
        <v>1193</v>
      </c>
      <c r="N3174">
        <v>1684</v>
      </c>
      <c r="O3174">
        <v>55</v>
      </c>
      <c r="Q3174" t="s">
        <v>14526</v>
      </c>
      <c r="R3174" t="s">
        <v>398</v>
      </c>
      <c r="S3174" t="s">
        <v>1315</v>
      </c>
      <c r="T3174">
        <v>396</v>
      </c>
      <c r="U3174">
        <v>0</v>
      </c>
      <c r="V3174" t="s">
        <v>2186</v>
      </c>
      <c r="W3174" t="s">
        <v>1194</v>
      </c>
      <c r="X3174">
        <v>220</v>
      </c>
      <c r="Y3174" t="s">
        <v>1317</v>
      </c>
      <c r="Z3174" t="s">
        <v>2303</v>
      </c>
      <c r="AA3174" t="s">
        <v>387</v>
      </c>
      <c r="AB3174">
        <v>47000</v>
      </c>
      <c r="AC3174">
        <v>1258</v>
      </c>
      <c r="AD3174" t="s">
        <v>14571</v>
      </c>
      <c r="AE3174">
        <v>0</v>
      </c>
      <c r="AF3174" t="s">
        <v>1188</v>
      </c>
      <c r="AG3174" t="s">
        <v>7412</v>
      </c>
    </row>
    <row r="3175" spans="1:34" x14ac:dyDescent="0.25">
      <c r="A3175">
        <v>31</v>
      </c>
      <c r="C3175" s="185"/>
      <c r="E3175" t="s">
        <v>386</v>
      </c>
      <c r="F3175" t="s">
        <v>14572</v>
      </c>
      <c r="G3175" t="s">
        <v>1903</v>
      </c>
      <c r="H3175" t="s">
        <v>14573</v>
      </c>
      <c r="I3175">
        <v>1988</v>
      </c>
      <c r="J3175" t="s">
        <v>14572</v>
      </c>
      <c r="K3175" t="s">
        <v>14572</v>
      </c>
      <c r="L3175" t="s">
        <v>386</v>
      </c>
      <c r="M3175" t="s">
        <v>1193</v>
      </c>
      <c r="N3175">
        <v>1988</v>
      </c>
      <c r="O3175">
        <v>0</v>
      </c>
      <c r="Q3175" t="s">
        <v>14526</v>
      </c>
      <c r="T3175">
        <v>0</v>
      </c>
      <c r="V3175" t="s">
        <v>1186</v>
      </c>
      <c r="Z3175" t="s">
        <v>1132</v>
      </c>
      <c r="AA3175" t="s">
        <v>387</v>
      </c>
      <c r="AB3175">
        <v>0</v>
      </c>
      <c r="AC3175">
        <v>1479</v>
      </c>
      <c r="AD3175" t="s">
        <v>14574</v>
      </c>
      <c r="AE3175">
        <v>38</v>
      </c>
      <c r="AF3175" t="s">
        <v>4398</v>
      </c>
      <c r="AG3175" t="s">
        <v>14575</v>
      </c>
      <c r="AH3175" t="s">
        <v>14576</v>
      </c>
    </row>
    <row r="3176" spans="1:34" x14ac:dyDescent="0.25">
      <c r="A3176">
        <v>1</v>
      </c>
      <c r="C3176" s="185"/>
      <c r="E3176" t="s">
        <v>386</v>
      </c>
      <c r="F3176" t="s">
        <v>14577</v>
      </c>
      <c r="G3176" t="s">
        <v>1903</v>
      </c>
      <c r="H3176" t="s">
        <v>14578</v>
      </c>
      <c r="I3176">
        <v>2025</v>
      </c>
      <c r="J3176" t="s">
        <v>14577</v>
      </c>
      <c r="K3176" t="s">
        <v>14577</v>
      </c>
      <c r="L3176" t="s">
        <v>386</v>
      </c>
      <c r="M3176" t="s">
        <v>1193</v>
      </c>
      <c r="N3176">
        <v>2025</v>
      </c>
      <c r="O3176">
        <v>0</v>
      </c>
      <c r="Q3176" t="s">
        <v>14526</v>
      </c>
      <c r="T3176">
        <v>473</v>
      </c>
      <c r="V3176" t="s">
        <v>1964</v>
      </c>
      <c r="W3176" t="s">
        <v>1964</v>
      </c>
      <c r="X3176">
        <v>473</v>
      </c>
      <c r="Z3176" t="s">
        <v>865</v>
      </c>
      <c r="AA3176" t="s">
        <v>387</v>
      </c>
      <c r="AB3176">
        <v>0</v>
      </c>
      <c r="AC3176">
        <v>2934</v>
      </c>
      <c r="AD3176" t="s">
        <v>14579</v>
      </c>
      <c r="AE3176">
        <v>640</v>
      </c>
      <c r="AF3176" t="s">
        <v>14580</v>
      </c>
      <c r="AG3176" t="s">
        <v>4000</v>
      </c>
      <c r="AH3176" t="s">
        <v>14581</v>
      </c>
    </row>
    <row r="3177" spans="1:34" x14ac:dyDescent="0.25">
      <c r="A3177">
        <v>3</v>
      </c>
      <c r="C3177" s="185"/>
      <c r="E3177" t="s">
        <v>386</v>
      </c>
      <c r="F3177" t="s">
        <v>14582</v>
      </c>
      <c r="G3177" t="s">
        <v>1903</v>
      </c>
      <c r="I3177">
        <v>2185</v>
      </c>
      <c r="J3177" t="s">
        <v>14582</v>
      </c>
      <c r="K3177" t="s">
        <v>14582</v>
      </c>
      <c r="L3177" t="s">
        <v>386</v>
      </c>
      <c r="M3177" t="s">
        <v>1193</v>
      </c>
      <c r="N3177">
        <v>2185</v>
      </c>
      <c r="O3177">
        <v>0</v>
      </c>
      <c r="Q3177" t="s">
        <v>14526</v>
      </c>
      <c r="T3177">
        <v>2</v>
      </c>
      <c r="V3177" t="s">
        <v>1205</v>
      </c>
      <c r="Z3177" t="s">
        <v>1935</v>
      </c>
      <c r="AA3177" t="s">
        <v>387</v>
      </c>
      <c r="AB3177">
        <v>0</v>
      </c>
      <c r="AC3177">
        <v>796</v>
      </c>
      <c r="AD3177" t="s">
        <v>8461</v>
      </c>
      <c r="AE3177">
        <v>1</v>
      </c>
      <c r="AF3177" t="s">
        <v>1922</v>
      </c>
      <c r="AG3177" t="s">
        <v>14553</v>
      </c>
      <c r="AH3177" t="s">
        <v>14554</v>
      </c>
    </row>
    <row r="3178" spans="1:34" x14ac:dyDescent="0.25">
      <c r="A3178">
        <v>136</v>
      </c>
      <c r="C3178" s="185"/>
      <c r="E3178" t="s">
        <v>386</v>
      </c>
      <c r="F3178" t="s">
        <v>14583</v>
      </c>
      <c r="G3178" t="s">
        <v>1903</v>
      </c>
      <c r="H3178" t="s">
        <v>14584</v>
      </c>
      <c r="I3178">
        <v>2217</v>
      </c>
      <c r="J3178" t="s">
        <v>14583</v>
      </c>
      <c r="K3178" t="s">
        <v>14583</v>
      </c>
      <c r="L3178" t="s">
        <v>386</v>
      </c>
      <c r="M3178" t="s">
        <v>1193</v>
      </c>
      <c r="N3178">
        <v>2217</v>
      </c>
      <c r="O3178">
        <v>0</v>
      </c>
      <c r="Q3178" t="s">
        <v>14526</v>
      </c>
      <c r="T3178">
        <v>52</v>
      </c>
      <c r="V3178" t="s">
        <v>2024</v>
      </c>
      <c r="Z3178" t="s">
        <v>7453</v>
      </c>
      <c r="AA3178" t="s">
        <v>387</v>
      </c>
      <c r="AB3178">
        <v>0</v>
      </c>
      <c r="AC3178">
        <v>1634</v>
      </c>
      <c r="AD3178" t="s">
        <v>14585</v>
      </c>
      <c r="AE3178">
        <v>81</v>
      </c>
      <c r="AF3178" t="s">
        <v>8284</v>
      </c>
      <c r="AG3178" t="s">
        <v>1244</v>
      </c>
      <c r="AH3178" t="s">
        <v>14586</v>
      </c>
    </row>
    <row r="3179" spans="1:34" x14ac:dyDescent="0.25">
      <c r="A3179">
        <v>1</v>
      </c>
      <c r="C3179" s="185"/>
      <c r="E3179" t="s">
        <v>386</v>
      </c>
      <c r="F3179" t="s">
        <v>14587</v>
      </c>
      <c r="G3179" t="s">
        <v>1903</v>
      </c>
      <c r="H3179" t="s">
        <v>4775</v>
      </c>
      <c r="I3179">
        <v>2218</v>
      </c>
      <c r="J3179" t="s">
        <v>14587</v>
      </c>
      <c r="K3179" t="s">
        <v>14588</v>
      </c>
      <c r="L3179" t="s">
        <v>386</v>
      </c>
      <c r="M3179" t="s">
        <v>1193</v>
      </c>
      <c r="N3179">
        <v>2218</v>
      </c>
      <c r="O3179">
        <v>0</v>
      </c>
      <c r="Q3179" t="s">
        <v>14526</v>
      </c>
      <c r="T3179">
        <v>52</v>
      </c>
      <c r="V3179" t="s">
        <v>2024</v>
      </c>
      <c r="Z3179" t="s">
        <v>865</v>
      </c>
      <c r="AA3179" t="s">
        <v>387</v>
      </c>
      <c r="AB3179">
        <v>0</v>
      </c>
      <c r="AC3179">
        <v>132</v>
      </c>
      <c r="AD3179" t="s">
        <v>4778</v>
      </c>
      <c r="AE3179">
        <v>50</v>
      </c>
      <c r="AF3179" t="s">
        <v>7397</v>
      </c>
      <c r="AG3179" t="s">
        <v>14589</v>
      </c>
      <c r="AH3179" t="s">
        <v>6424</v>
      </c>
    </row>
    <row r="3180" spans="1:34" x14ac:dyDescent="0.25">
      <c r="A3180">
        <v>1</v>
      </c>
      <c r="C3180" s="185"/>
      <c r="E3180" t="s">
        <v>386</v>
      </c>
      <c r="F3180" t="s">
        <v>14590</v>
      </c>
      <c r="G3180" t="s">
        <v>1903</v>
      </c>
      <c r="H3180" t="s">
        <v>14591</v>
      </c>
      <c r="I3180">
        <v>2219</v>
      </c>
      <c r="J3180" t="s">
        <v>14590</v>
      </c>
      <c r="K3180" t="s">
        <v>14592</v>
      </c>
      <c r="L3180" t="s">
        <v>386</v>
      </c>
      <c r="M3180" t="s">
        <v>1193</v>
      </c>
      <c r="N3180">
        <v>2219</v>
      </c>
      <c r="O3180">
        <v>0</v>
      </c>
      <c r="Q3180" t="s">
        <v>14526</v>
      </c>
      <c r="T3180">
        <v>52</v>
      </c>
      <c r="V3180" t="s">
        <v>2024</v>
      </c>
      <c r="Z3180" t="s">
        <v>865</v>
      </c>
      <c r="AA3180" t="s">
        <v>387</v>
      </c>
      <c r="AB3180">
        <v>0</v>
      </c>
      <c r="AC3180">
        <v>1637</v>
      </c>
      <c r="AD3180" t="s">
        <v>14593</v>
      </c>
      <c r="AE3180">
        <v>1</v>
      </c>
      <c r="AF3180" t="s">
        <v>1922</v>
      </c>
      <c r="AG3180" t="s">
        <v>14594</v>
      </c>
      <c r="AH3180" t="s">
        <v>5832</v>
      </c>
    </row>
    <row r="3181" spans="1:34" x14ac:dyDescent="0.25">
      <c r="A3181">
        <v>63</v>
      </c>
      <c r="C3181" s="185"/>
      <c r="E3181" t="s">
        <v>386</v>
      </c>
      <c r="F3181" t="s">
        <v>14595</v>
      </c>
      <c r="G3181" t="s">
        <v>1903</v>
      </c>
      <c r="H3181" t="s">
        <v>14596</v>
      </c>
      <c r="I3181">
        <v>2221</v>
      </c>
      <c r="J3181" t="s">
        <v>14595</v>
      </c>
      <c r="K3181" t="s">
        <v>14595</v>
      </c>
      <c r="L3181" t="s">
        <v>386</v>
      </c>
      <c r="M3181" t="s">
        <v>1193</v>
      </c>
      <c r="N3181">
        <v>2221</v>
      </c>
      <c r="O3181">
        <v>0</v>
      </c>
      <c r="Q3181" t="s">
        <v>14526</v>
      </c>
      <c r="T3181">
        <v>52</v>
      </c>
      <c r="V3181" t="s">
        <v>2024</v>
      </c>
      <c r="Z3181" t="s">
        <v>3649</v>
      </c>
      <c r="AA3181" t="s">
        <v>387</v>
      </c>
      <c r="AB3181">
        <v>0</v>
      </c>
      <c r="AC3181">
        <v>1638</v>
      </c>
      <c r="AD3181" t="s">
        <v>14597</v>
      </c>
      <c r="AE3181">
        <v>1</v>
      </c>
      <c r="AF3181" t="s">
        <v>1922</v>
      </c>
      <c r="AG3181" t="s">
        <v>2599</v>
      </c>
      <c r="AH3181" t="s">
        <v>14598</v>
      </c>
    </row>
    <row r="3182" spans="1:34" x14ac:dyDescent="0.25">
      <c r="A3182">
        <v>31</v>
      </c>
      <c r="C3182" s="185"/>
      <c r="E3182" t="s">
        <v>386</v>
      </c>
      <c r="F3182" t="s">
        <v>14599</v>
      </c>
      <c r="G3182" t="s">
        <v>1903</v>
      </c>
      <c r="H3182" t="s">
        <v>14600</v>
      </c>
      <c r="I3182">
        <v>2223</v>
      </c>
      <c r="J3182" t="s">
        <v>14599</v>
      </c>
      <c r="K3182" t="s">
        <v>14601</v>
      </c>
      <c r="L3182" t="s">
        <v>386</v>
      </c>
      <c r="M3182" t="s">
        <v>1193</v>
      </c>
      <c r="N3182">
        <v>2223</v>
      </c>
      <c r="O3182">
        <v>0</v>
      </c>
      <c r="Q3182" t="s">
        <v>14526</v>
      </c>
      <c r="T3182">
        <v>52</v>
      </c>
      <c r="V3182" t="s">
        <v>2024</v>
      </c>
      <c r="Z3182" t="s">
        <v>1132</v>
      </c>
      <c r="AA3182" t="s">
        <v>387</v>
      </c>
      <c r="AB3182">
        <v>0</v>
      </c>
      <c r="AC3182">
        <v>1639</v>
      </c>
      <c r="AD3182" t="s">
        <v>14602</v>
      </c>
      <c r="AE3182">
        <v>795</v>
      </c>
      <c r="AF3182" t="s">
        <v>14603</v>
      </c>
      <c r="AG3182" t="s">
        <v>3822</v>
      </c>
      <c r="AH3182" t="s">
        <v>14604</v>
      </c>
    </row>
    <row r="3183" spans="1:34" x14ac:dyDescent="0.25">
      <c r="A3183">
        <v>1</v>
      </c>
      <c r="C3183" s="185"/>
      <c r="E3183" t="s">
        <v>386</v>
      </c>
      <c r="F3183" t="s">
        <v>14605</v>
      </c>
      <c r="G3183" t="s">
        <v>1903</v>
      </c>
      <c r="H3183" t="s">
        <v>14606</v>
      </c>
      <c r="I3183">
        <v>2272</v>
      </c>
      <c r="J3183" t="s">
        <v>14605</v>
      </c>
      <c r="K3183" t="s">
        <v>14607</v>
      </c>
      <c r="L3183" t="s">
        <v>386</v>
      </c>
      <c r="M3183" t="s">
        <v>1193</v>
      </c>
      <c r="N3183">
        <v>2272</v>
      </c>
      <c r="O3183">
        <v>0</v>
      </c>
      <c r="Q3183" t="s">
        <v>14526</v>
      </c>
      <c r="T3183">
        <v>52</v>
      </c>
      <c r="V3183" t="s">
        <v>2024</v>
      </c>
      <c r="Z3183" t="s">
        <v>865</v>
      </c>
      <c r="AA3183" t="s">
        <v>387</v>
      </c>
      <c r="AB3183">
        <v>0</v>
      </c>
      <c r="AC3183">
        <v>1674</v>
      </c>
      <c r="AD3183" t="s">
        <v>14608</v>
      </c>
      <c r="AE3183">
        <v>28</v>
      </c>
      <c r="AF3183" t="s">
        <v>14609</v>
      </c>
      <c r="AG3183" t="s">
        <v>14610</v>
      </c>
    </row>
    <row r="3184" spans="1:34" x14ac:dyDescent="0.25">
      <c r="A3184">
        <v>39</v>
      </c>
      <c r="C3184" s="185"/>
      <c r="E3184" t="s">
        <v>386</v>
      </c>
      <c r="F3184" t="s">
        <v>14611</v>
      </c>
      <c r="G3184" t="s">
        <v>1903</v>
      </c>
      <c r="H3184" t="s">
        <v>14612</v>
      </c>
      <c r="I3184">
        <v>2279</v>
      </c>
      <c r="J3184" t="s">
        <v>14611</v>
      </c>
      <c r="K3184" t="s">
        <v>14613</v>
      </c>
      <c r="L3184" t="s">
        <v>386</v>
      </c>
      <c r="M3184" t="s">
        <v>1193</v>
      </c>
      <c r="N3184">
        <v>2279</v>
      </c>
      <c r="O3184">
        <v>0</v>
      </c>
      <c r="Q3184" t="s">
        <v>14526</v>
      </c>
      <c r="T3184">
        <v>52</v>
      </c>
      <c r="V3184" t="s">
        <v>2024</v>
      </c>
      <c r="Z3184" t="s">
        <v>2303</v>
      </c>
      <c r="AA3184" t="s">
        <v>387</v>
      </c>
      <c r="AB3184">
        <v>0</v>
      </c>
      <c r="AC3184">
        <v>1679</v>
      </c>
      <c r="AD3184" t="s">
        <v>14614</v>
      </c>
      <c r="AE3184">
        <v>823</v>
      </c>
      <c r="AF3184" t="s">
        <v>14167</v>
      </c>
      <c r="AG3184" t="s">
        <v>1244</v>
      </c>
      <c r="AH3184" t="s">
        <v>14615</v>
      </c>
    </row>
    <row r="3185" spans="1:34" x14ac:dyDescent="0.25">
      <c r="A3185">
        <v>1</v>
      </c>
      <c r="C3185" s="185"/>
      <c r="E3185" t="s">
        <v>386</v>
      </c>
      <c r="F3185" t="s">
        <v>14616</v>
      </c>
      <c r="G3185" t="s">
        <v>1903</v>
      </c>
      <c r="H3185" t="s">
        <v>14617</v>
      </c>
      <c r="I3185">
        <v>2285</v>
      </c>
      <c r="J3185" t="s">
        <v>14616</v>
      </c>
      <c r="K3185" t="s">
        <v>14618</v>
      </c>
      <c r="L3185" t="s">
        <v>386</v>
      </c>
      <c r="M3185" t="s">
        <v>1193</v>
      </c>
      <c r="N3185">
        <v>2285</v>
      </c>
      <c r="O3185">
        <v>0</v>
      </c>
      <c r="Q3185" t="s">
        <v>14526</v>
      </c>
      <c r="T3185">
        <v>52</v>
      </c>
      <c r="V3185" t="s">
        <v>2024</v>
      </c>
      <c r="Z3185" t="s">
        <v>865</v>
      </c>
      <c r="AA3185" t="s">
        <v>387</v>
      </c>
      <c r="AB3185">
        <v>0</v>
      </c>
      <c r="AC3185">
        <v>1682</v>
      </c>
      <c r="AD3185" t="s">
        <v>14619</v>
      </c>
      <c r="AE3185">
        <v>1</v>
      </c>
      <c r="AF3185" t="s">
        <v>1922</v>
      </c>
      <c r="AG3185" t="s">
        <v>9718</v>
      </c>
    </row>
    <row r="3186" spans="1:34" x14ac:dyDescent="0.25">
      <c r="A3186">
        <v>1668</v>
      </c>
      <c r="C3186" s="185"/>
      <c r="D3186" t="s">
        <v>24</v>
      </c>
      <c r="E3186" t="s">
        <v>386</v>
      </c>
      <c r="F3186" t="s">
        <v>114</v>
      </c>
      <c r="G3186" t="s">
        <v>1192</v>
      </c>
      <c r="I3186">
        <v>2287</v>
      </c>
      <c r="J3186" t="s">
        <v>114</v>
      </c>
      <c r="K3186" t="s">
        <v>114</v>
      </c>
      <c r="L3186" t="s">
        <v>386</v>
      </c>
      <c r="M3186" t="s">
        <v>1193</v>
      </c>
      <c r="N3186">
        <v>2287</v>
      </c>
      <c r="O3186">
        <v>56</v>
      </c>
      <c r="Q3186" t="s">
        <v>14526</v>
      </c>
      <c r="R3186" t="s">
        <v>398</v>
      </c>
      <c r="T3186">
        <v>470</v>
      </c>
      <c r="V3186" t="s">
        <v>4468</v>
      </c>
      <c r="W3186" t="s">
        <v>1199</v>
      </c>
      <c r="X3186">
        <v>200</v>
      </c>
      <c r="Z3186" t="s">
        <v>882</v>
      </c>
      <c r="AA3186" t="s">
        <v>387</v>
      </c>
      <c r="AB3186">
        <v>48000</v>
      </c>
      <c r="AC3186">
        <v>2576</v>
      </c>
      <c r="AD3186" t="s">
        <v>14620</v>
      </c>
      <c r="AE3186">
        <v>0</v>
      </c>
      <c r="AF3186" t="s">
        <v>1188</v>
      </c>
      <c r="AG3186" t="s">
        <v>1931</v>
      </c>
      <c r="AH3186" t="s">
        <v>14621</v>
      </c>
    </row>
    <row r="3187" spans="1:34" x14ac:dyDescent="0.25">
      <c r="A3187">
        <v>1</v>
      </c>
      <c r="C3187" s="185"/>
      <c r="E3187" t="s">
        <v>386</v>
      </c>
      <c r="F3187" t="s">
        <v>14622</v>
      </c>
      <c r="G3187" t="s">
        <v>1903</v>
      </c>
      <c r="H3187" t="s">
        <v>6216</v>
      </c>
      <c r="I3187">
        <v>2313</v>
      </c>
      <c r="J3187" t="s">
        <v>14622</v>
      </c>
      <c r="K3187" t="s">
        <v>14623</v>
      </c>
      <c r="L3187" t="s">
        <v>386</v>
      </c>
      <c r="M3187" t="s">
        <v>1193</v>
      </c>
      <c r="N3187">
        <v>2313</v>
      </c>
      <c r="O3187">
        <v>0</v>
      </c>
      <c r="Q3187" t="s">
        <v>14526</v>
      </c>
      <c r="T3187">
        <v>52</v>
      </c>
      <c r="V3187" t="s">
        <v>2024</v>
      </c>
      <c r="Z3187" t="s">
        <v>865</v>
      </c>
      <c r="AA3187" t="s">
        <v>387</v>
      </c>
      <c r="AB3187">
        <v>0</v>
      </c>
      <c r="AC3187">
        <v>1610</v>
      </c>
      <c r="AD3187" t="s">
        <v>3102</v>
      </c>
      <c r="AE3187">
        <v>1</v>
      </c>
      <c r="AF3187" t="s">
        <v>1922</v>
      </c>
      <c r="AG3187" t="s">
        <v>10910</v>
      </c>
      <c r="AH3187" t="s">
        <v>14624</v>
      </c>
    </row>
    <row r="3188" spans="1:34" x14ac:dyDescent="0.25">
      <c r="A3188">
        <v>1</v>
      </c>
      <c r="C3188" s="185"/>
      <c r="E3188" t="s">
        <v>386</v>
      </c>
      <c r="F3188" t="s">
        <v>14625</v>
      </c>
      <c r="G3188" t="s">
        <v>1903</v>
      </c>
      <c r="H3188" t="s">
        <v>6216</v>
      </c>
      <c r="I3188">
        <v>2315</v>
      </c>
      <c r="J3188" t="s">
        <v>14625</v>
      </c>
      <c r="K3188" t="s">
        <v>14626</v>
      </c>
      <c r="L3188" t="s">
        <v>386</v>
      </c>
      <c r="M3188" t="s">
        <v>1193</v>
      </c>
      <c r="N3188">
        <v>2315</v>
      </c>
      <c r="O3188">
        <v>0</v>
      </c>
      <c r="Q3188" t="s">
        <v>14526</v>
      </c>
      <c r="T3188">
        <v>52</v>
      </c>
      <c r="V3188" t="s">
        <v>2024</v>
      </c>
      <c r="Z3188" t="s">
        <v>865</v>
      </c>
      <c r="AA3188" t="s">
        <v>387</v>
      </c>
      <c r="AB3188">
        <v>0</v>
      </c>
      <c r="AC3188">
        <v>1610</v>
      </c>
      <c r="AD3188" t="s">
        <v>3102</v>
      </c>
      <c r="AE3188">
        <v>1</v>
      </c>
      <c r="AF3188" t="s">
        <v>1922</v>
      </c>
      <c r="AG3188" t="s">
        <v>14627</v>
      </c>
    </row>
    <row r="3189" spans="1:34" x14ac:dyDescent="0.25">
      <c r="A3189">
        <v>60</v>
      </c>
      <c r="C3189" s="185"/>
      <c r="E3189" t="s">
        <v>386</v>
      </c>
      <c r="F3189" t="s">
        <v>14628</v>
      </c>
      <c r="G3189" t="s">
        <v>1192</v>
      </c>
      <c r="H3189" t="s">
        <v>14629</v>
      </c>
      <c r="I3189">
        <v>2465</v>
      </c>
      <c r="J3189" t="s">
        <v>14628</v>
      </c>
      <c r="K3189" t="s">
        <v>14628</v>
      </c>
      <c r="L3189" t="s">
        <v>386</v>
      </c>
      <c r="M3189" t="s">
        <v>1193</v>
      </c>
      <c r="N3189">
        <v>2465</v>
      </c>
      <c r="O3189">
        <v>0</v>
      </c>
      <c r="Q3189" t="s">
        <v>14526</v>
      </c>
      <c r="T3189">
        <v>52</v>
      </c>
      <c r="V3189" t="s">
        <v>2024</v>
      </c>
      <c r="Z3189" t="s">
        <v>3997</v>
      </c>
      <c r="AA3189" t="s">
        <v>387</v>
      </c>
      <c r="AB3189">
        <v>0</v>
      </c>
      <c r="AC3189">
        <v>1782</v>
      </c>
      <c r="AD3189" t="s">
        <v>14630</v>
      </c>
      <c r="AE3189">
        <v>872</v>
      </c>
      <c r="AF3189" t="s">
        <v>7521</v>
      </c>
      <c r="AG3189" t="s">
        <v>14631</v>
      </c>
    </row>
    <row r="3190" spans="1:34" x14ac:dyDescent="0.25">
      <c r="A3190">
        <v>28</v>
      </c>
      <c r="C3190" s="185"/>
      <c r="E3190" t="s">
        <v>386</v>
      </c>
      <c r="F3190" t="s">
        <v>14632</v>
      </c>
      <c r="G3190" t="s">
        <v>1903</v>
      </c>
      <c r="H3190" t="s">
        <v>14529</v>
      </c>
      <c r="I3190">
        <v>2737</v>
      </c>
      <c r="J3190" t="s">
        <v>14632</v>
      </c>
      <c r="K3190" t="s">
        <v>14632</v>
      </c>
      <c r="L3190" t="s">
        <v>386</v>
      </c>
      <c r="M3190" t="s">
        <v>1193</v>
      </c>
      <c r="N3190">
        <v>2737</v>
      </c>
      <c r="O3190">
        <v>0</v>
      </c>
      <c r="Q3190" t="s">
        <v>14526</v>
      </c>
      <c r="T3190">
        <v>2</v>
      </c>
      <c r="V3190" t="s">
        <v>1205</v>
      </c>
      <c r="Z3190" t="s">
        <v>3549</v>
      </c>
      <c r="AA3190" t="s">
        <v>387</v>
      </c>
      <c r="AB3190">
        <v>0</v>
      </c>
      <c r="AC3190">
        <v>0</v>
      </c>
      <c r="AD3190" t="s">
        <v>1187</v>
      </c>
      <c r="AE3190">
        <v>44</v>
      </c>
      <c r="AF3190" t="s">
        <v>14531</v>
      </c>
    </row>
    <row r="3191" spans="1:34" x14ac:dyDescent="0.25">
      <c r="A3191">
        <v>31</v>
      </c>
      <c r="C3191" s="185"/>
      <c r="E3191" t="s">
        <v>386</v>
      </c>
      <c r="F3191" t="s">
        <v>14633</v>
      </c>
      <c r="G3191" t="s">
        <v>1903</v>
      </c>
      <c r="H3191" t="s">
        <v>14634</v>
      </c>
      <c r="I3191">
        <v>3065</v>
      </c>
      <c r="J3191" t="s">
        <v>14633</v>
      </c>
      <c r="K3191" t="s">
        <v>14633</v>
      </c>
      <c r="L3191" t="s">
        <v>386</v>
      </c>
      <c r="M3191" t="s">
        <v>1193</v>
      </c>
      <c r="N3191">
        <v>3065</v>
      </c>
      <c r="O3191">
        <v>0</v>
      </c>
      <c r="Q3191" t="s">
        <v>14526</v>
      </c>
      <c r="T3191">
        <v>560</v>
      </c>
      <c r="V3191" t="s">
        <v>2602</v>
      </c>
      <c r="W3191" t="s">
        <v>1964</v>
      </c>
      <c r="X3191">
        <v>473</v>
      </c>
      <c r="Z3191" t="s">
        <v>1132</v>
      </c>
      <c r="AA3191" t="s">
        <v>387</v>
      </c>
      <c r="AB3191">
        <v>0</v>
      </c>
      <c r="AC3191">
        <v>2047</v>
      </c>
      <c r="AD3191" t="s">
        <v>14635</v>
      </c>
      <c r="AE3191">
        <v>982</v>
      </c>
      <c r="AF3191" t="s">
        <v>14636</v>
      </c>
      <c r="AG3191" t="s">
        <v>14637</v>
      </c>
    </row>
    <row r="3192" spans="1:34" x14ac:dyDescent="0.25">
      <c r="A3192">
        <v>3</v>
      </c>
      <c r="C3192" s="185"/>
      <c r="E3192" t="s">
        <v>386</v>
      </c>
      <c r="F3192" t="s">
        <v>14638</v>
      </c>
      <c r="G3192" t="s">
        <v>1192</v>
      </c>
      <c r="H3192" t="s">
        <v>9654</v>
      </c>
      <c r="I3192">
        <v>3090</v>
      </c>
      <c r="J3192" t="s">
        <v>14638</v>
      </c>
      <c r="K3192" t="s">
        <v>14638</v>
      </c>
      <c r="L3192" t="s">
        <v>386</v>
      </c>
      <c r="M3192" t="s">
        <v>1193</v>
      </c>
      <c r="N3192">
        <v>3090</v>
      </c>
      <c r="O3192">
        <v>76</v>
      </c>
      <c r="Q3192" t="s">
        <v>14526</v>
      </c>
      <c r="R3192" t="s">
        <v>398</v>
      </c>
      <c r="T3192">
        <v>220</v>
      </c>
      <c r="V3192" t="s">
        <v>1194</v>
      </c>
      <c r="W3192" t="s">
        <v>1194</v>
      </c>
      <c r="X3192">
        <v>220</v>
      </c>
      <c r="Z3192" t="s">
        <v>1935</v>
      </c>
      <c r="AA3192" t="s">
        <v>387</v>
      </c>
      <c r="AB3192">
        <v>0</v>
      </c>
      <c r="AC3192">
        <v>1830</v>
      </c>
      <c r="AD3192" t="s">
        <v>9767</v>
      </c>
      <c r="AE3192">
        <v>60</v>
      </c>
      <c r="AF3192" t="s">
        <v>9768</v>
      </c>
      <c r="AG3192" t="s">
        <v>9658</v>
      </c>
    </row>
    <row r="3193" spans="1:34" x14ac:dyDescent="0.25">
      <c r="A3193">
        <v>3</v>
      </c>
      <c r="C3193" s="185"/>
      <c r="E3193" t="s">
        <v>386</v>
      </c>
      <c r="F3193" t="s">
        <v>14639</v>
      </c>
      <c r="G3193" t="s">
        <v>1192</v>
      </c>
      <c r="H3193" t="s">
        <v>9637</v>
      </c>
      <c r="I3193">
        <v>4462</v>
      </c>
      <c r="J3193" t="s">
        <v>14639</v>
      </c>
      <c r="K3193" t="s">
        <v>14640</v>
      </c>
      <c r="L3193" t="s">
        <v>386</v>
      </c>
      <c r="M3193" t="s">
        <v>1193</v>
      </c>
      <c r="N3193">
        <v>4462</v>
      </c>
      <c r="O3193">
        <v>0</v>
      </c>
      <c r="Q3193" t="s">
        <v>14526</v>
      </c>
      <c r="T3193">
        <v>189</v>
      </c>
      <c r="V3193" t="s">
        <v>1910</v>
      </c>
      <c r="Z3193" t="s">
        <v>1935</v>
      </c>
      <c r="AA3193" t="s">
        <v>387</v>
      </c>
      <c r="AB3193">
        <v>0</v>
      </c>
      <c r="AC3193">
        <v>2333</v>
      </c>
      <c r="AD3193" t="s">
        <v>9641</v>
      </c>
      <c r="AE3193">
        <v>62</v>
      </c>
      <c r="AF3193" t="s">
        <v>9642</v>
      </c>
      <c r="AG3193" t="s">
        <v>5507</v>
      </c>
    </row>
    <row r="3194" spans="1:34" x14ac:dyDescent="0.25">
      <c r="A3194">
        <v>1</v>
      </c>
      <c r="C3194" s="185"/>
      <c r="E3194" t="s">
        <v>386</v>
      </c>
      <c r="F3194" t="s">
        <v>14641</v>
      </c>
      <c r="G3194" t="s">
        <v>1903</v>
      </c>
      <c r="H3194" t="s">
        <v>6634</v>
      </c>
      <c r="I3194">
        <v>5081</v>
      </c>
      <c r="J3194" t="s">
        <v>14641</v>
      </c>
      <c r="K3194" t="s">
        <v>14642</v>
      </c>
      <c r="L3194" t="s">
        <v>386</v>
      </c>
      <c r="M3194" t="s">
        <v>1193</v>
      </c>
      <c r="N3194">
        <v>5081</v>
      </c>
      <c r="O3194">
        <v>0</v>
      </c>
      <c r="Q3194" t="s">
        <v>14526</v>
      </c>
      <c r="T3194">
        <v>52</v>
      </c>
      <c r="V3194" t="s">
        <v>2024</v>
      </c>
      <c r="Z3194" t="s">
        <v>865</v>
      </c>
      <c r="AA3194" t="s">
        <v>387</v>
      </c>
      <c r="AB3194">
        <v>0</v>
      </c>
      <c r="AC3194">
        <v>121</v>
      </c>
      <c r="AD3194" t="s">
        <v>5825</v>
      </c>
      <c r="AE3194">
        <v>1</v>
      </c>
      <c r="AF3194" t="s">
        <v>1922</v>
      </c>
      <c r="AG3194" t="s">
        <v>13504</v>
      </c>
      <c r="AH3194" t="s">
        <v>14643</v>
      </c>
    </row>
    <row r="3195" spans="1:34" x14ac:dyDescent="0.25">
      <c r="A3195">
        <v>994</v>
      </c>
      <c r="C3195" s="185"/>
      <c r="D3195" t="s">
        <v>157</v>
      </c>
      <c r="E3195" t="s">
        <v>386</v>
      </c>
      <c r="F3195" t="s">
        <v>14644</v>
      </c>
      <c r="G3195" t="s">
        <v>1192</v>
      </c>
      <c r="H3195" t="s">
        <v>10495</v>
      </c>
      <c r="I3195">
        <v>5242</v>
      </c>
      <c r="J3195" t="s">
        <v>14644</v>
      </c>
      <c r="K3195" t="s">
        <v>14644</v>
      </c>
      <c r="L3195" t="s">
        <v>386</v>
      </c>
      <c r="M3195" t="s">
        <v>1193</v>
      </c>
      <c r="N3195">
        <v>5242</v>
      </c>
      <c r="O3195">
        <v>0</v>
      </c>
      <c r="Q3195" t="s">
        <v>14526</v>
      </c>
      <c r="T3195">
        <v>52</v>
      </c>
      <c r="V3195" t="s">
        <v>2024</v>
      </c>
      <c r="Z3195" t="s">
        <v>10497</v>
      </c>
      <c r="AA3195" t="s">
        <v>387</v>
      </c>
      <c r="AB3195">
        <v>0</v>
      </c>
      <c r="AC3195">
        <v>2529</v>
      </c>
      <c r="AD3195" t="s">
        <v>14645</v>
      </c>
      <c r="AE3195">
        <v>1217</v>
      </c>
      <c r="AF3195" t="s">
        <v>14646</v>
      </c>
      <c r="AG3195" t="s">
        <v>6381</v>
      </c>
    </row>
    <row r="3196" spans="1:34" x14ac:dyDescent="0.25">
      <c r="A3196">
        <v>1</v>
      </c>
      <c r="C3196" s="185"/>
      <c r="D3196" t="s">
        <v>157</v>
      </c>
      <c r="E3196" t="s">
        <v>386</v>
      </c>
      <c r="F3196" t="s">
        <v>14647</v>
      </c>
      <c r="G3196" t="s">
        <v>1192</v>
      </c>
      <c r="H3196" t="s">
        <v>14648</v>
      </c>
      <c r="I3196">
        <v>5243</v>
      </c>
      <c r="J3196" t="s">
        <v>14647</v>
      </c>
      <c r="K3196" t="s">
        <v>14647</v>
      </c>
      <c r="L3196" t="s">
        <v>386</v>
      </c>
      <c r="M3196" t="s">
        <v>1193</v>
      </c>
      <c r="N3196">
        <v>5243</v>
      </c>
      <c r="O3196">
        <v>0</v>
      </c>
      <c r="Q3196" t="s">
        <v>14526</v>
      </c>
      <c r="T3196">
        <v>52</v>
      </c>
      <c r="V3196" t="s">
        <v>2024</v>
      </c>
      <c r="Z3196" t="s">
        <v>865</v>
      </c>
      <c r="AA3196" t="s">
        <v>387</v>
      </c>
      <c r="AB3196">
        <v>0</v>
      </c>
      <c r="AC3196">
        <v>107</v>
      </c>
      <c r="AD3196" t="s">
        <v>14649</v>
      </c>
      <c r="AE3196">
        <v>8</v>
      </c>
      <c r="AF3196" t="s">
        <v>2805</v>
      </c>
      <c r="AG3196" t="s">
        <v>10685</v>
      </c>
    </row>
    <row r="3197" spans="1:34" x14ac:dyDescent="0.25">
      <c r="A3197">
        <v>95</v>
      </c>
      <c r="C3197" s="185"/>
      <c r="D3197" t="s">
        <v>157</v>
      </c>
      <c r="E3197" t="s">
        <v>386</v>
      </c>
      <c r="F3197" t="s">
        <v>14650</v>
      </c>
      <c r="G3197" t="s">
        <v>1192</v>
      </c>
      <c r="H3197" t="s">
        <v>14651</v>
      </c>
      <c r="I3197">
        <v>5793</v>
      </c>
      <c r="J3197" t="s">
        <v>14650</v>
      </c>
      <c r="K3197" t="s">
        <v>14650</v>
      </c>
      <c r="L3197" t="s">
        <v>386</v>
      </c>
      <c r="M3197" t="s">
        <v>1193</v>
      </c>
      <c r="N3197">
        <v>5793</v>
      </c>
      <c r="O3197">
        <v>0</v>
      </c>
      <c r="Q3197" t="s">
        <v>14526</v>
      </c>
      <c r="R3197" t="s">
        <v>398</v>
      </c>
      <c r="T3197">
        <v>39</v>
      </c>
      <c r="V3197" t="s">
        <v>2144</v>
      </c>
      <c r="Z3197" t="s">
        <v>952</v>
      </c>
      <c r="AA3197" t="s">
        <v>387</v>
      </c>
      <c r="AB3197">
        <v>0</v>
      </c>
      <c r="AC3197">
        <v>2724</v>
      </c>
      <c r="AD3197" t="s">
        <v>14652</v>
      </c>
      <c r="AE3197">
        <v>846</v>
      </c>
      <c r="AF3197" t="s">
        <v>14653</v>
      </c>
      <c r="AG3197" t="s">
        <v>7372</v>
      </c>
    </row>
    <row r="3198" spans="1:34" x14ac:dyDescent="0.25">
      <c r="A3198">
        <v>1721</v>
      </c>
      <c r="C3198" s="185"/>
      <c r="D3198" t="s">
        <v>24</v>
      </c>
      <c r="E3198" t="s">
        <v>386</v>
      </c>
      <c r="F3198" t="s">
        <v>14654</v>
      </c>
      <c r="G3198" t="s">
        <v>1192</v>
      </c>
      <c r="H3198" t="s">
        <v>14655</v>
      </c>
      <c r="I3198">
        <v>5885</v>
      </c>
      <c r="J3198" t="s">
        <v>14654</v>
      </c>
      <c r="K3198" t="s">
        <v>14654</v>
      </c>
      <c r="L3198" t="s">
        <v>386</v>
      </c>
      <c r="M3198" t="s">
        <v>1193</v>
      </c>
      <c r="N3198">
        <v>5885</v>
      </c>
      <c r="O3198">
        <v>11</v>
      </c>
      <c r="Q3198" t="s">
        <v>14526</v>
      </c>
      <c r="T3198">
        <v>39</v>
      </c>
      <c r="V3198" t="s">
        <v>2144</v>
      </c>
      <c r="Z3198" t="s">
        <v>7481</v>
      </c>
      <c r="AA3198" t="s">
        <v>387</v>
      </c>
      <c r="AB3198">
        <v>7000</v>
      </c>
      <c r="AC3198">
        <v>2758</v>
      </c>
      <c r="AD3198" t="s">
        <v>14656</v>
      </c>
      <c r="AE3198">
        <v>1</v>
      </c>
      <c r="AF3198" t="s">
        <v>1922</v>
      </c>
      <c r="AG3198" t="s">
        <v>13382</v>
      </c>
    </row>
    <row r="3199" spans="1:34" x14ac:dyDescent="0.25">
      <c r="A3199">
        <v>66</v>
      </c>
      <c r="C3199" s="185"/>
      <c r="E3199" t="s">
        <v>386</v>
      </c>
      <c r="F3199" t="s">
        <v>14657</v>
      </c>
      <c r="G3199" t="s">
        <v>1903</v>
      </c>
      <c r="I3199">
        <v>5992</v>
      </c>
      <c r="J3199" t="s">
        <v>14657</v>
      </c>
      <c r="K3199" t="s">
        <v>14657</v>
      </c>
      <c r="L3199" t="s">
        <v>386</v>
      </c>
      <c r="M3199" t="s">
        <v>1193</v>
      </c>
      <c r="N3199">
        <v>5992</v>
      </c>
      <c r="O3199">
        <v>0</v>
      </c>
      <c r="Q3199" t="s">
        <v>14526</v>
      </c>
      <c r="T3199">
        <v>1</v>
      </c>
      <c r="V3199" t="s">
        <v>1921</v>
      </c>
      <c r="Z3199" t="s">
        <v>7670</v>
      </c>
      <c r="AA3199" t="s">
        <v>387</v>
      </c>
      <c r="AB3199">
        <v>0</v>
      </c>
      <c r="AC3199">
        <v>0</v>
      </c>
      <c r="AD3199" t="s">
        <v>1187</v>
      </c>
      <c r="AE3199">
        <v>0</v>
      </c>
      <c r="AF3199" t="s">
        <v>1188</v>
      </c>
    </row>
    <row r="3200" spans="1:34" x14ac:dyDescent="0.25">
      <c r="A3200">
        <v>1756</v>
      </c>
      <c r="C3200" s="185"/>
      <c r="D3200" t="s">
        <v>24</v>
      </c>
      <c r="E3200" t="s">
        <v>386</v>
      </c>
      <c r="F3200" t="s">
        <v>14658</v>
      </c>
      <c r="G3200" t="s">
        <v>1192</v>
      </c>
      <c r="H3200" t="s">
        <v>14659</v>
      </c>
      <c r="I3200">
        <v>6440</v>
      </c>
      <c r="J3200" t="s">
        <v>14658</v>
      </c>
      <c r="K3200" t="s">
        <v>14658</v>
      </c>
      <c r="L3200" t="s">
        <v>386</v>
      </c>
      <c r="M3200" t="s">
        <v>1184</v>
      </c>
      <c r="N3200">
        <v>6440</v>
      </c>
      <c r="O3200">
        <v>23</v>
      </c>
      <c r="Q3200" t="s">
        <v>14526</v>
      </c>
      <c r="R3200" t="s">
        <v>398</v>
      </c>
      <c r="T3200">
        <v>39</v>
      </c>
      <c r="V3200" t="s">
        <v>2144</v>
      </c>
      <c r="Z3200" t="s">
        <v>14660</v>
      </c>
      <c r="AA3200" t="s">
        <v>387</v>
      </c>
      <c r="AB3200">
        <v>17000</v>
      </c>
      <c r="AC3200">
        <v>2912</v>
      </c>
      <c r="AD3200" t="s">
        <v>3276</v>
      </c>
      <c r="AE3200">
        <v>216</v>
      </c>
      <c r="AF3200" t="s">
        <v>3276</v>
      </c>
      <c r="AG3200" t="s">
        <v>2336</v>
      </c>
      <c r="AH3200" t="s">
        <v>14661</v>
      </c>
    </row>
    <row r="3201" spans="1:34" x14ac:dyDescent="0.25">
      <c r="A3201">
        <v>1</v>
      </c>
      <c r="C3201" s="185"/>
      <c r="E3201" t="s">
        <v>386</v>
      </c>
      <c r="F3201" t="s">
        <v>15590</v>
      </c>
      <c r="G3201" t="s">
        <v>1192</v>
      </c>
      <c r="H3201" t="s">
        <v>15591</v>
      </c>
      <c r="I3201">
        <v>6520</v>
      </c>
      <c r="J3201" t="s">
        <v>15590</v>
      </c>
      <c r="K3201" t="s">
        <v>15590</v>
      </c>
      <c r="L3201" t="s">
        <v>386</v>
      </c>
      <c r="M3201" t="s">
        <v>1193</v>
      </c>
      <c r="N3201">
        <v>6520</v>
      </c>
      <c r="O3201">
        <v>0</v>
      </c>
      <c r="Q3201" t="s">
        <v>14526</v>
      </c>
      <c r="T3201">
        <v>560</v>
      </c>
      <c r="V3201" t="s">
        <v>2602</v>
      </c>
      <c r="W3201" t="s">
        <v>1530</v>
      </c>
      <c r="X3201">
        <v>103</v>
      </c>
      <c r="Z3201" t="s">
        <v>865</v>
      </c>
      <c r="AA3201" t="s">
        <v>387</v>
      </c>
      <c r="AB3201">
        <v>0</v>
      </c>
      <c r="AC3201">
        <v>2934</v>
      </c>
      <c r="AD3201" t="s">
        <v>14579</v>
      </c>
      <c r="AE3201">
        <v>983</v>
      </c>
      <c r="AF3201" t="s">
        <v>2693</v>
      </c>
      <c r="AG3201" t="s">
        <v>4000</v>
      </c>
      <c r="AH3201" t="s">
        <v>15592</v>
      </c>
    </row>
    <row r="3202" spans="1:34" x14ac:dyDescent="0.25">
      <c r="A3202">
        <v>35</v>
      </c>
      <c r="C3202" s="185"/>
      <c r="E3202" t="s">
        <v>386</v>
      </c>
      <c r="F3202" t="s">
        <v>14662</v>
      </c>
      <c r="G3202" t="s">
        <v>1192</v>
      </c>
      <c r="H3202" t="s">
        <v>14663</v>
      </c>
      <c r="I3202">
        <v>6592</v>
      </c>
      <c r="J3202" t="s">
        <v>14662</v>
      </c>
      <c r="K3202" t="s">
        <v>14662</v>
      </c>
      <c r="L3202" t="s">
        <v>386</v>
      </c>
      <c r="M3202" t="s">
        <v>1193</v>
      </c>
      <c r="N3202">
        <v>6592</v>
      </c>
      <c r="O3202">
        <v>0</v>
      </c>
      <c r="Q3202" t="s">
        <v>14526</v>
      </c>
      <c r="T3202">
        <v>39</v>
      </c>
      <c r="V3202" t="s">
        <v>2144</v>
      </c>
      <c r="Z3202" t="s">
        <v>890</v>
      </c>
      <c r="AA3202" t="s">
        <v>387</v>
      </c>
      <c r="AB3202">
        <v>0</v>
      </c>
      <c r="AC3202">
        <v>2958</v>
      </c>
      <c r="AD3202" t="s">
        <v>14664</v>
      </c>
      <c r="AE3202">
        <v>1397</v>
      </c>
      <c r="AF3202" t="s">
        <v>14665</v>
      </c>
      <c r="AG3202" t="s">
        <v>1244</v>
      </c>
      <c r="AH3202" t="s">
        <v>14666</v>
      </c>
    </row>
    <row r="3203" spans="1:34" x14ac:dyDescent="0.25">
      <c r="A3203">
        <v>65</v>
      </c>
      <c r="C3203" s="185"/>
      <c r="E3203" t="s">
        <v>386</v>
      </c>
      <c r="F3203" t="s">
        <v>14667</v>
      </c>
      <c r="G3203" t="s">
        <v>1192</v>
      </c>
      <c r="H3203" t="s">
        <v>14668</v>
      </c>
      <c r="I3203">
        <v>6593</v>
      </c>
      <c r="J3203" t="s">
        <v>14667</v>
      </c>
      <c r="K3203" t="s">
        <v>14667</v>
      </c>
      <c r="L3203" t="s">
        <v>386</v>
      </c>
      <c r="M3203" t="s">
        <v>1193</v>
      </c>
      <c r="N3203">
        <v>6593</v>
      </c>
      <c r="O3203">
        <v>0</v>
      </c>
      <c r="Q3203" t="s">
        <v>14526</v>
      </c>
      <c r="T3203">
        <v>146</v>
      </c>
      <c r="V3203" t="s">
        <v>2727</v>
      </c>
      <c r="Z3203" t="s">
        <v>14669</v>
      </c>
      <c r="AA3203" t="s">
        <v>387</v>
      </c>
      <c r="AB3203">
        <v>0</v>
      </c>
      <c r="AC3203">
        <v>976</v>
      </c>
      <c r="AD3203" t="s">
        <v>14670</v>
      </c>
      <c r="AE3203">
        <v>1398</v>
      </c>
      <c r="AF3203" t="s">
        <v>14671</v>
      </c>
      <c r="AG3203" t="s">
        <v>4336</v>
      </c>
      <c r="AH3203" t="s">
        <v>14672</v>
      </c>
    </row>
    <row r="3204" spans="1:34" x14ac:dyDescent="0.25">
      <c r="A3204">
        <v>16</v>
      </c>
      <c r="C3204" s="185"/>
      <c r="D3204" t="s">
        <v>157</v>
      </c>
      <c r="E3204" t="s">
        <v>386</v>
      </c>
      <c r="F3204" t="s">
        <v>14673</v>
      </c>
      <c r="G3204" t="s">
        <v>1192</v>
      </c>
      <c r="H3204" t="s">
        <v>14674</v>
      </c>
      <c r="I3204">
        <v>6825</v>
      </c>
      <c r="J3204" t="s">
        <v>14673</v>
      </c>
      <c r="K3204" t="s">
        <v>14673</v>
      </c>
      <c r="L3204" t="s">
        <v>386</v>
      </c>
      <c r="M3204" t="s">
        <v>1193</v>
      </c>
      <c r="N3204">
        <v>6825</v>
      </c>
      <c r="O3204">
        <v>0</v>
      </c>
      <c r="Q3204" t="s">
        <v>14526</v>
      </c>
      <c r="T3204">
        <v>39</v>
      </c>
      <c r="V3204" t="s">
        <v>2144</v>
      </c>
      <c r="Z3204" t="s">
        <v>7953</v>
      </c>
      <c r="AA3204" t="s">
        <v>387</v>
      </c>
      <c r="AB3204">
        <v>0</v>
      </c>
      <c r="AC3204">
        <v>3024</v>
      </c>
      <c r="AD3204" t="s">
        <v>7772</v>
      </c>
      <c r="AE3204">
        <v>35</v>
      </c>
      <c r="AF3204" t="s">
        <v>14675</v>
      </c>
      <c r="AG3204" t="s">
        <v>14676</v>
      </c>
      <c r="AH3204" t="s">
        <v>14677</v>
      </c>
    </row>
    <row r="3205" spans="1:34" x14ac:dyDescent="0.25">
      <c r="A3205">
        <v>1275</v>
      </c>
      <c r="C3205" s="185"/>
      <c r="D3205" t="s">
        <v>157</v>
      </c>
      <c r="E3205" t="s">
        <v>386</v>
      </c>
      <c r="F3205" t="s">
        <v>14678</v>
      </c>
      <c r="G3205" t="s">
        <v>1238</v>
      </c>
      <c r="H3205" t="s">
        <v>4725</v>
      </c>
      <c r="I3205">
        <v>7433</v>
      </c>
      <c r="J3205" t="s">
        <v>14678</v>
      </c>
      <c r="K3205" t="s">
        <v>14678</v>
      </c>
      <c r="L3205" t="s">
        <v>386</v>
      </c>
      <c r="M3205" t="s">
        <v>1184</v>
      </c>
      <c r="N3205">
        <v>7433</v>
      </c>
      <c r="O3205">
        <v>0</v>
      </c>
      <c r="Q3205" t="s">
        <v>14526</v>
      </c>
      <c r="R3205" t="s">
        <v>398</v>
      </c>
      <c r="T3205">
        <v>200</v>
      </c>
      <c r="V3205" t="s">
        <v>1199</v>
      </c>
      <c r="Z3205" t="s">
        <v>2124</v>
      </c>
      <c r="AA3205" t="s">
        <v>387</v>
      </c>
      <c r="AB3205">
        <v>0</v>
      </c>
      <c r="AC3205">
        <v>3176</v>
      </c>
      <c r="AD3205" t="s">
        <v>14679</v>
      </c>
      <c r="AE3205">
        <v>18</v>
      </c>
      <c r="AF3205" t="s">
        <v>1259</v>
      </c>
      <c r="AG3205" t="s">
        <v>1244</v>
      </c>
      <c r="AH3205" t="s">
        <v>14680</v>
      </c>
    </row>
    <row r="3206" spans="1:34" x14ac:dyDescent="0.25">
      <c r="A3206">
        <v>33</v>
      </c>
      <c r="C3206" s="185"/>
      <c r="E3206" t="s">
        <v>386</v>
      </c>
      <c r="F3206" t="s">
        <v>14681</v>
      </c>
      <c r="G3206" t="s">
        <v>1197</v>
      </c>
      <c r="H3206" t="s">
        <v>14682</v>
      </c>
      <c r="I3206">
        <v>8014</v>
      </c>
      <c r="J3206" t="s">
        <v>14681</v>
      </c>
      <c r="K3206" t="s">
        <v>14683</v>
      </c>
      <c r="L3206" t="s">
        <v>386</v>
      </c>
      <c r="M3206" t="s">
        <v>1193</v>
      </c>
      <c r="N3206">
        <v>8014</v>
      </c>
      <c r="O3206">
        <v>0</v>
      </c>
      <c r="Q3206" t="s">
        <v>14526</v>
      </c>
      <c r="R3206" t="s">
        <v>1223</v>
      </c>
      <c r="T3206">
        <v>340</v>
      </c>
      <c r="V3206" t="s">
        <v>1200</v>
      </c>
      <c r="W3206" t="s">
        <v>2727</v>
      </c>
      <c r="X3206">
        <v>146</v>
      </c>
      <c r="Z3206" t="s">
        <v>1115</v>
      </c>
      <c r="AA3206" t="s">
        <v>387</v>
      </c>
      <c r="AB3206">
        <v>0</v>
      </c>
      <c r="AC3206">
        <v>6331</v>
      </c>
      <c r="AD3206" t="s">
        <v>14684</v>
      </c>
      <c r="AE3206">
        <v>761</v>
      </c>
      <c r="AF3206" t="s">
        <v>11043</v>
      </c>
      <c r="AG3206" t="s">
        <v>6993</v>
      </c>
      <c r="AH3206" t="s">
        <v>14685</v>
      </c>
    </row>
    <row r="3207" spans="1:34" x14ac:dyDescent="0.25">
      <c r="A3207">
        <v>1821</v>
      </c>
      <c r="C3207" s="185"/>
      <c r="D3207" t="s">
        <v>157</v>
      </c>
      <c r="E3207" t="s">
        <v>386</v>
      </c>
      <c r="F3207" t="s">
        <v>14686</v>
      </c>
      <c r="G3207" t="s">
        <v>1192</v>
      </c>
      <c r="H3207" t="s">
        <v>14687</v>
      </c>
      <c r="I3207">
        <v>8305</v>
      </c>
      <c r="J3207" t="s">
        <v>14686</v>
      </c>
      <c r="K3207" t="s">
        <v>14686</v>
      </c>
      <c r="L3207" t="s">
        <v>386</v>
      </c>
      <c r="M3207" t="s">
        <v>1184</v>
      </c>
      <c r="N3207">
        <v>8305</v>
      </c>
      <c r="O3207">
        <v>0</v>
      </c>
      <c r="Q3207" t="s">
        <v>14526</v>
      </c>
      <c r="R3207" t="s">
        <v>398</v>
      </c>
      <c r="T3207">
        <v>44</v>
      </c>
      <c r="V3207" t="s">
        <v>2458</v>
      </c>
      <c r="Z3207" t="s">
        <v>14688</v>
      </c>
      <c r="AA3207" t="s">
        <v>387</v>
      </c>
      <c r="AB3207">
        <v>0</v>
      </c>
      <c r="AC3207">
        <v>3329</v>
      </c>
      <c r="AD3207" t="s">
        <v>14689</v>
      </c>
      <c r="AE3207">
        <v>18</v>
      </c>
      <c r="AF3207" t="s">
        <v>1259</v>
      </c>
      <c r="AG3207" t="s">
        <v>1244</v>
      </c>
      <c r="AH3207" t="s">
        <v>14690</v>
      </c>
    </row>
    <row r="3208" spans="1:34" x14ac:dyDescent="0.25">
      <c r="A3208">
        <v>1256</v>
      </c>
      <c r="C3208" s="185">
        <v>44074</v>
      </c>
      <c r="D3208" t="s">
        <v>157</v>
      </c>
      <c r="E3208" t="s">
        <v>386</v>
      </c>
      <c r="F3208" t="s">
        <v>14691</v>
      </c>
      <c r="G3208" t="s">
        <v>1197</v>
      </c>
      <c r="H3208" t="s">
        <v>4645</v>
      </c>
      <c r="I3208">
        <v>8418</v>
      </c>
      <c r="J3208" t="s">
        <v>14691</v>
      </c>
      <c r="K3208" t="s">
        <v>14691</v>
      </c>
      <c r="L3208" t="s">
        <v>386</v>
      </c>
      <c r="M3208" t="s">
        <v>1193</v>
      </c>
      <c r="N3208">
        <v>8418</v>
      </c>
      <c r="O3208">
        <v>0</v>
      </c>
      <c r="Q3208" t="s">
        <v>14526</v>
      </c>
      <c r="R3208" t="s">
        <v>398</v>
      </c>
      <c r="T3208">
        <v>146</v>
      </c>
      <c r="V3208" t="s">
        <v>2727</v>
      </c>
      <c r="Z3208" t="s">
        <v>4648</v>
      </c>
      <c r="AA3208" t="s">
        <v>387</v>
      </c>
      <c r="AB3208">
        <v>0</v>
      </c>
      <c r="AC3208">
        <v>3369</v>
      </c>
      <c r="AD3208" t="s">
        <v>14692</v>
      </c>
      <c r="AE3208">
        <v>1</v>
      </c>
      <c r="AF3208" t="s">
        <v>1922</v>
      </c>
      <c r="AG3208" t="s">
        <v>2336</v>
      </c>
      <c r="AH3208" t="s">
        <v>14693</v>
      </c>
    </row>
    <row r="3209" spans="1:34" x14ac:dyDescent="0.25">
      <c r="A3209">
        <v>11</v>
      </c>
      <c r="C3209" s="185"/>
      <c r="E3209" t="s">
        <v>386</v>
      </c>
      <c r="F3209" t="s">
        <v>14694</v>
      </c>
      <c r="H3209" t="s">
        <v>14695</v>
      </c>
      <c r="I3209">
        <v>8607</v>
      </c>
      <c r="J3209" t="s">
        <v>14694</v>
      </c>
      <c r="K3209" t="s">
        <v>14694</v>
      </c>
      <c r="L3209" t="s">
        <v>386</v>
      </c>
      <c r="M3209" t="s">
        <v>1193</v>
      </c>
      <c r="N3209">
        <v>8607</v>
      </c>
      <c r="O3209">
        <v>0</v>
      </c>
      <c r="Q3209" t="s">
        <v>14526</v>
      </c>
      <c r="R3209" t="s">
        <v>1208</v>
      </c>
      <c r="T3209">
        <v>210</v>
      </c>
      <c r="V3209" t="s">
        <v>6031</v>
      </c>
      <c r="Z3209" t="s">
        <v>871</v>
      </c>
      <c r="AA3209" t="s">
        <v>387</v>
      </c>
      <c r="AB3209">
        <v>0</v>
      </c>
      <c r="AC3209">
        <v>1656</v>
      </c>
      <c r="AD3209" t="s">
        <v>14696</v>
      </c>
      <c r="AE3209">
        <v>1556</v>
      </c>
      <c r="AF3209" t="s">
        <v>3725</v>
      </c>
      <c r="AG3209" t="s">
        <v>4823</v>
      </c>
      <c r="AH3209" t="s">
        <v>14697</v>
      </c>
    </row>
    <row r="3210" spans="1:34" x14ac:dyDescent="0.25">
      <c r="A3210">
        <v>1620</v>
      </c>
      <c r="C3210" s="185"/>
      <c r="E3210" t="s">
        <v>386</v>
      </c>
      <c r="F3210" t="s">
        <v>14698</v>
      </c>
      <c r="G3210" t="s">
        <v>1903</v>
      </c>
      <c r="I3210">
        <v>8656</v>
      </c>
      <c r="J3210" t="s">
        <v>14698</v>
      </c>
      <c r="K3210" t="s">
        <v>14698</v>
      </c>
      <c r="L3210" t="s">
        <v>386</v>
      </c>
      <c r="M3210" t="s">
        <v>1193</v>
      </c>
      <c r="N3210">
        <v>8656</v>
      </c>
      <c r="O3210">
        <v>0</v>
      </c>
      <c r="Q3210" t="s">
        <v>14526</v>
      </c>
      <c r="T3210">
        <v>146</v>
      </c>
      <c r="V3210" t="s">
        <v>2727</v>
      </c>
      <c r="Z3210" t="s">
        <v>14699</v>
      </c>
      <c r="AA3210" t="s">
        <v>387</v>
      </c>
      <c r="AB3210">
        <v>0</v>
      </c>
      <c r="AC3210">
        <v>3459</v>
      </c>
      <c r="AD3210" t="s">
        <v>14700</v>
      </c>
      <c r="AE3210">
        <v>1606</v>
      </c>
      <c r="AF3210" t="s">
        <v>14701</v>
      </c>
      <c r="AG3210" t="s">
        <v>1244</v>
      </c>
    </row>
    <row r="3211" spans="1:34" x14ac:dyDescent="0.25">
      <c r="A3211">
        <v>1</v>
      </c>
      <c r="C3211" s="185"/>
      <c r="E3211" t="s">
        <v>386</v>
      </c>
      <c r="F3211" t="s">
        <v>14702</v>
      </c>
      <c r="H3211" t="s">
        <v>7900</v>
      </c>
      <c r="I3211">
        <v>8664</v>
      </c>
      <c r="J3211" t="s">
        <v>14702</v>
      </c>
      <c r="K3211" t="s">
        <v>14702</v>
      </c>
      <c r="L3211" t="s">
        <v>386</v>
      </c>
      <c r="M3211" t="s">
        <v>1193</v>
      </c>
      <c r="N3211">
        <v>8664</v>
      </c>
      <c r="O3211">
        <v>0</v>
      </c>
      <c r="Q3211" t="s">
        <v>14526</v>
      </c>
      <c r="R3211" t="s">
        <v>1208</v>
      </c>
      <c r="T3211">
        <v>210</v>
      </c>
      <c r="V3211" t="s">
        <v>6031</v>
      </c>
      <c r="Z3211" t="s">
        <v>865</v>
      </c>
      <c r="AA3211" t="s">
        <v>387</v>
      </c>
      <c r="AB3211">
        <v>0</v>
      </c>
      <c r="AC3211">
        <v>3465</v>
      </c>
      <c r="AD3211" t="s">
        <v>14703</v>
      </c>
      <c r="AE3211">
        <v>8</v>
      </c>
      <c r="AF3211" t="s">
        <v>2805</v>
      </c>
      <c r="AG3211" t="s">
        <v>6208</v>
      </c>
      <c r="AH3211" t="s">
        <v>14704</v>
      </c>
    </row>
    <row r="3212" spans="1:34" x14ac:dyDescent="0.25">
      <c r="A3212">
        <v>6</v>
      </c>
      <c r="C3212" s="185"/>
      <c r="E3212" t="s">
        <v>386</v>
      </c>
      <c r="F3212" t="s">
        <v>14705</v>
      </c>
      <c r="G3212" t="s">
        <v>1197</v>
      </c>
      <c r="H3212" t="s">
        <v>14706</v>
      </c>
      <c r="I3212">
        <v>8687</v>
      </c>
      <c r="J3212" t="s">
        <v>14705</v>
      </c>
      <c r="K3212" t="s">
        <v>14705</v>
      </c>
      <c r="L3212" t="s">
        <v>386</v>
      </c>
      <c r="M3212" t="s">
        <v>1193</v>
      </c>
      <c r="N3212">
        <v>8687</v>
      </c>
      <c r="O3212">
        <v>0</v>
      </c>
      <c r="Q3212" t="s">
        <v>14526</v>
      </c>
      <c r="R3212" t="s">
        <v>1208</v>
      </c>
      <c r="T3212">
        <v>200</v>
      </c>
      <c r="V3212" t="s">
        <v>1199</v>
      </c>
      <c r="Z3212" t="s">
        <v>892</v>
      </c>
      <c r="AA3212" t="s">
        <v>387</v>
      </c>
      <c r="AB3212">
        <v>0</v>
      </c>
      <c r="AC3212">
        <v>2031</v>
      </c>
      <c r="AD3212" t="s">
        <v>3881</v>
      </c>
      <c r="AE3212">
        <v>3</v>
      </c>
      <c r="AF3212" t="s">
        <v>1235</v>
      </c>
      <c r="AG3212" t="s">
        <v>14707</v>
      </c>
      <c r="AH3212" t="s">
        <v>14708</v>
      </c>
    </row>
    <row r="3213" spans="1:34" x14ac:dyDescent="0.25">
      <c r="A3213">
        <v>1</v>
      </c>
      <c r="C3213" s="185"/>
      <c r="E3213" t="s">
        <v>386</v>
      </c>
      <c r="F3213" t="s">
        <v>14709</v>
      </c>
      <c r="H3213" t="s">
        <v>14710</v>
      </c>
      <c r="I3213">
        <v>8796</v>
      </c>
      <c r="J3213" t="s">
        <v>14709</v>
      </c>
      <c r="K3213" t="s">
        <v>14709</v>
      </c>
      <c r="L3213" t="s">
        <v>386</v>
      </c>
      <c r="M3213" t="s">
        <v>1193</v>
      </c>
      <c r="N3213">
        <v>8796</v>
      </c>
      <c r="O3213">
        <v>0</v>
      </c>
      <c r="Q3213" t="s">
        <v>14526</v>
      </c>
      <c r="R3213" t="s">
        <v>1208</v>
      </c>
      <c r="T3213">
        <v>103</v>
      </c>
      <c r="V3213" t="s">
        <v>1530</v>
      </c>
      <c r="Z3213" t="s">
        <v>865</v>
      </c>
      <c r="AA3213" t="s">
        <v>387</v>
      </c>
      <c r="AB3213">
        <v>0</v>
      </c>
      <c r="AC3213">
        <v>3523</v>
      </c>
      <c r="AD3213" t="s">
        <v>14711</v>
      </c>
      <c r="AE3213">
        <v>107</v>
      </c>
      <c r="AF3213" t="s">
        <v>1235</v>
      </c>
      <c r="AG3213" t="s">
        <v>13565</v>
      </c>
    </row>
    <row r="3214" spans="1:34" x14ac:dyDescent="0.25">
      <c r="A3214">
        <v>1842</v>
      </c>
      <c r="C3214" s="185"/>
      <c r="E3214" t="s">
        <v>386</v>
      </c>
      <c r="F3214" t="s">
        <v>14712</v>
      </c>
      <c r="G3214" t="s">
        <v>4184</v>
      </c>
      <c r="I3214">
        <v>9015</v>
      </c>
      <c r="J3214" t="s">
        <v>14712</v>
      </c>
      <c r="K3214" t="s">
        <v>14712</v>
      </c>
      <c r="L3214" t="s">
        <v>386</v>
      </c>
      <c r="M3214" t="s">
        <v>1193</v>
      </c>
      <c r="N3214">
        <v>9015</v>
      </c>
      <c r="O3214">
        <v>11</v>
      </c>
      <c r="Q3214" t="s">
        <v>14526</v>
      </c>
      <c r="R3214" t="s">
        <v>398</v>
      </c>
      <c r="T3214">
        <v>260</v>
      </c>
      <c r="V3214" t="s">
        <v>1216</v>
      </c>
      <c r="W3214" t="s">
        <v>1216</v>
      </c>
      <c r="X3214">
        <v>260</v>
      </c>
      <c r="Z3214" t="s">
        <v>2728</v>
      </c>
      <c r="AA3214" t="s">
        <v>387</v>
      </c>
      <c r="AB3214">
        <v>7000</v>
      </c>
      <c r="AC3214">
        <v>6153</v>
      </c>
      <c r="AD3214" t="s">
        <v>14713</v>
      </c>
      <c r="AE3214">
        <v>2824</v>
      </c>
      <c r="AF3214" t="s">
        <v>14714</v>
      </c>
      <c r="AG3214" t="s">
        <v>13647</v>
      </c>
    </row>
    <row r="3215" spans="1:34" x14ac:dyDescent="0.25">
      <c r="A3215">
        <v>1</v>
      </c>
      <c r="C3215" s="185"/>
      <c r="E3215" t="s">
        <v>386</v>
      </c>
      <c r="F3215" t="s">
        <v>14715</v>
      </c>
      <c r="H3215" t="s">
        <v>14716</v>
      </c>
      <c r="I3215">
        <v>9113</v>
      </c>
      <c r="J3215" t="s">
        <v>14715</v>
      </c>
      <c r="K3215" t="s">
        <v>14715</v>
      </c>
      <c r="L3215" t="s">
        <v>386</v>
      </c>
      <c r="M3215" t="s">
        <v>1193</v>
      </c>
      <c r="N3215">
        <v>9113</v>
      </c>
      <c r="O3215">
        <v>0</v>
      </c>
      <c r="Q3215" t="s">
        <v>14526</v>
      </c>
      <c r="R3215" t="s">
        <v>1208</v>
      </c>
      <c r="T3215">
        <v>103</v>
      </c>
      <c r="V3215" t="s">
        <v>1530</v>
      </c>
      <c r="Z3215" t="s">
        <v>865</v>
      </c>
      <c r="AA3215" t="s">
        <v>387</v>
      </c>
      <c r="AB3215">
        <v>0</v>
      </c>
      <c r="AC3215">
        <v>2777</v>
      </c>
      <c r="AD3215" t="s">
        <v>14717</v>
      </c>
      <c r="AE3215">
        <v>1224</v>
      </c>
      <c r="AF3215" t="s">
        <v>3108</v>
      </c>
      <c r="AG3215" t="s">
        <v>14718</v>
      </c>
    </row>
    <row r="3216" spans="1:34" x14ac:dyDescent="0.25">
      <c r="A3216">
        <v>1453</v>
      </c>
      <c r="C3216" s="185"/>
      <c r="E3216" t="s">
        <v>386</v>
      </c>
      <c r="F3216" t="s">
        <v>14719</v>
      </c>
      <c r="G3216" t="s">
        <v>1197</v>
      </c>
      <c r="H3216" t="s">
        <v>14720</v>
      </c>
      <c r="I3216">
        <v>9198</v>
      </c>
      <c r="J3216" t="s">
        <v>14719</v>
      </c>
      <c r="K3216" t="s">
        <v>14721</v>
      </c>
      <c r="L3216" t="s">
        <v>386</v>
      </c>
      <c r="M3216" t="s">
        <v>1193</v>
      </c>
      <c r="N3216">
        <v>9198</v>
      </c>
      <c r="O3216">
        <v>0</v>
      </c>
      <c r="Q3216" t="s">
        <v>14526</v>
      </c>
      <c r="R3216" t="s">
        <v>1208</v>
      </c>
      <c r="T3216">
        <v>340</v>
      </c>
      <c r="V3216" t="s">
        <v>1200</v>
      </c>
      <c r="W3216" t="s">
        <v>1530</v>
      </c>
      <c r="X3216">
        <v>103</v>
      </c>
      <c r="Z3216" t="s">
        <v>1195</v>
      </c>
      <c r="AA3216" t="s">
        <v>387</v>
      </c>
      <c r="AB3216">
        <v>0</v>
      </c>
      <c r="AC3216">
        <v>6393</v>
      </c>
      <c r="AD3216" t="s">
        <v>14722</v>
      </c>
      <c r="AE3216">
        <v>1706</v>
      </c>
      <c r="AF3216" t="s">
        <v>14723</v>
      </c>
      <c r="AG3216" t="s">
        <v>1244</v>
      </c>
      <c r="AH3216" t="s">
        <v>14724</v>
      </c>
    </row>
    <row r="3217" spans="1:34" x14ac:dyDescent="0.25">
      <c r="A3217">
        <v>3</v>
      </c>
      <c r="C3217" s="185"/>
      <c r="E3217" t="s">
        <v>386</v>
      </c>
      <c r="F3217" t="s">
        <v>14725</v>
      </c>
      <c r="G3217" t="s">
        <v>1197</v>
      </c>
      <c r="H3217" t="s">
        <v>14726</v>
      </c>
      <c r="I3217">
        <v>9224</v>
      </c>
      <c r="J3217" t="s">
        <v>14725</v>
      </c>
      <c r="K3217" t="s">
        <v>14725</v>
      </c>
      <c r="L3217" t="s">
        <v>386</v>
      </c>
      <c r="M3217" t="s">
        <v>1193</v>
      </c>
      <c r="N3217">
        <v>9224</v>
      </c>
      <c r="O3217">
        <v>0</v>
      </c>
      <c r="Q3217" t="s">
        <v>14526</v>
      </c>
      <c r="T3217">
        <v>259</v>
      </c>
      <c r="V3217" t="s">
        <v>1215</v>
      </c>
      <c r="W3217" t="s">
        <v>1915</v>
      </c>
      <c r="X3217">
        <v>185</v>
      </c>
      <c r="Z3217" t="s">
        <v>1935</v>
      </c>
      <c r="AA3217" t="s">
        <v>387</v>
      </c>
      <c r="AB3217">
        <v>0</v>
      </c>
      <c r="AC3217">
        <v>3675</v>
      </c>
      <c r="AD3217" t="s">
        <v>14727</v>
      </c>
      <c r="AE3217">
        <v>736</v>
      </c>
      <c r="AF3217" t="s">
        <v>14728</v>
      </c>
      <c r="AG3217" t="s">
        <v>5948</v>
      </c>
    </row>
    <row r="3218" spans="1:34" x14ac:dyDescent="0.25">
      <c r="A3218">
        <v>1748</v>
      </c>
      <c r="C3218" s="185"/>
      <c r="D3218" t="s">
        <v>24</v>
      </c>
      <c r="E3218" t="s">
        <v>386</v>
      </c>
      <c r="F3218" t="s">
        <v>429</v>
      </c>
      <c r="G3218" t="s">
        <v>1903</v>
      </c>
      <c r="I3218">
        <v>9294</v>
      </c>
      <c r="J3218" t="s">
        <v>429</v>
      </c>
      <c r="K3218" t="s">
        <v>429</v>
      </c>
      <c r="L3218" t="s">
        <v>386</v>
      </c>
      <c r="M3218" t="s">
        <v>1193</v>
      </c>
      <c r="N3218">
        <v>9294</v>
      </c>
      <c r="O3218">
        <v>37</v>
      </c>
      <c r="Q3218" t="s">
        <v>14526</v>
      </c>
      <c r="R3218" t="s">
        <v>398</v>
      </c>
      <c r="T3218">
        <v>340</v>
      </c>
      <c r="V3218" t="s">
        <v>1200</v>
      </c>
      <c r="W3218" t="s">
        <v>1199</v>
      </c>
      <c r="X3218">
        <v>200</v>
      </c>
      <c r="Z3218" t="s">
        <v>1014</v>
      </c>
      <c r="AA3218" t="s">
        <v>387</v>
      </c>
      <c r="AB3218">
        <v>29000</v>
      </c>
      <c r="AC3218">
        <v>3709</v>
      </c>
      <c r="AD3218" t="s">
        <v>14729</v>
      </c>
      <c r="AE3218">
        <v>1721</v>
      </c>
      <c r="AF3218" t="s">
        <v>14730</v>
      </c>
      <c r="AG3218" t="s">
        <v>11415</v>
      </c>
      <c r="AH3218" t="s">
        <v>14731</v>
      </c>
    </row>
    <row r="3219" spans="1:34" x14ac:dyDescent="0.25">
      <c r="A3219">
        <v>1859</v>
      </c>
      <c r="C3219" s="185"/>
      <c r="D3219" t="s">
        <v>24</v>
      </c>
      <c r="E3219" t="s">
        <v>386</v>
      </c>
      <c r="F3219" t="s">
        <v>831</v>
      </c>
      <c r="G3219" t="s">
        <v>1903</v>
      </c>
      <c r="I3219">
        <v>9419</v>
      </c>
      <c r="J3219" t="s">
        <v>831</v>
      </c>
      <c r="K3219" t="s">
        <v>14732</v>
      </c>
      <c r="L3219" t="s">
        <v>386</v>
      </c>
      <c r="M3219" t="s">
        <v>1193</v>
      </c>
      <c r="N3219">
        <v>9419</v>
      </c>
      <c r="O3219">
        <v>37</v>
      </c>
      <c r="Q3219" t="s">
        <v>14526</v>
      </c>
      <c r="R3219" t="s">
        <v>398</v>
      </c>
      <c r="T3219">
        <v>220</v>
      </c>
      <c r="V3219" t="s">
        <v>1194</v>
      </c>
      <c r="W3219" t="s">
        <v>1194</v>
      </c>
      <c r="X3219">
        <v>220</v>
      </c>
      <c r="Z3219" t="s">
        <v>835</v>
      </c>
      <c r="AA3219" t="s">
        <v>387</v>
      </c>
      <c r="AB3219">
        <v>29000</v>
      </c>
      <c r="AC3219">
        <v>3758</v>
      </c>
      <c r="AD3219" t="s">
        <v>14733</v>
      </c>
      <c r="AE3219">
        <v>0</v>
      </c>
      <c r="AF3219" t="s">
        <v>1188</v>
      </c>
      <c r="AG3219" t="s">
        <v>1931</v>
      </c>
    </row>
    <row r="3220" spans="1:34" x14ac:dyDescent="0.25">
      <c r="A3220">
        <v>1</v>
      </c>
      <c r="C3220" s="185"/>
      <c r="E3220" t="s">
        <v>386</v>
      </c>
      <c r="F3220" t="s">
        <v>14734</v>
      </c>
      <c r="G3220" t="s">
        <v>1192</v>
      </c>
      <c r="H3220" t="s">
        <v>14735</v>
      </c>
      <c r="I3220">
        <v>9510</v>
      </c>
      <c r="J3220" t="s">
        <v>14734</v>
      </c>
      <c r="K3220" t="s">
        <v>14734</v>
      </c>
      <c r="L3220" t="s">
        <v>386</v>
      </c>
      <c r="M3220" t="s">
        <v>1184</v>
      </c>
      <c r="N3220">
        <v>9510</v>
      </c>
      <c r="O3220">
        <v>0</v>
      </c>
      <c r="Q3220" t="s">
        <v>14526</v>
      </c>
      <c r="R3220" t="s">
        <v>1208</v>
      </c>
      <c r="T3220">
        <v>200</v>
      </c>
      <c r="V3220" t="s">
        <v>1199</v>
      </c>
      <c r="W3220" t="s">
        <v>1216</v>
      </c>
      <c r="X3220">
        <v>260</v>
      </c>
      <c r="Z3220" t="s">
        <v>865</v>
      </c>
      <c r="AA3220" t="s">
        <v>387</v>
      </c>
      <c r="AB3220">
        <v>0</v>
      </c>
      <c r="AC3220">
        <v>5350</v>
      </c>
      <c r="AD3220" t="s">
        <v>14736</v>
      </c>
      <c r="AE3220">
        <v>53</v>
      </c>
      <c r="AF3220" t="s">
        <v>2455</v>
      </c>
      <c r="AG3220" t="s">
        <v>10475</v>
      </c>
    </row>
    <row r="3221" spans="1:34" x14ac:dyDescent="0.25">
      <c r="A3221">
        <v>3</v>
      </c>
      <c r="C3221" s="185"/>
      <c r="E3221" t="s">
        <v>386</v>
      </c>
      <c r="F3221" t="s">
        <v>14737</v>
      </c>
      <c r="G3221" t="s">
        <v>1192</v>
      </c>
      <c r="H3221" t="s">
        <v>14738</v>
      </c>
      <c r="I3221">
        <v>10211</v>
      </c>
      <c r="J3221" t="s">
        <v>14737</v>
      </c>
      <c r="K3221" t="s">
        <v>14737</v>
      </c>
      <c r="L3221" t="s">
        <v>386</v>
      </c>
      <c r="M3221" t="s">
        <v>1193</v>
      </c>
      <c r="N3221">
        <v>10211</v>
      </c>
      <c r="O3221">
        <v>0</v>
      </c>
      <c r="Q3221" t="s">
        <v>14526</v>
      </c>
      <c r="R3221" t="s">
        <v>1208</v>
      </c>
      <c r="T3221">
        <v>372</v>
      </c>
      <c r="V3221" t="s">
        <v>2073</v>
      </c>
      <c r="W3221" t="s">
        <v>2073</v>
      </c>
      <c r="X3221">
        <v>372</v>
      </c>
      <c r="Z3221" t="s">
        <v>1935</v>
      </c>
      <c r="AA3221" t="s">
        <v>387</v>
      </c>
      <c r="AB3221">
        <v>0</v>
      </c>
      <c r="AC3221">
        <v>3977</v>
      </c>
      <c r="AD3221" t="s">
        <v>14739</v>
      </c>
      <c r="AE3221">
        <v>1</v>
      </c>
      <c r="AF3221" t="s">
        <v>1922</v>
      </c>
      <c r="AG3221" t="s">
        <v>14740</v>
      </c>
    </row>
    <row r="3222" spans="1:34" x14ac:dyDescent="0.25">
      <c r="A3222">
        <v>6</v>
      </c>
      <c r="C3222" s="185"/>
      <c r="E3222" t="s">
        <v>386</v>
      </c>
      <c r="F3222" t="s">
        <v>14741</v>
      </c>
      <c r="G3222" t="s">
        <v>1192</v>
      </c>
      <c r="H3222" t="s">
        <v>14742</v>
      </c>
      <c r="I3222">
        <v>11463</v>
      </c>
      <c r="J3222" t="s">
        <v>14741</v>
      </c>
      <c r="K3222" t="s">
        <v>14741</v>
      </c>
      <c r="L3222" t="s">
        <v>386</v>
      </c>
      <c r="M3222" t="s">
        <v>1184</v>
      </c>
      <c r="N3222">
        <v>11463</v>
      </c>
      <c r="O3222">
        <v>0</v>
      </c>
      <c r="Q3222" t="s">
        <v>14526</v>
      </c>
      <c r="R3222" t="s">
        <v>398</v>
      </c>
      <c r="T3222">
        <v>388</v>
      </c>
      <c r="V3222" t="s">
        <v>1712</v>
      </c>
      <c r="W3222" t="s">
        <v>1199</v>
      </c>
      <c r="X3222">
        <v>200</v>
      </c>
      <c r="Z3222" t="s">
        <v>892</v>
      </c>
      <c r="AA3222" t="s">
        <v>387</v>
      </c>
      <c r="AB3222">
        <v>0</v>
      </c>
      <c r="AC3222">
        <v>4372</v>
      </c>
      <c r="AD3222" t="s">
        <v>14743</v>
      </c>
      <c r="AE3222">
        <v>0</v>
      </c>
      <c r="AF3222" t="s">
        <v>1188</v>
      </c>
      <c r="AG3222" t="s">
        <v>2373</v>
      </c>
    </row>
    <row r="3223" spans="1:34" x14ac:dyDescent="0.25">
      <c r="A3223">
        <v>153</v>
      </c>
      <c r="C3223" s="185"/>
      <c r="E3223" t="s">
        <v>386</v>
      </c>
      <c r="F3223" t="s">
        <v>7367</v>
      </c>
      <c r="G3223" t="s">
        <v>1197</v>
      </c>
      <c r="H3223" t="s">
        <v>7368</v>
      </c>
      <c r="I3223">
        <v>11538</v>
      </c>
      <c r="J3223" t="s">
        <v>7367</v>
      </c>
      <c r="K3223" t="s">
        <v>7369</v>
      </c>
      <c r="L3223" t="s">
        <v>386</v>
      </c>
      <c r="M3223" t="s">
        <v>1193</v>
      </c>
      <c r="N3223">
        <v>11538</v>
      </c>
      <c r="O3223">
        <v>0</v>
      </c>
      <c r="Q3223" t="s">
        <v>14526</v>
      </c>
      <c r="T3223">
        <v>280</v>
      </c>
      <c r="V3223" t="s">
        <v>3202</v>
      </c>
      <c r="Z3223" t="s">
        <v>969</v>
      </c>
      <c r="AA3223" t="s">
        <v>387</v>
      </c>
      <c r="AB3223">
        <v>0</v>
      </c>
      <c r="AC3223">
        <v>2024</v>
      </c>
      <c r="AD3223" t="s">
        <v>7371</v>
      </c>
      <c r="AE3223">
        <v>1</v>
      </c>
      <c r="AF3223" t="s">
        <v>1922</v>
      </c>
      <c r="AG3223" t="s">
        <v>7372</v>
      </c>
      <c r="AH3223" t="s">
        <v>7373</v>
      </c>
    </row>
    <row r="3224" spans="1:34" x14ac:dyDescent="0.25">
      <c r="A3224">
        <v>1479</v>
      </c>
      <c r="C3224" s="185"/>
      <c r="E3224" t="s">
        <v>386</v>
      </c>
      <c r="F3224" t="s">
        <v>14744</v>
      </c>
      <c r="G3224" t="s">
        <v>1192</v>
      </c>
      <c r="H3224" t="s">
        <v>14745</v>
      </c>
      <c r="I3224">
        <v>11681</v>
      </c>
      <c r="J3224" t="s">
        <v>14744</v>
      </c>
      <c r="K3224" t="s">
        <v>14744</v>
      </c>
      <c r="L3224" t="s">
        <v>386</v>
      </c>
      <c r="M3224" t="s">
        <v>1193</v>
      </c>
      <c r="N3224">
        <v>11681</v>
      </c>
      <c r="O3224">
        <v>0</v>
      </c>
      <c r="Q3224" t="s">
        <v>14526</v>
      </c>
      <c r="T3224">
        <v>280</v>
      </c>
      <c r="V3224" t="s">
        <v>3202</v>
      </c>
      <c r="Z3224" t="s">
        <v>2665</v>
      </c>
      <c r="AA3224" t="s">
        <v>387</v>
      </c>
      <c r="AB3224">
        <v>0</v>
      </c>
      <c r="AC3224">
        <v>4457</v>
      </c>
      <c r="AD3224" t="s">
        <v>14746</v>
      </c>
      <c r="AE3224">
        <v>676</v>
      </c>
      <c r="AF3224" t="s">
        <v>14747</v>
      </c>
      <c r="AG3224" t="s">
        <v>5587</v>
      </c>
      <c r="AH3224" t="s">
        <v>14748</v>
      </c>
    </row>
    <row r="3225" spans="1:34" x14ac:dyDescent="0.25">
      <c r="A3225">
        <v>1</v>
      </c>
      <c r="C3225" s="185"/>
      <c r="E3225" t="s">
        <v>386</v>
      </c>
      <c r="F3225" t="s">
        <v>14749</v>
      </c>
      <c r="G3225" t="s">
        <v>1197</v>
      </c>
      <c r="H3225" t="s">
        <v>14750</v>
      </c>
      <c r="I3225">
        <v>12250</v>
      </c>
      <c r="J3225" t="s">
        <v>14749</v>
      </c>
      <c r="K3225" t="s">
        <v>14751</v>
      </c>
      <c r="L3225" t="s">
        <v>386</v>
      </c>
      <c r="M3225" t="s">
        <v>1193</v>
      </c>
      <c r="N3225">
        <v>12250</v>
      </c>
      <c r="O3225">
        <v>0</v>
      </c>
      <c r="Q3225" t="s">
        <v>14526</v>
      </c>
      <c r="R3225" t="s">
        <v>1208</v>
      </c>
      <c r="T3225">
        <v>340</v>
      </c>
      <c r="V3225" t="s">
        <v>1200</v>
      </c>
      <c r="W3225" t="s">
        <v>1199</v>
      </c>
      <c r="X3225">
        <v>200</v>
      </c>
      <c r="Z3225" t="s">
        <v>865</v>
      </c>
      <c r="AA3225" t="s">
        <v>387</v>
      </c>
      <c r="AB3225">
        <v>0</v>
      </c>
      <c r="AC3225">
        <v>773</v>
      </c>
      <c r="AD3225" t="s">
        <v>5039</v>
      </c>
      <c r="AE3225">
        <v>143</v>
      </c>
      <c r="AF3225" t="s">
        <v>2604</v>
      </c>
      <c r="AG3225" t="s">
        <v>1244</v>
      </c>
      <c r="AH3225" t="s">
        <v>6426</v>
      </c>
    </row>
    <row r="3226" spans="1:34" x14ac:dyDescent="0.25">
      <c r="A3226">
        <v>1</v>
      </c>
      <c r="C3226" s="185"/>
      <c r="E3226" t="s">
        <v>386</v>
      </c>
      <c r="F3226" t="s">
        <v>14752</v>
      </c>
      <c r="G3226" t="s">
        <v>1197</v>
      </c>
      <c r="H3226" t="s">
        <v>2690</v>
      </c>
      <c r="I3226">
        <v>12259</v>
      </c>
      <c r="J3226" t="s">
        <v>14752</v>
      </c>
      <c r="K3226" t="s">
        <v>14752</v>
      </c>
      <c r="L3226" t="s">
        <v>386</v>
      </c>
      <c r="M3226" t="s">
        <v>1193</v>
      </c>
      <c r="N3226">
        <v>12259</v>
      </c>
      <c r="O3226">
        <v>0</v>
      </c>
      <c r="Q3226" t="s">
        <v>14526</v>
      </c>
      <c r="R3226" t="s">
        <v>1208</v>
      </c>
      <c r="T3226">
        <v>200</v>
      </c>
      <c r="V3226" t="s">
        <v>1199</v>
      </c>
      <c r="W3226" t="s">
        <v>1215</v>
      </c>
      <c r="X3226">
        <v>259</v>
      </c>
      <c r="Z3226" t="s">
        <v>865</v>
      </c>
      <c r="AA3226" t="s">
        <v>387</v>
      </c>
      <c r="AB3226">
        <v>0</v>
      </c>
      <c r="AC3226">
        <v>82</v>
      </c>
      <c r="AD3226" t="s">
        <v>2692</v>
      </c>
      <c r="AE3226">
        <v>104</v>
      </c>
      <c r="AF3226" t="s">
        <v>11093</v>
      </c>
      <c r="AG3226" t="s">
        <v>2694</v>
      </c>
      <c r="AH3226" t="s">
        <v>14753</v>
      </c>
    </row>
    <row r="3227" spans="1:34" x14ac:dyDescent="0.25">
      <c r="A3227">
        <v>1</v>
      </c>
      <c r="C3227" s="185"/>
      <c r="E3227" t="s">
        <v>386</v>
      </c>
      <c r="F3227" t="s">
        <v>14754</v>
      </c>
      <c r="G3227" t="s">
        <v>1197</v>
      </c>
      <c r="H3227" t="s">
        <v>3208</v>
      </c>
      <c r="I3227">
        <v>12309</v>
      </c>
      <c r="J3227" t="s">
        <v>14754</v>
      </c>
      <c r="K3227" t="s">
        <v>14755</v>
      </c>
      <c r="L3227" t="s">
        <v>386</v>
      </c>
      <c r="M3227" t="s">
        <v>1193</v>
      </c>
      <c r="N3227">
        <v>12309</v>
      </c>
      <c r="O3227">
        <v>0</v>
      </c>
      <c r="Q3227" t="s">
        <v>14526</v>
      </c>
      <c r="R3227" t="s">
        <v>1208</v>
      </c>
      <c r="T3227">
        <v>372</v>
      </c>
      <c r="V3227" t="s">
        <v>2073</v>
      </c>
      <c r="W3227" t="s">
        <v>2073</v>
      </c>
      <c r="X3227">
        <v>372</v>
      </c>
      <c r="Z3227" t="s">
        <v>865</v>
      </c>
      <c r="AA3227" t="s">
        <v>387</v>
      </c>
      <c r="AB3227">
        <v>0</v>
      </c>
      <c r="AC3227">
        <v>3348</v>
      </c>
      <c r="AD3227" t="s">
        <v>3210</v>
      </c>
      <c r="AE3227">
        <v>184</v>
      </c>
      <c r="AF3227" t="s">
        <v>3211</v>
      </c>
      <c r="AG3227" t="s">
        <v>14756</v>
      </c>
      <c r="AH3227" t="s">
        <v>14757</v>
      </c>
    </row>
    <row r="3228" spans="1:34" x14ac:dyDescent="0.25">
      <c r="A3228">
        <v>1456</v>
      </c>
      <c r="C3228" s="185"/>
      <c r="E3228" t="s">
        <v>386</v>
      </c>
      <c r="F3228" t="s">
        <v>14758</v>
      </c>
      <c r="G3228" t="s">
        <v>1197</v>
      </c>
      <c r="H3228" t="s">
        <v>14759</v>
      </c>
      <c r="I3228">
        <v>12468</v>
      </c>
      <c r="J3228" t="s">
        <v>14758</v>
      </c>
      <c r="K3228" t="s">
        <v>14758</v>
      </c>
      <c r="L3228" t="s">
        <v>386</v>
      </c>
      <c r="M3228" t="s">
        <v>1193</v>
      </c>
      <c r="N3228">
        <v>12468</v>
      </c>
      <c r="O3228">
        <v>0</v>
      </c>
      <c r="Q3228" t="s">
        <v>14526</v>
      </c>
      <c r="R3228" t="s">
        <v>1208</v>
      </c>
      <c r="T3228">
        <v>52</v>
      </c>
      <c r="V3228" t="s">
        <v>2024</v>
      </c>
      <c r="W3228" t="s">
        <v>2067</v>
      </c>
      <c r="X3228">
        <v>304</v>
      </c>
      <c r="Z3228" t="s">
        <v>915</v>
      </c>
      <c r="AA3228" t="s">
        <v>387</v>
      </c>
      <c r="AB3228">
        <v>0</v>
      </c>
      <c r="AC3228">
        <v>3605</v>
      </c>
      <c r="AD3228" t="s">
        <v>14760</v>
      </c>
      <c r="AE3228">
        <v>2161</v>
      </c>
      <c r="AF3228" t="s">
        <v>14761</v>
      </c>
      <c r="AG3228" t="s">
        <v>10121</v>
      </c>
      <c r="AH3228" t="s">
        <v>14762</v>
      </c>
    </row>
    <row r="3229" spans="1:34" x14ac:dyDescent="0.25">
      <c r="A3229">
        <v>67</v>
      </c>
      <c r="C3229" s="185"/>
      <c r="E3229" t="s">
        <v>386</v>
      </c>
      <c r="F3229" t="s">
        <v>14758</v>
      </c>
      <c r="G3229" t="s">
        <v>1197</v>
      </c>
      <c r="H3229" t="s">
        <v>14763</v>
      </c>
      <c r="I3229">
        <v>12469</v>
      </c>
      <c r="J3229" t="s">
        <v>14758</v>
      </c>
      <c r="K3229" t="s">
        <v>14758</v>
      </c>
      <c r="L3229" t="s">
        <v>386</v>
      </c>
      <c r="M3229" t="s">
        <v>1193</v>
      </c>
      <c r="N3229">
        <v>12469</v>
      </c>
      <c r="O3229">
        <v>0</v>
      </c>
      <c r="Q3229" t="s">
        <v>14526</v>
      </c>
      <c r="R3229" t="s">
        <v>1208</v>
      </c>
      <c r="T3229">
        <v>52</v>
      </c>
      <c r="V3229" t="s">
        <v>2024</v>
      </c>
      <c r="W3229" t="s">
        <v>2067</v>
      </c>
      <c r="X3229">
        <v>304</v>
      </c>
      <c r="Z3229" t="s">
        <v>8674</v>
      </c>
      <c r="AA3229" t="s">
        <v>387</v>
      </c>
      <c r="AB3229">
        <v>0</v>
      </c>
      <c r="AC3229">
        <v>4684</v>
      </c>
      <c r="AD3229" t="s">
        <v>14764</v>
      </c>
      <c r="AE3229">
        <v>216</v>
      </c>
      <c r="AF3229" t="s">
        <v>3276</v>
      </c>
      <c r="AG3229" t="s">
        <v>14765</v>
      </c>
      <c r="AH3229" t="s">
        <v>14762</v>
      </c>
    </row>
    <row r="3230" spans="1:34" x14ac:dyDescent="0.25">
      <c r="A3230">
        <v>1293</v>
      </c>
      <c r="C3230" s="185"/>
      <c r="E3230" t="s">
        <v>386</v>
      </c>
      <c r="F3230" t="s">
        <v>14766</v>
      </c>
      <c r="G3230" t="s">
        <v>1197</v>
      </c>
      <c r="H3230" t="s">
        <v>14767</v>
      </c>
      <c r="I3230">
        <v>12493</v>
      </c>
      <c r="J3230" t="s">
        <v>14766</v>
      </c>
      <c r="K3230" t="s">
        <v>14766</v>
      </c>
      <c r="L3230" t="s">
        <v>386</v>
      </c>
      <c r="M3230" t="s">
        <v>1193</v>
      </c>
      <c r="N3230">
        <v>12493</v>
      </c>
      <c r="O3230">
        <v>0</v>
      </c>
      <c r="Q3230" t="s">
        <v>14526</v>
      </c>
      <c r="R3230" t="s">
        <v>1208</v>
      </c>
      <c r="T3230">
        <v>571</v>
      </c>
      <c r="V3230" t="s">
        <v>2003</v>
      </c>
      <c r="W3230" t="s">
        <v>1200</v>
      </c>
      <c r="X3230">
        <v>340</v>
      </c>
      <c r="Z3230" t="s">
        <v>3327</v>
      </c>
      <c r="AA3230" t="s">
        <v>387</v>
      </c>
      <c r="AB3230">
        <v>0</v>
      </c>
      <c r="AC3230">
        <v>1444</v>
      </c>
      <c r="AD3230" t="s">
        <v>14768</v>
      </c>
      <c r="AE3230">
        <v>1</v>
      </c>
      <c r="AF3230" t="s">
        <v>1922</v>
      </c>
      <c r="AG3230" t="s">
        <v>13451</v>
      </c>
      <c r="AH3230" t="s">
        <v>14769</v>
      </c>
    </row>
    <row r="3231" spans="1:34" x14ac:dyDescent="0.25">
      <c r="A3231">
        <v>33</v>
      </c>
      <c r="C3231" s="185"/>
      <c r="E3231" t="s">
        <v>386</v>
      </c>
      <c r="F3231" t="s">
        <v>14770</v>
      </c>
      <c r="G3231" t="s">
        <v>1197</v>
      </c>
      <c r="H3231" t="s">
        <v>14771</v>
      </c>
      <c r="I3231">
        <v>12611</v>
      </c>
      <c r="J3231" t="s">
        <v>14770</v>
      </c>
      <c r="K3231" t="s">
        <v>14770</v>
      </c>
      <c r="L3231" t="s">
        <v>386</v>
      </c>
      <c r="M3231" t="s">
        <v>1193</v>
      </c>
      <c r="N3231">
        <v>12611</v>
      </c>
      <c r="O3231">
        <v>0</v>
      </c>
      <c r="Q3231" t="s">
        <v>14526</v>
      </c>
      <c r="R3231" t="s">
        <v>1208</v>
      </c>
      <c r="T3231">
        <v>340</v>
      </c>
      <c r="V3231" t="s">
        <v>1200</v>
      </c>
      <c r="Z3231" t="s">
        <v>1115</v>
      </c>
      <c r="AA3231" t="s">
        <v>387</v>
      </c>
      <c r="AB3231">
        <v>0</v>
      </c>
      <c r="AC3231">
        <v>4710</v>
      </c>
      <c r="AD3231" t="s">
        <v>14772</v>
      </c>
      <c r="AE3231">
        <v>424</v>
      </c>
      <c r="AF3231" t="s">
        <v>14773</v>
      </c>
      <c r="AG3231" t="s">
        <v>1244</v>
      </c>
      <c r="AH3231" t="s">
        <v>14774</v>
      </c>
    </row>
    <row r="3232" spans="1:34" x14ac:dyDescent="0.25">
      <c r="A3232">
        <v>33</v>
      </c>
      <c r="C3232" s="185"/>
      <c r="E3232" t="s">
        <v>386</v>
      </c>
      <c r="F3232" t="s">
        <v>14775</v>
      </c>
      <c r="G3232" t="s">
        <v>1197</v>
      </c>
      <c r="H3232" t="s">
        <v>14776</v>
      </c>
      <c r="I3232">
        <v>12612</v>
      </c>
      <c r="J3232" t="s">
        <v>14775</v>
      </c>
      <c r="K3232" t="s">
        <v>14777</v>
      </c>
      <c r="L3232" t="s">
        <v>386</v>
      </c>
      <c r="M3232" t="s">
        <v>1193</v>
      </c>
      <c r="N3232">
        <v>12612</v>
      </c>
      <c r="O3232">
        <v>0</v>
      </c>
      <c r="Q3232" t="s">
        <v>14526</v>
      </c>
      <c r="R3232" t="s">
        <v>1208</v>
      </c>
      <c r="T3232">
        <v>304</v>
      </c>
      <c r="V3232" t="s">
        <v>2067</v>
      </c>
      <c r="Z3232" t="s">
        <v>1115</v>
      </c>
      <c r="AA3232" t="s">
        <v>387</v>
      </c>
      <c r="AB3232">
        <v>0</v>
      </c>
      <c r="AC3232">
        <v>4711</v>
      </c>
      <c r="AD3232" t="s">
        <v>14778</v>
      </c>
      <c r="AE3232">
        <v>1419</v>
      </c>
      <c r="AF3232" t="s">
        <v>14779</v>
      </c>
      <c r="AG3232" t="s">
        <v>14780</v>
      </c>
    </row>
    <row r="3233" spans="1:34" x14ac:dyDescent="0.25">
      <c r="A3233">
        <v>1</v>
      </c>
      <c r="C3233" s="185"/>
      <c r="E3233" t="s">
        <v>386</v>
      </c>
      <c r="F3233" t="s">
        <v>14781</v>
      </c>
      <c r="G3233" t="s">
        <v>1197</v>
      </c>
      <c r="H3233" t="s">
        <v>13338</v>
      </c>
      <c r="I3233">
        <v>12632</v>
      </c>
      <c r="J3233" t="s">
        <v>14781</v>
      </c>
      <c r="K3233" t="s">
        <v>14782</v>
      </c>
      <c r="L3233" t="s">
        <v>386</v>
      </c>
      <c r="M3233" t="s">
        <v>1193</v>
      </c>
      <c r="N3233">
        <v>12632</v>
      </c>
      <c r="O3233">
        <v>0</v>
      </c>
      <c r="Q3233" t="s">
        <v>14526</v>
      </c>
      <c r="R3233" t="s">
        <v>1208</v>
      </c>
      <c r="T3233">
        <v>304</v>
      </c>
      <c r="V3233" t="s">
        <v>2067</v>
      </c>
      <c r="Z3233" t="s">
        <v>865</v>
      </c>
      <c r="AA3233" t="s">
        <v>387</v>
      </c>
      <c r="AB3233">
        <v>0</v>
      </c>
      <c r="AC3233">
        <v>206</v>
      </c>
      <c r="AD3233" t="s">
        <v>14783</v>
      </c>
      <c r="AE3233">
        <v>1</v>
      </c>
      <c r="AF3233" t="s">
        <v>1922</v>
      </c>
      <c r="AG3233" t="s">
        <v>7010</v>
      </c>
      <c r="AH3233" t="s">
        <v>14784</v>
      </c>
    </row>
    <row r="3234" spans="1:34" x14ac:dyDescent="0.25">
      <c r="A3234">
        <v>1874</v>
      </c>
      <c r="C3234" s="185"/>
      <c r="E3234" t="s">
        <v>386</v>
      </c>
      <c r="F3234" t="s">
        <v>14785</v>
      </c>
      <c r="G3234" t="s">
        <v>1197</v>
      </c>
      <c r="H3234" t="s">
        <v>7819</v>
      </c>
      <c r="I3234">
        <v>12685</v>
      </c>
      <c r="J3234" t="s">
        <v>14785</v>
      </c>
      <c r="K3234" t="s">
        <v>14786</v>
      </c>
      <c r="L3234" t="s">
        <v>386</v>
      </c>
      <c r="M3234" t="s">
        <v>1193</v>
      </c>
      <c r="N3234">
        <v>12685</v>
      </c>
      <c r="O3234">
        <v>0</v>
      </c>
      <c r="Q3234" t="s">
        <v>14526</v>
      </c>
      <c r="R3234" t="s">
        <v>1208</v>
      </c>
      <c r="T3234">
        <v>304</v>
      </c>
      <c r="V3234" t="s">
        <v>2067</v>
      </c>
      <c r="Z3234" t="s">
        <v>7822</v>
      </c>
      <c r="AA3234" t="s">
        <v>387</v>
      </c>
      <c r="AB3234">
        <v>0</v>
      </c>
      <c r="AC3234">
        <v>4738</v>
      </c>
      <c r="AD3234" t="s">
        <v>14787</v>
      </c>
      <c r="AE3234">
        <v>311</v>
      </c>
      <c r="AF3234" t="s">
        <v>4126</v>
      </c>
      <c r="AG3234" t="s">
        <v>2499</v>
      </c>
      <c r="AH3234" t="s">
        <v>14788</v>
      </c>
    </row>
    <row r="3235" spans="1:34" x14ac:dyDescent="0.25">
      <c r="A3235">
        <v>33</v>
      </c>
      <c r="C3235" s="185"/>
      <c r="E3235" t="s">
        <v>386</v>
      </c>
      <c r="F3235" t="s">
        <v>14789</v>
      </c>
      <c r="G3235" t="s">
        <v>1197</v>
      </c>
      <c r="H3235" t="s">
        <v>14790</v>
      </c>
      <c r="I3235">
        <v>12693</v>
      </c>
      <c r="J3235" t="s">
        <v>14789</v>
      </c>
      <c r="K3235" t="s">
        <v>14791</v>
      </c>
      <c r="L3235" t="s">
        <v>386</v>
      </c>
      <c r="M3235" t="s">
        <v>1193</v>
      </c>
      <c r="N3235">
        <v>12693</v>
      </c>
      <c r="O3235">
        <v>0</v>
      </c>
      <c r="Q3235" t="s">
        <v>14526</v>
      </c>
      <c r="R3235" t="s">
        <v>1208</v>
      </c>
      <c r="T3235">
        <v>571</v>
      </c>
      <c r="V3235" t="s">
        <v>2003</v>
      </c>
      <c r="W3235" t="s">
        <v>1200</v>
      </c>
      <c r="X3235">
        <v>340</v>
      </c>
      <c r="Z3235" t="s">
        <v>1115</v>
      </c>
      <c r="AA3235" t="s">
        <v>387</v>
      </c>
      <c r="AB3235">
        <v>0</v>
      </c>
      <c r="AC3235">
        <v>4741</v>
      </c>
      <c r="AD3235" t="s">
        <v>14792</v>
      </c>
      <c r="AE3235">
        <v>2189</v>
      </c>
      <c r="AF3235" t="s">
        <v>14793</v>
      </c>
      <c r="AG3235" t="s">
        <v>3090</v>
      </c>
      <c r="AH3235" t="s">
        <v>14794</v>
      </c>
    </row>
    <row r="3236" spans="1:34" x14ac:dyDescent="0.25">
      <c r="A3236">
        <v>1823</v>
      </c>
      <c r="C3236" s="185"/>
      <c r="E3236" t="s">
        <v>386</v>
      </c>
      <c r="F3236" t="s">
        <v>14795</v>
      </c>
      <c r="G3236" t="s">
        <v>1197</v>
      </c>
      <c r="H3236" t="s">
        <v>14796</v>
      </c>
      <c r="I3236">
        <v>12698</v>
      </c>
      <c r="J3236" t="s">
        <v>14795</v>
      </c>
      <c r="K3236" t="s">
        <v>14795</v>
      </c>
      <c r="L3236" t="s">
        <v>386</v>
      </c>
      <c r="M3236" t="s">
        <v>1193</v>
      </c>
      <c r="N3236">
        <v>12698</v>
      </c>
      <c r="O3236">
        <v>0</v>
      </c>
      <c r="Q3236" t="s">
        <v>14526</v>
      </c>
      <c r="R3236" t="s">
        <v>1208</v>
      </c>
      <c r="T3236">
        <v>571</v>
      </c>
      <c r="V3236" t="s">
        <v>2003</v>
      </c>
      <c r="W3236" t="s">
        <v>2024</v>
      </c>
      <c r="X3236">
        <v>52</v>
      </c>
      <c r="Z3236" t="s">
        <v>1062</v>
      </c>
      <c r="AA3236" t="s">
        <v>387</v>
      </c>
      <c r="AB3236">
        <v>23000</v>
      </c>
      <c r="AC3236">
        <v>4744</v>
      </c>
      <c r="AD3236" t="s">
        <v>14670</v>
      </c>
      <c r="AE3236">
        <v>138</v>
      </c>
      <c r="AF3236" t="s">
        <v>2509</v>
      </c>
      <c r="AG3236" t="s">
        <v>14797</v>
      </c>
      <c r="AH3236" t="s">
        <v>14798</v>
      </c>
    </row>
    <row r="3237" spans="1:34" x14ac:dyDescent="0.25">
      <c r="A3237">
        <v>136</v>
      </c>
      <c r="C3237" s="185"/>
      <c r="E3237" t="s">
        <v>386</v>
      </c>
      <c r="F3237" t="s">
        <v>14799</v>
      </c>
      <c r="G3237" t="s">
        <v>1197</v>
      </c>
      <c r="H3237" t="s">
        <v>14800</v>
      </c>
      <c r="I3237">
        <v>12701</v>
      </c>
      <c r="J3237" t="s">
        <v>14799</v>
      </c>
      <c r="K3237" t="s">
        <v>14801</v>
      </c>
      <c r="L3237" t="s">
        <v>386</v>
      </c>
      <c r="M3237" t="s">
        <v>1193</v>
      </c>
      <c r="N3237">
        <v>12701</v>
      </c>
      <c r="O3237">
        <v>0</v>
      </c>
      <c r="Q3237" t="s">
        <v>14526</v>
      </c>
      <c r="R3237" t="s">
        <v>1208</v>
      </c>
      <c r="T3237">
        <v>571</v>
      </c>
      <c r="V3237" t="s">
        <v>2003</v>
      </c>
      <c r="W3237" t="s">
        <v>2067</v>
      </c>
      <c r="X3237">
        <v>304</v>
      </c>
      <c r="Z3237" t="s">
        <v>7453</v>
      </c>
      <c r="AA3237" t="s">
        <v>387</v>
      </c>
      <c r="AB3237">
        <v>0</v>
      </c>
      <c r="AC3237">
        <v>4747</v>
      </c>
      <c r="AD3237" t="s">
        <v>14802</v>
      </c>
      <c r="AE3237">
        <v>246</v>
      </c>
      <c r="AF3237" t="s">
        <v>7455</v>
      </c>
      <c r="AG3237" t="s">
        <v>3790</v>
      </c>
      <c r="AH3237" t="s">
        <v>14803</v>
      </c>
    </row>
    <row r="3238" spans="1:34" x14ac:dyDescent="0.25">
      <c r="A3238">
        <v>1425</v>
      </c>
      <c r="C3238" s="185"/>
      <c r="E3238" t="s">
        <v>386</v>
      </c>
      <c r="F3238" t="s">
        <v>14804</v>
      </c>
      <c r="G3238" t="s">
        <v>1197</v>
      </c>
      <c r="H3238" t="s">
        <v>3818</v>
      </c>
      <c r="I3238">
        <v>12702</v>
      </c>
      <c r="J3238" t="s">
        <v>14804</v>
      </c>
      <c r="K3238" t="s">
        <v>14805</v>
      </c>
      <c r="L3238" t="s">
        <v>386</v>
      </c>
      <c r="M3238" t="s">
        <v>1193</v>
      </c>
      <c r="N3238">
        <v>12702</v>
      </c>
      <c r="O3238">
        <v>0</v>
      </c>
      <c r="Q3238" t="s">
        <v>14526</v>
      </c>
      <c r="R3238" t="s">
        <v>1208</v>
      </c>
      <c r="T3238">
        <v>571</v>
      </c>
      <c r="V3238" t="s">
        <v>2003</v>
      </c>
      <c r="W3238" t="s">
        <v>2067</v>
      </c>
      <c r="X3238">
        <v>304</v>
      </c>
      <c r="Z3238" t="s">
        <v>3820</v>
      </c>
      <c r="AA3238" t="s">
        <v>387</v>
      </c>
      <c r="AB3238">
        <v>0</v>
      </c>
      <c r="AC3238">
        <v>4748</v>
      </c>
      <c r="AD3238" t="s">
        <v>3821</v>
      </c>
      <c r="AE3238">
        <v>1</v>
      </c>
      <c r="AF3238" t="s">
        <v>1922</v>
      </c>
      <c r="AG3238" t="s">
        <v>3822</v>
      </c>
      <c r="AH3238" t="s">
        <v>3823</v>
      </c>
    </row>
    <row r="3239" spans="1:34" x14ac:dyDescent="0.25">
      <c r="A3239">
        <v>1</v>
      </c>
      <c r="C3239" s="185"/>
      <c r="E3239" t="s">
        <v>386</v>
      </c>
      <c r="F3239" t="s">
        <v>14806</v>
      </c>
      <c r="G3239" t="s">
        <v>1197</v>
      </c>
      <c r="H3239" t="s">
        <v>14807</v>
      </c>
      <c r="I3239">
        <v>12758</v>
      </c>
      <c r="J3239" t="s">
        <v>14806</v>
      </c>
      <c r="K3239" t="s">
        <v>14808</v>
      </c>
      <c r="L3239" t="s">
        <v>386</v>
      </c>
      <c r="M3239" t="s">
        <v>1193</v>
      </c>
      <c r="N3239">
        <v>12758</v>
      </c>
      <c r="O3239">
        <v>0</v>
      </c>
      <c r="Q3239" t="s">
        <v>14526</v>
      </c>
      <c r="R3239" t="s">
        <v>398</v>
      </c>
      <c r="T3239">
        <v>372</v>
      </c>
      <c r="V3239" t="s">
        <v>2073</v>
      </c>
      <c r="W3239" t="s">
        <v>2067</v>
      </c>
      <c r="X3239">
        <v>304</v>
      </c>
      <c r="Z3239" t="s">
        <v>865</v>
      </c>
      <c r="AA3239" t="s">
        <v>387</v>
      </c>
      <c r="AB3239">
        <v>0</v>
      </c>
      <c r="AC3239">
        <v>4766</v>
      </c>
      <c r="AD3239" t="s">
        <v>14809</v>
      </c>
      <c r="AE3239">
        <v>154</v>
      </c>
      <c r="AF3239" t="s">
        <v>3141</v>
      </c>
      <c r="AG3239" t="s">
        <v>2048</v>
      </c>
      <c r="AH3239" t="s">
        <v>14810</v>
      </c>
    </row>
    <row r="3240" spans="1:34" x14ac:dyDescent="0.25">
      <c r="A3240">
        <v>1</v>
      </c>
      <c r="C3240" s="185"/>
      <c r="E3240" t="s">
        <v>386</v>
      </c>
      <c r="F3240" t="s">
        <v>14811</v>
      </c>
      <c r="G3240" t="s">
        <v>1197</v>
      </c>
      <c r="H3240" t="s">
        <v>9586</v>
      </c>
      <c r="I3240">
        <v>12769</v>
      </c>
      <c r="J3240" t="s">
        <v>14811</v>
      </c>
      <c r="K3240" t="s">
        <v>14811</v>
      </c>
      <c r="L3240" t="s">
        <v>386</v>
      </c>
      <c r="M3240" t="s">
        <v>1193</v>
      </c>
      <c r="N3240">
        <v>12769</v>
      </c>
      <c r="O3240">
        <v>0</v>
      </c>
      <c r="Q3240" t="s">
        <v>14526</v>
      </c>
      <c r="R3240" t="s">
        <v>1208</v>
      </c>
      <c r="T3240">
        <v>571</v>
      </c>
      <c r="V3240" t="s">
        <v>2003</v>
      </c>
      <c r="W3240" t="s">
        <v>2067</v>
      </c>
      <c r="X3240">
        <v>304</v>
      </c>
      <c r="Z3240" t="s">
        <v>865</v>
      </c>
      <c r="AA3240" t="s">
        <v>387</v>
      </c>
      <c r="AB3240">
        <v>0</v>
      </c>
      <c r="AC3240">
        <v>781</v>
      </c>
      <c r="AD3240" t="s">
        <v>9589</v>
      </c>
      <c r="AE3240">
        <v>2198</v>
      </c>
      <c r="AF3240" t="s">
        <v>14812</v>
      </c>
      <c r="AG3240" t="s">
        <v>9591</v>
      </c>
      <c r="AH3240" t="s">
        <v>14813</v>
      </c>
    </row>
    <row r="3241" spans="1:34" x14ac:dyDescent="0.25">
      <c r="A3241">
        <v>40</v>
      </c>
      <c r="C3241" s="185"/>
      <c r="E3241" t="s">
        <v>386</v>
      </c>
      <c r="F3241" t="s">
        <v>14814</v>
      </c>
      <c r="G3241" t="s">
        <v>1197</v>
      </c>
      <c r="H3241" t="s">
        <v>14815</v>
      </c>
      <c r="I3241">
        <v>12833</v>
      </c>
      <c r="J3241" t="s">
        <v>14814</v>
      </c>
      <c r="K3241" t="s">
        <v>14814</v>
      </c>
      <c r="L3241" t="s">
        <v>386</v>
      </c>
      <c r="M3241" t="s">
        <v>1193</v>
      </c>
      <c r="N3241">
        <v>12833</v>
      </c>
      <c r="O3241">
        <v>0</v>
      </c>
      <c r="Q3241" t="s">
        <v>14526</v>
      </c>
      <c r="R3241" t="s">
        <v>1208</v>
      </c>
      <c r="T3241">
        <v>571</v>
      </c>
      <c r="V3241" t="s">
        <v>2003</v>
      </c>
      <c r="W3241" t="s">
        <v>2067</v>
      </c>
      <c r="X3241">
        <v>304</v>
      </c>
      <c r="Z3241" t="s">
        <v>14816</v>
      </c>
      <c r="AA3241" t="s">
        <v>387</v>
      </c>
      <c r="AB3241">
        <v>0</v>
      </c>
      <c r="AC3241">
        <v>4792</v>
      </c>
      <c r="AD3241" t="s">
        <v>14817</v>
      </c>
      <c r="AE3241">
        <v>1</v>
      </c>
      <c r="AF3241" t="s">
        <v>1922</v>
      </c>
      <c r="AG3241" t="s">
        <v>2336</v>
      </c>
      <c r="AH3241" t="s">
        <v>14818</v>
      </c>
    </row>
    <row r="3242" spans="1:34" x14ac:dyDescent="0.25">
      <c r="A3242">
        <v>1425</v>
      </c>
      <c r="C3242" s="185"/>
      <c r="E3242" t="s">
        <v>386</v>
      </c>
      <c r="F3242" t="s">
        <v>14819</v>
      </c>
      <c r="G3242" t="s">
        <v>1197</v>
      </c>
      <c r="H3242" t="s">
        <v>3818</v>
      </c>
      <c r="I3242">
        <v>12834</v>
      </c>
      <c r="J3242" t="s">
        <v>14819</v>
      </c>
      <c r="K3242" t="s">
        <v>14820</v>
      </c>
      <c r="L3242" t="s">
        <v>386</v>
      </c>
      <c r="M3242" t="s">
        <v>1193</v>
      </c>
      <c r="N3242">
        <v>12834</v>
      </c>
      <c r="O3242">
        <v>0</v>
      </c>
      <c r="Q3242" t="s">
        <v>14526</v>
      </c>
      <c r="R3242" t="s">
        <v>1208</v>
      </c>
      <c r="T3242">
        <v>571</v>
      </c>
      <c r="V3242" t="s">
        <v>2003</v>
      </c>
      <c r="W3242" t="s">
        <v>2067</v>
      </c>
      <c r="X3242">
        <v>304</v>
      </c>
      <c r="Z3242" t="s">
        <v>3820</v>
      </c>
      <c r="AA3242" t="s">
        <v>387</v>
      </c>
      <c r="AB3242">
        <v>0</v>
      </c>
      <c r="AC3242">
        <v>4793</v>
      </c>
      <c r="AD3242" t="s">
        <v>2880</v>
      </c>
      <c r="AE3242">
        <v>1581</v>
      </c>
      <c r="AF3242" t="s">
        <v>4203</v>
      </c>
      <c r="AG3242" t="s">
        <v>9115</v>
      </c>
      <c r="AH3242" t="s">
        <v>14821</v>
      </c>
    </row>
    <row r="3243" spans="1:34" x14ac:dyDescent="0.25">
      <c r="A3243">
        <v>1</v>
      </c>
      <c r="C3243" s="185"/>
      <c r="E3243" t="s">
        <v>386</v>
      </c>
      <c r="F3243" t="s">
        <v>14758</v>
      </c>
      <c r="G3243" t="s">
        <v>1197</v>
      </c>
      <c r="H3243" t="s">
        <v>14822</v>
      </c>
      <c r="I3243">
        <v>12843</v>
      </c>
      <c r="J3243" t="s">
        <v>14758</v>
      </c>
      <c r="K3243" t="s">
        <v>14758</v>
      </c>
      <c r="L3243" t="s">
        <v>386</v>
      </c>
      <c r="M3243" t="s">
        <v>1193</v>
      </c>
      <c r="N3243">
        <v>12843</v>
      </c>
      <c r="O3243">
        <v>0</v>
      </c>
      <c r="Q3243" t="s">
        <v>14526</v>
      </c>
      <c r="R3243" t="s">
        <v>1208</v>
      </c>
      <c r="T3243">
        <v>304</v>
      </c>
      <c r="V3243" t="s">
        <v>2067</v>
      </c>
      <c r="Z3243" t="s">
        <v>865</v>
      </c>
      <c r="AA3243" t="s">
        <v>387</v>
      </c>
      <c r="AB3243">
        <v>0</v>
      </c>
      <c r="AC3243">
        <v>337</v>
      </c>
      <c r="AD3243" t="s">
        <v>14823</v>
      </c>
      <c r="AE3243">
        <v>216</v>
      </c>
      <c r="AF3243" t="s">
        <v>3276</v>
      </c>
      <c r="AG3243" t="s">
        <v>2599</v>
      </c>
      <c r="AH3243" t="s">
        <v>14762</v>
      </c>
    </row>
    <row r="3244" spans="1:34" x14ac:dyDescent="0.25">
      <c r="A3244">
        <v>1259</v>
      </c>
      <c r="C3244" s="185"/>
      <c r="E3244" t="s">
        <v>386</v>
      </c>
      <c r="F3244" t="s">
        <v>14824</v>
      </c>
      <c r="G3244" t="s">
        <v>1197</v>
      </c>
      <c r="H3244" t="s">
        <v>14825</v>
      </c>
      <c r="I3244">
        <v>12856</v>
      </c>
      <c r="J3244" t="s">
        <v>14824</v>
      </c>
      <c r="K3244" t="s">
        <v>14824</v>
      </c>
      <c r="L3244" t="s">
        <v>386</v>
      </c>
      <c r="M3244" t="s">
        <v>1193</v>
      </c>
      <c r="N3244">
        <v>12856</v>
      </c>
      <c r="O3244">
        <v>0</v>
      </c>
      <c r="Q3244" t="s">
        <v>14526</v>
      </c>
      <c r="R3244" t="s">
        <v>1208</v>
      </c>
      <c r="T3244">
        <v>304</v>
      </c>
      <c r="V3244" t="s">
        <v>2067</v>
      </c>
      <c r="Z3244" t="s">
        <v>10633</v>
      </c>
      <c r="AA3244" t="s">
        <v>387</v>
      </c>
      <c r="AB3244">
        <v>0</v>
      </c>
      <c r="AC3244">
        <v>2070</v>
      </c>
      <c r="AD3244" t="s">
        <v>14826</v>
      </c>
      <c r="AE3244">
        <v>1</v>
      </c>
      <c r="AF3244" t="s">
        <v>1922</v>
      </c>
      <c r="AG3244" t="s">
        <v>14827</v>
      </c>
      <c r="AH3244" t="s">
        <v>14828</v>
      </c>
    </row>
    <row r="3245" spans="1:34" x14ac:dyDescent="0.25">
      <c r="A3245">
        <v>1588</v>
      </c>
      <c r="C3245" s="185"/>
      <c r="E3245" t="s">
        <v>386</v>
      </c>
      <c r="F3245" t="s">
        <v>14758</v>
      </c>
      <c r="G3245" t="s">
        <v>1197</v>
      </c>
      <c r="H3245" t="s">
        <v>14829</v>
      </c>
      <c r="I3245">
        <v>12928</v>
      </c>
      <c r="J3245" t="s">
        <v>14758</v>
      </c>
      <c r="K3245" t="s">
        <v>14758</v>
      </c>
      <c r="L3245" t="s">
        <v>386</v>
      </c>
      <c r="M3245" t="s">
        <v>1193</v>
      </c>
      <c r="N3245">
        <v>12928</v>
      </c>
      <c r="O3245">
        <v>0</v>
      </c>
      <c r="Q3245" t="s">
        <v>14526</v>
      </c>
      <c r="R3245" t="s">
        <v>1208</v>
      </c>
      <c r="T3245">
        <v>304</v>
      </c>
      <c r="V3245" t="s">
        <v>2067</v>
      </c>
      <c r="Z3245" t="s">
        <v>949</v>
      </c>
      <c r="AA3245" t="s">
        <v>387</v>
      </c>
      <c r="AB3245">
        <v>0</v>
      </c>
      <c r="AC3245">
        <v>894</v>
      </c>
      <c r="AD3245" t="s">
        <v>4558</v>
      </c>
      <c r="AE3245">
        <v>1</v>
      </c>
      <c r="AF3245" t="s">
        <v>1922</v>
      </c>
      <c r="AG3245" t="s">
        <v>4250</v>
      </c>
      <c r="AH3245" t="s">
        <v>14762</v>
      </c>
    </row>
    <row r="3246" spans="1:34" x14ac:dyDescent="0.25">
      <c r="A3246">
        <v>1</v>
      </c>
      <c r="C3246" s="185"/>
      <c r="E3246" t="s">
        <v>386</v>
      </c>
      <c r="F3246" t="s">
        <v>14830</v>
      </c>
      <c r="G3246" t="s">
        <v>1197</v>
      </c>
      <c r="H3246" t="s">
        <v>14831</v>
      </c>
      <c r="I3246">
        <v>12947</v>
      </c>
      <c r="J3246" t="s">
        <v>14830</v>
      </c>
      <c r="K3246" t="s">
        <v>14832</v>
      </c>
      <c r="L3246" t="s">
        <v>386</v>
      </c>
      <c r="M3246" t="s">
        <v>1193</v>
      </c>
      <c r="N3246">
        <v>12947</v>
      </c>
      <c r="O3246">
        <v>0</v>
      </c>
      <c r="Q3246" t="s">
        <v>14526</v>
      </c>
      <c r="R3246" t="s">
        <v>398</v>
      </c>
      <c r="T3246">
        <v>571</v>
      </c>
      <c r="V3246" t="s">
        <v>2003</v>
      </c>
      <c r="W3246" t="s">
        <v>2073</v>
      </c>
      <c r="X3246">
        <v>372</v>
      </c>
      <c r="Z3246" t="s">
        <v>865</v>
      </c>
      <c r="AA3246" t="s">
        <v>387</v>
      </c>
      <c r="AB3246">
        <v>0</v>
      </c>
      <c r="AC3246">
        <v>1609</v>
      </c>
      <c r="AD3246" t="s">
        <v>2035</v>
      </c>
      <c r="AE3246">
        <v>54</v>
      </c>
      <c r="AF3246" t="s">
        <v>3250</v>
      </c>
      <c r="AG3246" t="s">
        <v>14833</v>
      </c>
      <c r="AH3246" t="s">
        <v>14834</v>
      </c>
    </row>
    <row r="3247" spans="1:34" x14ac:dyDescent="0.25">
      <c r="A3247">
        <v>108</v>
      </c>
      <c r="C3247" s="185"/>
      <c r="E3247" t="s">
        <v>386</v>
      </c>
      <c r="F3247" t="s">
        <v>14758</v>
      </c>
      <c r="G3247" t="s">
        <v>1197</v>
      </c>
      <c r="H3247" t="s">
        <v>14835</v>
      </c>
      <c r="I3247">
        <v>12949</v>
      </c>
      <c r="J3247" t="s">
        <v>14758</v>
      </c>
      <c r="K3247" t="s">
        <v>14758</v>
      </c>
      <c r="L3247" t="s">
        <v>386</v>
      </c>
      <c r="M3247" t="s">
        <v>1193</v>
      </c>
      <c r="N3247">
        <v>12949</v>
      </c>
      <c r="O3247">
        <v>0</v>
      </c>
      <c r="Q3247" t="s">
        <v>14526</v>
      </c>
      <c r="R3247" t="s">
        <v>1208</v>
      </c>
      <c r="T3247">
        <v>304</v>
      </c>
      <c r="V3247" t="s">
        <v>2067</v>
      </c>
      <c r="Z3247" t="s">
        <v>899</v>
      </c>
      <c r="AA3247" t="s">
        <v>387</v>
      </c>
      <c r="AB3247">
        <v>0</v>
      </c>
      <c r="AC3247">
        <v>4826</v>
      </c>
      <c r="AD3247" t="s">
        <v>14836</v>
      </c>
      <c r="AE3247">
        <v>2227</v>
      </c>
      <c r="AF3247" t="s">
        <v>14837</v>
      </c>
      <c r="AG3247" t="s">
        <v>2044</v>
      </c>
      <c r="AH3247" t="s">
        <v>14762</v>
      </c>
    </row>
    <row r="3248" spans="1:34" x14ac:dyDescent="0.25">
      <c r="A3248">
        <v>1634</v>
      </c>
      <c r="C3248" s="185"/>
      <c r="E3248" t="s">
        <v>386</v>
      </c>
      <c r="F3248" t="s">
        <v>14758</v>
      </c>
      <c r="G3248" t="s">
        <v>1197</v>
      </c>
      <c r="H3248" t="s">
        <v>14838</v>
      </c>
      <c r="I3248">
        <v>12950</v>
      </c>
      <c r="J3248" t="s">
        <v>14758</v>
      </c>
      <c r="K3248" t="s">
        <v>14758</v>
      </c>
      <c r="L3248" t="s">
        <v>386</v>
      </c>
      <c r="M3248" t="s">
        <v>1193</v>
      </c>
      <c r="N3248">
        <v>12950</v>
      </c>
      <c r="O3248">
        <v>0</v>
      </c>
      <c r="Q3248" t="s">
        <v>14526</v>
      </c>
      <c r="R3248" t="s">
        <v>1208</v>
      </c>
      <c r="T3248">
        <v>304</v>
      </c>
      <c r="V3248" t="s">
        <v>2067</v>
      </c>
      <c r="Z3248" t="s">
        <v>14839</v>
      </c>
      <c r="AA3248" t="s">
        <v>387</v>
      </c>
      <c r="AB3248">
        <v>0</v>
      </c>
      <c r="AC3248">
        <v>3009</v>
      </c>
      <c r="AD3248" t="s">
        <v>14840</v>
      </c>
      <c r="AE3248">
        <v>191</v>
      </c>
      <c r="AF3248" t="s">
        <v>14841</v>
      </c>
      <c r="AG3248" t="s">
        <v>1244</v>
      </c>
      <c r="AH3248" t="s">
        <v>14762</v>
      </c>
    </row>
    <row r="3249" spans="1:34" x14ac:dyDescent="0.25">
      <c r="A3249">
        <v>22</v>
      </c>
      <c r="C3249" s="185"/>
      <c r="E3249" t="s">
        <v>386</v>
      </c>
      <c r="F3249" t="s">
        <v>14842</v>
      </c>
      <c r="G3249" t="s">
        <v>1197</v>
      </c>
      <c r="H3249" t="s">
        <v>14843</v>
      </c>
      <c r="I3249">
        <v>13038</v>
      </c>
      <c r="J3249" t="s">
        <v>14842</v>
      </c>
      <c r="K3249" t="s">
        <v>14844</v>
      </c>
      <c r="L3249" t="s">
        <v>386</v>
      </c>
      <c r="M3249" t="s">
        <v>1193</v>
      </c>
      <c r="N3249">
        <v>13038</v>
      </c>
      <c r="O3249">
        <v>0</v>
      </c>
      <c r="Q3249" t="s">
        <v>14526</v>
      </c>
      <c r="R3249" t="s">
        <v>1208</v>
      </c>
      <c r="T3249">
        <v>200</v>
      </c>
      <c r="V3249" t="s">
        <v>1199</v>
      </c>
      <c r="W3249" t="s">
        <v>1199</v>
      </c>
      <c r="X3249">
        <v>200</v>
      </c>
      <c r="Z3249" t="s">
        <v>12897</v>
      </c>
      <c r="AA3249" t="s">
        <v>387</v>
      </c>
      <c r="AB3249">
        <v>0</v>
      </c>
      <c r="AC3249">
        <v>764</v>
      </c>
      <c r="AD3249" t="s">
        <v>14845</v>
      </c>
      <c r="AE3249">
        <v>360</v>
      </c>
      <c r="AF3249" t="s">
        <v>14846</v>
      </c>
      <c r="AG3249" t="s">
        <v>14847</v>
      </c>
      <c r="AH3249" t="s">
        <v>14848</v>
      </c>
    </row>
    <row r="3250" spans="1:34" x14ac:dyDescent="0.25">
      <c r="A3250">
        <v>31</v>
      </c>
      <c r="C3250" s="185"/>
      <c r="E3250" t="s">
        <v>386</v>
      </c>
      <c r="F3250" t="s">
        <v>14849</v>
      </c>
      <c r="G3250" t="s">
        <v>1197</v>
      </c>
      <c r="H3250" t="s">
        <v>14850</v>
      </c>
      <c r="I3250">
        <v>13151</v>
      </c>
      <c r="J3250" t="s">
        <v>14849</v>
      </c>
      <c r="K3250" t="s">
        <v>14851</v>
      </c>
      <c r="L3250" t="s">
        <v>386</v>
      </c>
      <c r="M3250" t="s">
        <v>1193</v>
      </c>
      <c r="N3250">
        <v>13151</v>
      </c>
      <c r="O3250">
        <v>0</v>
      </c>
      <c r="Q3250" t="s">
        <v>14526</v>
      </c>
      <c r="R3250" t="s">
        <v>1208</v>
      </c>
      <c r="T3250">
        <v>103</v>
      </c>
      <c r="V3250" t="s">
        <v>1530</v>
      </c>
      <c r="W3250" t="s">
        <v>1530</v>
      </c>
      <c r="X3250">
        <v>103</v>
      </c>
      <c r="Z3250" t="s">
        <v>1132</v>
      </c>
      <c r="AA3250" t="s">
        <v>387</v>
      </c>
      <c r="AB3250">
        <v>0</v>
      </c>
      <c r="AC3250">
        <v>4917</v>
      </c>
      <c r="AD3250" t="s">
        <v>14852</v>
      </c>
      <c r="AE3250">
        <v>1874</v>
      </c>
      <c r="AF3250" t="s">
        <v>5046</v>
      </c>
      <c r="AG3250" t="s">
        <v>12324</v>
      </c>
      <c r="AH3250" t="s">
        <v>14853</v>
      </c>
    </row>
    <row r="3251" spans="1:34" x14ac:dyDescent="0.25">
      <c r="A3251">
        <v>128</v>
      </c>
      <c r="C3251" s="185"/>
      <c r="E3251" t="s">
        <v>386</v>
      </c>
      <c r="F3251" t="s">
        <v>14854</v>
      </c>
      <c r="G3251" t="s">
        <v>1197</v>
      </c>
      <c r="H3251" t="s">
        <v>11829</v>
      </c>
      <c r="I3251">
        <v>13174</v>
      </c>
      <c r="J3251" t="s">
        <v>14854</v>
      </c>
      <c r="K3251" t="s">
        <v>14854</v>
      </c>
      <c r="L3251" t="s">
        <v>386</v>
      </c>
      <c r="M3251" t="s">
        <v>1193</v>
      </c>
      <c r="N3251">
        <v>13174</v>
      </c>
      <c r="O3251">
        <v>0</v>
      </c>
      <c r="Q3251" t="s">
        <v>14526</v>
      </c>
      <c r="R3251" t="s">
        <v>1208</v>
      </c>
      <c r="T3251">
        <v>304</v>
      </c>
      <c r="V3251" t="s">
        <v>2067</v>
      </c>
      <c r="W3251" t="s">
        <v>2067</v>
      </c>
      <c r="X3251">
        <v>304</v>
      </c>
      <c r="Z3251" t="s">
        <v>991</v>
      </c>
      <c r="AA3251" t="s">
        <v>387</v>
      </c>
      <c r="AB3251">
        <v>0</v>
      </c>
      <c r="AC3251">
        <v>311</v>
      </c>
      <c r="AD3251" t="s">
        <v>11831</v>
      </c>
      <c r="AE3251">
        <v>1</v>
      </c>
      <c r="AF3251" t="s">
        <v>1922</v>
      </c>
      <c r="AG3251" t="s">
        <v>10549</v>
      </c>
    </row>
    <row r="3252" spans="1:34" x14ac:dyDescent="0.25">
      <c r="A3252">
        <v>1</v>
      </c>
      <c r="C3252" s="185"/>
      <c r="E3252" t="s">
        <v>386</v>
      </c>
      <c r="F3252" t="s">
        <v>14855</v>
      </c>
      <c r="G3252" t="s">
        <v>1197</v>
      </c>
      <c r="H3252" t="s">
        <v>14856</v>
      </c>
      <c r="I3252">
        <v>13194</v>
      </c>
      <c r="J3252" t="s">
        <v>14855</v>
      </c>
      <c r="K3252" t="s">
        <v>14857</v>
      </c>
      <c r="L3252" t="s">
        <v>386</v>
      </c>
      <c r="M3252" t="s">
        <v>1193</v>
      </c>
      <c r="N3252">
        <v>13194</v>
      </c>
      <c r="O3252">
        <v>0</v>
      </c>
      <c r="Q3252" t="s">
        <v>14526</v>
      </c>
      <c r="R3252" t="s">
        <v>398</v>
      </c>
      <c r="T3252">
        <v>259</v>
      </c>
      <c r="V3252" t="s">
        <v>1215</v>
      </c>
      <c r="W3252" t="s">
        <v>2003</v>
      </c>
      <c r="X3252">
        <v>571</v>
      </c>
      <c r="Z3252" t="s">
        <v>865</v>
      </c>
      <c r="AA3252" t="s">
        <v>387</v>
      </c>
      <c r="AB3252">
        <v>0</v>
      </c>
      <c r="AC3252">
        <v>4938</v>
      </c>
      <c r="AD3252" t="s">
        <v>5064</v>
      </c>
      <c r="AE3252">
        <v>2276</v>
      </c>
      <c r="AF3252" t="s">
        <v>14858</v>
      </c>
      <c r="AG3252" t="s">
        <v>14859</v>
      </c>
      <c r="AH3252" t="s">
        <v>14860</v>
      </c>
    </row>
    <row r="3253" spans="1:34" x14ac:dyDescent="0.25">
      <c r="A3253">
        <v>2046</v>
      </c>
      <c r="C3253" s="185"/>
      <c r="E3253" t="s">
        <v>386</v>
      </c>
      <c r="F3253" t="s">
        <v>14861</v>
      </c>
      <c r="G3253" t="s">
        <v>1197</v>
      </c>
      <c r="H3253" t="s">
        <v>14862</v>
      </c>
      <c r="I3253">
        <v>13203</v>
      </c>
      <c r="J3253" t="s">
        <v>14861</v>
      </c>
      <c r="K3253" t="s">
        <v>14861</v>
      </c>
      <c r="L3253" t="s">
        <v>386</v>
      </c>
      <c r="M3253" t="s">
        <v>1193</v>
      </c>
      <c r="N3253">
        <v>13203</v>
      </c>
      <c r="O3253">
        <v>0</v>
      </c>
      <c r="Q3253" t="s">
        <v>14526</v>
      </c>
      <c r="R3253" t="s">
        <v>1208</v>
      </c>
      <c r="T3253">
        <v>304</v>
      </c>
      <c r="V3253" t="s">
        <v>2067</v>
      </c>
      <c r="W3253" t="s">
        <v>2067</v>
      </c>
      <c r="X3253">
        <v>304</v>
      </c>
      <c r="Z3253" t="s">
        <v>14863</v>
      </c>
      <c r="AA3253" t="s">
        <v>387</v>
      </c>
      <c r="AB3253">
        <v>0</v>
      </c>
      <c r="AC3253">
        <v>4941</v>
      </c>
      <c r="AD3253" t="s">
        <v>14864</v>
      </c>
      <c r="AE3253">
        <v>2279</v>
      </c>
      <c r="AF3253" t="s">
        <v>14865</v>
      </c>
      <c r="AG3253" t="s">
        <v>8539</v>
      </c>
      <c r="AH3253" t="s">
        <v>14866</v>
      </c>
    </row>
    <row r="3254" spans="1:34" x14ac:dyDescent="0.25">
      <c r="A3254">
        <v>24</v>
      </c>
      <c r="C3254" s="185"/>
      <c r="E3254" t="s">
        <v>386</v>
      </c>
      <c r="F3254" t="s">
        <v>14867</v>
      </c>
      <c r="G3254" t="s">
        <v>1197</v>
      </c>
      <c r="H3254" t="s">
        <v>14868</v>
      </c>
      <c r="I3254">
        <v>13204</v>
      </c>
      <c r="J3254" t="s">
        <v>14867</v>
      </c>
      <c r="K3254" t="s">
        <v>14869</v>
      </c>
      <c r="L3254" t="s">
        <v>386</v>
      </c>
      <c r="M3254" t="s">
        <v>1193</v>
      </c>
      <c r="N3254">
        <v>13204</v>
      </c>
      <c r="O3254">
        <v>0</v>
      </c>
      <c r="Q3254" t="s">
        <v>14526</v>
      </c>
      <c r="R3254" t="s">
        <v>1208</v>
      </c>
      <c r="T3254">
        <v>304</v>
      </c>
      <c r="V3254" t="s">
        <v>2067</v>
      </c>
      <c r="W3254" t="s">
        <v>2067</v>
      </c>
      <c r="X3254">
        <v>304</v>
      </c>
      <c r="Z3254" t="s">
        <v>955</v>
      </c>
      <c r="AA3254" t="s">
        <v>387</v>
      </c>
      <c r="AB3254">
        <v>0</v>
      </c>
      <c r="AC3254">
        <v>4942</v>
      </c>
      <c r="AD3254" t="s">
        <v>14870</v>
      </c>
      <c r="AE3254">
        <v>1022</v>
      </c>
      <c r="AF3254" t="s">
        <v>14871</v>
      </c>
      <c r="AG3254" t="s">
        <v>14872</v>
      </c>
      <c r="AH3254" t="s">
        <v>14873</v>
      </c>
    </row>
    <row r="3255" spans="1:34" x14ac:dyDescent="0.25">
      <c r="A3255">
        <v>177</v>
      </c>
      <c r="C3255" s="185"/>
      <c r="E3255" t="s">
        <v>386</v>
      </c>
      <c r="F3255" t="s">
        <v>14874</v>
      </c>
      <c r="G3255" t="s">
        <v>1197</v>
      </c>
      <c r="H3255" t="s">
        <v>14875</v>
      </c>
      <c r="I3255">
        <v>13205</v>
      </c>
      <c r="J3255" t="s">
        <v>14874</v>
      </c>
      <c r="K3255" t="s">
        <v>14876</v>
      </c>
      <c r="L3255" t="s">
        <v>386</v>
      </c>
      <c r="M3255" t="s">
        <v>1193</v>
      </c>
      <c r="N3255">
        <v>13205</v>
      </c>
      <c r="O3255">
        <v>0</v>
      </c>
      <c r="Q3255" t="s">
        <v>14526</v>
      </c>
      <c r="R3255" t="s">
        <v>1208</v>
      </c>
      <c r="T3255">
        <v>571</v>
      </c>
      <c r="V3255" t="s">
        <v>2003</v>
      </c>
      <c r="W3255" t="s">
        <v>2067</v>
      </c>
      <c r="X3255">
        <v>304</v>
      </c>
      <c r="Z3255" t="s">
        <v>1054</v>
      </c>
      <c r="AA3255" t="s">
        <v>387</v>
      </c>
      <c r="AB3255">
        <v>0</v>
      </c>
      <c r="AC3255">
        <v>2250</v>
      </c>
      <c r="AD3255" t="s">
        <v>13706</v>
      </c>
      <c r="AE3255">
        <v>1079</v>
      </c>
      <c r="AF3255" t="s">
        <v>14877</v>
      </c>
      <c r="AG3255" t="s">
        <v>14878</v>
      </c>
      <c r="AH3255" t="s">
        <v>14879</v>
      </c>
    </row>
    <row r="3256" spans="1:34" x14ac:dyDescent="0.25">
      <c r="A3256">
        <v>566</v>
      </c>
      <c r="C3256" s="185"/>
      <c r="E3256" t="s">
        <v>386</v>
      </c>
      <c r="F3256" t="s">
        <v>14880</v>
      </c>
      <c r="G3256" t="s">
        <v>1197</v>
      </c>
      <c r="H3256" t="s">
        <v>5911</v>
      </c>
      <c r="I3256">
        <v>13212</v>
      </c>
      <c r="J3256" t="s">
        <v>14880</v>
      </c>
      <c r="K3256" t="s">
        <v>14880</v>
      </c>
      <c r="L3256" t="s">
        <v>386</v>
      </c>
      <c r="M3256" t="s">
        <v>1193</v>
      </c>
      <c r="N3256">
        <v>13212</v>
      </c>
      <c r="O3256">
        <v>0</v>
      </c>
      <c r="Q3256" t="s">
        <v>14526</v>
      </c>
      <c r="R3256" t="s">
        <v>1208</v>
      </c>
      <c r="T3256">
        <v>571</v>
      </c>
      <c r="V3256" t="s">
        <v>2003</v>
      </c>
      <c r="W3256" t="s">
        <v>2067</v>
      </c>
      <c r="X3256">
        <v>304</v>
      </c>
      <c r="Z3256" t="s">
        <v>5914</v>
      </c>
      <c r="AA3256" t="s">
        <v>387</v>
      </c>
      <c r="AB3256">
        <v>0</v>
      </c>
      <c r="AC3256">
        <v>1690</v>
      </c>
      <c r="AD3256" t="s">
        <v>14881</v>
      </c>
      <c r="AE3256">
        <v>1</v>
      </c>
      <c r="AF3256" t="s">
        <v>1922</v>
      </c>
      <c r="AG3256" t="s">
        <v>14882</v>
      </c>
      <c r="AH3256" t="s">
        <v>14883</v>
      </c>
    </row>
    <row r="3257" spans="1:34" x14ac:dyDescent="0.25">
      <c r="A3257">
        <v>669</v>
      </c>
      <c r="C3257" s="185"/>
      <c r="E3257" t="s">
        <v>386</v>
      </c>
      <c r="F3257" t="s">
        <v>14884</v>
      </c>
      <c r="G3257" t="s">
        <v>1197</v>
      </c>
      <c r="H3257" t="s">
        <v>14885</v>
      </c>
      <c r="I3257">
        <v>13229</v>
      </c>
      <c r="J3257" t="s">
        <v>14884</v>
      </c>
      <c r="K3257" t="s">
        <v>14886</v>
      </c>
      <c r="L3257" t="s">
        <v>386</v>
      </c>
      <c r="M3257" t="s">
        <v>1193</v>
      </c>
      <c r="N3257">
        <v>13229</v>
      </c>
      <c r="O3257">
        <v>0</v>
      </c>
      <c r="Q3257" t="s">
        <v>14526</v>
      </c>
      <c r="R3257" t="s">
        <v>398</v>
      </c>
      <c r="T3257">
        <v>372</v>
      </c>
      <c r="V3257" t="s">
        <v>2073</v>
      </c>
      <c r="W3257" t="s">
        <v>2073</v>
      </c>
      <c r="X3257">
        <v>372</v>
      </c>
      <c r="Z3257" t="s">
        <v>3831</v>
      </c>
      <c r="AA3257" t="s">
        <v>387</v>
      </c>
      <c r="AB3257">
        <v>0</v>
      </c>
      <c r="AC3257">
        <v>4793</v>
      </c>
      <c r="AD3257" t="s">
        <v>2880</v>
      </c>
      <c r="AE3257">
        <v>1</v>
      </c>
      <c r="AF3257" t="s">
        <v>1922</v>
      </c>
      <c r="AG3257" t="s">
        <v>6439</v>
      </c>
      <c r="AH3257" t="s">
        <v>14887</v>
      </c>
    </row>
    <row r="3258" spans="1:34" x14ac:dyDescent="0.25">
      <c r="A3258">
        <v>33</v>
      </c>
      <c r="C3258" s="185"/>
      <c r="E3258" t="s">
        <v>386</v>
      </c>
      <c r="F3258" t="s">
        <v>14888</v>
      </c>
      <c r="G3258" t="s">
        <v>1197</v>
      </c>
      <c r="H3258" t="s">
        <v>14889</v>
      </c>
      <c r="I3258">
        <v>13258</v>
      </c>
      <c r="J3258" t="s">
        <v>14888</v>
      </c>
      <c r="K3258" t="s">
        <v>14890</v>
      </c>
      <c r="L3258" t="s">
        <v>386</v>
      </c>
      <c r="M3258" t="s">
        <v>1193</v>
      </c>
      <c r="N3258">
        <v>13258</v>
      </c>
      <c r="O3258">
        <v>0</v>
      </c>
      <c r="Q3258" t="s">
        <v>14526</v>
      </c>
      <c r="R3258" t="s">
        <v>1208</v>
      </c>
      <c r="T3258">
        <v>340</v>
      </c>
      <c r="V3258" t="s">
        <v>1200</v>
      </c>
      <c r="W3258" t="s">
        <v>2067</v>
      </c>
      <c r="X3258">
        <v>304</v>
      </c>
      <c r="Z3258" t="s">
        <v>1115</v>
      </c>
      <c r="AA3258" t="s">
        <v>387</v>
      </c>
      <c r="AB3258">
        <v>0</v>
      </c>
      <c r="AC3258">
        <v>1555</v>
      </c>
      <c r="AD3258" t="s">
        <v>14891</v>
      </c>
      <c r="AE3258">
        <v>1400</v>
      </c>
      <c r="AF3258" t="s">
        <v>2005</v>
      </c>
      <c r="AG3258" t="s">
        <v>3651</v>
      </c>
      <c r="AH3258" t="s">
        <v>14892</v>
      </c>
    </row>
    <row r="3259" spans="1:34" x14ac:dyDescent="0.25">
      <c r="A3259">
        <v>50</v>
      </c>
      <c r="C3259" s="185"/>
      <c r="E3259" t="s">
        <v>386</v>
      </c>
      <c r="F3259" t="s">
        <v>14893</v>
      </c>
      <c r="G3259" t="s">
        <v>1197</v>
      </c>
      <c r="H3259" t="s">
        <v>14894</v>
      </c>
      <c r="I3259">
        <v>13270</v>
      </c>
      <c r="J3259" t="s">
        <v>14893</v>
      </c>
      <c r="K3259" t="s">
        <v>14895</v>
      </c>
      <c r="L3259" t="s">
        <v>386</v>
      </c>
      <c r="M3259" t="s">
        <v>1193</v>
      </c>
      <c r="N3259">
        <v>13270</v>
      </c>
      <c r="O3259">
        <v>0</v>
      </c>
      <c r="Q3259" t="s">
        <v>14526</v>
      </c>
      <c r="R3259" t="s">
        <v>1208</v>
      </c>
      <c r="T3259">
        <v>571</v>
      </c>
      <c r="V3259" t="s">
        <v>2003</v>
      </c>
      <c r="W3259" t="s">
        <v>2073</v>
      </c>
      <c r="X3259">
        <v>372</v>
      </c>
      <c r="Z3259" t="s">
        <v>878</v>
      </c>
      <c r="AA3259" t="s">
        <v>387</v>
      </c>
      <c r="AB3259">
        <v>0</v>
      </c>
      <c r="AC3259">
        <v>4973</v>
      </c>
      <c r="AD3259" t="s">
        <v>14896</v>
      </c>
      <c r="AE3259">
        <v>1</v>
      </c>
      <c r="AF3259" t="s">
        <v>1922</v>
      </c>
      <c r="AG3259" t="s">
        <v>4832</v>
      </c>
      <c r="AH3259" t="s">
        <v>14897</v>
      </c>
    </row>
    <row r="3260" spans="1:34" x14ac:dyDescent="0.25">
      <c r="A3260">
        <v>39</v>
      </c>
      <c r="C3260" s="185"/>
      <c r="E3260" t="s">
        <v>386</v>
      </c>
      <c r="F3260" t="s">
        <v>14898</v>
      </c>
      <c r="G3260" t="s">
        <v>1197</v>
      </c>
      <c r="H3260" t="s">
        <v>14899</v>
      </c>
      <c r="I3260">
        <v>13271</v>
      </c>
      <c r="J3260" t="s">
        <v>14898</v>
      </c>
      <c r="K3260" t="s">
        <v>14900</v>
      </c>
      <c r="L3260" t="s">
        <v>386</v>
      </c>
      <c r="M3260" t="s">
        <v>1193</v>
      </c>
      <c r="N3260">
        <v>13271</v>
      </c>
      <c r="O3260">
        <v>0</v>
      </c>
      <c r="Q3260" t="s">
        <v>14526</v>
      </c>
      <c r="R3260" t="s">
        <v>1208</v>
      </c>
      <c r="T3260">
        <v>372</v>
      </c>
      <c r="V3260" t="s">
        <v>2073</v>
      </c>
      <c r="W3260" t="s">
        <v>2073</v>
      </c>
      <c r="X3260">
        <v>372</v>
      </c>
      <c r="Z3260" t="s">
        <v>2303</v>
      </c>
      <c r="AA3260" t="s">
        <v>387</v>
      </c>
      <c r="AB3260">
        <v>0</v>
      </c>
      <c r="AC3260">
        <v>4974</v>
      </c>
      <c r="AD3260" t="s">
        <v>14901</v>
      </c>
      <c r="AE3260">
        <v>226</v>
      </c>
      <c r="AF3260" t="s">
        <v>14902</v>
      </c>
      <c r="AG3260" t="s">
        <v>11879</v>
      </c>
      <c r="AH3260" t="s">
        <v>14903</v>
      </c>
    </row>
    <row r="3261" spans="1:34" x14ac:dyDescent="0.25">
      <c r="A3261">
        <v>48</v>
      </c>
      <c r="C3261" s="185"/>
      <c r="E3261" t="s">
        <v>386</v>
      </c>
      <c r="F3261" t="s">
        <v>14758</v>
      </c>
      <c r="G3261" t="s">
        <v>1197</v>
      </c>
      <c r="H3261" t="s">
        <v>14904</v>
      </c>
      <c r="I3261">
        <v>13293</v>
      </c>
      <c r="J3261" t="s">
        <v>14758</v>
      </c>
      <c r="K3261" t="s">
        <v>14758</v>
      </c>
      <c r="L3261" t="s">
        <v>386</v>
      </c>
      <c r="M3261" t="s">
        <v>1193</v>
      </c>
      <c r="N3261">
        <v>13293</v>
      </c>
      <c r="O3261">
        <v>0</v>
      </c>
      <c r="Q3261" t="s">
        <v>14526</v>
      </c>
      <c r="R3261" t="s">
        <v>1208</v>
      </c>
      <c r="T3261">
        <v>304</v>
      </c>
      <c r="V3261" t="s">
        <v>2067</v>
      </c>
      <c r="W3261" t="s">
        <v>2067</v>
      </c>
      <c r="X3261">
        <v>304</v>
      </c>
      <c r="Z3261" t="s">
        <v>2797</v>
      </c>
      <c r="AA3261" t="s">
        <v>387</v>
      </c>
      <c r="AB3261">
        <v>0</v>
      </c>
      <c r="AC3261">
        <v>4981</v>
      </c>
      <c r="AD3261" t="s">
        <v>14905</v>
      </c>
      <c r="AE3261">
        <v>90</v>
      </c>
      <c r="AF3261" t="s">
        <v>7610</v>
      </c>
      <c r="AG3261" t="s">
        <v>14906</v>
      </c>
      <c r="AH3261" t="s">
        <v>14762</v>
      </c>
    </row>
    <row r="3262" spans="1:34" x14ac:dyDescent="0.25">
      <c r="A3262">
        <v>52</v>
      </c>
      <c r="C3262" s="185"/>
      <c r="E3262" t="s">
        <v>386</v>
      </c>
      <c r="F3262" t="s">
        <v>14907</v>
      </c>
      <c r="G3262" t="s">
        <v>1197</v>
      </c>
      <c r="H3262" t="s">
        <v>9132</v>
      </c>
      <c r="I3262">
        <v>13321</v>
      </c>
      <c r="J3262" t="s">
        <v>14907</v>
      </c>
      <c r="K3262" t="s">
        <v>14908</v>
      </c>
      <c r="L3262" t="s">
        <v>386</v>
      </c>
      <c r="M3262" t="s">
        <v>1193</v>
      </c>
      <c r="N3262">
        <v>13321</v>
      </c>
      <c r="O3262">
        <v>0</v>
      </c>
      <c r="Q3262" t="s">
        <v>14526</v>
      </c>
      <c r="R3262" t="s">
        <v>1208</v>
      </c>
      <c r="T3262">
        <v>571</v>
      </c>
      <c r="V3262" t="s">
        <v>2003</v>
      </c>
      <c r="W3262" t="s">
        <v>2067</v>
      </c>
      <c r="X3262">
        <v>304</v>
      </c>
      <c r="Z3262" t="s">
        <v>9135</v>
      </c>
      <c r="AA3262" t="s">
        <v>387</v>
      </c>
      <c r="AB3262">
        <v>0</v>
      </c>
      <c r="AC3262">
        <v>210</v>
      </c>
      <c r="AD3262" t="s">
        <v>2615</v>
      </c>
      <c r="AE3262">
        <v>2309</v>
      </c>
      <c r="AF3262" t="s">
        <v>14909</v>
      </c>
      <c r="AG3262" t="s">
        <v>14910</v>
      </c>
      <c r="AH3262" t="s">
        <v>14911</v>
      </c>
    </row>
    <row r="3263" spans="1:34" x14ac:dyDescent="0.25">
      <c r="A3263">
        <v>23</v>
      </c>
      <c r="C3263" s="185"/>
      <c r="E3263" t="s">
        <v>386</v>
      </c>
      <c r="F3263" t="s">
        <v>14912</v>
      </c>
      <c r="G3263" t="s">
        <v>1197</v>
      </c>
      <c r="H3263" t="s">
        <v>14913</v>
      </c>
      <c r="I3263">
        <v>13364</v>
      </c>
      <c r="J3263" t="s">
        <v>14912</v>
      </c>
      <c r="K3263" t="s">
        <v>14912</v>
      </c>
      <c r="L3263" t="s">
        <v>386</v>
      </c>
      <c r="M3263" t="s">
        <v>1193</v>
      </c>
      <c r="N3263">
        <v>13364</v>
      </c>
      <c r="O3263">
        <v>0</v>
      </c>
      <c r="Q3263" t="s">
        <v>14526</v>
      </c>
      <c r="R3263" t="s">
        <v>1208</v>
      </c>
      <c r="T3263">
        <v>571</v>
      </c>
      <c r="V3263" t="s">
        <v>2003</v>
      </c>
      <c r="W3263" t="s">
        <v>2067</v>
      </c>
      <c r="X3263">
        <v>304</v>
      </c>
      <c r="Z3263" t="s">
        <v>12604</v>
      </c>
      <c r="AA3263" t="s">
        <v>387</v>
      </c>
      <c r="AB3263">
        <v>0</v>
      </c>
      <c r="AC3263">
        <v>5009</v>
      </c>
      <c r="AD3263" t="s">
        <v>14914</v>
      </c>
      <c r="AE3263">
        <v>1</v>
      </c>
      <c r="AF3263" t="s">
        <v>1922</v>
      </c>
      <c r="AG3263" t="s">
        <v>14915</v>
      </c>
      <c r="AH3263" t="s">
        <v>14916</v>
      </c>
    </row>
    <row r="3264" spans="1:34" x14ac:dyDescent="0.25">
      <c r="A3264">
        <v>15</v>
      </c>
      <c r="C3264" s="185"/>
      <c r="E3264" t="s">
        <v>386</v>
      </c>
      <c r="F3264" t="s">
        <v>14917</v>
      </c>
      <c r="G3264" t="s">
        <v>1197</v>
      </c>
      <c r="H3264" t="s">
        <v>7893</v>
      </c>
      <c r="I3264">
        <v>13372</v>
      </c>
      <c r="J3264" t="s">
        <v>14917</v>
      </c>
      <c r="K3264" t="s">
        <v>14917</v>
      </c>
      <c r="L3264" t="s">
        <v>386</v>
      </c>
      <c r="M3264" t="s">
        <v>1193</v>
      </c>
      <c r="N3264">
        <v>13372</v>
      </c>
      <c r="O3264">
        <v>0</v>
      </c>
      <c r="Q3264" t="s">
        <v>14526</v>
      </c>
      <c r="R3264" t="s">
        <v>1208</v>
      </c>
      <c r="T3264">
        <v>571</v>
      </c>
      <c r="V3264" t="s">
        <v>2003</v>
      </c>
      <c r="W3264" t="s">
        <v>2067</v>
      </c>
      <c r="X3264">
        <v>304</v>
      </c>
      <c r="Z3264" t="s">
        <v>1020</v>
      </c>
      <c r="AA3264" t="s">
        <v>387</v>
      </c>
      <c r="AB3264">
        <v>0</v>
      </c>
      <c r="AC3264">
        <v>898</v>
      </c>
      <c r="AD3264" t="s">
        <v>4012</v>
      </c>
      <c r="AE3264">
        <v>1</v>
      </c>
      <c r="AF3264" t="s">
        <v>1922</v>
      </c>
      <c r="AG3264" t="s">
        <v>10475</v>
      </c>
      <c r="AH3264" t="s">
        <v>14918</v>
      </c>
    </row>
    <row r="3265" spans="1:34" x14ac:dyDescent="0.25">
      <c r="A3265">
        <v>1305</v>
      </c>
      <c r="C3265" s="185"/>
      <c r="E3265" t="s">
        <v>386</v>
      </c>
      <c r="F3265" t="s">
        <v>14919</v>
      </c>
      <c r="G3265" t="s">
        <v>1197</v>
      </c>
      <c r="H3265" t="s">
        <v>14920</v>
      </c>
      <c r="I3265">
        <v>13373</v>
      </c>
      <c r="J3265" t="s">
        <v>14919</v>
      </c>
      <c r="K3265" t="s">
        <v>14921</v>
      </c>
      <c r="L3265" t="s">
        <v>386</v>
      </c>
      <c r="M3265" t="s">
        <v>1193</v>
      </c>
      <c r="N3265">
        <v>13373</v>
      </c>
      <c r="O3265">
        <v>0</v>
      </c>
      <c r="Q3265" t="s">
        <v>14526</v>
      </c>
      <c r="R3265" t="s">
        <v>1208</v>
      </c>
      <c r="T3265">
        <v>571</v>
      </c>
      <c r="V3265" t="s">
        <v>2003</v>
      </c>
      <c r="W3265" t="s">
        <v>2067</v>
      </c>
      <c r="X3265">
        <v>304</v>
      </c>
      <c r="Z3265" t="s">
        <v>14922</v>
      </c>
      <c r="AA3265" t="s">
        <v>387</v>
      </c>
      <c r="AB3265">
        <v>0</v>
      </c>
      <c r="AC3265">
        <v>5012</v>
      </c>
      <c r="AD3265" t="s">
        <v>14923</v>
      </c>
      <c r="AE3265">
        <v>1146</v>
      </c>
      <c r="AF3265" t="s">
        <v>14924</v>
      </c>
      <c r="AG3265" t="s">
        <v>1244</v>
      </c>
      <c r="AH3265" t="s">
        <v>14925</v>
      </c>
    </row>
    <row r="3266" spans="1:34" x14ac:dyDescent="0.25">
      <c r="A3266">
        <v>1305</v>
      </c>
      <c r="C3266" s="185"/>
      <c r="E3266" t="s">
        <v>386</v>
      </c>
      <c r="F3266" t="s">
        <v>14926</v>
      </c>
      <c r="G3266" t="s">
        <v>1197</v>
      </c>
      <c r="H3266" t="s">
        <v>14927</v>
      </c>
      <c r="I3266">
        <v>13374</v>
      </c>
      <c r="J3266" t="s">
        <v>14926</v>
      </c>
      <c r="K3266" t="s">
        <v>14928</v>
      </c>
      <c r="L3266" t="s">
        <v>386</v>
      </c>
      <c r="M3266" t="s">
        <v>1193</v>
      </c>
      <c r="N3266">
        <v>13374</v>
      </c>
      <c r="O3266">
        <v>0</v>
      </c>
      <c r="Q3266" t="s">
        <v>14526</v>
      </c>
      <c r="R3266" t="s">
        <v>1208</v>
      </c>
      <c r="T3266">
        <v>571</v>
      </c>
      <c r="V3266" t="s">
        <v>2003</v>
      </c>
      <c r="W3266" t="s">
        <v>2067</v>
      </c>
      <c r="X3266">
        <v>304</v>
      </c>
      <c r="Z3266" t="s">
        <v>14922</v>
      </c>
      <c r="AA3266" t="s">
        <v>387</v>
      </c>
      <c r="AB3266">
        <v>0</v>
      </c>
      <c r="AC3266">
        <v>5013</v>
      </c>
      <c r="AD3266" t="s">
        <v>14929</v>
      </c>
      <c r="AE3266">
        <v>1146</v>
      </c>
      <c r="AF3266" t="s">
        <v>14924</v>
      </c>
      <c r="AG3266" t="s">
        <v>3189</v>
      </c>
      <c r="AH3266" t="s">
        <v>14930</v>
      </c>
    </row>
    <row r="3267" spans="1:34" x14ac:dyDescent="0.25">
      <c r="A3267">
        <v>1338</v>
      </c>
      <c r="C3267" s="185"/>
      <c r="E3267" t="s">
        <v>386</v>
      </c>
      <c r="F3267" t="s">
        <v>9550</v>
      </c>
      <c r="G3267" t="s">
        <v>1197</v>
      </c>
      <c r="H3267" t="s">
        <v>7946</v>
      </c>
      <c r="I3267">
        <v>13375</v>
      </c>
      <c r="J3267" t="s">
        <v>9550</v>
      </c>
      <c r="K3267" t="s">
        <v>14931</v>
      </c>
      <c r="L3267" t="s">
        <v>386</v>
      </c>
      <c r="M3267" t="s">
        <v>1193</v>
      </c>
      <c r="N3267">
        <v>13375</v>
      </c>
      <c r="O3267">
        <v>0</v>
      </c>
      <c r="Q3267" t="s">
        <v>14526</v>
      </c>
      <c r="R3267" t="s">
        <v>1208</v>
      </c>
      <c r="T3267">
        <v>571</v>
      </c>
      <c r="V3267" t="s">
        <v>2003</v>
      </c>
      <c r="W3267" t="s">
        <v>2067</v>
      </c>
      <c r="X3267">
        <v>304</v>
      </c>
      <c r="Z3267" t="s">
        <v>1034</v>
      </c>
      <c r="AA3267" t="s">
        <v>387</v>
      </c>
      <c r="AB3267">
        <v>0</v>
      </c>
      <c r="AC3267">
        <v>215</v>
      </c>
      <c r="AD3267" t="s">
        <v>9291</v>
      </c>
      <c r="AE3267">
        <v>1</v>
      </c>
      <c r="AF3267" t="s">
        <v>1922</v>
      </c>
      <c r="AG3267" t="s">
        <v>2012</v>
      </c>
      <c r="AH3267" t="s">
        <v>14932</v>
      </c>
    </row>
    <row r="3268" spans="1:34" x14ac:dyDescent="0.25">
      <c r="A3268">
        <v>1589</v>
      </c>
      <c r="C3268" s="185"/>
      <c r="E3268" t="s">
        <v>386</v>
      </c>
      <c r="F3268" t="s">
        <v>14933</v>
      </c>
      <c r="G3268" t="s">
        <v>1197</v>
      </c>
      <c r="H3268" t="s">
        <v>8931</v>
      </c>
      <c r="I3268">
        <v>13376</v>
      </c>
      <c r="J3268" t="s">
        <v>14933</v>
      </c>
      <c r="K3268" t="s">
        <v>14934</v>
      </c>
      <c r="L3268" t="s">
        <v>386</v>
      </c>
      <c r="M3268" t="s">
        <v>1193</v>
      </c>
      <c r="N3268">
        <v>13376</v>
      </c>
      <c r="O3268">
        <v>0</v>
      </c>
      <c r="Q3268" t="s">
        <v>14526</v>
      </c>
      <c r="R3268" t="s">
        <v>1208</v>
      </c>
      <c r="T3268">
        <v>571</v>
      </c>
      <c r="V3268" t="s">
        <v>2003</v>
      </c>
      <c r="W3268" t="s">
        <v>2067</v>
      </c>
      <c r="X3268">
        <v>304</v>
      </c>
      <c r="Z3268" t="s">
        <v>8934</v>
      </c>
      <c r="AA3268" t="s">
        <v>387</v>
      </c>
      <c r="AB3268">
        <v>0</v>
      </c>
      <c r="AC3268">
        <v>3783</v>
      </c>
      <c r="AD3268" t="s">
        <v>14935</v>
      </c>
      <c r="AE3268">
        <v>2063</v>
      </c>
      <c r="AF3268" t="s">
        <v>5372</v>
      </c>
      <c r="AG3268" t="s">
        <v>14936</v>
      </c>
      <c r="AH3268" t="s">
        <v>14937</v>
      </c>
    </row>
    <row r="3269" spans="1:34" x14ac:dyDescent="0.25">
      <c r="A3269">
        <v>2051</v>
      </c>
      <c r="C3269" s="185"/>
      <c r="E3269" t="s">
        <v>386</v>
      </c>
      <c r="F3269" t="s">
        <v>14938</v>
      </c>
      <c r="G3269" t="s">
        <v>1197</v>
      </c>
      <c r="H3269" t="s">
        <v>14939</v>
      </c>
      <c r="I3269">
        <v>13399</v>
      </c>
      <c r="J3269" t="s">
        <v>14938</v>
      </c>
      <c r="K3269" t="s">
        <v>14938</v>
      </c>
      <c r="L3269" t="s">
        <v>386</v>
      </c>
      <c r="M3269" t="s">
        <v>1193</v>
      </c>
      <c r="N3269">
        <v>13399</v>
      </c>
      <c r="O3269">
        <v>0</v>
      </c>
      <c r="Q3269" t="s">
        <v>14526</v>
      </c>
      <c r="R3269" t="s">
        <v>1208</v>
      </c>
      <c r="T3269">
        <v>571</v>
      </c>
      <c r="V3269" t="s">
        <v>2003</v>
      </c>
      <c r="W3269" t="s">
        <v>2067</v>
      </c>
      <c r="X3269">
        <v>304</v>
      </c>
      <c r="Z3269" t="s">
        <v>14940</v>
      </c>
      <c r="AA3269" t="s">
        <v>387</v>
      </c>
      <c r="AB3269">
        <v>0</v>
      </c>
      <c r="AC3269">
        <v>5020</v>
      </c>
      <c r="AD3269" t="s">
        <v>14941</v>
      </c>
      <c r="AE3269">
        <v>18</v>
      </c>
      <c r="AF3269" t="s">
        <v>1259</v>
      </c>
      <c r="AG3269" t="s">
        <v>1244</v>
      </c>
      <c r="AH3269" t="s">
        <v>14942</v>
      </c>
    </row>
    <row r="3270" spans="1:34" x14ac:dyDescent="0.25">
      <c r="A3270">
        <v>2052</v>
      </c>
      <c r="C3270" s="185"/>
      <c r="E3270" t="s">
        <v>386</v>
      </c>
      <c r="F3270" t="s">
        <v>14943</v>
      </c>
      <c r="G3270" t="s">
        <v>1197</v>
      </c>
      <c r="H3270" t="s">
        <v>14944</v>
      </c>
      <c r="I3270">
        <v>13400</v>
      </c>
      <c r="J3270" t="s">
        <v>14943</v>
      </c>
      <c r="K3270" t="s">
        <v>14945</v>
      </c>
      <c r="L3270" t="s">
        <v>386</v>
      </c>
      <c r="M3270" t="s">
        <v>1193</v>
      </c>
      <c r="N3270">
        <v>13400</v>
      </c>
      <c r="O3270">
        <v>0</v>
      </c>
      <c r="Q3270" t="s">
        <v>14526</v>
      </c>
      <c r="R3270" t="s">
        <v>1208</v>
      </c>
      <c r="T3270">
        <v>571</v>
      </c>
      <c r="V3270" t="s">
        <v>2003</v>
      </c>
      <c r="W3270" t="s">
        <v>2067</v>
      </c>
      <c r="X3270">
        <v>304</v>
      </c>
      <c r="Z3270" t="s">
        <v>14946</v>
      </c>
      <c r="AA3270" t="s">
        <v>387</v>
      </c>
      <c r="AB3270">
        <v>0</v>
      </c>
      <c r="AC3270">
        <v>5021</v>
      </c>
      <c r="AD3270" t="s">
        <v>14947</v>
      </c>
      <c r="AE3270">
        <v>1</v>
      </c>
      <c r="AF3270" t="s">
        <v>1922</v>
      </c>
      <c r="AG3270" t="s">
        <v>14948</v>
      </c>
      <c r="AH3270" t="s">
        <v>14949</v>
      </c>
    </row>
    <row r="3271" spans="1:34" x14ac:dyDescent="0.25">
      <c r="A3271">
        <v>1609</v>
      </c>
      <c r="C3271" s="185"/>
      <c r="E3271" t="s">
        <v>386</v>
      </c>
      <c r="F3271" t="s">
        <v>14950</v>
      </c>
      <c r="G3271" t="s">
        <v>1197</v>
      </c>
      <c r="H3271" t="s">
        <v>12864</v>
      </c>
      <c r="I3271">
        <v>13496</v>
      </c>
      <c r="J3271" t="s">
        <v>14950</v>
      </c>
      <c r="K3271" t="s">
        <v>14951</v>
      </c>
      <c r="L3271" t="s">
        <v>386</v>
      </c>
      <c r="M3271" t="s">
        <v>1193</v>
      </c>
      <c r="N3271">
        <v>13496</v>
      </c>
      <c r="O3271">
        <v>0</v>
      </c>
      <c r="Q3271" t="s">
        <v>14526</v>
      </c>
      <c r="R3271" t="s">
        <v>1208</v>
      </c>
      <c r="T3271">
        <v>571</v>
      </c>
      <c r="V3271" t="s">
        <v>2003</v>
      </c>
      <c r="W3271" t="s">
        <v>2067</v>
      </c>
      <c r="X3271">
        <v>304</v>
      </c>
      <c r="Z3271" t="s">
        <v>963</v>
      </c>
      <c r="AA3271" t="s">
        <v>387</v>
      </c>
      <c r="AB3271">
        <v>0</v>
      </c>
      <c r="AC3271">
        <v>143</v>
      </c>
      <c r="AD3271" t="s">
        <v>14952</v>
      </c>
      <c r="AE3271">
        <v>2345</v>
      </c>
      <c r="AF3271" t="s">
        <v>14953</v>
      </c>
      <c r="AG3271" t="s">
        <v>14954</v>
      </c>
      <c r="AH3271" t="s">
        <v>14955</v>
      </c>
    </row>
    <row r="3272" spans="1:34" x14ac:dyDescent="0.25">
      <c r="A3272">
        <v>2057</v>
      </c>
      <c r="C3272" s="185"/>
      <c r="E3272" t="s">
        <v>386</v>
      </c>
      <c r="F3272" t="s">
        <v>14956</v>
      </c>
      <c r="G3272" t="s">
        <v>1197</v>
      </c>
      <c r="H3272" t="s">
        <v>14957</v>
      </c>
      <c r="I3272">
        <v>13497</v>
      </c>
      <c r="J3272" t="s">
        <v>14956</v>
      </c>
      <c r="K3272" t="s">
        <v>14958</v>
      </c>
      <c r="L3272" t="s">
        <v>386</v>
      </c>
      <c r="M3272" t="s">
        <v>1193</v>
      </c>
      <c r="N3272">
        <v>13497</v>
      </c>
      <c r="O3272">
        <v>0</v>
      </c>
      <c r="Q3272" t="s">
        <v>14526</v>
      </c>
      <c r="R3272" t="s">
        <v>1208</v>
      </c>
      <c r="T3272">
        <v>571</v>
      </c>
      <c r="V3272" t="s">
        <v>2003</v>
      </c>
      <c r="W3272" t="s">
        <v>2067</v>
      </c>
      <c r="X3272">
        <v>304</v>
      </c>
      <c r="Z3272" t="s">
        <v>14959</v>
      </c>
      <c r="AA3272" t="s">
        <v>387</v>
      </c>
      <c r="AB3272">
        <v>0</v>
      </c>
      <c r="AC3272">
        <v>1360</v>
      </c>
      <c r="AD3272" t="s">
        <v>5632</v>
      </c>
      <c r="AE3272">
        <v>2346</v>
      </c>
      <c r="AF3272" t="s">
        <v>14960</v>
      </c>
      <c r="AG3272" t="s">
        <v>2044</v>
      </c>
      <c r="AH3272" t="s">
        <v>14961</v>
      </c>
    </row>
    <row r="3273" spans="1:34" x14ac:dyDescent="0.25">
      <c r="A3273">
        <v>1553</v>
      </c>
      <c r="C3273" s="185"/>
      <c r="E3273" t="s">
        <v>386</v>
      </c>
      <c r="F3273" t="s">
        <v>14962</v>
      </c>
      <c r="G3273" t="s">
        <v>1197</v>
      </c>
      <c r="H3273" t="s">
        <v>1239</v>
      </c>
      <c r="I3273">
        <v>13498</v>
      </c>
      <c r="J3273" t="s">
        <v>14962</v>
      </c>
      <c r="K3273" t="s">
        <v>14962</v>
      </c>
      <c r="L3273" t="s">
        <v>386</v>
      </c>
      <c r="M3273" t="s">
        <v>1193</v>
      </c>
      <c r="N3273">
        <v>13498</v>
      </c>
      <c r="O3273">
        <v>0</v>
      </c>
      <c r="Q3273" t="s">
        <v>14526</v>
      </c>
      <c r="R3273" t="s">
        <v>1208</v>
      </c>
      <c r="T3273">
        <v>571</v>
      </c>
      <c r="V3273" t="s">
        <v>2003</v>
      </c>
      <c r="W3273" t="s">
        <v>2073</v>
      </c>
      <c r="X3273">
        <v>372</v>
      </c>
      <c r="Z3273" t="s">
        <v>968</v>
      </c>
      <c r="AA3273" t="s">
        <v>387</v>
      </c>
      <c r="AB3273">
        <v>0</v>
      </c>
      <c r="AC3273">
        <v>5069</v>
      </c>
      <c r="AD3273" t="s">
        <v>14963</v>
      </c>
      <c r="AE3273">
        <v>311</v>
      </c>
      <c r="AF3273" t="s">
        <v>4126</v>
      </c>
      <c r="AG3273" t="s">
        <v>4039</v>
      </c>
      <c r="AH3273" t="s">
        <v>14964</v>
      </c>
    </row>
    <row r="3274" spans="1:34" x14ac:dyDescent="0.25">
      <c r="A3274">
        <v>12</v>
      </c>
      <c r="C3274" s="185"/>
      <c r="E3274" t="s">
        <v>386</v>
      </c>
      <c r="F3274" t="s">
        <v>14965</v>
      </c>
      <c r="G3274" t="s">
        <v>1197</v>
      </c>
      <c r="H3274" t="s">
        <v>14966</v>
      </c>
      <c r="I3274">
        <v>13499</v>
      </c>
      <c r="J3274" t="s">
        <v>14965</v>
      </c>
      <c r="K3274" t="s">
        <v>14967</v>
      </c>
      <c r="L3274" t="s">
        <v>386</v>
      </c>
      <c r="M3274" t="s">
        <v>1193</v>
      </c>
      <c r="N3274">
        <v>13499</v>
      </c>
      <c r="O3274">
        <v>0</v>
      </c>
      <c r="Q3274" t="s">
        <v>14526</v>
      </c>
      <c r="R3274" t="s">
        <v>1208</v>
      </c>
      <c r="T3274">
        <v>571</v>
      </c>
      <c r="V3274" t="s">
        <v>2003</v>
      </c>
      <c r="W3274" t="s">
        <v>2067</v>
      </c>
      <c r="X3274">
        <v>304</v>
      </c>
      <c r="Z3274" t="s">
        <v>7164</v>
      </c>
      <c r="AA3274" t="s">
        <v>387</v>
      </c>
      <c r="AB3274">
        <v>0</v>
      </c>
      <c r="AC3274">
        <v>5070</v>
      </c>
      <c r="AD3274" t="s">
        <v>14968</v>
      </c>
      <c r="AE3274">
        <v>18</v>
      </c>
      <c r="AF3274" t="s">
        <v>1259</v>
      </c>
      <c r="AG3274" t="s">
        <v>1244</v>
      </c>
      <c r="AH3274" t="s">
        <v>14969</v>
      </c>
    </row>
    <row r="3275" spans="1:34" x14ac:dyDescent="0.25">
      <c r="A3275">
        <v>1634</v>
      </c>
      <c r="C3275" s="185"/>
      <c r="E3275" t="s">
        <v>386</v>
      </c>
      <c r="F3275" t="s">
        <v>14970</v>
      </c>
      <c r="H3275" t="s">
        <v>14971</v>
      </c>
      <c r="I3275">
        <v>13500</v>
      </c>
      <c r="J3275" t="s">
        <v>14970</v>
      </c>
      <c r="K3275" t="s">
        <v>14972</v>
      </c>
      <c r="L3275" t="s">
        <v>386</v>
      </c>
      <c r="M3275" t="s">
        <v>1193</v>
      </c>
      <c r="N3275">
        <v>13500</v>
      </c>
      <c r="O3275">
        <v>0</v>
      </c>
      <c r="Q3275" t="s">
        <v>14526</v>
      </c>
      <c r="R3275" t="s">
        <v>1208</v>
      </c>
      <c r="T3275">
        <v>571</v>
      </c>
      <c r="V3275" t="s">
        <v>2003</v>
      </c>
      <c r="W3275" t="s">
        <v>1199</v>
      </c>
      <c r="X3275">
        <v>200</v>
      </c>
      <c r="Z3275" t="s">
        <v>14839</v>
      </c>
      <c r="AA3275" t="s">
        <v>387</v>
      </c>
      <c r="AB3275">
        <v>0</v>
      </c>
      <c r="AC3275">
        <v>3009</v>
      </c>
      <c r="AD3275" t="s">
        <v>14840</v>
      </c>
      <c r="AE3275">
        <v>1428</v>
      </c>
      <c r="AF3275" t="s">
        <v>14973</v>
      </c>
      <c r="AG3275" t="s">
        <v>14974</v>
      </c>
      <c r="AH3275" t="s">
        <v>14975</v>
      </c>
    </row>
    <row r="3276" spans="1:34" x14ac:dyDescent="0.25">
      <c r="A3276">
        <v>39</v>
      </c>
      <c r="C3276" s="185"/>
      <c r="E3276" t="s">
        <v>386</v>
      </c>
      <c r="F3276" t="s">
        <v>14976</v>
      </c>
      <c r="G3276" t="s">
        <v>1197</v>
      </c>
      <c r="H3276" t="s">
        <v>14977</v>
      </c>
      <c r="I3276">
        <v>13536</v>
      </c>
      <c r="J3276" t="s">
        <v>14976</v>
      </c>
      <c r="K3276" t="s">
        <v>14976</v>
      </c>
      <c r="L3276" t="s">
        <v>386</v>
      </c>
      <c r="M3276" t="s">
        <v>1193</v>
      </c>
      <c r="N3276">
        <v>13536</v>
      </c>
      <c r="O3276">
        <v>0</v>
      </c>
      <c r="Q3276" t="s">
        <v>14526</v>
      </c>
      <c r="R3276" t="s">
        <v>1208</v>
      </c>
      <c r="T3276">
        <v>304</v>
      </c>
      <c r="V3276" t="s">
        <v>2067</v>
      </c>
      <c r="W3276" t="s">
        <v>2067</v>
      </c>
      <c r="X3276">
        <v>304</v>
      </c>
      <c r="Z3276" t="s">
        <v>2303</v>
      </c>
      <c r="AA3276" t="s">
        <v>387</v>
      </c>
      <c r="AB3276">
        <v>0</v>
      </c>
      <c r="AC3276">
        <v>5092</v>
      </c>
      <c r="AD3276" t="s">
        <v>14978</v>
      </c>
      <c r="AE3276">
        <v>146</v>
      </c>
      <c r="AF3276" t="s">
        <v>14205</v>
      </c>
      <c r="AG3276" t="s">
        <v>7130</v>
      </c>
      <c r="AH3276" t="s">
        <v>14979</v>
      </c>
    </row>
    <row r="3277" spans="1:34" x14ac:dyDescent="0.25">
      <c r="A3277">
        <v>39</v>
      </c>
      <c r="C3277" s="185"/>
      <c r="E3277" t="s">
        <v>386</v>
      </c>
      <c r="F3277" t="s">
        <v>14758</v>
      </c>
      <c r="G3277" t="s">
        <v>1197</v>
      </c>
      <c r="H3277" t="s">
        <v>14980</v>
      </c>
      <c r="I3277">
        <v>13538</v>
      </c>
      <c r="J3277" t="s">
        <v>14758</v>
      </c>
      <c r="K3277" t="s">
        <v>14758</v>
      </c>
      <c r="L3277" t="s">
        <v>386</v>
      </c>
      <c r="M3277" t="s">
        <v>1193</v>
      </c>
      <c r="N3277">
        <v>13538</v>
      </c>
      <c r="O3277">
        <v>0</v>
      </c>
      <c r="Q3277" t="s">
        <v>14526</v>
      </c>
      <c r="R3277" t="s">
        <v>1208</v>
      </c>
      <c r="T3277">
        <v>304</v>
      </c>
      <c r="V3277" t="s">
        <v>2067</v>
      </c>
      <c r="W3277" t="s">
        <v>2067</v>
      </c>
      <c r="X3277">
        <v>304</v>
      </c>
      <c r="Z3277" t="s">
        <v>2303</v>
      </c>
      <c r="AA3277" t="s">
        <v>387</v>
      </c>
      <c r="AB3277">
        <v>0</v>
      </c>
      <c r="AC3277">
        <v>5094</v>
      </c>
      <c r="AD3277" t="s">
        <v>14981</v>
      </c>
      <c r="AE3277">
        <v>413</v>
      </c>
      <c r="AF3277" t="s">
        <v>14982</v>
      </c>
      <c r="AG3277" t="s">
        <v>4044</v>
      </c>
      <c r="AH3277" t="s">
        <v>14762</v>
      </c>
    </row>
    <row r="3278" spans="1:34" x14ac:dyDescent="0.25">
      <c r="A3278">
        <v>1</v>
      </c>
      <c r="C3278" s="185"/>
      <c r="E3278" t="s">
        <v>386</v>
      </c>
      <c r="F3278" t="s">
        <v>14983</v>
      </c>
      <c r="G3278" t="s">
        <v>1192</v>
      </c>
      <c r="H3278" t="s">
        <v>14984</v>
      </c>
      <c r="I3278">
        <v>13574</v>
      </c>
      <c r="J3278" t="s">
        <v>14983</v>
      </c>
      <c r="K3278" t="s">
        <v>14985</v>
      </c>
      <c r="L3278" t="s">
        <v>386</v>
      </c>
      <c r="M3278" t="s">
        <v>1193</v>
      </c>
      <c r="N3278">
        <v>13574</v>
      </c>
      <c r="O3278">
        <v>0</v>
      </c>
      <c r="Q3278" t="s">
        <v>14526</v>
      </c>
      <c r="R3278" t="s">
        <v>1208</v>
      </c>
      <c r="T3278">
        <v>372</v>
      </c>
      <c r="V3278" t="s">
        <v>2073</v>
      </c>
      <c r="W3278" t="s">
        <v>2073</v>
      </c>
      <c r="X3278">
        <v>372</v>
      </c>
      <c r="Z3278" t="s">
        <v>865</v>
      </c>
      <c r="AA3278" t="s">
        <v>387</v>
      </c>
      <c r="AB3278">
        <v>0</v>
      </c>
      <c r="AC3278">
        <v>1609</v>
      </c>
      <c r="AD3278" t="s">
        <v>2035</v>
      </c>
      <c r="AE3278">
        <v>87</v>
      </c>
      <c r="AF3278" t="s">
        <v>7063</v>
      </c>
      <c r="AG3278" t="s">
        <v>14986</v>
      </c>
      <c r="AH3278" t="s">
        <v>14987</v>
      </c>
    </row>
    <row r="3279" spans="1:34" x14ac:dyDescent="0.25">
      <c r="A3279">
        <v>1</v>
      </c>
      <c r="C3279" s="185"/>
      <c r="E3279" t="s">
        <v>386</v>
      </c>
      <c r="F3279" t="s">
        <v>14988</v>
      </c>
      <c r="G3279" t="s">
        <v>1197</v>
      </c>
      <c r="H3279" t="s">
        <v>14989</v>
      </c>
      <c r="I3279">
        <v>13592</v>
      </c>
      <c r="J3279" t="s">
        <v>14988</v>
      </c>
      <c r="K3279" t="s">
        <v>14990</v>
      </c>
      <c r="L3279" t="s">
        <v>386</v>
      </c>
      <c r="M3279" t="s">
        <v>1193</v>
      </c>
      <c r="N3279">
        <v>13592</v>
      </c>
      <c r="O3279">
        <v>0</v>
      </c>
      <c r="Q3279" t="s">
        <v>14526</v>
      </c>
      <c r="R3279" t="s">
        <v>1208</v>
      </c>
      <c r="T3279">
        <v>304</v>
      </c>
      <c r="V3279" t="s">
        <v>2067</v>
      </c>
      <c r="W3279" t="s">
        <v>2067</v>
      </c>
      <c r="X3279">
        <v>304</v>
      </c>
      <c r="Z3279" t="s">
        <v>865</v>
      </c>
      <c r="AA3279" t="s">
        <v>387</v>
      </c>
      <c r="AB3279">
        <v>0</v>
      </c>
      <c r="AC3279">
        <v>5115</v>
      </c>
      <c r="AD3279" t="s">
        <v>14991</v>
      </c>
      <c r="AE3279">
        <v>110</v>
      </c>
      <c r="AF3279" t="s">
        <v>3928</v>
      </c>
      <c r="AG3279" t="s">
        <v>2852</v>
      </c>
      <c r="AH3279" t="s">
        <v>14992</v>
      </c>
    </row>
    <row r="3280" spans="1:34" x14ac:dyDescent="0.25">
      <c r="A3280">
        <v>1</v>
      </c>
      <c r="C3280" s="185"/>
      <c r="E3280" t="s">
        <v>386</v>
      </c>
      <c r="F3280" t="s">
        <v>14993</v>
      </c>
      <c r="G3280" t="s">
        <v>1197</v>
      </c>
      <c r="H3280" t="s">
        <v>14994</v>
      </c>
      <c r="I3280">
        <v>13593</v>
      </c>
      <c r="J3280" t="s">
        <v>14993</v>
      </c>
      <c r="K3280" t="s">
        <v>14995</v>
      </c>
      <c r="L3280" t="s">
        <v>386</v>
      </c>
      <c r="M3280" t="s">
        <v>1193</v>
      </c>
      <c r="N3280">
        <v>13593</v>
      </c>
      <c r="O3280">
        <v>0</v>
      </c>
      <c r="Q3280" t="s">
        <v>14526</v>
      </c>
      <c r="R3280" t="s">
        <v>1208</v>
      </c>
      <c r="T3280">
        <v>304</v>
      </c>
      <c r="V3280" t="s">
        <v>2067</v>
      </c>
      <c r="W3280" t="s">
        <v>2067</v>
      </c>
      <c r="X3280">
        <v>304</v>
      </c>
      <c r="Z3280" t="s">
        <v>865</v>
      </c>
      <c r="AA3280" t="s">
        <v>387</v>
      </c>
      <c r="AB3280">
        <v>0</v>
      </c>
      <c r="AC3280">
        <v>5116</v>
      </c>
      <c r="AD3280" t="s">
        <v>14996</v>
      </c>
      <c r="AE3280">
        <v>7</v>
      </c>
      <c r="AF3280" t="s">
        <v>5878</v>
      </c>
      <c r="AG3280" t="s">
        <v>14997</v>
      </c>
      <c r="AH3280" t="s">
        <v>14998</v>
      </c>
    </row>
    <row r="3281" spans="1:34" x14ac:dyDescent="0.25">
      <c r="A3281">
        <v>1</v>
      </c>
      <c r="C3281" s="185"/>
      <c r="E3281" t="s">
        <v>386</v>
      </c>
      <c r="F3281" t="s">
        <v>14999</v>
      </c>
      <c r="G3281" t="s">
        <v>1197</v>
      </c>
      <c r="H3281" t="s">
        <v>15000</v>
      </c>
      <c r="I3281">
        <v>13595</v>
      </c>
      <c r="J3281" t="s">
        <v>14999</v>
      </c>
      <c r="K3281" t="s">
        <v>14999</v>
      </c>
      <c r="L3281" t="s">
        <v>386</v>
      </c>
      <c r="M3281" t="s">
        <v>1193</v>
      </c>
      <c r="N3281">
        <v>13595</v>
      </c>
      <c r="O3281">
        <v>0</v>
      </c>
      <c r="Q3281" t="s">
        <v>14526</v>
      </c>
      <c r="R3281" t="s">
        <v>1208</v>
      </c>
      <c r="T3281">
        <v>304</v>
      </c>
      <c r="V3281" t="s">
        <v>2067</v>
      </c>
      <c r="W3281" t="s">
        <v>2067</v>
      </c>
      <c r="X3281">
        <v>304</v>
      </c>
      <c r="Z3281" t="s">
        <v>865</v>
      </c>
      <c r="AA3281" t="s">
        <v>387</v>
      </c>
      <c r="AB3281">
        <v>0</v>
      </c>
      <c r="AC3281">
        <v>3818</v>
      </c>
      <c r="AD3281" t="s">
        <v>15001</v>
      </c>
      <c r="AE3281">
        <v>7</v>
      </c>
      <c r="AF3281" t="s">
        <v>5878</v>
      </c>
      <c r="AG3281" t="s">
        <v>15002</v>
      </c>
      <c r="AH3281" t="s">
        <v>15003</v>
      </c>
    </row>
    <row r="3282" spans="1:34" x14ac:dyDescent="0.25">
      <c r="A3282">
        <v>1</v>
      </c>
      <c r="C3282" s="185"/>
      <c r="E3282" t="s">
        <v>386</v>
      </c>
      <c r="F3282" t="s">
        <v>15004</v>
      </c>
      <c r="G3282" t="s">
        <v>1197</v>
      </c>
      <c r="H3282" t="s">
        <v>15005</v>
      </c>
      <c r="I3282">
        <v>13596</v>
      </c>
      <c r="J3282" t="s">
        <v>15004</v>
      </c>
      <c r="K3282" t="s">
        <v>15006</v>
      </c>
      <c r="L3282" t="s">
        <v>386</v>
      </c>
      <c r="M3282" t="s">
        <v>1193</v>
      </c>
      <c r="N3282">
        <v>13596</v>
      </c>
      <c r="O3282">
        <v>0</v>
      </c>
      <c r="Q3282" t="s">
        <v>14526</v>
      </c>
      <c r="R3282" t="s">
        <v>1208</v>
      </c>
      <c r="T3282">
        <v>304</v>
      </c>
      <c r="V3282" t="s">
        <v>2067</v>
      </c>
      <c r="W3282" t="s">
        <v>2067</v>
      </c>
      <c r="X3282">
        <v>304</v>
      </c>
      <c r="Z3282" t="s">
        <v>865</v>
      </c>
      <c r="AA3282" t="s">
        <v>387</v>
      </c>
      <c r="AB3282">
        <v>0</v>
      </c>
      <c r="AC3282">
        <v>40</v>
      </c>
      <c r="AD3282" t="s">
        <v>3067</v>
      </c>
      <c r="AE3282">
        <v>217</v>
      </c>
      <c r="AF3282" t="s">
        <v>3067</v>
      </c>
      <c r="AG3282" t="s">
        <v>15007</v>
      </c>
      <c r="AH3282" t="s">
        <v>15008</v>
      </c>
    </row>
    <row r="3283" spans="1:34" x14ac:dyDescent="0.25">
      <c r="A3283">
        <v>1</v>
      </c>
      <c r="C3283" s="185"/>
      <c r="E3283" t="s">
        <v>386</v>
      </c>
      <c r="F3283" t="s">
        <v>15009</v>
      </c>
      <c r="G3283" t="s">
        <v>1197</v>
      </c>
      <c r="H3283" t="s">
        <v>15010</v>
      </c>
      <c r="I3283">
        <v>13597</v>
      </c>
      <c r="J3283" t="s">
        <v>15009</v>
      </c>
      <c r="K3283" t="s">
        <v>15011</v>
      </c>
      <c r="L3283" t="s">
        <v>386</v>
      </c>
      <c r="M3283" t="s">
        <v>1193</v>
      </c>
      <c r="N3283">
        <v>13597</v>
      </c>
      <c r="O3283">
        <v>0</v>
      </c>
      <c r="Q3283" t="s">
        <v>14526</v>
      </c>
      <c r="R3283" t="s">
        <v>1208</v>
      </c>
      <c r="T3283">
        <v>304</v>
      </c>
      <c r="V3283" t="s">
        <v>2067</v>
      </c>
      <c r="W3283" t="s">
        <v>2067</v>
      </c>
      <c r="X3283">
        <v>304</v>
      </c>
      <c r="Z3283" t="s">
        <v>865</v>
      </c>
      <c r="AA3283" t="s">
        <v>387</v>
      </c>
      <c r="AB3283">
        <v>0</v>
      </c>
      <c r="AC3283">
        <v>5118</v>
      </c>
      <c r="AD3283" t="s">
        <v>15012</v>
      </c>
      <c r="AE3283">
        <v>599</v>
      </c>
      <c r="AF3283" t="s">
        <v>11747</v>
      </c>
      <c r="AG3283" t="s">
        <v>15013</v>
      </c>
      <c r="AH3283" t="s">
        <v>15014</v>
      </c>
    </row>
    <row r="3284" spans="1:34" x14ac:dyDescent="0.25">
      <c r="A3284">
        <v>1</v>
      </c>
      <c r="C3284" s="185"/>
      <c r="E3284" t="s">
        <v>386</v>
      </c>
      <c r="F3284" t="s">
        <v>15015</v>
      </c>
      <c r="G3284" t="s">
        <v>1197</v>
      </c>
      <c r="H3284" t="s">
        <v>15016</v>
      </c>
      <c r="I3284">
        <v>13598</v>
      </c>
      <c r="J3284" t="s">
        <v>15015</v>
      </c>
      <c r="K3284" t="s">
        <v>15015</v>
      </c>
      <c r="L3284" t="s">
        <v>386</v>
      </c>
      <c r="M3284" t="s">
        <v>1193</v>
      </c>
      <c r="N3284">
        <v>13598</v>
      </c>
      <c r="O3284">
        <v>0</v>
      </c>
      <c r="Q3284" t="s">
        <v>14526</v>
      </c>
      <c r="R3284" t="s">
        <v>1208</v>
      </c>
      <c r="T3284">
        <v>304</v>
      </c>
      <c r="V3284" t="s">
        <v>2067</v>
      </c>
      <c r="W3284" t="s">
        <v>2067</v>
      </c>
      <c r="X3284">
        <v>304</v>
      </c>
      <c r="Z3284" t="s">
        <v>865</v>
      </c>
      <c r="AA3284" t="s">
        <v>387</v>
      </c>
      <c r="AB3284">
        <v>0</v>
      </c>
      <c r="AC3284">
        <v>1389</v>
      </c>
      <c r="AD3284" t="s">
        <v>15017</v>
      </c>
      <c r="AE3284">
        <v>26</v>
      </c>
      <c r="AF3284" t="s">
        <v>2075</v>
      </c>
      <c r="AG3284" t="s">
        <v>2739</v>
      </c>
      <c r="AH3284" t="s">
        <v>15018</v>
      </c>
    </row>
    <row r="3285" spans="1:34" x14ac:dyDescent="0.25">
      <c r="A3285">
        <v>1</v>
      </c>
      <c r="C3285" s="185"/>
      <c r="E3285" t="s">
        <v>386</v>
      </c>
      <c r="F3285" t="s">
        <v>15019</v>
      </c>
      <c r="G3285" t="s">
        <v>1197</v>
      </c>
      <c r="H3285" t="s">
        <v>15020</v>
      </c>
      <c r="I3285">
        <v>13599</v>
      </c>
      <c r="J3285" t="s">
        <v>15019</v>
      </c>
      <c r="K3285" t="s">
        <v>15021</v>
      </c>
      <c r="L3285" t="s">
        <v>386</v>
      </c>
      <c r="M3285" t="s">
        <v>1193</v>
      </c>
      <c r="N3285">
        <v>13599</v>
      </c>
      <c r="O3285">
        <v>0</v>
      </c>
      <c r="Q3285" t="s">
        <v>14526</v>
      </c>
      <c r="R3285" t="s">
        <v>1208</v>
      </c>
      <c r="T3285">
        <v>304</v>
      </c>
      <c r="V3285" t="s">
        <v>2067</v>
      </c>
      <c r="W3285" t="s">
        <v>2067</v>
      </c>
      <c r="X3285">
        <v>304</v>
      </c>
      <c r="Z3285" t="s">
        <v>865</v>
      </c>
      <c r="AA3285" t="s">
        <v>387</v>
      </c>
      <c r="AB3285">
        <v>0</v>
      </c>
      <c r="AC3285">
        <v>5119</v>
      </c>
      <c r="AD3285" t="s">
        <v>3832</v>
      </c>
      <c r="AE3285">
        <v>8</v>
      </c>
      <c r="AF3285" t="s">
        <v>2805</v>
      </c>
      <c r="AG3285" t="s">
        <v>8224</v>
      </c>
      <c r="AH3285" t="s">
        <v>15022</v>
      </c>
    </row>
    <row r="3286" spans="1:34" x14ac:dyDescent="0.25">
      <c r="A3286">
        <v>189</v>
      </c>
      <c r="C3286" s="185"/>
      <c r="E3286" t="s">
        <v>386</v>
      </c>
      <c r="F3286" t="s">
        <v>15023</v>
      </c>
      <c r="G3286" t="s">
        <v>1197</v>
      </c>
      <c r="H3286" t="s">
        <v>15024</v>
      </c>
      <c r="I3286">
        <v>13692</v>
      </c>
      <c r="J3286" t="s">
        <v>15023</v>
      </c>
      <c r="K3286" t="s">
        <v>15025</v>
      </c>
      <c r="L3286" t="s">
        <v>386</v>
      </c>
      <c r="M3286" t="s">
        <v>1193</v>
      </c>
      <c r="N3286">
        <v>13692</v>
      </c>
      <c r="O3286">
        <v>0</v>
      </c>
      <c r="Q3286" t="s">
        <v>14526</v>
      </c>
      <c r="R3286" t="s">
        <v>1208</v>
      </c>
      <c r="T3286">
        <v>571</v>
      </c>
      <c r="V3286" t="s">
        <v>2003</v>
      </c>
      <c r="W3286" t="s">
        <v>2067</v>
      </c>
      <c r="X3286">
        <v>304</v>
      </c>
      <c r="Z3286" t="s">
        <v>15026</v>
      </c>
      <c r="AA3286" t="s">
        <v>387</v>
      </c>
      <c r="AB3286">
        <v>0</v>
      </c>
      <c r="AC3286">
        <v>5144</v>
      </c>
      <c r="AD3286" t="s">
        <v>15027</v>
      </c>
      <c r="AE3286">
        <v>1</v>
      </c>
      <c r="AF3286" t="s">
        <v>1922</v>
      </c>
      <c r="AG3286" t="s">
        <v>11482</v>
      </c>
      <c r="AH3286" t="s">
        <v>15028</v>
      </c>
    </row>
    <row r="3287" spans="1:34" x14ac:dyDescent="0.25">
      <c r="A3287">
        <v>1</v>
      </c>
      <c r="C3287" s="185"/>
      <c r="E3287" t="s">
        <v>386</v>
      </c>
      <c r="F3287" t="s">
        <v>15029</v>
      </c>
      <c r="G3287" t="s">
        <v>1192</v>
      </c>
      <c r="H3287" t="s">
        <v>15030</v>
      </c>
      <c r="I3287">
        <v>13723</v>
      </c>
      <c r="J3287" t="s">
        <v>15029</v>
      </c>
      <c r="K3287" t="s">
        <v>15029</v>
      </c>
      <c r="L3287" t="s">
        <v>386</v>
      </c>
      <c r="M3287" t="s">
        <v>1184</v>
      </c>
      <c r="N3287">
        <v>13723</v>
      </c>
      <c r="O3287">
        <v>0</v>
      </c>
      <c r="Q3287" t="s">
        <v>14526</v>
      </c>
      <c r="R3287" t="s">
        <v>1208</v>
      </c>
      <c r="T3287">
        <v>103</v>
      </c>
      <c r="V3287" t="s">
        <v>1530</v>
      </c>
      <c r="W3287" t="s">
        <v>1530</v>
      </c>
      <c r="X3287">
        <v>103</v>
      </c>
      <c r="Z3287" t="s">
        <v>865</v>
      </c>
      <c r="AA3287" t="s">
        <v>387</v>
      </c>
      <c r="AB3287">
        <v>0</v>
      </c>
      <c r="AC3287">
        <v>5168</v>
      </c>
      <c r="AD3287" t="s">
        <v>15031</v>
      </c>
      <c r="AE3287">
        <v>273</v>
      </c>
      <c r="AF3287" t="s">
        <v>2505</v>
      </c>
      <c r="AG3287" t="s">
        <v>2599</v>
      </c>
      <c r="AH3287" t="s">
        <v>15032</v>
      </c>
    </row>
    <row r="3288" spans="1:34" x14ac:dyDescent="0.25">
      <c r="A3288">
        <v>1361</v>
      </c>
      <c r="C3288" s="185"/>
      <c r="E3288" t="s">
        <v>386</v>
      </c>
      <c r="F3288" t="s">
        <v>15033</v>
      </c>
      <c r="G3288" t="s">
        <v>1197</v>
      </c>
      <c r="H3288" t="s">
        <v>15034</v>
      </c>
      <c r="I3288">
        <v>13724</v>
      </c>
      <c r="J3288" t="s">
        <v>15033</v>
      </c>
      <c r="K3288" t="s">
        <v>15033</v>
      </c>
      <c r="L3288" t="s">
        <v>386</v>
      </c>
      <c r="M3288" t="s">
        <v>1193</v>
      </c>
      <c r="N3288">
        <v>13724</v>
      </c>
      <c r="O3288">
        <v>0</v>
      </c>
      <c r="Q3288" t="s">
        <v>14526</v>
      </c>
      <c r="R3288" t="s">
        <v>1208</v>
      </c>
      <c r="T3288">
        <v>304</v>
      </c>
      <c r="V3288" t="s">
        <v>2067</v>
      </c>
      <c r="W3288" t="s">
        <v>2067</v>
      </c>
      <c r="X3288">
        <v>304</v>
      </c>
      <c r="Z3288" t="s">
        <v>1113</v>
      </c>
      <c r="AA3288" t="s">
        <v>387</v>
      </c>
      <c r="AB3288">
        <v>0</v>
      </c>
      <c r="AC3288">
        <v>4019</v>
      </c>
      <c r="AD3288" t="s">
        <v>15035</v>
      </c>
      <c r="AE3288">
        <v>2365</v>
      </c>
      <c r="AF3288" t="s">
        <v>12731</v>
      </c>
      <c r="AG3288" t="s">
        <v>1244</v>
      </c>
      <c r="AH3288" t="s">
        <v>15036</v>
      </c>
    </row>
    <row r="3289" spans="1:34" x14ac:dyDescent="0.25">
      <c r="A3289">
        <v>704</v>
      </c>
      <c r="C3289" s="185"/>
      <c r="E3289" t="s">
        <v>386</v>
      </c>
      <c r="F3289" t="s">
        <v>15037</v>
      </c>
      <c r="G3289" t="s">
        <v>1197</v>
      </c>
      <c r="H3289" t="s">
        <v>9884</v>
      </c>
      <c r="I3289">
        <v>13725</v>
      </c>
      <c r="J3289" t="s">
        <v>15037</v>
      </c>
      <c r="K3289" t="s">
        <v>15038</v>
      </c>
      <c r="L3289" t="s">
        <v>386</v>
      </c>
      <c r="M3289" t="s">
        <v>1193</v>
      </c>
      <c r="N3289">
        <v>13725</v>
      </c>
      <c r="O3289">
        <v>0</v>
      </c>
      <c r="Q3289" t="s">
        <v>14526</v>
      </c>
      <c r="R3289" t="s">
        <v>1208</v>
      </c>
      <c r="T3289">
        <v>571</v>
      </c>
      <c r="V3289" t="s">
        <v>2003</v>
      </c>
      <c r="W3289" t="s">
        <v>1200</v>
      </c>
      <c r="X3289">
        <v>340</v>
      </c>
      <c r="Z3289" t="s">
        <v>2160</v>
      </c>
      <c r="AA3289" t="s">
        <v>387</v>
      </c>
      <c r="AB3289">
        <v>0</v>
      </c>
      <c r="AC3289">
        <v>5169</v>
      </c>
      <c r="AD3289" t="s">
        <v>15039</v>
      </c>
      <c r="AE3289">
        <v>1531</v>
      </c>
      <c r="AF3289" t="s">
        <v>15040</v>
      </c>
      <c r="AG3289" t="s">
        <v>1244</v>
      </c>
      <c r="AH3289" t="s">
        <v>15041</v>
      </c>
    </row>
    <row r="3290" spans="1:34" x14ac:dyDescent="0.25">
      <c r="A3290">
        <v>33</v>
      </c>
      <c r="C3290" s="185"/>
      <c r="E3290" t="s">
        <v>386</v>
      </c>
      <c r="F3290" t="s">
        <v>15042</v>
      </c>
      <c r="G3290" t="s">
        <v>1197</v>
      </c>
      <c r="H3290" t="s">
        <v>15043</v>
      </c>
      <c r="I3290">
        <v>13726</v>
      </c>
      <c r="J3290" t="s">
        <v>15042</v>
      </c>
      <c r="K3290" t="s">
        <v>15044</v>
      </c>
      <c r="L3290" t="s">
        <v>386</v>
      </c>
      <c r="M3290" t="s">
        <v>1193</v>
      </c>
      <c r="N3290">
        <v>13726</v>
      </c>
      <c r="O3290">
        <v>0</v>
      </c>
      <c r="Q3290" t="s">
        <v>14526</v>
      </c>
      <c r="R3290" t="s">
        <v>1208</v>
      </c>
      <c r="T3290">
        <v>304</v>
      </c>
      <c r="V3290" t="s">
        <v>2067</v>
      </c>
      <c r="W3290" t="s">
        <v>2067</v>
      </c>
      <c r="X3290">
        <v>304</v>
      </c>
      <c r="Z3290" t="s">
        <v>1115</v>
      </c>
      <c r="AA3290" t="s">
        <v>387</v>
      </c>
      <c r="AB3290">
        <v>0</v>
      </c>
      <c r="AC3290">
        <v>5170</v>
      </c>
      <c r="AD3290" t="s">
        <v>11558</v>
      </c>
      <c r="AE3290">
        <v>162</v>
      </c>
      <c r="AF3290" t="s">
        <v>13977</v>
      </c>
      <c r="AG3290" t="s">
        <v>1938</v>
      </c>
      <c r="AH3290" t="s">
        <v>15045</v>
      </c>
    </row>
    <row r="3291" spans="1:34" x14ac:dyDescent="0.25">
      <c r="A3291">
        <v>56</v>
      </c>
      <c r="C3291" s="185"/>
      <c r="E3291" t="s">
        <v>386</v>
      </c>
      <c r="F3291" t="s">
        <v>7637</v>
      </c>
      <c r="G3291" t="s">
        <v>1197</v>
      </c>
      <c r="H3291" t="s">
        <v>15046</v>
      </c>
      <c r="I3291">
        <v>13727</v>
      </c>
      <c r="J3291" t="s">
        <v>7637</v>
      </c>
      <c r="K3291" t="s">
        <v>7637</v>
      </c>
      <c r="L3291" t="s">
        <v>386</v>
      </c>
      <c r="M3291" t="s">
        <v>1193</v>
      </c>
      <c r="N3291">
        <v>13727</v>
      </c>
      <c r="O3291">
        <v>0</v>
      </c>
      <c r="Q3291" t="s">
        <v>14526</v>
      </c>
      <c r="R3291" t="s">
        <v>1208</v>
      </c>
      <c r="T3291">
        <v>304</v>
      </c>
      <c r="V3291" t="s">
        <v>2067</v>
      </c>
      <c r="W3291" t="s">
        <v>2067</v>
      </c>
      <c r="X3291">
        <v>304</v>
      </c>
      <c r="Z3291" t="s">
        <v>880</v>
      </c>
      <c r="AA3291" t="s">
        <v>387</v>
      </c>
      <c r="AB3291">
        <v>0</v>
      </c>
      <c r="AC3291">
        <v>121</v>
      </c>
      <c r="AD3291" t="s">
        <v>5825</v>
      </c>
      <c r="AE3291">
        <v>1</v>
      </c>
      <c r="AF3291" t="s">
        <v>1922</v>
      </c>
      <c r="AG3291" t="s">
        <v>15047</v>
      </c>
      <c r="AH3291" t="s">
        <v>15048</v>
      </c>
    </row>
    <row r="3292" spans="1:34" x14ac:dyDescent="0.25">
      <c r="A3292">
        <v>1996</v>
      </c>
      <c r="C3292" s="185"/>
      <c r="E3292" t="s">
        <v>386</v>
      </c>
      <c r="F3292" t="s">
        <v>15049</v>
      </c>
      <c r="G3292" t="s">
        <v>1197</v>
      </c>
      <c r="H3292" t="s">
        <v>15050</v>
      </c>
      <c r="I3292">
        <v>13728</v>
      </c>
      <c r="J3292" t="s">
        <v>15049</v>
      </c>
      <c r="K3292" t="s">
        <v>15051</v>
      </c>
      <c r="L3292" t="s">
        <v>386</v>
      </c>
      <c r="M3292" t="s">
        <v>1193</v>
      </c>
      <c r="N3292">
        <v>13728</v>
      </c>
      <c r="O3292">
        <v>0</v>
      </c>
      <c r="Q3292" t="s">
        <v>14526</v>
      </c>
      <c r="R3292" t="s">
        <v>1208</v>
      </c>
      <c r="T3292">
        <v>571</v>
      </c>
      <c r="V3292" t="s">
        <v>2003</v>
      </c>
      <c r="W3292" t="s">
        <v>2067</v>
      </c>
      <c r="X3292">
        <v>304</v>
      </c>
      <c r="Z3292" t="s">
        <v>15052</v>
      </c>
      <c r="AA3292" t="s">
        <v>387</v>
      </c>
      <c r="AB3292">
        <v>0</v>
      </c>
      <c r="AC3292">
        <v>2509</v>
      </c>
      <c r="AD3292" t="s">
        <v>9974</v>
      </c>
      <c r="AE3292">
        <v>1</v>
      </c>
      <c r="AF3292" t="s">
        <v>1922</v>
      </c>
      <c r="AG3292" t="s">
        <v>2044</v>
      </c>
      <c r="AH3292" t="s">
        <v>15053</v>
      </c>
    </row>
    <row r="3293" spans="1:34" x14ac:dyDescent="0.25">
      <c r="A3293">
        <v>181</v>
      </c>
      <c r="C3293" s="185"/>
      <c r="E3293" t="s">
        <v>386</v>
      </c>
      <c r="F3293" t="s">
        <v>15054</v>
      </c>
      <c r="G3293" t="s">
        <v>1197</v>
      </c>
      <c r="H3293" t="s">
        <v>15055</v>
      </c>
      <c r="I3293">
        <v>13744</v>
      </c>
      <c r="J3293" t="s">
        <v>15054</v>
      </c>
      <c r="K3293" t="s">
        <v>15056</v>
      </c>
      <c r="L3293" t="s">
        <v>386</v>
      </c>
      <c r="M3293" t="s">
        <v>1193</v>
      </c>
      <c r="N3293">
        <v>13744</v>
      </c>
      <c r="O3293">
        <v>0</v>
      </c>
      <c r="Q3293" t="s">
        <v>14526</v>
      </c>
      <c r="R3293" t="s">
        <v>1208</v>
      </c>
      <c r="T3293">
        <v>304</v>
      </c>
      <c r="V3293" t="s">
        <v>2067</v>
      </c>
      <c r="W3293" t="s">
        <v>2067</v>
      </c>
      <c r="X3293">
        <v>304</v>
      </c>
      <c r="Z3293" t="s">
        <v>948</v>
      </c>
      <c r="AA3293" t="s">
        <v>387</v>
      </c>
      <c r="AB3293">
        <v>0</v>
      </c>
      <c r="AC3293">
        <v>5180</v>
      </c>
      <c r="AD3293" t="s">
        <v>15057</v>
      </c>
      <c r="AE3293">
        <v>2402</v>
      </c>
      <c r="AF3293" t="s">
        <v>15058</v>
      </c>
      <c r="AG3293" t="s">
        <v>15059</v>
      </c>
      <c r="AH3293" t="s">
        <v>15060</v>
      </c>
    </row>
    <row r="3294" spans="1:34" x14ac:dyDescent="0.25">
      <c r="A3294">
        <v>181</v>
      </c>
      <c r="C3294" s="185"/>
      <c r="E3294" t="s">
        <v>386</v>
      </c>
      <c r="F3294" t="s">
        <v>15061</v>
      </c>
      <c r="G3294" t="s">
        <v>1197</v>
      </c>
      <c r="H3294" t="s">
        <v>15062</v>
      </c>
      <c r="I3294">
        <v>13745</v>
      </c>
      <c r="J3294" t="s">
        <v>15061</v>
      </c>
      <c r="K3294" t="s">
        <v>15063</v>
      </c>
      <c r="L3294" t="s">
        <v>386</v>
      </c>
      <c r="M3294" t="s">
        <v>1193</v>
      </c>
      <c r="N3294">
        <v>13745</v>
      </c>
      <c r="O3294">
        <v>0</v>
      </c>
      <c r="Q3294" t="s">
        <v>14526</v>
      </c>
      <c r="R3294" t="s">
        <v>1208</v>
      </c>
      <c r="T3294">
        <v>304</v>
      </c>
      <c r="V3294" t="s">
        <v>2067</v>
      </c>
      <c r="W3294" t="s">
        <v>2067</v>
      </c>
      <c r="X3294">
        <v>304</v>
      </c>
      <c r="Z3294" t="s">
        <v>948</v>
      </c>
      <c r="AA3294" t="s">
        <v>387</v>
      </c>
      <c r="AB3294">
        <v>0</v>
      </c>
      <c r="AC3294">
        <v>5181</v>
      </c>
      <c r="AD3294" t="s">
        <v>15064</v>
      </c>
      <c r="AE3294">
        <v>1380</v>
      </c>
      <c r="AF3294" t="s">
        <v>15065</v>
      </c>
      <c r="AG3294" t="s">
        <v>4464</v>
      </c>
      <c r="AH3294" t="s">
        <v>15066</v>
      </c>
    </row>
    <row r="3295" spans="1:34" x14ac:dyDescent="0.25">
      <c r="A3295">
        <v>1447</v>
      </c>
      <c r="C3295" s="185"/>
      <c r="E3295" t="s">
        <v>386</v>
      </c>
      <c r="F3295" t="s">
        <v>15067</v>
      </c>
      <c r="G3295" t="s">
        <v>1197</v>
      </c>
      <c r="H3295" t="s">
        <v>15068</v>
      </c>
      <c r="I3295">
        <v>13752</v>
      </c>
      <c r="J3295" t="s">
        <v>15067</v>
      </c>
      <c r="K3295" t="s">
        <v>15069</v>
      </c>
      <c r="L3295" t="s">
        <v>386</v>
      </c>
      <c r="M3295" t="s">
        <v>1193</v>
      </c>
      <c r="N3295">
        <v>13752</v>
      </c>
      <c r="O3295">
        <v>0</v>
      </c>
      <c r="Q3295" t="s">
        <v>14526</v>
      </c>
      <c r="R3295" t="s">
        <v>1208</v>
      </c>
      <c r="T3295">
        <v>571</v>
      </c>
      <c r="V3295" t="s">
        <v>2003</v>
      </c>
      <c r="W3295" t="s">
        <v>1530</v>
      </c>
      <c r="X3295">
        <v>103</v>
      </c>
      <c r="Z3295" t="s">
        <v>2113</v>
      </c>
      <c r="AA3295" t="s">
        <v>387</v>
      </c>
      <c r="AB3295">
        <v>0</v>
      </c>
      <c r="AC3295">
        <v>5183</v>
      </c>
      <c r="AD3295" t="s">
        <v>15070</v>
      </c>
      <c r="AE3295">
        <v>1</v>
      </c>
      <c r="AF3295" t="s">
        <v>1922</v>
      </c>
      <c r="AG3295" t="s">
        <v>15071</v>
      </c>
      <c r="AH3295" t="s">
        <v>15072</v>
      </c>
    </row>
    <row r="3296" spans="1:34" x14ac:dyDescent="0.25">
      <c r="A3296">
        <v>1</v>
      </c>
      <c r="C3296" s="185"/>
      <c r="E3296" t="s">
        <v>386</v>
      </c>
      <c r="F3296" t="s">
        <v>15073</v>
      </c>
      <c r="G3296" t="s">
        <v>1197</v>
      </c>
      <c r="H3296" t="s">
        <v>15074</v>
      </c>
      <c r="I3296">
        <v>13764</v>
      </c>
      <c r="J3296" t="s">
        <v>15073</v>
      </c>
      <c r="K3296" t="s">
        <v>15073</v>
      </c>
      <c r="L3296" t="s">
        <v>386</v>
      </c>
      <c r="M3296" t="s">
        <v>1193</v>
      </c>
      <c r="N3296">
        <v>13764</v>
      </c>
      <c r="O3296">
        <v>0</v>
      </c>
      <c r="Q3296" t="s">
        <v>14526</v>
      </c>
      <c r="R3296" t="s">
        <v>1208</v>
      </c>
      <c r="T3296">
        <v>200</v>
      </c>
      <c r="V3296" t="s">
        <v>1199</v>
      </c>
      <c r="W3296" t="s">
        <v>2067</v>
      </c>
      <c r="X3296">
        <v>304</v>
      </c>
      <c r="Z3296" t="s">
        <v>865</v>
      </c>
      <c r="AA3296" t="s">
        <v>387</v>
      </c>
      <c r="AB3296">
        <v>0</v>
      </c>
      <c r="AC3296">
        <v>5191</v>
      </c>
      <c r="AD3296" t="s">
        <v>15075</v>
      </c>
      <c r="AE3296">
        <v>325</v>
      </c>
      <c r="AF3296" t="s">
        <v>4305</v>
      </c>
      <c r="AG3296" t="s">
        <v>2487</v>
      </c>
      <c r="AH3296" t="s">
        <v>15076</v>
      </c>
    </row>
    <row r="3297" spans="1:34" x14ac:dyDescent="0.25">
      <c r="A3297">
        <v>2066</v>
      </c>
      <c r="C3297" s="185"/>
      <c r="E3297" t="s">
        <v>386</v>
      </c>
      <c r="F3297" t="s">
        <v>15077</v>
      </c>
      <c r="G3297" t="s">
        <v>1197</v>
      </c>
      <c r="H3297" t="s">
        <v>4477</v>
      </c>
      <c r="I3297">
        <v>13778</v>
      </c>
      <c r="J3297" t="s">
        <v>15077</v>
      </c>
      <c r="K3297" t="s">
        <v>15077</v>
      </c>
      <c r="L3297" t="s">
        <v>386</v>
      </c>
      <c r="M3297" t="s">
        <v>1193</v>
      </c>
      <c r="N3297">
        <v>13778</v>
      </c>
      <c r="O3297">
        <v>0</v>
      </c>
      <c r="Q3297" t="s">
        <v>14526</v>
      </c>
      <c r="R3297" t="s">
        <v>1208</v>
      </c>
      <c r="T3297">
        <v>304</v>
      </c>
      <c r="V3297" t="s">
        <v>2067</v>
      </c>
      <c r="W3297" t="s">
        <v>2067</v>
      </c>
      <c r="X3297">
        <v>304</v>
      </c>
      <c r="Z3297" t="s">
        <v>15078</v>
      </c>
      <c r="AA3297" t="s">
        <v>387</v>
      </c>
      <c r="AB3297">
        <v>0</v>
      </c>
      <c r="AC3297">
        <v>5197</v>
      </c>
      <c r="AD3297" t="s">
        <v>15079</v>
      </c>
      <c r="AE3297">
        <v>474</v>
      </c>
      <c r="AF3297" t="s">
        <v>3719</v>
      </c>
      <c r="AG3297" t="s">
        <v>8203</v>
      </c>
      <c r="AH3297" t="s">
        <v>15080</v>
      </c>
    </row>
    <row r="3298" spans="1:34" x14ac:dyDescent="0.25">
      <c r="A3298">
        <v>1773</v>
      </c>
      <c r="C3298" s="185"/>
      <c r="E3298" t="s">
        <v>386</v>
      </c>
      <c r="F3298" t="s">
        <v>15081</v>
      </c>
      <c r="G3298" t="s">
        <v>1197</v>
      </c>
      <c r="H3298" t="s">
        <v>11256</v>
      </c>
      <c r="I3298">
        <v>13785</v>
      </c>
      <c r="J3298" t="s">
        <v>15081</v>
      </c>
      <c r="K3298" t="s">
        <v>15082</v>
      </c>
      <c r="L3298" t="s">
        <v>386</v>
      </c>
      <c r="M3298" t="s">
        <v>1193</v>
      </c>
      <c r="N3298">
        <v>13785</v>
      </c>
      <c r="O3298">
        <v>0</v>
      </c>
      <c r="Q3298" t="s">
        <v>14526</v>
      </c>
      <c r="R3298" t="s">
        <v>1208</v>
      </c>
      <c r="T3298">
        <v>571</v>
      </c>
      <c r="V3298" t="s">
        <v>2003</v>
      </c>
      <c r="W3298" t="s">
        <v>2067</v>
      </c>
      <c r="X3298">
        <v>304</v>
      </c>
      <c r="Z3298" t="s">
        <v>11259</v>
      </c>
      <c r="AA3298" t="s">
        <v>387</v>
      </c>
      <c r="AB3298">
        <v>0</v>
      </c>
      <c r="AC3298">
        <v>5199</v>
      </c>
      <c r="AD3298" t="s">
        <v>7429</v>
      </c>
      <c r="AE3298">
        <v>2412</v>
      </c>
      <c r="AF3298" t="s">
        <v>7102</v>
      </c>
      <c r="AG3298" t="s">
        <v>15083</v>
      </c>
      <c r="AH3298" t="s">
        <v>15084</v>
      </c>
    </row>
    <row r="3299" spans="1:34" x14ac:dyDescent="0.25">
      <c r="A3299">
        <v>549</v>
      </c>
      <c r="C3299" s="185"/>
      <c r="E3299" t="s">
        <v>386</v>
      </c>
      <c r="F3299" t="s">
        <v>15085</v>
      </c>
      <c r="G3299" t="s">
        <v>1197</v>
      </c>
      <c r="H3299" t="s">
        <v>15086</v>
      </c>
      <c r="I3299">
        <v>13786</v>
      </c>
      <c r="J3299" t="s">
        <v>15085</v>
      </c>
      <c r="K3299" t="s">
        <v>15085</v>
      </c>
      <c r="L3299" t="s">
        <v>386</v>
      </c>
      <c r="M3299" t="s">
        <v>1193</v>
      </c>
      <c r="N3299">
        <v>13786</v>
      </c>
      <c r="O3299">
        <v>0</v>
      </c>
      <c r="Q3299" t="s">
        <v>14526</v>
      </c>
      <c r="R3299" t="s">
        <v>1208</v>
      </c>
      <c r="T3299">
        <v>304</v>
      </c>
      <c r="V3299" t="s">
        <v>2067</v>
      </c>
      <c r="W3299" t="s">
        <v>2067</v>
      </c>
      <c r="X3299">
        <v>304</v>
      </c>
      <c r="Z3299" t="s">
        <v>10100</v>
      </c>
      <c r="AA3299" t="s">
        <v>387</v>
      </c>
      <c r="AB3299">
        <v>0</v>
      </c>
      <c r="AC3299">
        <v>5200</v>
      </c>
      <c r="AD3299" t="s">
        <v>15087</v>
      </c>
      <c r="AE3299">
        <v>2413</v>
      </c>
      <c r="AF3299" t="s">
        <v>15088</v>
      </c>
      <c r="AG3299" t="s">
        <v>2456</v>
      </c>
      <c r="AH3299" t="s">
        <v>15089</v>
      </c>
    </row>
    <row r="3300" spans="1:34" x14ac:dyDescent="0.25">
      <c r="A3300">
        <v>408</v>
      </c>
      <c r="C3300" s="185"/>
      <c r="E3300" t="s">
        <v>386</v>
      </c>
      <c r="F3300" t="s">
        <v>15090</v>
      </c>
      <c r="G3300" t="s">
        <v>1197</v>
      </c>
      <c r="H3300" t="s">
        <v>15091</v>
      </c>
      <c r="I3300">
        <v>13838</v>
      </c>
      <c r="J3300" t="s">
        <v>15090</v>
      </c>
      <c r="K3300" t="s">
        <v>15092</v>
      </c>
      <c r="L3300" t="s">
        <v>386</v>
      </c>
      <c r="M3300" t="s">
        <v>1193</v>
      </c>
      <c r="N3300">
        <v>13838</v>
      </c>
      <c r="O3300">
        <v>0</v>
      </c>
      <c r="Q3300" t="s">
        <v>14526</v>
      </c>
      <c r="R3300" t="s">
        <v>1208</v>
      </c>
      <c r="T3300">
        <v>304</v>
      </c>
      <c r="V3300" t="s">
        <v>2067</v>
      </c>
      <c r="W3300" t="s">
        <v>2067</v>
      </c>
      <c r="X3300">
        <v>304</v>
      </c>
      <c r="Z3300" t="s">
        <v>10009</v>
      </c>
      <c r="AA3300" t="s">
        <v>387</v>
      </c>
      <c r="AB3300">
        <v>0</v>
      </c>
      <c r="AC3300">
        <v>5218</v>
      </c>
      <c r="AD3300" t="s">
        <v>1006</v>
      </c>
      <c r="AE3300">
        <v>850</v>
      </c>
      <c r="AF3300" t="s">
        <v>15093</v>
      </c>
      <c r="AG3300" t="s">
        <v>15094</v>
      </c>
      <c r="AH3300" t="s">
        <v>15095</v>
      </c>
    </row>
    <row r="3301" spans="1:34" x14ac:dyDescent="0.25">
      <c r="A3301">
        <v>197</v>
      </c>
      <c r="C3301" s="185"/>
      <c r="E3301" t="s">
        <v>386</v>
      </c>
      <c r="F3301" t="s">
        <v>15096</v>
      </c>
      <c r="G3301" t="s">
        <v>1197</v>
      </c>
      <c r="H3301" t="s">
        <v>15097</v>
      </c>
      <c r="I3301">
        <v>13863</v>
      </c>
      <c r="J3301" t="s">
        <v>15096</v>
      </c>
      <c r="K3301" t="s">
        <v>15098</v>
      </c>
      <c r="L3301" t="s">
        <v>386</v>
      </c>
      <c r="M3301" t="s">
        <v>1193</v>
      </c>
      <c r="N3301">
        <v>13863</v>
      </c>
      <c r="O3301">
        <v>0</v>
      </c>
      <c r="Q3301" t="s">
        <v>14526</v>
      </c>
      <c r="R3301" t="s">
        <v>1208</v>
      </c>
      <c r="T3301">
        <v>304</v>
      </c>
      <c r="V3301" t="s">
        <v>2067</v>
      </c>
      <c r="W3301" t="s">
        <v>2067</v>
      </c>
      <c r="X3301">
        <v>304</v>
      </c>
      <c r="Z3301" t="s">
        <v>1006</v>
      </c>
      <c r="AA3301" t="s">
        <v>387</v>
      </c>
      <c r="AB3301">
        <v>0</v>
      </c>
      <c r="AC3301">
        <v>4033</v>
      </c>
      <c r="AD3301" t="s">
        <v>15099</v>
      </c>
      <c r="AE3301">
        <v>1853</v>
      </c>
      <c r="AF3301" t="s">
        <v>15100</v>
      </c>
      <c r="AG3301" t="s">
        <v>15101</v>
      </c>
      <c r="AH3301" t="s">
        <v>15102</v>
      </c>
    </row>
    <row r="3302" spans="1:34" x14ac:dyDescent="0.25">
      <c r="A3302">
        <v>1685</v>
      </c>
      <c r="C3302" s="185"/>
      <c r="E3302" t="s">
        <v>386</v>
      </c>
      <c r="F3302" t="s">
        <v>15103</v>
      </c>
      <c r="G3302" t="s">
        <v>1197</v>
      </c>
      <c r="H3302" t="s">
        <v>15104</v>
      </c>
      <c r="I3302">
        <v>13931</v>
      </c>
      <c r="J3302" t="s">
        <v>15103</v>
      </c>
      <c r="K3302" t="s">
        <v>15105</v>
      </c>
      <c r="L3302" t="s">
        <v>386</v>
      </c>
      <c r="M3302" t="s">
        <v>1193</v>
      </c>
      <c r="N3302">
        <v>13931</v>
      </c>
      <c r="O3302">
        <v>0</v>
      </c>
      <c r="Q3302" t="s">
        <v>14526</v>
      </c>
      <c r="R3302" t="s">
        <v>1208</v>
      </c>
      <c r="T3302">
        <v>571</v>
      </c>
      <c r="V3302" t="s">
        <v>2003</v>
      </c>
      <c r="W3302" t="s">
        <v>1530</v>
      </c>
      <c r="X3302">
        <v>103</v>
      </c>
      <c r="Z3302" t="s">
        <v>15106</v>
      </c>
      <c r="AA3302" t="s">
        <v>387</v>
      </c>
      <c r="AB3302">
        <v>0</v>
      </c>
      <c r="AC3302">
        <v>1887</v>
      </c>
      <c r="AD3302" t="s">
        <v>14160</v>
      </c>
      <c r="AE3302">
        <v>1</v>
      </c>
      <c r="AF3302" t="s">
        <v>1922</v>
      </c>
      <c r="AG3302" t="s">
        <v>15107</v>
      </c>
      <c r="AH3302" t="s">
        <v>15108</v>
      </c>
    </row>
    <row r="3303" spans="1:34" x14ac:dyDescent="0.25">
      <c r="A3303">
        <v>56</v>
      </c>
      <c r="C3303" s="185"/>
      <c r="E3303" t="s">
        <v>386</v>
      </c>
      <c r="F3303" t="s">
        <v>15109</v>
      </c>
      <c r="G3303" t="s">
        <v>1197</v>
      </c>
      <c r="H3303" t="s">
        <v>15110</v>
      </c>
      <c r="I3303">
        <v>13934</v>
      </c>
      <c r="J3303" t="s">
        <v>15109</v>
      </c>
      <c r="K3303" t="s">
        <v>15111</v>
      </c>
      <c r="L3303" t="s">
        <v>386</v>
      </c>
      <c r="M3303" t="s">
        <v>1193</v>
      </c>
      <c r="N3303">
        <v>13934</v>
      </c>
      <c r="O3303">
        <v>0</v>
      </c>
      <c r="Q3303" t="s">
        <v>14526</v>
      </c>
      <c r="R3303" t="s">
        <v>1208</v>
      </c>
      <c r="T3303">
        <v>571</v>
      </c>
      <c r="V3303" t="s">
        <v>2003</v>
      </c>
      <c r="W3303" t="s">
        <v>2067</v>
      </c>
      <c r="X3303">
        <v>304</v>
      </c>
      <c r="Z3303" t="s">
        <v>880</v>
      </c>
      <c r="AA3303" t="s">
        <v>387</v>
      </c>
      <c r="AB3303">
        <v>0</v>
      </c>
      <c r="AC3303">
        <v>1509</v>
      </c>
      <c r="AD3303" t="s">
        <v>15112</v>
      </c>
      <c r="AE3303">
        <v>1558</v>
      </c>
      <c r="AF3303" t="s">
        <v>9071</v>
      </c>
      <c r="AG3303" t="s">
        <v>15113</v>
      </c>
      <c r="AH3303" t="s">
        <v>15114</v>
      </c>
    </row>
    <row r="3304" spans="1:34" x14ac:dyDescent="0.25">
      <c r="A3304">
        <v>1</v>
      </c>
      <c r="C3304" s="185"/>
      <c r="E3304" t="s">
        <v>386</v>
      </c>
      <c r="F3304" t="s">
        <v>15115</v>
      </c>
      <c r="G3304" t="s">
        <v>1197</v>
      </c>
      <c r="H3304" t="s">
        <v>15116</v>
      </c>
      <c r="I3304">
        <v>13964</v>
      </c>
      <c r="J3304" t="s">
        <v>15115</v>
      </c>
      <c r="K3304" t="s">
        <v>15115</v>
      </c>
      <c r="L3304" t="s">
        <v>386</v>
      </c>
      <c r="M3304" t="s">
        <v>1193</v>
      </c>
      <c r="N3304">
        <v>13964</v>
      </c>
      <c r="O3304">
        <v>0</v>
      </c>
      <c r="Q3304" t="s">
        <v>14526</v>
      </c>
      <c r="R3304" t="s">
        <v>1208</v>
      </c>
      <c r="T3304">
        <v>304</v>
      </c>
      <c r="V3304" t="s">
        <v>2067</v>
      </c>
      <c r="W3304" t="s">
        <v>2067</v>
      </c>
      <c r="X3304">
        <v>304</v>
      </c>
      <c r="Z3304" t="s">
        <v>865</v>
      </c>
      <c r="AA3304" t="s">
        <v>387</v>
      </c>
      <c r="AB3304">
        <v>0</v>
      </c>
      <c r="AC3304">
        <v>1607</v>
      </c>
      <c r="AD3304" t="s">
        <v>6129</v>
      </c>
      <c r="AE3304">
        <v>1</v>
      </c>
      <c r="AF3304" t="s">
        <v>1922</v>
      </c>
      <c r="AG3304" t="s">
        <v>15117</v>
      </c>
      <c r="AH3304" t="s">
        <v>15118</v>
      </c>
    </row>
    <row r="3305" spans="1:34" x14ac:dyDescent="0.25">
      <c r="A3305">
        <v>1</v>
      </c>
      <c r="C3305" s="185"/>
      <c r="E3305" t="s">
        <v>386</v>
      </c>
      <c r="F3305" t="s">
        <v>15119</v>
      </c>
      <c r="G3305" t="s">
        <v>1197</v>
      </c>
      <c r="H3305" t="s">
        <v>15120</v>
      </c>
      <c r="I3305">
        <v>13965</v>
      </c>
      <c r="J3305" t="s">
        <v>15119</v>
      </c>
      <c r="K3305" t="s">
        <v>15119</v>
      </c>
      <c r="L3305" t="s">
        <v>386</v>
      </c>
      <c r="M3305" t="s">
        <v>1193</v>
      </c>
      <c r="N3305">
        <v>13965</v>
      </c>
      <c r="O3305">
        <v>0</v>
      </c>
      <c r="Q3305" t="s">
        <v>14526</v>
      </c>
      <c r="R3305" t="s">
        <v>1208</v>
      </c>
      <c r="T3305">
        <v>304</v>
      </c>
      <c r="V3305" t="s">
        <v>2067</v>
      </c>
      <c r="W3305" t="s">
        <v>2067</v>
      </c>
      <c r="X3305">
        <v>304</v>
      </c>
      <c r="Z3305" t="s">
        <v>865</v>
      </c>
      <c r="AA3305" t="s">
        <v>387</v>
      </c>
      <c r="AB3305">
        <v>0</v>
      </c>
      <c r="AC3305">
        <v>5276</v>
      </c>
      <c r="AD3305" t="s">
        <v>15121</v>
      </c>
      <c r="AE3305">
        <v>409</v>
      </c>
      <c r="AF3305" t="s">
        <v>3131</v>
      </c>
      <c r="AG3305" t="s">
        <v>15122</v>
      </c>
      <c r="AH3305" t="s">
        <v>15123</v>
      </c>
    </row>
    <row r="3306" spans="1:34" x14ac:dyDescent="0.25">
      <c r="A3306">
        <v>6</v>
      </c>
      <c r="C3306" s="185"/>
      <c r="E3306" t="s">
        <v>386</v>
      </c>
      <c r="F3306" t="s">
        <v>15124</v>
      </c>
      <c r="G3306" t="s">
        <v>1197</v>
      </c>
      <c r="H3306" t="s">
        <v>15125</v>
      </c>
      <c r="I3306">
        <v>13966</v>
      </c>
      <c r="J3306" t="s">
        <v>15124</v>
      </c>
      <c r="K3306" t="s">
        <v>15126</v>
      </c>
      <c r="L3306" t="s">
        <v>386</v>
      </c>
      <c r="M3306" t="s">
        <v>1193</v>
      </c>
      <c r="N3306">
        <v>13966</v>
      </c>
      <c r="O3306">
        <v>0</v>
      </c>
      <c r="Q3306" t="s">
        <v>14526</v>
      </c>
      <c r="R3306" t="s">
        <v>1208</v>
      </c>
      <c r="T3306">
        <v>304</v>
      </c>
      <c r="V3306" t="s">
        <v>2067</v>
      </c>
      <c r="W3306" t="s">
        <v>2067</v>
      </c>
      <c r="X3306">
        <v>304</v>
      </c>
      <c r="Z3306" t="s">
        <v>892</v>
      </c>
      <c r="AA3306" t="s">
        <v>387</v>
      </c>
      <c r="AB3306">
        <v>0</v>
      </c>
      <c r="AC3306">
        <v>5277</v>
      </c>
      <c r="AD3306" t="s">
        <v>15127</v>
      </c>
      <c r="AE3306">
        <v>260</v>
      </c>
      <c r="AF3306" t="s">
        <v>3125</v>
      </c>
      <c r="AG3306" t="s">
        <v>2881</v>
      </c>
      <c r="AH3306" t="s">
        <v>15128</v>
      </c>
    </row>
    <row r="3307" spans="1:34" x14ac:dyDescent="0.25">
      <c r="A3307">
        <v>1</v>
      </c>
      <c r="C3307" s="185"/>
      <c r="E3307" t="s">
        <v>386</v>
      </c>
      <c r="F3307" t="s">
        <v>15129</v>
      </c>
      <c r="G3307" t="s">
        <v>1197</v>
      </c>
      <c r="H3307" t="s">
        <v>6622</v>
      </c>
      <c r="I3307">
        <v>13972</v>
      </c>
      <c r="J3307" t="s">
        <v>15129</v>
      </c>
      <c r="K3307" t="s">
        <v>15130</v>
      </c>
      <c r="L3307" t="s">
        <v>386</v>
      </c>
      <c r="M3307" t="s">
        <v>1193</v>
      </c>
      <c r="N3307">
        <v>13972</v>
      </c>
      <c r="O3307">
        <v>0</v>
      </c>
      <c r="Q3307" t="s">
        <v>14526</v>
      </c>
      <c r="R3307" t="s">
        <v>1208</v>
      </c>
      <c r="T3307">
        <v>571</v>
      </c>
      <c r="V3307" t="s">
        <v>2003</v>
      </c>
      <c r="W3307" t="s">
        <v>2067</v>
      </c>
      <c r="X3307">
        <v>304</v>
      </c>
      <c r="Z3307" t="s">
        <v>865</v>
      </c>
      <c r="AA3307" t="s">
        <v>387</v>
      </c>
      <c r="AB3307">
        <v>0</v>
      </c>
      <c r="AC3307">
        <v>1631</v>
      </c>
      <c r="AD3307" t="s">
        <v>6032</v>
      </c>
      <c r="AE3307">
        <v>1812</v>
      </c>
      <c r="AF3307" t="s">
        <v>3984</v>
      </c>
      <c r="AG3307" t="s">
        <v>15131</v>
      </c>
      <c r="AH3307" t="s">
        <v>15132</v>
      </c>
    </row>
    <row r="3308" spans="1:34" x14ac:dyDescent="0.25">
      <c r="A3308">
        <v>2079</v>
      </c>
      <c r="C3308" s="185"/>
      <c r="E3308" t="s">
        <v>386</v>
      </c>
      <c r="F3308" t="s">
        <v>4857</v>
      </c>
      <c r="G3308" t="s">
        <v>1197</v>
      </c>
      <c r="H3308" t="s">
        <v>15133</v>
      </c>
      <c r="I3308">
        <v>14038</v>
      </c>
      <c r="J3308" t="s">
        <v>4857</v>
      </c>
      <c r="K3308" t="s">
        <v>4859</v>
      </c>
      <c r="L3308" t="s">
        <v>386</v>
      </c>
      <c r="M3308" t="s">
        <v>1193</v>
      </c>
      <c r="N3308">
        <v>14038</v>
      </c>
      <c r="O3308">
        <v>0</v>
      </c>
      <c r="Q3308" t="s">
        <v>14526</v>
      </c>
      <c r="R3308" t="s">
        <v>1223</v>
      </c>
      <c r="T3308">
        <v>304</v>
      </c>
      <c r="V3308" t="s">
        <v>2067</v>
      </c>
      <c r="W3308" t="s">
        <v>2067</v>
      </c>
      <c r="X3308">
        <v>304</v>
      </c>
      <c r="Z3308" t="s">
        <v>15134</v>
      </c>
      <c r="AA3308" t="s">
        <v>387</v>
      </c>
      <c r="AB3308">
        <v>0</v>
      </c>
      <c r="AC3308">
        <v>5306</v>
      </c>
      <c r="AD3308" t="s">
        <v>15135</v>
      </c>
      <c r="AE3308">
        <v>207</v>
      </c>
      <c r="AF3308" t="s">
        <v>10716</v>
      </c>
      <c r="AG3308" t="s">
        <v>15136</v>
      </c>
      <c r="AH3308" t="s">
        <v>15137</v>
      </c>
    </row>
    <row r="3309" spans="1:34" x14ac:dyDescent="0.25">
      <c r="A3309">
        <v>1453</v>
      </c>
      <c r="C3309" s="185"/>
      <c r="E3309" t="s">
        <v>386</v>
      </c>
      <c r="F3309" t="s">
        <v>15138</v>
      </c>
      <c r="G3309" t="s">
        <v>1197</v>
      </c>
      <c r="H3309" t="s">
        <v>15139</v>
      </c>
      <c r="I3309">
        <v>14083</v>
      </c>
      <c r="J3309" t="s">
        <v>15138</v>
      </c>
      <c r="K3309" t="s">
        <v>15140</v>
      </c>
      <c r="L3309" t="s">
        <v>386</v>
      </c>
      <c r="M3309" t="s">
        <v>1193</v>
      </c>
      <c r="N3309">
        <v>14083</v>
      </c>
      <c r="O3309">
        <v>0</v>
      </c>
      <c r="Q3309" t="s">
        <v>14526</v>
      </c>
      <c r="R3309" t="s">
        <v>1208</v>
      </c>
      <c r="T3309">
        <v>571</v>
      </c>
      <c r="V3309" t="s">
        <v>2003</v>
      </c>
      <c r="W3309" t="s">
        <v>2067</v>
      </c>
      <c r="X3309">
        <v>304</v>
      </c>
      <c r="Z3309" t="s">
        <v>1195</v>
      </c>
      <c r="AA3309" t="s">
        <v>387</v>
      </c>
      <c r="AB3309">
        <v>0</v>
      </c>
      <c r="AC3309">
        <v>5326</v>
      </c>
      <c r="AD3309" t="s">
        <v>15141</v>
      </c>
      <c r="AE3309">
        <v>2472</v>
      </c>
      <c r="AF3309" t="s">
        <v>6327</v>
      </c>
      <c r="AG3309" t="s">
        <v>1244</v>
      </c>
      <c r="AH3309" t="s">
        <v>15142</v>
      </c>
    </row>
    <row r="3310" spans="1:34" x14ac:dyDescent="0.25">
      <c r="A3310">
        <v>1</v>
      </c>
      <c r="C3310" s="185"/>
      <c r="E3310" t="s">
        <v>386</v>
      </c>
      <c r="F3310" t="s">
        <v>15143</v>
      </c>
      <c r="G3310" t="s">
        <v>1197</v>
      </c>
      <c r="H3310" t="s">
        <v>15144</v>
      </c>
      <c r="I3310">
        <v>14100</v>
      </c>
      <c r="J3310" t="s">
        <v>15143</v>
      </c>
      <c r="K3310" t="s">
        <v>15145</v>
      </c>
      <c r="L3310" t="s">
        <v>386</v>
      </c>
      <c r="M3310" t="s">
        <v>1193</v>
      </c>
      <c r="N3310">
        <v>14100</v>
      </c>
      <c r="O3310">
        <v>0</v>
      </c>
      <c r="Q3310" t="s">
        <v>14526</v>
      </c>
      <c r="R3310" t="s">
        <v>1208</v>
      </c>
      <c r="T3310">
        <v>571</v>
      </c>
      <c r="V3310" t="s">
        <v>2003</v>
      </c>
      <c r="W3310" t="s">
        <v>1200</v>
      </c>
      <c r="X3310">
        <v>340</v>
      </c>
      <c r="Z3310" t="s">
        <v>865</v>
      </c>
      <c r="AA3310" t="s">
        <v>387</v>
      </c>
      <c r="AB3310">
        <v>0</v>
      </c>
      <c r="AC3310">
        <v>4507</v>
      </c>
      <c r="AD3310" t="s">
        <v>15146</v>
      </c>
      <c r="AE3310">
        <v>396</v>
      </c>
      <c r="AF3310" t="s">
        <v>3781</v>
      </c>
      <c r="AG3310" t="s">
        <v>3573</v>
      </c>
      <c r="AH3310" t="s">
        <v>15147</v>
      </c>
    </row>
    <row r="3311" spans="1:34" x14ac:dyDescent="0.25">
      <c r="A3311">
        <v>1024</v>
      </c>
      <c r="C3311" s="185"/>
      <c r="E3311" t="s">
        <v>386</v>
      </c>
      <c r="F3311" t="s">
        <v>15148</v>
      </c>
      <c r="G3311" t="s">
        <v>1197</v>
      </c>
      <c r="H3311" t="s">
        <v>15149</v>
      </c>
      <c r="I3311">
        <v>14101</v>
      </c>
      <c r="J3311" t="s">
        <v>15148</v>
      </c>
      <c r="K3311" t="s">
        <v>15150</v>
      </c>
      <c r="L3311" t="s">
        <v>386</v>
      </c>
      <c r="M3311" t="s">
        <v>1193</v>
      </c>
      <c r="N3311">
        <v>14101</v>
      </c>
      <c r="O3311">
        <v>0</v>
      </c>
      <c r="Q3311" t="s">
        <v>14526</v>
      </c>
      <c r="R3311" t="s">
        <v>1208</v>
      </c>
      <c r="T3311">
        <v>571</v>
      </c>
      <c r="V3311" t="s">
        <v>2003</v>
      </c>
      <c r="W3311" t="s">
        <v>2067</v>
      </c>
      <c r="X3311">
        <v>304</v>
      </c>
      <c r="Z3311" t="s">
        <v>15151</v>
      </c>
      <c r="AA3311" t="s">
        <v>387</v>
      </c>
      <c r="AB3311">
        <v>0</v>
      </c>
      <c r="AC3311">
        <v>5329</v>
      </c>
      <c r="AD3311" t="s">
        <v>15152</v>
      </c>
      <c r="AE3311">
        <v>1</v>
      </c>
      <c r="AF3311" t="s">
        <v>1922</v>
      </c>
      <c r="AG3311" t="s">
        <v>15153</v>
      </c>
      <c r="AH3311" t="s">
        <v>15154</v>
      </c>
    </row>
    <row r="3312" spans="1:34" x14ac:dyDescent="0.25">
      <c r="A3312">
        <v>153</v>
      </c>
      <c r="C3312" s="185"/>
      <c r="E3312" t="s">
        <v>386</v>
      </c>
      <c r="F3312" t="s">
        <v>15155</v>
      </c>
      <c r="G3312" t="s">
        <v>1197</v>
      </c>
      <c r="H3312" t="s">
        <v>15156</v>
      </c>
      <c r="I3312">
        <v>14108</v>
      </c>
      <c r="J3312" t="s">
        <v>15155</v>
      </c>
      <c r="K3312" t="s">
        <v>15157</v>
      </c>
      <c r="L3312" t="s">
        <v>386</v>
      </c>
      <c r="M3312" t="s">
        <v>1193</v>
      </c>
      <c r="N3312">
        <v>14108</v>
      </c>
      <c r="O3312">
        <v>0</v>
      </c>
      <c r="Q3312" t="s">
        <v>14526</v>
      </c>
      <c r="R3312" t="s">
        <v>1208</v>
      </c>
      <c r="T3312">
        <v>571</v>
      </c>
      <c r="V3312" t="s">
        <v>2003</v>
      </c>
      <c r="W3312" t="s">
        <v>2067</v>
      </c>
      <c r="X3312">
        <v>304</v>
      </c>
      <c r="Z3312" t="s">
        <v>969</v>
      </c>
      <c r="AA3312" t="s">
        <v>387</v>
      </c>
      <c r="AB3312">
        <v>0</v>
      </c>
      <c r="AC3312">
        <v>976</v>
      </c>
      <c r="AD3312" t="s">
        <v>14670</v>
      </c>
      <c r="AE3312">
        <v>1</v>
      </c>
      <c r="AF3312" t="s">
        <v>1922</v>
      </c>
      <c r="AG3312" t="s">
        <v>3084</v>
      </c>
      <c r="AH3312" t="s">
        <v>15158</v>
      </c>
    </row>
    <row r="3313" spans="1:34" x14ac:dyDescent="0.25">
      <c r="A3313">
        <v>2038</v>
      </c>
      <c r="C3313" s="185"/>
      <c r="E3313" t="s">
        <v>386</v>
      </c>
      <c r="F3313" t="s">
        <v>15159</v>
      </c>
      <c r="G3313" t="s">
        <v>1197</v>
      </c>
      <c r="H3313" t="s">
        <v>8154</v>
      </c>
      <c r="I3313">
        <v>14119</v>
      </c>
      <c r="J3313" t="s">
        <v>15159</v>
      </c>
      <c r="K3313" t="s">
        <v>15160</v>
      </c>
      <c r="L3313" t="s">
        <v>386</v>
      </c>
      <c r="M3313" t="s">
        <v>1193</v>
      </c>
      <c r="N3313">
        <v>14119</v>
      </c>
      <c r="O3313">
        <v>0</v>
      </c>
      <c r="Q3313" t="s">
        <v>14526</v>
      </c>
      <c r="R3313" t="s">
        <v>1208</v>
      </c>
      <c r="T3313">
        <v>571</v>
      </c>
      <c r="V3313" t="s">
        <v>2003</v>
      </c>
      <c r="W3313" t="s">
        <v>1257</v>
      </c>
      <c r="X3313">
        <v>426</v>
      </c>
      <c r="Z3313" t="s">
        <v>8157</v>
      </c>
      <c r="AA3313" t="s">
        <v>387</v>
      </c>
      <c r="AB3313">
        <v>0</v>
      </c>
      <c r="AC3313">
        <v>262</v>
      </c>
      <c r="AD3313" t="s">
        <v>7049</v>
      </c>
      <c r="AE3313">
        <v>2480</v>
      </c>
      <c r="AF3313" t="s">
        <v>15161</v>
      </c>
      <c r="AG3313" t="s">
        <v>1244</v>
      </c>
    </row>
    <row r="3314" spans="1:34" x14ac:dyDescent="0.25">
      <c r="A3314">
        <v>1</v>
      </c>
      <c r="C3314" s="185"/>
      <c r="E3314" t="s">
        <v>386</v>
      </c>
      <c r="F3314" t="s">
        <v>15162</v>
      </c>
      <c r="G3314" t="s">
        <v>1197</v>
      </c>
      <c r="H3314" t="s">
        <v>15163</v>
      </c>
      <c r="I3314">
        <v>14127</v>
      </c>
      <c r="J3314" t="s">
        <v>15162</v>
      </c>
      <c r="K3314" t="s">
        <v>15162</v>
      </c>
      <c r="L3314" t="s">
        <v>386</v>
      </c>
      <c r="M3314" t="s">
        <v>1193</v>
      </c>
      <c r="N3314">
        <v>14127</v>
      </c>
      <c r="O3314">
        <v>0</v>
      </c>
      <c r="Q3314" t="s">
        <v>14526</v>
      </c>
      <c r="T3314">
        <v>571</v>
      </c>
      <c r="V3314" t="s">
        <v>2003</v>
      </c>
      <c r="W3314" t="s">
        <v>1199</v>
      </c>
      <c r="X3314">
        <v>200</v>
      </c>
      <c r="Z3314" t="s">
        <v>865</v>
      </c>
      <c r="AA3314" t="s">
        <v>387</v>
      </c>
      <c r="AB3314">
        <v>0</v>
      </c>
      <c r="AC3314">
        <v>4841</v>
      </c>
      <c r="AD3314" t="s">
        <v>15164</v>
      </c>
      <c r="AE3314">
        <v>78</v>
      </c>
      <c r="AF3314" t="s">
        <v>3061</v>
      </c>
      <c r="AG3314" t="s">
        <v>9873</v>
      </c>
      <c r="AH3314" t="s">
        <v>15165</v>
      </c>
    </row>
    <row r="3315" spans="1:34" x14ac:dyDescent="0.25">
      <c r="A3315">
        <v>1</v>
      </c>
      <c r="C3315" s="185"/>
      <c r="E3315" t="s">
        <v>386</v>
      </c>
      <c r="F3315" t="s">
        <v>15166</v>
      </c>
      <c r="G3315" t="s">
        <v>1197</v>
      </c>
      <c r="H3315" t="s">
        <v>6935</v>
      </c>
      <c r="I3315">
        <v>14169</v>
      </c>
      <c r="J3315" t="s">
        <v>15166</v>
      </c>
      <c r="K3315" t="s">
        <v>15166</v>
      </c>
      <c r="L3315" t="s">
        <v>386</v>
      </c>
      <c r="M3315" t="s">
        <v>1193</v>
      </c>
      <c r="N3315">
        <v>14169</v>
      </c>
      <c r="O3315">
        <v>0</v>
      </c>
      <c r="Q3315" t="s">
        <v>14526</v>
      </c>
      <c r="R3315" t="s">
        <v>1208</v>
      </c>
      <c r="T3315">
        <v>200</v>
      </c>
      <c r="V3315" t="s">
        <v>1199</v>
      </c>
      <c r="W3315" t="s">
        <v>2073</v>
      </c>
      <c r="X3315">
        <v>372</v>
      </c>
      <c r="Z3315" t="s">
        <v>865</v>
      </c>
      <c r="AA3315" t="s">
        <v>387</v>
      </c>
      <c r="AB3315">
        <v>0</v>
      </c>
      <c r="AC3315">
        <v>1036</v>
      </c>
      <c r="AD3315" t="s">
        <v>6938</v>
      </c>
      <c r="AE3315">
        <v>2466</v>
      </c>
      <c r="AF3315" t="s">
        <v>15167</v>
      </c>
      <c r="AG3315" t="s">
        <v>9817</v>
      </c>
      <c r="AH3315" t="s">
        <v>4388</v>
      </c>
    </row>
    <row r="3316" spans="1:34" x14ac:dyDescent="0.25">
      <c r="A3316">
        <v>53</v>
      </c>
      <c r="C3316" s="185"/>
      <c r="E3316" t="s">
        <v>386</v>
      </c>
      <c r="F3316" t="s">
        <v>15168</v>
      </c>
      <c r="G3316" t="s">
        <v>1197</v>
      </c>
      <c r="H3316" t="s">
        <v>5374</v>
      </c>
      <c r="I3316">
        <v>14233</v>
      </c>
      <c r="J3316" t="s">
        <v>15168</v>
      </c>
      <c r="K3316" t="s">
        <v>15169</v>
      </c>
      <c r="L3316" t="s">
        <v>386</v>
      </c>
      <c r="M3316" t="s">
        <v>1193</v>
      </c>
      <c r="N3316">
        <v>14233</v>
      </c>
      <c r="O3316">
        <v>0</v>
      </c>
      <c r="Q3316" t="s">
        <v>14526</v>
      </c>
      <c r="R3316" t="s">
        <v>398</v>
      </c>
      <c r="T3316">
        <v>200</v>
      </c>
      <c r="V3316" t="s">
        <v>1199</v>
      </c>
      <c r="W3316" t="s">
        <v>1199</v>
      </c>
      <c r="X3316">
        <v>200</v>
      </c>
      <c r="Z3316" t="s">
        <v>943</v>
      </c>
      <c r="AA3316" t="s">
        <v>387</v>
      </c>
      <c r="AB3316">
        <v>0</v>
      </c>
      <c r="AC3316">
        <v>2101</v>
      </c>
      <c r="AD3316" t="s">
        <v>4836</v>
      </c>
      <c r="AE3316">
        <v>1728</v>
      </c>
      <c r="AF3316" t="s">
        <v>11097</v>
      </c>
      <c r="AG3316" t="s">
        <v>15170</v>
      </c>
      <c r="AH3316" t="s">
        <v>15171</v>
      </c>
    </row>
    <row r="3317" spans="1:34" x14ac:dyDescent="0.25">
      <c r="A3317">
        <v>1479</v>
      </c>
      <c r="C3317" s="185"/>
      <c r="E3317" t="s">
        <v>386</v>
      </c>
      <c r="F3317" t="s">
        <v>15172</v>
      </c>
      <c r="G3317" t="s">
        <v>1197</v>
      </c>
      <c r="H3317" t="s">
        <v>8300</v>
      </c>
      <c r="I3317">
        <v>14255</v>
      </c>
      <c r="J3317" t="s">
        <v>15172</v>
      </c>
      <c r="K3317" t="s">
        <v>15173</v>
      </c>
      <c r="L3317" t="s">
        <v>386</v>
      </c>
      <c r="M3317" t="s">
        <v>1193</v>
      </c>
      <c r="N3317">
        <v>14255</v>
      </c>
      <c r="O3317">
        <v>0</v>
      </c>
      <c r="Q3317" t="s">
        <v>14526</v>
      </c>
      <c r="R3317" t="s">
        <v>1208</v>
      </c>
      <c r="T3317">
        <v>52</v>
      </c>
      <c r="V3317" t="s">
        <v>2024</v>
      </c>
      <c r="W3317" t="s">
        <v>2073</v>
      </c>
      <c r="X3317">
        <v>372</v>
      </c>
      <c r="Z3317" t="s">
        <v>2665</v>
      </c>
      <c r="AA3317" t="s">
        <v>387</v>
      </c>
      <c r="AB3317">
        <v>0</v>
      </c>
      <c r="AC3317">
        <v>1902</v>
      </c>
      <c r="AD3317" t="s">
        <v>8302</v>
      </c>
      <c r="AE3317">
        <v>662</v>
      </c>
      <c r="AF3317" t="s">
        <v>8303</v>
      </c>
      <c r="AG3317" t="s">
        <v>9583</v>
      </c>
      <c r="AH3317" t="s">
        <v>15174</v>
      </c>
    </row>
    <row r="3318" spans="1:34" x14ac:dyDescent="0.25">
      <c r="A3318">
        <v>1479</v>
      </c>
      <c r="C3318" s="185"/>
      <c r="E3318" t="s">
        <v>386</v>
      </c>
      <c r="F3318" t="s">
        <v>15175</v>
      </c>
      <c r="G3318" t="s">
        <v>1197</v>
      </c>
      <c r="H3318" t="s">
        <v>15176</v>
      </c>
      <c r="I3318">
        <v>14525</v>
      </c>
      <c r="J3318" t="s">
        <v>15175</v>
      </c>
      <c r="K3318" t="s">
        <v>15177</v>
      </c>
      <c r="L3318" t="s">
        <v>386</v>
      </c>
      <c r="M3318" t="s">
        <v>1193</v>
      </c>
      <c r="N3318">
        <v>14525</v>
      </c>
      <c r="O3318">
        <v>0</v>
      </c>
      <c r="Q3318" t="s">
        <v>14526</v>
      </c>
      <c r="T3318">
        <v>571</v>
      </c>
      <c r="V3318" t="s">
        <v>2003</v>
      </c>
      <c r="W3318" t="s">
        <v>2073</v>
      </c>
      <c r="X3318">
        <v>372</v>
      </c>
      <c r="Z3318" t="s">
        <v>2665</v>
      </c>
      <c r="AA3318" t="s">
        <v>387</v>
      </c>
      <c r="AB3318">
        <v>0</v>
      </c>
      <c r="AC3318">
        <v>5523</v>
      </c>
      <c r="AD3318" t="s">
        <v>15178</v>
      </c>
      <c r="AE3318">
        <v>1</v>
      </c>
      <c r="AF3318" t="s">
        <v>1922</v>
      </c>
      <c r="AG3318" t="s">
        <v>13183</v>
      </c>
      <c r="AH3318" t="s">
        <v>15179</v>
      </c>
    </row>
    <row r="3319" spans="1:34" x14ac:dyDescent="0.25">
      <c r="A3319">
        <v>1</v>
      </c>
      <c r="C3319" s="185"/>
      <c r="E3319" t="s">
        <v>386</v>
      </c>
      <c r="F3319" t="s">
        <v>15180</v>
      </c>
      <c r="G3319" t="s">
        <v>1197</v>
      </c>
      <c r="H3319" t="s">
        <v>6081</v>
      </c>
      <c r="I3319">
        <v>14604</v>
      </c>
      <c r="J3319" t="s">
        <v>15180</v>
      </c>
      <c r="K3319" t="s">
        <v>15180</v>
      </c>
      <c r="L3319" t="s">
        <v>386</v>
      </c>
      <c r="M3319" t="s">
        <v>1193</v>
      </c>
      <c r="N3319">
        <v>14604</v>
      </c>
      <c r="O3319">
        <v>0</v>
      </c>
      <c r="Q3319" t="s">
        <v>14526</v>
      </c>
      <c r="R3319" t="s">
        <v>1208</v>
      </c>
      <c r="T3319">
        <v>571</v>
      </c>
      <c r="V3319" t="s">
        <v>2003</v>
      </c>
      <c r="W3319" t="s">
        <v>2073</v>
      </c>
      <c r="X3319">
        <v>372</v>
      </c>
      <c r="Z3319" t="s">
        <v>865</v>
      </c>
      <c r="AA3319" t="s">
        <v>387</v>
      </c>
      <c r="AB3319">
        <v>0</v>
      </c>
      <c r="AC3319">
        <v>40</v>
      </c>
      <c r="AD3319" t="s">
        <v>3067</v>
      </c>
      <c r="AE3319">
        <v>26</v>
      </c>
      <c r="AF3319" t="s">
        <v>2075</v>
      </c>
      <c r="AG3319" t="s">
        <v>15181</v>
      </c>
      <c r="AH3319" t="s">
        <v>15182</v>
      </c>
    </row>
    <row r="3320" spans="1:34" x14ac:dyDescent="0.25">
      <c r="A3320">
        <v>1</v>
      </c>
      <c r="C3320" s="185"/>
      <c r="E3320" t="s">
        <v>386</v>
      </c>
      <c r="F3320" t="s">
        <v>15183</v>
      </c>
      <c r="G3320" t="s">
        <v>1192</v>
      </c>
      <c r="H3320" t="s">
        <v>15184</v>
      </c>
      <c r="I3320">
        <v>14729</v>
      </c>
      <c r="J3320" t="s">
        <v>15183</v>
      </c>
      <c r="K3320" t="s">
        <v>15185</v>
      </c>
      <c r="L3320" t="s">
        <v>386</v>
      </c>
      <c r="M3320" t="s">
        <v>1193</v>
      </c>
      <c r="N3320">
        <v>14729</v>
      </c>
      <c r="O3320">
        <v>0</v>
      </c>
      <c r="Q3320" t="s">
        <v>14526</v>
      </c>
      <c r="R3320" t="s">
        <v>1208</v>
      </c>
      <c r="T3320">
        <v>259</v>
      </c>
      <c r="V3320" t="s">
        <v>1215</v>
      </c>
      <c r="W3320" t="s">
        <v>1215</v>
      </c>
      <c r="X3320">
        <v>259</v>
      </c>
      <c r="Z3320" t="s">
        <v>865</v>
      </c>
      <c r="AA3320" t="s">
        <v>387</v>
      </c>
      <c r="AB3320">
        <v>0</v>
      </c>
      <c r="AC3320">
        <v>2355</v>
      </c>
      <c r="AD3320" t="s">
        <v>15186</v>
      </c>
      <c r="AE3320">
        <v>25</v>
      </c>
      <c r="AF3320" t="s">
        <v>2017</v>
      </c>
      <c r="AG3320" t="s">
        <v>14492</v>
      </c>
      <c r="AH3320" t="s">
        <v>15187</v>
      </c>
    </row>
    <row r="3321" spans="1:34" x14ac:dyDescent="0.25">
      <c r="A3321">
        <v>48</v>
      </c>
      <c r="C3321" s="185"/>
      <c r="E3321" t="s">
        <v>386</v>
      </c>
      <c r="F3321" t="s">
        <v>15188</v>
      </c>
      <c r="G3321" t="s">
        <v>1192</v>
      </c>
      <c r="H3321" t="s">
        <v>15189</v>
      </c>
      <c r="I3321">
        <v>14814</v>
      </c>
      <c r="J3321" t="s">
        <v>15188</v>
      </c>
      <c r="K3321" t="s">
        <v>15190</v>
      </c>
      <c r="L3321" t="s">
        <v>386</v>
      </c>
      <c r="M3321" t="s">
        <v>1193</v>
      </c>
      <c r="N3321">
        <v>14814</v>
      </c>
      <c r="O3321">
        <v>0</v>
      </c>
      <c r="Q3321" t="s">
        <v>14526</v>
      </c>
      <c r="T3321">
        <v>571</v>
      </c>
      <c r="V3321" t="s">
        <v>2003</v>
      </c>
      <c r="W3321" t="s">
        <v>2073</v>
      </c>
      <c r="X3321">
        <v>372</v>
      </c>
      <c r="Z3321" t="s">
        <v>2797</v>
      </c>
      <c r="AA3321" t="s">
        <v>387</v>
      </c>
      <c r="AB3321">
        <v>0</v>
      </c>
      <c r="AC3321">
        <v>5641</v>
      </c>
      <c r="AD3321" t="s">
        <v>15191</v>
      </c>
      <c r="AE3321">
        <v>2606</v>
      </c>
      <c r="AF3321" t="s">
        <v>15192</v>
      </c>
      <c r="AG3321" t="s">
        <v>15193</v>
      </c>
      <c r="AH3321" t="s">
        <v>15194</v>
      </c>
    </row>
    <row r="3322" spans="1:34" x14ac:dyDescent="0.25">
      <c r="A3322">
        <v>133</v>
      </c>
      <c r="C3322" s="185"/>
      <c r="E3322" t="s">
        <v>386</v>
      </c>
      <c r="F3322" t="s">
        <v>15195</v>
      </c>
      <c r="G3322" t="s">
        <v>1197</v>
      </c>
      <c r="H3322" t="s">
        <v>15196</v>
      </c>
      <c r="I3322">
        <v>15033</v>
      </c>
      <c r="J3322" t="s">
        <v>15195</v>
      </c>
      <c r="K3322" t="s">
        <v>15197</v>
      </c>
      <c r="L3322" t="s">
        <v>386</v>
      </c>
      <c r="M3322" t="s">
        <v>1193</v>
      </c>
      <c r="N3322">
        <v>15033</v>
      </c>
      <c r="O3322">
        <v>0</v>
      </c>
      <c r="Q3322" t="s">
        <v>14526</v>
      </c>
      <c r="R3322" t="s">
        <v>1208</v>
      </c>
      <c r="T3322">
        <v>52</v>
      </c>
      <c r="V3322" t="s">
        <v>2024</v>
      </c>
      <c r="W3322" t="s">
        <v>2073</v>
      </c>
      <c r="X3322">
        <v>372</v>
      </c>
      <c r="Z3322" t="s">
        <v>3195</v>
      </c>
      <c r="AA3322" t="s">
        <v>387</v>
      </c>
      <c r="AB3322">
        <v>0</v>
      </c>
      <c r="AC3322">
        <v>4222</v>
      </c>
      <c r="AD3322" t="s">
        <v>15198</v>
      </c>
      <c r="AE3322">
        <v>2635</v>
      </c>
      <c r="AF3322" t="s">
        <v>15199</v>
      </c>
      <c r="AG3322" t="s">
        <v>7603</v>
      </c>
      <c r="AH3322" t="s">
        <v>15200</v>
      </c>
    </row>
    <row r="3323" spans="1:34" x14ac:dyDescent="0.25">
      <c r="A3323">
        <v>32</v>
      </c>
      <c r="C3323" s="185"/>
      <c r="E3323" t="s">
        <v>386</v>
      </c>
      <c r="F3323" t="s">
        <v>15201</v>
      </c>
      <c r="G3323" t="s">
        <v>1197</v>
      </c>
      <c r="H3323" t="s">
        <v>15202</v>
      </c>
      <c r="I3323">
        <v>15063</v>
      </c>
      <c r="J3323" t="s">
        <v>15201</v>
      </c>
      <c r="K3323" t="s">
        <v>15203</v>
      </c>
      <c r="L3323" t="s">
        <v>386</v>
      </c>
      <c r="M3323" t="s">
        <v>1193</v>
      </c>
      <c r="N3323">
        <v>15063</v>
      </c>
      <c r="O3323">
        <v>0</v>
      </c>
      <c r="Q3323" t="s">
        <v>14526</v>
      </c>
      <c r="R3323" t="s">
        <v>1208</v>
      </c>
      <c r="T3323">
        <v>372</v>
      </c>
      <c r="V3323" t="s">
        <v>2073</v>
      </c>
      <c r="W3323" t="s">
        <v>2073</v>
      </c>
      <c r="X3323">
        <v>372</v>
      </c>
      <c r="Z3323" t="s">
        <v>874</v>
      </c>
      <c r="AA3323" t="s">
        <v>387</v>
      </c>
      <c r="AB3323">
        <v>0</v>
      </c>
      <c r="AC3323">
        <v>1960</v>
      </c>
      <c r="AD3323" t="s">
        <v>9517</v>
      </c>
      <c r="AE3323">
        <v>311</v>
      </c>
      <c r="AF3323" t="s">
        <v>4126</v>
      </c>
      <c r="AG3323" t="s">
        <v>15204</v>
      </c>
      <c r="AH3323" t="s">
        <v>15205</v>
      </c>
    </row>
    <row r="3324" spans="1:34" x14ac:dyDescent="0.25">
      <c r="A3324">
        <v>1408</v>
      </c>
      <c r="C3324" s="185"/>
      <c r="D3324" t="s">
        <v>24</v>
      </c>
      <c r="E3324" t="s">
        <v>386</v>
      </c>
      <c r="F3324" t="s">
        <v>362</v>
      </c>
      <c r="G3324" t="s">
        <v>1197</v>
      </c>
      <c r="I3324">
        <v>7507</v>
      </c>
      <c r="J3324" t="s">
        <v>15206</v>
      </c>
      <c r="K3324" t="s">
        <v>15206</v>
      </c>
      <c r="L3324" t="s">
        <v>386</v>
      </c>
      <c r="M3324" t="s">
        <v>1193</v>
      </c>
      <c r="N3324">
        <v>15321</v>
      </c>
      <c r="O3324">
        <v>11</v>
      </c>
      <c r="Q3324" t="s">
        <v>14526</v>
      </c>
      <c r="R3324" t="s">
        <v>398</v>
      </c>
      <c r="T3324">
        <v>272</v>
      </c>
      <c r="V3324" t="s">
        <v>2107</v>
      </c>
      <c r="W3324" t="s">
        <v>1988</v>
      </c>
      <c r="X3324">
        <v>122</v>
      </c>
      <c r="Z3324" t="s">
        <v>1036</v>
      </c>
      <c r="AA3324" t="s">
        <v>387</v>
      </c>
      <c r="AB3324">
        <v>7000</v>
      </c>
      <c r="AC3324">
        <v>3191</v>
      </c>
      <c r="AD3324" t="s">
        <v>15207</v>
      </c>
      <c r="AE3324">
        <v>1</v>
      </c>
      <c r="AF3324" t="s">
        <v>1922</v>
      </c>
      <c r="AG3324" t="s">
        <v>15208</v>
      </c>
      <c r="AH3324" t="s">
        <v>15209</v>
      </c>
    </row>
    <row r="3325" spans="1:34" x14ac:dyDescent="0.25">
      <c r="A3325">
        <v>1414</v>
      </c>
      <c r="C3325" s="185"/>
      <c r="E3325" t="s">
        <v>386</v>
      </c>
      <c r="F3325" t="s">
        <v>7356</v>
      </c>
      <c r="G3325" t="s">
        <v>1197</v>
      </c>
      <c r="H3325" t="s">
        <v>15210</v>
      </c>
      <c r="I3325">
        <v>15372</v>
      </c>
      <c r="J3325" t="s">
        <v>7356</v>
      </c>
      <c r="K3325" t="s">
        <v>6099</v>
      </c>
      <c r="L3325" t="s">
        <v>386</v>
      </c>
      <c r="M3325" t="s">
        <v>1193</v>
      </c>
      <c r="N3325">
        <v>15372</v>
      </c>
      <c r="O3325">
        <v>0</v>
      </c>
      <c r="Q3325" t="s">
        <v>14526</v>
      </c>
      <c r="R3325" t="s">
        <v>1208</v>
      </c>
      <c r="T3325">
        <v>200</v>
      </c>
      <c r="V3325" t="s">
        <v>1199</v>
      </c>
      <c r="W3325" t="s">
        <v>1199</v>
      </c>
      <c r="X3325">
        <v>200</v>
      </c>
      <c r="Z3325" t="s">
        <v>3034</v>
      </c>
      <c r="AA3325" t="s">
        <v>387</v>
      </c>
      <c r="AB3325">
        <v>0</v>
      </c>
      <c r="AC3325">
        <v>5816</v>
      </c>
      <c r="AD3325" t="s">
        <v>15211</v>
      </c>
      <c r="AE3325">
        <v>1</v>
      </c>
      <c r="AF3325" t="s">
        <v>1922</v>
      </c>
      <c r="AG3325" t="s">
        <v>15212</v>
      </c>
      <c r="AH3325" t="s">
        <v>6104</v>
      </c>
    </row>
    <row r="3326" spans="1:34" x14ac:dyDescent="0.25">
      <c r="A3326">
        <v>39</v>
      </c>
      <c r="B3326" t="s">
        <v>1313</v>
      </c>
      <c r="C3326" s="185"/>
      <c r="D3326" t="s">
        <v>24</v>
      </c>
      <c r="E3326" t="s">
        <v>386</v>
      </c>
      <c r="F3326" t="s">
        <v>491</v>
      </c>
      <c r="H3326" t="s">
        <v>15213</v>
      </c>
      <c r="I3326">
        <v>16144</v>
      </c>
      <c r="J3326" t="s">
        <v>491</v>
      </c>
      <c r="K3326" t="s">
        <v>15214</v>
      </c>
      <c r="L3326" t="s">
        <v>386</v>
      </c>
      <c r="M3326" t="s">
        <v>1193</v>
      </c>
      <c r="N3326">
        <v>16144</v>
      </c>
      <c r="O3326">
        <v>64</v>
      </c>
      <c r="Q3326" t="s">
        <v>14526</v>
      </c>
      <c r="R3326" t="s">
        <v>398</v>
      </c>
      <c r="S3326" t="s">
        <v>1909</v>
      </c>
      <c r="T3326">
        <v>200</v>
      </c>
      <c r="U3326">
        <v>0</v>
      </c>
      <c r="V3326" t="s">
        <v>1199</v>
      </c>
      <c r="W3326" t="s">
        <v>1194</v>
      </c>
      <c r="X3326">
        <v>220</v>
      </c>
      <c r="Y3326" t="s">
        <v>1317</v>
      </c>
      <c r="Z3326" t="s">
        <v>2303</v>
      </c>
      <c r="AA3326" t="s">
        <v>387</v>
      </c>
      <c r="AB3326">
        <v>56000</v>
      </c>
      <c r="AC3326">
        <v>2658</v>
      </c>
      <c r="AD3326" t="s">
        <v>15215</v>
      </c>
      <c r="AE3326">
        <v>1280</v>
      </c>
      <c r="AF3326" t="s">
        <v>15216</v>
      </c>
      <c r="AG3326" t="s">
        <v>15217</v>
      </c>
      <c r="AH3326" t="s">
        <v>9297</v>
      </c>
    </row>
    <row r="3327" spans="1:34" x14ac:dyDescent="0.25">
      <c r="A3327">
        <v>1456</v>
      </c>
      <c r="C3327" s="185"/>
      <c r="D3327" t="s">
        <v>157</v>
      </c>
      <c r="E3327" t="s">
        <v>386</v>
      </c>
      <c r="F3327" t="s">
        <v>551</v>
      </c>
      <c r="G3327" t="s">
        <v>1197</v>
      </c>
      <c r="H3327" t="s">
        <v>15218</v>
      </c>
      <c r="I3327">
        <v>16318</v>
      </c>
      <c r="J3327" t="s">
        <v>551</v>
      </c>
      <c r="K3327" t="s">
        <v>551</v>
      </c>
      <c r="L3327" t="s">
        <v>386</v>
      </c>
      <c r="M3327" t="s">
        <v>1193</v>
      </c>
      <c r="N3327">
        <v>16318</v>
      </c>
      <c r="O3327">
        <v>0</v>
      </c>
      <c r="Q3327" t="s">
        <v>14526</v>
      </c>
      <c r="R3327" t="s">
        <v>398</v>
      </c>
      <c r="T3327">
        <v>200</v>
      </c>
      <c r="V3327" t="s">
        <v>1199</v>
      </c>
      <c r="W3327" t="s">
        <v>1199</v>
      </c>
      <c r="X3327">
        <v>200</v>
      </c>
      <c r="Z3327" t="s">
        <v>915</v>
      </c>
      <c r="AA3327" t="s">
        <v>387</v>
      </c>
      <c r="AB3327">
        <v>0</v>
      </c>
      <c r="AC3327">
        <v>6117</v>
      </c>
      <c r="AD3327" t="s">
        <v>15219</v>
      </c>
      <c r="AE3327">
        <v>2802</v>
      </c>
      <c r="AF3327" t="s">
        <v>15220</v>
      </c>
      <c r="AG3327" t="s">
        <v>15221</v>
      </c>
      <c r="AH3327" t="s">
        <v>15222</v>
      </c>
    </row>
    <row r="3328" spans="1:34" x14ac:dyDescent="0.25">
      <c r="A3328">
        <v>1</v>
      </c>
      <c r="C3328" s="185"/>
      <c r="D3328" t="s">
        <v>157</v>
      </c>
      <c r="E3328" t="s">
        <v>386</v>
      </c>
      <c r="F3328" t="s">
        <v>573</v>
      </c>
      <c r="G3328" t="s">
        <v>1197</v>
      </c>
      <c r="H3328" t="s">
        <v>15223</v>
      </c>
      <c r="I3328">
        <v>16645</v>
      </c>
      <c r="J3328" t="s">
        <v>573</v>
      </c>
      <c r="K3328" t="s">
        <v>15224</v>
      </c>
      <c r="L3328" t="s">
        <v>386</v>
      </c>
      <c r="M3328" t="s">
        <v>1193</v>
      </c>
      <c r="N3328">
        <v>16645</v>
      </c>
      <c r="O3328">
        <v>0</v>
      </c>
      <c r="Q3328" t="s">
        <v>14526</v>
      </c>
      <c r="R3328" t="s">
        <v>398</v>
      </c>
      <c r="T3328">
        <v>200</v>
      </c>
      <c r="V3328" t="s">
        <v>1199</v>
      </c>
      <c r="W3328" t="s">
        <v>1199</v>
      </c>
      <c r="X3328">
        <v>200</v>
      </c>
      <c r="Z3328" t="s">
        <v>865</v>
      </c>
      <c r="AA3328" t="s">
        <v>387</v>
      </c>
      <c r="AB3328">
        <v>0</v>
      </c>
      <c r="AC3328">
        <v>1706</v>
      </c>
      <c r="AD3328" t="s">
        <v>1250</v>
      </c>
      <c r="AE3328">
        <v>1720</v>
      </c>
      <c r="AF3328" t="s">
        <v>5929</v>
      </c>
      <c r="AG3328" t="s">
        <v>15225</v>
      </c>
      <c r="AH3328" t="s">
        <v>15226</v>
      </c>
    </row>
    <row r="3329" spans="1:34" x14ac:dyDescent="0.25">
      <c r="A3329">
        <v>1076</v>
      </c>
      <c r="C3329" s="185"/>
      <c r="D3329" t="s">
        <v>157</v>
      </c>
      <c r="E3329" t="s">
        <v>386</v>
      </c>
      <c r="F3329" t="s">
        <v>574</v>
      </c>
      <c r="G3329" t="s">
        <v>1197</v>
      </c>
      <c r="H3329" t="s">
        <v>15227</v>
      </c>
      <c r="I3329">
        <v>16646</v>
      </c>
      <c r="J3329" t="s">
        <v>574</v>
      </c>
      <c r="K3329" t="s">
        <v>574</v>
      </c>
      <c r="L3329" t="s">
        <v>386</v>
      </c>
      <c r="M3329" t="s">
        <v>1193</v>
      </c>
      <c r="N3329">
        <v>16646</v>
      </c>
      <c r="O3329">
        <v>0</v>
      </c>
      <c r="Q3329" t="s">
        <v>14526</v>
      </c>
      <c r="R3329" t="s">
        <v>398</v>
      </c>
      <c r="T3329">
        <v>200</v>
      </c>
      <c r="V3329" t="s">
        <v>1199</v>
      </c>
      <c r="W3329" t="s">
        <v>1199</v>
      </c>
      <c r="X3329">
        <v>200</v>
      </c>
      <c r="Z3329" t="s">
        <v>10527</v>
      </c>
      <c r="AA3329" t="s">
        <v>387</v>
      </c>
      <c r="AB3329">
        <v>0</v>
      </c>
      <c r="AC3329">
        <v>6217</v>
      </c>
      <c r="AD3329" t="s">
        <v>15228</v>
      </c>
      <c r="AE3329">
        <v>765</v>
      </c>
      <c r="AF3329" t="s">
        <v>15229</v>
      </c>
      <c r="AG3329" t="s">
        <v>11306</v>
      </c>
      <c r="AH3329" t="s">
        <v>15230</v>
      </c>
    </row>
    <row r="3330" spans="1:34" x14ac:dyDescent="0.25">
      <c r="A3330">
        <v>31</v>
      </c>
      <c r="B3330" t="s">
        <v>1313</v>
      </c>
      <c r="C3330" s="185"/>
      <c r="D3330" t="s">
        <v>24</v>
      </c>
      <c r="E3330" t="s">
        <v>386</v>
      </c>
      <c r="F3330" t="s">
        <v>583</v>
      </c>
      <c r="H3330" t="s">
        <v>15231</v>
      </c>
      <c r="I3330">
        <v>16723</v>
      </c>
      <c r="J3330" t="s">
        <v>583</v>
      </c>
      <c r="K3330" t="s">
        <v>15232</v>
      </c>
      <c r="L3330" t="s">
        <v>386</v>
      </c>
      <c r="M3330" t="s">
        <v>1193</v>
      </c>
      <c r="N3330">
        <v>16723</v>
      </c>
      <c r="O3330">
        <v>76</v>
      </c>
      <c r="Q3330" t="s">
        <v>14526</v>
      </c>
      <c r="R3330" t="s">
        <v>398</v>
      </c>
      <c r="S3330" t="s">
        <v>1909</v>
      </c>
      <c r="T3330">
        <v>220</v>
      </c>
      <c r="U3330">
        <v>0</v>
      </c>
      <c r="V3330" t="s">
        <v>1194</v>
      </c>
      <c r="W3330" t="s">
        <v>1199</v>
      </c>
      <c r="X3330">
        <v>200</v>
      </c>
      <c r="Y3330" t="s">
        <v>1317</v>
      </c>
      <c r="Z3330" t="s">
        <v>1132</v>
      </c>
      <c r="AA3330" t="s">
        <v>387</v>
      </c>
      <c r="AB3330">
        <v>69000</v>
      </c>
      <c r="AC3330">
        <v>6232</v>
      </c>
      <c r="AD3330" t="s">
        <v>15233</v>
      </c>
      <c r="AE3330">
        <v>450</v>
      </c>
      <c r="AF3330" t="s">
        <v>15234</v>
      </c>
      <c r="AG3330" t="s">
        <v>7354</v>
      </c>
      <c r="AH3330" t="s">
        <v>13902</v>
      </c>
    </row>
    <row r="3331" spans="1:34" x14ac:dyDescent="0.25">
      <c r="A3331">
        <v>1875</v>
      </c>
      <c r="C3331" s="185"/>
      <c r="E3331" t="s">
        <v>386</v>
      </c>
      <c r="F3331" t="s">
        <v>15235</v>
      </c>
      <c r="G3331" t="s">
        <v>1192</v>
      </c>
      <c r="H3331" t="s">
        <v>15236</v>
      </c>
      <c r="I3331">
        <v>16747</v>
      </c>
      <c r="J3331" t="s">
        <v>15235</v>
      </c>
      <c r="K3331" t="s">
        <v>15237</v>
      </c>
      <c r="L3331" t="s">
        <v>386</v>
      </c>
      <c r="M3331" t="s">
        <v>1193</v>
      </c>
      <c r="N3331">
        <v>16747</v>
      </c>
      <c r="O3331">
        <v>0</v>
      </c>
      <c r="Q3331" t="s">
        <v>14526</v>
      </c>
      <c r="R3331" t="s">
        <v>398</v>
      </c>
      <c r="T3331">
        <v>560</v>
      </c>
      <c r="V3331" t="s">
        <v>2602</v>
      </c>
      <c r="W3331" t="s">
        <v>1215</v>
      </c>
      <c r="X3331">
        <v>259</v>
      </c>
      <c r="Z3331" t="s">
        <v>15238</v>
      </c>
      <c r="AA3331" t="s">
        <v>387</v>
      </c>
      <c r="AB3331">
        <v>0</v>
      </c>
      <c r="AC3331">
        <v>6237</v>
      </c>
      <c r="AD3331" t="s">
        <v>15239</v>
      </c>
      <c r="AE3331">
        <v>1</v>
      </c>
      <c r="AF3331" t="s">
        <v>1922</v>
      </c>
      <c r="AG3331" t="s">
        <v>15240</v>
      </c>
      <c r="AH3331" t="s">
        <v>15241</v>
      </c>
    </row>
    <row r="3332" spans="1:34" x14ac:dyDescent="0.25">
      <c r="A3332">
        <v>1479</v>
      </c>
      <c r="C3332" s="185"/>
      <c r="E3332" t="s">
        <v>386</v>
      </c>
      <c r="F3332" t="s">
        <v>7060</v>
      </c>
      <c r="G3332" t="s">
        <v>1197</v>
      </c>
      <c r="H3332" t="s">
        <v>15242</v>
      </c>
      <c r="I3332">
        <v>16845</v>
      </c>
      <c r="J3332" t="s">
        <v>7060</v>
      </c>
      <c r="K3332" t="s">
        <v>7061</v>
      </c>
      <c r="L3332" t="s">
        <v>386</v>
      </c>
      <c r="M3332" t="s">
        <v>1193</v>
      </c>
      <c r="N3332">
        <v>16845</v>
      </c>
      <c r="O3332">
        <v>0</v>
      </c>
      <c r="Q3332" t="s">
        <v>14526</v>
      </c>
      <c r="T3332">
        <v>496</v>
      </c>
      <c r="V3332" t="s">
        <v>2246</v>
      </c>
      <c r="W3332" t="s">
        <v>2246</v>
      </c>
      <c r="X3332">
        <v>496</v>
      </c>
      <c r="Z3332" t="s">
        <v>2665</v>
      </c>
      <c r="AA3332" t="s">
        <v>387</v>
      </c>
      <c r="AB3332">
        <v>0</v>
      </c>
      <c r="AC3332">
        <v>6267</v>
      </c>
      <c r="AD3332" t="s">
        <v>15243</v>
      </c>
      <c r="AE3332">
        <v>2871</v>
      </c>
      <c r="AF3332" t="s">
        <v>15244</v>
      </c>
      <c r="AG3332" t="s">
        <v>6381</v>
      </c>
      <c r="AH3332" t="s">
        <v>15245</v>
      </c>
    </row>
    <row r="3333" spans="1:34" x14ac:dyDescent="0.25">
      <c r="A3333">
        <v>201</v>
      </c>
      <c r="C3333" s="185"/>
      <c r="E3333" t="s">
        <v>386</v>
      </c>
      <c r="F3333" t="s">
        <v>15246</v>
      </c>
      <c r="G3333" t="s">
        <v>1197</v>
      </c>
      <c r="H3333" t="s">
        <v>15247</v>
      </c>
      <c r="I3333">
        <v>17255</v>
      </c>
      <c r="J3333" t="s">
        <v>15246</v>
      </c>
      <c r="K3333" t="s">
        <v>15248</v>
      </c>
      <c r="L3333" t="s">
        <v>386</v>
      </c>
      <c r="M3333" t="s">
        <v>1193</v>
      </c>
      <c r="N3333">
        <v>17255</v>
      </c>
      <c r="O3333">
        <v>0</v>
      </c>
      <c r="Q3333" t="s">
        <v>14526</v>
      </c>
      <c r="R3333" t="s">
        <v>1223</v>
      </c>
      <c r="T3333">
        <v>560</v>
      </c>
      <c r="V3333" t="s">
        <v>2602</v>
      </c>
      <c r="W3333" t="s">
        <v>2602</v>
      </c>
      <c r="X3333">
        <v>560</v>
      </c>
      <c r="Z3333" t="s">
        <v>3859</v>
      </c>
      <c r="AA3333" t="s">
        <v>387</v>
      </c>
      <c r="AB3333">
        <v>0</v>
      </c>
      <c r="AC3333">
        <v>6498</v>
      </c>
      <c r="AD3333" t="s">
        <v>15249</v>
      </c>
      <c r="AE3333">
        <v>1530</v>
      </c>
      <c r="AF3333" t="s">
        <v>15250</v>
      </c>
      <c r="AG3333" t="s">
        <v>15251</v>
      </c>
      <c r="AH3333" t="s">
        <v>15252</v>
      </c>
    </row>
    <row r="3334" spans="1:34" x14ac:dyDescent="0.25">
      <c r="A3334">
        <v>1</v>
      </c>
      <c r="C3334" s="185"/>
      <c r="E3334" t="s">
        <v>386</v>
      </c>
      <c r="F3334" t="s">
        <v>7440</v>
      </c>
      <c r="G3334" t="s">
        <v>1197</v>
      </c>
      <c r="H3334" t="s">
        <v>15253</v>
      </c>
      <c r="I3334">
        <v>17503</v>
      </c>
      <c r="J3334" t="s">
        <v>7440</v>
      </c>
      <c r="K3334" t="s">
        <v>7440</v>
      </c>
      <c r="L3334" t="s">
        <v>386</v>
      </c>
      <c r="M3334" t="s">
        <v>1193</v>
      </c>
      <c r="N3334">
        <v>17503</v>
      </c>
      <c r="O3334">
        <v>0</v>
      </c>
      <c r="Q3334" t="s">
        <v>14526</v>
      </c>
      <c r="R3334" t="s">
        <v>1208</v>
      </c>
      <c r="T3334">
        <v>103</v>
      </c>
      <c r="V3334" t="s">
        <v>1530</v>
      </c>
      <c r="W3334" t="s">
        <v>1530</v>
      </c>
      <c r="X3334">
        <v>103</v>
      </c>
      <c r="Z3334" t="s">
        <v>865</v>
      </c>
      <c r="AA3334" t="s">
        <v>387</v>
      </c>
      <c r="AB3334">
        <v>0</v>
      </c>
      <c r="AC3334">
        <v>6565</v>
      </c>
      <c r="AD3334" t="s">
        <v>15254</v>
      </c>
      <c r="AE3334">
        <v>54</v>
      </c>
      <c r="AF3334" t="s">
        <v>3250</v>
      </c>
      <c r="AG3334" t="s">
        <v>15255</v>
      </c>
      <c r="AH3334" t="s">
        <v>15256</v>
      </c>
    </row>
    <row r="3335" spans="1:34" x14ac:dyDescent="0.25">
      <c r="A3335">
        <v>1</v>
      </c>
      <c r="C3335" s="185"/>
      <c r="E3335" t="s">
        <v>386</v>
      </c>
      <c r="F3335" t="s">
        <v>15257</v>
      </c>
      <c r="H3335" t="s">
        <v>15258</v>
      </c>
      <c r="I3335">
        <v>17619</v>
      </c>
      <c r="J3335" t="s">
        <v>15257</v>
      </c>
      <c r="K3335" t="s">
        <v>15257</v>
      </c>
      <c r="L3335" t="s">
        <v>386</v>
      </c>
      <c r="M3335" t="s">
        <v>1193</v>
      </c>
      <c r="N3335">
        <v>17619</v>
      </c>
      <c r="O3335">
        <v>0</v>
      </c>
      <c r="Q3335" t="s">
        <v>14526</v>
      </c>
      <c r="R3335" t="s">
        <v>398</v>
      </c>
      <c r="T3335">
        <v>560</v>
      </c>
      <c r="V3335" t="s">
        <v>2602</v>
      </c>
      <c r="W3335" t="s">
        <v>4468</v>
      </c>
      <c r="X3335">
        <v>470</v>
      </c>
      <c r="Z3335" t="s">
        <v>865</v>
      </c>
      <c r="AA3335" t="s">
        <v>387</v>
      </c>
      <c r="AB3335">
        <v>0</v>
      </c>
      <c r="AC3335">
        <v>0</v>
      </c>
      <c r="AD3335" t="s">
        <v>1187</v>
      </c>
      <c r="AE3335">
        <v>0</v>
      </c>
      <c r="AF3335" t="s">
        <v>1188</v>
      </c>
    </row>
    <row r="3336" spans="1:34" x14ac:dyDescent="0.25">
      <c r="A3336">
        <v>181</v>
      </c>
      <c r="B3336" t="s">
        <v>1313</v>
      </c>
      <c r="C3336" s="185"/>
      <c r="D3336" t="s">
        <v>24</v>
      </c>
      <c r="E3336" t="s">
        <v>386</v>
      </c>
      <c r="F3336" t="s">
        <v>784</v>
      </c>
      <c r="H3336" t="s">
        <v>12178</v>
      </c>
      <c r="I3336">
        <v>17696</v>
      </c>
      <c r="J3336" t="s">
        <v>784</v>
      </c>
      <c r="K3336" t="s">
        <v>12184</v>
      </c>
      <c r="L3336" t="s">
        <v>386</v>
      </c>
      <c r="M3336" t="s">
        <v>1193</v>
      </c>
      <c r="N3336">
        <v>17696</v>
      </c>
      <c r="O3336">
        <v>76</v>
      </c>
      <c r="Q3336" t="s">
        <v>14526</v>
      </c>
      <c r="R3336" t="s">
        <v>398</v>
      </c>
      <c r="S3336" t="s">
        <v>2293</v>
      </c>
      <c r="T3336">
        <v>200</v>
      </c>
      <c r="U3336">
        <v>0</v>
      </c>
      <c r="V3336" t="s">
        <v>1199</v>
      </c>
      <c r="W3336" t="s">
        <v>1199</v>
      </c>
      <c r="X3336">
        <v>200</v>
      </c>
      <c r="Y3336" t="s">
        <v>1317</v>
      </c>
      <c r="Z3336" t="s">
        <v>948</v>
      </c>
      <c r="AA3336" t="s">
        <v>387</v>
      </c>
      <c r="AB3336">
        <v>0</v>
      </c>
      <c r="AC3336">
        <v>2607</v>
      </c>
      <c r="AD3336" t="s">
        <v>12181</v>
      </c>
      <c r="AE3336">
        <v>3</v>
      </c>
      <c r="AF3336" t="s">
        <v>1235</v>
      </c>
      <c r="AG3336" t="s">
        <v>10910</v>
      </c>
    </row>
    <row r="3337" spans="1:34" x14ac:dyDescent="0.25">
      <c r="A3337">
        <v>201</v>
      </c>
      <c r="C3337" s="185"/>
      <c r="E3337" t="s">
        <v>386</v>
      </c>
      <c r="F3337" t="s">
        <v>15593</v>
      </c>
      <c r="G3337" t="s">
        <v>1192</v>
      </c>
      <c r="H3337" t="s">
        <v>15594</v>
      </c>
      <c r="I3337">
        <v>17760</v>
      </c>
      <c r="J3337" t="s">
        <v>15593</v>
      </c>
      <c r="K3337" t="s">
        <v>15595</v>
      </c>
      <c r="L3337" t="s">
        <v>386</v>
      </c>
      <c r="M3337" t="s">
        <v>1193</v>
      </c>
      <c r="N3337">
        <v>17760</v>
      </c>
      <c r="O3337">
        <v>0</v>
      </c>
      <c r="Q3337" t="s">
        <v>14526</v>
      </c>
      <c r="R3337" t="s">
        <v>1208</v>
      </c>
      <c r="T3337">
        <v>560</v>
      </c>
      <c r="V3337" t="s">
        <v>2602</v>
      </c>
      <c r="W3337" t="s">
        <v>1530</v>
      </c>
      <c r="X3337">
        <v>103</v>
      </c>
      <c r="Z3337" t="s">
        <v>3859</v>
      </c>
      <c r="AA3337" t="s">
        <v>387</v>
      </c>
      <c r="AB3337">
        <v>0</v>
      </c>
      <c r="AC3337">
        <v>6631</v>
      </c>
      <c r="AD3337" t="s">
        <v>15596</v>
      </c>
      <c r="AE3337">
        <v>3061</v>
      </c>
      <c r="AF3337" t="s">
        <v>15597</v>
      </c>
      <c r="AG3337" t="s">
        <v>7050</v>
      </c>
      <c r="AH3337" t="s">
        <v>15598</v>
      </c>
    </row>
    <row r="3338" spans="1:34" x14ac:dyDescent="0.25">
      <c r="A3338">
        <v>1</v>
      </c>
      <c r="C3338" s="185"/>
      <c r="E3338" t="s">
        <v>386</v>
      </c>
      <c r="F3338" t="s">
        <v>15259</v>
      </c>
      <c r="G3338" t="s">
        <v>1192</v>
      </c>
      <c r="I3338">
        <v>1829</v>
      </c>
      <c r="J3338" t="s">
        <v>15259</v>
      </c>
      <c r="K3338" t="s">
        <v>15259</v>
      </c>
      <c r="L3338" t="s">
        <v>386</v>
      </c>
      <c r="M3338" t="s">
        <v>1184</v>
      </c>
      <c r="N3338">
        <v>1829</v>
      </c>
      <c r="O3338">
        <v>0</v>
      </c>
      <c r="Q3338" t="s">
        <v>15260</v>
      </c>
      <c r="T3338">
        <v>35</v>
      </c>
      <c r="V3338" t="s">
        <v>2015</v>
      </c>
      <c r="Z3338" t="s">
        <v>865</v>
      </c>
      <c r="AA3338" t="s">
        <v>387</v>
      </c>
      <c r="AB3338">
        <v>0</v>
      </c>
      <c r="AC3338">
        <v>1365</v>
      </c>
      <c r="AD3338" t="s">
        <v>15261</v>
      </c>
      <c r="AE3338">
        <v>0</v>
      </c>
      <c r="AF3338" t="s">
        <v>1188</v>
      </c>
      <c r="AG3338" t="s">
        <v>15262</v>
      </c>
    </row>
    <row r="3339" spans="1:34" x14ac:dyDescent="0.25">
      <c r="A3339">
        <v>1677</v>
      </c>
      <c r="B3339" t="s">
        <v>1313</v>
      </c>
      <c r="C3339" s="185">
        <v>21550</v>
      </c>
      <c r="D3339" t="s">
        <v>157</v>
      </c>
      <c r="E3339" t="s">
        <v>386</v>
      </c>
      <c r="F3339" t="s">
        <v>15263</v>
      </c>
      <c r="G3339" t="s">
        <v>1192</v>
      </c>
      <c r="H3339" t="s">
        <v>15264</v>
      </c>
      <c r="I3339">
        <v>5434</v>
      </c>
      <c r="J3339" t="s">
        <v>15263</v>
      </c>
      <c r="K3339" t="s">
        <v>15263</v>
      </c>
      <c r="L3339" t="s">
        <v>386</v>
      </c>
      <c r="M3339" t="s">
        <v>1184</v>
      </c>
      <c r="N3339">
        <v>5434</v>
      </c>
      <c r="O3339">
        <v>0</v>
      </c>
      <c r="Q3339" t="s">
        <v>15265</v>
      </c>
      <c r="R3339" t="s">
        <v>398</v>
      </c>
      <c r="S3339" t="s">
        <v>1909</v>
      </c>
      <c r="T3339">
        <v>35</v>
      </c>
      <c r="U3339">
        <v>0</v>
      </c>
      <c r="V3339" t="s">
        <v>2015</v>
      </c>
      <c r="Y3339" t="s">
        <v>1317</v>
      </c>
      <c r="Z3339" t="s">
        <v>15266</v>
      </c>
      <c r="AA3339" t="s">
        <v>387</v>
      </c>
      <c r="AB3339">
        <v>0</v>
      </c>
      <c r="AC3339">
        <v>2598</v>
      </c>
      <c r="AD3339" t="s">
        <v>15267</v>
      </c>
      <c r="AE3339">
        <v>0</v>
      </c>
      <c r="AF3339" t="s">
        <v>1188</v>
      </c>
      <c r="AG3339" t="s">
        <v>1244</v>
      </c>
      <c r="AH3339" t="s">
        <v>15268</v>
      </c>
    </row>
    <row r="3340" spans="1:34" x14ac:dyDescent="0.25">
      <c r="A3340">
        <v>1677</v>
      </c>
      <c r="C3340" s="185"/>
      <c r="D3340" t="s">
        <v>157</v>
      </c>
      <c r="E3340" t="s">
        <v>386</v>
      </c>
      <c r="F3340" t="s">
        <v>15269</v>
      </c>
      <c r="G3340" t="s">
        <v>1192</v>
      </c>
      <c r="H3340" t="s">
        <v>15264</v>
      </c>
      <c r="I3340">
        <v>5688</v>
      </c>
      <c r="J3340" t="s">
        <v>15269</v>
      </c>
      <c r="K3340" t="s">
        <v>15269</v>
      </c>
      <c r="L3340" t="s">
        <v>386</v>
      </c>
      <c r="M3340" t="s">
        <v>1184</v>
      </c>
      <c r="N3340">
        <v>5688</v>
      </c>
      <c r="O3340">
        <v>0</v>
      </c>
      <c r="Q3340" t="s">
        <v>15270</v>
      </c>
      <c r="R3340" t="s">
        <v>398</v>
      </c>
      <c r="T3340">
        <v>0</v>
      </c>
      <c r="V3340" t="s">
        <v>1186</v>
      </c>
      <c r="Z3340" t="s">
        <v>15266</v>
      </c>
      <c r="AA3340" t="s">
        <v>387</v>
      </c>
      <c r="AB3340">
        <v>0</v>
      </c>
      <c r="AC3340">
        <v>2676</v>
      </c>
      <c r="AD3340" t="s">
        <v>15271</v>
      </c>
      <c r="AE3340">
        <v>0</v>
      </c>
      <c r="AF3340" t="s">
        <v>1188</v>
      </c>
      <c r="AG3340" t="s">
        <v>1244</v>
      </c>
    </row>
    <row r="3341" spans="1:34" x14ac:dyDescent="0.25">
      <c r="A3341">
        <v>6</v>
      </c>
      <c r="C3341" s="185"/>
      <c r="E3341" t="s">
        <v>386</v>
      </c>
      <c r="F3341" t="s">
        <v>15272</v>
      </c>
      <c r="G3341" t="s">
        <v>1192</v>
      </c>
      <c r="H3341" t="s">
        <v>2141</v>
      </c>
      <c r="I3341">
        <v>3299</v>
      </c>
      <c r="J3341" t="s">
        <v>15272</v>
      </c>
      <c r="K3341" t="s">
        <v>15272</v>
      </c>
      <c r="L3341" t="s">
        <v>386</v>
      </c>
      <c r="M3341" t="s">
        <v>1184</v>
      </c>
      <c r="N3341">
        <v>3299</v>
      </c>
      <c r="O3341">
        <v>0</v>
      </c>
      <c r="Q3341" t="s">
        <v>15273</v>
      </c>
      <c r="R3341" t="s">
        <v>1208</v>
      </c>
      <c r="T3341">
        <v>120</v>
      </c>
      <c r="V3341" t="s">
        <v>2570</v>
      </c>
      <c r="Z3341" t="s">
        <v>892</v>
      </c>
      <c r="AA3341" t="s">
        <v>387</v>
      </c>
      <c r="AB3341">
        <v>0</v>
      </c>
      <c r="AC3341">
        <v>1955</v>
      </c>
      <c r="AD3341" t="s">
        <v>15274</v>
      </c>
      <c r="AE3341">
        <v>147</v>
      </c>
      <c r="AF3341" t="s">
        <v>4092</v>
      </c>
      <c r="AG3341" t="s">
        <v>8649</v>
      </c>
    </row>
    <row r="3342" spans="1:34" x14ac:dyDescent="0.25">
      <c r="A3342">
        <v>44</v>
      </c>
      <c r="C3342" s="185"/>
      <c r="D3342" t="s">
        <v>157</v>
      </c>
      <c r="E3342" t="s">
        <v>386</v>
      </c>
      <c r="F3342" t="s">
        <v>15275</v>
      </c>
      <c r="G3342" t="s">
        <v>1192</v>
      </c>
      <c r="H3342" t="s">
        <v>9564</v>
      </c>
      <c r="I3342">
        <v>10645</v>
      </c>
      <c r="J3342" t="s">
        <v>15275</v>
      </c>
      <c r="K3342" t="s">
        <v>15276</v>
      </c>
      <c r="L3342" t="s">
        <v>386</v>
      </c>
      <c r="M3342" t="s">
        <v>1184</v>
      </c>
      <c r="N3342">
        <v>10645</v>
      </c>
      <c r="O3342">
        <v>30</v>
      </c>
      <c r="Q3342" t="s">
        <v>15277</v>
      </c>
      <c r="R3342" t="s">
        <v>398</v>
      </c>
      <c r="T3342">
        <v>388</v>
      </c>
      <c r="V3342" t="s">
        <v>1712</v>
      </c>
      <c r="W3342" t="s">
        <v>3321</v>
      </c>
      <c r="X3342">
        <v>246</v>
      </c>
      <c r="Z3342" t="s">
        <v>1052</v>
      </c>
      <c r="AA3342" t="s">
        <v>387</v>
      </c>
      <c r="AB3342">
        <v>0</v>
      </c>
      <c r="AC3342">
        <v>2560</v>
      </c>
      <c r="AD3342" t="s">
        <v>15278</v>
      </c>
      <c r="AE3342">
        <v>18</v>
      </c>
      <c r="AF3342" t="s">
        <v>1259</v>
      </c>
      <c r="AG3342" t="s">
        <v>15279</v>
      </c>
    </row>
    <row r="3343" spans="1:34" x14ac:dyDescent="0.25">
      <c r="A3343">
        <v>1</v>
      </c>
      <c r="C3343" s="185"/>
      <c r="E3343" t="s">
        <v>386</v>
      </c>
      <c r="F3343" t="s">
        <v>15280</v>
      </c>
      <c r="G3343" t="s">
        <v>1192</v>
      </c>
      <c r="H3343" t="s">
        <v>15281</v>
      </c>
      <c r="I3343">
        <v>93</v>
      </c>
      <c r="J3343" t="s">
        <v>15280</v>
      </c>
      <c r="K3343" t="s">
        <v>15280</v>
      </c>
      <c r="L3343" t="s">
        <v>386</v>
      </c>
      <c r="M3343" t="s">
        <v>1184</v>
      </c>
      <c r="N3343">
        <v>93</v>
      </c>
      <c r="O3343">
        <v>0</v>
      </c>
      <c r="Q3343" t="s">
        <v>15282</v>
      </c>
      <c r="R3343" t="s">
        <v>1208</v>
      </c>
      <c r="T3343">
        <v>200</v>
      </c>
      <c r="V3343" t="s">
        <v>1199</v>
      </c>
      <c r="W3343" t="s">
        <v>2024</v>
      </c>
      <c r="X3343">
        <v>52</v>
      </c>
      <c r="Z3343" t="s">
        <v>865</v>
      </c>
      <c r="AA3343" t="s">
        <v>386</v>
      </c>
      <c r="AB3343">
        <v>0</v>
      </c>
      <c r="AC3343">
        <v>1469</v>
      </c>
      <c r="AD3343" t="s">
        <v>2990</v>
      </c>
      <c r="AE3343">
        <v>9</v>
      </c>
      <c r="AF3343" t="s">
        <v>2957</v>
      </c>
      <c r="AG3343" t="s">
        <v>6439</v>
      </c>
      <c r="AH3343" t="s">
        <v>15283</v>
      </c>
    </row>
    <row r="3344" spans="1:34" x14ac:dyDescent="0.25">
      <c r="A3344">
        <v>1</v>
      </c>
      <c r="C3344" s="185"/>
      <c r="E3344" t="s">
        <v>386</v>
      </c>
      <c r="F3344" t="s">
        <v>15284</v>
      </c>
      <c r="G3344" t="s">
        <v>1192</v>
      </c>
      <c r="I3344">
        <v>3171</v>
      </c>
      <c r="J3344" t="s">
        <v>15284</v>
      </c>
      <c r="K3344" t="s">
        <v>15284</v>
      </c>
      <c r="L3344" t="s">
        <v>386</v>
      </c>
      <c r="M3344" t="s">
        <v>1184</v>
      </c>
      <c r="N3344">
        <v>3171</v>
      </c>
      <c r="O3344">
        <v>0</v>
      </c>
      <c r="Q3344" t="s">
        <v>15285</v>
      </c>
      <c r="R3344" t="s">
        <v>1208</v>
      </c>
      <c r="T3344">
        <v>74</v>
      </c>
      <c r="V3344" t="s">
        <v>1209</v>
      </c>
      <c r="Z3344" t="s">
        <v>865</v>
      </c>
      <c r="AA3344" t="s">
        <v>387</v>
      </c>
      <c r="AB3344">
        <v>0</v>
      </c>
      <c r="AC3344">
        <v>2107</v>
      </c>
      <c r="AD3344" t="s">
        <v>15286</v>
      </c>
      <c r="AE3344">
        <v>26</v>
      </c>
      <c r="AF3344" t="s">
        <v>2075</v>
      </c>
      <c r="AG3344" t="s">
        <v>7603</v>
      </c>
      <c r="AH3344" t="s">
        <v>15287</v>
      </c>
    </row>
    <row r="3345" spans="1:33" x14ac:dyDescent="0.25">
      <c r="A3345">
        <v>33</v>
      </c>
      <c r="C3345" s="185"/>
      <c r="E3345" t="s">
        <v>386</v>
      </c>
      <c r="F3345" t="s">
        <v>15288</v>
      </c>
      <c r="G3345" t="s">
        <v>1197</v>
      </c>
      <c r="H3345" t="s">
        <v>15289</v>
      </c>
      <c r="I3345">
        <v>10596</v>
      </c>
      <c r="J3345" t="s">
        <v>15288</v>
      </c>
      <c r="K3345" t="s">
        <v>15288</v>
      </c>
      <c r="L3345" t="s">
        <v>386</v>
      </c>
      <c r="M3345" t="s">
        <v>1193</v>
      </c>
      <c r="N3345">
        <v>10596</v>
      </c>
      <c r="O3345">
        <v>0</v>
      </c>
      <c r="Q3345" t="s">
        <v>908</v>
      </c>
      <c r="T3345">
        <v>372</v>
      </c>
      <c r="V3345" t="s">
        <v>2073</v>
      </c>
      <c r="W3345" t="s">
        <v>1199</v>
      </c>
      <c r="X3345">
        <v>200</v>
      </c>
      <c r="Z3345" t="s">
        <v>1115</v>
      </c>
      <c r="AA3345" t="s">
        <v>387</v>
      </c>
      <c r="AB3345">
        <v>0</v>
      </c>
      <c r="AC3345">
        <v>2961</v>
      </c>
      <c r="AD3345" t="s">
        <v>15290</v>
      </c>
      <c r="AE3345">
        <v>1400</v>
      </c>
      <c r="AF3345" t="s">
        <v>2005</v>
      </c>
      <c r="AG3345" t="s">
        <v>5081</v>
      </c>
    </row>
  </sheetData>
  <autoFilter ref="A1:AH3322" xr:uid="{655418DC-A1DC-4B5B-9B55-17EF44EEC25D}"/>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AC9A-C817-49F5-B841-B925398FE44C}">
  <dimension ref="A1:AH937"/>
  <sheetViews>
    <sheetView topLeftCell="Z1" workbookViewId="0">
      <selection activeCell="AH802" sqref="AH802:AH937"/>
    </sheetView>
  </sheetViews>
  <sheetFormatPr defaultRowHeight="13.2" x14ac:dyDescent="0.25"/>
  <cols>
    <col min="1" max="1" width="17.88671875" style="237" customWidth="1"/>
    <col min="2" max="2" width="36.33203125" style="237" customWidth="1"/>
    <col min="3" max="3" width="23.21875" style="237" customWidth="1"/>
    <col min="4" max="4" width="17.77734375" style="237" customWidth="1"/>
    <col min="5" max="5" width="12.77734375" style="237" customWidth="1"/>
    <col min="6" max="6" width="11.6640625" style="237" customWidth="1"/>
    <col min="7" max="7" width="11.77734375" style="237" customWidth="1"/>
    <col min="8" max="8" width="30.77734375" style="237" customWidth="1"/>
    <col min="9" max="9" width="23.33203125" style="237" bestFit="1" customWidth="1"/>
    <col min="10" max="10" width="19.109375" style="237" customWidth="1"/>
    <col min="11" max="11" width="22.6640625" style="237" customWidth="1"/>
    <col min="12" max="13" width="19.6640625" style="237" customWidth="1"/>
    <col min="14" max="14" width="9.109375" style="237" customWidth="1"/>
    <col min="15" max="15" width="17.44140625" style="237" customWidth="1"/>
    <col min="16" max="16" width="47.109375" style="237" customWidth="1"/>
    <col min="17" max="17" width="9.33203125" style="237" customWidth="1"/>
    <col min="18" max="18" width="40.88671875" style="237" customWidth="1"/>
    <col min="19" max="19" width="16.33203125" style="237" customWidth="1"/>
    <col min="20" max="20" width="25.33203125" style="237" customWidth="1"/>
    <col min="21" max="21" width="21" style="237" customWidth="1"/>
    <col min="22" max="22" width="11.44140625" style="237" customWidth="1"/>
    <col min="23" max="23" width="12.5546875" style="237" customWidth="1"/>
    <col min="24" max="24" width="16.6640625" style="237" customWidth="1"/>
    <col min="25" max="25" width="9.88671875" style="237" customWidth="1"/>
    <col min="26" max="26" width="16.6640625" style="237" customWidth="1"/>
    <col min="27" max="27" width="21" style="237" customWidth="1"/>
    <col min="28" max="28" width="31.88671875" style="237" customWidth="1"/>
    <col min="29" max="29" width="23.44140625" style="237" customWidth="1"/>
    <col min="30" max="30" width="23.6640625" style="237" customWidth="1"/>
    <col min="31" max="31" width="43.88671875" style="237" customWidth="1"/>
    <col min="32" max="32" width="23.6640625" style="237" customWidth="1"/>
    <col min="33" max="33" width="32.109375" style="237" customWidth="1"/>
    <col min="34" max="34" width="47.44140625" style="265" bestFit="1" customWidth="1"/>
    <col min="35" max="256" width="8.88671875" style="237"/>
    <col min="257" max="257" width="20.109375" style="237" customWidth="1"/>
    <col min="258" max="258" width="39.33203125" style="237" customWidth="1"/>
    <col min="259" max="259" width="23.21875" style="237" customWidth="1"/>
    <col min="260" max="260" width="17.77734375" style="237" customWidth="1"/>
    <col min="261" max="261" width="12.77734375" style="237" customWidth="1"/>
    <col min="262" max="262" width="11.6640625" style="237" customWidth="1"/>
    <col min="263" max="263" width="11.77734375" style="237" customWidth="1"/>
    <col min="264" max="264" width="30.77734375" style="237" customWidth="1"/>
    <col min="265" max="265" width="15.88671875" style="237" customWidth="1"/>
    <col min="266" max="266" width="19.109375" style="237" customWidth="1"/>
    <col min="267" max="267" width="22.6640625" style="237" customWidth="1"/>
    <col min="268" max="269" width="19.6640625" style="237" customWidth="1"/>
    <col min="270" max="270" width="84.5546875" style="237" customWidth="1"/>
    <col min="271" max="271" width="17.44140625" style="237" customWidth="1"/>
    <col min="272" max="272" width="47.109375" style="237" customWidth="1"/>
    <col min="273" max="273" width="9.33203125" style="237" customWidth="1"/>
    <col min="274" max="274" width="40.88671875" style="237" customWidth="1"/>
    <col min="275" max="275" width="16.33203125" style="237" customWidth="1"/>
    <col min="276" max="276" width="25.33203125" style="237" customWidth="1"/>
    <col min="277" max="277" width="21" style="237" customWidth="1"/>
    <col min="278" max="278" width="11.44140625" style="237" customWidth="1"/>
    <col min="279" max="279" width="12.5546875" style="237" customWidth="1"/>
    <col min="280" max="280" width="16.6640625" style="237" customWidth="1"/>
    <col min="281" max="281" width="9.88671875" style="237" customWidth="1"/>
    <col min="282" max="282" width="16.6640625" style="237" customWidth="1"/>
    <col min="283" max="283" width="21" style="237" customWidth="1"/>
    <col min="284" max="284" width="31.88671875" style="237" customWidth="1"/>
    <col min="285" max="285" width="23.44140625" style="237" customWidth="1"/>
    <col min="286" max="286" width="23.6640625" style="237" customWidth="1"/>
    <col min="287" max="287" width="43.88671875" style="237" customWidth="1"/>
    <col min="288" max="288" width="23.6640625" style="237" customWidth="1"/>
    <col min="289" max="289" width="32.109375" style="237" customWidth="1"/>
    <col min="290" max="512" width="8.88671875" style="237"/>
    <col min="513" max="513" width="20.109375" style="237" customWidth="1"/>
    <col min="514" max="514" width="39.33203125" style="237" customWidth="1"/>
    <col min="515" max="515" width="23.21875" style="237" customWidth="1"/>
    <col min="516" max="516" width="17.77734375" style="237" customWidth="1"/>
    <col min="517" max="517" width="12.77734375" style="237" customWidth="1"/>
    <col min="518" max="518" width="11.6640625" style="237" customWidth="1"/>
    <col min="519" max="519" width="11.77734375" style="237" customWidth="1"/>
    <col min="520" max="520" width="30.77734375" style="237" customWidth="1"/>
    <col min="521" max="521" width="15.88671875" style="237" customWidth="1"/>
    <col min="522" max="522" width="19.109375" style="237" customWidth="1"/>
    <col min="523" max="523" width="22.6640625" style="237" customWidth="1"/>
    <col min="524" max="525" width="19.6640625" style="237" customWidth="1"/>
    <col min="526" max="526" width="84.5546875" style="237" customWidth="1"/>
    <col min="527" max="527" width="17.44140625" style="237" customWidth="1"/>
    <col min="528" max="528" width="47.109375" style="237" customWidth="1"/>
    <col min="529" max="529" width="9.33203125" style="237" customWidth="1"/>
    <col min="530" max="530" width="40.88671875" style="237" customWidth="1"/>
    <col min="531" max="531" width="16.33203125" style="237" customWidth="1"/>
    <col min="532" max="532" width="25.33203125" style="237" customWidth="1"/>
    <col min="533" max="533" width="21" style="237" customWidth="1"/>
    <col min="534" max="534" width="11.44140625" style="237" customWidth="1"/>
    <col min="535" max="535" width="12.5546875" style="237" customWidth="1"/>
    <col min="536" max="536" width="16.6640625" style="237" customWidth="1"/>
    <col min="537" max="537" width="9.88671875" style="237" customWidth="1"/>
    <col min="538" max="538" width="16.6640625" style="237" customWidth="1"/>
    <col min="539" max="539" width="21" style="237" customWidth="1"/>
    <col min="540" max="540" width="31.88671875" style="237" customWidth="1"/>
    <col min="541" max="541" width="23.44140625" style="237" customWidth="1"/>
    <col min="542" max="542" width="23.6640625" style="237" customWidth="1"/>
    <col min="543" max="543" width="43.88671875" style="237" customWidth="1"/>
    <col min="544" max="544" width="23.6640625" style="237" customWidth="1"/>
    <col min="545" max="545" width="32.109375" style="237" customWidth="1"/>
    <col min="546" max="768" width="8.88671875" style="237"/>
    <col min="769" max="769" width="20.109375" style="237" customWidth="1"/>
    <col min="770" max="770" width="39.33203125" style="237" customWidth="1"/>
    <col min="771" max="771" width="23.21875" style="237" customWidth="1"/>
    <col min="772" max="772" width="17.77734375" style="237" customWidth="1"/>
    <col min="773" max="773" width="12.77734375" style="237" customWidth="1"/>
    <col min="774" max="774" width="11.6640625" style="237" customWidth="1"/>
    <col min="775" max="775" width="11.77734375" style="237" customWidth="1"/>
    <col min="776" max="776" width="30.77734375" style="237" customWidth="1"/>
    <col min="777" max="777" width="15.88671875" style="237" customWidth="1"/>
    <col min="778" max="778" width="19.109375" style="237" customWidth="1"/>
    <col min="779" max="779" width="22.6640625" style="237" customWidth="1"/>
    <col min="780" max="781" width="19.6640625" style="237" customWidth="1"/>
    <col min="782" max="782" width="84.5546875" style="237" customWidth="1"/>
    <col min="783" max="783" width="17.44140625" style="237" customWidth="1"/>
    <col min="784" max="784" width="47.109375" style="237" customWidth="1"/>
    <col min="785" max="785" width="9.33203125" style="237" customWidth="1"/>
    <col min="786" max="786" width="40.88671875" style="237" customWidth="1"/>
    <col min="787" max="787" width="16.33203125" style="237" customWidth="1"/>
    <col min="788" max="788" width="25.33203125" style="237" customWidth="1"/>
    <col min="789" max="789" width="21" style="237" customWidth="1"/>
    <col min="790" max="790" width="11.44140625" style="237" customWidth="1"/>
    <col min="791" max="791" width="12.5546875" style="237" customWidth="1"/>
    <col min="792" max="792" width="16.6640625" style="237" customWidth="1"/>
    <col min="793" max="793" width="9.88671875" style="237" customWidth="1"/>
    <col min="794" max="794" width="16.6640625" style="237" customWidth="1"/>
    <col min="795" max="795" width="21" style="237" customWidth="1"/>
    <col min="796" max="796" width="31.88671875" style="237" customWidth="1"/>
    <col min="797" max="797" width="23.44140625" style="237" customWidth="1"/>
    <col min="798" max="798" width="23.6640625" style="237" customWidth="1"/>
    <col min="799" max="799" width="43.88671875" style="237" customWidth="1"/>
    <col min="800" max="800" width="23.6640625" style="237" customWidth="1"/>
    <col min="801" max="801" width="32.109375" style="237" customWidth="1"/>
    <col min="802" max="1024" width="8.88671875" style="237"/>
    <col min="1025" max="1025" width="20.109375" style="237" customWidth="1"/>
    <col min="1026" max="1026" width="39.33203125" style="237" customWidth="1"/>
    <col min="1027" max="1027" width="23.21875" style="237" customWidth="1"/>
    <col min="1028" max="1028" width="17.77734375" style="237" customWidth="1"/>
    <col min="1029" max="1029" width="12.77734375" style="237" customWidth="1"/>
    <col min="1030" max="1030" width="11.6640625" style="237" customWidth="1"/>
    <col min="1031" max="1031" width="11.77734375" style="237" customWidth="1"/>
    <col min="1032" max="1032" width="30.77734375" style="237" customWidth="1"/>
    <col min="1033" max="1033" width="15.88671875" style="237" customWidth="1"/>
    <col min="1034" max="1034" width="19.109375" style="237" customWidth="1"/>
    <col min="1035" max="1035" width="22.6640625" style="237" customWidth="1"/>
    <col min="1036" max="1037" width="19.6640625" style="237" customWidth="1"/>
    <col min="1038" max="1038" width="84.5546875" style="237" customWidth="1"/>
    <col min="1039" max="1039" width="17.44140625" style="237" customWidth="1"/>
    <col min="1040" max="1040" width="47.109375" style="237" customWidth="1"/>
    <col min="1041" max="1041" width="9.33203125" style="237" customWidth="1"/>
    <col min="1042" max="1042" width="40.88671875" style="237" customWidth="1"/>
    <col min="1043" max="1043" width="16.33203125" style="237" customWidth="1"/>
    <col min="1044" max="1044" width="25.33203125" style="237" customWidth="1"/>
    <col min="1045" max="1045" width="21" style="237" customWidth="1"/>
    <col min="1046" max="1046" width="11.44140625" style="237" customWidth="1"/>
    <col min="1047" max="1047" width="12.5546875" style="237" customWidth="1"/>
    <col min="1048" max="1048" width="16.6640625" style="237" customWidth="1"/>
    <col min="1049" max="1049" width="9.88671875" style="237" customWidth="1"/>
    <col min="1050" max="1050" width="16.6640625" style="237" customWidth="1"/>
    <col min="1051" max="1051" width="21" style="237" customWidth="1"/>
    <col min="1052" max="1052" width="31.88671875" style="237" customWidth="1"/>
    <col min="1053" max="1053" width="23.44140625" style="237" customWidth="1"/>
    <col min="1054" max="1054" width="23.6640625" style="237" customWidth="1"/>
    <col min="1055" max="1055" width="43.88671875" style="237" customWidth="1"/>
    <col min="1056" max="1056" width="23.6640625" style="237" customWidth="1"/>
    <col min="1057" max="1057" width="32.109375" style="237" customWidth="1"/>
    <col min="1058" max="1280" width="8.88671875" style="237"/>
    <col min="1281" max="1281" width="20.109375" style="237" customWidth="1"/>
    <col min="1282" max="1282" width="39.33203125" style="237" customWidth="1"/>
    <col min="1283" max="1283" width="23.21875" style="237" customWidth="1"/>
    <col min="1284" max="1284" width="17.77734375" style="237" customWidth="1"/>
    <col min="1285" max="1285" width="12.77734375" style="237" customWidth="1"/>
    <col min="1286" max="1286" width="11.6640625" style="237" customWidth="1"/>
    <col min="1287" max="1287" width="11.77734375" style="237" customWidth="1"/>
    <col min="1288" max="1288" width="30.77734375" style="237" customWidth="1"/>
    <col min="1289" max="1289" width="15.88671875" style="237" customWidth="1"/>
    <col min="1290" max="1290" width="19.109375" style="237" customWidth="1"/>
    <col min="1291" max="1291" width="22.6640625" style="237" customWidth="1"/>
    <col min="1292" max="1293" width="19.6640625" style="237" customWidth="1"/>
    <col min="1294" max="1294" width="84.5546875" style="237" customWidth="1"/>
    <col min="1295" max="1295" width="17.44140625" style="237" customWidth="1"/>
    <col min="1296" max="1296" width="47.109375" style="237" customWidth="1"/>
    <col min="1297" max="1297" width="9.33203125" style="237" customWidth="1"/>
    <col min="1298" max="1298" width="40.88671875" style="237" customWidth="1"/>
    <col min="1299" max="1299" width="16.33203125" style="237" customWidth="1"/>
    <col min="1300" max="1300" width="25.33203125" style="237" customWidth="1"/>
    <col min="1301" max="1301" width="21" style="237" customWidth="1"/>
    <col min="1302" max="1302" width="11.44140625" style="237" customWidth="1"/>
    <col min="1303" max="1303" width="12.5546875" style="237" customWidth="1"/>
    <col min="1304" max="1304" width="16.6640625" style="237" customWidth="1"/>
    <col min="1305" max="1305" width="9.88671875" style="237" customWidth="1"/>
    <col min="1306" max="1306" width="16.6640625" style="237" customWidth="1"/>
    <col min="1307" max="1307" width="21" style="237" customWidth="1"/>
    <col min="1308" max="1308" width="31.88671875" style="237" customWidth="1"/>
    <col min="1309" max="1309" width="23.44140625" style="237" customWidth="1"/>
    <col min="1310" max="1310" width="23.6640625" style="237" customWidth="1"/>
    <col min="1311" max="1311" width="43.88671875" style="237" customWidth="1"/>
    <col min="1312" max="1312" width="23.6640625" style="237" customWidth="1"/>
    <col min="1313" max="1313" width="32.109375" style="237" customWidth="1"/>
    <col min="1314" max="1536" width="8.88671875" style="237"/>
    <col min="1537" max="1537" width="20.109375" style="237" customWidth="1"/>
    <col min="1538" max="1538" width="39.33203125" style="237" customWidth="1"/>
    <col min="1539" max="1539" width="23.21875" style="237" customWidth="1"/>
    <col min="1540" max="1540" width="17.77734375" style="237" customWidth="1"/>
    <col min="1541" max="1541" width="12.77734375" style="237" customWidth="1"/>
    <col min="1542" max="1542" width="11.6640625" style="237" customWidth="1"/>
    <col min="1543" max="1543" width="11.77734375" style="237" customWidth="1"/>
    <col min="1544" max="1544" width="30.77734375" style="237" customWidth="1"/>
    <col min="1545" max="1545" width="15.88671875" style="237" customWidth="1"/>
    <col min="1546" max="1546" width="19.109375" style="237" customWidth="1"/>
    <col min="1547" max="1547" width="22.6640625" style="237" customWidth="1"/>
    <col min="1548" max="1549" width="19.6640625" style="237" customWidth="1"/>
    <col min="1550" max="1550" width="84.5546875" style="237" customWidth="1"/>
    <col min="1551" max="1551" width="17.44140625" style="237" customWidth="1"/>
    <col min="1552" max="1552" width="47.109375" style="237" customWidth="1"/>
    <col min="1553" max="1553" width="9.33203125" style="237" customWidth="1"/>
    <col min="1554" max="1554" width="40.88671875" style="237" customWidth="1"/>
    <col min="1555" max="1555" width="16.33203125" style="237" customWidth="1"/>
    <col min="1556" max="1556" width="25.33203125" style="237" customWidth="1"/>
    <col min="1557" max="1557" width="21" style="237" customWidth="1"/>
    <col min="1558" max="1558" width="11.44140625" style="237" customWidth="1"/>
    <col min="1559" max="1559" width="12.5546875" style="237" customWidth="1"/>
    <col min="1560" max="1560" width="16.6640625" style="237" customWidth="1"/>
    <col min="1561" max="1561" width="9.88671875" style="237" customWidth="1"/>
    <col min="1562" max="1562" width="16.6640625" style="237" customWidth="1"/>
    <col min="1563" max="1563" width="21" style="237" customWidth="1"/>
    <col min="1564" max="1564" width="31.88671875" style="237" customWidth="1"/>
    <col min="1565" max="1565" width="23.44140625" style="237" customWidth="1"/>
    <col min="1566" max="1566" width="23.6640625" style="237" customWidth="1"/>
    <col min="1567" max="1567" width="43.88671875" style="237" customWidth="1"/>
    <col min="1568" max="1568" width="23.6640625" style="237" customWidth="1"/>
    <col min="1569" max="1569" width="32.109375" style="237" customWidth="1"/>
    <col min="1570" max="1792" width="8.88671875" style="237"/>
    <col min="1793" max="1793" width="20.109375" style="237" customWidth="1"/>
    <col min="1794" max="1794" width="39.33203125" style="237" customWidth="1"/>
    <col min="1795" max="1795" width="23.21875" style="237" customWidth="1"/>
    <col min="1796" max="1796" width="17.77734375" style="237" customWidth="1"/>
    <col min="1797" max="1797" width="12.77734375" style="237" customWidth="1"/>
    <col min="1798" max="1798" width="11.6640625" style="237" customWidth="1"/>
    <col min="1799" max="1799" width="11.77734375" style="237" customWidth="1"/>
    <col min="1800" max="1800" width="30.77734375" style="237" customWidth="1"/>
    <col min="1801" max="1801" width="15.88671875" style="237" customWidth="1"/>
    <col min="1802" max="1802" width="19.109375" style="237" customWidth="1"/>
    <col min="1803" max="1803" width="22.6640625" style="237" customWidth="1"/>
    <col min="1804" max="1805" width="19.6640625" style="237" customWidth="1"/>
    <col min="1806" max="1806" width="84.5546875" style="237" customWidth="1"/>
    <col min="1807" max="1807" width="17.44140625" style="237" customWidth="1"/>
    <col min="1808" max="1808" width="47.109375" style="237" customWidth="1"/>
    <col min="1809" max="1809" width="9.33203125" style="237" customWidth="1"/>
    <col min="1810" max="1810" width="40.88671875" style="237" customWidth="1"/>
    <col min="1811" max="1811" width="16.33203125" style="237" customWidth="1"/>
    <col min="1812" max="1812" width="25.33203125" style="237" customWidth="1"/>
    <col min="1813" max="1813" width="21" style="237" customWidth="1"/>
    <col min="1814" max="1814" width="11.44140625" style="237" customWidth="1"/>
    <col min="1815" max="1815" width="12.5546875" style="237" customWidth="1"/>
    <col min="1816" max="1816" width="16.6640625" style="237" customWidth="1"/>
    <col min="1817" max="1817" width="9.88671875" style="237" customWidth="1"/>
    <col min="1818" max="1818" width="16.6640625" style="237" customWidth="1"/>
    <col min="1819" max="1819" width="21" style="237" customWidth="1"/>
    <col min="1820" max="1820" width="31.88671875" style="237" customWidth="1"/>
    <col min="1821" max="1821" width="23.44140625" style="237" customWidth="1"/>
    <col min="1822" max="1822" width="23.6640625" style="237" customWidth="1"/>
    <col min="1823" max="1823" width="43.88671875" style="237" customWidth="1"/>
    <col min="1824" max="1824" width="23.6640625" style="237" customWidth="1"/>
    <col min="1825" max="1825" width="32.109375" style="237" customWidth="1"/>
    <col min="1826" max="2048" width="8.88671875" style="237"/>
    <col min="2049" max="2049" width="20.109375" style="237" customWidth="1"/>
    <col min="2050" max="2050" width="39.33203125" style="237" customWidth="1"/>
    <col min="2051" max="2051" width="23.21875" style="237" customWidth="1"/>
    <col min="2052" max="2052" width="17.77734375" style="237" customWidth="1"/>
    <col min="2053" max="2053" width="12.77734375" style="237" customWidth="1"/>
    <col min="2054" max="2054" width="11.6640625" style="237" customWidth="1"/>
    <col min="2055" max="2055" width="11.77734375" style="237" customWidth="1"/>
    <col min="2056" max="2056" width="30.77734375" style="237" customWidth="1"/>
    <col min="2057" max="2057" width="15.88671875" style="237" customWidth="1"/>
    <col min="2058" max="2058" width="19.109375" style="237" customWidth="1"/>
    <col min="2059" max="2059" width="22.6640625" style="237" customWidth="1"/>
    <col min="2060" max="2061" width="19.6640625" style="237" customWidth="1"/>
    <col min="2062" max="2062" width="84.5546875" style="237" customWidth="1"/>
    <col min="2063" max="2063" width="17.44140625" style="237" customWidth="1"/>
    <col min="2064" max="2064" width="47.109375" style="237" customWidth="1"/>
    <col min="2065" max="2065" width="9.33203125" style="237" customWidth="1"/>
    <col min="2066" max="2066" width="40.88671875" style="237" customWidth="1"/>
    <col min="2067" max="2067" width="16.33203125" style="237" customWidth="1"/>
    <col min="2068" max="2068" width="25.33203125" style="237" customWidth="1"/>
    <col min="2069" max="2069" width="21" style="237" customWidth="1"/>
    <col min="2070" max="2070" width="11.44140625" style="237" customWidth="1"/>
    <col min="2071" max="2071" width="12.5546875" style="237" customWidth="1"/>
    <col min="2072" max="2072" width="16.6640625" style="237" customWidth="1"/>
    <col min="2073" max="2073" width="9.88671875" style="237" customWidth="1"/>
    <col min="2074" max="2074" width="16.6640625" style="237" customWidth="1"/>
    <col min="2075" max="2075" width="21" style="237" customWidth="1"/>
    <col min="2076" max="2076" width="31.88671875" style="237" customWidth="1"/>
    <col min="2077" max="2077" width="23.44140625" style="237" customWidth="1"/>
    <col min="2078" max="2078" width="23.6640625" style="237" customWidth="1"/>
    <col min="2079" max="2079" width="43.88671875" style="237" customWidth="1"/>
    <col min="2080" max="2080" width="23.6640625" style="237" customWidth="1"/>
    <col min="2081" max="2081" width="32.109375" style="237" customWidth="1"/>
    <col min="2082" max="2304" width="8.88671875" style="237"/>
    <col min="2305" max="2305" width="20.109375" style="237" customWidth="1"/>
    <col min="2306" max="2306" width="39.33203125" style="237" customWidth="1"/>
    <col min="2307" max="2307" width="23.21875" style="237" customWidth="1"/>
    <col min="2308" max="2308" width="17.77734375" style="237" customWidth="1"/>
    <col min="2309" max="2309" width="12.77734375" style="237" customWidth="1"/>
    <col min="2310" max="2310" width="11.6640625" style="237" customWidth="1"/>
    <col min="2311" max="2311" width="11.77734375" style="237" customWidth="1"/>
    <col min="2312" max="2312" width="30.77734375" style="237" customWidth="1"/>
    <col min="2313" max="2313" width="15.88671875" style="237" customWidth="1"/>
    <col min="2314" max="2314" width="19.109375" style="237" customWidth="1"/>
    <col min="2315" max="2315" width="22.6640625" style="237" customWidth="1"/>
    <col min="2316" max="2317" width="19.6640625" style="237" customWidth="1"/>
    <col min="2318" max="2318" width="84.5546875" style="237" customWidth="1"/>
    <col min="2319" max="2319" width="17.44140625" style="237" customWidth="1"/>
    <col min="2320" max="2320" width="47.109375" style="237" customWidth="1"/>
    <col min="2321" max="2321" width="9.33203125" style="237" customWidth="1"/>
    <col min="2322" max="2322" width="40.88671875" style="237" customWidth="1"/>
    <col min="2323" max="2323" width="16.33203125" style="237" customWidth="1"/>
    <col min="2324" max="2324" width="25.33203125" style="237" customWidth="1"/>
    <col min="2325" max="2325" width="21" style="237" customWidth="1"/>
    <col min="2326" max="2326" width="11.44140625" style="237" customWidth="1"/>
    <col min="2327" max="2327" width="12.5546875" style="237" customWidth="1"/>
    <col min="2328" max="2328" width="16.6640625" style="237" customWidth="1"/>
    <col min="2329" max="2329" width="9.88671875" style="237" customWidth="1"/>
    <col min="2330" max="2330" width="16.6640625" style="237" customWidth="1"/>
    <col min="2331" max="2331" width="21" style="237" customWidth="1"/>
    <col min="2332" max="2332" width="31.88671875" style="237" customWidth="1"/>
    <col min="2333" max="2333" width="23.44140625" style="237" customWidth="1"/>
    <col min="2334" max="2334" width="23.6640625" style="237" customWidth="1"/>
    <col min="2335" max="2335" width="43.88671875" style="237" customWidth="1"/>
    <col min="2336" max="2336" width="23.6640625" style="237" customWidth="1"/>
    <col min="2337" max="2337" width="32.109375" style="237" customWidth="1"/>
    <col min="2338" max="2560" width="8.88671875" style="237"/>
    <col min="2561" max="2561" width="20.109375" style="237" customWidth="1"/>
    <col min="2562" max="2562" width="39.33203125" style="237" customWidth="1"/>
    <col min="2563" max="2563" width="23.21875" style="237" customWidth="1"/>
    <col min="2564" max="2564" width="17.77734375" style="237" customWidth="1"/>
    <col min="2565" max="2565" width="12.77734375" style="237" customWidth="1"/>
    <col min="2566" max="2566" width="11.6640625" style="237" customWidth="1"/>
    <col min="2567" max="2567" width="11.77734375" style="237" customWidth="1"/>
    <col min="2568" max="2568" width="30.77734375" style="237" customWidth="1"/>
    <col min="2569" max="2569" width="15.88671875" style="237" customWidth="1"/>
    <col min="2570" max="2570" width="19.109375" style="237" customWidth="1"/>
    <col min="2571" max="2571" width="22.6640625" style="237" customWidth="1"/>
    <col min="2572" max="2573" width="19.6640625" style="237" customWidth="1"/>
    <col min="2574" max="2574" width="84.5546875" style="237" customWidth="1"/>
    <col min="2575" max="2575" width="17.44140625" style="237" customWidth="1"/>
    <col min="2576" max="2576" width="47.109375" style="237" customWidth="1"/>
    <col min="2577" max="2577" width="9.33203125" style="237" customWidth="1"/>
    <col min="2578" max="2578" width="40.88671875" style="237" customWidth="1"/>
    <col min="2579" max="2579" width="16.33203125" style="237" customWidth="1"/>
    <col min="2580" max="2580" width="25.33203125" style="237" customWidth="1"/>
    <col min="2581" max="2581" width="21" style="237" customWidth="1"/>
    <col min="2582" max="2582" width="11.44140625" style="237" customWidth="1"/>
    <col min="2583" max="2583" width="12.5546875" style="237" customWidth="1"/>
    <col min="2584" max="2584" width="16.6640625" style="237" customWidth="1"/>
    <col min="2585" max="2585" width="9.88671875" style="237" customWidth="1"/>
    <col min="2586" max="2586" width="16.6640625" style="237" customWidth="1"/>
    <col min="2587" max="2587" width="21" style="237" customWidth="1"/>
    <col min="2588" max="2588" width="31.88671875" style="237" customWidth="1"/>
    <col min="2589" max="2589" width="23.44140625" style="237" customWidth="1"/>
    <col min="2590" max="2590" width="23.6640625" style="237" customWidth="1"/>
    <col min="2591" max="2591" width="43.88671875" style="237" customWidth="1"/>
    <col min="2592" max="2592" width="23.6640625" style="237" customWidth="1"/>
    <col min="2593" max="2593" width="32.109375" style="237" customWidth="1"/>
    <col min="2594" max="2816" width="8.88671875" style="237"/>
    <col min="2817" max="2817" width="20.109375" style="237" customWidth="1"/>
    <col min="2818" max="2818" width="39.33203125" style="237" customWidth="1"/>
    <col min="2819" max="2819" width="23.21875" style="237" customWidth="1"/>
    <col min="2820" max="2820" width="17.77734375" style="237" customWidth="1"/>
    <col min="2821" max="2821" width="12.77734375" style="237" customWidth="1"/>
    <col min="2822" max="2822" width="11.6640625" style="237" customWidth="1"/>
    <col min="2823" max="2823" width="11.77734375" style="237" customWidth="1"/>
    <col min="2824" max="2824" width="30.77734375" style="237" customWidth="1"/>
    <col min="2825" max="2825" width="15.88671875" style="237" customWidth="1"/>
    <col min="2826" max="2826" width="19.109375" style="237" customWidth="1"/>
    <col min="2827" max="2827" width="22.6640625" style="237" customWidth="1"/>
    <col min="2828" max="2829" width="19.6640625" style="237" customWidth="1"/>
    <col min="2830" max="2830" width="84.5546875" style="237" customWidth="1"/>
    <col min="2831" max="2831" width="17.44140625" style="237" customWidth="1"/>
    <col min="2832" max="2832" width="47.109375" style="237" customWidth="1"/>
    <col min="2833" max="2833" width="9.33203125" style="237" customWidth="1"/>
    <col min="2834" max="2834" width="40.88671875" style="237" customWidth="1"/>
    <col min="2835" max="2835" width="16.33203125" style="237" customWidth="1"/>
    <col min="2836" max="2836" width="25.33203125" style="237" customWidth="1"/>
    <col min="2837" max="2837" width="21" style="237" customWidth="1"/>
    <col min="2838" max="2838" width="11.44140625" style="237" customWidth="1"/>
    <col min="2839" max="2839" width="12.5546875" style="237" customWidth="1"/>
    <col min="2840" max="2840" width="16.6640625" style="237" customWidth="1"/>
    <col min="2841" max="2841" width="9.88671875" style="237" customWidth="1"/>
    <col min="2842" max="2842" width="16.6640625" style="237" customWidth="1"/>
    <col min="2843" max="2843" width="21" style="237" customWidth="1"/>
    <col min="2844" max="2844" width="31.88671875" style="237" customWidth="1"/>
    <col min="2845" max="2845" width="23.44140625" style="237" customWidth="1"/>
    <col min="2846" max="2846" width="23.6640625" style="237" customWidth="1"/>
    <col min="2847" max="2847" width="43.88671875" style="237" customWidth="1"/>
    <col min="2848" max="2848" width="23.6640625" style="237" customWidth="1"/>
    <col min="2849" max="2849" width="32.109375" style="237" customWidth="1"/>
    <col min="2850" max="3072" width="8.88671875" style="237"/>
    <col min="3073" max="3073" width="20.109375" style="237" customWidth="1"/>
    <col min="3074" max="3074" width="39.33203125" style="237" customWidth="1"/>
    <col min="3075" max="3075" width="23.21875" style="237" customWidth="1"/>
    <col min="3076" max="3076" width="17.77734375" style="237" customWidth="1"/>
    <col min="3077" max="3077" width="12.77734375" style="237" customWidth="1"/>
    <col min="3078" max="3078" width="11.6640625" style="237" customWidth="1"/>
    <col min="3079" max="3079" width="11.77734375" style="237" customWidth="1"/>
    <col min="3080" max="3080" width="30.77734375" style="237" customWidth="1"/>
    <col min="3081" max="3081" width="15.88671875" style="237" customWidth="1"/>
    <col min="3082" max="3082" width="19.109375" style="237" customWidth="1"/>
    <col min="3083" max="3083" width="22.6640625" style="237" customWidth="1"/>
    <col min="3084" max="3085" width="19.6640625" style="237" customWidth="1"/>
    <col min="3086" max="3086" width="84.5546875" style="237" customWidth="1"/>
    <col min="3087" max="3087" width="17.44140625" style="237" customWidth="1"/>
    <col min="3088" max="3088" width="47.109375" style="237" customWidth="1"/>
    <col min="3089" max="3089" width="9.33203125" style="237" customWidth="1"/>
    <col min="3090" max="3090" width="40.88671875" style="237" customWidth="1"/>
    <col min="3091" max="3091" width="16.33203125" style="237" customWidth="1"/>
    <col min="3092" max="3092" width="25.33203125" style="237" customWidth="1"/>
    <col min="3093" max="3093" width="21" style="237" customWidth="1"/>
    <col min="3094" max="3094" width="11.44140625" style="237" customWidth="1"/>
    <col min="3095" max="3095" width="12.5546875" style="237" customWidth="1"/>
    <col min="3096" max="3096" width="16.6640625" style="237" customWidth="1"/>
    <col min="3097" max="3097" width="9.88671875" style="237" customWidth="1"/>
    <col min="3098" max="3098" width="16.6640625" style="237" customWidth="1"/>
    <col min="3099" max="3099" width="21" style="237" customWidth="1"/>
    <col min="3100" max="3100" width="31.88671875" style="237" customWidth="1"/>
    <col min="3101" max="3101" width="23.44140625" style="237" customWidth="1"/>
    <col min="3102" max="3102" width="23.6640625" style="237" customWidth="1"/>
    <col min="3103" max="3103" width="43.88671875" style="237" customWidth="1"/>
    <col min="3104" max="3104" width="23.6640625" style="237" customWidth="1"/>
    <col min="3105" max="3105" width="32.109375" style="237" customWidth="1"/>
    <col min="3106" max="3328" width="8.88671875" style="237"/>
    <col min="3329" max="3329" width="20.109375" style="237" customWidth="1"/>
    <col min="3330" max="3330" width="39.33203125" style="237" customWidth="1"/>
    <col min="3331" max="3331" width="23.21875" style="237" customWidth="1"/>
    <col min="3332" max="3332" width="17.77734375" style="237" customWidth="1"/>
    <col min="3333" max="3333" width="12.77734375" style="237" customWidth="1"/>
    <col min="3334" max="3334" width="11.6640625" style="237" customWidth="1"/>
    <col min="3335" max="3335" width="11.77734375" style="237" customWidth="1"/>
    <col min="3336" max="3336" width="30.77734375" style="237" customWidth="1"/>
    <col min="3337" max="3337" width="15.88671875" style="237" customWidth="1"/>
    <col min="3338" max="3338" width="19.109375" style="237" customWidth="1"/>
    <col min="3339" max="3339" width="22.6640625" style="237" customWidth="1"/>
    <col min="3340" max="3341" width="19.6640625" style="237" customWidth="1"/>
    <col min="3342" max="3342" width="84.5546875" style="237" customWidth="1"/>
    <col min="3343" max="3343" width="17.44140625" style="237" customWidth="1"/>
    <col min="3344" max="3344" width="47.109375" style="237" customWidth="1"/>
    <col min="3345" max="3345" width="9.33203125" style="237" customWidth="1"/>
    <col min="3346" max="3346" width="40.88671875" style="237" customWidth="1"/>
    <col min="3347" max="3347" width="16.33203125" style="237" customWidth="1"/>
    <col min="3348" max="3348" width="25.33203125" style="237" customWidth="1"/>
    <col min="3349" max="3349" width="21" style="237" customWidth="1"/>
    <col min="3350" max="3350" width="11.44140625" style="237" customWidth="1"/>
    <col min="3351" max="3351" width="12.5546875" style="237" customWidth="1"/>
    <col min="3352" max="3352" width="16.6640625" style="237" customWidth="1"/>
    <col min="3353" max="3353" width="9.88671875" style="237" customWidth="1"/>
    <col min="3354" max="3354" width="16.6640625" style="237" customWidth="1"/>
    <col min="3355" max="3355" width="21" style="237" customWidth="1"/>
    <col min="3356" max="3356" width="31.88671875" style="237" customWidth="1"/>
    <col min="3357" max="3357" width="23.44140625" style="237" customWidth="1"/>
    <col min="3358" max="3358" width="23.6640625" style="237" customWidth="1"/>
    <col min="3359" max="3359" width="43.88671875" style="237" customWidth="1"/>
    <col min="3360" max="3360" width="23.6640625" style="237" customWidth="1"/>
    <col min="3361" max="3361" width="32.109375" style="237" customWidth="1"/>
    <col min="3362" max="3584" width="8.88671875" style="237"/>
    <col min="3585" max="3585" width="20.109375" style="237" customWidth="1"/>
    <col min="3586" max="3586" width="39.33203125" style="237" customWidth="1"/>
    <col min="3587" max="3587" width="23.21875" style="237" customWidth="1"/>
    <col min="3588" max="3588" width="17.77734375" style="237" customWidth="1"/>
    <col min="3589" max="3589" width="12.77734375" style="237" customWidth="1"/>
    <col min="3590" max="3590" width="11.6640625" style="237" customWidth="1"/>
    <col min="3591" max="3591" width="11.77734375" style="237" customWidth="1"/>
    <col min="3592" max="3592" width="30.77734375" style="237" customWidth="1"/>
    <col min="3593" max="3593" width="15.88671875" style="237" customWidth="1"/>
    <col min="3594" max="3594" width="19.109375" style="237" customWidth="1"/>
    <col min="3595" max="3595" width="22.6640625" style="237" customWidth="1"/>
    <col min="3596" max="3597" width="19.6640625" style="237" customWidth="1"/>
    <col min="3598" max="3598" width="84.5546875" style="237" customWidth="1"/>
    <col min="3599" max="3599" width="17.44140625" style="237" customWidth="1"/>
    <col min="3600" max="3600" width="47.109375" style="237" customWidth="1"/>
    <col min="3601" max="3601" width="9.33203125" style="237" customWidth="1"/>
    <col min="3602" max="3602" width="40.88671875" style="237" customWidth="1"/>
    <col min="3603" max="3603" width="16.33203125" style="237" customWidth="1"/>
    <col min="3604" max="3604" width="25.33203125" style="237" customWidth="1"/>
    <col min="3605" max="3605" width="21" style="237" customWidth="1"/>
    <col min="3606" max="3606" width="11.44140625" style="237" customWidth="1"/>
    <col min="3607" max="3607" width="12.5546875" style="237" customWidth="1"/>
    <col min="3608" max="3608" width="16.6640625" style="237" customWidth="1"/>
    <col min="3609" max="3609" width="9.88671875" style="237" customWidth="1"/>
    <col min="3610" max="3610" width="16.6640625" style="237" customWidth="1"/>
    <col min="3611" max="3611" width="21" style="237" customWidth="1"/>
    <col min="3612" max="3612" width="31.88671875" style="237" customWidth="1"/>
    <col min="3613" max="3613" width="23.44140625" style="237" customWidth="1"/>
    <col min="3614" max="3614" width="23.6640625" style="237" customWidth="1"/>
    <col min="3615" max="3615" width="43.88671875" style="237" customWidth="1"/>
    <col min="3616" max="3616" width="23.6640625" style="237" customWidth="1"/>
    <col min="3617" max="3617" width="32.109375" style="237" customWidth="1"/>
    <col min="3618" max="3840" width="8.88671875" style="237"/>
    <col min="3841" max="3841" width="20.109375" style="237" customWidth="1"/>
    <col min="3842" max="3842" width="39.33203125" style="237" customWidth="1"/>
    <col min="3843" max="3843" width="23.21875" style="237" customWidth="1"/>
    <col min="3844" max="3844" width="17.77734375" style="237" customWidth="1"/>
    <col min="3845" max="3845" width="12.77734375" style="237" customWidth="1"/>
    <col min="3846" max="3846" width="11.6640625" style="237" customWidth="1"/>
    <col min="3847" max="3847" width="11.77734375" style="237" customWidth="1"/>
    <col min="3848" max="3848" width="30.77734375" style="237" customWidth="1"/>
    <col min="3849" max="3849" width="15.88671875" style="237" customWidth="1"/>
    <col min="3850" max="3850" width="19.109375" style="237" customWidth="1"/>
    <col min="3851" max="3851" width="22.6640625" style="237" customWidth="1"/>
    <col min="3852" max="3853" width="19.6640625" style="237" customWidth="1"/>
    <col min="3854" max="3854" width="84.5546875" style="237" customWidth="1"/>
    <col min="3855" max="3855" width="17.44140625" style="237" customWidth="1"/>
    <col min="3856" max="3856" width="47.109375" style="237" customWidth="1"/>
    <col min="3857" max="3857" width="9.33203125" style="237" customWidth="1"/>
    <col min="3858" max="3858" width="40.88671875" style="237" customWidth="1"/>
    <col min="3859" max="3859" width="16.33203125" style="237" customWidth="1"/>
    <col min="3860" max="3860" width="25.33203125" style="237" customWidth="1"/>
    <col min="3861" max="3861" width="21" style="237" customWidth="1"/>
    <col min="3862" max="3862" width="11.44140625" style="237" customWidth="1"/>
    <col min="3863" max="3863" width="12.5546875" style="237" customWidth="1"/>
    <col min="3864" max="3864" width="16.6640625" style="237" customWidth="1"/>
    <col min="3865" max="3865" width="9.88671875" style="237" customWidth="1"/>
    <col min="3866" max="3866" width="16.6640625" style="237" customWidth="1"/>
    <col min="3867" max="3867" width="21" style="237" customWidth="1"/>
    <col min="3868" max="3868" width="31.88671875" style="237" customWidth="1"/>
    <col min="3869" max="3869" width="23.44140625" style="237" customWidth="1"/>
    <col min="3870" max="3870" width="23.6640625" style="237" customWidth="1"/>
    <col min="3871" max="3871" width="43.88671875" style="237" customWidth="1"/>
    <col min="3872" max="3872" width="23.6640625" style="237" customWidth="1"/>
    <col min="3873" max="3873" width="32.109375" style="237" customWidth="1"/>
    <col min="3874" max="4096" width="8.88671875" style="237"/>
    <col min="4097" max="4097" width="20.109375" style="237" customWidth="1"/>
    <col min="4098" max="4098" width="39.33203125" style="237" customWidth="1"/>
    <col min="4099" max="4099" width="23.21875" style="237" customWidth="1"/>
    <col min="4100" max="4100" width="17.77734375" style="237" customWidth="1"/>
    <col min="4101" max="4101" width="12.77734375" style="237" customWidth="1"/>
    <col min="4102" max="4102" width="11.6640625" style="237" customWidth="1"/>
    <col min="4103" max="4103" width="11.77734375" style="237" customWidth="1"/>
    <col min="4104" max="4104" width="30.77734375" style="237" customWidth="1"/>
    <col min="4105" max="4105" width="15.88671875" style="237" customWidth="1"/>
    <col min="4106" max="4106" width="19.109375" style="237" customWidth="1"/>
    <col min="4107" max="4107" width="22.6640625" style="237" customWidth="1"/>
    <col min="4108" max="4109" width="19.6640625" style="237" customWidth="1"/>
    <col min="4110" max="4110" width="84.5546875" style="237" customWidth="1"/>
    <col min="4111" max="4111" width="17.44140625" style="237" customWidth="1"/>
    <col min="4112" max="4112" width="47.109375" style="237" customWidth="1"/>
    <col min="4113" max="4113" width="9.33203125" style="237" customWidth="1"/>
    <col min="4114" max="4114" width="40.88671875" style="237" customWidth="1"/>
    <col min="4115" max="4115" width="16.33203125" style="237" customWidth="1"/>
    <col min="4116" max="4116" width="25.33203125" style="237" customWidth="1"/>
    <col min="4117" max="4117" width="21" style="237" customWidth="1"/>
    <col min="4118" max="4118" width="11.44140625" style="237" customWidth="1"/>
    <col min="4119" max="4119" width="12.5546875" style="237" customWidth="1"/>
    <col min="4120" max="4120" width="16.6640625" style="237" customWidth="1"/>
    <col min="4121" max="4121" width="9.88671875" style="237" customWidth="1"/>
    <col min="4122" max="4122" width="16.6640625" style="237" customWidth="1"/>
    <col min="4123" max="4123" width="21" style="237" customWidth="1"/>
    <col min="4124" max="4124" width="31.88671875" style="237" customWidth="1"/>
    <col min="4125" max="4125" width="23.44140625" style="237" customWidth="1"/>
    <col min="4126" max="4126" width="23.6640625" style="237" customWidth="1"/>
    <col min="4127" max="4127" width="43.88671875" style="237" customWidth="1"/>
    <col min="4128" max="4128" width="23.6640625" style="237" customWidth="1"/>
    <col min="4129" max="4129" width="32.109375" style="237" customWidth="1"/>
    <col min="4130" max="4352" width="8.88671875" style="237"/>
    <col min="4353" max="4353" width="20.109375" style="237" customWidth="1"/>
    <col min="4354" max="4354" width="39.33203125" style="237" customWidth="1"/>
    <col min="4355" max="4355" width="23.21875" style="237" customWidth="1"/>
    <col min="4356" max="4356" width="17.77734375" style="237" customWidth="1"/>
    <col min="4357" max="4357" width="12.77734375" style="237" customWidth="1"/>
    <col min="4358" max="4358" width="11.6640625" style="237" customWidth="1"/>
    <col min="4359" max="4359" width="11.77734375" style="237" customWidth="1"/>
    <col min="4360" max="4360" width="30.77734375" style="237" customWidth="1"/>
    <col min="4361" max="4361" width="15.88671875" style="237" customWidth="1"/>
    <col min="4362" max="4362" width="19.109375" style="237" customWidth="1"/>
    <col min="4363" max="4363" width="22.6640625" style="237" customWidth="1"/>
    <col min="4364" max="4365" width="19.6640625" style="237" customWidth="1"/>
    <col min="4366" max="4366" width="84.5546875" style="237" customWidth="1"/>
    <col min="4367" max="4367" width="17.44140625" style="237" customWidth="1"/>
    <col min="4368" max="4368" width="47.109375" style="237" customWidth="1"/>
    <col min="4369" max="4369" width="9.33203125" style="237" customWidth="1"/>
    <col min="4370" max="4370" width="40.88671875" style="237" customWidth="1"/>
    <col min="4371" max="4371" width="16.33203125" style="237" customWidth="1"/>
    <col min="4372" max="4372" width="25.33203125" style="237" customWidth="1"/>
    <col min="4373" max="4373" width="21" style="237" customWidth="1"/>
    <col min="4374" max="4374" width="11.44140625" style="237" customWidth="1"/>
    <col min="4375" max="4375" width="12.5546875" style="237" customWidth="1"/>
    <col min="4376" max="4376" width="16.6640625" style="237" customWidth="1"/>
    <col min="4377" max="4377" width="9.88671875" style="237" customWidth="1"/>
    <col min="4378" max="4378" width="16.6640625" style="237" customWidth="1"/>
    <col min="4379" max="4379" width="21" style="237" customWidth="1"/>
    <col min="4380" max="4380" width="31.88671875" style="237" customWidth="1"/>
    <col min="4381" max="4381" width="23.44140625" style="237" customWidth="1"/>
    <col min="4382" max="4382" width="23.6640625" style="237" customWidth="1"/>
    <col min="4383" max="4383" width="43.88671875" style="237" customWidth="1"/>
    <col min="4384" max="4384" width="23.6640625" style="237" customWidth="1"/>
    <col min="4385" max="4385" width="32.109375" style="237" customWidth="1"/>
    <col min="4386" max="4608" width="8.88671875" style="237"/>
    <col min="4609" max="4609" width="20.109375" style="237" customWidth="1"/>
    <col min="4610" max="4610" width="39.33203125" style="237" customWidth="1"/>
    <col min="4611" max="4611" width="23.21875" style="237" customWidth="1"/>
    <col min="4612" max="4612" width="17.77734375" style="237" customWidth="1"/>
    <col min="4613" max="4613" width="12.77734375" style="237" customWidth="1"/>
    <col min="4614" max="4614" width="11.6640625" style="237" customWidth="1"/>
    <col min="4615" max="4615" width="11.77734375" style="237" customWidth="1"/>
    <col min="4616" max="4616" width="30.77734375" style="237" customWidth="1"/>
    <col min="4617" max="4617" width="15.88671875" style="237" customWidth="1"/>
    <col min="4618" max="4618" width="19.109375" style="237" customWidth="1"/>
    <col min="4619" max="4619" width="22.6640625" style="237" customWidth="1"/>
    <col min="4620" max="4621" width="19.6640625" style="237" customWidth="1"/>
    <col min="4622" max="4622" width="84.5546875" style="237" customWidth="1"/>
    <col min="4623" max="4623" width="17.44140625" style="237" customWidth="1"/>
    <col min="4624" max="4624" width="47.109375" style="237" customWidth="1"/>
    <col min="4625" max="4625" width="9.33203125" style="237" customWidth="1"/>
    <col min="4626" max="4626" width="40.88671875" style="237" customWidth="1"/>
    <col min="4627" max="4627" width="16.33203125" style="237" customWidth="1"/>
    <col min="4628" max="4628" width="25.33203125" style="237" customWidth="1"/>
    <col min="4629" max="4629" width="21" style="237" customWidth="1"/>
    <col min="4630" max="4630" width="11.44140625" style="237" customWidth="1"/>
    <col min="4631" max="4631" width="12.5546875" style="237" customWidth="1"/>
    <col min="4632" max="4632" width="16.6640625" style="237" customWidth="1"/>
    <col min="4633" max="4633" width="9.88671875" style="237" customWidth="1"/>
    <col min="4634" max="4634" width="16.6640625" style="237" customWidth="1"/>
    <col min="4635" max="4635" width="21" style="237" customWidth="1"/>
    <col min="4636" max="4636" width="31.88671875" style="237" customWidth="1"/>
    <col min="4637" max="4637" width="23.44140625" style="237" customWidth="1"/>
    <col min="4638" max="4638" width="23.6640625" style="237" customWidth="1"/>
    <col min="4639" max="4639" width="43.88671875" style="237" customWidth="1"/>
    <col min="4640" max="4640" width="23.6640625" style="237" customWidth="1"/>
    <col min="4641" max="4641" width="32.109375" style="237" customWidth="1"/>
    <col min="4642" max="4864" width="8.88671875" style="237"/>
    <col min="4865" max="4865" width="20.109375" style="237" customWidth="1"/>
    <col min="4866" max="4866" width="39.33203125" style="237" customWidth="1"/>
    <col min="4867" max="4867" width="23.21875" style="237" customWidth="1"/>
    <col min="4868" max="4868" width="17.77734375" style="237" customWidth="1"/>
    <col min="4869" max="4869" width="12.77734375" style="237" customWidth="1"/>
    <col min="4870" max="4870" width="11.6640625" style="237" customWidth="1"/>
    <col min="4871" max="4871" width="11.77734375" style="237" customWidth="1"/>
    <col min="4872" max="4872" width="30.77734375" style="237" customWidth="1"/>
    <col min="4873" max="4873" width="15.88671875" style="237" customWidth="1"/>
    <col min="4874" max="4874" width="19.109375" style="237" customWidth="1"/>
    <col min="4875" max="4875" width="22.6640625" style="237" customWidth="1"/>
    <col min="4876" max="4877" width="19.6640625" style="237" customWidth="1"/>
    <col min="4878" max="4878" width="84.5546875" style="237" customWidth="1"/>
    <col min="4879" max="4879" width="17.44140625" style="237" customWidth="1"/>
    <col min="4880" max="4880" width="47.109375" style="237" customWidth="1"/>
    <col min="4881" max="4881" width="9.33203125" style="237" customWidth="1"/>
    <col min="4882" max="4882" width="40.88671875" style="237" customWidth="1"/>
    <col min="4883" max="4883" width="16.33203125" style="237" customWidth="1"/>
    <col min="4884" max="4884" width="25.33203125" style="237" customWidth="1"/>
    <col min="4885" max="4885" width="21" style="237" customWidth="1"/>
    <col min="4886" max="4886" width="11.44140625" style="237" customWidth="1"/>
    <col min="4887" max="4887" width="12.5546875" style="237" customWidth="1"/>
    <col min="4888" max="4888" width="16.6640625" style="237" customWidth="1"/>
    <col min="4889" max="4889" width="9.88671875" style="237" customWidth="1"/>
    <col min="4890" max="4890" width="16.6640625" style="237" customWidth="1"/>
    <col min="4891" max="4891" width="21" style="237" customWidth="1"/>
    <col min="4892" max="4892" width="31.88671875" style="237" customWidth="1"/>
    <col min="4893" max="4893" width="23.44140625" style="237" customWidth="1"/>
    <col min="4894" max="4894" width="23.6640625" style="237" customWidth="1"/>
    <col min="4895" max="4895" width="43.88671875" style="237" customWidth="1"/>
    <col min="4896" max="4896" width="23.6640625" style="237" customWidth="1"/>
    <col min="4897" max="4897" width="32.109375" style="237" customWidth="1"/>
    <col min="4898" max="5120" width="8.88671875" style="237"/>
    <col min="5121" max="5121" width="20.109375" style="237" customWidth="1"/>
    <col min="5122" max="5122" width="39.33203125" style="237" customWidth="1"/>
    <col min="5123" max="5123" width="23.21875" style="237" customWidth="1"/>
    <col min="5124" max="5124" width="17.77734375" style="237" customWidth="1"/>
    <col min="5125" max="5125" width="12.77734375" style="237" customWidth="1"/>
    <col min="5126" max="5126" width="11.6640625" style="237" customWidth="1"/>
    <col min="5127" max="5127" width="11.77734375" style="237" customWidth="1"/>
    <col min="5128" max="5128" width="30.77734375" style="237" customWidth="1"/>
    <col min="5129" max="5129" width="15.88671875" style="237" customWidth="1"/>
    <col min="5130" max="5130" width="19.109375" style="237" customWidth="1"/>
    <col min="5131" max="5131" width="22.6640625" style="237" customWidth="1"/>
    <col min="5132" max="5133" width="19.6640625" style="237" customWidth="1"/>
    <col min="5134" max="5134" width="84.5546875" style="237" customWidth="1"/>
    <col min="5135" max="5135" width="17.44140625" style="237" customWidth="1"/>
    <col min="5136" max="5136" width="47.109375" style="237" customWidth="1"/>
    <col min="5137" max="5137" width="9.33203125" style="237" customWidth="1"/>
    <col min="5138" max="5138" width="40.88671875" style="237" customWidth="1"/>
    <col min="5139" max="5139" width="16.33203125" style="237" customWidth="1"/>
    <col min="5140" max="5140" width="25.33203125" style="237" customWidth="1"/>
    <col min="5141" max="5141" width="21" style="237" customWidth="1"/>
    <col min="5142" max="5142" width="11.44140625" style="237" customWidth="1"/>
    <col min="5143" max="5143" width="12.5546875" style="237" customWidth="1"/>
    <col min="5144" max="5144" width="16.6640625" style="237" customWidth="1"/>
    <col min="5145" max="5145" width="9.88671875" style="237" customWidth="1"/>
    <col min="5146" max="5146" width="16.6640625" style="237" customWidth="1"/>
    <col min="5147" max="5147" width="21" style="237" customWidth="1"/>
    <col min="5148" max="5148" width="31.88671875" style="237" customWidth="1"/>
    <col min="5149" max="5149" width="23.44140625" style="237" customWidth="1"/>
    <col min="5150" max="5150" width="23.6640625" style="237" customWidth="1"/>
    <col min="5151" max="5151" width="43.88671875" style="237" customWidth="1"/>
    <col min="5152" max="5152" width="23.6640625" style="237" customWidth="1"/>
    <col min="5153" max="5153" width="32.109375" style="237" customWidth="1"/>
    <col min="5154" max="5376" width="8.88671875" style="237"/>
    <col min="5377" max="5377" width="20.109375" style="237" customWidth="1"/>
    <col min="5378" max="5378" width="39.33203125" style="237" customWidth="1"/>
    <col min="5379" max="5379" width="23.21875" style="237" customWidth="1"/>
    <col min="5380" max="5380" width="17.77734375" style="237" customWidth="1"/>
    <col min="5381" max="5381" width="12.77734375" style="237" customWidth="1"/>
    <col min="5382" max="5382" width="11.6640625" style="237" customWidth="1"/>
    <col min="5383" max="5383" width="11.77734375" style="237" customWidth="1"/>
    <col min="5384" max="5384" width="30.77734375" style="237" customWidth="1"/>
    <col min="5385" max="5385" width="15.88671875" style="237" customWidth="1"/>
    <col min="5386" max="5386" width="19.109375" style="237" customWidth="1"/>
    <col min="5387" max="5387" width="22.6640625" style="237" customWidth="1"/>
    <col min="5388" max="5389" width="19.6640625" style="237" customWidth="1"/>
    <col min="5390" max="5390" width="84.5546875" style="237" customWidth="1"/>
    <col min="5391" max="5391" width="17.44140625" style="237" customWidth="1"/>
    <col min="5392" max="5392" width="47.109375" style="237" customWidth="1"/>
    <col min="5393" max="5393" width="9.33203125" style="237" customWidth="1"/>
    <col min="5394" max="5394" width="40.88671875" style="237" customWidth="1"/>
    <col min="5395" max="5395" width="16.33203125" style="237" customWidth="1"/>
    <col min="5396" max="5396" width="25.33203125" style="237" customWidth="1"/>
    <col min="5397" max="5397" width="21" style="237" customWidth="1"/>
    <col min="5398" max="5398" width="11.44140625" style="237" customWidth="1"/>
    <col min="5399" max="5399" width="12.5546875" style="237" customWidth="1"/>
    <col min="5400" max="5400" width="16.6640625" style="237" customWidth="1"/>
    <col min="5401" max="5401" width="9.88671875" style="237" customWidth="1"/>
    <col min="5402" max="5402" width="16.6640625" style="237" customWidth="1"/>
    <col min="5403" max="5403" width="21" style="237" customWidth="1"/>
    <col min="5404" max="5404" width="31.88671875" style="237" customWidth="1"/>
    <col min="5405" max="5405" width="23.44140625" style="237" customWidth="1"/>
    <col min="5406" max="5406" width="23.6640625" style="237" customWidth="1"/>
    <col min="5407" max="5407" width="43.88671875" style="237" customWidth="1"/>
    <col min="5408" max="5408" width="23.6640625" style="237" customWidth="1"/>
    <col min="5409" max="5409" width="32.109375" style="237" customWidth="1"/>
    <col min="5410" max="5632" width="8.88671875" style="237"/>
    <col min="5633" max="5633" width="20.109375" style="237" customWidth="1"/>
    <col min="5634" max="5634" width="39.33203125" style="237" customWidth="1"/>
    <col min="5635" max="5635" width="23.21875" style="237" customWidth="1"/>
    <col min="5636" max="5636" width="17.77734375" style="237" customWidth="1"/>
    <col min="5637" max="5637" width="12.77734375" style="237" customWidth="1"/>
    <col min="5638" max="5638" width="11.6640625" style="237" customWidth="1"/>
    <col min="5639" max="5639" width="11.77734375" style="237" customWidth="1"/>
    <col min="5640" max="5640" width="30.77734375" style="237" customWidth="1"/>
    <col min="5641" max="5641" width="15.88671875" style="237" customWidth="1"/>
    <col min="5642" max="5642" width="19.109375" style="237" customWidth="1"/>
    <col min="5643" max="5643" width="22.6640625" style="237" customWidth="1"/>
    <col min="5644" max="5645" width="19.6640625" style="237" customWidth="1"/>
    <col min="5646" max="5646" width="84.5546875" style="237" customWidth="1"/>
    <col min="5647" max="5647" width="17.44140625" style="237" customWidth="1"/>
    <col min="5648" max="5648" width="47.109375" style="237" customWidth="1"/>
    <col min="5649" max="5649" width="9.33203125" style="237" customWidth="1"/>
    <col min="5650" max="5650" width="40.88671875" style="237" customWidth="1"/>
    <col min="5651" max="5651" width="16.33203125" style="237" customWidth="1"/>
    <col min="5652" max="5652" width="25.33203125" style="237" customWidth="1"/>
    <col min="5653" max="5653" width="21" style="237" customWidth="1"/>
    <col min="5654" max="5654" width="11.44140625" style="237" customWidth="1"/>
    <col min="5655" max="5655" width="12.5546875" style="237" customWidth="1"/>
    <col min="5656" max="5656" width="16.6640625" style="237" customWidth="1"/>
    <col min="5657" max="5657" width="9.88671875" style="237" customWidth="1"/>
    <col min="5658" max="5658" width="16.6640625" style="237" customWidth="1"/>
    <col min="5659" max="5659" width="21" style="237" customWidth="1"/>
    <col min="5660" max="5660" width="31.88671875" style="237" customWidth="1"/>
    <col min="5661" max="5661" width="23.44140625" style="237" customWidth="1"/>
    <col min="5662" max="5662" width="23.6640625" style="237" customWidth="1"/>
    <col min="5663" max="5663" width="43.88671875" style="237" customWidth="1"/>
    <col min="5664" max="5664" width="23.6640625" style="237" customWidth="1"/>
    <col min="5665" max="5665" width="32.109375" style="237" customWidth="1"/>
    <col min="5666" max="5888" width="8.88671875" style="237"/>
    <col min="5889" max="5889" width="20.109375" style="237" customWidth="1"/>
    <col min="5890" max="5890" width="39.33203125" style="237" customWidth="1"/>
    <col min="5891" max="5891" width="23.21875" style="237" customWidth="1"/>
    <col min="5892" max="5892" width="17.77734375" style="237" customWidth="1"/>
    <col min="5893" max="5893" width="12.77734375" style="237" customWidth="1"/>
    <col min="5894" max="5894" width="11.6640625" style="237" customWidth="1"/>
    <col min="5895" max="5895" width="11.77734375" style="237" customWidth="1"/>
    <col min="5896" max="5896" width="30.77734375" style="237" customWidth="1"/>
    <col min="5897" max="5897" width="15.88671875" style="237" customWidth="1"/>
    <col min="5898" max="5898" width="19.109375" style="237" customWidth="1"/>
    <col min="5899" max="5899" width="22.6640625" style="237" customWidth="1"/>
    <col min="5900" max="5901" width="19.6640625" style="237" customWidth="1"/>
    <col min="5902" max="5902" width="84.5546875" style="237" customWidth="1"/>
    <col min="5903" max="5903" width="17.44140625" style="237" customWidth="1"/>
    <col min="5904" max="5904" width="47.109375" style="237" customWidth="1"/>
    <col min="5905" max="5905" width="9.33203125" style="237" customWidth="1"/>
    <col min="5906" max="5906" width="40.88671875" style="237" customWidth="1"/>
    <col min="5907" max="5907" width="16.33203125" style="237" customWidth="1"/>
    <col min="5908" max="5908" width="25.33203125" style="237" customWidth="1"/>
    <col min="5909" max="5909" width="21" style="237" customWidth="1"/>
    <col min="5910" max="5910" width="11.44140625" style="237" customWidth="1"/>
    <col min="5911" max="5911" width="12.5546875" style="237" customWidth="1"/>
    <col min="5912" max="5912" width="16.6640625" style="237" customWidth="1"/>
    <col min="5913" max="5913" width="9.88671875" style="237" customWidth="1"/>
    <col min="5914" max="5914" width="16.6640625" style="237" customWidth="1"/>
    <col min="5915" max="5915" width="21" style="237" customWidth="1"/>
    <col min="5916" max="5916" width="31.88671875" style="237" customWidth="1"/>
    <col min="5917" max="5917" width="23.44140625" style="237" customWidth="1"/>
    <col min="5918" max="5918" width="23.6640625" style="237" customWidth="1"/>
    <col min="5919" max="5919" width="43.88671875" style="237" customWidth="1"/>
    <col min="5920" max="5920" width="23.6640625" style="237" customWidth="1"/>
    <col min="5921" max="5921" width="32.109375" style="237" customWidth="1"/>
    <col min="5922" max="6144" width="8.88671875" style="237"/>
    <col min="6145" max="6145" width="20.109375" style="237" customWidth="1"/>
    <col min="6146" max="6146" width="39.33203125" style="237" customWidth="1"/>
    <col min="6147" max="6147" width="23.21875" style="237" customWidth="1"/>
    <col min="6148" max="6148" width="17.77734375" style="237" customWidth="1"/>
    <col min="6149" max="6149" width="12.77734375" style="237" customWidth="1"/>
    <col min="6150" max="6150" width="11.6640625" style="237" customWidth="1"/>
    <col min="6151" max="6151" width="11.77734375" style="237" customWidth="1"/>
    <col min="6152" max="6152" width="30.77734375" style="237" customWidth="1"/>
    <col min="6153" max="6153" width="15.88671875" style="237" customWidth="1"/>
    <col min="6154" max="6154" width="19.109375" style="237" customWidth="1"/>
    <col min="6155" max="6155" width="22.6640625" style="237" customWidth="1"/>
    <col min="6156" max="6157" width="19.6640625" style="237" customWidth="1"/>
    <col min="6158" max="6158" width="84.5546875" style="237" customWidth="1"/>
    <col min="6159" max="6159" width="17.44140625" style="237" customWidth="1"/>
    <col min="6160" max="6160" width="47.109375" style="237" customWidth="1"/>
    <col min="6161" max="6161" width="9.33203125" style="237" customWidth="1"/>
    <col min="6162" max="6162" width="40.88671875" style="237" customWidth="1"/>
    <col min="6163" max="6163" width="16.33203125" style="237" customWidth="1"/>
    <col min="6164" max="6164" width="25.33203125" style="237" customWidth="1"/>
    <col min="6165" max="6165" width="21" style="237" customWidth="1"/>
    <col min="6166" max="6166" width="11.44140625" style="237" customWidth="1"/>
    <col min="6167" max="6167" width="12.5546875" style="237" customWidth="1"/>
    <col min="6168" max="6168" width="16.6640625" style="237" customWidth="1"/>
    <col min="6169" max="6169" width="9.88671875" style="237" customWidth="1"/>
    <col min="6170" max="6170" width="16.6640625" style="237" customWidth="1"/>
    <col min="6171" max="6171" width="21" style="237" customWidth="1"/>
    <col min="6172" max="6172" width="31.88671875" style="237" customWidth="1"/>
    <col min="6173" max="6173" width="23.44140625" style="237" customWidth="1"/>
    <col min="6174" max="6174" width="23.6640625" style="237" customWidth="1"/>
    <col min="6175" max="6175" width="43.88671875" style="237" customWidth="1"/>
    <col min="6176" max="6176" width="23.6640625" style="237" customWidth="1"/>
    <col min="6177" max="6177" width="32.109375" style="237" customWidth="1"/>
    <col min="6178" max="6400" width="8.88671875" style="237"/>
    <col min="6401" max="6401" width="20.109375" style="237" customWidth="1"/>
    <col min="6402" max="6402" width="39.33203125" style="237" customWidth="1"/>
    <col min="6403" max="6403" width="23.21875" style="237" customWidth="1"/>
    <col min="6404" max="6404" width="17.77734375" style="237" customWidth="1"/>
    <col min="6405" max="6405" width="12.77734375" style="237" customWidth="1"/>
    <col min="6406" max="6406" width="11.6640625" style="237" customWidth="1"/>
    <col min="6407" max="6407" width="11.77734375" style="237" customWidth="1"/>
    <col min="6408" max="6408" width="30.77734375" style="237" customWidth="1"/>
    <col min="6409" max="6409" width="15.88671875" style="237" customWidth="1"/>
    <col min="6410" max="6410" width="19.109375" style="237" customWidth="1"/>
    <col min="6411" max="6411" width="22.6640625" style="237" customWidth="1"/>
    <col min="6412" max="6413" width="19.6640625" style="237" customWidth="1"/>
    <col min="6414" max="6414" width="84.5546875" style="237" customWidth="1"/>
    <col min="6415" max="6415" width="17.44140625" style="237" customWidth="1"/>
    <col min="6416" max="6416" width="47.109375" style="237" customWidth="1"/>
    <col min="6417" max="6417" width="9.33203125" style="237" customWidth="1"/>
    <col min="6418" max="6418" width="40.88671875" style="237" customWidth="1"/>
    <col min="6419" max="6419" width="16.33203125" style="237" customWidth="1"/>
    <col min="6420" max="6420" width="25.33203125" style="237" customWidth="1"/>
    <col min="6421" max="6421" width="21" style="237" customWidth="1"/>
    <col min="6422" max="6422" width="11.44140625" style="237" customWidth="1"/>
    <col min="6423" max="6423" width="12.5546875" style="237" customWidth="1"/>
    <col min="6424" max="6424" width="16.6640625" style="237" customWidth="1"/>
    <col min="6425" max="6425" width="9.88671875" style="237" customWidth="1"/>
    <col min="6426" max="6426" width="16.6640625" style="237" customWidth="1"/>
    <col min="6427" max="6427" width="21" style="237" customWidth="1"/>
    <col min="6428" max="6428" width="31.88671875" style="237" customWidth="1"/>
    <col min="6429" max="6429" width="23.44140625" style="237" customWidth="1"/>
    <col min="6430" max="6430" width="23.6640625" style="237" customWidth="1"/>
    <col min="6431" max="6431" width="43.88671875" style="237" customWidth="1"/>
    <col min="6432" max="6432" width="23.6640625" style="237" customWidth="1"/>
    <col min="6433" max="6433" width="32.109375" style="237" customWidth="1"/>
    <col min="6434" max="6656" width="8.88671875" style="237"/>
    <col min="6657" max="6657" width="20.109375" style="237" customWidth="1"/>
    <col min="6658" max="6658" width="39.33203125" style="237" customWidth="1"/>
    <col min="6659" max="6659" width="23.21875" style="237" customWidth="1"/>
    <col min="6660" max="6660" width="17.77734375" style="237" customWidth="1"/>
    <col min="6661" max="6661" width="12.77734375" style="237" customWidth="1"/>
    <col min="6662" max="6662" width="11.6640625" style="237" customWidth="1"/>
    <col min="6663" max="6663" width="11.77734375" style="237" customWidth="1"/>
    <col min="6664" max="6664" width="30.77734375" style="237" customWidth="1"/>
    <col min="6665" max="6665" width="15.88671875" style="237" customWidth="1"/>
    <col min="6666" max="6666" width="19.109375" style="237" customWidth="1"/>
    <col min="6667" max="6667" width="22.6640625" style="237" customWidth="1"/>
    <col min="6668" max="6669" width="19.6640625" style="237" customWidth="1"/>
    <col min="6670" max="6670" width="84.5546875" style="237" customWidth="1"/>
    <col min="6671" max="6671" width="17.44140625" style="237" customWidth="1"/>
    <col min="6672" max="6672" width="47.109375" style="237" customWidth="1"/>
    <col min="6673" max="6673" width="9.33203125" style="237" customWidth="1"/>
    <col min="6674" max="6674" width="40.88671875" style="237" customWidth="1"/>
    <col min="6675" max="6675" width="16.33203125" style="237" customWidth="1"/>
    <col min="6676" max="6676" width="25.33203125" style="237" customWidth="1"/>
    <col min="6677" max="6677" width="21" style="237" customWidth="1"/>
    <col min="6678" max="6678" width="11.44140625" style="237" customWidth="1"/>
    <col min="6679" max="6679" width="12.5546875" style="237" customWidth="1"/>
    <col min="6680" max="6680" width="16.6640625" style="237" customWidth="1"/>
    <col min="6681" max="6681" width="9.88671875" style="237" customWidth="1"/>
    <col min="6682" max="6682" width="16.6640625" style="237" customWidth="1"/>
    <col min="6683" max="6683" width="21" style="237" customWidth="1"/>
    <col min="6684" max="6684" width="31.88671875" style="237" customWidth="1"/>
    <col min="6685" max="6685" width="23.44140625" style="237" customWidth="1"/>
    <col min="6686" max="6686" width="23.6640625" style="237" customWidth="1"/>
    <col min="6687" max="6687" width="43.88671875" style="237" customWidth="1"/>
    <col min="6688" max="6688" width="23.6640625" style="237" customWidth="1"/>
    <col min="6689" max="6689" width="32.109375" style="237" customWidth="1"/>
    <col min="6690" max="6912" width="8.88671875" style="237"/>
    <col min="6913" max="6913" width="20.109375" style="237" customWidth="1"/>
    <col min="6914" max="6914" width="39.33203125" style="237" customWidth="1"/>
    <col min="6915" max="6915" width="23.21875" style="237" customWidth="1"/>
    <col min="6916" max="6916" width="17.77734375" style="237" customWidth="1"/>
    <col min="6917" max="6917" width="12.77734375" style="237" customWidth="1"/>
    <col min="6918" max="6918" width="11.6640625" style="237" customWidth="1"/>
    <col min="6919" max="6919" width="11.77734375" style="237" customWidth="1"/>
    <col min="6920" max="6920" width="30.77734375" style="237" customWidth="1"/>
    <col min="6921" max="6921" width="15.88671875" style="237" customWidth="1"/>
    <col min="6922" max="6922" width="19.109375" style="237" customWidth="1"/>
    <col min="6923" max="6923" width="22.6640625" style="237" customWidth="1"/>
    <col min="6924" max="6925" width="19.6640625" style="237" customWidth="1"/>
    <col min="6926" max="6926" width="84.5546875" style="237" customWidth="1"/>
    <col min="6927" max="6927" width="17.44140625" style="237" customWidth="1"/>
    <col min="6928" max="6928" width="47.109375" style="237" customWidth="1"/>
    <col min="6929" max="6929" width="9.33203125" style="237" customWidth="1"/>
    <col min="6930" max="6930" width="40.88671875" style="237" customWidth="1"/>
    <col min="6931" max="6931" width="16.33203125" style="237" customWidth="1"/>
    <col min="6932" max="6932" width="25.33203125" style="237" customWidth="1"/>
    <col min="6933" max="6933" width="21" style="237" customWidth="1"/>
    <col min="6934" max="6934" width="11.44140625" style="237" customWidth="1"/>
    <col min="6935" max="6935" width="12.5546875" style="237" customWidth="1"/>
    <col min="6936" max="6936" width="16.6640625" style="237" customWidth="1"/>
    <col min="6937" max="6937" width="9.88671875" style="237" customWidth="1"/>
    <col min="6938" max="6938" width="16.6640625" style="237" customWidth="1"/>
    <col min="6939" max="6939" width="21" style="237" customWidth="1"/>
    <col min="6940" max="6940" width="31.88671875" style="237" customWidth="1"/>
    <col min="6941" max="6941" width="23.44140625" style="237" customWidth="1"/>
    <col min="6942" max="6942" width="23.6640625" style="237" customWidth="1"/>
    <col min="6943" max="6943" width="43.88671875" style="237" customWidth="1"/>
    <col min="6944" max="6944" width="23.6640625" style="237" customWidth="1"/>
    <col min="6945" max="6945" width="32.109375" style="237" customWidth="1"/>
    <col min="6946" max="7168" width="8.88671875" style="237"/>
    <col min="7169" max="7169" width="20.109375" style="237" customWidth="1"/>
    <col min="7170" max="7170" width="39.33203125" style="237" customWidth="1"/>
    <col min="7171" max="7171" width="23.21875" style="237" customWidth="1"/>
    <col min="7172" max="7172" width="17.77734375" style="237" customWidth="1"/>
    <col min="7173" max="7173" width="12.77734375" style="237" customWidth="1"/>
    <col min="7174" max="7174" width="11.6640625" style="237" customWidth="1"/>
    <col min="7175" max="7175" width="11.77734375" style="237" customWidth="1"/>
    <col min="7176" max="7176" width="30.77734375" style="237" customWidth="1"/>
    <col min="7177" max="7177" width="15.88671875" style="237" customWidth="1"/>
    <col min="7178" max="7178" width="19.109375" style="237" customWidth="1"/>
    <col min="7179" max="7179" width="22.6640625" style="237" customWidth="1"/>
    <col min="7180" max="7181" width="19.6640625" style="237" customWidth="1"/>
    <col min="7182" max="7182" width="84.5546875" style="237" customWidth="1"/>
    <col min="7183" max="7183" width="17.44140625" style="237" customWidth="1"/>
    <col min="7184" max="7184" width="47.109375" style="237" customWidth="1"/>
    <col min="7185" max="7185" width="9.33203125" style="237" customWidth="1"/>
    <col min="7186" max="7186" width="40.88671875" style="237" customWidth="1"/>
    <col min="7187" max="7187" width="16.33203125" style="237" customWidth="1"/>
    <col min="7188" max="7188" width="25.33203125" style="237" customWidth="1"/>
    <col min="7189" max="7189" width="21" style="237" customWidth="1"/>
    <col min="7190" max="7190" width="11.44140625" style="237" customWidth="1"/>
    <col min="7191" max="7191" width="12.5546875" style="237" customWidth="1"/>
    <col min="7192" max="7192" width="16.6640625" style="237" customWidth="1"/>
    <col min="7193" max="7193" width="9.88671875" style="237" customWidth="1"/>
    <col min="7194" max="7194" width="16.6640625" style="237" customWidth="1"/>
    <col min="7195" max="7195" width="21" style="237" customWidth="1"/>
    <col min="7196" max="7196" width="31.88671875" style="237" customWidth="1"/>
    <col min="7197" max="7197" width="23.44140625" style="237" customWidth="1"/>
    <col min="7198" max="7198" width="23.6640625" style="237" customWidth="1"/>
    <col min="7199" max="7199" width="43.88671875" style="237" customWidth="1"/>
    <col min="7200" max="7200" width="23.6640625" style="237" customWidth="1"/>
    <col min="7201" max="7201" width="32.109375" style="237" customWidth="1"/>
    <col min="7202" max="7424" width="8.88671875" style="237"/>
    <col min="7425" max="7425" width="20.109375" style="237" customWidth="1"/>
    <col min="7426" max="7426" width="39.33203125" style="237" customWidth="1"/>
    <col min="7427" max="7427" width="23.21875" style="237" customWidth="1"/>
    <col min="7428" max="7428" width="17.77734375" style="237" customWidth="1"/>
    <col min="7429" max="7429" width="12.77734375" style="237" customWidth="1"/>
    <col min="7430" max="7430" width="11.6640625" style="237" customWidth="1"/>
    <col min="7431" max="7431" width="11.77734375" style="237" customWidth="1"/>
    <col min="7432" max="7432" width="30.77734375" style="237" customWidth="1"/>
    <col min="7433" max="7433" width="15.88671875" style="237" customWidth="1"/>
    <col min="7434" max="7434" width="19.109375" style="237" customWidth="1"/>
    <col min="7435" max="7435" width="22.6640625" style="237" customWidth="1"/>
    <col min="7436" max="7437" width="19.6640625" style="237" customWidth="1"/>
    <col min="7438" max="7438" width="84.5546875" style="237" customWidth="1"/>
    <col min="7439" max="7439" width="17.44140625" style="237" customWidth="1"/>
    <col min="7440" max="7440" width="47.109375" style="237" customWidth="1"/>
    <col min="7441" max="7441" width="9.33203125" style="237" customWidth="1"/>
    <col min="7442" max="7442" width="40.88671875" style="237" customWidth="1"/>
    <col min="7443" max="7443" width="16.33203125" style="237" customWidth="1"/>
    <col min="7444" max="7444" width="25.33203125" style="237" customWidth="1"/>
    <col min="7445" max="7445" width="21" style="237" customWidth="1"/>
    <col min="7446" max="7446" width="11.44140625" style="237" customWidth="1"/>
    <col min="7447" max="7447" width="12.5546875" style="237" customWidth="1"/>
    <col min="7448" max="7448" width="16.6640625" style="237" customWidth="1"/>
    <col min="7449" max="7449" width="9.88671875" style="237" customWidth="1"/>
    <col min="7450" max="7450" width="16.6640625" style="237" customWidth="1"/>
    <col min="7451" max="7451" width="21" style="237" customWidth="1"/>
    <col min="7452" max="7452" width="31.88671875" style="237" customWidth="1"/>
    <col min="7453" max="7453" width="23.44140625" style="237" customWidth="1"/>
    <col min="7454" max="7454" width="23.6640625" style="237" customWidth="1"/>
    <col min="7455" max="7455" width="43.88671875" style="237" customWidth="1"/>
    <col min="7456" max="7456" width="23.6640625" style="237" customWidth="1"/>
    <col min="7457" max="7457" width="32.109375" style="237" customWidth="1"/>
    <col min="7458" max="7680" width="8.88671875" style="237"/>
    <col min="7681" max="7681" width="20.109375" style="237" customWidth="1"/>
    <col min="7682" max="7682" width="39.33203125" style="237" customWidth="1"/>
    <col min="7683" max="7683" width="23.21875" style="237" customWidth="1"/>
    <col min="7684" max="7684" width="17.77734375" style="237" customWidth="1"/>
    <col min="7685" max="7685" width="12.77734375" style="237" customWidth="1"/>
    <col min="7686" max="7686" width="11.6640625" style="237" customWidth="1"/>
    <col min="7687" max="7687" width="11.77734375" style="237" customWidth="1"/>
    <col min="7688" max="7688" width="30.77734375" style="237" customWidth="1"/>
    <col min="7689" max="7689" width="15.88671875" style="237" customWidth="1"/>
    <col min="7690" max="7690" width="19.109375" style="237" customWidth="1"/>
    <col min="7691" max="7691" width="22.6640625" style="237" customWidth="1"/>
    <col min="7692" max="7693" width="19.6640625" style="237" customWidth="1"/>
    <col min="7694" max="7694" width="84.5546875" style="237" customWidth="1"/>
    <col min="7695" max="7695" width="17.44140625" style="237" customWidth="1"/>
    <col min="7696" max="7696" width="47.109375" style="237" customWidth="1"/>
    <col min="7697" max="7697" width="9.33203125" style="237" customWidth="1"/>
    <col min="7698" max="7698" width="40.88671875" style="237" customWidth="1"/>
    <col min="7699" max="7699" width="16.33203125" style="237" customWidth="1"/>
    <col min="7700" max="7700" width="25.33203125" style="237" customWidth="1"/>
    <col min="7701" max="7701" width="21" style="237" customWidth="1"/>
    <col min="7702" max="7702" width="11.44140625" style="237" customWidth="1"/>
    <col min="7703" max="7703" width="12.5546875" style="237" customWidth="1"/>
    <col min="7704" max="7704" width="16.6640625" style="237" customWidth="1"/>
    <col min="7705" max="7705" width="9.88671875" style="237" customWidth="1"/>
    <col min="7706" max="7706" width="16.6640625" style="237" customWidth="1"/>
    <col min="7707" max="7707" width="21" style="237" customWidth="1"/>
    <col min="7708" max="7708" width="31.88671875" style="237" customWidth="1"/>
    <col min="7709" max="7709" width="23.44140625" style="237" customWidth="1"/>
    <col min="7710" max="7710" width="23.6640625" style="237" customWidth="1"/>
    <col min="7711" max="7711" width="43.88671875" style="237" customWidth="1"/>
    <col min="7712" max="7712" width="23.6640625" style="237" customWidth="1"/>
    <col min="7713" max="7713" width="32.109375" style="237" customWidth="1"/>
    <col min="7714" max="7936" width="8.88671875" style="237"/>
    <col min="7937" max="7937" width="20.109375" style="237" customWidth="1"/>
    <col min="7938" max="7938" width="39.33203125" style="237" customWidth="1"/>
    <col min="7939" max="7939" width="23.21875" style="237" customWidth="1"/>
    <col min="7940" max="7940" width="17.77734375" style="237" customWidth="1"/>
    <col min="7941" max="7941" width="12.77734375" style="237" customWidth="1"/>
    <col min="7942" max="7942" width="11.6640625" style="237" customWidth="1"/>
    <col min="7943" max="7943" width="11.77734375" style="237" customWidth="1"/>
    <col min="7944" max="7944" width="30.77734375" style="237" customWidth="1"/>
    <col min="7945" max="7945" width="15.88671875" style="237" customWidth="1"/>
    <col min="7946" max="7946" width="19.109375" style="237" customWidth="1"/>
    <col min="7947" max="7947" width="22.6640625" style="237" customWidth="1"/>
    <col min="7948" max="7949" width="19.6640625" style="237" customWidth="1"/>
    <col min="7950" max="7950" width="84.5546875" style="237" customWidth="1"/>
    <col min="7951" max="7951" width="17.44140625" style="237" customWidth="1"/>
    <col min="7952" max="7952" width="47.109375" style="237" customWidth="1"/>
    <col min="7953" max="7953" width="9.33203125" style="237" customWidth="1"/>
    <col min="7954" max="7954" width="40.88671875" style="237" customWidth="1"/>
    <col min="7955" max="7955" width="16.33203125" style="237" customWidth="1"/>
    <col min="7956" max="7956" width="25.33203125" style="237" customWidth="1"/>
    <col min="7957" max="7957" width="21" style="237" customWidth="1"/>
    <col min="7958" max="7958" width="11.44140625" style="237" customWidth="1"/>
    <col min="7959" max="7959" width="12.5546875" style="237" customWidth="1"/>
    <col min="7960" max="7960" width="16.6640625" style="237" customWidth="1"/>
    <col min="7961" max="7961" width="9.88671875" style="237" customWidth="1"/>
    <col min="7962" max="7962" width="16.6640625" style="237" customWidth="1"/>
    <col min="7963" max="7963" width="21" style="237" customWidth="1"/>
    <col min="7964" max="7964" width="31.88671875" style="237" customWidth="1"/>
    <col min="7965" max="7965" width="23.44140625" style="237" customWidth="1"/>
    <col min="7966" max="7966" width="23.6640625" style="237" customWidth="1"/>
    <col min="7967" max="7967" width="43.88671875" style="237" customWidth="1"/>
    <col min="7968" max="7968" width="23.6640625" style="237" customWidth="1"/>
    <col min="7969" max="7969" width="32.109375" style="237" customWidth="1"/>
    <col min="7970" max="8192" width="8.88671875" style="237"/>
    <col min="8193" max="8193" width="20.109375" style="237" customWidth="1"/>
    <col min="8194" max="8194" width="39.33203125" style="237" customWidth="1"/>
    <col min="8195" max="8195" width="23.21875" style="237" customWidth="1"/>
    <col min="8196" max="8196" width="17.77734375" style="237" customWidth="1"/>
    <col min="8197" max="8197" width="12.77734375" style="237" customWidth="1"/>
    <col min="8198" max="8198" width="11.6640625" style="237" customWidth="1"/>
    <col min="8199" max="8199" width="11.77734375" style="237" customWidth="1"/>
    <col min="8200" max="8200" width="30.77734375" style="237" customWidth="1"/>
    <col min="8201" max="8201" width="15.88671875" style="237" customWidth="1"/>
    <col min="8202" max="8202" width="19.109375" style="237" customWidth="1"/>
    <col min="8203" max="8203" width="22.6640625" style="237" customWidth="1"/>
    <col min="8204" max="8205" width="19.6640625" style="237" customWidth="1"/>
    <col min="8206" max="8206" width="84.5546875" style="237" customWidth="1"/>
    <col min="8207" max="8207" width="17.44140625" style="237" customWidth="1"/>
    <col min="8208" max="8208" width="47.109375" style="237" customWidth="1"/>
    <col min="8209" max="8209" width="9.33203125" style="237" customWidth="1"/>
    <col min="8210" max="8210" width="40.88671875" style="237" customWidth="1"/>
    <col min="8211" max="8211" width="16.33203125" style="237" customWidth="1"/>
    <col min="8212" max="8212" width="25.33203125" style="237" customWidth="1"/>
    <col min="8213" max="8213" width="21" style="237" customWidth="1"/>
    <col min="8214" max="8214" width="11.44140625" style="237" customWidth="1"/>
    <col min="8215" max="8215" width="12.5546875" style="237" customWidth="1"/>
    <col min="8216" max="8216" width="16.6640625" style="237" customWidth="1"/>
    <col min="8217" max="8217" width="9.88671875" style="237" customWidth="1"/>
    <col min="8218" max="8218" width="16.6640625" style="237" customWidth="1"/>
    <col min="8219" max="8219" width="21" style="237" customWidth="1"/>
    <col min="8220" max="8220" width="31.88671875" style="237" customWidth="1"/>
    <col min="8221" max="8221" width="23.44140625" style="237" customWidth="1"/>
    <col min="8222" max="8222" width="23.6640625" style="237" customWidth="1"/>
    <col min="8223" max="8223" width="43.88671875" style="237" customWidth="1"/>
    <col min="8224" max="8224" width="23.6640625" style="237" customWidth="1"/>
    <col min="8225" max="8225" width="32.109375" style="237" customWidth="1"/>
    <col min="8226" max="8448" width="8.88671875" style="237"/>
    <col min="8449" max="8449" width="20.109375" style="237" customWidth="1"/>
    <col min="8450" max="8450" width="39.33203125" style="237" customWidth="1"/>
    <col min="8451" max="8451" width="23.21875" style="237" customWidth="1"/>
    <col min="8452" max="8452" width="17.77734375" style="237" customWidth="1"/>
    <col min="8453" max="8453" width="12.77734375" style="237" customWidth="1"/>
    <col min="8454" max="8454" width="11.6640625" style="237" customWidth="1"/>
    <col min="8455" max="8455" width="11.77734375" style="237" customWidth="1"/>
    <col min="8456" max="8456" width="30.77734375" style="237" customWidth="1"/>
    <col min="8457" max="8457" width="15.88671875" style="237" customWidth="1"/>
    <col min="8458" max="8458" width="19.109375" style="237" customWidth="1"/>
    <col min="8459" max="8459" width="22.6640625" style="237" customWidth="1"/>
    <col min="8460" max="8461" width="19.6640625" style="237" customWidth="1"/>
    <col min="8462" max="8462" width="84.5546875" style="237" customWidth="1"/>
    <col min="8463" max="8463" width="17.44140625" style="237" customWidth="1"/>
    <col min="8464" max="8464" width="47.109375" style="237" customWidth="1"/>
    <col min="8465" max="8465" width="9.33203125" style="237" customWidth="1"/>
    <col min="8466" max="8466" width="40.88671875" style="237" customWidth="1"/>
    <col min="8467" max="8467" width="16.33203125" style="237" customWidth="1"/>
    <col min="8468" max="8468" width="25.33203125" style="237" customWidth="1"/>
    <col min="8469" max="8469" width="21" style="237" customWidth="1"/>
    <col min="8470" max="8470" width="11.44140625" style="237" customWidth="1"/>
    <col min="8471" max="8471" width="12.5546875" style="237" customWidth="1"/>
    <col min="8472" max="8472" width="16.6640625" style="237" customWidth="1"/>
    <col min="8473" max="8473" width="9.88671875" style="237" customWidth="1"/>
    <col min="8474" max="8474" width="16.6640625" style="237" customWidth="1"/>
    <col min="8475" max="8475" width="21" style="237" customWidth="1"/>
    <col min="8476" max="8476" width="31.88671875" style="237" customWidth="1"/>
    <col min="8477" max="8477" width="23.44140625" style="237" customWidth="1"/>
    <col min="8478" max="8478" width="23.6640625" style="237" customWidth="1"/>
    <col min="8479" max="8479" width="43.88671875" style="237" customWidth="1"/>
    <col min="8480" max="8480" width="23.6640625" style="237" customWidth="1"/>
    <col min="8481" max="8481" width="32.109375" style="237" customWidth="1"/>
    <col min="8482" max="8704" width="8.88671875" style="237"/>
    <col min="8705" max="8705" width="20.109375" style="237" customWidth="1"/>
    <col min="8706" max="8706" width="39.33203125" style="237" customWidth="1"/>
    <col min="8707" max="8707" width="23.21875" style="237" customWidth="1"/>
    <col min="8708" max="8708" width="17.77734375" style="237" customWidth="1"/>
    <col min="8709" max="8709" width="12.77734375" style="237" customWidth="1"/>
    <col min="8710" max="8710" width="11.6640625" style="237" customWidth="1"/>
    <col min="8711" max="8711" width="11.77734375" style="237" customWidth="1"/>
    <col min="8712" max="8712" width="30.77734375" style="237" customWidth="1"/>
    <col min="8713" max="8713" width="15.88671875" style="237" customWidth="1"/>
    <col min="8714" max="8714" width="19.109375" style="237" customWidth="1"/>
    <col min="8715" max="8715" width="22.6640625" style="237" customWidth="1"/>
    <col min="8716" max="8717" width="19.6640625" style="237" customWidth="1"/>
    <col min="8718" max="8718" width="84.5546875" style="237" customWidth="1"/>
    <col min="8719" max="8719" width="17.44140625" style="237" customWidth="1"/>
    <col min="8720" max="8720" width="47.109375" style="237" customWidth="1"/>
    <col min="8721" max="8721" width="9.33203125" style="237" customWidth="1"/>
    <col min="8722" max="8722" width="40.88671875" style="237" customWidth="1"/>
    <col min="8723" max="8723" width="16.33203125" style="237" customWidth="1"/>
    <col min="8724" max="8724" width="25.33203125" style="237" customWidth="1"/>
    <col min="8725" max="8725" width="21" style="237" customWidth="1"/>
    <col min="8726" max="8726" width="11.44140625" style="237" customWidth="1"/>
    <col min="8727" max="8727" width="12.5546875" style="237" customWidth="1"/>
    <col min="8728" max="8728" width="16.6640625" style="237" customWidth="1"/>
    <col min="8729" max="8729" width="9.88671875" style="237" customWidth="1"/>
    <col min="8730" max="8730" width="16.6640625" style="237" customWidth="1"/>
    <col min="8731" max="8731" width="21" style="237" customWidth="1"/>
    <col min="8732" max="8732" width="31.88671875" style="237" customWidth="1"/>
    <col min="8733" max="8733" width="23.44140625" style="237" customWidth="1"/>
    <col min="8734" max="8734" width="23.6640625" style="237" customWidth="1"/>
    <col min="8735" max="8735" width="43.88671875" style="237" customWidth="1"/>
    <col min="8736" max="8736" width="23.6640625" style="237" customWidth="1"/>
    <col min="8737" max="8737" width="32.109375" style="237" customWidth="1"/>
    <col min="8738" max="8960" width="8.88671875" style="237"/>
    <col min="8961" max="8961" width="20.109375" style="237" customWidth="1"/>
    <col min="8962" max="8962" width="39.33203125" style="237" customWidth="1"/>
    <col min="8963" max="8963" width="23.21875" style="237" customWidth="1"/>
    <col min="8964" max="8964" width="17.77734375" style="237" customWidth="1"/>
    <col min="8965" max="8965" width="12.77734375" style="237" customWidth="1"/>
    <col min="8966" max="8966" width="11.6640625" style="237" customWidth="1"/>
    <col min="8967" max="8967" width="11.77734375" style="237" customWidth="1"/>
    <col min="8968" max="8968" width="30.77734375" style="237" customWidth="1"/>
    <col min="8969" max="8969" width="15.88671875" style="237" customWidth="1"/>
    <col min="8970" max="8970" width="19.109375" style="237" customWidth="1"/>
    <col min="8971" max="8971" width="22.6640625" style="237" customWidth="1"/>
    <col min="8972" max="8973" width="19.6640625" style="237" customWidth="1"/>
    <col min="8974" max="8974" width="84.5546875" style="237" customWidth="1"/>
    <col min="8975" max="8975" width="17.44140625" style="237" customWidth="1"/>
    <col min="8976" max="8976" width="47.109375" style="237" customWidth="1"/>
    <col min="8977" max="8977" width="9.33203125" style="237" customWidth="1"/>
    <col min="8978" max="8978" width="40.88671875" style="237" customWidth="1"/>
    <col min="8979" max="8979" width="16.33203125" style="237" customWidth="1"/>
    <col min="8980" max="8980" width="25.33203125" style="237" customWidth="1"/>
    <col min="8981" max="8981" width="21" style="237" customWidth="1"/>
    <col min="8982" max="8982" width="11.44140625" style="237" customWidth="1"/>
    <col min="8983" max="8983" width="12.5546875" style="237" customWidth="1"/>
    <col min="8984" max="8984" width="16.6640625" style="237" customWidth="1"/>
    <col min="8985" max="8985" width="9.88671875" style="237" customWidth="1"/>
    <col min="8986" max="8986" width="16.6640625" style="237" customWidth="1"/>
    <col min="8987" max="8987" width="21" style="237" customWidth="1"/>
    <col min="8988" max="8988" width="31.88671875" style="237" customWidth="1"/>
    <col min="8989" max="8989" width="23.44140625" style="237" customWidth="1"/>
    <col min="8990" max="8990" width="23.6640625" style="237" customWidth="1"/>
    <col min="8991" max="8991" width="43.88671875" style="237" customWidth="1"/>
    <col min="8992" max="8992" width="23.6640625" style="237" customWidth="1"/>
    <col min="8993" max="8993" width="32.109375" style="237" customWidth="1"/>
    <col min="8994" max="9216" width="8.88671875" style="237"/>
    <col min="9217" max="9217" width="20.109375" style="237" customWidth="1"/>
    <col min="9218" max="9218" width="39.33203125" style="237" customWidth="1"/>
    <col min="9219" max="9219" width="23.21875" style="237" customWidth="1"/>
    <col min="9220" max="9220" width="17.77734375" style="237" customWidth="1"/>
    <col min="9221" max="9221" width="12.77734375" style="237" customWidth="1"/>
    <col min="9222" max="9222" width="11.6640625" style="237" customWidth="1"/>
    <col min="9223" max="9223" width="11.77734375" style="237" customWidth="1"/>
    <col min="9224" max="9224" width="30.77734375" style="237" customWidth="1"/>
    <col min="9225" max="9225" width="15.88671875" style="237" customWidth="1"/>
    <col min="9226" max="9226" width="19.109375" style="237" customWidth="1"/>
    <col min="9227" max="9227" width="22.6640625" style="237" customWidth="1"/>
    <col min="9228" max="9229" width="19.6640625" style="237" customWidth="1"/>
    <col min="9230" max="9230" width="84.5546875" style="237" customWidth="1"/>
    <col min="9231" max="9231" width="17.44140625" style="237" customWidth="1"/>
    <col min="9232" max="9232" width="47.109375" style="237" customWidth="1"/>
    <col min="9233" max="9233" width="9.33203125" style="237" customWidth="1"/>
    <col min="9234" max="9234" width="40.88671875" style="237" customWidth="1"/>
    <col min="9235" max="9235" width="16.33203125" style="237" customWidth="1"/>
    <col min="9236" max="9236" width="25.33203125" style="237" customWidth="1"/>
    <col min="9237" max="9237" width="21" style="237" customWidth="1"/>
    <col min="9238" max="9238" width="11.44140625" style="237" customWidth="1"/>
    <col min="9239" max="9239" width="12.5546875" style="237" customWidth="1"/>
    <col min="9240" max="9240" width="16.6640625" style="237" customWidth="1"/>
    <col min="9241" max="9241" width="9.88671875" style="237" customWidth="1"/>
    <col min="9242" max="9242" width="16.6640625" style="237" customWidth="1"/>
    <col min="9243" max="9243" width="21" style="237" customWidth="1"/>
    <col min="9244" max="9244" width="31.88671875" style="237" customWidth="1"/>
    <col min="9245" max="9245" width="23.44140625" style="237" customWidth="1"/>
    <col min="9246" max="9246" width="23.6640625" style="237" customWidth="1"/>
    <col min="9247" max="9247" width="43.88671875" style="237" customWidth="1"/>
    <col min="9248" max="9248" width="23.6640625" style="237" customWidth="1"/>
    <col min="9249" max="9249" width="32.109375" style="237" customWidth="1"/>
    <col min="9250" max="9472" width="8.88671875" style="237"/>
    <col min="9473" max="9473" width="20.109375" style="237" customWidth="1"/>
    <col min="9474" max="9474" width="39.33203125" style="237" customWidth="1"/>
    <col min="9475" max="9475" width="23.21875" style="237" customWidth="1"/>
    <col min="9476" max="9476" width="17.77734375" style="237" customWidth="1"/>
    <col min="9477" max="9477" width="12.77734375" style="237" customWidth="1"/>
    <col min="9478" max="9478" width="11.6640625" style="237" customWidth="1"/>
    <col min="9479" max="9479" width="11.77734375" style="237" customWidth="1"/>
    <col min="9480" max="9480" width="30.77734375" style="237" customWidth="1"/>
    <col min="9481" max="9481" width="15.88671875" style="237" customWidth="1"/>
    <col min="9482" max="9482" width="19.109375" style="237" customWidth="1"/>
    <col min="9483" max="9483" width="22.6640625" style="237" customWidth="1"/>
    <col min="9484" max="9485" width="19.6640625" style="237" customWidth="1"/>
    <col min="9486" max="9486" width="84.5546875" style="237" customWidth="1"/>
    <col min="9487" max="9487" width="17.44140625" style="237" customWidth="1"/>
    <col min="9488" max="9488" width="47.109375" style="237" customWidth="1"/>
    <col min="9489" max="9489" width="9.33203125" style="237" customWidth="1"/>
    <col min="9490" max="9490" width="40.88671875" style="237" customWidth="1"/>
    <col min="9491" max="9491" width="16.33203125" style="237" customWidth="1"/>
    <col min="9492" max="9492" width="25.33203125" style="237" customWidth="1"/>
    <col min="9493" max="9493" width="21" style="237" customWidth="1"/>
    <col min="9494" max="9494" width="11.44140625" style="237" customWidth="1"/>
    <col min="9495" max="9495" width="12.5546875" style="237" customWidth="1"/>
    <col min="9496" max="9496" width="16.6640625" style="237" customWidth="1"/>
    <col min="9497" max="9497" width="9.88671875" style="237" customWidth="1"/>
    <col min="9498" max="9498" width="16.6640625" style="237" customWidth="1"/>
    <col min="9499" max="9499" width="21" style="237" customWidth="1"/>
    <col min="9500" max="9500" width="31.88671875" style="237" customWidth="1"/>
    <col min="9501" max="9501" width="23.44140625" style="237" customWidth="1"/>
    <col min="9502" max="9502" width="23.6640625" style="237" customWidth="1"/>
    <col min="9503" max="9503" width="43.88671875" style="237" customWidth="1"/>
    <col min="9504" max="9504" width="23.6640625" style="237" customWidth="1"/>
    <col min="9505" max="9505" width="32.109375" style="237" customWidth="1"/>
    <col min="9506" max="9728" width="8.88671875" style="237"/>
    <col min="9729" max="9729" width="20.109375" style="237" customWidth="1"/>
    <col min="9730" max="9730" width="39.33203125" style="237" customWidth="1"/>
    <col min="9731" max="9731" width="23.21875" style="237" customWidth="1"/>
    <col min="9732" max="9732" width="17.77734375" style="237" customWidth="1"/>
    <col min="9733" max="9733" width="12.77734375" style="237" customWidth="1"/>
    <col min="9734" max="9734" width="11.6640625" style="237" customWidth="1"/>
    <col min="9735" max="9735" width="11.77734375" style="237" customWidth="1"/>
    <col min="9736" max="9736" width="30.77734375" style="237" customWidth="1"/>
    <col min="9737" max="9737" width="15.88671875" style="237" customWidth="1"/>
    <col min="9738" max="9738" width="19.109375" style="237" customWidth="1"/>
    <col min="9739" max="9739" width="22.6640625" style="237" customWidth="1"/>
    <col min="9740" max="9741" width="19.6640625" style="237" customWidth="1"/>
    <col min="9742" max="9742" width="84.5546875" style="237" customWidth="1"/>
    <col min="9743" max="9743" width="17.44140625" style="237" customWidth="1"/>
    <col min="9744" max="9744" width="47.109375" style="237" customWidth="1"/>
    <col min="9745" max="9745" width="9.33203125" style="237" customWidth="1"/>
    <col min="9746" max="9746" width="40.88671875" style="237" customWidth="1"/>
    <col min="9747" max="9747" width="16.33203125" style="237" customWidth="1"/>
    <col min="9748" max="9748" width="25.33203125" style="237" customWidth="1"/>
    <col min="9749" max="9749" width="21" style="237" customWidth="1"/>
    <col min="9750" max="9750" width="11.44140625" style="237" customWidth="1"/>
    <col min="9751" max="9751" width="12.5546875" style="237" customWidth="1"/>
    <col min="9752" max="9752" width="16.6640625" style="237" customWidth="1"/>
    <col min="9753" max="9753" width="9.88671875" style="237" customWidth="1"/>
    <col min="9754" max="9754" width="16.6640625" style="237" customWidth="1"/>
    <col min="9755" max="9755" width="21" style="237" customWidth="1"/>
    <col min="9756" max="9756" width="31.88671875" style="237" customWidth="1"/>
    <col min="9757" max="9757" width="23.44140625" style="237" customWidth="1"/>
    <col min="9758" max="9758" width="23.6640625" style="237" customWidth="1"/>
    <col min="9759" max="9759" width="43.88671875" style="237" customWidth="1"/>
    <col min="9760" max="9760" width="23.6640625" style="237" customWidth="1"/>
    <col min="9761" max="9761" width="32.109375" style="237" customWidth="1"/>
    <col min="9762" max="9984" width="8.88671875" style="237"/>
    <col min="9985" max="9985" width="20.109375" style="237" customWidth="1"/>
    <col min="9986" max="9986" width="39.33203125" style="237" customWidth="1"/>
    <col min="9987" max="9987" width="23.21875" style="237" customWidth="1"/>
    <col min="9988" max="9988" width="17.77734375" style="237" customWidth="1"/>
    <col min="9989" max="9989" width="12.77734375" style="237" customWidth="1"/>
    <col min="9990" max="9990" width="11.6640625" style="237" customWidth="1"/>
    <col min="9991" max="9991" width="11.77734375" style="237" customWidth="1"/>
    <col min="9992" max="9992" width="30.77734375" style="237" customWidth="1"/>
    <col min="9993" max="9993" width="15.88671875" style="237" customWidth="1"/>
    <col min="9994" max="9994" width="19.109375" style="237" customWidth="1"/>
    <col min="9995" max="9995" width="22.6640625" style="237" customWidth="1"/>
    <col min="9996" max="9997" width="19.6640625" style="237" customWidth="1"/>
    <col min="9998" max="9998" width="84.5546875" style="237" customWidth="1"/>
    <col min="9999" max="9999" width="17.44140625" style="237" customWidth="1"/>
    <col min="10000" max="10000" width="47.109375" style="237" customWidth="1"/>
    <col min="10001" max="10001" width="9.33203125" style="237" customWidth="1"/>
    <col min="10002" max="10002" width="40.88671875" style="237" customWidth="1"/>
    <col min="10003" max="10003" width="16.33203125" style="237" customWidth="1"/>
    <col min="10004" max="10004" width="25.33203125" style="237" customWidth="1"/>
    <col min="10005" max="10005" width="21" style="237" customWidth="1"/>
    <col min="10006" max="10006" width="11.44140625" style="237" customWidth="1"/>
    <col min="10007" max="10007" width="12.5546875" style="237" customWidth="1"/>
    <col min="10008" max="10008" width="16.6640625" style="237" customWidth="1"/>
    <col min="10009" max="10009" width="9.88671875" style="237" customWidth="1"/>
    <col min="10010" max="10010" width="16.6640625" style="237" customWidth="1"/>
    <col min="10011" max="10011" width="21" style="237" customWidth="1"/>
    <col min="10012" max="10012" width="31.88671875" style="237" customWidth="1"/>
    <col min="10013" max="10013" width="23.44140625" style="237" customWidth="1"/>
    <col min="10014" max="10014" width="23.6640625" style="237" customWidth="1"/>
    <col min="10015" max="10015" width="43.88671875" style="237" customWidth="1"/>
    <col min="10016" max="10016" width="23.6640625" style="237" customWidth="1"/>
    <col min="10017" max="10017" width="32.109375" style="237" customWidth="1"/>
    <col min="10018" max="10240" width="8.88671875" style="237"/>
    <col min="10241" max="10241" width="20.109375" style="237" customWidth="1"/>
    <col min="10242" max="10242" width="39.33203125" style="237" customWidth="1"/>
    <col min="10243" max="10243" width="23.21875" style="237" customWidth="1"/>
    <col min="10244" max="10244" width="17.77734375" style="237" customWidth="1"/>
    <col min="10245" max="10245" width="12.77734375" style="237" customWidth="1"/>
    <col min="10246" max="10246" width="11.6640625" style="237" customWidth="1"/>
    <col min="10247" max="10247" width="11.77734375" style="237" customWidth="1"/>
    <col min="10248" max="10248" width="30.77734375" style="237" customWidth="1"/>
    <col min="10249" max="10249" width="15.88671875" style="237" customWidth="1"/>
    <col min="10250" max="10250" width="19.109375" style="237" customWidth="1"/>
    <col min="10251" max="10251" width="22.6640625" style="237" customWidth="1"/>
    <col min="10252" max="10253" width="19.6640625" style="237" customWidth="1"/>
    <col min="10254" max="10254" width="84.5546875" style="237" customWidth="1"/>
    <col min="10255" max="10255" width="17.44140625" style="237" customWidth="1"/>
    <col min="10256" max="10256" width="47.109375" style="237" customWidth="1"/>
    <col min="10257" max="10257" width="9.33203125" style="237" customWidth="1"/>
    <col min="10258" max="10258" width="40.88671875" style="237" customWidth="1"/>
    <col min="10259" max="10259" width="16.33203125" style="237" customWidth="1"/>
    <col min="10260" max="10260" width="25.33203125" style="237" customWidth="1"/>
    <col min="10261" max="10261" width="21" style="237" customWidth="1"/>
    <col min="10262" max="10262" width="11.44140625" style="237" customWidth="1"/>
    <col min="10263" max="10263" width="12.5546875" style="237" customWidth="1"/>
    <col min="10264" max="10264" width="16.6640625" style="237" customWidth="1"/>
    <col min="10265" max="10265" width="9.88671875" style="237" customWidth="1"/>
    <col min="10266" max="10266" width="16.6640625" style="237" customWidth="1"/>
    <col min="10267" max="10267" width="21" style="237" customWidth="1"/>
    <col min="10268" max="10268" width="31.88671875" style="237" customWidth="1"/>
    <col min="10269" max="10269" width="23.44140625" style="237" customWidth="1"/>
    <col min="10270" max="10270" width="23.6640625" style="237" customWidth="1"/>
    <col min="10271" max="10271" width="43.88671875" style="237" customWidth="1"/>
    <col min="10272" max="10272" width="23.6640625" style="237" customWidth="1"/>
    <col min="10273" max="10273" width="32.109375" style="237" customWidth="1"/>
    <col min="10274" max="10496" width="8.88671875" style="237"/>
    <col min="10497" max="10497" width="20.109375" style="237" customWidth="1"/>
    <col min="10498" max="10498" width="39.33203125" style="237" customWidth="1"/>
    <col min="10499" max="10499" width="23.21875" style="237" customWidth="1"/>
    <col min="10500" max="10500" width="17.77734375" style="237" customWidth="1"/>
    <col min="10501" max="10501" width="12.77734375" style="237" customWidth="1"/>
    <col min="10502" max="10502" width="11.6640625" style="237" customWidth="1"/>
    <col min="10503" max="10503" width="11.77734375" style="237" customWidth="1"/>
    <col min="10504" max="10504" width="30.77734375" style="237" customWidth="1"/>
    <col min="10505" max="10505" width="15.88671875" style="237" customWidth="1"/>
    <col min="10506" max="10506" width="19.109375" style="237" customWidth="1"/>
    <col min="10507" max="10507" width="22.6640625" style="237" customWidth="1"/>
    <col min="10508" max="10509" width="19.6640625" style="237" customWidth="1"/>
    <col min="10510" max="10510" width="84.5546875" style="237" customWidth="1"/>
    <col min="10511" max="10511" width="17.44140625" style="237" customWidth="1"/>
    <col min="10512" max="10512" width="47.109375" style="237" customWidth="1"/>
    <col min="10513" max="10513" width="9.33203125" style="237" customWidth="1"/>
    <col min="10514" max="10514" width="40.88671875" style="237" customWidth="1"/>
    <col min="10515" max="10515" width="16.33203125" style="237" customWidth="1"/>
    <col min="10516" max="10516" width="25.33203125" style="237" customWidth="1"/>
    <col min="10517" max="10517" width="21" style="237" customWidth="1"/>
    <col min="10518" max="10518" width="11.44140625" style="237" customWidth="1"/>
    <col min="10519" max="10519" width="12.5546875" style="237" customWidth="1"/>
    <col min="10520" max="10520" width="16.6640625" style="237" customWidth="1"/>
    <col min="10521" max="10521" width="9.88671875" style="237" customWidth="1"/>
    <col min="10522" max="10522" width="16.6640625" style="237" customWidth="1"/>
    <col min="10523" max="10523" width="21" style="237" customWidth="1"/>
    <col min="10524" max="10524" width="31.88671875" style="237" customWidth="1"/>
    <col min="10525" max="10525" width="23.44140625" style="237" customWidth="1"/>
    <col min="10526" max="10526" width="23.6640625" style="237" customWidth="1"/>
    <col min="10527" max="10527" width="43.88671875" style="237" customWidth="1"/>
    <col min="10528" max="10528" width="23.6640625" style="237" customWidth="1"/>
    <col min="10529" max="10529" width="32.109375" style="237" customWidth="1"/>
    <col min="10530" max="10752" width="8.88671875" style="237"/>
    <col min="10753" max="10753" width="20.109375" style="237" customWidth="1"/>
    <col min="10754" max="10754" width="39.33203125" style="237" customWidth="1"/>
    <col min="10755" max="10755" width="23.21875" style="237" customWidth="1"/>
    <col min="10756" max="10756" width="17.77734375" style="237" customWidth="1"/>
    <col min="10757" max="10757" width="12.77734375" style="237" customWidth="1"/>
    <col min="10758" max="10758" width="11.6640625" style="237" customWidth="1"/>
    <col min="10759" max="10759" width="11.77734375" style="237" customWidth="1"/>
    <col min="10760" max="10760" width="30.77734375" style="237" customWidth="1"/>
    <col min="10761" max="10761" width="15.88671875" style="237" customWidth="1"/>
    <col min="10762" max="10762" width="19.109375" style="237" customWidth="1"/>
    <col min="10763" max="10763" width="22.6640625" style="237" customWidth="1"/>
    <col min="10764" max="10765" width="19.6640625" style="237" customWidth="1"/>
    <col min="10766" max="10766" width="84.5546875" style="237" customWidth="1"/>
    <col min="10767" max="10767" width="17.44140625" style="237" customWidth="1"/>
    <col min="10768" max="10768" width="47.109375" style="237" customWidth="1"/>
    <col min="10769" max="10769" width="9.33203125" style="237" customWidth="1"/>
    <col min="10770" max="10770" width="40.88671875" style="237" customWidth="1"/>
    <col min="10771" max="10771" width="16.33203125" style="237" customWidth="1"/>
    <col min="10772" max="10772" width="25.33203125" style="237" customWidth="1"/>
    <col min="10773" max="10773" width="21" style="237" customWidth="1"/>
    <col min="10774" max="10774" width="11.44140625" style="237" customWidth="1"/>
    <col min="10775" max="10775" width="12.5546875" style="237" customWidth="1"/>
    <col min="10776" max="10776" width="16.6640625" style="237" customWidth="1"/>
    <col min="10777" max="10777" width="9.88671875" style="237" customWidth="1"/>
    <col min="10778" max="10778" width="16.6640625" style="237" customWidth="1"/>
    <col min="10779" max="10779" width="21" style="237" customWidth="1"/>
    <col min="10780" max="10780" width="31.88671875" style="237" customWidth="1"/>
    <col min="10781" max="10781" width="23.44140625" style="237" customWidth="1"/>
    <col min="10782" max="10782" width="23.6640625" style="237" customWidth="1"/>
    <col min="10783" max="10783" width="43.88671875" style="237" customWidth="1"/>
    <col min="10784" max="10784" width="23.6640625" style="237" customWidth="1"/>
    <col min="10785" max="10785" width="32.109375" style="237" customWidth="1"/>
    <col min="10786" max="11008" width="8.88671875" style="237"/>
    <col min="11009" max="11009" width="20.109375" style="237" customWidth="1"/>
    <col min="11010" max="11010" width="39.33203125" style="237" customWidth="1"/>
    <col min="11011" max="11011" width="23.21875" style="237" customWidth="1"/>
    <col min="11012" max="11012" width="17.77734375" style="237" customWidth="1"/>
    <col min="11013" max="11013" width="12.77734375" style="237" customWidth="1"/>
    <col min="11014" max="11014" width="11.6640625" style="237" customWidth="1"/>
    <col min="11015" max="11015" width="11.77734375" style="237" customWidth="1"/>
    <col min="11016" max="11016" width="30.77734375" style="237" customWidth="1"/>
    <col min="11017" max="11017" width="15.88671875" style="237" customWidth="1"/>
    <col min="11018" max="11018" width="19.109375" style="237" customWidth="1"/>
    <col min="11019" max="11019" width="22.6640625" style="237" customWidth="1"/>
    <col min="11020" max="11021" width="19.6640625" style="237" customWidth="1"/>
    <col min="11022" max="11022" width="84.5546875" style="237" customWidth="1"/>
    <col min="11023" max="11023" width="17.44140625" style="237" customWidth="1"/>
    <col min="11024" max="11024" width="47.109375" style="237" customWidth="1"/>
    <col min="11025" max="11025" width="9.33203125" style="237" customWidth="1"/>
    <col min="11026" max="11026" width="40.88671875" style="237" customWidth="1"/>
    <col min="11027" max="11027" width="16.33203125" style="237" customWidth="1"/>
    <col min="11028" max="11028" width="25.33203125" style="237" customWidth="1"/>
    <col min="11029" max="11029" width="21" style="237" customWidth="1"/>
    <col min="11030" max="11030" width="11.44140625" style="237" customWidth="1"/>
    <col min="11031" max="11031" width="12.5546875" style="237" customWidth="1"/>
    <col min="11032" max="11032" width="16.6640625" style="237" customWidth="1"/>
    <col min="11033" max="11033" width="9.88671875" style="237" customWidth="1"/>
    <col min="11034" max="11034" width="16.6640625" style="237" customWidth="1"/>
    <col min="11035" max="11035" width="21" style="237" customWidth="1"/>
    <col min="11036" max="11036" width="31.88671875" style="237" customWidth="1"/>
    <col min="11037" max="11037" width="23.44140625" style="237" customWidth="1"/>
    <col min="11038" max="11038" width="23.6640625" style="237" customWidth="1"/>
    <col min="11039" max="11039" width="43.88671875" style="237" customWidth="1"/>
    <col min="11040" max="11040" width="23.6640625" style="237" customWidth="1"/>
    <col min="11041" max="11041" width="32.109375" style="237" customWidth="1"/>
    <col min="11042" max="11264" width="8.88671875" style="237"/>
    <col min="11265" max="11265" width="20.109375" style="237" customWidth="1"/>
    <col min="11266" max="11266" width="39.33203125" style="237" customWidth="1"/>
    <col min="11267" max="11267" width="23.21875" style="237" customWidth="1"/>
    <col min="11268" max="11268" width="17.77734375" style="237" customWidth="1"/>
    <col min="11269" max="11269" width="12.77734375" style="237" customWidth="1"/>
    <col min="11270" max="11270" width="11.6640625" style="237" customWidth="1"/>
    <col min="11271" max="11271" width="11.77734375" style="237" customWidth="1"/>
    <col min="11272" max="11272" width="30.77734375" style="237" customWidth="1"/>
    <col min="11273" max="11273" width="15.88671875" style="237" customWidth="1"/>
    <col min="11274" max="11274" width="19.109375" style="237" customWidth="1"/>
    <col min="11275" max="11275" width="22.6640625" style="237" customWidth="1"/>
    <col min="11276" max="11277" width="19.6640625" style="237" customWidth="1"/>
    <col min="11278" max="11278" width="84.5546875" style="237" customWidth="1"/>
    <col min="11279" max="11279" width="17.44140625" style="237" customWidth="1"/>
    <col min="11280" max="11280" width="47.109375" style="237" customWidth="1"/>
    <col min="11281" max="11281" width="9.33203125" style="237" customWidth="1"/>
    <col min="11282" max="11282" width="40.88671875" style="237" customWidth="1"/>
    <col min="11283" max="11283" width="16.33203125" style="237" customWidth="1"/>
    <col min="11284" max="11284" width="25.33203125" style="237" customWidth="1"/>
    <col min="11285" max="11285" width="21" style="237" customWidth="1"/>
    <col min="11286" max="11286" width="11.44140625" style="237" customWidth="1"/>
    <col min="11287" max="11287" width="12.5546875" style="237" customWidth="1"/>
    <col min="11288" max="11288" width="16.6640625" style="237" customWidth="1"/>
    <col min="11289" max="11289" width="9.88671875" style="237" customWidth="1"/>
    <col min="11290" max="11290" width="16.6640625" style="237" customWidth="1"/>
    <col min="11291" max="11291" width="21" style="237" customWidth="1"/>
    <col min="11292" max="11292" width="31.88671875" style="237" customWidth="1"/>
    <col min="11293" max="11293" width="23.44140625" style="237" customWidth="1"/>
    <col min="11294" max="11294" width="23.6640625" style="237" customWidth="1"/>
    <col min="11295" max="11295" width="43.88671875" style="237" customWidth="1"/>
    <col min="11296" max="11296" width="23.6640625" style="237" customWidth="1"/>
    <col min="11297" max="11297" width="32.109375" style="237" customWidth="1"/>
    <col min="11298" max="11520" width="8.88671875" style="237"/>
    <col min="11521" max="11521" width="20.109375" style="237" customWidth="1"/>
    <col min="11522" max="11522" width="39.33203125" style="237" customWidth="1"/>
    <col min="11523" max="11523" width="23.21875" style="237" customWidth="1"/>
    <col min="11524" max="11524" width="17.77734375" style="237" customWidth="1"/>
    <col min="11525" max="11525" width="12.77734375" style="237" customWidth="1"/>
    <col min="11526" max="11526" width="11.6640625" style="237" customWidth="1"/>
    <col min="11527" max="11527" width="11.77734375" style="237" customWidth="1"/>
    <col min="11528" max="11528" width="30.77734375" style="237" customWidth="1"/>
    <col min="11529" max="11529" width="15.88671875" style="237" customWidth="1"/>
    <col min="11530" max="11530" width="19.109375" style="237" customWidth="1"/>
    <col min="11531" max="11531" width="22.6640625" style="237" customWidth="1"/>
    <col min="11532" max="11533" width="19.6640625" style="237" customWidth="1"/>
    <col min="11534" max="11534" width="84.5546875" style="237" customWidth="1"/>
    <col min="11535" max="11535" width="17.44140625" style="237" customWidth="1"/>
    <col min="11536" max="11536" width="47.109375" style="237" customWidth="1"/>
    <col min="11537" max="11537" width="9.33203125" style="237" customWidth="1"/>
    <col min="11538" max="11538" width="40.88671875" style="237" customWidth="1"/>
    <col min="11539" max="11539" width="16.33203125" style="237" customWidth="1"/>
    <col min="11540" max="11540" width="25.33203125" style="237" customWidth="1"/>
    <col min="11541" max="11541" width="21" style="237" customWidth="1"/>
    <col min="11542" max="11542" width="11.44140625" style="237" customWidth="1"/>
    <col min="11543" max="11543" width="12.5546875" style="237" customWidth="1"/>
    <col min="11544" max="11544" width="16.6640625" style="237" customWidth="1"/>
    <col min="11545" max="11545" width="9.88671875" style="237" customWidth="1"/>
    <col min="11546" max="11546" width="16.6640625" style="237" customWidth="1"/>
    <col min="11547" max="11547" width="21" style="237" customWidth="1"/>
    <col min="11548" max="11548" width="31.88671875" style="237" customWidth="1"/>
    <col min="11549" max="11549" width="23.44140625" style="237" customWidth="1"/>
    <col min="11550" max="11550" width="23.6640625" style="237" customWidth="1"/>
    <col min="11551" max="11551" width="43.88671875" style="237" customWidth="1"/>
    <col min="11552" max="11552" width="23.6640625" style="237" customWidth="1"/>
    <col min="11553" max="11553" width="32.109375" style="237" customWidth="1"/>
    <col min="11554" max="11776" width="8.88671875" style="237"/>
    <col min="11777" max="11777" width="20.109375" style="237" customWidth="1"/>
    <col min="11778" max="11778" width="39.33203125" style="237" customWidth="1"/>
    <col min="11779" max="11779" width="23.21875" style="237" customWidth="1"/>
    <col min="11780" max="11780" width="17.77734375" style="237" customWidth="1"/>
    <col min="11781" max="11781" width="12.77734375" style="237" customWidth="1"/>
    <col min="11782" max="11782" width="11.6640625" style="237" customWidth="1"/>
    <col min="11783" max="11783" width="11.77734375" style="237" customWidth="1"/>
    <col min="11784" max="11784" width="30.77734375" style="237" customWidth="1"/>
    <col min="11785" max="11785" width="15.88671875" style="237" customWidth="1"/>
    <col min="11786" max="11786" width="19.109375" style="237" customWidth="1"/>
    <col min="11787" max="11787" width="22.6640625" style="237" customWidth="1"/>
    <col min="11788" max="11789" width="19.6640625" style="237" customWidth="1"/>
    <col min="11790" max="11790" width="84.5546875" style="237" customWidth="1"/>
    <col min="11791" max="11791" width="17.44140625" style="237" customWidth="1"/>
    <col min="11792" max="11792" width="47.109375" style="237" customWidth="1"/>
    <col min="11793" max="11793" width="9.33203125" style="237" customWidth="1"/>
    <col min="11794" max="11794" width="40.88671875" style="237" customWidth="1"/>
    <col min="11795" max="11795" width="16.33203125" style="237" customWidth="1"/>
    <col min="11796" max="11796" width="25.33203125" style="237" customWidth="1"/>
    <col min="11797" max="11797" width="21" style="237" customWidth="1"/>
    <col min="11798" max="11798" width="11.44140625" style="237" customWidth="1"/>
    <col min="11799" max="11799" width="12.5546875" style="237" customWidth="1"/>
    <col min="11800" max="11800" width="16.6640625" style="237" customWidth="1"/>
    <col min="11801" max="11801" width="9.88671875" style="237" customWidth="1"/>
    <col min="11802" max="11802" width="16.6640625" style="237" customWidth="1"/>
    <col min="11803" max="11803" width="21" style="237" customWidth="1"/>
    <col min="11804" max="11804" width="31.88671875" style="237" customWidth="1"/>
    <col min="11805" max="11805" width="23.44140625" style="237" customWidth="1"/>
    <col min="11806" max="11806" width="23.6640625" style="237" customWidth="1"/>
    <col min="11807" max="11807" width="43.88671875" style="237" customWidth="1"/>
    <col min="11808" max="11808" width="23.6640625" style="237" customWidth="1"/>
    <col min="11809" max="11809" width="32.109375" style="237" customWidth="1"/>
    <col min="11810" max="12032" width="8.88671875" style="237"/>
    <col min="12033" max="12033" width="20.109375" style="237" customWidth="1"/>
    <col min="12034" max="12034" width="39.33203125" style="237" customWidth="1"/>
    <col min="12035" max="12035" width="23.21875" style="237" customWidth="1"/>
    <col min="12036" max="12036" width="17.77734375" style="237" customWidth="1"/>
    <col min="12037" max="12037" width="12.77734375" style="237" customWidth="1"/>
    <col min="12038" max="12038" width="11.6640625" style="237" customWidth="1"/>
    <col min="12039" max="12039" width="11.77734375" style="237" customWidth="1"/>
    <col min="12040" max="12040" width="30.77734375" style="237" customWidth="1"/>
    <col min="12041" max="12041" width="15.88671875" style="237" customWidth="1"/>
    <col min="12042" max="12042" width="19.109375" style="237" customWidth="1"/>
    <col min="12043" max="12043" width="22.6640625" style="237" customWidth="1"/>
    <col min="12044" max="12045" width="19.6640625" style="237" customWidth="1"/>
    <col min="12046" max="12046" width="84.5546875" style="237" customWidth="1"/>
    <col min="12047" max="12047" width="17.44140625" style="237" customWidth="1"/>
    <col min="12048" max="12048" width="47.109375" style="237" customWidth="1"/>
    <col min="12049" max="12049" width="9.33203125" style="237" customWidth="1"/>
    <col min="12050" max="12050" width="40.88671875" style="237" customWidth="1"/>
    <col min="12051" max="12051" width="16.33203125" style="237" customWidth="1"/>
    <col min="12052" max="12052" width="25.33203125" style="237" customWidth="1"/>
    <col min="12053" max="12053" width="21" style="237" customWidth="1"/>
    <col min="12054" max="12054" width="11.44140625" style="237" customWidth="1"/>
    <col min="12055" max="12055" width="12.5546875" style="237" customWidth="1"/>
    <col min="12056" max="12056" width="16.6640625" style="237" customWidth="1"/>
    <col min="12057" max="12057" width="9.88671875" style="237" customWidth="1"/>
    <col min="12058" max="12058" width="16.6640625" style="237" customWidth="1"/>
    <col min="12059" max="12059" width="21" style="237" customWidth="1"/>
    <col min="12060" max="12060" width="31.88671875" style="237" customWidth="1"/>
    <col min="12061" max="12061" width="23.44140625" style="237" customWidth="1"/>
    <col min="12062" max="12062" width="23.6640625" style="237" customWidth="1"/>
    <col min="12063" max="12063" width="43.88671875" style="237" customWidth="1"/>
    <col min="12064" max="12064" width="23.6640625" style="237" customWidth="1"/>
    <col min="12065" max="12065" width="32.109375" style="237" customWidth="1"/>
    <col min="12066" max="12288" width="8.88671875" style="237"/>
    <col min="12289" max="12289" width="20.109375" style="237" customWidth="1"/>
    <col min="12290" max="12290" width="39.33203125" style="237" customWidth="1"/>
    <col min="12291" max="12291" width="23.21875" style="237" customWidth="1"/>
    <col min="12292" max="12292" width="17.77734375" style="237" customWidth="1"/>
    <col min="12293" max="12293" width="12.77734375" style="237" customWidth="1"/>
    <col min="12294" max="12294" width="11.6640625" style="237" customWidth="1"/>
    <col min="12295" max="12295" width="11.77734375" style="237" customWidth="1"/>
    <col min="12296" max="12296" width="30.77734375" style="237" customWidth="1"/>
    <col min="12297" max="12297" width="15.88671875" style="237" customWidth="1"/>
    <col min="12298" max="12298" width="19.109375" style="237" customWidth="1"/>
    <col min="12299" max="12299" width="22.6640625" style="237" customWidth="1"/>
    <col min="12300" max="12301" width="19.6640625" style="237" customWidth="1"/>
    <col min="12302" max="12302" width="84.5546875" style="237" customWidth="1"/>
    <col min="12303" max="12303" width="17.44140625" style="237" customWidth="1"/>
    <col min="12304" max="12304" width="47.109375" style="237" customWidth="1"/>
    <col min="12305" max="12305" width="9.33203125" style="237" customWidth="1"/>
    <col min="12306" max="12306" width="40.88671875" style="237" customWidth="1"/>
    <col min="12307" max="12307" width="16.33203125" style="237" customWidth="1"/>
    <col min="12308" max="12308" width="25.33203125" style="237" customWidth="1"/>
    <col min="12309" max="12309" width="21" style="237" customWidth="1"/>
    <col min="12310" max="12310" width="11.44140625" style="237" customWidth="1"/>
    <col min="12311" max="12311" width="12.5546875" style="237" customWidth="1"/>
    <col min="12312" max="12312" width="16.6640625" style="237" customWidth="1"/>
    <col min="12313" max="12313" width="9.88671875" style="237" customWidth="1"/>
    <col min="12314" max="12314" width="16.6640625" style="237" customWidth="1"/>
    <col min="12315" max="12315" width="21" style="237" customWidth="1"/>
    <col min="12316" max="12316" width="31.88671875" style="237" customWidth="1"/>
    <col min="12317" max="12317" width="23.44140625" style="237" customWidth="1"/>
    <col min="12318" max="12318" width="23.6640625" style="237" customWidth="1"/>
    <col min="12319" max="12319" width="43.88671875" style="237" customWidth="1"/>
    <col min="12320" max="12320" width="23.6640625" style="237" customWidth="1"/>
    <col min="12321" max="12321" width="32.109375" style="237" customWidth="1"/>
    <col min="12322" max="12544" width="8.88671875" style="237"/>
    <col min="12545" max="12545" width="20.109375" style="237" customWidth="1"/>
    <col min="12546" max="12546" width="39.33203125" style="237" customWidth="1"/>
    <col min="12547" max="12547" width="23.21875" style="237" customWidth="1"/>
    <col min="12548" max="12548" width="17.77734375" style="237" customWidth="1"/>
    <col min="12549" max="12549" width="12.77734375" style="237" customWidth="1"/>
    <col min="12550" max="12550" width="11.6640625" style="237" customWidth="1"/>
    <col min="12551" max="12551" width="11.77734375" style="237" customWidth="1"/>
    <col min="12552" max="12552" width="30.77734375" style="237" customWidth="1"/>
    <col min="12553" max="12553" width="15.88671875" style="237" customWidth="1"/>
    <col min="12554" max="12554" width="19.109375" style="237" customWidth="1"/>
    <col min="12555" max="12555" width="22.6640625" style="237" customWidth="1"/>
    <col min="12556" max="12557" width="19.6640625" style="237" customWidth="1"/>
    <col min="12558" max="12558" width="84.5546875" style="237" customWidth="1"/>
    <col min="12559" max="12559" width="17.44140625" style="237" customWidth="1"/>
    <col min="12560" max="12560" width="47.109375" style="237" customWidth="1"/>
    <col min="12561" max="12561" width="9.33203125" style="237" customWidth="1"/>
    <col min="12562" max="12562" width="40.88671875" style="237" customWidth="1"/>
    <col min="12563" max="12563" width="16.33203125" style="237" customWidth="1"/>
    <col min="12564" max="12564" width="25.33203125" style="237" customWidth="1"/>
    <col min="12565" max="12565" width="21" style="237" customWidth="1"/>
    <col min="12566" max="12566" width="11.44140625" style="237" customWidth="1"/>
    <col min="12567" max="12567" width="12.5546875" style="237" customWidth="1"/>
    <col min="12568" max="12568" width="16.6640625" style="237" customWidth="1"/>
    <col min="12569" max="12569" width="9.88671875" style="237" customWidth="1"/>
    <col min="12570" max="12570" width="16.6640625" style="237" customWidth="1"/>
    <col min="12571" max="12571" width="21" style="237" customWidth="1"/>
    <col min="12572" max="12572" width="31.88671875" style="237" customWidth="1"/>
    <col min="12573" max="12573" width="23.44140625" style="237" customWidth="1"/>
    <col min="12574" max="12574" width="23.6640625" style="237" customWidth="1"/>
    <col min="12575" max="12575" width="43.88671875" style="237" customWidth="1"/>
    <col min="12576" max="12576" width="23.6640625" style="237" customWidth="1"/>
    <col min="12577" max="12577" width="32.109375" style="237" customWidth="1"/>
    <col min="12578" max="12800" width="8.88671875" style="237"/>
    <col min="12801" max="12801" width="20.109375" style="237" customWidth="1"/>
    <col min="12802" max="12802" width="39.33203125" style="237" customWidth="1"/>
    <col min="12803" max="12803" width="23.21875" style="237" customWidth="1"/>
    <col min="12804" max="12804" width="17.77734375" style="237" customWidth="1"/>
    <col min="12805" max="12805" width="12.77734375" style="237" customWidth="1"/>
    <col min="12806" max="12806" width="11.6640625" style="237" customWidth="1"/>
    <col min="12807" max="12807" width="11.77734375" style="237" customWidth="1"/>
    <col min="12808" max="12808" width="30.77734375" style="237" customWidth="1"/>
    <col min="12809" max="12809" width="15.88671875" style="237" customWidth="1"/>
    <col min="12810" max="12810" width="19.109375" style="237" customWidth="1"/>
    <col min="12811" max="12811" width="22.6640625" style="237" customWidth="1"/>
    <col min="12812" max="12813" width="19.6640625" style="237" customWidth="1"/>
    <col min="12814" max="12814" width="84.5546875" style="237" customWidth="1"/>
    <col min="12815" max="12815" width="17.44140625" style="237" customWidth="1"/>
    <col min="12816" max="12816" width="47.109375" style="237" customWidth="1"/>
    <col min="12817" max="12817" width="9.33203125" style="237" customWidth="1"/>
    <col min="12818" max="12818" width="40.88671875" style="237" customWidth="1"/>
    <col min="12819" max="12819" width="16.33203125" style="237" customWidth="1"/>
    <col min="12820" max="12820" width="25.33203125" style="237" customWidth="1"/>
    <col min="12821" max="12821" width="21" style="237" customWidth="1"/>
    <col min="12822" max="12822" width="11.44140625" style="237" customWidth="1"/>
    <col min="12823" max="12823" width="12.5546875" style="237" customWidth="1"/>
    <col min="12824" max="12824" width="16.6640625" style="237" customWidth="1"/>
    <col min="12825" max="12825" width="9.88671875" style="237" customWidth="1"/>
    <col min="12826" max="12826" width="16.6640625" style="237" customWidth="1"/>
    <col min="12827" max="12827" width="21" style="237" customWidth="1"/>
    <col min="12828" max="12828" width="31.88671875" style="237" customWidth="1"/>
    <col min="12829" max="12829" width="23.44140625" style="237" customWidth="1"/>
    <col min="12830" max="12830" width="23.6640625" style="237" customWidth="1"/>
    <col min="12831" max="12831" width="43.88671875" style="237" customWidth="1"/>
    <col min="12832" max="12832" width="23.6640625" style="237" customWidth="1"/>
    <col min="12833" max="12833" width="32.109375" style="237" customWidth="1"/>
    <col min="12834" max="13056" width="8.88671875" style="237"/>
    <col min="13057" max="13057" width="20.109375" style="237" customWidth="1"/>
    <col min="13058" max="13058" width="39.33203125" style="237" customWidth="1"/>
    <col min="13059" max="13059" width="23.21875" style="237" customWidth="1"/>
    <col min="13060" max="13060" width="17.77734375" style="237" customWidth="1"/>
    <col min="13061" max="13061" width="12.77734375" style="237" customWidth="1"/>
    <col min="13062" max="13062" width="11.6640625" style="237" customWidth="1"/>
    <col min="13063" max="13063" width="11.77734375" style="237" customWidth="1"/>
    <col min="13064" max="13064" width="30.77734375" style="237" customWidth="1"/>
    <col min="13065" max="13065" width="15.88671875" style="237" customWidth="1"/>
    <col min="13066" max="13066" width="19.109375" style="237" customWidth="1"/>
    <col min="13067" max="13067" width="22.6640625" style="237" customWidth="1"/>
    <col min="13068" max="13069" width="19.6640625" style="237" customWidth="1"/>
    <col min="13070" max="13070" width="84.5546875" style="237" customWidth="1"/>
    <col min="13071" max="13071" width="17.44140625" style="237" customWidth="1"/>
    <col min="13072" max="13072" width="47.109375" style="237" customWidth="1"/>
    <col min="13073" max="13073" width="9.33203125" style="237" customWidth="1"/>
    <col min="13074" max="13074" width="40.88671875" style="237" customWidth="1"/>
    <col min="13075" max="13075" width="16.33203125" style="237" customWidth="1"/>
    <col min="13076" max="13076" width="25.33203125" style="237" customWidth="1"/>
    <col min="13077" max="13077" width="21" style="237" customWidth="1"/>
    <col min="13078" max="13078" width="11.44140625" style="237" customWidth="1"/>
    <col min="13079" max="13079" width="12.5546875" style="237" customWidth="1"/>
    <col min="13080" max="13080" width="16.6640625" style="237" customWidth="1"/>
    <col min="13081" max="13081" width="9.88671875" style="237" customWidth="1"/>
    <col min="13082" max="13082" width="16.6640625" style="237" customWidth="1"/>
    <col min="13083" max="13083" width="21" style="237" customWidth="1"/>
    <col min="13084" max="13084" width="31.88671875" style="237" customWidth="1"/>
    <col min="13085" max="13085" width="23.44140625" style="237" customWidth="1"/>
    <col min="13086" max="13086" width="23.6640625" style="237" customWidth="1"/>
    <col min="13087" max="13087" width="43.88671875" style="237" customWidth="1"/>
    <col min="13088" max="13088" width="23.6640625" style="237" customWidth="1"/>
    <col min="13089" max="13089" width="32.109375" style="237" customWidth="1"/>
    <col min="13090" max="13312" width="8.88671875" style="237"/>
    <col min="13313" max="13313" width="20.109375" style="237" customWidth="1"/>
    <col min="13314" max="13314" width="39.33203125" style="237" customWidth="1"/>
    <col min="13315" max="13315" width="23.21875" style="237" customWidth="1"/>
    <col min="13316" max="13316" width="17.77734375" style="237" customWidth="1"/>
    <col min="13317" max="13317" width="12.77734375" style="237" customWidth="1"/>
    <col min="13318" max="13318" width="11.6640625" style="237" customWidth="1"/>
    <col min="13319" max="13319" width="11.77734375" style="237" customWidth="1"/>
    <col min="13320" max="13320" width="30.77734375" style="237" customWidth="1"/>
    <col min="13321" max="13321" width="15.88671875" style="237" customWidth="1"/>
    <col min="13322" max="13322" width="19.109375" style="237" customWidth="1"/>
    <col min="13323" max="13323" width="22.6640625" style="237" customWidth="1"/>
    <col min="13324" max="13325" width="19.6640625" style="237" customWidth="1"/>
    <col min="13326" max="13326" width="84.5546875" style="237" customWidth="1"/>
    <col min="13327" max="13327" width="17.44140625" style="237" customWidth="1"/>
    <col min="13328" max="13328" width="47.109375" style="237" customWidth="1"/>
    <col min="13329" max="13329" width="9.33203125" style="237" customWidth="1"/>
    <col min="13330" max="13330" width="40.88671875" style="237" customWidth="1"/>
    <col min="13331" max="13331" width="16.33203125" style="237" customWidth="1"/>
    <col min="13332" max="13332" width="25.33203125" style="237" customWidth="1"/>
    <col min="13333" max="13333" width="21" style="237" customWidth="1"/>
    <col min="13334" max="13334" width="11.44140625" style="237" customWidth="1"/>
    <col min="13335" max="13335" width="12.5546875" style="237" customWidth="1"/>
    <col min="13336" max="13336" width="16.6640625" style="237" customWidth="1"/>
    <col min="13337" max="13337" width="9.88671875" style="237" customWidth="1"/>
    <col min="13338" max="13338" width="16.6640625" style="237" customWidth="1"/>
    <col min="13339" max="13339" width="21" style="237" customWidth="1"/>
    <col min="13340" max="13340" width="31.88671875" style="237" customWidth="1"/>
    <col min="13341" max="13341" width="23.44140625" style="237" customWidth="1"/>
    <col min="13342" max="13342" width="23.6640625" style="237" customWidth="1"/>
    <col min="13343" max="13343" width="43.88671875" style="237" customWidth="1"/>
    <col min="13344" max="13344" width="23.6640625" style="237" customWidth="1"/>
    <col min="13345" max="13345" width="32.109375" style="237" customWidth="1"/>
    <col min="13346" max="13568" width="8.88671875" style="237"/>
    <col min="13569" max="13569" width="20.109375" style="237" customWidth="1"/>
    <col min="13570" max="13570" width="39.33203125" style="237" customWidth="1"/>
    <col min="13571" max="13571" width="23.21875" style="237" customWidth="1"/>
    <col min="13572" max="13572" width="17.77734375" style="237" customWidth="1"/>
    <col min="13573" max="13573" width="12.77734375" style="237" customWidth="1"/>
    <col min="13574" max="13574" width="11.6640625" style="237" customWidth="1"/>
    <col min="13575" max="13575" width="11.77734375" style="237" customWidth="1"/>
    <col min="13576" max="13576" width="30.77734375" style="237" customWidth="1"/>
    <col min="13577" max="13577" width="15.88671875" style="237" customWidth="1"/>
    <col min="13578" max="13578" width="19.109375" style="237" customWidth="1"/>
    <col min="13579" max="13579" width="22.6640625" style="237" customWidth="1"/>
    <col min="13580" max="13581" width="19.6640625" style="237" customWidth="1"/>
    <col min="13582" max="13582" width="84.5546875" style="237" customWidth="1"/>
    <col min="13583" max="13583" width="17.44140625" style="237" customWidth="1"/>
    <col min="13584" max="13584" width="47.109375" style="237" customWidth="1"/>
    <col min="13585" max="13585" width="9.33203125" style="237" customWidth="1"/>
    <col min="13586" max="13586" width="40.88671875" style="237" customWidth="1"/>
    <col min="13587" max="13587" width="16.33203125" style="237" customWidth="1"/>
    <col min="13588" max="13588" width="25.33203125" style="237" customWidth="1"/>
    <col min="13589" max="13589" width="21" style="237" customWidth="1"/>
    <col min="13590" max="13590" width="11.44140625" style="237" customWidth="1"/>
    <col min="13591" max="13591" width="12.5546875" style="237" customWidth="1"/>
    <col min="13592" max="13592" width="16.6640625" style="237" customWidth="1"/>
    <col min="13593" max="13593" width="9.88671875" style="237" customWidth="1"/>
    <col min="13594" max="13594" width="16.6640625" style="237" customWidth="1"/>
    <col min="13595" max="13595" width="21" style="237" customWidth="1"/>
    <col min="13596" max="13596" width="31.88671875" style="237" customWidth="1"/>
    <col min="13597" max="13597" width="23.44140625" style="237" customWidth="1"/>
    <col min="13598" max="13598" width="23.6640625" style="237" customWidth="1"/>
    <col min="13599" max="13599" width="43.88671875" style="237" customWidth="1"/>
    <col min="13600" max="13600" width="23.6640625" style="237" customWidth="1"/>
    <col min="13601" max="13601" width="32.109375" style="237" customWidth="1"/>
    <col min="13602" max="13824" width="8.88671875" style="237"/>
    <col min="13825" max="13825" width="20.109375" style="237" customWidth="1"/>
    <col min="13826" max="13826" width="39.33203125" style="237" customWidth="1"/>
    <col min="13827" max="13827" width="23.21875" style="237" customWidth="1"/>
    <col min="13828" max="13828" width="17.77734375" style="237" customWidth="1"/>
    <col min="13829" max="13829" width="12.77734375" style="237" customWidth="1"/>
    <col min="13830" max="13830" width="11.6640625" style="237" customWidth="1"/>
    <col min="13831" max="13831" width="11.77734375" style="237" customWidth="1"/>
    <col min="13832" max="13832" width="30.77734375" style="237" customWidth="1"/>
    <col min="13833" max="13833" width="15.88671875" style="237" customWidth="1"/>
    <col min="13834" max="13834" width="19.109375" style="237" customWidth="1"/>
    <col min="13835" max="13835" width="22.6640625" style="237" customWidth="1"/>
    <col min="13836" max="13837" width="19.6640625" style="237" customWidth="1"/>
    <col min="13838" max="13838" width="84.5546875" style="237" customWidth="1"/>
    <col min="13839" max="13839" width="17.44140625" style="237" customWidth="1"/>
    <col min="13840" max="13840" width="47.109375" style="237" customWidth="1"/>
    <col min="13841" max="13841" width="9.33203125" style="237" customWidth="1"/>
    <col min="13842" max="13842" width="40.88671875" style="237" customWidth="1"/>
    <col min="13843" max="13843" width="16.33203125" style="237" customWidth="1"/>
    <col min="13844" max="13844" width="25.33203125" style="237" customWidth="1"/>
    <col min="13845" max="13845" width="21" style="237" customWidth="1"/>
    <col min="13846" max="13846" width="11.44140625" style="237" customWidth="1"/>
    <col min="13847" max="13847" width="12.5546875" style="237" customWidth="1"/>
    <col min="13848" max="13848" width="16.6640625" style="237" customWidth="1"/>
    <col min="13849" max="13849" width="9.88671875" style="237" customWidth="1"/>
    <col min="13850" max="13850" width="16.6640625" style="237" customWidth="1"/>
    <col min="13851" max="13851" width="21" style="237" customWidth="1"/>
    <col min="13852" max="13852" width="31.88671875" style="237" customWidth="1"/>
    <col min="13853" max="13853" width="23.44140625" style="237" customWidth="1"/>
    <col min="13854" max="13854" width="23.6640625" style="237" customWidth="1"/>
    <col min="13855" max="13855" width="43.88671875" style="237" customWidth="1"/>
    <col min="13856" max="13856" width="23.6640625" style="237" customWidth="1"/>
    <col min="13857" max="13857" width="32.109375" style="237" customWidth="1"/>
    <col min="13858" max="14080" width="8.88671875" style="237"/>
    <col min="14081" max="14081" width="20.109375" style="237" customWidth="1"/>
    <col min="14082" max="14082" width="39.33203125" style="237" customWidth="1"/>
    <col min="14083" max="14083" width="23.21875" style="237" customWidth="1"/>
    <col min="14084" max="14084" width="17.77734375" style="237" customWidth="1"/>
    <col min="14085" max="14085" width="12.77734375" style="237" customWidth="1"/>
    <col min="14086" max="14086" width="11.6640625" style="237" customWidth="1"/>
    <col min="14087" max="14087" width="11.77734375" style="237" customWidth="1"/>
    <col min="14088" max="14088" width="30.77734375" style="237" customWidth="1"/>
    <col min="14089" max="14089" width="15.88671875" style="237" customWidth="1"/>
    <col min="14090" max="14090" width="19.109375" style="237" customWidth="1"/>
    <col min="14091" max="14091" width="22.6640625" style="237" customWidth="1"/>
    <col min="14092" max="14093" width="19.6640625" style="237" customWidth="1"/>
    <col min="14094" max="14094" width="84.5546875" style="237" customWidth="1"/>
    <col min="14095" max="14095" width="17.44140625" style="237" customWidth="1"/>
    <col min="14096" max="14096" width="47.109375" style="237" customWidth="1"/>
    <col min="14097" max="14097" width="9.33203125" style="237" customWidth="1"/>
    <col min="14098" max="14098" width="40.88671875" style="237" customWidth="1"/>
    <col min="14099" max="14099" width="16.33203125" style="237" customWidth="1"/>
    <col min="14100" max="14100" width="25.33203125" style="237" customWidth="1"/>
    <col min="14101" max="14101" width="21" style="237" customWidth="1"/>
    <col min="14102" max="14102" width="11.44140625" style="237" customWidth="1"/>
    <col min="14103" max="14103" width="12.5546875" style="237" customWidth="1"/>
    <col min="14104" max="14104" width="16.6640625" style="237" customWidth="1"/>
    <col min="14105" max="14105" width="9.88671875" style="237" customWidth="1"/>
    <col min="14106" max="14106" width="16.6640625" style="237" customWidth="1"/>
    <col min="14107" max="14107" width="21" style="237" customWidth="1"/>
    <col min="14108" max="14108" width="31.88671875" style="237" customWidth="1"/>
    <col min="14109" max="14109" width="23.44140625" style="237" customWidth="1"/>
    <col min="14110" max="14110" width="23.6640625" style="237" customWidth="1"/>
    <col min="14111" max="14111" width="43.88671875" style="237" customWidth="1"/>
    <col min="14112" max="14112" width="23.6640625" style="237" customWidth="1"/>
    <col min="14113" max="14113" width="32.109375" style="237" customWidth="1"/>
    <col min="14114" max="14336" width="8.88671875" style="237"/>
    <col min="14337" max="14337" width="20.109375" style="237" customWidth="1"/>
    <col min="14338" max="14338" width="39.33203125" style="237" customWidth="1"/>
    <col min="14339" max="14339" width="23.21875" style="237" customWidth="1"/>
    <col min="14340" max="14340" width="17.77734375" style="237" customWidth="1"/>
    <col min="14341" max="14341" width="12.77734375" style="237" customWidth="1"/>
    <col min="14342" max="14342" width="11.6640625" style="237" customWidth="1"/>
    <col min="14343" max="14343" width="11.77734375" style="237" customWidth="1"/>
    <col min="14344" max="14344" width="30.77734375" style="237" customWidth="1"/>
    <col min="14345" max="14345" width="15.88671875" style="237" customWidth="1"/>
    <col min="14346" max="14346" width="19.109375" style="237" customWidth="1"/>
    <col min="14347" max="14347" width="22.6640625" style="237" customWidth="1"/>
    <col min="14348" max="14349" width="19.6640625" style="237" customWidth="1"/>
    <col min="14350" max="14350" width="84.5546875" style="237" customWidth="1"/>
    <col min="14351" max="14351" width="17.44140625" style="237" customWidth="1"/>
    <col min="14352" max="14352" width="47.109375" style="237" customWidth="1"/>
    <col min="14353" max="14353" width="9.33203125" style="237" customWidth="1"/>
    <col min="14354" max="14354" width="40.88671875" style="237" customWidth="1"/>
    <col min="14355" max="14355" width="16.33203125" style="237" customWidth="1"/>
    <col min="14356" max="14356" width="25.33203125" style="237" customWidth="1"/>
    <col min="14357" max="14357" width="21" style="237" customWidth="1"/>
    <col min="14358" max="14358" width="11.44140625" style="237" customWidth="1"/>
    <col min="14359" max="14359" width="12.5546875" style="237" customWidth="1"/>
    <col min="14360" max="14360" width="16.6640625" style="237" customWidth="1"/>
    <col min="14361" max="14361" width="9.88671875" style="237" customWidth="1"/>
    <col min="14362" max="14362" width="16.6640625" style="237" customWidth="1"/>
    <col min="14363" max="14363" width="21" style="237" customWidth="1"/>
    <col min="14364" max="14364" width="31.88671875" style="237" customWidth="1"/>
    <col min="14365" max="14365" width="23.44140625" style="237" customWidth="1"/>
    <col min="14366" max="14366" width="23.6640625" style="237" customWidth="1"/>
    <col min="14367" max="14367" width="43.88671875" style="237" customWidth="1"/>
    <col min="14368" max="14368" width="23.6640625" style="237" customWidth="1"/>
    <col min="14369" max="14369" width="32.109375" style="237" customWidth="1"/>
    <col min="14370" max="14592" width="8.88671875" style="237"/>
    <col min="14593" max="14593" width="20.109375" style="237" customWidth="1"/>
    <col min="14594" max="14594" width="39.33203125" style="237" customWidth="1"/>
    <col min="14595" max="14595" width="23.21875" style="237" customWidth="1"/>
    <col min="14596" max="14596" width="17.77734375" style="237" customWidth="1"/>
    <col min="14597" max="14597" width="12.77734375" style="237" customWidth="1"/>
    <col min="14598" max="14598" width="11.6640625" style="237" customWidth="1"/>
    <col min="14599" max="14599" width="11.77734375" style="237" customWidth="1"/>
    <col min="14600" max="14600" width="30.77734375" style="237" customWidth="1"/>
    <col min="14601" max="14601" width="15.88671875" style="237" customWidth="1"/>
    <col min="14602" max="14602" width="19.109375" style="237" customWidth="1"/>
    <col min="14603" max="14603" width="22.6640625" style="237" customWidth="1"/>
    <col min="14604" max="14605" width="19.6640625" style="237" customWidth="1"/>
    <col min="14606" max="14606" width="84.5546875" style="237" customWidth="1"/>
    <col min="14607" max="14607" width="17.44140625" style="237" customWidth="1"/>
    <col min="14608" max="14608" width="47.109375" style="237" customWidth="1"/>
    <col min="14609" max="14609" width="9.33203125" style="237" customWidth="1"/>
    <col min="14610" max="14610" width="40.88671875" style="237" customWidth="1"/>
    <col min="14611" max="14611" width="16.33203125" style="237" customWidth="1"/>
    <col min="14612" max="14612" width="25.33203125" style="237" customWidth="1"/>
    <col min="14613" max="14613" width="21" style="237" customWidth="1"/>
    <col min="14614" max="14614" width="11.44140625" style="237" customWidth="1"/>
    <col min="14615" max="14615" width="12.5546875" style="237" customWidth="1"/>
    <col min="14616" max="14616" width="16.6640625" style="237" customWidth="1"/>
    <col min="14617" max="14617" width="9.88671875" style="237" customWidth="1"/>
    <col min="14618" max="14618" width="16.6640625" style="237" customWidth="1"/>
    <col min="14619" max="14619" width="21" style="237" customWidth="1"/>
    <col min="14620" max="14620" width="31.88671875" style="237" customWidth="1"/>
    <col min="14621" max="14621" width="23.44140625" style="237" customWidth="1"/>
    <col min="14622" max="14622" width="23.6640625" style="237" customWidth="1"/>
    <col min="14623" max="14623" width="43.88671875" style="237" customWidth="1"/>
    <col min="14624" max="14624" width="23.6640625" style="237" customWidth="1"/>
    <col min="14625" max="14625" width="32.109375" style="237" customWidth="1"/>
    <col min="14626" max="14848" width="8.88671875" style="237"/>
    <col min="14849" max="14849" width="20.109375" style="237" customWidth="1"/>
    <col min="14850" max="14850" width="39.33203125" style="237" customWidth="1"/>
    <col min="14851" max="14851" width="23.21875" style="237" customWidth="1"/>
    <col min="14852" max="14852" width="17.77734375" style="237" customWidth="1"/>
    <col min="14853" max="14853" width="12.77734375" style="237" customWidth="1"/>
    <col min="14854" max="14854" width="11.6640625" style="237" customWidth="1"/>
    <col min="14855" max="14855" width="11.77734375" style="237" customWidth="1"/>
    <col min="14856" max="14856" width="30.77734375" style="237" customWidth="1"/>
    <col min="14857" max="14857" width="15.88671875" style="237" customWidth="1"/>
    <col min="14858" max="14858" width="19.109375" style="237" customWidth="1"/>
    <col min="14859" max="14859" width="22.6640625" style="237" customWidth="1"/>
    <col min="14860" max="14861" width="19.6640625" style="237" customWidth="1"/>
    <col min="14862" max="14862" width="84.5546875" style="237" customWidth="1"/>
    <col min="14863" max="14863" width="17.44140625" style="237" customWidth="1"/>
    <col min="14864" max="14864" width="47.109375" style="237" customWidth="1"/>
    <col min="14865" max="14865" width="9.33203125" style="237" customWidth="1"/>
    <col min="14866" max="14866" width="40.88671875" style="237" customWidth="1"/>
    <col min="14867" max="14867" width="16.33203125" style="237" customWidth="1"/>
    <col min="14868" max="14868" width="25.33203125" style="237" customWidth="1"/>
    <col min="14869" max="14869" width="21" style="237" customWidth="1"/>
    <col min="14870" max="14870" width="11.44140625" style="237" customWidth="1"/>
    <col min="14871" max="14871" width="12.5546875" style="237" customWidth="1"/>
    <col min="14872" max="14872" width="16.6640625" style="237" customWidth="1"/>
    <col min="14873" max="14873" width="9.88671875" style="237" customWidth="1"/>
    <col min="14874" max="14874" width="16.6640625" style="237" customWidth="1"/>
    <col min="14875" max="14875" width="21" style="237" customWidth="1"/>
    <col min="14876" max="14876" width="31.88671875" style="237" customWidth="1"/>
    <col min="14877" max="14877" width="23.44140625" style="237" customWidth="1"/>
    <col min="14878" max="14878" width="23.6640625" style="237" customWidth="1"/>
    <col min="14879" max="14879" width="43.88671875" style="237" customWidth="1"/>
    <col min="14880" max="14880" width="23.6640625" style="237" customWidth="1"/>
    <col min="14881" max="14881" width="32.109375" style="237" customWidth="1"/>
    <col min="14882" max="15104" width="8.88671875" style="237"/>
    <col min="15105" max="15105" width="20.109375" style="237" customWidth="1"/>
    <col min="15106" max="15106" width="39.33203125" style="237" customWidth="1"/>
    <col min="15107" max="15107" width="23.21875" style="237" customWidth="1"/>
    <col min="15108" max="15108" width="17.77734375" style="237" customWidth="1"/>
    <col min="15109" max="15109" width="12.77734375" style="237" customWidth="1"/>
    <col min="15110" max="15110" width="11.6640625" style="237" customWidth="1"/>
    <col min="15111" max="15111" width="11.77734375" style="237" customWidth="1"/>
    <col min="15112" max="15112" width="30.77734375" style="237" customWidth="1"/>
    <col min="15113" max="15113" width="15.88671875" style="237" customWidth="1"/>
    <col min="15114" max="15114" width="19.109375" style="237" customWidth="1"/>
    <col min="15115" max="15115" width="22.6640625" style="237" customWidth="1"/>
    <col min="15116" max="15117" width="19.6640625" style="237" customWidth="1"/>
    <col min="15118" max="15118" width="84.5546875" style="237" customWidth="1"/>
    <col min="15119" max="15119" width="17.44140625" style="237" customWidth="1"/>
    <col min="15120" max="15120" width="47.109375" style="237" customWidth="1"/>
    <col min="15121" max="15121" width="9.33203125" style="237" customWidth="1"/>
    <col min="15122" max="15122" width="40.88671875" style="237" customWidth="1"/>
    <col min="15123" max="15123" width="16.33203125" style="237" customWidth="1"/>
    <col min="15124" max="15124" width="25.33203125" style="237" customWidth="1"/>
    <col min="15125" max="15125" width="21" style="237" customWidth="1"/>
    <col min="15126" max="15126" width="11.44140625" style="237" customWidth="1"/>
    <col min="15127" max="15127" width="12.5546875" style="237" customWidth="1"/>
    <col min="15128" max="15128" width="16.6640625" style="237" customWidth="1"/>
    <col min="15129" max="15129" width="9.88671875" style="237" customWidth="1"/>
    <col min="15130" max="15130" width="16.6640625" style="237" customWidth="1"/>
    <col min="15131" max="15131" width="21" style="237" customWidth="1"/>
    <col min="15132" max="15132" width="31.88671875" style="237" customWidth="1"/>
    <col min="15133" max="15133" width="23.44140625" style="237" customWidth="1"/>
    <col min="15134" max="15134" width="23.6640625" style="237" customWidth="1"/>
    <col min="15135" max="15135" width="43.88671875" style="237" customWidth="1"/>
    <col min="15136" max="15136" width="23.6640625" style="237" customWidth="1"/>
    <col min="15137" max="15137" width="32.109375" style="237" customWidth="1"/>
    <col min="15138" max="15360" width="8.88671875" style="237"/>
    <col min="15361" max="15361" width="20.109375" style="237" customWidth="1"/>
    <col min="15362" max="15362" width="39.33203125" style="237" customWidth="1"/>
    <col min="15363" max="15363" width="23.21875" style="237" customWidth="1"/>
    <col min="15364" max="15364" width="17.77734375" style="237" customWidth="1"/>
    <col min="15365" max="15365" width="12.77734375" style="237" customWidth="1"/>
    <col min="15366" max="15366" width="11.6640625" style="237" customWidth="1"/>
    <col min="15367" max="15367" width="11.77734375" style="237" customWidth="1"/>
    <col min="15368" max="15368" width="30.77734375" style="237" customWidth="1"/>
    <col min="15369" max="15369" width="15.88671875" style="237" customWidth="1"/>
    <col min="15370" max="15370" width="19.109375" style="237" customWidth="1"/>
    <col min="15371" max="15371" width="22.6640625" style="237" customWidth="1"/>
    <col min="15372" max="15373" width="19.6640625" style="237" customWidth="1"/>
    <col min="15374" max="15374" width="84.5546875" style="237" customWidth="1"/>
    <col min="15375" max="15375" width="17.44140625" style="237" customWidth="1"/>
    <col min="15376" max="15376" width="47.109375" style="237" customWidth="1"/>
    <col min="15377" max="15377" width="9.33203125" style="237" customWidth="1"/>
    <col min="15378" max="15378" width="40.88671875" style="237" customWidth="1"/>
    <col min="15379" max="15379" width="16.33203125" style="237" customWidth="1"/>
    <col min="15380" max="15380" width="25.33203125" style="237" customWidth="1"/>
    <col min="15381" max="15381" width="21" style="237" customWidth="1"/>
    <col min="15382" max="15382" width="11.44140625" style="237" customWidth="1"/>
    <col min="15383" max="15383" width="12.5546875" style="237" customWidth="1"/>
    <col min="15384" max="15384" width="16.6640625" style="237" customWidth="1"/>
    <col min="15385" max="15385" width="9.88671875" style="237" customWidth="1"/>
    <col min="15386" max="15386" width="16.6640625" style="237" customWidth="1"/>
    <col min="15387" max="15387" width="21" style="237" customWidth="1"/>
    <col min="15388" max="15388" width="31.88671875" style="237" customWidth="1"/>
    <col min="15389" max="15389" width="23.44140625" style="237" customWidth="1"/>
    <col min="15390" max="15390" width="23.6640625" style="237" customWidth="1"/>
    <col min="15391" max="15391" width="43.88671875" style="237" customWidth="1"/>
    <col min="15392" max="15392" width="23.6640625" style="237" customWidth="1"/>
    <col min="15393" max="15393" width="32.109375" style="237" customWidth="1"/>
    <col min="15394" max="15616" width="8.88671875" style="237"/>
    <col min="15617" max="15617" width="20.109375" style="237" customWidth="1"/>
    <col min="15618" max="15618" width="39.33203125" style="237" customWidth="1"/>
    <col min="15619" max="15619" width="23.21875" style="237" customWidth="1"/>
    <col min="15620" max="15620" width="17.77734375" style="237" customWidth="1"/>
    <col min="15621" max="15621" width="12.77734375" style="237" customWidth="1"/>
    <col min="15622" max="15622" width="11.6640625" style="237" customWidth="1"/>
    <col min="15623" max="15623" width="11.77734375" style="237" customWidth="1"/>
    <col min="15624" max="15624" width="30.77734375" style="237" customWidth="1"/>
    <col min="15625" max="15625" width="15.88671875" style="237" customWidth="1"/>
    <col min="15626" max="15626" width="19.109375" style="237" customWidth="1"/>
    <col min="15627" max="15627" width="22.6640625" style="237" customWidth="1"/>
    <col min="15628" max="15629" width="19.6640625" style="237" customWidth="1"/>
    <col min="15630" max="15630" width="84.5546875" style="237" customWidth="1"/>
    <col min="15631" max="15631" width="17.44140625" style="237" customWidth="1"/>
    <col min="15632" max="15632" width="47.109375" style="237" customWidth="1"/>
    <col min="15633" max="15633" width="9.33203125" style="237" customWidth="1"/>
    <col min="15634" max="15634" width="40.88671875" style="237" customWidth="1"/>
    <col min="15635" max="15635" width="16.33203125" style="237" customWidth="1"/>
    <col min="15636" max="15636" width="25.33203125" style="237" customWidth="1"/>
    <col min="15637" max="15637" width="21" style="237" customWidth="1"/>
    <col min="15638" max="15638" width="11.44140625" style="237" customWidth="1"/>
    <col min="15639" max="15639" width="12.5546875" style="237" customWidth="1"/>
    <col min="15640" max="15640" width="16.6640625" style="237" customWidth="1"/>
    <col min="15641" max="15641" width="9.88671875" style="237" customWidth="1"/>
    <col min="15642" max="15642" width="16.6640625" style="237" customWidth="1"/>
    <col min="15643" max="15643" width="21" style="237" customWidth="1"/>
    <col min="15644" max="15644" width="31.88671875" style="237" customWidth="1"/>
    <col min="15645" max="15645" width="23.44140625" style="237" customWidth="1"/>
    <col min="15646" max="15646" width="23.6640625" style="237" customWidth="1"/>
    <col min="15647" max="15647" width="43.88671875" style="237" customWidth="1"/>
    <col min="15648" max="15648" width="23.6640625" style="237" customWidth="1"/>
    <col min="15649" max="15649" width="32.109375" style="237" customWidth="1"/>
    <col min="15650" max="15872" width="8.88671875" style="237"/>
    <col min="15873" max="15873" width="20.109375" style="237" customWidth="1"/>
    <col min="15874" max="15874" width="39.33203125" style="237" customWidth="1"/>
    <col min="15875" max="15875" width="23.21875" style="237" customWidth="1"/>
    <col min="15876" max="15876" width="17.77734375" style="237" customWidth="1"/>
    <col min="15877" max="15877" width="12.77734375" style="237" customWidth="1"/>
    <col min="15878" max="15878" width="11.6640625" style="237" customWidth="1"/>
    <col min="15879" max="15879" width="11.77734375" style="237" customWidth="1"/>
    <col min="15880" max="15880" width="30.77734375" style="237" customWidth="1"/>
    <col min="15881" max="15881" width="15.88671875" style="237" customWidth="1"/>
    <col min="15882" max="15882" width="19.109375" style="237" customWidth="1"/>
    <col min="15883" max="15883" width="22.6640625" style="237" customWidth="1"/>
    <col min="15884" max="15885" width="19.6640625" style="237" customWidth="1"/>
    <col min="15886" max="15886" width="84.5546875" style="237" customWidth="1"/>
    <col min="15887" max="15887" width="17.44140625" style="237" customWidth="1"/>
    <col min="15888" max="15888" width="47.109375" style="237" customWidth="1"/>
    <col min="15889" max="15889" width="9.33203125" style="237" customWidth="1"/>
    <col min="15890" max="15890" width="40.88671875" style="237" customWidth="1"/>
    <col min="15891" max="15891" width="16.33203125" style="237" customWidth="1"/>
    <col min="15892" max="15892" width="25.33203125" style="237" customWidth="1"/>
    <col min="15893" max="15893" width="21" style="237" customWidth="1"/>
    <col min="15894" max="15894" width="11.44140625" style="237" customWidth="1"/>
    <col min="15895" max="15895" width="12.5546875" style="237" customWidth="1"/>
    <col min="15896" max="15896" width="16.6640625" style="237" customWidth="1"/>
    <col min="15897" max="15897" width="9.88671875" style="237" customWidth="1"/>
    <col min="15898" max="15898" width="16.6640625" style="237" customWidth="1"/>
    <col min="15899" max="15899" width="21" style="237" customWidth="1"/>
    <col min="15900" max="15900" width="31.88671875" style="237" customWidth="1"/>
    <col min="15901" max="15901" width="23.44140625" style="237" customWidth="1"/>
    <col min="15902" max="15902" width="23.6640625" style="237" customWidth="1"/>
    <col min="15903" max="15903" width="43.88671875" style="237" customWidth="1"/>
    <col min="15904" max="15904" width="23.6640625" style="237" customWidth="1"/>
    <col min="15905" max="15905" width="32.109375" style="237" customWidth="1"/>
    <col min="15906" max="16128" width="8.88671875" style="237"/>
    <col min="16129" max="16129" width="20.109375" style="237" customWidth="1"/>
    <col min="16130" max="16130" width="39.33203125" style="237" customWidth="1"/>
    <col min="16131" max="16131" width="23.21875" style="237" customWidth="1"/>
    <col min="16132" max="16132" width="17.77734375" style="237" customWidth="1"/>
    <col min="16133" max="16133" width="12.77734375" style="237" customWidth="1"/>
    <col min="16134" max="16134" width="11.6640625" style="237" customWidth="1"/>
    <col min="16135" max="16135" width="11.77734375" style="237" customWidth="1"/>
    <col min="16136" max="16136" width="30.77734375" style="237" customWidth="1"/>
    <col min="16137" max="16137" width="15.88671875" style="237" customWidth="1"/>
    <col min="16138" max="16138" width="19.109375" style="237" customWidth="1"/>
    <col min="16139" max="16139" width="22.6640625" style="237" customWidth="1"/>
    <col min="16140" max="16141" width="19.6640625" style="237" customWidth="1"/>
    <col min="16142" max="16142" width="84.5546875" style="237" customWidth="1"/>
    <col min="16143" max="16143" width="17.44140625" style="237" customWidth="1"/>
    <col min="16144" max="16144" width="47.109375" style="237" customWidth="1"/>
    <col min="16145" max="16145" width="9.33203125" style="237" customWidth="1"/>
    <col min="16146" max="16146" width="40.88671875" style="237" customWidth="1"/>
    <col min="16147" max="16147" width="16.33203125" style="237" customWidth="1"/>
    <col min="16148" max="16148" width="25.33203125" style="237" customWidth="1"/>
    <col min="16149" max="16149" width="21" style="237" customWidth="1"/>
    <col min="16150" max="16150" width="11.44140625" style="237" customWidth="1"/>
    <col min="16151" max="16151" width="12.5546875" style="237" customWidth="1"/>
    <col min="16152" max="16152" width="16.6640625" style="237" customWidth="1"/>
    <col min="16153" max="16153" width="9.88671875" style="237" customWidth="1"/>
    <col min="16154" max="16154" width="16.6640625" style="237" customWidth="1"/>
    <col min="16155" max="16155" width="21" style="237" customWidth="1"/>
    <col min="16156" max="16156" width="31.88671875" style="237" customWidth="1"/>
    <col min="16157" max="16157" width="23.44140625" style="237" customWidth="1"/>
    <col min="16158" max="16158" width="23.6640625" style="237" customWidth="1"/>
    <col min="16159" max="16159" width="43.88671875" style="237" customWidth="1"/>
    <col min="16160" max="16160" width="23.6640625" style="237" customWidth="1"/>
    <col min="16161" max="16161" width="32.109375" style="237" customWidth="1"/>
    <col min="16162" max="16384" width="8.88671875" style="237"/>
  </cols>
  <sheetData>
    <row r="1" spans="1:34" x14ac:dyDescent="0.25">
      <c r="I1" s="263">
        <f>SUBTOTAL(9,I3:I802)</f>
        <v>72376794.359999999</v>
      </c>
    </row>
    <row r="2" spans="1:34" ht="13.8" x14ac:dyDescent="0.25">
      <c r="A2" s="262" t="s">
        <v>15292</v>
      </c>
      <c r="B2" s="262" t="s">
        <v>15293</v>
      </c>
      <c r="C2" s="262" t="s">
        <v>1165</v>
      </c>
      <c r="D2" s="262" t="s">
        <v>15294</v>
      </c>
      <c r="E2" s="262" t="s">
        <v>15295</v>
      </c>
      <c r="F2" s="262" t="s">
        <v>15296</v>
      </c>
      <c r="G2" s="262" t="s">
        <v>782</v>
      </c>
      <c r="H2" s="262" t="s">
        <v>15297</v>
      </c>
      <c r="I2" s="262" t="s">
        <v>15298</v>
      </c>
      <c r="J2" s="262" t="s">
        <v>15299</v>
      </c>
      <c r="K2" s="262" t="s">
        <v>15300</v>
      </c>
      <c r="L2" s="262" t="s">
        <v>15301</v>
      </c>
      <c r="M2" s="262" t="s">
        <v>15302</v>
      </c>
      <c r="N2" s="262" t="s">
        <v>15303</v>
      </c>
      <c r="O2" s="262" t="s">
        <v>15304</v>
      </c>
      <c r="P2" s="262" t="s">
        <v>15305</v>
      </c>
      <c r="Q2" s="262" t="s">
        <v>15306</v>
      </c>
      <c r="R2" s="262" t="s">
        <v>15307</v>
      </c>
      <c r="S2" s="262" t="s">
        <v>15308</v>
      </c>
      <c r="T2" s="262" t="s">
        <v>15309</v>
      </c>
      <c r="U2" s="262" t="s">
        <v>1171</v>
      </c>
      <c r="V2" s="262" t="s">
        <v>15310</v>
      </c>
      <c r="W2" s="262" t="s">
        <v>15311</v>
      </c>
      <c r="X2" s="262" t="s">
        <v>15312</v>
      </c>
      <c r="Y2" s="262" t="s">
        <v>15313</v>
      </c>
      <c r="Z2" s="262" t="s">
        <v>15314</v>
      </c>
      <c r="AA2" s="262" t="s">
        <v>15315</v>
      </c>
      <c r="AB2" s="262" t="s">
        <v>15316</v>
      </c>
      <c r="AC2" s="262" t="s">
        <v>15317</v>
      </c>
      <c r="AD2" s="262" t="s">
        <v>15318</v>
      </c>
      <c r="AE2" s="262" t="s">
        <v>15319</v>
      </c>
      <c r="AF2" s="262" t="s">
        <v>15320</v>
      </c>
      <c r="AG2" s="262" t="s">
        <v>15321</v>
      </c>
      <c r="AH2" s="265" t="s">
        <v>1163</v>
      </c>
    </row>
    <row r="3" spans="1:34" x14ac:dyDescent="0.25">
      <c r="A3">
        <v>136</v>
      </c>
      <c r="B3" t="s">
        <v>130</v>
      </c>
      <c r="C3"/>
      <c r="D3" s="23">
        <v>4.42</v>
      </c>
      <c r="E3">
        <v>10820</v>
      </c>
      <c r="F3">
        <v>11</v>
      </c>
      <c r="G3">
        <v>14000</v>
      </c>
      <c r="H3" t="s">
        <v>626</v>
      </c>
      <c r="I3" s="23">
        <v>4.42</v>
      </c>
      <c r="J3" s="185">
        <v>46086</v>
      </c>
      <c r="K3" s="185">
        <v>46086</v>
      </c>
      <c r="L3" s="185">
        <v>46102</v>
      </c>
      <c r="M3" s="185">
        <v>46087</v>
      </c>
      <c r="N3"/>
      <c r="O3">
        <v>1010100</v>
      </c>
      <c r="P3" t="s">
        <v>29</v>
      </c>
      <c r="Q3">
        <v>10001800</v>
      </c>
      <c r="R3" t="s">
        <v>15382</v>
      </c>
      <c r="S3"/>
      <c r="T3" t="s">
        <v>15323</v>
      </c>
      <c r="U3" t="s">
        <v>1530</v>
      </c>
      <c r="V3" s="23">
        <v>0</v>
      </c>
      <c r="W3" s="23">
        <v>0</v>
      </c>
      <c r="X3" s="23">
        <v>0</v>
      </c>
      <c r="Y3"/>
      <c r="Z3">
        <v>1246266648</v>
      </c>
      <c r="AA3"/>
      <c r="AB3" t="s">
        <v>1199</v>
      </c>
      <c r="AC3">
        <v>102</v>
      </c>
      <c r="AD3">
        <v>4</v>
      </c>
      <c r="AE3" t="s">
        <v>15324</v>
      </c>
      <c r="AF3"/>
      <c r="AG3" s="23"/>
      <c r="AH3" s="265" t="str">
        <f>_xlfn.XLOOKUP(G3,Clientes!I:I,Clientes!F:F)</f>
        <v>CODEL</v>
      </c>
    </row>
    <row r="4" spans="1:34" x14ac:dyDescent="0.25">
      <c r="A4">
        <v>136</v>
      </c>
      <c r="B4" t="s">
        <v>130</v>
      </c>
      <c r="C4"/>
      <c r="D4" s="23">
        <v>28</v>
      </c>
      <c r="E4">
        <v>10616</v>
      </c>
      <c r="F4">
        <v>11</v>
      </c>
      <c r="G4">
        <v>17415</v>
      </c>
      <c r="H4" t="s">
        <v>805</v>
      </c>
      <c r="I4" s="23">
        <v>28</v>
      </c>
      <c r="J4" s="185">
        <v>46055</v>
      </c>
      <c r="K4" s="185">
        <v>46055</v>
      </c>
      <c r="L4" s="185">
        <v>46062</v>
      </c>
      <c r="M4" s="185">
        <v>46058</v>
      </c>
      <c r="N4"/>
      <c r="O4">
        <v>1010100</v>
      </c>
      <c r="P4" t="s">
        <v>29</v>
      </c>
      <c r="Q4">
        <v>10001800</v>
      </c>
      <c r="R4" t="s">
        <v>15382</v>
      </c>
      <c r="S4"/>
      <c r="T4" t="s">
        <v>15323</v>
      </c>
      <c r="U4" t="s">
        <v>1530</v>
      </c>
      <c r="V4" s="23">
        <v>0</v>
      </c>
      <c r="W4" s="23">
        <v>0</v>
      </c>
      <c r="X4" s="23">
        <v>0</v>
      </c>
      <c r="Y4"/>
      <c r="Z4">
        <v>1246261783</v>
      </c>
      <c r="AA4"/>
      <c r="AB4" t="s">
        <v>1199</v>
      </c>
      <c r="AC4">
        <v>102</v>
      </c>
      <c r="AD4">
        <v>4</v>
      </c>
      <c r="AE4" t="s">
        <v>15324</v>
      </c>
      <c r="AF4"/>
      <c r="AG4" s="23"/>
      <c r="AH4" s="265" t="str">
        <f>_xlfn.XLOOKUP(G4,Clientes!I:I,Clientes!F:F)</f>
        <v>ASSOCIACAO RECICLA TRIANGULO</v>
      </c>
    </row>
    <row r="5" spans="1:34" x14ac:dyDescent="0.25">
      <c r="A5">
        <v>136</v>
      </c>
      <c r="B5" t="s">
        <v>130</v>
      </c>
      <c r="C5"/>
      <c r="D5" s="23">
        <v>210</v>
      </c>
      <c r="E5">
        <v>2934</v>
      </c>
      <c r="F5">
        <v>13</v>
      </c>
      <c r="G5">
        <v>17415</v>
      </c>
      <c r="H5" t="s">
        <v>805</v>
      </c>
      <c r="I5" s="23">
        <v>210</v>
      </c>
      <c r="J5" s="185">
        <v>46154</v>
      </c>
      <c r="K5" s="185">
        <v>46154</v>
      </c>
      <c r="L5" s="185">
        <v>46184</v>
      </c>
      <c r="M5" s="185">
        <v>46184</v>
      </c>
      <c r="N5"/>
      <c r="O5">
        <v>1010100</v>
      </c>
      <c r="P5" t="s">
        <v>29</v>
      </c>
      <c r="Q5">
        <v>10001800</v>
      </c>
      <c r="R5" t="s">
        <v>15382</v>
      </c>
      <c r="S5"/>
      <c r="T5" t="s">
        <v>15323</v>
      </c>
      <c r="U5" t="s">
        <v>1199</v>
      </c>
      <c r="V5" s="23">
        <v>0</v>
      </c>
      <c r="W5" s="23">
        <v>0</v>
      </c>
      <c r="X5" s="23">
        <v>0</v>
      </c>
      <c r="Y5"/>
      <c r="Z5">
        <v>1246274535</v>
      </c>
      <c r="AA5"/>
      <c r="AB5" t="s">
        <v>1199</v>
      </c>
      <c r="AC5">
        <v>103</v>
      </c>
      <c r="AD5">
        <v>4</v>
      </c>
      <c r="AE5" t="s">
        <v>15324</v>
      </c>
      <c r="AF5"/>
      <c r="AG5" s="23"/>
      <c r="AH5" s="265" t="str">
        <f>_xlfn.XLOOKUP(G5,Clientes!I:I,Clientes!F:F)</f>
        <v>ASSOCIACAO RECICLA TRIANGULO</v>
      </c>
    </row>
    <row r="6" spans="1:34" x14ac:dyDescent="0.25">
      <c r="A6">
        <v>161</v>
      </c>
      <c r="B6" t="s">
        <v>145</v>
      </c>
      <c r="C6"/>
      <c r="D6" s="23">
        <v>385.2</v>
      </c>
      <c r="E6">
        <v>2889</v>
      </c>
      <c r="F6">
        <v>13</v>
      </c>
      <c r="G6">
        <v>17449</v>
      </c>
      <c r="H6" t="s">
        <v>761</v>
      </c>
      <c r="I6" s="23">
        <v>385.2</v>
      </c>
      <c r="J6" s="185">
        <v>46135</v>
      </c>
      <c r="K6" s="185">
        <v>46135</v>
      </c>
      <c r="L6" s="185">
        <v>46135</v>
      </c>
      <c r="M6" s="185">
        <v>46135</v>
      </c>
      <c r="N6"/>
      <c r="O6">
        <v>1010100</v>
      </c>
      <c r="P6" t="s">
        <v>29</v>
      </c>
      <c r="Q6">
        <v>200000100</v>
      </c>
      <c r="R6" t="s">
        <v>15322</v>
      </c>
      <c r="S6"/>
      <c r="T6" t="s">
        <v>15323</v>
      </c>
      <c r="U6" t="s">
        <v>1964</v>
      </c>
      <c r="V6" s="23">
        <v>0</v>
      </c>
      <c r="W6" s="23">
        <v>0</v>
      </c>
      <c r="X6" s="23">
        <v>0</v>
      </c>
      <c r="Y6"/>
      <c r="Z6">
        <v>1246272224</v>
      </c>
      <c r="AA6"/>
      <c r="AB6" t="s">
        <v>1199</v>
      </c>
      <c r="AC6">
        <v>18</v>
      </c>
      <c r="AD6">
        <v>4</v>
      </c>
      <c r="AE6" t="s">
        <v>15324</v>
      </c>
      <c r="AF6"/>
      <c r="AG6" s="23"/>
      <c r="AH6" s="265" t="str">
        <f>_xlfn.XLOOKUP(G6,Clientes!I:I,Clientes!F:F)</f>
        <v>GIGAMIX TECNOLOGIAS FUTURAS</v>
      </c>
    </row>
    <row r="7" spans="1:34" x14ac:dyDescent="0.25">
      <c r="A7">
        <v>161</v>
      </c>
      <c r="B7" t="s">
        <v>145</v>
      </c>
      <c r="C7"/>
      <c r="D7" s="23">
        <v>478</v>
      </c>
      <c r="E7">
        <v>2892</v>
      </c>
      <c r="F7">
        <v>13</v>
      </c>
      <c r="G7">
        <v>2247</v>
      </c>
      <c r="H7" t="s">
        <v>425</v>
      </c>
      <c r="I7" s="23">
        <v>478</v>
      </c>
      <c r="J7" s="185">
        <v>46136</v>
      </c>
      <c r="K7" s="185">
        <v>46136</v>
      </c>
      <c r="L7" s="185">
        <v>46164</v>
      </c>
      <c r="M7" s="185">
        <v>46162</v>
      </c>
      <c r="N7"/>
      <c r="O7">
        <v>1010100</v>
      </c>
      <c r="P7" t="s">
        <v>29</v>
      </c>
      <c r="Q7">
        <v>200000100</v>
      </c>
      <c r="R7" t="s">
        <v>15322</v>
      </c>
      <c r="S7"/>
      <c r="T7" t="s">
        <v>15323</v>
      </c>
      <c r="U7" t="s">
        <v>2602</v>
      </c>
      <c r="V7" s="23">
        <v>0</v>
      </c>
      <c r="W7" s="23">
        <v>0</v>
      </c>
      <c r="X7" s="23">
        <v>0</v>
      </c>
      <c r="Y7"/>
      <c r="Z7">
        <v>1246272577</v>
      </c>
      <c r="AA7"/>
      <c r="AB7" t="s">
        <v>1199</v>
      </c>
      <c r="AC7">
        <v>103</v>
      </c>
      <c r="AD7">
        <v>4</v>
      </c>
      <c r="AE7" t="s">
        <v>15324</v>
      </c>
      <c r="AF7"/>
      <c r="AG7" s="23"/>
      <c r="AH7" s="265" t="str">
        <f>_xlfn.XLOOKUP(G7,Clientes!I:I,Clientes!F:F)</f>
        <v>ADUBOS LEAO - LARANJEIRAS</v>
      </c>
    </row>
    <row r="8" spans="1:34" x14ac:dyDescent="0.25">
      <c r="A8">
        <v>161</v>
      </c>
      <c r="B8" t="s">
        <v>145</v>
      </c>
      <c r="C8"/>
      <c r="D8" s="23">
        <v>478</v>
      </c>
      <c r="E8">
        <v>2892</v>
      </c>
      <c r="F8">
        <v>13</v>
      </c>
      <c r="G8">
        <v>2247</v>
      </c>
      <c r="H8" t="s">
        <v>425</v>
      </c>
      <c r="I8" s="23">
        <v>478</v>
      </c>
      <c r="J8" s="185">
        <v>46136</v>
      </c>
      <c r="K8" s="185">
        <v>46136</v>
      </c>
      <c r="L8" s="185">
        <v>46164</v>
      </c>
      <c r="M8" s="185">
        <v>46160</v>
      </c>
      <c r="N8"/>
      <c r="O8">
        <v>1010100</v>
      </c>
      <c r="P8" t="s">
        <v>29</v>
      </c>
      <c r="Q8">
        <v>200000100</v>
      </c>
      <c r="R8" t="s">
        <v>15322</v>
      </c>
      <c r="S8"/>
      <c r="T8" t="s">
        <v>15323</v>
      </c>
      <c r="U8" t="s">
        <v>2602</v>
      </c>
      <c r="V8" s="23">
        <v>0</v>
      </c>
      <c r="W8" s="23">
        <v>0</v>
      </c>
      <c r="X8" s="23">
        <v>0</v>
      </c>
      <c r="Y8"/>
      <c r="Z8">
        <v>1246275733</v>
      </c>
      <c r="AA8"/>
      <c r="AB8" t="s">
        <v>2602</v>
      </c>
      <c r="AC8">
        <v>102</v>
      </c>
      <c r="AD8">
        <v>4</v>
      </c>
      <c r="AE8" t="s">
        <v>15324</v>
      </c>
      <c r="AF8"/>
      <c r="AG8" s="23"/>
      <c r="AH8" s="265" t="str">
        <f>_xlfn.XLOOKUP(G8,Clientes!I:I,Clientes!F:F)</f>
        <v>ADUBOS LEAO - LARANJEIRAS</v>
      </c>
    </row>
    <row r="9" spans="1:34" x14ac:dyDescent="0.25">
      <c r="A9">
        <v>136</v>
      </c>
      <c r="B9" t="s">
        <v>130</v>
      </c>
      <c r="C9"/>
      <c r="D9" s="23">
        <v>585</v>
      </c>
      <c r="E9">
        <v>2949</v>
      </c>
      <c r="F9">
        <v>13</v>
      </c>
      <c r="G9">
        <v>17415</v>
      </c>
      <c r="H9" t="s">
        <v>805</v>
      </c>
      <c r="I9" s="23">
        <v>585</v>
      </c>
      <c r="J9" s="185">
        <v>46161</v>
      </c>
      <c r="K9" s="185">
        <v>46161</v>
      </c>
      <c r="L9" s="185">
        <v>46191</v>
      </c>
      <c r="M9" s="185">
        <v>46191</v>
      </c>
      <c r="N9"/>
      <c r="O9">
        <v>1010100</v>
      </c>
      <c r="P9" t="s">
        <v>29</v>
      </c>
      <c r="Q9">
        <v>10001800</v>
      </c>
      <c r="R9" t="s">
        <v>15382</v>
      </c>
      <c r="S9"/>
      <c r="T9" t="s">
        <v>15323</v>
      </c>
      <c r="U9" t="s">
        <v>1530</v>
      </c>
      <c r="V9" s="23">
        <v>0</v>
      </c>
      <c r="W9" s="23">
        <v>0</v>
      </c>
      <c r="X9" s="23">
        <v>0</v>
      </c>
      <c r="Y9"/>
      <c r="Z9">
        <v>1246275737</v>
      </c>
      <c r="AA9"/>
      <c r="AB9" t="s">
        <v>1199</v>
      </c>
      <c r="AC9">
        <v>103</v>
      </c>
      <c r="AD9">
        <v>4</v>
      </c>
      <c r="AE9" t="s">
        <v>15324</v>
      </c>
      <c r="AF9"/>
      <c r="AG9" s="23"/>
      <c r="AH9" s="265" t="str">
        <f>_xlfn.XLOOKUP(G9,Clientes!I:I,Clientes!F:F)</f>
        <v>ASSOCIACAO RECICLA TRIANGULO</v>
      </c>
    </row>
    <row r="10" spans="1:34" x14ac:dyDescent="0.25">
      <c r="A10">
        <v>40</v>
      </c>
      <c r="B10" t="s">
        <v>155</v>
      </c>
      <c r="C10"/>
      <c r="D10" s="23">
        <v>587.26</v>
      </c>
      <c r="E10">
        <v>10964</v>
      </c>
      <c r="F10">
        <v>11</v>
      </c>
      <c r="G10">
        <v>2655</v>
      </c>
      <c r="H10" t="s">
        <v>318</v>
      </c>
      <c r="I10" s="23">
        <v>587.26</v>
      </c>
      <c r="J10" s="185">
        <v>46105</v>
      </c>
      <c r="K10" s="185">
        <v>46105</v>
      </c>
      <c r="L10" s="185">
        <v>46195</v>
      </c>
      <c r="M10" s="185">
        <v>46195</v>
      </c>
      <c r="N10" t="s">
        <v>15632</v>
      </c>
      <c r="O10">
        <v>1010200</v>
      </c>
      <c r="P10" t="s">
        <v>113</v>
      </c>
      <c r="Q10">
        <v>200000100</v>
      </c>
      <c r="R10" t="s">
        <v>15322</v>
      </c>
      <c r="S10"/>
      <c r="T10" t="s">
        <v>15323</v>
      </c>
      <c r="U10" t="s">
        <v>1199</v>
      </c>
      <c r="V10" s="23">
        <v>0</v>
      </c>
      <c r="W10" s="23">
        <v>0</v>
      </c>
      <c r="X10" s="23">
        <v>0</v>
      </c>
      <c r="Y10"/>
      <c r="Z10">
        <v>1246268741</v>
      </c>
      <c r="AA10"/>
      <c r="AB10" t="s">
        <v>1199</v>
      </c>
      <c r="AC10">
        <v>91</v>
      </c>
      <c r="AD10">
        <v>4</v>
      </c>
      <c r="AE10" t="s">
        <v>15324</v>
      </c>
      <c r="AF10" t="s">
        <v>15348</v>
      </c>
      <c r="AG10" s="23">
        <v>7632</v>
      </c>
      <c r="AH10" s="265" t="str">
        <f>_xlfn.XLOOKUP(G10,Clientes!I:I,Clientes!F:F)</f>
        <v>EQUILIBRA PERU S.A</v>
      </c>
    </row>
    <row r="11" spans="1:34" x14ac:dyDescent="0.25">
      <c r="A11">
        <v>161</v>
      </c>
      <c r="B11" t="s">
        <v>145</v>
      </c>
      <c r="C11"/>
      <c r="D11" s="23">
        <v>620.79999999999995</v>
      </c>
      <c r="E11">
        <v>10508</v>
      </c>
      <c r="F11">
        <v>11</v>
      </c>
      <c r="G11">
        <v>12653</v>
      </c>
      <c r="H11" t="s">
        <v>232</v>
      </c>
      <c r="I11" s="23">
        <v>620.79999999999995</v>
      </c>
      <c r="J11" s="185">
        <v>46038</v>
      </c>
      <c r="K11" s="185">
        <v>46038</v>
      </c>
      <c r="L11" s="185">
        <v>46045</v>
      </c>
      <c r="M11" s="185">
        <v>46044</v>
      </c>
      <c r="N11"/>
      <c r="O11">
        <v>1010100</v>
      </c>
      <c r="P11" t="s">
        <v>29</v>
      </c>
      <c r="Q11">
        <v>200000200</v>
      </c>
      <c r="R11" t="s">
        <v>15377</v>
      </c>
      <c r="S11"/>
      <c r="T11" t="s">
        <v>15323</v>
      </c>
      <c r="U11" t="s">
        <v>6311</v>
      </c>
      <c r="V11" s="23">
        <v>0</v>
      </c>
      <c r="W11" s="23">
        <v>0</v>
      </c>
      <c r="X11" s="23">
        <v>0</v>
      </c>
      <c r="Y11"/>
      <c r="Z11">
        <v>1246259749</v>
      </c>
      <c r="AA11"/>
      <c r="AB11" t="s">
        <v>1186</v>
      </c>
      <c r="AC11">
        <v>102</v>
      </c>
      <c r="AD11">
        <v>4</v>
      </c>
      <c r="AE11" t="s">
        <v>15324</v>
      </c>
      <c r="AF11"/>
      <c r="AG11" s="23"/>
      <c r="AH11" s="265" t="str">
        <f>_xlfn.XLOOKUP(G11,Clientes!I:I,Clientes!F:F)</f>
        <v>APROVAR AGROPECUARIA COMERCIO</v>
      </c>
    </row>
    <row r="12" spans="1:34" x14ac:dyDescent="0.25">
      <c r="A12">
        <v>161</v>
      </c>
      <c r="B12" t="s">
        <v>145</v>
      </c>
      <c r="C12"/>
      <c r="D12" s="23">
        <v>777.2</v>
      </c>
      <c r="E12">
        <v>11200</v>
      </c>
      <c r="F12">
        <v>11</v>
      </c>
      <c r="G12">
        <v>17449</v>
      </c>
      <c r="H12" t="s">
        <v>761</v>
      </c>
      <c r="I12" s="23">
        <v>777.2</v>
      </c>
      <c r="J12" s="185">
        <v>46135</v>
      </c>
      <c r="K12" s="185">
        <v>46135</v>
      </c>
      <c r="L12" s="185">
        <v>46135</v>
      </c>
      <c r="M12" s="185">
        <v>46135</v>
      </c>
      <c r="N12"/>
      <c r="O12">
        <v>1010100</v>
      </c>
      <c r="P12" t="s">
        <v>29</v>
      </c>
      <c r="Q12">
        <v>200000100</v>
      </c>
      <c r="R12" t="s">
        <v>15322</v>
      </c>
      <c r="S12"/>
      <c r="T12" t="s">
        <v>15323</v>
      </c>
      <c r="U12" t="s">
        <v>1216</v>
      </c>
      <c r="V12" s="23">
        <v>0</v>
      </c>
      <c r="W12" s="23">
        <v>0</v>
      </c>
      <c r="X12" s="23">
        <v>0</v>
      </c>
      <c r="Y12"/>
      <c r="Z12">
        <v>1246272283</v>
      </c>
      <c r="AA12"/>
      <c r="AB12" t="s">
        <v>1199</v>
      </c>
      <c r="AC12">
        <v>18</v>
      </c>
      <c r="AD12">
        <v>4</v>
      </c>
      <c r="AE12" t="s">
        <v>15324</v>
      </c>
      <c r="AF12"/>
      <c r="AG12" s="23"/>
      <c r="AH12" s="265" t="str">
        <f>_xlfn.XLOOKUP(G12,Clientes!I:I,Clientes!F:F)</f>
        <v>GIGAMIX TECNOLOGIAS FUTURAS</v>
      </c>
    </row>
    <row r="13" spans="1:34" x14ac:dyDescent="0.25">
      <c r="A13">
        <v>40</v>
      </c>
      <c r="B13" t="s">
        <v>155</v>
      </c>
      <c r="C13"/>
      <c r="D13" s="23">
        <v>853.24</v>
      </c>
      <c r="E13">
        <v>11057</v>
      </c>
      <c r="F13">
        <v>11</v>
      </c>
      <c r="G13">
        <v>13330</v>
      </c>
      <c r="H13" t="s">
        <v>579</v>
      </c>
      <c r="I13" s="23">
        <v>853.24</v>
      </c>
      <c r="J13" s="185">
        <v>46118</v>
      </c>
      <c r="K13" s="185">
        <v>46118</v>
      </c>
      <c r="L13" s="185">
        <v>46148</v>
      </c>
      <c r="M13" s="185"/>
      <c r="N13"/>
      <c r="O13">
        <v>1010200</v>
      </c>
      <c r="P13" t="s">
        <v>113</v>
      </c>
      <c r="Q13">
        <v>200000100</v>
      </c>
      <c r="R13" t="s">
        <v>15322</v>
      </c>
      <c r="S13"/>
      <c r="T13" t="s">
        <v>15323</v>
      </c>
      <c r="U13" t="s">
        <v>1199</v>
      </c>
      <c r="V13" s="23">
        <v>0</v>
      </c>
      <c r="W13" s="23">
        <v>0</v>
      </c>
      <c r="X13" s="23">
        <v>0</v>
      </c>
      <c r="Y13"/>
      <c r="Z13">
        <v>1246272264</v>
      </c>
      <c r="AA13"/>
      <c r="AB13"/>
      <c r="AC13">
        <v>18</v>
      </c>
      <c r="AD13">
        <v>4</v>
      </c>
      <c r="AE13" t="s">
        <v>15324</v>
      </c>
      <c r="AF13" t="s">
        <v>15355</v>
      </c>
      <c r="AG13" s="23">
        <v>165.2</v>
      </c>
      <c r="AH13" s="265" t="str">
        <f>_xlfn.XLOOKUP(G13,Clientes!I:I,Clientes!F:F)</f>
        <v>ORGANITEC - PARAGUAY</v>
      </c>
    </row>
    <row r="14" spans="1:34" x14ac:dyDescent="0.25">
      <c r="A14">
        <v>39</v>
      </c>
      <c r="B14" t="s">
        <v>15325</v>
      </c>
      <c r="C14"/>
      <c r="D14" s="23">
        <v>861.6</v>
      </c>
      <c r="E14">
        <v>2996</v>
      </c>
      <c r="F14">
        <v>13</v>
      </c>
      <c r="G14">
        <v>7</v>
      </c>
      <c r="H14" t="s">
        <v>562</v>
      </c>
      <c r="I14" s="23">
        <v>861.6</v>
      </c>
      <c r="J14" s="185">
        <v>46176</v>
      </c>
      <c r="K14" s="185">
        <v>46176</v>
      </c>
      <c r="L14" s="185">
        <v>46211</v>
      </c>
      <c r="M14" s="185"/>
      <c r="N14"/>
      <c r="O14">
        <v>1010100</v>
      </c>
      <c r="P14" t="s">
        <v>29</v>
      </c>
      <c r="Q14">
        <v>200000100</v>
      </c>
      <c r="R14" t="s">
        <v>15322</v>
      </c>
      <c r="S14"/>
      <c r="T14" t="s">
        <v>15323</v>
      </c>
      <c r="U14" t="s">
        <v>2073</v>
      </c>
      <c r="V14" s="23">
        <v>0</v>
      </c>
      <c r="W14" s="23">
        <v>0</v>
      </c>
      <c r="X14" s="23">
        <v>0</v>
      </c>
      <c r="Y14"/>
      <c r="Z14">
        <v>1246278022</v>
      </c>
      <c r="AA14"/>
      <c r="AB14"/>
      <c r="AC14">
        <v>102</v>
      </c>
      <c r="AD14">
        <v>4</v>
      </c>
      <c r="AE14" t="s">
        <v>15324</v>
      </c>
      <c r="AF14"/>
      <c r="AG14" s="23"/>
      <c r="AH14" s="265" t="str">
        <f>_xlfn.XLOOKUP(G14,Clientes!I:I,Clientes!F:F)</f>
        <v>START QUIMICA - 22.685.341/0006-95</v>
      </c>
    </row>
    <row r="15" spans="1:34" x14ac:dyDescent="0.25">
      <c r="A15">
        <v>161</v>
      </c>
      <c r="B15" t="s">
        <v>145</v>
      </c>
      <c r="C15"/>
      <c r="D15" s="23">
        <v>956</v>
      </c>
      <c r="E15">
        <v>2892</v>
      </c>
      <c r="F15">
        <v>13</v>
      </c>
      <c r="G15">
        <v>2247</v>
      </c>
      <c r="H15" t="s">
        <v>425</v>
      </c>
      <c r="I15" s="23">
        <v>956</v>
      </c>
      <c r="J15" s="185">
        <v>46136</v>
      </c>
      <c r="K15" s="185">
        <v>46136</v>
      </c>
      <c r="L15" s="185">
        <v>46192</v>
      </c>
      <c r="M15" s="185">
        <v>46162</v>
      </c>
      <c r="N15"/>
      <c r="O15">
        <v>1010100</v>
      </c>
      <c r="P15" t="s">
        <v>29</v>
      </c>
      <c r="Q15">
        <v>200000100</v>
      </c>
      <c r="R15" t="s">
        <v>15322</v>
      </c>
      <c r="S15"/>
      <c r="T15" t="s">
        <v>15323</v>
      </c>
      <c r="U15" t="s">
        <v>6311</v>
      </c>
      <c r="V15" s="23">
        <v>0</v>
      </c>
      <c r="W15" s="23">
        <v>0</v>
      </c>
      <c r="X15" s="23">
        <v>0</v>
      </c>
      <c r="Y15"/>
      <c r="Z15">
        <v>1246272578</v>
      </c>
      <c r="AA15"/>
      <c r="AB15" t="s">
        <v>1199</v>
      </c>
      <c r="AC15">
        <v>103</v>
      </c>
      <c r="AD15">
        <v>4</v>
      </c>
      <c r="AE15" t="s">
        <v>15324</v>
      </c>
      <c r="AF15"/>
      <c r="AG15" s="23"/>
      <c r="AH15" s="265" t="str">
        <f>_xlfn.XLOOKUP(G15,Clientes!I:I,Clientes!F:F)</f>
        <v>ADUBOS LEAO - LARANJEIRAS</v>
      </c>
    </row>
    <row r="16" spans="1:34" x14ac:dyDescent="0.25">
      <c r="A16">
        <v>161</v>
      </c>
      <c r="B16" t="s">
        <v>145</v>
      </c>
      <c r="C16"/>
      <c r="D16" s="23">
        <v>1087.8</v>
      </c>
      <c r="E16">
        <v>11535</v>
      </c>
      <c r="F16">
        <v>11</v>
      </c>
      <c r="G16">
        <v>10492</v>
      </c>
      <c r="H16" t="s">
        <v>101</v>
      </c>
      <c r="I16" s="23">
        <v>1087.8</v>
      </c>
      <c r="J16" s="185">
        <v>46170</v>
      </c>
      <c r="K16" s="185">
        <v>46170</v>
      </c>
      <c r="L16" s="185">
        <v>46198</v>
      </c>
      <c r="M16" s="185">
        <v>46189</v>
      </c>
      <c r="N16"/>
      <c r="O16">
        <v>1010100</v>
      </c>
      <c r="P16" t="s">
        <v>29</v>
      </c>
      <c r="Q16">
        <v>200000100</v>
      </c>
      <c r="R16" t="s">
        <v>15322</v>
      </c>
      <c r="S16"/>
      <c r="T16" t="s">
        <v>15323</v>
      </c>
      <c r="U16" t="s">
        <v>2073</v>
      </c>
      <c r="V16" s="23">
        <v>0</v>
      </c>
      <c r="W16" s="23">
        <v>0</v>
      </c>
      <c r="X16" s="23">
        <v>0</v>
      </c>
      <c r="Y16"/>
      <c r="Z16">
        <v>1246279800</v>
      </c>
      <c r="AA16"/>
      <c r="AB16" t="s">
        <v>2073</v>
      </c>
      <c r="AC16">
        <v>102</v>
      </c>
      <c r="AD16">
        <v>4</v>
      </c>
      <c r="AE16" t="s">
        <v>15324</v>
      </c>
      <c r="AF16"/>
      <c r="AG16" s="23"/>
      <c r="AH16" s="265" t="str">
        <f>_xlfn.XLOOKUP(G16,Clientes!I:I,Clientes!F:F)</f>
        <v>GRUPO UNIFERTIL</v>
      </c>
    </row>
    <row r="17" spans="1:34" x14ac:dyDescent="0.25">
      <c r="A17">
        <v>161</v>
      </c>
      <c r="B17" t="s">
        <v>145</v>
      </c>
      <c r="C17"/>
      <c r="D17" s="23">
        <v>1304</v>
      </c>
      <c r="E17">
        <v>10863</v>
      </c>
      <c r="F17">
        <v>11</v>
      </c>
      <c r="G17">
        <v>15361</v>
      </c>
      <c r="H17" t="s">
        <v>588</v>
      </c>
      <c r="I17" s="23">
        <v>1304</v>
      </c>
      <c r="J17" s="185">
        <v>46092</v>
      </c>
      <c r="K17" s="185">
        <v>46092</v>
      </c>
      <c r="L17" s="185">
        <v>46102</v>
      </c>
      <c r="M17" s="185">
        <v>46100</v>
      </c>
      <c r="N17"/>
      <c r="O17">
        <v>1010100</v>
      </c>
      <c r="P17" t="s">
        <v>29</v>
      </c>
      <c r="Q17">
        <v>200000100</v>
      </c>
      <c r="R17" t="s">
        <v>15322</v>
      </c>
      <c r="S17"/>
      <c r="T17" t="s">
        <v>15323</v>
      </c>
      <c r="U17" t="s">
        <v>6311</v>
      </c>
      <c r="V17" s="23">
        <v>0</v>
      </c>
      <c r="W17" s="23">
        <v>0</v>
      </c>
      <c r="X17" s="23">
        <v>0</v>
      </c>
      <c r="Y17"/>
      <c r="Z17">
        <v>1246267400</v>
      </c>
      <c r="AA17"/>
      <c r="AB17" t="s">
        <v>1186</v>
      </c>
      <c r="AC17">
        <v>102</v>
      </c>
      <c r="AD17">
        <v>4</v>
      </c>
      <c r="AE17" t="s">
        <v>15324</v>
      </c>
      <c r="AF17"/>
      <c r="AG17" s="23"/>
      <c r="AH17" s="265" t="str">
        <f>_xlfn.XLOOKUP(G17,Clientes!I:I,Clientes!F:F)</f>
        <v>SEIVAL AGROBUSINESS</v>
      </c>
    </row>
    <row r="18" spans="1:34" x14ac:dyDescent="0.25">
      <c r="A18">
        <v>136</v>
      </c>
      <c r="B18" t="s">
        <v>130</v>
      </c>
      <c r="C18"/>
      <c r="D18" s="23">
        <v>1448.4</v>
      </c>
      <c r="E18">
        <v>11358</v>
      </c>
      <c r="F18">
        <v>11</v>
      </c>
      <c r="G18">
        <v>17415</v>
      </c>
      <c r="H18" t="s">
        <v>805</v>
      </c>
      <c r="I18" s="23">
        <v>1448.4</v>
      </c>
      <c r="J18" s="185">
        <v>46154</v>
      </c>
      <c r="K18" s="185">
        <v>46154</v>
      </c>
      <c r="L18" s="185">
        <v>46184</v>
      </c>
      <c r="M18" s="185">
        <v>46184</v>
      </c>
      <c r="N18"/>
      <c r="O18">
        <v>1010100</v>
      </c>
      <c r="P18" t="s">
        <v>29</v>
      </c>
      <c r="Q18">
        <v>10001800</v>
      </c>
      <c r="R18" t="s">
        <v>15382</v>
      </c>
      <c r="S18"/>
      <c r="T18" t="s">
        <v>15323</v>
      </c>
      <c r="U18" t="s">
        <v>4502</v>
      </c>
      <c r="V18" s="23">
        <v>0</v>
      </c>
      <c r="W18" s="23">
        <v>0</v>
      </c>
      <c r="X18" s="23">
        <v>0</v>
      </c>
      <c r="Y18"/>
      <c r="Z18">
        <v>1246274536</v>
      </c>
      <c r="AA18"/>
      <c r="AB18" t="s">
        <v>1199</v>
      </c>
      <c r="AC18">
        <v>102</v>
      </c>
      <c r="AD18">
        <v>4</v>
      </c>
      <c r="AE18" t="s">
        <v>15324</v>
      </c>
      <c r="AF18"/>
      <c r="AG18" s="23"/>
      <c r="AH18" s="265" t="str">
        <f>_xlfn.XLOOKUP(G18,Clientes!I:I,Clientes!F:F)</f>
        <v>ASSOCIACAO RECICLA TRIANGULO</v>
      </c>
    </row>
    <row r="19" spans="1:34" x14ac:dyDescent="0.25">
      <c r="A19">
        <v>161</v>
      </c>
      <c r="B19" t="s">
        <v>145</v>
      </c>
      <c r="C19"/>
      <c r="D19" s="23">
        <v>2225.04</v>
      </c>
      <c r="E19">
        <v>11235</v>
      </c>
      <c r="F19">
        <v>11</v>
      </c>
      <c r="G19">
        <v>2900</v>
      </c>
      <c r="H19" t="s">
        <v>463</v>
      </c>
      <c r="I19" s="23">
        <v>2225.04</v>
      </c>
      <c r="J19" s="185">
        <v>46139</v>
      </c>
      <c r="K19" s="185">
        <v>46139</v>
      </c>
      <c r="L19" s="185">
        <v>46167</v>
      </c>
      <c r="M19" s="185">
        <v>46161</v>
      </c>
      <c r="N19"/>
      <c r="O19">
        <v>1010100</v>
      </c>
      <c r="P19" t="s">
        <v>29</v>
      </c>
      <c r="Q19">
        <v>200000100</v>
      </c>
      <c r="R19" t="s">
        <v>15322</v>
      </c>
      <c r="S19"/>
      <c r="T19" t="s">
        <v>15323</v>
      </c>
      <c r="U19" t="s">
        <v>6311</v>
      </c>
      <c r="V19" s="23">
        <v>0</v>
      </c>
      <c r="W19" s="23">
        <v>0</v>
      </c>
      <c r="X19" s="23">
        <v>0</v>
      </c>
      <c r="Y19"/>
      <c r="Z19">
        <v>1246272845</v>
      </c>
      <c r="AA19"/>
      <c r="AB19" t="s">
        <v>1186</v>
      </c>
      <c r="AC19">
        <v>102</v>
      </c>
      <c r="AD19">
        <v>4</v>
      </c>
      <c r="AE19" t="s">
        <v>15324</v>
      </c>
      <c r="AF19"/>
      <c r="AG19" s="23"/>
      <c r="AH19" s="265" t="str">
        <f>_xlfn.XLOOKUP(G19,Clientes!I:I,Clientes!F:F)</f>
        <v>BIOSAFRA - MARUIM</v>
      </c>
    </row>
    <row r="20" spans="1:34" x14ac:dyDescent="0.25">
      <c r="A20">
        <v>161</v>
      </c>
      <c r="B20" t="s">
        <v>145</v>
      </c>
      <c r="C20"/>
      <c r="D20" s="23">
        <v>2225.04</v>
      </c>
      <c r="E20">
        <v>11235</v>
      </c>
      <c r="F20">
        <v>11</v>
      </c>
      <c r="G20">
        <v>2900</v>
      </c>
      <c r="H20" t="s">
        <v>463</v>
      </c>
      <c r="I20" s="23">
        <v>2225.04</v>
      </c>
      <c r="J20" s="185">
        <v>46139</v>
      </c>
      <c r="K20" s="185">
        <v>46139</v>
      </c>
      <c r="L20" s="185">
        <v>46195</v>
      </c>
      <c r="M20" s="185">
        <v>46189</v>
      </c>
      <c r="N20"/>
      <c r="O20">
        <v>1010100</v>
      </c>
      <c r="P20" t="s">
        <v>29</v>
      </c>
      <c r="Q20">
        <v>200000100</v>
      </c>
      <c r="R20" t="s">
        <v>15322</v>
      </c>
      <c r="S20"/>
      <c r="T20" t="s">
        <v>15323</v>
      </c>
      <c r="U20" t="s">
        <v>6311</v>
      </c>
      <c r="V20" s="23">
        <v>0</v>
      </c>
      <c r="W20" s="23">
        <v>0</v>
      </c>
      <c r="X20" s="23">
        <v>0</v>
      </c>
      <c r="Y20"/>
      <c r="Z20">
        <v>1246272846</v>
      </c>
      <c r="AA20"/>
      <c r="AB20" t="s">
        <v>1186</v>
      </c>
      <c r="AC20">
        <v>102</v>
      </c>
      <c r="AD20">
        <v>4</v>
      </c>
      <c r="AE20" t="s">
        <v>15324</v>
      </c>
      <c r="AF20"/>
      <c r="AG20" s="23"/>
      <c r="AH20" s="265" t="str">
        <f>_xlfn.XLOOKUP(G20,Clientes!I:I,Clientes!F:F)</f>
        <v>BIOSAFRA - MARUIM</v>
      </c>
    </row>
    <row r="21" spans="1:34" x14ac:dyDescent="0.25">
      <c r="A21">
        <v>199</v>
      </c>
      <c r="B21" t="s">
        <v>738</v>
      </c>
      <c r="C21"/>
      <c r="D21" s="23">
        <v>2340</v>
      </c>
      <c r="E21">
        <v>2825</v>
      </c>
      <c r="F21">
        <v>13</v>
      </c>
      <c r="G21">
        <v>2</v>
      </c>
      <c r="H21" t="s">
        <v>28</v>
      </c>
      <c r="I21" s="23">
        <v>2340</v>
      </c>
      <c r="J21" s="185">
        <v>46099</v>
      </c>
      <c r="K21" s="185">
        <v>46099</v>
      </c>
      <c r="L21" s="185">
        <v>46127</v>
      </c>
      <c r="M21" s="185">
        <v>46113</v>
      </c>
      <c r="N21"/>
      <c r="O21">
        <v>1010100</v>
      </c>
      <c r="P21" t="s">
        <v>29</v>
      </c>
      <c r="Q21">
        <v>200000300</v>
      </c>
      <c r="R21" t="s">
        <v>15383</v>
      </c>
      <c r="S21"/>
      <c r="T21" t="s">
        <v>15323</v>
      </c>
      <c r="U21" t="s">
        <v>1199</v>
      </c>
      <c r="V21" s="23">
        <v>0</v>
      </c>
      <c r="W21" s="23">
        <v>0</v>
      </c>
      <c r="X21" s="23">
        <v>0</v>
      </c>
      <c r="Y21"/>
      <c r="Z21">
        <v>1246268280</v>
      </c>
      <c r="AA21"/>
      <c r="AB21" t="s">
        <v>1199</v>
      </c>
      <c r="AC21">
        <v>102</v>
      </c>
      <c r="AD21">
        <v>4</v>
      </c>
      <c r="AE21" t="s">
        <v>15324</v>
      </c>
      <c r="AF21"/>
      <c r="AG21" s="23"/>
      <c r="AH21" s="265" t="str">
        <f>_xlfn.XLOOKUP(G21,Clientes!I:I,Clientes!F:F)</f>
        <v>GRUPO CARGILL</v>
      </c>
    </row>
    <row r="22" spans="1:34" x14ac:dyDescent="0.25">
      <c r="A22">
        <v>161</v>
      </c>
      <c r="B22" t="s">
        <v>145</v>
      </c>
      <c r="C22"/>
      <c r="D22" s="23">
        <v>2445.4499999999998</v>
      </c>
      <c r="E22">
        <v>11240</v>
      </c>
      <c r="F22">
        <v>11</v>
      </c>
      <c r="G22">
        <v>1159</v>
      </c>
      <c r="H22" t="s">
        <v>50</v>
      </c>
      <c r="I22" s="23">
        <v>2445.4499999999998</v>
      </c>
      <c r="J22" s="185">
        <v>46140</v>
      </c>
      <c r="K22" s="185">
        <v>46140</v>
      </c>
      <c r="L22" s="185">
        <v>46180</v>
      </c>
      <c r="M22" s="185">
        <v>46181</v>
      </c>
      <c r="N22"/>
      <c r="O22">
        <v>1010100</v>
      </c>
      <c r="P22" t="s">
        <v>29</v>
      </c>
      <c r="Q22">
        <v>200000100</v>
      </c>
      <c r="R22" t="s">
        <v>15322</v>
      </c>
      <c r="S22"/>
      <c r="T22" t="s">
        <v>15323</v>
      </c>
      <c r="U22" t="s">
        <v>2073</v>
      </c>
      <c r="V22" s="23">
        <v>0</v>
      </c>
      <c r="W22" s="23">
        <v>0</v>
      </c>
      <c r="X22" s="23">
        <v>0</v>
      </c>
      <c r="Y22"/>
      <c r="Z22">
        <v>1246272869</v>
      </c>
      <c r="AA22"/>
      <c r="AB22" t="s">
        <v>1199</v>
      </c>
      <c r="AC22">
        <v>102</v>
      </c>
      <c r="AD22">
        <v>4</v>
      </c>
      <c r="AE22" t="s">
        <v>15324</v>
      </c>
      <c r="AF22"/>
      <c r="AG22" s="23"/>
      <c r="AH22" s="265" t="str">
        <f>_xlfn.XLOOKUP(G22,Clientes!I:I,Clientes!F:F)</f>
        <v>GRUPO YARA</v>
      </c>
    </row>
    <row r="23" spans="1:34" x14ac:dyDescent="0.25">
      <c r="A23">
        <v>161</v>
      </c>
      <c r="B23" t="s">
        <v>145</v>
      </c>
      <c r="C23"/>
      <c r="D23" s="23">
        <v>2448.9899999999998</v>
      </c>
      <c r="E23">
        <v>10459</v>
      </c>
      <c r="F23">
        <v>11</v>
      </c>
      <c r="G23">
        <v>17237</v>
      </c>
      <c r="H23" t="s">
        <v>11759</v>
      </c>
      <c r="I23" s="23">
        <v>2448.9899999999998</v>
      </c>
      <c r="J23" s="185">
        <v>46034</v>
      </c>
      <c r="K23" s="185">
        <v>46034</v>
      </c>
      <c r="L23" s="185">
        <v>46034</v>
      </c>
      <c r="M23" s="185">
        <v>46034</v>
      </c>
      <c r="N23"/>
      <c r="O23">
        <v>1010100</v>
      </c>
      <c r="P23" t="s">
        <v>29</v>
      </c>
      <c r="Q23">
        <v>200000100</v>
      </c>
      <c r="R23" t="s">
        <v>15322</v>
      </c>
      <c r="S23"/>
      <c r="T23" t="s">
        <v>15323</v>
      </c>
      <c r="U23" t="s">
        <v>4468</v>
      </c>
      <c r="V23" s="23">
        <v>0</v>
      </c>
      <c r="W23" s="23">
        <v>0</v>
      </c>
      <c r="X23" s="23">
        <v>0</v>
      </c>
      <c r="Y23"/>
      <c r="Z23">
        <v>1246259138</v>
      </c>
      <c r="AA23"/>
      <c r="AB23" t="s">
        <v>1199</v>
      </c>
      <c r="AC23">
        <v>18</v>
      </c>
      <c r="AD23">
        <v>4</v>
      </c>
      <c r="AE23" t="s">
        <v>15324</v>
      </c>
      <c r="AF23"/>
      <c r="AG23" s="23"/>
      <c r="AH23" s="265" t="str">
        <f>_xlfn.XLOOKUP(G23,Clientes!I:I,Clientes!F:F)</f>
        <v>FERTIPAS - ITABERA</v>
      </c>
    </row>
    <row r="24" spans="1:34" x14ac:dyDescent="0.25">
      <c r="A24">
        <v>161</v>
      </c>
      <c r="B24" t="s">
        <v>145</v>
      </c>
      <c r="C24"/>
      <c r="D24" s="23">
        <v>2738.4</v>
      </c>
      <c r="E24">
        <v>11560</v>
      </c>
      <c r="F24">
        <v>11</v>
      </c>
      <c r="G24">
        <v>2559</v>
      </c>
      <c r="H24" t="s">
        <v>451</v>
      </c>
      <c r="I24" s="23">
        <v>2738.4</v>
      </c>
      <c r="J24" s="185">
        <v>46171</v>
      </c>
      <c r="K24" s="185">
        <v>46171</v>
      </c>
      <c r="L24" s="185">
        <v>46261</v>
      </c>
      <c r="M24" s="185">
        <v>46189</v>
      </c>
      <c r="N24"/>
      <c r="O24">
        <v>1010100</v>
      </c>
      <c r="P24" t="s">
        <v>29</v>
      </c>
      <c r="Q24">
        <v>200000100</v>
      </c>
      <c r="R24" t="s">
        <v>15322</v>
      </c>
      <c r="S24"/>
      <c r="T24" t="s">
        <v>15323</v>
      </c>
      <c r="U24" t="s">
        <v>2073</v>
      </c>
      <c r="V24" s="23">
        <v>0</v>
      </c>
      <c r="W24" s="23">
        <v>0</v>
      </c>
      <c r="X24" s="23">
        <v>0</v>
      </c>
      <c r="Y24"/>
      <c r="Z24">
        <v>1246279799</v>
      </c>
      <c r="AA24"/>
      <c r="AB24" t="s">
        <v>2073</v>
      </c>
      <c r="AC24">
        <v>102</v>
      </c>
      <c r="AD24">
        <v>4</v>
      </c>
      <c r="AE24" t="s">
        <v>15324</v>
      </c>
      <c r="AF24"/>
      <c r="AG24" s="23"/>
      <c r="AH24" s="265" t="str">
        <f>_xlfn.XLOOKUP(G24,Clientes!I:I,Clientes!F:F)</f>
        <v>GRUPO MOSAIC FERTILIZANTES DO BRASIL</v>
      </c>
    </row>
    <row r="25" spans="1:34" x14ac:dyDescent="0.25">
      <c r="A25">
        <v>40</v>
      </c>
      <c r="B25" t="s">
        <v>155</v>
      </c>
      <c r="C25"/>
      <c r="D25" s="23">
        <v>2862.08</v>
      </c>
      <c r="E25">
        <v>10489</v>
      </c>
      <c r="F25">
        <v>11</v>
      </c>
      <c r="G25">
        <v>13330</v>
      </c>
      <c r="H25" t="s">
        <v>579</v>
      </c>
      <c r="I25" s="23">
        <v>2862.08</v>
      </c>
      <c r="J25" s="185">
        <v>46036</v>
      </c>
      <c r="K25" s="185">
        <v>46036</v>
      </c>
      <c r="L25" s="185">
        <v>46066</v>
      </c>
      <c r="M25" s="185">
        <v>46094</v>
      </c>
      <c r="N25"/>
      <c r="O25">
        <v>1010200</v>
      </c>
      <c r="P25" t="s">
        <v>113</v>
      </c>
      <c r="Q25">
        <v>200000100</v>
      </c>
      <c r="R25" t="s">
        <v>15322</v>
      </c>
      <c r="S25"/>
      <c r="T25" t="s">
        <v>15323</v>
      </c>
      <c r="U25" t="s">
        <v>1199</v>
      </c>
      <c r="V25" s="23">
        <v>0</v>
      </c>
      <c r="W25" s="23">
        <v>0</v>
      </c>
      <c r="X25" s="23">
        <v>0</v>
      </c>
      <c r="Y25"/>
      <c r="Z25">
        <v>1246264223</v>
      </c>
      <c r="AA25"/>
      <c r="AB25" t="s">
        <v>1199</v>
      </c>
      <c r="AC25">
        <v>125</v>
      </c>
      <c r="AD25">
        <v>4</v>
      </c>
      <c r="AE25" t="s">
        <v>15324</v>
      </c>
      <c r="AF25" t="s">
        <v>15329</v>
      </c>
      <c r="AG25" s="23">
        <v>532.4</v>
      </c>
      <c r="AH25" s="265" t="str">
        <f>_xlfn.XLOOKUP(G25,Clientes!I:I,Clientes!F:F)</f>
        <v>ORGANITEC - PARAGUAY</v>
      </c>
    </row>
    <row r="26" spans="1:34" x14ac:dyDescent="0.25">
      <c r="A26">
        <v>161</v>
      </c>
      <c r="B26" t="s">
        <v>145</v>
      </c>
      <c r="C26"/>
      <c r="D26" s="23">
        <v>3110.4</v>
      </c>
      <c r="E26">
        <v>10714</v>
      </c>
      <c r="F26">
        <v>11</v>
      </c>
      <c r="G26">
        <v>1787</v>
      </c>
      <c r="H26" t="s">
        <v>57</v>
      </c>
      <c r="I26" s="23">
        <v>3110.4</v>
      </c>
      <c r="J26" s="185">
        <v>46071</v>
      </c>
      <c r="K26" s="185">
        <v>46071</v>
      </c>
      <c r="L26" s="185">
        <v>46161</v>
      </c>
      <c r="M26" s="185">
        <v>46076</v>
      </c>
      <c r="N26"/>
      <c r="O26">
        <v>1010100</v>
      </c>
      <c r="P26" t="s">
        <v>29</v>
      </c>
      <c r="Q26">
        <v>200000100</v>
      </c>
      <c r="R26" t="s">
        <v>15322</v>
      </c>
      <c r="S26"/>
      <c r="T26" t="s">
        <v>15323</v>
      </c>
      <c r="U26" t="s">
        <v>2073</v>
      </c>
      <c r="V26" s="23">
        <v>0</v>
      </c>
      <c r="W26" s="23">
        <v>0</v>
      </c>
      <c r="X26" s="23">
        <v>0</v>
      </c>
      <c r="Y26"/>
      <c r="Z26">
        <v>1246264494</v>
      </c>
      <c r="AA26"/>
      <c r="AB26" t="s">
        <v>2073</v>
      </c>
      <c r="AC26">
        <v>102</v>
      </c>
      <c r="AD26">
        <v>4</v>
      </c>
      <c r="AE26" t="s">
        <v>15324</v>
      </c>
      <c r="AF26"/>
      <c r="AG26" s="23"/>
      <c r="AH26" s="265" t="str">
        <f>_xlfn.XLOOKUP(G26,Clientes!I:I,Clientes!F:F)</f>
        <v>GRUPO MOSAIC FERTILIZANTES P K LTDA</v>
      </c>
    </row>
    <row r="27" spans="1:34" x14ac:dyDescent="0.25">
      <c r="A27">
        <v>161</v>
      </c>
      <c r="B27" t="s">
        <v>145</v>
      </c>
      <c r="C27"/>
      <c r="D27" s="23">
        <v>3824.64</v>
      </c>
      <c r="E27">
        <v>11054</v>
      </c>
      <c r="F27">
        <v>11</v>
      </c>
      <c r="G27">
        <v>13773</v>
      </c>
      <c r="H27" t="s">
        <v>428</v>
      </c>
      <c r="I27" s="23">
        <v>3824.64</v>
      </c>
      <c r="J27" s="185">
        <v>46118</v>
      </c>
      <c r="K27" s="185">
        <v>46118</v>
      </c>
      <c r="L27" s="185">
        <v>46125</v>
      </c>
      <c r="M27" s="185">
        <v>46125</v>
      </c>
      <c r="N27"/>
      <c r="O27">
        <v>1010100</v>
      </c>
      <c r="P27" t="s">
        <v>29</v>
      </c>
      <c r="Q27">
        <v>200000200</v>
      </c>
      <c r="R27" t="s">
        <v>15377</v>
      </c>
      <c r="S27"/>
      <c r="T27" t="s">
        <v>15323</v>
      </c>
      <c r="U27" t="s">
        <v>6311</v>
      </c>
      <c r="V27" s="23">
        <v>0</v>
      </c>
      <c r="W27" s="23">
        <v>0</v>
      </c>
      <c r="X27" s="23">
        <v>0</v>
      </c>
      <c r="Y27"/>
      <c r="Z27">
        <v>1246270365</v>
      </c>
      <c r="AA27"/>
      <c r="AB27" t="s">
        <v>1186</v>
      </c>
      <c r="AC27">
        <v>102</v>
      </c>
      <c r="AD27">
        <v>4</v>
      </c>
      <c r="AE27" t="s">
        <v>15324</v>
      </c>
      <c r="AF27"/>
      <c r="AG27" s="23"/>
      <c r="AH27" s="265" t="str">
        <f>_xlfn.XLOOKUP(G27,Clientes!I:I,Clientes!F:F)</f>
        <v>FERTLIZE AGRO</v>
      </c>
    </row>
    <row r="28" spans="1:34" x14ac:dyDescent="0.25">
      <c r="A28">
        <v>161</v>
      </c>
      <c r="B28" t="s">
        <v>145</v>
      </c>
      <c r="C28"/>
      <c r="D28" s="23">
        <v>4190</v>
      </c>
      <c r="E28">
        <v>11681</v>
      </c>
      <c r="F28">
        <v>11</v>
      </c>
      <c r="G28">
        <v>15361</v>
      </c>
      <c r="H28" t="s">
        <v>588</v>
      </c>
      <c r="I28" s="23">
        <v>4190</v>
      </c>
      <c r="J28" s="185">
        <v>46184</v>
      </c>
      <c r="K28" s="185">
        <v>46184</v>
      </c>
      <c r="L28" s="185">
        <v>46194</v>
      </c>
      <c r="M28" s="185">
        <v>46195</v>
      </c>
      <c r="N28"/>
      <c r="O28">
        <v>1010100</v>
      </c>
      <c r="P28" t="s">
        <v>29</v>
      </c>
      <c r="Q28">
        <v>200000100</v>
      </c>
      <c r="R28" t="s">
        <v>15322</v>
      </c>
      <c r="S28"/>
      <c r="T28" t="s">
        <v>15323</v>
      </c>
      <c r="U28" t="s">
        <v>6311</v>
      </c>
      <c r="V28" s="23">
        <v>0</v>
      </c>
      <c r="W28" s="23">
        <v>0</v>
      </c>
      <c r="X28" s="23">
        <v>0</v>
      </c>
      <c r="Y28"/>
      <c r="Z28">
        <v>1246279209</v>
      </c>
      <c r="AA28"/>
      <c r="AB28" t="s">
        <v>1186</v>
      </c>
      <c r="AC28">
        <v>102</v>
      </c>
      <c r="AD28">
        <v>4</v>
      </c>
      <c r="AE28" t="s">
        <v>15324</v>
      </c>
      <c r="AF28"/>
      <c r="AG28" s="23"/>
      <c r="AH28" s="265" t="str">
        <f>_xlfn.XLOOKUP(G28,Clientes!I:I,Clientes!F:F)</f>
        <v>SEIVAL AGROBUSINESS</v>
      </c>
    </row>
    <row r="29" spans="1:34" x14ac:dyDescent="0.25">
      <c r="A29">
        <v>199</v>
      </c>
      <c r="B29" t="s">
        <v>738</v>
      </c>
      <c r="C29"/>
      <c r="D29" s="23">
        <v>4524.75</v>
      </c>
      <c r="E29">
        <v>2775</v>
      </c>
      <c r="F29">
        <v>13</v>
      </c>
      <c r="G29">
        <v>2</v>
      </c>
      <c r="H29" t="s">
        <v>28</v>
      </c>
      <c r="I29" s="23">
        <v>4524.75</v>
      </c>
      <c r="J29" s="185">
        <v>46078</v>
      </c>
      <c r="K29" s="185">
        <v>46078</v>
      </c>
      <c r="L29" s="185">
        <v>46106</v>
      </c>
      <c r="M29" s="185">
        <v>46083</v>
      </c>
      <c r="N29"/>
      <c r="O29">
        <v>1010100</v>
      </c>
      <c r="P29" t="s">
        <v>29</v>
      </c>
      <c r="Q29">
        <v>200000300</v>
      </c>
      <c r="R29" t="s">
        <v>15383</v>
      </c>
      <c r="S29"/>
      <c r="T29" t="s">
        <v>15323</v>
      </c>
      <c r="U29" t="s">
        <v>1964</v>
      </c>
      <c r="V29" s="23">
        <v>0</v>
      </c>
      <c r="W29" s="23">
        <v>0</v>
      </c>
      <c r="X29" s="23">
        <v>0</v>
      </c>
      <c r="Y29"/>
      <c r="Z29">
        <v>1246265101</v>
      </c>
      <c r="AA29"/>
      <c r="AB29" t="s">
        <v>1199</v>
      </c>
      <c r="AC29">
        <v>102</v>
      </c>
      <c r="AD29">
        <v>4</v>
      </c>
      <c r="AE29" t="s">
        <v>15324</v>
      </c>
      <c r="AF29"/>
      <c r="AG29" s="23"/>
      <c r="AH29" s="265" t="str">
        <f>_xlfn.XLOOKUP(G29,Clientes!I:I,Clientes!F:F)</f>
        <v>GRUPO CARGILL</v>
      </c>
    </row>
    <row r="30" spans="1:34" x14ac:dyDescent="0.25">
      <c r="A30">
        <v>161</v>
      </c>
      <c r="B30" t="s">
        <v>145</v>
      </c>
      <c r="C30"/>
      <c r="D30" s="23">
        <v>5540</v>
      </c>
      <c r="E30">
        <v>10541</v>
      </c>
      <c r="F30">
        <v>11</v>
      </c>
      <c r="G30">
        <v>16042</v>
      </c>
      <c r="H30" t="s">
        <v>485</v>
      </c>
      <c r="I30" s="23">
        <v>5540</v>
      </c>
      <c r="J30" s="185">
        <v>46044</v>
      </c>
      <c r="K30" s="185">
        <v>46044</v>
      </c>
      <c r="L30" s="185">
        <v>46059</v>
      </c>
      <c r="M30" s="185">
        <v>46059</v>
      </c>
      <c r="N30"/>
      <c r="O30">
        <v>1010100</v>
      </c>
      <c r="P30" t="s">
        <v>29</v>
      </c>
      <c r="Q30">
        <v>200000100</v>
      </c>
      <c r="R30" t="s">
        <v>15322</v>
      </c>
      <c r="S30"/>
      <c r="T30" t="s">
        <v>15323</v>
      </c>
      <c r="U30" t="s">
        <v>6311</v>
      </c>
      <c r="V30" s="23">
        <v>0</v>
      </c>
      <c r="W30" s="23">
        <v>0</v>
      </c>
      <c r="X30" s="23">
        <v>0</v>
      </c>
      <c r="Y30"/>
      <c r="Z30">
        <v>1246260378</v>
      </c>
      <c r="AA30"/>
      <c r="AB30" t="s">
        <v>1186</v>
      </c>
      <c r="AC30">
        <v>102</v>
      </c>
      <c r="AD30">
        <v>4</v>
      </c>
      <c r="AE30" t="s">
        <v>15324</v>
      </c>
      <c r="AF30"/>
      <c r="AG30" s="23"/>
      <c r="AH30" s="265" t="str">
        <f>_xlfn.XLOOKUP(G30,Clientes!I:I,Clientes!F:F)</f>
        <v>NUTRION AGRONUTRIENTES LTDA.</v>
      </c>
    </row>
    <row r="31" spans="1:34" x14ac:dyDescent="0.25">
      <c r="A31">
        <v>161</v>
      </c>
      <c r="B31" t="s">
        <v>145</v>
      </c>
      <c r="C31"/>
      <c r="D31" s="23">
        <v>5790</v>
      </c>
      <c r="E31">
        <v>10423</v>
      </c>
      <c r="F31">
        <v>11</v>
      </c>
      <c r="G31">
        <v>341</v>
      </c>
      <c r="H31" t="s">
        <v>422</v>
      </c>
      <c r="I31" s="23">
        <v>5790</v>
      </c>
      <c r="J31" s="185">
        <v>46027</v>
      </c>
      <c r="K31" s="185">
        <v>46027</v>
      </c>
      <c r="L31" s="185">
        <v>46041</v>
      </c>
      <c r="M31" s="185">
        <v>46041</v>
      </c>
      <c r="N31"/>
      <c r="O31">
        <v>1010100</v>
      </c>
      <c r="P31" t="s">
        <v>29</v>
      </c>
      <c r="Q31">
        <v>200000100</v>
      </c>
      <c r="R31" t="s">
        <v>15322</v>
      </c>
      <c r="S31"/>
      <c r="T31" t="s">
        <v>15323</v>
      </c>
      <c r="U31" t="s">
        <v>6311</v>
      </c>
      <c r="V31" s="23">
        <v>0</v>
      </c>
      <c r="W31" s="23">
        <v>0</v>
      </c>
      <c r="X31" s="23">
        <v>0</v>
      </c>
      <c r="Y31"/>
      <c r="Z31">
        <v>1246258327</v>
      </c>
      <c r="AA31"/>
      <c r="AB31" t="s">
        <v>1186</v>
      </c>
      <c r="AC31">
        <v>102</v>
      </c>
      <c r="AD31">
        <v>4</v>
      </c>
      <c r="AE31" t="s">
        <v>15324</v>
      </c>
      <c r="AF31"/>
      <c r="AG31" s="23"/>
      <c r="AH31" s="265" t="str">
        <f>_xlfn.XLOOKUP(G31,Clientes!I:I,Clientes!F:F)</f>
        <v>ADUBOS PARANAIBA - UBERLANDIA</v>
      </c>
    </row>
    <row r="32" spans="1:34" x14ac:dyDescent="0.25">
      <c r="A32">
        <v>161</v>
      </c>
      <c r="B32" t="s">
        <v>145</v>
      </c>
      <c r="C32"/>
      <c r="D32" s="23">
        <v>5790</v>
      </c>
      <c r="E32">
        <v>10831</v>
      </c>
      <c r="F32">
        <v>11</v>
      </c>
      <c r="G32">
        <v>341</v>
      </c>
      <c r="H32" t="s">
        <v>422</v>
      </c>
      <c r="I32" s="23">
        <v>5790</v>
      </c>
      <c r="J32" s="185">
        <v>46087</v>
      </c>
      <c r="K32" s="185">
        <v>46087</v>
      </c>
      <c r="L32" s="185">
        <v>46101</v>
      </c>
      <c r="M32" s="185">
        <v>46101</v>
      </c>
      <c r="N32"/>
      <c r="O32">
        <v>1010100</v>
      </c>
      <c r="P32" t="s">
        <v>29</v>
      </c>
      <c r="Q32">
        <v>200000100</v>
      </c>
      <c r="R32" t="s">
        <v>15322</v>
      </c>
      <c r="S32"/>
      <c r="T32" t="s">
        <v>15323</v>
      </c>
      <c r="U32" t="s">
        <v>6311</v>
      </c>
      <c r="V32" s="23">
        <v>0</v>
      </c>
      <c r="W32" s="23">
        <v>0</v>
      </c>
      <c r="X32" s="23">
        <v>0</v>
      </c>
      <c r="Y32"/>
      <c r="Z32">
        <v>1246266883</v>
      </c>
      <c r="AA32"/>
      <c r="AB32" t="s">
        <v>1186</v>
      </c>
      <c r="AC32">
        <v>102</v>
      </c>
      <c r="AD32">
        <v>4</v>
      </c>
      <c r="AE32" t="s">
        <v>15324</v>
      </c>
      <c r="AF32"/>
      <c r="AG32" s="23"/>
      <c r="AH32" s="265" t="str">
        <f>_xlfn.XLOOKUP(G32,Clientes!I:I,Clientes!F:F)</f>
        <v>ADUBOS PARANAIBA - UBERLANDIA</v>
      </c>
    </row>
    <row r="33" spans="1:34" x14ac:dyDescent="0.25">
      <c r="A33">
        <v>161</v>
      </c>
      <c r="B33" t="s">
        <v>145</v>
      </c>
      <c r="C33"/>
      <c r="D33" s="23">
        <v>6516</v>
      </c>
      <c r="E33">
        <v>10586</v>
      </c>
      <c r="F33">
        <v>11</v>
      </c>
      <c r="G33">
        <v>12629</v>
      </c>
      <c r="H33" t="s">
        <v>109</v>
      </c>
      <c r="I33" s="23">
        <v>6516</v>
      </c>
      <c r="J33" s="185">
        <v>46049</v>
      </c>
      <c r="K33" s="185">
        <v>46049</v>
      </c>
      <c r="L33" s="185">
        <v>46113</v>
      </c>
      <c r="M33" s="185">
        <v>46122</v>
      </c>
      <c r="N33"/>
      <c r="O33">
        <v>1010100</v>
      </c>
      <c r="P33" t="s">
        <v>29</v>
      </c>
      <c r="Q33">
        <v>200000100</v>
      </c>
      <c r="R33" t="s">
        <v>15322</v>
      </c>
      <c r="S33"/>
      <c r="T33" t="s">
        <v>15323</v>
      </c>
      <c r="U33" t="s">
        <v>1199</v>
      </c>
      <c r="V33" s="23">
        <v>0</v>
      </c>
      <c r="W33" s="23">
        <v>0</v>
      </c>
      <c r="X33" s="23">
        <v>0</v>
      </c>
      <c r="Y33"/>
      <c r="Z33">
        <v>1246265830</v>
      </c>
      <c r="AA33"/>
      <c r="AB33" t="s">
        <v>1199</v>
      </c>
      <c r="AC33">
        <v>102</v>
      </c>
      <c r="AD33">
        <v>4</v>
      </c>
      <c r="AE33" t="s">
        <v>15324</v>
      </c>
      <c r="AF33"/>
      <c r="AG33" s="23"/>
      <c r="AH33" s="265" t="str">
        <f>_xlfn.XLOOKUP(G33,Clientes!I:I,Clientes!F:F)</f>
        <v>EUROCHEM SERRA DO SALITRE</v>
      </c>
    </row>
    <row r="34" spans="1:34" x14ac:dyDescent="0.25">
      <c r="A34">
        <v>199</v>
      </c>
      <c r="B34" t="s">
        <v>738</v>
      </c>
      <c r="C34"/>
      <c r="D34" s="23">
        <v>6783.75</v>
      </c>
      <c r="E34">
        <v>2868</v>
      </c>
      <c r="F34">
        <v>13</v>
      </c>
      <c r="G34">
        <v>2</v>
      </c>
      <c r="H34" t="s">
        <v>28</v>
      </c>
      <c r="I34" s="23">
        <v>6783.75</v>
      </c>
      <c r="J34" s="185">
        <v>46121</v>
      </c>
      <c r="K34" s="185">
        <v>46121</v>
      </c>
      <c r="L34" s="185">
        <v>46149</v>
      </c>
      <c r="M34" s="185">
        <v>46126</v>
      </c>
      <c r="N34"/>
      <c r="O34">
        <v>1010100</v>
      </c>
      <c r="P34" t="s">
        <v>29</v>
      </c>
      <c r="Q34">
        <v>200000300</v>
      </c>
      <c r="R34" t="s">
        <v>15383</v>
      </c>
      <c r="S34"/>
      <c r="T34" t="s">
        <v>15323</v>
      </c>
      <c r="U34" t="s">
        <v>1964</v>
      </c>
      <c r="V34" s="23">
        <v>0</v>
      </c>
      <c r="W34" s="23">
        <v>0</v>
      </c>
      <c r="X34" s="23">
        <v>0</v>
      </c>
      <c r="Y34"/>
      <c r="Z34">
        <v>1246270907</v>
      </c>
      <c r="AA34"/>
      <c r="AB34" t="s">
        <v>2073</v>
      </c>
      <c r="AC34">
        <v>102</v>
      </c>
      <c r="AD34">
        <v>4</v>
      </c>
      <c r="AE34" t="s">
        <v>15324</v>
      </c>
      <c r="AF34"/>
      <c r="AG34" s="23"/>
      <c r="AH34" s="265" t="str">
        <f>_xlfn.XLOOKUP(G34,Clientes!I:I,Clientes!F:F)</f>
        <v>GRUPO CARGILL</v>
      </c>
    </row>
    <row r="35" spans="1:34" x14ac:dyDescent="0.25">
      <c r="A35">
        <v>161</v>
      </c>
      <c r="B35" t="s">
        <v>145</v>
      </c>
      <c r="C35"/>
      <c r="D35" s="23">
        <v>6853.28</v>
      </c>
      <c r="E35">
        <v>11574</v>
      </c>
      <c r="F35">
        <v>11</v>
      </c>
      <c r="G35">
        <v>13773</v>
      </c>
      <c r="H35" t="s">
        <v>428</v>
      </c>
      <c r="I35" s="23">
        <v>6853.28</v>
      </c>
      <c r="J35" s="185">
        <v>46174</v>
      </c>
      <c r="K35" s="185">
        <v>46174</v>
      </c>
      <c r="L35" s="185">
        <v>46181</v>
      </c>
      <c r="M35" s="185">
        <v>46181</v>
      </c>
      <c r="N35"/>
      <c r="O35">
        <v>1010100</v>
      </c>
      <c r="P35" t="s">
        <v>29</v>
      </c>
      <c r="Q35">
        <v>200000200</v>
      </c>
      <c r="R35" t="s">
        <v>15377</v>
      </c>
      <c r="S35"/>
      <c r="T35" t="s">
        <v>15323</v>
      </c>
      <c r="U35" t="s">
        <v>6311</v>
      </c>
      <c r="V35" s="23">
        <v>0</v>
      </c>
      <c r="W35" s="23">
        <v>0</v>
      </c>
      <c r="X35" s="23">
        <v>0</v>
      </c>
      <c r="Y35"/>
      <c r="Z35">
        <v>1246277671</v>
      </c>
      <c r="AA35"/>
      <c r="AB35" t="s">
        <v>1186</v>
      </c>
      <c r="AC35">
        <v>102</v>
      </c>
      <c r="AD35">
        <v>4</v>
      </c>
      <c r="AE35" t="s">
        <v>15324</v>
      </c>
      <c r="AF35"/>
      <c r="AG35" s="23"/>
      <c r="AH35" s="265" t="str">
        <f>_xlfn.XLOOKUP(G35,Clientes!I:I,Clientes!F:F)</f>
        <v>FERTLIZE AGRO</v>
      </c>
    </row>
    <row r="36" spans="1:34" x14ac:dyDescent="0.25">
      <c r="A36">
        <v>161</v>
      </c>
      <c r="B36" t="s">
        <v>145</v>
      </c>
      <c r="C36"/>
      <c r="D36" s="23">
        <v>6853.28</v>
      </c>
      <c r="E36">
        <v>11550</v>
      </c>
      <c r="F36">
        <v>11</v>
      </c>
      <c r="G36">
        <v>13773</v>
      </c>
      <c r="H36" t="s">
        <v>428</v>
      </c>
      <c r="I36" s="23">
        <v>6853.28</v>
      </c>
      <c r="J36" s="185">
        <v>46171</v>
      </c>
      <c r="K36" s="185">
        <v>46171</v>
      </c>
      <c r="L36" s="185">
        <v>46178</v>
      </c>
      <c r="M36" s="185">
        <v>46178</v>
      </c>
      <c r="N36"/>
      <c r="O36">
        <v>1010100</v>
      </c>
      <c r="P36" t="s">
        <v>29</v>
      </c>
      <c r="Q36">
        <v>200000200</v>
      </c>
      <c r="R36" t="s">
        <v>15377</v>
      </c>
      <c r="S36"/>
      <c r="T36" t="s">
        <v>15323</v>
      </c>
      <c r="U36" t="s">
        <v>6311</v>
      </c>
      <c r="V36" s="23">
        <v>0</v>
      </c>
      <c r="W36" s="23">
        <v>0</v>
      </c>
      <c r="X36" s="23">
        <v>0</v>
      </c>
      <c r="Y36"/>
      <c r="Z36">
        <v>1246277373</v>
      </c>
      <c r="AA36"/>
      <c r="AB36" t="s">
        <v>1186</v>
      </c>
      <c r="AC36">
        <v>102</v>
      </c>
      <c r="AD36">
        <v>4</v>
      </c>
      <c r="AE36" t="s">
        <v>15324</v>
      </c>
      <c r="AF36"/>
      <c r="AG36" s="23"/>
      <c r="AH36" s="265" t="str">
        <f>_xlfn.XLOOKUP(G36,Clientes!I:I,Clientes!F:F)</f>
        <v>FERTLIZE AGRO</v>
      </c>
    </row>
    <row r="37" spans="1:34" x14ac:dyDescent="0.25">
      <c r="A37">
        <v>56</v>
      </c>
      <c r="B37" t="s">
        <v>146</v>
      </c>
      <c r="C37"/>
      <c r="D37" s="23">
        <v>7183.4</v>
      </c>
      <c r="E37">
        <v>10552</v>
      </c>
      <c r="F37">
        <v>11</v>
      </c>
      <c r="G37">
        <v>17224</v>
      </c>
      <c r="H37" t="s">
        <v>694</v>
      </c>
      <c r="I37" s="23">
        <v>7183.4</v>
      </c>
      <c r="J37" s="185">
        <v>46044</v>
      </c>
      <c r="K37" s="185">
        <v>46044</v>
      </c>
      <c r="L37" s="185">
        <v>46121</v>
      </c>
      <c r="M37" s="185">
        <v>46050</v>
      </c>
      <c r="N37"/>
      <c r="O37">
        <v>1010100</v>
      </c>
      <c r="P37" t="s">
        <v>29</v>
      </c>
      <c r="Q37">
        <v>200000100</v>
      </c>
      <c r="R37" t="s">
        <v>15322</v>
      </c>
      <c r="S37"/>
      <c r="T37" t="s">
        <v>15323</v>
      </c>
      <c r="U37" t="s">
        <v>1199</v>
      </c>
      <c r="V37" s="23">
        <v>0</v>
      </c>
      <c r="W37" s="23">
        <v>0</v>
      </c>
      <c r="X37" s="23">
        <v>0</v>
      </c>
      <c r="Y37"/>
      <c r="Z37">
        <v>1246261546</v>
      </c>
      <c r="AA37"/>
      <c r="AB37" t="s">
        <v>1199</v>
      </c>
      <c r="AC37">
        <v>102</v>
      </c>
      <c r="AD37">
        <v>4</v>
      </c>
      <c r="AE37" t="s">
        <v>15324</v>
      </c>
      <c r="AF37"/>
      <c r="AG37" s="23"/>
      <c r="AH37" s="265" t="str">
        <f>_xlfn.XLOOKUP(G37,Clientes!I:I,Clientes!F:F)</f>
        <v>INTERBULK</v>
      </c>
    </row>
    <row r="38" spans="1:34" x14ac:dyDescent="0.25">
      <c r="A38">
        <v>161</v>
      </c>
      <c r="B38" t="s">
        <v>145</v>
      </c>
      <c r="C38"/>
      <c r="D38" s="23">
        <v>7987.2</v>
      </c>
      <c r="E38">
        <v>11279</v>
      </c>
      <c r="F38">
        <v>11</v>
      </c>
      <c r="G38">
        <v>1787</v>
      </c>
      <c r="H38" t="s">
        <v>57</v>
      </c>
      <c r="I38" s="23">
        <v>7987.2</v>
      </c>
      <c r="J38" s="185">
        <v>46146</v>
      </c>
      <c r="K38" s="185">
        <v>46146</v>
      </c>
      <c r="L38" s="185">
        <v>46236</v>
      </c>
      <c r="M38" s="185">
        <v>46169</v>
      </c>
      <c r="N38"/>
      <c r="O38">
        <v>1010100</v>
      </c>
      <c r="P38" t="s">
        <v>29</v>
      </c>
      <c r="Q38">
        <v>200000100</v>
      </c>
      <c r="R38" t="s">
        <v>15322</v>
      </c>
      <c r="S38"/>
      <c r="T38" t="s">
        <v>15323</v>
      </c>
      <c r="U38" t="s">
        <v>2073</v>
      </c>
      <c r="V38" s="23">
        <v>0</v>
      </c>
      <c r="W38" s="23">
        <v>0</v>
      </c>
      <c r="X38" s="23">
        <v>0</v>
      </c>
      <c r="Y38"/>
      <c r="Z38">
        <v>1246277066</v>
      </c>
      <c r="AA38"/>
      <c r="AB38" t="s">
        <v>2073</v>
      </c>
      <c r="AC38">
        <v>102</v>
      </c>
      <c r="AD38">
        <v>4</v>
      </c>
      <c r="AE38" t="s">
        <v>15324</v>
      </c>
      <c r="AF38"/>
      <c r="AG38" s="23"/>
      <c r="AH38" s="265" t="str">
        <f>_xlfn.XLOOKUP(G38,Clientes!I:I,Clientes!F:F)</f>
        <v>GRUPO MOSAIC FERTILIZANTES P K LTDA</v>
      </c>
    </row>
    <row r="39" spans="1:34" x14ac:dyDescent="0.25">
      <c r="A39">
        <v>161</v>
      </c>
      <c r="B39" t="s">
        <v>145</v>
      </c>
      <c r="C39"/>
      <c r="D39" s="23">
        <v>8928.75</v>
      </c>
      <c r="E39">
        <v>11240</v>
      </c>
      <c r="F39">
        <v>11</v>
      </c>
      <c r="G39">
        <v>1159</v>
      </c>
      <c r="H39" t="s">
        <v>50</v>
      </c>
      <c r="I39" s="23">
        <v>8928.75</v>
      </c>
      <c r="J39" s="185">
        <v>46140</v>
      </c>
      <c r="K39" s="185">
        <v>46140</v>
      </c>
      <c r="L39" s="185">
        <v>46180</v>
      </c>
      <c r="M39" s="185">
        <v>46148</v>
      </c>
      <c r="N39"/>
      <c r="O39">
        <v>1010100</v>
      </c>
      <c r="P39" t="s">
        <v>29</v>
      </c>
      <c r="Q39">
        <v>200000100</v>
      </c>
      <c r="R39" t="s">
        <v>15322</v>
      </c>
      <c r="S39"/>
      <c r="T39" t="s">
        <v>15323</v>
      </c>
      <c r="U39" t="s">
        <v>2073</v>
      </c>
      <c r="V39" s="23">
        <v>0</v>
      </c>
      <c r="W39" s="23">
        <v>0</v>
      </c>
      <c r="X39" s="23">
        <v>0</v>
      </c>
      <c r="Y39"/>
      <c r="Z39">
        <v>1246273695</v>
      </c>
      <c r="AA39"/>
      <c r="AB39" t="s">
        <v>2073</v>
      </c>
      <c r="AC39">
        <v>102</v>
      </c>
      <c r="AD39">
        <v>4</v>
      </c>
      <c r="AE39" t="s">
        <v>15324</v>
      </c>
      <c r="AF39"/>
      <c r="AG39" s="23"/>
      <c r="AH39" s="265" t="str">
        <f>_xlfn.XLOOKUP(G39,Clientes!I:I,Clientes!F:F)</f>
        <v>GRUPO YARA</v>
      </c>
    </row>
    <row r="40" spans="1:34" x14ac:dyDescent="0.25">
      <c r="A40">
        <v>161</v>
      </c>
      <c r="B40" t="s">
        <v>145</v>
      </c>
      <c r="C40"/>
      <c r="D40" s="23">
        <v>10112.23</v>
      </c>
      <c r="E40">
        <v>11236</v>
      </c>
      <c r="F40">
        <v>11</v>
      </c>
      <c r="G40">
        <v>2900</v>
      </c>
      <c r="H40" t="s">
        <v>463</v>
      </c>
      <c r="I40" s="23">
        <v>10112.23</v>
      </c>
      <c r="J40" s="185">
        <v>46139</v>
      </c>
      <c r="K40" s="185">
        <v>46139</v>
      </c>
      <c r="L40" s="185">
        <v>46167</v>
      </c>
      <c r="M40" s="185">
        <v>46161</v>
      </c>
      <c r="N40"/>
      <c r="O40">
        <v>1010100</v>
      </c>
      <c r="P40" t="s">
        <v>29</v>
      </c>
      <c r="Q40">
        <v>200000100</v>
      </c>
      <c r="R40" t="s">
        <v>15322</v>
      </c>
      <c r="S40"/>
      <c r="T40" t="s">
        <v>15323</v>
      </c>
      <c r="U40" t="s">
        <v>6311</v>
      </c>
      <c r="V40" s="23">
        <v>0</v>
      </c>
      <c r="W40" s="23">
        <v>0</v>
      </c>
      <c r="X40" s="23">
        <v>0</v>
      </c>
      <c r="Y40"/>
      <c r="Z40">
        <v>1246272847</v>
      </c>
      <c r="AA40"/>
      <c r="AB40" t="s">
        <v>1186</v>
      </c>
      <c r="AC40">
        <v>102</v>
      </c>
      <c r="AD40">
        <v>4</v>
      </c>
      <c r="AE40" t="s">
        <v>15324</v>
      </c>
      <c r="AF40"/>
      <c r="AG40" s="23"/>
      <c r="AH40" s="265" t="str">
        <f>_xlfn.XLOOKUP(G40,Clientes!I:I,Clientes!F:F)</f>
        <v>BIOSAFRA - MARUIM</v>
      </c>
    </row>
    <row r="41" spans="1:34" x14ac:dyDescent="0.25">
      <c r="A41">
        <v>161</v>
      </c>
      <c r="B41" t="s">
        <v>145</v>
      </c>
      <c r="C41"/>
      <c r="D41" s="23">
        <v>10112.23</v>
      </c>
      <c r="E41">
        <v>11236</v>
      </c>
      <c r="F41">
        <v>11</v>
      </c>
      <c r="G41">
        <v>2900</v>
      </c>
      <c r="H41" t="s">
        <v>463</v>
      </c>
      <c r="I41" s="23">
        <v>10112.23</v>
      </c>
      <c r="J41" s="185">
        <v>46139</v>
      </c>
      <c r="K41" s="185">
        <v>46139</v>
      </c>
      <c r="L41" s="185">
        <v>46195</v>
      </c>
      <c r="M41" s="185">
        <v>46189</v>
      </c>
      <c r="N41"/>
      <c r="O41">
        <v>1010100</v>
      </c>
      <c r="P41" t="s">
        <v>29</v>
      </c>
      <c r="Q41">
        <v>200000100</v>
      </c>
      <c r="R41" t="s">
        <v>15322</v>
      </c>
      <c r="S41"/>
      <c r="T41" t="s">
        <v>15323</v>
      </c>
      <c r="U41" t="s">
        <v>6311</v>
      </c>
      <c r="V41" s="23">
        <v>0</v>
      </c>
      <c r="W41" s="23">
        <v>0</v>
      </c>
      <c r="X41" s="23">
        <v>0</v>
      </c>
      <c r="Y41"/>
      <c r="Z41">
        <v>1246272848</v>
      </c>
      <c r="AA41"/>
      <c r="AB41" t="s">
        <v>1186</v>
      </c>
      <c r="AC41">
        <v>102</v>
      </c>
      <c r="AD41">
        <v>4</v>
      </c>
      <c r="AE41" t="s">
        <v>15324</v>
      </c>
      <c r="AF41"/>
      <c r="AG41" s="23"/>
      <c r="AH41" s="265" t="str">
        <f>_xlfn.XLOOKUP(G41,Clientes!I:I,Clientes!F:F)</f>
        <v>BIOSAFRA - MARUIM</v>
      </c>
    </row>
    <row r="42" spans="1:34" x14ac:dyDescent="0.25">
      <c r="A42">
        <v>161</v>
      </c>
      <c r="B42" t="s">
        <v>145</v>
      </c>
      <c r="C42"/>
      <c r="D42" s="23">
        <v>10915.8</v>
      </c>
      <c r="E42">
        <v>10576</v>
      </c>
      <c r="F42">
        <v>11</v>
      </c>
      <c r="G42">
        <v>6477</v>
      </c>
      <c r="H42" t="s">
        <v>87</v>
      </c>
      <c r="I42" s="23">
        <v>10915.8</v>
      </c>
      <c r="J42" s="185">
        <v>46048</v>
      </c>
      <c r="K42" s="185">
        <v>46048</v>
      </c>
      <c r="L42" s="185">
        <v>46138</v>
      </c>
      <c r="M42" s="185">
        <v>46139</v>
      </c>
      <c r="N42"/>
      <c r="O42">
        <v>1010100</v>
      </c>
      <c r="P42" t="s">
        <v>29</v>
      </c>
      <c r="Q42">
        <v>200000100</v>
      </c>
      <c r="R42" t="s">
        <v>15322</v>
      </c>
      <c r="S42"/>
      <c r="T42" t="s">
        <v>15323</v>
      </c>
      <c r="U42" t="s">
        <v>1964</v>
      </c>
      <c r="V42" s="23">
        <v>0</v>
      </c>
      <c r="W42" s="23">
        <v>0</v>
      </c>
      <c r="X42" s="23">
        <v>0</v>
      </c>
      <c r="Y42"/>
      <c r="Z42">
        <v>1246261047</v>
      </c>
      <c r="AA42"/>
      <c r="AB42" t="s">
        <v>1199</v>
      </c>
      <c r="AC42">
        <v>102</v>
      </c>
      <c r="AD42">
        <v>4</v>
      </c>
      <c r="AE42" t="s">
        <v>15324</v>
      </c>
      <c r="AF42"/>
      <c r="AG42" s="23"/>
      <c r="AH42" s="265" t="str">
        <f>_xlfn.XLOOKUP(G42,Clientes!I:I,Clientes!F:F)</f>
        <v>GRUPO MOSAIC FERTILIZANTES DO BRASIL</v>
      </c>
    </row>
    <row r="43" spans="1:34" x14ac:dyDescent="0.25">
      <c r="A43">
        <v>161</v>
      </c>
      <c r="B43" t="s">
        <v>145</v>
      </c>
      <c r="C43"/>
      <c r="D43" s="23">
        <v>11160</v>
      </c>
      <c r="E43">
        <v>10927</v>
      </c>
      <c r="F43">
        <v>11</v>
      </c>
      <c r="G43">
        <v>11637</v>
      </c>
      <c r="H43" t="s">
        <v>625</v>
      </c>
      <c r="I43" s="23">
        <v>11160</v>
      </c>
      <c r="J43" s="185">
        <v>46100</v>
      </c>
      <c r="K43" s="185">
        <v>46100</v>
      </c>
      <c r="L43" s="185">
        <v>46128</v>
      </c>
      <c r="M43" s="185">
        <v>46127</v>
      </c>
      <c r="N43"/>
      <c r="O43">
        <v>1010100</v>
      </c>
      <c r="P43" t="s">
        <v>29</v>
      </c>
      <c r="Q43">
        <v>200000100</v>
      </c>
      <c r="R43" t="s">
        <v>15322</v>
      </c>
      <c r="S43"/>
      <c r="T43" t="s">
        <v>15323</v>
      </c>
      <c r="U43" t="s">
        <v>6311</v>
      </c>
      <c r="V43" s="23">
        <v>0</v>
      </c>
      <c r="W43" s="23">
        <v>0</v>
      </c>
      <c r="X43" s="23">
        <v>0</v>
      </c>
      <c r="Y43"/>
      <c r="Z43">
        <v>1246268383</v>
      </c>
      <c r="AA43"/>
      <c r="AB43" t="s">
        <v>1186</v>
      </c>
      <c r="AC43">
        <v>102</v>
      </c>
      <c r="AD43">
        <v>4</v>
      </c>
      <c r="AE43" t="s">
        <v>15324</v>
      </c>
      <c r="AF43"/>
      <c r="AG43" s="23"/>
      <c r="AH43" s="265" t="str">
        <f>_xlfn.XLOOKUP(G43,Clientes!I:I,Clientes!F:F)</f>
        <v>AGROPECUARIA MARATA LTDA - MARUIM</v>
      </c>
    </row>
    <row r="44" spans="1:34" x14ac:dyDescent="0.25">
      <c r="A44">
        <v>161</v>
      </c>
      <c r="B44" t="s">
        <v>145</v>
      </c>
      <c r="C44"/>
      <c r="D44" s="23">
        <v>11278.17</v>
      </c>
      <c r="E44">
        <v>10842</v>
      </c>
      <c r="F44">
        <v>11</v>
      </c>
      <c r="G44">
        <v>17497</v>
      </c>
      <c r="H44" t="s">
        <v>723</v>
      </c>
      <c r="I44" s="23">
        <v>11278.17</v>
      </c>
      <c r="J44" s="185">
        <v>46090</v>
      </c>
      <c r="K44" s="185">
        <v>46090</v>
      </c>
      <c r="L44" s="185">
        <v>46120</v>
      </c>
      <c r="M44" s="185">
        <v>46118</v>
      </c>
      <c r="N44"/>
      <c r="O44">
        <v>1010100</v>
      </c>
      <c r="P44" t="s">
        <v>29</v>
      </c>
      <c r="Q44">
        <v>200000200</v>
      </c>
      <c r="R44" t="s">
        <v>15377</v>
      </c>
      <c r="S44"/>
      <c r="T44" t="s">
        <v>15323</v>
      </c>
      <c r="U44" t="s">
        <v>6311</v>
      </c>
      <c r="V44" s="23">
        <v>0</v>
      </c>
      <c r="W44" s="23">
        <v>0</v>
      </c>
      <c r="X44" s="23">
        <v>0</v>
      </c>
      <c r="Y44"/>
      <c r="Z44">
        <v>1246267007</v>
      </c>
      <c r="AA44"/>
      <c r="AB44" t="s">
        <v>1186</v>
      </c>
      <c r="AC44">
        <v>102</v>
      </c>
      <c r="AD44">
        <v>4</v>
      </c>
      <c r="AE44" t="s">
        <v>15324</v>
      </c>
      <c r="AF44"/>
      <c r="AG44" s="23"/>
      <c r="AH44" s="265" t="str">
        <f>_xlfn.XLOOKUP(G44,Clientes!I:I,Clientes!F:F)</f>
        <v>ABSOLUTA AGRO</v>
      </c>
    </row>
    <row r="45" spans="1:34" x14ac:dyDescent="0.25">
      <c r="A45">
        <v>161</v>
      </c>
      <c r="B45" t="s">
        <v>145</v>
      </c>
      <c r="C45"/>
      <c r="D45" s="23">
        <v>11579.55</v>
      </c>
      <c r="E45">
        <v>2896</v>
      </c>
      <c r="F45">
        <v>13</v>
      </c>
      <c r="G45">
        <v>2247</v>
      </c>
      <c r="H45" t="s">
        <v>425</v>
      </c>
      <c r="I45" s="23">
        <v>12189</v>
      </c>
      <c r="J45" s="185">
        <v>46139</v>
      </c>
      <c r="K45" s="185">
        <v>46139</v>
      </c>
      <c r="L45" s="185">
        <v>46195</v>
      </c>
      <c r="M45" s="185">
        <v>46162</v>
      </c>
      <c r="N45"/>
      <c r="O45">
        <v>1010100</v>
      </c>
      <c r="P45" t="s">
        <v>29</v>
      </c>
      <c r="Q45">
        <v>200000100</v>
      </c>
      <c r="R45" t="s">
        <v>15322</v>
      </c>
      <c r="S45"/>
      <c r="T45" t="s">
        <v>15323</v>
      </c>
      <c r="U45" t="s">
        <v>1199</v>
      </c>
      <c r="V45" s="23">
        <v>0</v>
      </c>
      <c r="W45" s="23">
        <v>0</v>
      </c>
      <c r="X45" s="23">
        <v>609.45000000000005</v>
      </c>
      <c r="Y45" t="s">
        <v>15470</v>
      </c>
      <c r="Z45">
        <v>1246272760</v>
      </c>
      <c r="AA45"/>
      <c r="AB45" t="s">
        <v>1199</v>
      </c>
      <c r="AC45">
        <v>103</v>
      </c>
      <c r="AD45">
        <v>4</v>
      </c>
      <c r="AE45" t="s">
        <v>15324</v>
      </c>
      <c r="AF45"/>
      <c r="AG45" s="23"/>
      <c r="AH45" s="265" t="str">
        <f>_xlfn.XLOOKUP(G45,Clientes!I:I,Clientes!F:F)</f>
        <v>ADUBOS LEAO - LARANJEIRAS</v>
      </c>
    </row>
    <row r="46" spans="1:34" x14ac:dyDescent="0.25">
      <c r="A46">
        <v>161</v>
      </c>
      <c r="B46" t="s">
        <v>145</v>
      </c>
      <c r="C46"/>
      <c r="D46" s="23">
        <v>12189</v>
      </c>
      <c r="E46">
        <v>2896</v>
      </c>
      <c r="F46">
        <v>13</v>
      </c>
      <c r="G46">
        <v>2247</v>
      </c>
      <c r="H46" t="s">
        <v>425</v>
      </c>
      <c r="I46" s="23">
        <v>12189</v>
      </c>
      <c r="J46" s="185">
        <v>46139</v>
      </c>
      <c r="K46" s="185">
        <v>46139</v>
      </c>
      <c r="L46" s="185">
        <v>46167</v>
      </c>
      <c r="M46" s="185">
        <v>46162</v>
      </c>
      <c r="N46"/>
      <c r="O46">
        <v>1010100</v>
      </c>
      <c r="P46" t="s">
        <v>29</v>
      </c>
      <c r="Q46">
        <v>200000100</v>
      </c>
      <c r="R46" t="s">
        <v>15322</v>
      </c>
      <c r="S46"/>
      <c r="T46" t="s">
        <v>15323</v>
      </c>
      <c r="U46" t="s">
        <v>6311</v>
      </c>
      <c r="V46" s="23">
        <v>0</v>
      </c>
      <c r="W46" s="23">
        <v>0</v>
      </c>
      <c r="X46" s="23">
        <v>0</v>
      </c>
      <c r="Y46"/>
      <c r="Z46">
        <v>1246272759</v>
      </c>
      <c r="AA46"/>
      <c r="AB46" t="s">
        <v>1199</v>
      </c>
      <c r="AC46">
        <v>103</v>
      </c>
      <c r="AD46">
        <v>4</v>
      </c>
      <c r="AE46" t="s">
        <v>15324</v>
      </c>
      <c r="AF46"/>
      <c r="AG46" s="23"/>
      <c r="AH46" s="265" t="str">
        <f>_xlfn.XLOOKUP(G46,Clientes!I:I,Clientes!F:F)</f>
        <v>ADUBOS LEAO - LARANJEIRAS</v>
      </c>
    </row>
    <row r="47" spans="1:34" x14ac:dyDescent="0.25">
      <c r="A47">
        <v>161</v>
      </c>
      <c r="B47" t="s">
        <v>145</v>
      </c>
      <c r="C47"/>
      <c r="D47" s="23">
        <v>12633.6</v>
      </c>
      <c r="E47">
        <v>10957</v>
      </c>
      <c r="F47">
        <v>11</v>
      </c>
      <c r="G47">
        <v>1787</v>
      </c>
      <c r="H47" t="s">
        <v>57</v>
      </c>
      <c r="I47" s="23">
        <v>12633.6</v>
      </c>
      <c r="J47" s="185">
        <v>46104</v>
      </c>
      <c r="K47" s="185">
        <v>46104</v>
      </c>
      <c r="L47" s="185">
        <v>46194</v>
      </c>
      <c r="M47" s="185">
        <v>46112</v>
      </c>
      <c r="N47"/>
      <c r="O47">
        <v>1010100</v>
      </c>
      <c r="P47" t="s">
        <v>29</v>
      </c>
      <c r="Q47">
        <v>200000100</v>
      </c>
      <c r="R47" t="s">
        <v>15322</v>
      </c>
      <c r="S47"/>
      <c r="T47" t="s">
        <v>15323</v>
      </c>
      <c r="U47" t="s">
        <v>2073</v>
      </c>
      <c r="V47" s="23">
        <v>0</v>
      </c>
      <c r="W47" s="23">
        <v>0</v>
      </c>
      <c r="X47" s="23">
        <v>0</v>
      </c>
      <c r="Y47"/>
      <c r="Z47">
        <v>1246269746</v>
      </c>
      <c r="AA47"/>
      <c r="AB47" t="s">
        <v>2073</v>
      </c>
      <c r="AC47">
        <v>102</v>
      </c>
      <c r="AD47">
        <v>4</v>
      </c>
      <c r="AE47" t="s">
        <v>15324</v>
      </c>
      <c r="AF47"/>
      <c r="AG47" s="23"/>
      <c r="AH47" s="265" t="str">
        <f>_xlfn.XLOOKUP(G47,Clientes!I:I,Clientes!F:F)</f>
        <v>GRUPO MOSAIC FERTILIZANTES P K LTDA</v>
      </c>
    </row>
    <row r="48" spans="1:34" x14ac:dyDescent="0.25">
      <c r="A48">
        <v>199</v>
      </c>
      <c r="B48" t="s">
        <v>738</v>
      </c>
      <c r="C48"/>
      <c r="D48" s="23">
        <v>13200</v>
      </c>
      <c r="E48">
        <v>2729</v>
      </c>
      <c r="F48">
        <v>13</v>
      </c>
      <c r="G48">
        <v>2</v>
      </c>
      <c r="H48" t="s">
        <v>28</v>
      </c>
      <c r="I48" s="23">
        <v>13200</v>
      </c>
      <c r="J48" s="185">
        <v>46063</v>
      </c>
      <c r="K48" s="185">
        <v>46063</v>
      </c>
      <c r="L48" s="185">
        <v>46091</v>
      </c>
      <c r="M48" s="185">
        <v>46066</v>
      </c>
      <c r="N48"/>
      <c r="O48">
        <v>1010100</v>
      </c>
      <c r="P48" t="s">
        <v>29</v>
      </c>
      <c r="Q48">
        <v>200000300</v>
      </c>
      <c r="R48" t="s">
        <v>15383</v>
      </c>
      <c r="S48"/>
      <c r="T48" t="s">
        <v>15323</v>
      </c>
      <c r="U48" t="s">
        <v>1964</v>
      </c>
      <c r="V48" s="23">
        <v>0</v>
      </c>
      <c r="W48" s="23">
        <v>0</v>
      </c>
      <c r="X48" s="23">
        <v>0</v>
      </c>
      <c r="Y48"/>
      <c r="Z48">
        <v>1246262944</v>
      </c>
      <c r="AA48"/>
      <c r="AB48" t="s">
        <v>1199</v>
      </c>
      <c r="AC48">
        <v>102</v>
      </c>
      <c r="AD48">
        <v>4</v>
      </c>
      <c r="AE48" t="s">
        <v>15324</v>
      </c>
      <c r="AF48"/>
      <c r="AG48" s="23"/>
      <c r="AH48" s="265" t="str">
        <f>_xlfn.XLOOKUP(G48,Clientes!I:I,Clientes!F:F)</f>
        <v>GRUPO CARGILL</v>
      </c>
    </row>
    <row r="49" spans="1:34" x14ac:dyDescent="0.25">
      <c r="A49">
        <v>199</v>
      </c>
      <c r="B49" t="s">
        <v>738</v>
      </c>
      <c r="C49"/>
      <c r="D49" s="23">
        <v>13200</v>
      </c>
      <c r="E49">
        <v>2791</v>
      </c>
      <c r="F49">
        <v>13</v>
      </c>
      <c r="G49">
        <v>2</v>
      </c>
      <c r="H49" t="s">
        <v>28</v>
      </c>
      <c r="I49" s="23">
        <v>13200</v>
      </c>
      <c r="J49" s="185">
        <v>46083</v>
      </c>
      <c r="K49" s="185">
        <v>46083</v>
      </c>
      <c r="L49" s="185">
        <v>46111</v>
      </c>
      <c r="M49" s="185">
        <v>46085</v>
      </c>
      <c r="N49"/>
      <c r="O49">
        <v>1010100</v>
      </c>
      <c r="P49" t="s">
        <v>29</v>
      </c>
      <c r="Q49">
        <v>200000300</v>
      </c>
      <c r="R49" t="s">
        <v>15383</v>
      </c>
      <c r="S49"/>
      <c r="T49" t="s">
        <v>15323</v>
      </c>
      <c r="U49" t="s">
        <v>1964</v>
      </c>
      <c r="V49" s="23">
        <v>0</v>
      </c>
      <c r="W49" s="23">
        <v>0</v>
      </c>
      <c r="X49" s="23">
        <v>0</v>
      </c>
      <c r="Y49"/>
      <c r="Z49">
        <v>1246265902</v>
      </c>
      <c r="AA49"/>
      <c r="AB49" t="s">
        <v>1199</v>
      </c>
      <c r="AC49">
        <v>102</v>
      </c>
      <c r="AD49">
        <v>4</v>
      </c>
      <c r="AE49" t="s">
        <v>15324</v>
      </c>
      <c r="AF49"/>
      <c r="AG49" s="23"/>
      <c r="AH49" s="265" t="str">
        <f>_xlfn.XLOOKUP(G49,Clientes!I:I,Clientes!F:F)</f>
        <v>GRUPO CARGILL</v>
      </c>
    </row>
    <row r="50" spans="1:34" x14ac:dyDescent="0.25">
      <c r="A50">
        <v>199</v>
      </c>
      <c r="B50" t="s">
        <v>738</v>
      </c>
      <c r="C50"/>
      <c r="D50" s="23">
        <v>13211</v>
      </c>
      <c r="E50">
        <v>2653</v>
      </c>
      <c r="F50">
        <v>13</v>
      </c>
      <c r="G50">
        <v>2</v>
      </c>
      <c r="H50" t="s">
        <v>28</v>
      </c>
      <c r="I50" s="23">
        <v>13211</v>
      </c>
      <c r="J50" s="185">
        <v>46031</v>
      </c>
      <c r="K50" s="185">
        <v>46031</v>
      </c>
      <c r="L50" s="185">
        <v>46059</v>
      </c>
      <c r="M50" s="185">
        <v>46038</v>
      </c>
      <c r="N50"/>
      <c r="O50">
        <v>1010100</v>
      </c>
      <c r="P50" t="s">
        <v>29</v>
      </c>
      <c r="Q50">
        <v>200000300</v>
      </c>
      <c r="R50" t="s">
        <v>15383</v>
      </c>
      <c r="S50"/>
      <c r="T50" t="s">
        <v>15323</v>
      </c>
      <c r="U50" t="s">
        <v>1964</v>
      </c>
      <c r="V50" s="23">
        <v>0</v>
      </c>
      <c r="W50" s="23">
        <v>0</v>
      </c>
      <c r="X50" s="23">
        <v>0</v>
      </c>
      <c r="Y50"/>
      <c r="Z50">
        <v>1246259019</v>
      </c>
      <c r="AA50"/>
      <c r="AB50" t="s">
        <v>1199</v>
      </c>
      <c r="AC50">
        <v>102</v>
      </c>
      <c r="AD50">
        <v>4</v>
      </c>
      <c r="AE50" t="s">
        <v>15324</v>
      </c>
      <c r="AF50"/>
      <c r="AG50" s="23"/>
      <c r="AH50" s="265" t="str">
        <f>_xlfn.XLOOKUP(G50,Clientes!I:I,Clientes!F:F)</f>
        <v>GRUPO CARGILL</v>
      </c>
    </row>
    <row r="51" spans="1:34" x14ac:dyDescent="0.25">
      <c r="A51">
        <v>199</v>
      </c>
      <c r="B51" t="s">
        <v>738</v>
      </c>
      <c r="C51"/>
      <c r="D51" s="23">
        <v>13244</v>
      </c>
      <c r="E51">
        <v>2877</v>
      </c>
      <c r="F51">
        <v>13</v>
      </c>
      <c r="G51">
        <v>2</v>
      </c>
      <c r="H51" t="s">
        <v>28</v>
      </c>
      <c r="I51" s="23">
        <v>13244</v>
      </c>
      <c r="J51" s="185">
        <v>46129</v>
      </c>
      <c r="K51" s="185">
        <v>46129</v>
      </c>
      <c r="L51" s="185">
        <v>46157</v>
      </c>
      <c r="M51" s="185">
        <v>46139</v>
      </c>
      <c r="N51"/>
      <c r="O51">
        <v>1010100</v>
      </c>
      <c r="P51" t="s">
        <v>29</v>
      </c>
      <c r="Q51">
        <v>200000300</v>
      </c>
      <c r="R51" t="s">
        <v>15383</v>
      </c>
      <c r="S51"/>
      <c r="T51" t="s">
        <v>15323</v>
      </c>
      <c r="U51" t="s">
        <v>1964</v>
      </c>
      <c r="V51" s="23">
        <v>0</v>
      </c>
      <c r="W51" s="23">
        <v>0</v>
      </c>
      <c r="X51" s="23">
        <v>0</v>
      </c>
      <c r="Y51"/>
      <c r="Z51">
        <v>1246271680</v>
      </c>
      <c r="AA51"/>
      <c r="AB51" t="s">
        <v>1199</v>
      </c>
      <c r="AC51">
        <v>102</v>
      </c>
      <c r="AD51">
        <v>4</v>
      </c>
      <c r="AE51" t="s">
        <v>15324</v>
      </c>
      <c r="AF51"/>
      <c r="AG51" s="23"/>
      <c r="AH51" s="265" t="str">
        <f>_xlfn.XLOOKUP(G51,Clientes!I:I,Clientes!F:F)</f>
        <v>GRUPO CARGILL</v>
      </c>
    </row>
    <row r="52" spans="1:34" x14ac:dyDescent="0.25">
      <c r="A52">
        <v>199</v>
      </c>
      <c r="B52" t="s">
        <v>738</v>
      </c>
      <c r="C52"/>
      <c r="D52" s="23">
        <v>13244</v>
      </c>
      <c r="E52">
        <v>2926</v>
      </c>
      <c r="F52">
        <v>13</v>
      </c>
      <c r="G52">
        <v>2</v>
      </c>
      <c r="H52" t="s">
        <v>28</v>
      </c>
      <c r="I52" s="23">
        <v>13244</v>
      </c>
      <c r="J52" s="185">
        <v>46150</v>
      </c>
      <c r="K52" s="185">
        <v>46150</v>
      </c>
      <c r="L52" s="185">
        <v>46178</v>
      </c>
      <c r="M52" s="185">
        <v>46155</v>
      </c>
      <c r="N52"/>
      <c r="O52">
        <v>1010100</v>
      </c>
      <c r="P52" t="s">
        <v>29</v>
      </c>
      <c r="Q52">
        <v>200000300</v>
      </c>
      <c r="R52" t="s">
        <v>15383</v>
      </c>
      <c r="S52"/>
      <c r="T52" t="s">
        <v>15323</v>
      </c>
      <c r="U52" t="s">
        <v>1964</v>
      </c>
      <c r="V52" s="23">
        <v>0</v>
      </c>
      <c r="W52" s="23">
        <v>0</v>
      </c>
      <c r="X52" s="23">
        <v>0</v>
      </c>
      <c r="Y52"/>
      <c r="Z52">
        <v>1246274087</v>
      </c>
      <c r="AA52"/>
      <c r="AB52" t="s">
        <v>1199</v>
      </c>
      <c r="AC52">
        <v>102</v>
      </c>
      <c r="AD52">
        <v>4</v>
      </c>
      <c r="AE52" t="s">
        <v>15324</v>
      </c>
      <c r="AF52"/>
      <c r="AG52" s="23"/>
      <c r="AH52" s="265" t="str">
        <f>_xlfn.XLOOKUP(G52,Clientes!I:I,Clientes!F:F)</f>
        <v>GRUPO CARGILL</v>
      </c>
    </row>
    <row r="53" spans="1:34" x14ac:dyDescent="0.25">
      <c r="A53">
        <v>199</v>
      </c>
      <c r="B53" t="s">
        <v>738</v>
      </c>
      <c r="C53"/>
      <c r="D53" s="23">
        <v>13255</v>
      </c>
      <c r="E53">
        <v>2962</v>
      </c>
      <c r="F53">
        <v>13</v>
      </c>
      <c r="G53">
        <v>2</v>
      </c>
      <c r="H53" t="s">
        <v>28</v>
      </c>
      <c r="I53" s="23">
        <v>13255</v>
      </c>
      <c r="J53" s="185">
        <v>46167</v>
      </c>
      <c r="K53" s="185">
        <v>46167</v>
      </c>
      <c r="L53" s="185">
        <v>46195</v>
      </c>
      <c r="M53" s="185">
        <v>46171</v>
      </c>
      <c r="N53"/>
      <c r="O53">
        <v>1010100</v>
      </c>
      <c r="P53" t="s">
        <v>29</v>
      </c>
      <c r="Q53">
        <v>200000300</v>
      </c>
      <c r="R53" t="s">
        <v>15383</v>
      </c>
      <c r="S53"/>
      <c r="T53" t="s">
        <v>15323</v>
      </c>
      <c r="U53" t="s">
        <v>1964</v>
      </c>
      <c r="V53" s="23">
        <v>0</v>
      </c>
      <c r="W53" s="23">
        <v>0</v>
      </c>
      <c r="X53" s="23">
        <v>0</v>
      </c>
      <c r="Y53"/>
      <c r="Z53">
        <v>1246276544</v>
      </c>
      <c r="AA53"/>
      <c r="AB53" t="s">
        <v>1199</v>
      </c>
      <c r="AC53">
        <v>102</v>
      </c>
      <c r="AD53">
        <v>4</v>
      </c>
      <c r="AE53" t="s">
        <v>15324</v>
      </c>
      <c r="AF53"/>
      <c r="AG53" s="23"/>
      <c r="AH53" s="265" t="str">
        <f>_xlfn.XLOOKUP(G53,Clientes!I:I,Clientes!F:F)</f>
        <v>GRUPO CARGILL</v>
      </c>
    </row>
    <row r="54" spans="1:34" x14ac:dyDescent="0.25">
      <c r="A54">
        <v>199</v>
      </c>
      <c r="B54" t="s">
        <v>738</v>
      </c>
      <c r="C54"/>
      <c r="D54" s="23">
        <v>13277</v>
      </c>
      <c r="E54">
        <v>2806</v>
      </c>
      <c r="F54">
        <v>13</v>
      </c>
      <c r="G54">
        <v>2</v>
      </c>
      <c r="H54" t="s">
        <v>28</v>
      </c>
      <c r="I54" s="23">
        <v>13277</v>
      </c>
      <c r="J54" s="185">
        <v>46092</v>
      </c>
      <c r="K54" s="185">
        <v>46092</v>
      </c>
      <c r="L54" s="185">
        <v>46120</v>
      </c>
      <c r="M54" s="185">
        <v>46094</v>
      </c>
      <c r="N54"/>
      <c r="O54">
        <v>1010100</v>
      </c>
      <c r="P54" t="s">
        <v>29</v>
      </c>
      <c r="Q54">
        <v>200000300</v>
      </c>
      <c r="R54" t="s">
        <v>15383</v>
      </c>
      <c r="S54"/>
      <c r="T54" t="s">
        <v>15323</v>
      </c>
      <c r="U54" t="s">
        <v>1964</v>
      </c>
      <c r="V54" s="23">
        <v>0</v>
      </c>
      <c r="W54" s="23">
        <v>0</v>
      </c>
      <c r="X54" s="23">
        <v>0</v>
      </c>
      <c r="Y54"/>
      <c r="Z54">
        <v>1246267369</v>
      </c>
      <c r="AA54"/>
      <c r="AB54" t="s">
        <v>1199</v>
      </c>
      <c r="AC54">
        <v>102</v>
      </c>
      <c r="AD54">
        <v>4</v>
      </c>
      <c r="AE54" t="s">
        <v>15324</v>
      </c>
      <c r="AF54"/>
      <c r="AG54" s="23"/>
      <c r="AH54" s="265" t="str">
        <f>_xlfn.XLOOKUP(G54,Clientes!I:I,Clientes!F:F)</f>
        <v>GRUPO CARGILL</v>
      </c>
    </row>
    <row r="55" spans="1:34" x14ac:dyDescent="0.25">
      <c r="A55">
        <v>199</v>
      </c>
      <c r="B55" t="s">
        <v>738</v>
      </c>
      <c r="C55"/>
      <c r="D55" s="23">
        <v>13332</v>
      </c>
      <c r="E55">
        <v>2998</v>
      </c>
      <c r="F55">
        <v>13</v>
      </c>
      <c r="G55">
        <v>2</v>
      </c>
      <c r="H55" t="s">
        <v>28</v>
      </c>
      <c r="I55" s="23">
        <v>13332</v>
      </c>
      <c r="J55" s="185">
        <v>46178</v>
      </c>
      <c r="K55" s="185">
        <v>46178</v>
      </c>
      <c r="L55" s="185">
        <v>46206</v>
      </c>
      <c r="M55" s="185">
        <v>46184</v>
      </c>
      <c r="N55"/>
      <c r="O55">
        <v>1010100</v>
      </c>
      <c r="P55" t="s">
        <v>29</v>
      </c>
      <c r="Q55">
        <v>200000300</v>
      </c>
      <c r="R55" t="s">
        <v>15383</v>
      </c>
      <c r="S55"/>
      <c r="T55" t="s">
        <v>15323</v>
      </c>
      <c r="U55" t="s">
        <v>1199</v>
      </c>
      <c r="V55" s="23">
        <v>0</v>
      </c>
      <c r="W55" s="23">
        <v>0</v>
      </c>
      <c r="X55" s="23">
        <v>0</v>
      </c>
      <c r="Y55"/>
      <c r="Z55">
        <v>1246278307</v>
      </c>
      <c r="AA55"/>
      <c r="AB55" t="s">
        <v>1199</v>
      </c>
      <c r="AC55">
        <v>102</v>
      </c>
      <c r="AD55">
        <v>4</v>
      </c>
      <c r="AE55" t="s">
        <v>15324</v>
      </c>
      <c r="AF55"/>
      <c r="AG55" s="23"/>
      <c r="AH55" s="265" t="str">
        <f>_xlfn.XLOOKUP(G55,Clientes!I:I,Clientes!F:F)</f>
        <v>GRUPO CARGILL</v>
      </c>
    </row>
    <row r="56" spans="1:34" x14ac:dyDescent="0.25">
      <c r="A56">
        <v>199</v>
      </c>
      <c r="B56" t="s">
        <v>738</v>
      </c>
      <c r="C56"/>
      <c r="D56" s="23">
        <v>13365</v>
      </c>
      <c r="E56">
        <v>2700</v>
      </c>
      <c r="F56">
        <v>13</v>
      </c>
      <c r="G56">
        <v>2</v>
      </c>
      <c r="H56" t="s">
        <v>28</v>
      </c>
      <c r="I56" s="23">
        <v>13365</v>
      </c>
      <c r="J56" s="185">
        <v>46048</v>
      </c>
      <c r="K56" s="185">
        <v>46048</v>
      </c>
      <c r="L56" s="185">
        <v>46076</v>
      </c>
      <c r="M56" s="185">
        <v>46050</v>
      </c>
      <c r="N56"/>
      <c r="O56">
        <v>1010100</v>
      </c>
      <c r="P56" t="s">
        <v>29</v>
      </c>
      <c r="Q56">
        <v>200000300</v>
      </c>
      <c r="R56" t="s">
        <v>15383</v>
      </c>
      <c r="S56"/>
      <c r="T56" t="s">
        <v>15323</v>
      </c>
      <c r="U56" t="s">
        <v>1964</v>
      </c>
      <c r="V56" s="23">
        <v>0</v>
      </c>
      <c r="W56" s="23">
        <v>0</v>
      </c>
      <c r="X56" s="23">
        <v>0</v>
      </c>
      <c r="Y56"/>
      <c r="Z56">
        <v>1246260940</v>
      </c>
      <c r="AA56"/>
      <c r="AB56" t="s">
        <v>1199</v>
      </c>
      <c r="AC56">
        <v>102</v>
      </c>
      <c r="AD56">
        <v>4</v>
      </c>
      <c r="AE56" t="s">
        <v>15324</v>
      </c>
      <c r="AF56"/>
      <c r="AG56" s="23"/>
      <c r="AH56" s="265" t="str">
        <f>_xlfn.XLOOKUP(G56,Clientes!I:I,Clientes!F:F)</f>
        <v>GRUPO CARGILL</v>
      </c>
    </row>
    <row r="57" spans="1:34" x14ac:dyDescent="0.25">
      <c r="A57">
        <v>199</v>
      </c>
      <c r="B57" t="s">
        <v>738</v>
      </c>
      <c r="C57"/>
      <c r="D57" s="23">
        <v>13420</v>
      </c>
      <c r="E57">
        <v>2846</v>
      </c>
      <c r="F57">
        <v>13</v>
      </c>
      <c r="G57">
        <v>2</v>
      </c>
      <c r="H57" t="s">
        <v>28</v>
      </c>
      <c r="I57" s="23">
        <v>13420</v>
      </c>
      <c r="J57" s="185">
        <v>46108</v>
      </c>
      <c r="K57" s="185">
        <v>46108</v>
      </c>
      <c r="L57" s="185">
        <v>46136</v>
      </c>
      <c r="M57" s="185">
        <v>46112</v>
      </c>
      <c r="N57"/>
      <c r="O57">
        <v>1010100</v>
      </c>
      <c r="P57" t="s">
        <v>29</v>
      </c>
      <c r="Q57">
        <v>200000300</v>
      </c>
      <c r="R57" t="s">
        <v>15383</v>
      </c>
      <c r="S57"/>
      <c r="T57" t="s">
        <v>15323</v>
      </c>
      <c r="U57" t="s">
        <v>1964</v>
      </c>
      <c r="V57" s="23">
        <v>0</v>
      </c>
      <c r="W57" s="23">
        <v>0</v>
      </c>
      <c r="X57" s="23">
        <v>0</v>
      </c>
      <c r="Y57"/>
      <c r="Z57">
        <v>1246269417</v>
      </c>
      <c r="AA57"/>
      <c r="AB57" t="s">
        <v>1199</v>
      </c>
      <c r="AC57">
        <v>102</v>
      </c>
      <c r="AD57">
        <v>4</v>
      </c>
      <c r="AE57" t="s">
        <v>15324</v>
      </c>
      <c r="AF57"/>
      <c r="AG57" s="23"/>
      <c r="AH57" s="265" t="str">
        <f>_xlfn.XLOOKUP(G57,Clientes!I:I,Clientes!F:F)</f>
        <v>GRUPO CARGILL</v>
      </c>
    </row>
    <row r="58" spans="1:34" x14ac:dyDescent="0.25">
      <c r="A58">
        <v>199</v>
      </c>
      <c r="B58" t="s">
        <v>738</v>
      </c>
      <c r="C58"/>
      <c r="D58" s="23">
        <v>13431</v>
      </c>
      <c r="E58">
        <v>2898</v>
      </c>
      <c r="F58">
        <v>13</v>
      </c>
      <c r="G58">
        <v>2</v>
      </c>
      <c r="H58" t="s">
        <v>28</v>
      </c>
      <c r="I58" s="23">
        <v>13431</v>
      </c>
      <c r="J58" s="185">
        <v>46140</v>
      </c>
      <c r="K58" s="185">
        <v>46140</v>
      </c>
      <c r="L58" s="185">
        <v>46168</v>
      </c>
      <c r="M58" s="185">
        <v>46146</v>
      </c>
      <c r="N58"/>
      <c r="O58">
        <v>1010100</v>
      </c>
      <c r="P58" t="s">
        <v>29</v>
      </c>
      <c r="Q58">
        <v>200000300</v>
      </c>
      <c r="R58" t="s">
        <v>15383</v>
      </c>
      <c r="S58"/>
      <c r="T58" t="s">
        <v>15323</v>
      </c>
      <c r="U58" t="s">
        <v>1964</v>
      </c>
      <c r="V58" s="23">
        <v>0</v>
      </c>
      <c r="W58" s="23">
        <v>0</v>
      </c>
      <c r="X58" s="23">
        <v>0</v>
      </c>
      <c r="Y58"/>
      <c r="Z58">
        <v>1246272905</v>
      </c>
      <c r="AA58"/>
      <c r="AB58" t="s">
        <v>1199</v>
      </c>
      <c r="AC58">
        <v>102</v>
      </c>
      <c r="AD58">
        <v>4</v>
      </c>
      <c r="AE58" t="s">
        <v>15324</v>
      </c>
      <c r="AF58"/>
      <c r="AG58" s="23"/>
      <c r="AH58" s="265" t="str">
        <f>_xlfn.XLOOKUP(G58,Clientes!I:I,Clientes!F:F)</f>
        <v>GRUPO CARGILL</v>
      </c>
    </row>
    <row r="59" spans="1:34" x14ac:dyDescent="0.25">
      <c r="A59">
        <v>199</v>
      </c>
      <c r="B59" t="s">
        <v>738</v>
      </c>
      <c r="C59"/>
      <c r="D59" s="23">
        <v>13750</v>
      </c>
      <c r="E59">
        <v>3015</v>
      </c>
      <c r="F59">
        <v>13</v>
      </c>
      <c r="G59">
        <v>2</v>
      </c>
      <c r="H59" t="s">
        <v>28</v>
      </c>
      <c r="I59" s="23">
        <v>13750</v>
      </c>
      <c r="J59" s="185">
        <v>46189</v>
      </c>
      <c r="K59" s="185">
        <v>46189</v>
      </c>
      <c r="L59" s="185">
        <v>46217</v>
      </c>
      <c r="M59" s="185">
        <v>46192</v>
      </c>
      <c r="N59"/>
      <c r="O59">
        <v>1010100</v>
      </c>
      <c r="P59" t="s">
        <v>29</v>
      </c>
      <c r="Q59">
        <v>200000300</v>
      </c>
      <c r="R59" t="s">
        <v>15383</v>
      </c>
      <c r="S59"/>
      <c r="T59" t="s">
        <v>15323</v>
      </c>
      <c r="U59" t="s">
        <v>1964</v>
      </c>
      <c r="V59" s="23">
        <v>0</v>
      </c>
      <c r="W59" s="23">
        <v>0</v>
      </c>
      <c r="X59" s="23">
        <v>0</v>
      </c>
      <c r="Y59"/>
      <c r="Z59">
        <v>1246279670</v>
      </c>
      <c r="AA59"/>
      <c r="AB59" t="s">
        <v>1199</v>
      </c>
      <c r="AC59">
        <v>102</v>
      </c>
      <c r="AD59">
        <v>4</v>
      </c>
      <c r="AE59" t="s">
        <v>15324</v>
      </c>
      <c r="AF59"/>
      <c r="AG59" s="23"/>
      <c r="AH59" s="265" t="str">
        <f>_xlfn.XLOOKUP(G59,Clientes!I:I,Clientes!F:F)</f>
        <v>GRUPO CARGILL</v>
      </c>
    </row>
    <row r="60" spans="1:34" x14ac:dyDescent="0.25">
      <c r="A60">
        <v>199</v>
      </c>
      <c r="B60" t="s">
        <v>738</v>
      </c>
      <c r="C60"/>
      <c r="D60" s="23">
        <v>13761</v>
      </c>
      <c r="E60">
        <v>2633</v>
      </c>
      <c r="F60">
        <v>13</v>
      </c>
      <c r="G60">
        <v>2</v>
      </c>
      <c r="H60" t="s">
        <v>28</v>
      </c>
      <c r="I60" s="23">
        <v>13761</v>
      </c>
      <c r="J60" s="185">
        <v>46024</v>
      </c>
      <c r="K60" s="185">
        <v>46024</v>
      </c>
      <c r="L60" s="185">
        <v>46052</v>
      </c>
      <c r="M60" s="185">
        <v>46028</v>
      </c>
      <c r="N60"/>
      <c r="O60">
        <v>1010100</v>
      </c>
      <c r="P60" t="s">
        <v>29</v>
      </c>
      <c r="Q60">
        <v>200000300</v>
      </c>
      <c r="R60" t="s">
        <v>15383</v>
      </c>
      <c r="S60"/>
      <c r="T60" t="s">
        <v>15323</v>
      </c>
      <c r="U60" t="s">
        <v>1530</v>
      </c>
      <c r="V60" s="23">
        <v>0</v>
      </c>
      <c r="W60" s="23">
        <v>0</v>
      </c>
      <c r="X60" s="23">
        <v>0</v>
      </c>
      <c r="Y60"/>
      <c r="Z60">
        <v>1246258124</v>
      </c>
      <c r="AA60"/>
      <c r="AB60" t="s">
        <v>1199</v>
      </c>
      <c r="AC60">
        <v>102</v>
      </c>
      <c r="AD60">
        <v>4</v>
      </c>
      <c r="AE60" t="s">
        <v>15324</v>
      </c>
      <c r="AF60"/>
      <c r="AG60" s="23"/>
      <c r="AH60" s="265" t="str">
        <f>_xlfn.XLOOKUP(G60,Clientes!I:I,Clientes!F:F)</f>
        <v>GRUPO CARGILL</v>
      </c>
    </row>
    <row r="61" spans="1:34" x14ac:dyDescent="0.25">
      <c r="A61">
        <v>199</v>
      </c>
      <c r="B61" t="s">
        <v>738</v>
      </c>
      <c r="C61"/>
      <c r="D61" s="23">
        <v>13783</v>
      </c>
      <c r="E61">
        <v>2830</v>
      </c>
      <c r="F61">
        <v>13</v>
      </c>
      <c r="G61">
        <v>2</v>
      </c>
      <c r="H61" t="s">
        <v>28</v>
      </c>
      <c r="I61" s="23">
        <v>13783</v>
      </c>
      <c r="J61" s="185">
        <v>46101</v>
      </c>
      <c r="K61" s="185">
        <v>46101</v>
      </c>
      <c r="L61" s="185">
        <v>46129</v>
      </c>
      <c r="M61" s="185">
        <v>46111</v>
      </c>
      <c r="N61"/>
      <c r="O61">
        <v>1010100</v>
      </c>
      <c r="P61" t="s">
        <v>29</v>
      </c>
      <c r="Q61">
        <v>200000300</v>
      </c>
      <c r="R61" t="s">
        <v>15383</v>
      </c>
      <c r="S61"/>
      <c r="T61" t="s">
        <v>15323</v>
      </c>
      <c r="U61" t="s">
        <v>1964</v>
      </c>
      <c r="V61" s="23">
        <v>0</v>
      </c>
      <c r="W61" s="23">
        <v>0</v>
      </c>
      <c r="X61" s="23">
        <v>0</v>
      </c>
      <c r="Y61"/>
      <c r="Z61">
        <v>1246268503</v>
      </c>
      <c r="AA61"/>
      <c r="AB61" t="s">
        <v>1199</v>
      </c>
      <c r="AC61">
        <v>102</v>
      </c>
      <c r="AD61">
        <v>4</v>
      </c>
      <c r="AE61" t="s">
        <v>15324</v>
      </c>
      <c r="AF61"/>
      <c r="AG61" s="23"/>
      <c r="AH61" s="265" t="str">
        <f>_xlfn.XLOOKUP(G61,Clientes!I:I,Clientes!F:F)</f>
        <v>GRUPO CARGILL</v>
      </c>
    </row>
    <row r="62" spans="1:34" x14ac:dyDescent="0.25">
      <c r="A62">
        <v>161</v>
      </c>
      <c r="B62" t="s">
        <v>145</v>
      </c>
      <c r="C62"/>
      <c r="D62" s="23">
        <v>14269</v>
      </c>
      <c r="E62">
        <v>11480</v>
      </c>
      <c r="F62">
        <v>11</v>
      </c>
      <c r="G62">
        <v>4737</v>
      </c>
      <c r="H62" t="s">
        <v>578</v>
      </c>
      <c r="I62" s="23">
        <v>14269</v>
      </c>
      <c r="J62" s="185">
        <v>46164</v>
      </c>
      <c r="K62" s="185">
        <v>46164</v>
      </c>
      <c r="L62" s="185">
        <v>46194</v>
      </c>
      <c r="M62" s="185">
        <v>46195</v>
      </c>
      <c r="N62"/>
      <c r="O62">
        <v>1010100</v>
      </c>
      <c r="P62" t="s">
        <v>29</v>
      </c>
      <c r="Q62">
        <v>200000100</v>
      </c>
      <c r="R62" t="s">
        <v>15322</v>
      </c>
      <c r="S62"/>
      <c r="T62" t="s">
        <v>15323</v>
      </c>
      <c r="U62" t="s">
        <v>6311</v>
      </c>
      <c r="V62" s="23">
        <v>0</v>
      </c>
      <c r="W62" s="23">
        <v>0</v>
      </c>
      <c r="X62" s="23">
        <v>0</v>
      </c>
      <c r="Y62"/>
      <c r="Z62">
        <v>1246276410</v>
      </c>
      <c r="AA62"/>
      <c r="AB62" t="s">
        <v>1186</v>
      </c>
      <c r="AC62">
        <v>102</v>
      </c>
      <c r="AD62">
        <v>4</v>
      </c>
      <c r="AE62" t="s">
        <v>15324</v>
      </c>
      <c r="AF62"/>
      <c r="AG62" s="23"/>
      <c r="AH62" s="265" t="str">
        <f>_xlfn.XLOOKUP(G62,Clientes!I:I,Clientes!F:F)</f>
        <v>NITROBRAS IND. E COM. DE FERTILIZ. LTDA</v>
      </c>
    </row>
    <row r="63" spans="1:34" x14ac:dyDescent="0.25">
      <c r="A63">
        <v>161</v>
      </c>
      <c r="B63" t="s">
        <v>145</v>
      </c>
      <c r="C63"/>
      <c r="D63" s="23">
        <v>14720</v>
      </c>
      <c r="E63">
        <v>10445</v>
      </c>
      <c r="F63">
        <v>11</v>
      </c>
      <c r="G63">
        <v>5657</v>
      </c>
      <c r="H63" t="s">
        <v>84</v>
      </c>
      <c r="I63" s="23">
        <v>14720</v>
      </c>
      <c r="J63" s="185">
        <v>46030</v>
      </c>
      <c r="K63" s="185">
        <v>46030</v>
      </c>
      <c r="L63" s="185">
        <v>46058</v>
      </c>
      <c r="M63" s="185">
        <v>46055</v>
      </c>
      <c r="N63"/>
      <c r="O63">
        <v>1010100</v>
      </c>
      <c r="P63" t="s">
        <v>29</v>
      </c>
      <c r="Q63">
        <v>200000100</v>
      </c>
      <c r="R63" t="s">
        <v>15322</v>
      </c>
      <c r="S63"/>
      <c r="T63" t="s">
        <v>15323</v>
      </c>
      <c r="U63" t="s">
        <v>1964</v>
      </c>
      <c r="V63" s="23">
        <v>0</v>
      </c>
      <c r="W63" s="23">
        <v>0</v>
      </c>
      <c r="X63" s="23">
        <v>0</v>
      </c>
      <c r="Y63"/>
      <c r="Z63">
        <v>1246258830</v>
      </c>
      <c r="AA63"/>
      <c r="AB63" t="s">
        <v>1186</v>
      </c>
      <c r="AC63">
        <v>102</v>
      </c>
      <c r="AD63">
        <v>4</v>
      </c>
      <c r="AE63" t="s">
        <v>15324</v>
      </c>
      <c r="AF63"/>
      <c r="AG63" s="23"/>
      <c r="AH63" s="265" t="str">
        <f>_xlfn.XLOOKUP(G63,Clientes!I:I,Clientes!F:F)</f>
        <v>FERTIPLANTA - VARGEM GRANDE DO SUL</v>
      </c>
    </row>
    <row r="64" spans="1:34" x14ac:dyDescent="0.25">
      <c r="A64">
        <v>161</v>
      </c>
      <c r="B64" t="s">
        <v>145</v>
      </c>
      <c r="C64"/>
      <c r="D64" s="23">
        <v>17017.16</v>
      </c>
      <c r="E64">
        <v>10901</v>
      </c>
      <c r="F64">
        <v>11</v>
      </c>
      <c r="G64">
        <v>2900</v>
      </c>
      <c r="H64" t="s">
        <v>463</v>
      </c>
      <c r="I64" s="23">
        <v>17017.16</v>
      </c>
      <c r="J64" s="185">
        <v>46097</v>
      </c>
      <c r="K64" s="185">
        <v>46097</v>
      </c>
      <c r="L64" s="185">
        <v>46117</v>
      </c>
      <c r="M64" s="185">
        <v>46112</v>
      </c>
      <c r="N64"/>
      <c r="O64">
        <v>1010100</v>
      </c>
      <c r="P64" t="s">
        <v>29</v>
      </c>
      <c r="Q64">
        <v>200000100</v>
      </c>
      <c r="R64" t="s">
        <v>15322</v>
      </c>
      <c r="S64"/>
      <c r="T64" t="s">
        <v>15323</v>
      </c>
      <c r="U64" t="s">
        <v>6311</v>
      </c>
      <c r="V64" s="23">
        <v>0</v>
      </c>
      <c r="W64" s="23">
        <v>0</v>
      </c>
      <c r="X64" s="23">
        <v>0</v>
      </c>
      <c r="Y64"/>
      <c r="Z64">
        <v>1246267965</v>
      </c>
      <c r="AA64"/>
      <c r="AB64" t="s">
        <v>1186</v>
      </c>
      <c r="AC64">
        <v>102</v>
      </c>
      <c r="AD64">
        <v>4</v>
      </c>
      <c r="AE64" t="s">
        <v>15324</v>
      </c>
      <c r="AF64"/>
      <c r="AG64" s="23"/>
      <c r="AH64" s="265" t="str">
        <f>_xlfn.XLOOKUP(G64,Clientes!I:I,Clientes!F:F)</f>
        <v>BIOSAFRA - MARUIM</v>
      </c>
    </row>
    <row r="65" spans="1:34" x14ac:dyDescent="0.25">
      <c r="A65">
        <v>161</v>
      </c>
      <c r="B65" t="s">
        <v>145</v>
      </c>
      <c r="C65"/>
      <c r="D65" s="23">
        <v>17017.16</v>
      </c>
      <c r="E65">
        <v>10901</v>
      </c>
      <c r="F65">
        <v>11</v>
      </c>
      <c r="G65">
        <v>2900</v>
      </c>
      <c r="H65" t="s">
        <v>463</v>
      </c>
      <c r="I65" s="23">
        <v>17017.16</v>
      </c>
      <c r="J65" s="185">
        <v>46097</v>
      </c>
      <c r="K65" s="185">
        <v>46097</v>
      </c>
      <c r="L65" s="185">
        <v>46137</v>
      </c>
      <c r="M65" s="185">
        <v>46134</v>
      </c>
      <c r="N65"/>
      <c r="O65">
        <v>1010100</v>
      </c>
      <c r="P65" t="s">
        <v>29</v>
      </c>
      <c r="Q65">
        <v>200000100</v>
      </c>
      <c r="R65" t="s">
        <v>15322</v>
      </c>
      <c r="S65"/>
      <c r="T65" t="s">
        <v>15323</v>
      </c>
      <c r="U65" t="s">
        <v>6311</v>
      </c>
      <c r="V65" s="23">
        <v>0</v>
      </c>
      <c r="W65" s="23">
        <v>0</v>
      </c>
      <c r="X65" s="23">
        <v>0</v>
      </c>
      <c r="Y65"/>
      <c r="Z65">
        <v>1246267966</v>
      </c>
      <c r="AA65"/>
      <c r="AB65" t="s">
        <v>1186</v>
      </c>
      <c r="AC65">
        <v>102</v>
      </c>
      <c r="AD65">
        <v>4</v>
      </c>
      <c r="AE65" t="s">
        <v>15324</v>
      </c>
      <c r="AF65"/>
      <c r="AG65" s="23"/>
      <c r="AH65" s="265" t="str">
        <f>_xlfn.XLOOKUP(G65,Clientes!I:I,Clientes!F:F)</f>
        <v>BIOSAFRA - MARUIM</v>
      </c>
    </row>
    <row r="66" spans="1:34" x14ac:dyDescent="0.25">
      <c r="A66">
        <v>161</v>
      </c>
      <c r="B66" t="s">
        <v>145</v>
      </c>
      <c r="C66"/>
      <c r="D66" s="23">
        <v>17017.16</v>
      </c>
      <c r="E66">
        <v>10901</v>
      </c>
      <c r="F66">
        <v>11</v>
      </c>
      <c r="G66">
        <v>2900</v>
      </c>
      <c r="H66" t="s">
        <v>463</v>
      </c>
      <c r="I66" s="23">
        <v>17017.16</v>
      </c>
      <c r="J66" s="185">
        <v>46097</v>
      </c>
      <c r="K66" s="185">
        <v>46097</v>
      </c>
      <c r="L66" s="185">
        <v>46157</v>
      </c>
      <c r="M66" s="185">
        <v>46154</v>
      </c>
      <c r="N66"/>
      <c r="O66">
        <v>1010100</v>
      </c>
      <c r="P66" t="s">
        <v>29</v>
      </c>
      <c r="Q66">
        <v>200000100</v>
      </c>
      <c r="R66" t="s">
        <v>15322</v>
      </c>
      <c r="S66"/>
      <c r="T66" t="s">
        <v>15323</v>
      </c>
      <c r="U66" t="s">
        <v>6311</v>
      </c>
      <c r="V66" s="23">
        <v>0</v>
      </c>
      <c r="W66" s="23">
        <v>0</v>
      </c>
      <c r="X66" s="23">
        <v>0</v>
      </c>
      <c r="Y66"/>
      <c r="Z66">
        <v>1246267967</v>
      </c>
      <c r="AA66"/>
      <c r="AB66" t="s">
        <v>1186</v>
      </c>
      <c r="AC66">
        <v>102</v>
      </c>
      <c r="AD66">
        <v>4</v>
      </c>
      <c r="AE66" t="s">
        <v>15324</v>
      </c>
      <c r="AF66"/>
      <c r="AG66" s="23"/>
      <c r="AH66" s="265" t="str">
        <f>_xlfn.XLOOKUP(G66,Clientes!I:I,Clientes!F:F)</f>
        <v>BIOSAFRA - MARUIM</v>
      </c>
    </row>
    <row r="67" spans="1:34" x14ac:dyDescent="0.25">
      <c r="A67">
        <v>161</v>
      </c>
      <c r="B67" t="s">
        <v>145</v>
      </c>
      <c r="C67"/>
      <c r="D67" s="23">
        <v>17017.16</v>
      </c>
      <c r="E67">
        <v>10901</v>
      </c>
      <c r="F67">
        <v>11</v>
      </c>
      <c r="G67">
        <v>2900</v>
      </c>
      <c r="H67" t="s">
        <v>463</v>
      </c>
      <c r="I67" s="23">
        <v>17017.16</v>
      </c>
      <c r="J67" s="185">
        <v>46097</v>
      </c>
      <c r="K67" s="185">
        <v>46097</v>
      </c>
      <c r="L67" s="185">
        <v>46187</v>
      </c>
      <c r="M67" s="185">
        <v>46182</v>
      </c>
      <c r="N67"/>
      <c r="O67">
        <v>1010100</v>
      </c>
      <c r="P67" t="s">
        <v>29</v>
      </c>
      <c r="Q67">
        <v>200000100</v>
      </c>
      <c r="R67" t="s">
        <v>15322</v>
      </c>
      <c r="S67"/>
      <c r="T67" t="s">
        <v>15323</v>
      </c>
      <c r="U67" t="s">
        <v>6311</v>
      </c>
      <c r="V67" s="23">
        <v>0</v>
      </c>
      <c r="W67" s="23">
        <v>0</v>
      </c>
      <c r="X67" s="23">
        <v>0</v>
      </c>
      <c r="Y67"/>
      <c r="Z67">
        <v>1246267968</v>
      </c>
      <c r="AA67"/>
      <c r="AB67" t="s">
        <v>1186</v>
      </c>
      <c r="AC67">
        <v>102</v>
      </c>
      <c r="AD67">
        <v>4</v>
      </c>
      <c r="AE67" t="s">
        <v>15324</v>
      </c>
      <c r="AF67"/>
      <c r="AG67" s="23"/>
      <c r="AH67" s="265" t="str">
        <f>_xlfn.XLOOKUP(G67,Clientes!I:I,Clientes!F:F)</f>
        <v>BIOSAFRA - MARUIM</v>
      </c>
    </row>
    <row r="68" spans="1:34" x14ac:dyDescent="0.25">
      <c r="A68">
        <v>161</v>
      </c>
      <c r="B68" t="s">
        <v>145</v>
      </c>
      <c r="C68"/>
      <c r="D68" s="23">
        <v>17125</v>
      </c>
      <c r="E68">
        <v>11313</v>
      </c>
      <c r="F68">
        <v>11</v>
      </c>
      <c r="G68">
        <v>13836</v>
      </c>
      <c r="H68" t="s">
        <v>349</v>
      </c>
      <c r="I68" s="23">
        <v>17125</v>
      </c>
      <c r="J68" s="185">
        <v>46148</v>
      </c>
      <c r="K68" s="185">
        <v>46148</v>
      </c>
      <c r="L68" s="185">
        <v>46178</v>
      </c>
      <c r="M68" s="185">
        <v>46176</v>
      </c>
      <c r="N68"/>
      <c r="O68">
        <v>1010100</v>
      </c>
      <c r="P68" t="s">
        <v>29</v>
      </c>
      <c r="Q68">
        <v>200000100</v>
      </c>
      <c r="R68" t="s">
        <v>15322</v>
      </c>
      <c r="S68"/>
      <c r="T68" t="s">
        <v>15323</v>
      </c>
      <c r="U68" t="s">
        <v>6311</v>
      </c>
      <c r="V68" s="23">
        <v>0</v>
      </c>
      <c r="W68" s="23">
        <v>0</v>
      </c>
      <c r="X68" s="23">
        <v>0</v>
      </c>
      <c r="Y68"/>
      <c r="Z68">
        <v>1246273811</v>
      </c>
      <c r="AA68"/>
      <c r="AB68" t="s">
        <v>1186</v>
      </c>
      <c r="AC68">
        <v>102</v>
      </c>
      <c r="AD68">
        <v>4</v>
      </c>
      <c r="AE68" t="s">
        <v>15324</v>
      </c>
      <c r="AF68"/>
      <c r="AG68" s="23"/>
      <c r="AH68" s="265" t="str">
        <f>_xlfn.XLOOKUP(G68,Clientes!I:I,Clientes!F:F)</f>
        <v>FERTALVO FERTILIZANTES - RONDONÓPOLIS</v>
      </c>
    </row>
    <row r="69" spans="1:34" x14ac:dyDescent="0.25">
      <c r="A69">
        <v>161</v>
      </c>
      <c r="B69" t="s">
        <v>145</v>
      </c>
      <c r="C69"/>
      <c r="D69" s="23">
        <v>17125</v>
      </c>
      <c r="E69">
        <v>11313</v>
      </c>
      <c r="F69">
        <v>11</v>
      </c>
      <c r="G69">
        <v>13836</v>
      </c>
      <c r="H69" t="s">
        <v>349</v>
      </c>
      <c r="I69" s="23">
        <v>17125</v>
      </c>
      <c r="J69" s="185">
        <v>46148</v>
      </c>
      <c r="K69" s="185">
        <v>46148</v>
      </c>
      <c r="L69" s="185">
        <v>46208</v>
      </c>
      <c r="M69" s="185"/>
      <c r="N69"/>
      <c r="O69">
        <v>1010100</v>
      </c>
      <c r="P69" t="s">
        <v>29</v>
      </c>
      <c r="Q69">
        <v>200000100</v>
      </c>
      <c r="R69" t="s">
        <v>15322</v>
      </c>
      <c r="S69"/>
      <c r="T69" t="s">
        <v>15323</v>
      </c>
      <c r="U69" t="s">
        <v>6311</v>
      </c>
      <c r="V69" s="23">
        <v>0</v>
      </c>
      <c r="W69" s="23">
        <v>0</v>
      </c>
      <c r="X69" s="23">
        <v>0</v>
      </c>
      <c r="Y69"/>
      <c r="Z69">
        <v>1246273812</v>
      </c>
      <c r="AA69"/>
      <c r="AB69"/>
      <c r="AC69">
        <v>102</v>
      </c>
      <c r="AD69">
        <v>4</v>
      </c>
      <c r="AE69" t="s">
        <v>15324</v>
      </c>
      <c r="AF69"/>
      <c r="AG69" s="23"/>
      <c r="AH69" s="265" t="str">
        <f>_xlfn.XLOOKUP(G69,Clientes!I:I,Clientes!F:F)</f>
        <v>FERTALVO FERTILIZANTES - RONDONÓPOLIS</v>
      </c>
    </row>
    <row r="70" spans="1:34" x14ac:dyDescent="0.25">
      <c r="A70">
        <v>161</v>
      </c>
      <c r="B70" t="s">
        <v>145</v>
      </c>
      <c r="C70"/>
      <c r="D70" s="23">
        <v>17156.09</v>
      </c>
      <c r="E70">
        <v>10592</v>
      </c>
      <c r="F70">
        <v>11</v>
      </c>
      <c r="G70">
        <v>2975</v>
      </c>
      <c r="H70" t="s">
        <v>420</v>
      </c>
      <c r="I70" s="23">
        <v>17156.09</v>
      </c>
      <c r="J70" s="185">
        <v>46050</v>
      </c>
      <c r="K70" s="185">
        <v>46050</v>
      </c>
      <c r="L70" s="185">
        <v>46078</v>
      </c>
      <c r="M70" s="185">
        <v>46071</v>
      </c>
      <c r="N70"/>
      <c r="O70">
        <v>1010100</v>
      </c>
      <c r="P70" t="s">
        <v>29</v>
      </c>
      <c r="Q70">
        <v>200000100</v>
      </c>
      <c r="R70" t="s">
        <v>15322</v>
      </c>
      <c r="S70"/>
      <c r="T70" t="s">
        <v>15323</v>
      </c>
      <c r="U70" t="s">
        <v>6311</v>
      </c>
      <c r="V70" s="23">
        <v>0</v>
      </c>
      <c r="W70" s="23">
        <v>0</v>
      </c>
      <c r="X70" s="23">
        <v>0</v>
      </c>
      <c r="Y70"/>
      <c r="Z70">
        <v>1246261436</v>
      </c>
      <c r="AA70"/>
      <c r="AB70" t="s">
        <v>1186</v>
      </c>
      <c r="AC70">
        <v>102</v>
      </c>
      <c r="AD70">
        <v>4</v>
      </c>
      <c r="AE70" t="s">
        <v>15324</v>
      </c>
      <c r="AF70"/>
      <c r="AG70" s="23"/>
      <c r="AH70" s="265" t="str">
        <f>_xlfn.XLOOKUP(G70,Clientes!I:I,Clientes!F:F)</f>
        <v>COONAGRO COOPERATIVA - PARANAGUA</v>
      </c>
    </row>
    <row r="71" spans="1:34" x14ac:dyDescent="0.25">
      <c r="A71">
        <v>161</v>
      </c>
      <c r="B71" t="s">
        <v>145</v>
      </c>
      <c r="C71"/>
      <c r="D71" s="23">
        <v>17640</v>
      </c>
      <c r="E71">
        <v>10924</v>
      </c>
      <c r="F71">
        <v>11</v>
      </c>
      <c r="G71">
        <v>6132</v>
      </c>
      <c r="H71" t="s">
        <v>160</v>
      </c>
      <c r="I71" s="23">
        <v>17640</v>
      </c>
      <c r="J71" s="185">
        <v>46099</v>
      </c>
      <c r="K71" s="185">
        <v>46099</v>
      </c>
      <c r="L71" s="185">
        <v>46099</v>
      </c>
      <c r="M71" s="185">
        <v>46099</v>
      </c>
      <c r="N71"/>
      <c r="O71">
        <v>1010100</v>
      </c>
      <c r="P71" t="s">
        <v>29</v>
      </c>
      <c r="Q71">
        <v>200000200</v>
      </c>
      <c r="R71" t="s">
        <v>15377</v>
      </c>
      <c r="S71"/>
      <c r="T71" t="s">
        <v>15323</v>
      </c>
      <c r="U71" t="s">
        <v>5803</v>
      </c>
      <c r="V71" s="23">
        <v>0</v>
      </c>
      <c r="W71" s="23">
        <v>0</v>
      </c>
      <c r="X71" s="23">
        <v>0</v>
      </c>
      <c r="Y71"/>
      <c r="Z71">
        <v>1246268288</v>
      </c>
      <c r="AA71"/>
      <c r="AB71" t="s">
        <v>1199</v>
      </c>
      <c r="AC71">
        <v>18</v>
      </c>
      <c r="AD71">
        <v>4</v>
      </c>
      <c r="AE71" t="s">
        <v>15324</v>
      </c>
      <c r="AF71"/>
      <c r="AG71" s="23"/>
      <c r="AH71" s="265" t="str">
        <f>_xlfn.XLOOKUP(G71,Clientes!I:I,Clientes!F:F)</f>
        <v>CENTRAL DO ADUBO COM E REPRESENTACAO LTD</v>
      </c>
    </row>
    <row r="72" spans="1:34" x14ac:dyDescent="0.25">
      <c r="A72">
        <v>161</v>
      </c>
      <c r="B72" t="s">
        <v>145</v>
      </c>
      <c r="C72"/>
      <c r="D72" s="23">
        <v>18100</v>
      </c>
      <c r="E72">
        <v>11371</v>
      </c>
      <c r="F72">
        <v>11</v>
      </c>
      <c r="G72">
        <v>5657</v>
      </c>
      <c r="H72" t="s">
        <v>84</v>
      </c>
      <c r="I72" s="23">
        <v>18100</v>
      </c>
      <c r="J72" s="185">
        <v>46154</v>
      </c>
      <c r="K72" s="185">
        <v>46154</v>
      </c>
      <c r="L72" s="185">
        <v>46182</v>
      </c>
      <c r="M72" s="185">
        <v>46182</v>
      </c>
      <c r="N72"/>
      <c r="O72">
        <v>1010100</v>
      </c>
      <c r="P72" t="s">
        <v>29</v>
      </c>
      <c r="Q72">
        <v>200000100</v>
      </c>
      <c r="R72" t="s">
        <v>15322</v>
      </c>
      <c r="S72"/>
      <c r="T72" t="s">
        <v>15323</v>
      </c>
      <c r="U72" t="s">
        <v>1964</v>
      </c>
      <c r="V72" s="23">
        <v>0</v>
      </c>
      <c r="W72" s="23">
        <v>0</v>
      </c>
      <c r="X72" s="23">
        <v>0</v>
      </c>
      <c r="Y72"/>
      <c r="Z72">
        <v>1246274650</v>
      </c>
      <c r="AA72"/>
      <c r="AB72" t="s">
        <v>1186</v>
      </c>
      <c r="AC72">
        <v>102</v>
      </c>
      <c r="AD72">
        <v>4</v>
      </c>
      <c r="AE72" t="s">
        <v>15324</v>
      </c>
      <c r="AF72"/>
      <c r="AG72" s="23"/>
      <c r="AH72" s="265" t="str">
        <f>_xlfn.XLOOKUP(G72,Clientes!I:I,Clientes!F:F)</f>
        <v>FERTIPLANTA - VARGEM GRANDE DO SUL</v>
      </c>
    </row>
    <row r="73" spans="1:34" x14ac:dyDescent="0.25">
      <c r="A73">
        <v>161</v>
      </c>
      <c r="B73" t="s">
        <v>145</v>
      </c>
      <c r="C73"/>
      <c r="D73" s="23">
        <v>18648</v>
      </c>
      <c r="E73">
        <v>10560</v>
      </c>
      <c r="F73">
        <v>11</v>
      </c>
      <c r="G73">
        <v>2975</v>
      </c>
      <c r="H73" t="s">
        <v>420</v>
      </c>
      <c r="I73" s="23">
        <v>18648</v>
      </c>
      <c r="J73" s="185">
        <v>46045</v>
      </c>
      <c r="K73" s="185">
        <v>46045</v>
      </c>
      <c r="L73" s="185">
        <v>46073</v>
      </c>
      <c r="M73" s="185">
        <v>46055</v>
      </c>
      <c r="N73"/>
      <c r="O73">
        <v>1010100</v>
      </c>
      <c r="P73" t="s">
        <v>29</v>
      </c>
      <c r="Q73">
        <v>200000100</v>
      </c>
      <c r="R73" t="s">
        <v>15322</v>
      </c>
      <c r="S73"/>
      <c r="T73" t="s">
        <v>15323</v>
      </c>
      <c r="U73" t="s">
        <v>1199</v>
      </c>
      <c r="V73" s="23">
        <v>0</v>
      </c>
      <c r="W73" s="23">
        <v>0</v>
      </c>
      <c r="X73" s="23">
        <v>0</v>
      </c>
      <c r="Y73"/>
      <c r="Z73">
        <v>1246260619</v>
      </c>
      <c r="AA73"/>
      <c r="AB73" t="s">
        <v>1199</v>
      </c>
      <c r="AC73">
        <v>102</v>
      </c>
      <c r="AD73">
        <v>4</v>
      </c>
      <c r="AE73" t="s">
        <v>15324</v>
      </c>
      <c r="AF73"/>
      <c r="AG73" s="23"/>
      <c r="AH73" s="265" t="str">
        <f>_xlfn.XLOOKUP(G73,Clientes!I:I,Clientes!F:F)</f>
        <v>COONAGRO COOPERATIVA - PARANAGUA</v>
      </c>
    </row>
    <row r="74" spans="1:34" x14ac:dyDescent="0.25">
      <c r="A74">
        <v>56</v>
      </c>
      <c r="B74" t="s">
        <v>146</v>
      </c>
      <c r="C74"/>
      <c r="D74" s="23">
        <v>19950</v>
      </c>
      <c r="E74">
        <v>10764</v>
      </c>
      <c r="F74">
        <v>11</v>
      </c>
      <c r="G74">
        <v>1936</v>
      </c>
      <c r="H74" t="s">
        <v>64</v>
      </c>
      <c r="I74" s="23">
        <v>19950</v>
      </c>
      <c r="J74" s="185">
        <v>46078</v>
      </c>
      <c r="K74" s="185">
        <v>46078</v>
      </c>
      <c r="L74" s="185">
        <v>46106</v>
      </c>
      <c r="M74" s="185">
        <v>46106</v>
      </c>
      <c r="N74"/>
      <c r="O74">
        <v>1010100</v>
      </c>
      <c r="P74" t="s">
        <v>29</v>
      </c>
      <c r="Q74">
        <v>200000100</v>
      </c>
      <c r="R74" t="s">
        <v>15322</v>
      </c>
      <c r="S74"/>
      <c r="T74" t="s">
        <v>15323</v>
      </c>
      <c r="U74" t="s">
        <v>2246</v>
      </c>
      <c r="V74" s="23">
        <v>0</v>
      </c>
      <c r="W74" s="23">
        <v>0</v>
      </c>
      <c r="X74" s="23">
        <v>0</v>
      </c>
      <c r="Y74"/>
      <c r="Z74">
        <v>1246265081</v>
      </c>
      <c r="AA74"/>
      <c r="AB74" t="s">
        <v>1199</v>
      </c>
      <c r="AC74">
        <v>102</v>
      </c>
      <c r="AD74">
        <v>4</v>
      </c>
      <c r="AE74" t="s">
        <v>15324</v>
      </c>
      <c r="AF74"/>
      <c r="AG74" s="23"/>
      <c r="AH74" s="265" t="str">
        <f>_xlfn.XLOOKUP(G74,Clientes!I:I,Clientes!F:F)</f>
        <v>GRUPO AGRO INDUSTRIAL SAO LUIZ LTDA</v>
      </c>
    </row>
    <row r="75" spans="1:34" x14ac:dyDescent="0.25">
      <c r="A75">
        <v>161</v>
      </c>
      <c r="B75" t="s">
        <v>145</v>
      </c>
      <c r="C75"/>
      <c r="D75" s="23">
        <v>19965</v>
      </c>
      <c r="E75">
        <v>10726</v>
      </c>
      <c r="F75">
        <v>11</v>
      </c>
      <c r="G75">
        <v>7648</v>
      </c>
      <c r="H75" t="s">
        <v>273</v>
      </c>
      <c r="I75" s="23">
        <v>19965</v>
      </c>
      <c r="J75" s="185">
        <v>46073</v>
      </c>
      <c r="K75" s="185">
        <v>46073</v>
      </c>
      <c r="L75" s="185">
        <v>46108</v>
      </c>
      <c r="M75" s="185">
        <v>46108</v>
      </c>
      <c r="N75"/>
      <c r="O75">
        <v>1010100</v>
      </c>
      <c r="P75" t="s">
        <v>29</v>
      </c>
      <c r="Q75">
        <v>200000100</v>
      </c>
      <c r="R75" t="s">
        <v>15322</v>
      </c>
      <c r="S75"/>
      <c r="T75" t="s">
        <v>15323</v>
      </c>
      <c r="U75" t="s">
        <v>1964</v>
      </c>
      <c r="V75" s="23">
        <v>0</v>
      </c>
      <c r="W75" s="23">
        <v>0</v>
      </c>
      <c r="X75" s="23">
        <v>0</v>
      </c>
      <c r="Y75"/>
      <c r="Z75">
        <v>1246264205</v>
      </c>
      <c r="AA75"/>
      <c r="AB75" t="s">
        <v>1199</v>
      </c>
      <c r="AC75">
        <v>102</v>
      </c>
      <c r="AD75">
        <v>4</v>
      </c>
      <c r="AE75" t="s">
        <v>15324</v>
      </c>
      <c r="AF75"/>
      <c r="AG75" s="23"/>
      <c r="AH75" s="265" t="str">
        <f>_xlfn.XLOOKUP(G75,Clientes!I:I,Clientes!F:F)</f>
        <v>GRUPO LOUIS DREYFUS</v>
      </c>
    </row>
    <row r="76" spans="1:34" x14ac:dyDescent="0.25">
      <c r="A76">
        <v>161</v>
      </c>
      <c r="B76" t="s">
        <v>145</v>
      </c>
      <c r="C76"/>
      <c r="D76" s="23">
        <v>20069.7</v>
      </c>
      <c r="E76">
        <v>11614</v>
      </c>
      <c r="F76">
        <v>11</v>
      </c>
      <c r="G76">
        <v>2975</v>
      </c>
      <c r="H76" t="s">
        <v>420</v>
      </c>
      <c r="I76" s="23">
        <v>20069.7</v>
      </c>
      <c r="J76" s="185">
        <v>46178</v>
      </c>
      <c r="K76" s="185">
        <v>46178</v>
      </c>
      <c r="L76" s="185">
        <v>46206</v>
      </c>
      <c r="M76" s="185"/>
      <c r="N76"/>
      <c r="O76">
        <v>1010100</v>
      </c>
      <c r="P76" t="s">
        <v>29</v>
      </c>
      <c r="Q76">
        <v>200000100</v>
      </c>
      <c r="R76" t="s">
        <v>15322</v>
      </c>
      <c r="S76"/>
      <c r="T76" t="s">
        <v>15323</v>
      </c>
      <c r="U76" t="s">
        <v>6311</v>
      </c>
      <c r="V76" s="23">
        <v>0</v>
      </c>
      <c r="W76" s="23">
        <v>0</v>
      </c>
      <c r="X76" s="23">
        <v>0</v>
      </c>
      <c r="Y76"/>
      <c r="Z76">
        <v>1246278383</v>
      </c>
      <c r="AA76"/>
      <c r="AB76"/>
      <c r="AC76">
        <v>102</v>
      </c>
      <c r="AD76">
        <v>4</v>
      </c>
      <c r="AE76" t="s">
        <v>15324</v>
      </c>
      <c r="AF76"/>
      <c r="AG76" s="23"/>
      <c r="AH76" s="265" t="str">
        <f>_xlfn.XLOOKUP(G76,Clientes!I:I,Clientes!F:F)</f>
        <v>COONAGRO COOPERATIVA - PARANAGUA</v>
      </c>
    </row>
    <row r="77" spans="1:34" x14ac:dyDescent="0.25">
      <c r="A77">
        <v>161</v>
      </c>
      <c r="B77" t="s">
        <v>145</v>
      </c>
      <c r="C77"/>
      <c r="D77" s="23">
        <v>20149.5</v>
      </c>
      <c r="E77">
        <v>10695</v>
      </c>
      <c r="F77">
        <v>11</v>
      </c>
      <c r="G77">
        <v>2975</v>
      </c>
      <c r="H77" t="s">
        <v>420</v>
      </c>
      <c r="I77" s="23">
        <v>20149.5</v>
      </c>
      <c r="J77" s="185">
        <v>46066</v>
      </c>
      <c r="K77" s="185">
        <v>46066</v>
      </c>
      <c r="L77" s="185">
        <v>46094</v>
      </c>
      <c r="M77" s="185">
        <v>46092</v>
      </c>
      <c r="N77"/>
      <c r="O77">
        <v>1010100</v>
      </c>
      <c r="P77" t="s">
        <v>29</v>
      </c>
      <c r="Q77">
        <v>200000100</v>
      </c>
      <c r="R77" t="s">
        <v>15322</v>
      </c>
      <c r="S77"/>
      <c r="T77" t="s">
        <v>15323</v>
      </c>
      <c r="U77" t="s">
        <v>6311</v>
      </c>
      <c r="V77" s="23">
        <v>0</v>
      </c>
      <c r="W77" s="23">
        <v>0</v>
      </c>
      <c r="X77" s="23">
        <v>0</v>
      </c>
      <c r="Y77"/>
      <c r="Z77">
        <v>1246263785</v>
      </c>
      <c r="AA77"/>
      <c r="AB77" t="s">
        <v>1186</v>
      </c>
      <c r="AC77">
        <v>102</v>
      </c>
      <c r="AD77">
        <v>4</v>
      </c>
      <c r="AE77" t="s">
        <v>15324</v>
      </c>
      <c r="AF77"/>
      <c r="AG77" s="23"/>
      <c r="AH77" s="265" t="str">
        <f>_xlfn.XLOOKUP(G77,Clientes!I:I,Clientes!F:F)</f>
        <v>COONAGRO COOPERATIVA - PARANAGUA</v>
      </c>
    </row>
    <row r="78" spans="1:34" x14ac:dyDescent="0.25">
      <c r="A78">
        <v>161</v>
      </c>
      <c r="B78" t="s">
        <v>145</v>
      </c>
      <c r="C78"/>
      <c r="D78" s="23">
        <v>20520</v>
      </c>
      <c r="E78">
        <v>11013</v>
      </c>
      <c r="F78">
        <v>11</v>
      </c>
      <c r="G78">
        <v>5657</v>
      </c>
      <c r="H78" t="s">
        <v>84</v>
      </c>
      <c r="I78" s="23">
        <v>20520</v>
      </c>
      <c r="J78" s="185">
        <v>46112</v>
      </c>
      <c r="K78" s="185">
        <v>46112</v>
      </c>
      <c r="L78" s="185">
        <v>46140</v>
      </c>
      <c r="M78" s="185">
        <v>46139</v>
      </c>
      <c r="N78"/>
      <c r="O78">
        <v>1010100</v>
      </c>
      <c r="P78" t="s">
        <v>29</v>
      </c>
      <c r="Q78">
        <v>200000100</v>
      </c>
      <c r="R78" t="s">
        <v>15322</v>
      </c>
      <c r="S78"/>
      <c r="T78" t="s">
        <v>15323</v>
      </c>
      <c r="U78" t="s">
        <v>2246</v>
      </c>
      <c r="V78" s="23">
        <v>0</v>
      </c>
      <c r="W78" s="23">
        <v>0</v>
      </c>
      <c r="X78" s="23">
        <v>0</v>
      </c>
      <c r="Y78"/>
      <c r="Z78">
        <v>1246269700</v>
      </c>
      <c r="AA78"/>
      <c r="AB78" t="s">
        <v>1186</v>
      </c>
      <c r="AC78">
        <v>102</v>
      </c>
      <c r="AD78">
        <v>4</v>
      </c>
      <c r="AE78" t="s">
        <v>15324</v>
      </c>
      <c r="AF78"/>
      <c r="AG78" s="23"/>
      <c r="AH78" s="265" t="str">
        <f>_xlfn.XLOOKUP(G78,Clientes!I:I,Clientes!F:F)</f>
        <v>FERTIPLANTA - VARGEM GRANDE DO SUL</v>
      </c>
    </row>
    <row r="79" spans="1:34" x14ac:dyDescent="0.25">
      <c r="A79">
        <v>161</v>
      </c>
      <c r="B79" t="s">
        <v>145</v>
      </c>
      <c r="C79"/>
      <c r="D79" s="23">
        <v>21679.599999999999</v>
      </c>
      <c r="E79">
        <v>11419</v>
      </c>
      <c r="F79">
        <v>11</v>
      </c>
      <c r="G79">
        <v>12972</v>
      </c>
      <c r="H79" t="s">
        <v>654</v>
      </c>
      <c r="I79" s="23">
        <v>21679.599999999999</v>
      </c>
      <c r="J79" s="185">
        <v>46158</v>
      </c>
      <c r="K79" s="185">
        <v>46158</v>
      </c>
      <c r="L79" s="185">
        <v>46163</v>
      </c>
      <c r="M79" s="185">
        <v>46163</v>
      </c>
      <c r="N79"/>
      <c r="O79">
        <v>1010100</v>
      </c>
      <c r="P79" t="s">
        <v>29</v>
      </c>
      <c r="Q79">
        <v>10001200</v>
      </c>
      <c r="R79" t="s">
        <v>15379</v>
      </c>
      <c r="S79"/>
      <c r="T79" t="s">
        <v>15323</v>
      </c>
      <c r="U79" t="s">
        <v>6311</v>
      </c>
      <c r="V79" s="23">
        <v>0</v>
      </c>
      <c r="W79" s="23">
        <v>0</v>
      </c>
      <c r="X79" s="23">
        <v>0</v>
      </c>
      <c r="Y79"/>
      <c r="Z79">
        <v>1246275519</v>
      </c>
      <c r="AA79"/>
      <c r="AB79" t="s">
        <v>1186</v>
      </c>
      <c r="AC79">
        <v>102</v>
      </c>
      <c r="AD79">
        <v>4</v>
      </c>
      <c r="AE79" t="s">
        <v>15324</v>
      </c>
      <c r="AF79"/>
      <c r="AG79" s="23"/>
      <c r="AH79" s="265" t="str">
        <f>_xlfn.XLOOKUP(G79,Clientes!I:I,Clientes!F:F)</f>
        <v>INVICTA FERTILIZER - RIO GRANDE</v>
      </c>
    </row>
    <row r="80" spans="1:34" x14ac:dyDescent="0.25">
      <c r="A80">
        <v>161</v>
      </c>
      <c r="B80" t="s">
        <v>145</v>
      </c>
      <c r="C80"/>
      <c r="D80" s="23">
        <v>22555.41</v>
      </c>
      <c r="E80">
        <v>11416</v>
      </c>
      <c r="F80">
        <v>11</v>
      </c>
      <c r="G80">
        <v>1787</v>
      </c>
      <c r="H80" t="s">
        <v>57</v>
      </c>
      <c r="I80" s="23">
        <v>22555.41</v>
      </c>
      <c r="J80" s="185">
        <v>46157</v>
      </c>
      <c r="K80" s="185">
        <v>46157</v>
      </c>
      <c r="L80" s="185">
        <v>46247</v>
      </c>
      <c r="M80" s="185">
        <v>46167</v>
      </c>
      <c r="N80"/>
      <c r="O80">
        <v>1010100</v>
      </c>
      <c r="P80" t="s">
        <v>29</v>
      </c>
      <c r="Q80">
        <v>200000100</v>
      </c>
      <c r="R80" t="s">
        <v>15322</v>
      </c>
      <c r="S80"/>
      <c r="T80" t="s">
        <v>15323</v>
      </c>
      <c r="U80" t="s">
        <v>1199</v>
      </c>
      <c r="V80" s="23">
        <v>0</v>
      </c>
      <c r="W80" s="23">
        <v>0</v>
      </c>
      <c r="X80" s="23">
        <v>0</v>
      </c>
      <c r="Y80"/>
      <c r="Z80">
        <v>1246276531</v>
      </c>
      <c r="AA80"/>
      <c r="AB80" t="s">
        <v>1199</v>
      </c>
      <c r="AC80">
        <v>102</v>
      </c>
      <c r="AD80">
        <v>4</v>
      </c>
      <c r="AE80" t="s">
        <v>15324</v>
      </c>
      <c r="AF80"/>
      <c r="AG80" s="23"/>
      <c r="AH80" s="265" t="str">
        <f>_xlfn.XLOOKUP(G80,Clientes!I:I,Clientes!F:F)</f>
        <v>GRUPO MOSAIC FERTILIZANTES P K LTDA</v>
      </c>
    </row>
    <row r="81" spans="1:34" x14ac:dyDescent="0.25">
      <c r="A81">
        <v>56</v>
      </c>
      <c r="B81" t="s">
        <v>146</v>
      </c>
      <c r="C81"/>
      <c r="D81" s="23">
        <v>22600</v>
      </c>
      <c r="E81">
        <v>10574</v>
      </c>
      <c r="F81">
        <v>11</v>
      </c>
      <c r="G81">
        <v>7302</v>
      </c>
      <c r="H81" t="s">
        <v>93</v>
      </c>
      <c r="I81" s="23">
        <v>22600</v>
      </c>
      <c r="J81" s="185">
        <v>46048</v>
      </c>
      <c r="K81" s="185">
        <v>46048</v>
      </c>
      <c r="L81" s="185">
        <v>46138</v>
      </c>
      <c r="M81" s="185">
        <v>46139</v>
      </c>
      <c r="N81"/>
      <c r="O81">
        <v>1010100</v>
      </c>
      <c r="P81" t="s">
        <v>29</v>
      </c>
      <c r="Q81">
        <v>200000100</v>
      </c>
      <c r="R81" t="s">
        <v>15322</v>
      </c>
      <c r="S81"/>
      <c r="T81" t="s">
        <v>15323</v>
      </c>
      <c r="U81" t="s">
        <v>4468</v>
      </c>
      <c r="V81" s="23">
        <v>0</v>
      </c>
      <c r="W81" s="23">
        <v>0</v>
      </c>
      <c r="X81" s="23">
        <v>0</v>
      </c>
      <c r="Y81"/>
      <c r="Z81">
        <v>1246261045</v>
      </c>
      <c r="AA81"/>
      <c r="AB81" t="s">
        <v>1199</v>
      </c>
      <c r="AC81">
        <v>102</v>
      </c>
      <c r="AD81">
        <v>4</v>
      </c>
      <c r="AE81" t="s">
        <v>15324</v>
      </c>
      <c r="AF81"/>
      <c r="AG81" s="23"/>
      <c r="AH81" s="265" t="str">
        <f>_xlfn.XLOOKUP(G81,Clientes!I:I,Clientes!F:F)</f>
        <v>GRUPO MOSAIC FERTILIZANTES DO BRASIL</v>
      </c>
    </row>
    <row r="82" spans="1:34" x14ac:dyDescent="0.25">
      <c r="A82">
        <v>161</v>
      </c>
      <c r="B82" t="s">
        <v>145</v>
      </c>
      <c r="C82"/>
      <c r="D82" s="23">
        <v>24217.8</v>
      </c>
      <c r="E82">
        <v>10648</v>
      </c>
      <c r="F82">
        <v>11</v>
      </c>
      <c r="G82">
        <v>12629</v>
      </c>
      <c r="H82" t="s">
        <v>109</v>
      </c>
      <c r="I82" s="23">
        <v>24217.8</v>
      </c>
      <c r="J82" s="185">
        <v>46058</v>
      </c>
      <c r="K82" s="185">
        <v>46058</v>
      </c>
      <c r="L82" s="185">
        <v>46088</v>
      </c>
      <c r="M82" s="185">
        <v>46065</v>
      </c>
      <c r="N82"/>
      <c r="O82">
        <v>1010100</v>
      </c>
      <c r="P82" t="s">
        <v>29</v>
      </c>
      <c r="Q82">
        <v>200000100</v>
      </c>
      <c r="R82" t="s">
        <v>15322</v>
      </c>
      <c r="S82"/>
      <c r="T82" t="s">
        <v>15323</v>
      </c>
      <c r="U82" t="s">
        <v>2073</v>
      </c>
      <c r="V82" s="23">
        <v>0</v>
      </c>
      <c r="W82" s="23">
        <v>0</v>
      </c>
      <c r="X82" s="23">
        <v>0</v>
      </c>
      <c r="Y82"/>
      <c r="Z82">
        <v>1246263431</v>
      </c>
      <c r="AA82"/>
      <c r="AB82" t="s">
        <v>2073</v>
      </c>
      <c r="AC82">
        <v>102</v>
      </c>
      <c r="AD82">
        <v>4</v>
      </c>
      <c r="AE82" t="s">
        <v>15324</v>
      </c>
      <c r="AF82"/>
      <c r="AG82" s="23"/>
      <c r="AH82" s="265" t="str">
        <f>_xlfn.XLOOKUP(G82,Clientes!I:I,Clientes!F:F)</f>
        <v>EUROCHEM SERRA DO SALITRE</v>
      </c>
    </row>
    <row r="83" spans="1:34" x14ac:dyDescent="0.25">
      <c r="A83">
        <v>161</v>
      </c>
      <c r="B83" t="s">
        <v>145</v>
      </c>
      <c r="C83"/>
      <c r="D83" s="23">
        <v>24552</v>
      </c>
      <c r="E83">
        <v>10460</v>
      </c>
      <c r="F83">
        <v>11</v>
      </c>
      <c r="G83">
        <v>7097</v>
      </c>
      <c r="H83" t="s">
        <v>91</v>
      </c>
      <c r="I83" s="23">
        <v>24552</v>
      </c>
      <c r="J83" s="185">
        <v>46034</v>
      </c>
      <c r="K83" s="185">
        <v>46034</v>
      </c>
      <c r="L83" s="185">
        <v>46124</v>
      </c>
      <c r="M83" s="185">
        <v>46125</v>
      </c>
      <c r="N83"/>
      <c r="O83">
        <v>1010100</v>
      </c>
      <c r="P83" t="s">
        <v>29</v>
      </c>
      <c r="Q83">
        <v>200000100</v>
      </c>
      <c r="R83" t="s">
        <v>15322</v>
      </c>
      <c r="S83"/>
      <c r="T83" t="s">
        <v>15323</v>
      </c>
      <c r="U83" t="s">
        <v>1964</v>
      </c>
      <c r="V83" s="23">
        <v>0</v>
      </c>
      <c r="W83" s="23">
        <v>0</v>
      </c>
      <c r="X83" s="23">
        <v>0</v>
      </c>
      <c r="Y83"/>
      <c r="Z83">
        <v>1246259145</v>
      </c>
      <c r="AA83"/>
      <c r="AB83" t="s">
        <v>2073</v>
      </c>
      <c r="AC83">
        <v>102</v>
      </c>
      <c r="AD83">
        <v>4</v>
      </c>
      <c r="AE83" t="s">
        <v>15324</v>
      </c>
      <c r="AF83"/>
      <c r="AG83" s="23"/>
      <c r="AH83" s="265" t="str">
        <f>_xlfn.XLOOKUP(G83,Clientes!I:I,Clientes!F:F)</f>
        <v>GRUPO MOSAIC FERTILIZANTES DO BRASIL</v>
      </c>
    </row>
    <row r="84" spans="1:34" x14ac:dyDescent="0.25">
      <c r="A84">
        <v>161</v>
      </c>
      <c r="B84" t="s">
        <v>145</v>
      </c>
      <c r="C84"/>
      <c r="D84" s="23">
        <v>24596.45</v>
      </c>
      <c r="E84">
        <v>11533</v>
      </c>
      <c r="F84">
        <v>11</v>
      </c>
      <c r="G84">
        <v>14632</v>
      </c>
      <c r="H84" t="s">
        <v>399</v>
      </c>
      <c r="I84" s="23">
        <v>24596.45</v>
      </c>
      <c r="J84" s="185">
        <v>46170</v>
      </c>
      <c r="K84" s="185">
        <v>46170</v>
      </c>
      <c r="L84" s="185">
        <v>46220</v>
      </c>
      <c r="M84" s="185"/>
      <c r="N84"/>
      <c r="O84">
        <v>1010100</v>
      </c>
      <c r="P84" t="s">
        <v>29</v>
      </c>
      <c r="Q84">
        <v>200000100</v>
      </c>
      <c r="R84" t="s">
        <v>15322</v>
      </c>
      <c r="S84"/>
      <c r="T84" t="s">
        <v>15323</v>
      </c>
      <c r="U84" t="s">
        <v>6311</v>
      </c>
      <c r="V84" s="23">
        <v>0</v>
      </c>
      <c r="W84" s="23">
        <v>0</v>
      </c>
      <c r="X84" s="23">
        <v>0</v>
      </c>
      <c r="Y84"/>
      <c r="Z84">
        <v>1246277244</v>
      </c>
      <c r="AA84"/>
      <c r="AB84"/>
      <c r="AC84">
        <v>102</v>
      </c>
      <c r="AD84">
        <v>4</v>
      </c>
      <c r="AE84" t="s">
        <v>15324</v>
      </c>
      <c r="AF84"/>
      <c r="AG84" s="23"/>
      <c r="AH84" s="265" t="str">
        <f>_xlfn.XLOOKUP(G84,Clientes!I:I,Clientes!F:F)</f>
        <v>BIGFERTIL - CANDEIAS</v>
      </c>
    </row>
    <row r="85" spans="1:34" x14ac:dyDescent="0.25">
      <c r="A85">
        <v>161</v>
      </c>
      <c r="B85" t="s">
        <v>145</v>
      </c>
      <c r="C85"/>
      <c r="D85" s="23">
        <v>24596.45</v>
      </c>
      <c r="E85">
        <v>11533</v>
      </c>
      <c r="F85">
        <v>11</v>
      </c>
      <c r="G85">
        <v>14632</v>
      </c>
      <c r="H85" t="s">
        <v>399</v>
      </c>
      <c r="I85" s="23">
        <v>24596.45</v>
      </c>
      <c r="J85" s="185">
        <v>46170</v>
      </c>
      <c r="K85" s="185">
        <v>46170</v>
      </c>
      <c r="L85" s="185">
        <v>46240</v>
      </c>
      <c r="M85" s="185"/>
      <c r="N85"/>
      <c r="O85">
        <v>1010100</v>
      </c>
      <c r="P85" t="s">
        <v>29</v>
      </c>
      <c r="Q85">
        <v>200000100</v>
      </c>
      <c r="R85" t="s">
        <v>15322</v>
      </c>
      <c r="S85"/>
      <c r="T85" t="s">
        <v>15323</v>
      </c>
      <c r="U85" t="s">
        <v>6311</v>
      </c>
      <c r="V85" s="23">
        <v>0</v>
      </c>
      <c r="W85" s="23">
        <v>0</v>
      </c>
      <c r="X85" s="23">
        <v>0</v>
      </c>
      <c r="Y85"/>
      <c r="Z85">
        <v>1246277245</v>
      </c>
      <c r="AA85"/>
      <c r="AB85"/>
      <c r="AC85">
        <v>102</v>
      </c>
      <c r="AD85">
        <v>4</v>
      </c>
      <c r="AE85" t="s">
        <v>15324</v>
      </c>
      <c r="AF85"/>
      <c r="AG85" s="23"/>
      <c r="AH85" s="265" t="str">
        <f>_xlfn.XLOOKUP(G85,Clientes!I:I,Clientes!F:F)</f>
        <v>BIGFERTIL - CANDEIAS</v>
      </c>
    </row>
    <row r="86" spans="1:34" x14ac:dyDescent="0.25">
      <c r="A86">
        <v>161</v>
      </c>
      <c r="B86" t="s">
        <v>145</v>
      </c>
      <c r="C86"/>
      <c r="D86" s="23">
        <v>25245</v>
      </c>
      <c r="E86">
        <v>10463</v>
      </c>
      <c r="F86">
        <v>11</v>
      </c>
      <c r="G86">
        <v>7648</v>
      </c>
      <c r="H86" t="s">
        <v>273</v>
      </c>
      <c r="I86" s="23">
        <v>25245</v>
      </c>
      <c r="J86" s="185">
        <v>46034</v>
      </c>
      <c r="K86" s="185">
        <v>46034</v>
      </c>
      <c r="L86" s="185">
        <v>46069</v>
      </c>
      <c r="M86" s="185">
        <v>46071</v>
      </c>
      <c r="N86"/>
      <c r="O86">
        <v>1010100</v>
      </c>
      <c r="P86" t="s">
        <v>29</v>
      </c>
      <c r="Q86">
        <v>200000100</v>
      </c>
      <c r="R86" t="s">
        <v>15322</v>
      </c>
      <c r="S86"/>
      <c r="T86" t="s">
        <v>15323</v>
      </c>
      <c r="U86" t="s">
        <v>1964</v>
      </c>
      <c r="V86" s="23">
        <v>0</v>
      </c>
      <c r="W86" s="23">
        <v>0</v>
      </c>
      <c r="X86" s="23">
        <v>0</v>
      </c>
      <c r="Y86"/>
      <c r="Z86">
        <v>1246259193</v>
      </c>
      <c r="AA86"/>
      <c r="AB86" t="s">
        <v>1199</v>
      </c>
      <c r="AC86">
        <v>102</v>
      </c>
      <c r="AD86">
        <v>4</v>
      </c>
      <c r="AE86" t="s">
        <v>15324</v>
      </c>
      <c r="AF86"/>
      <c r="AG86" s="23"/>
      <c r="AH86" s="265" t="str">
        <f>_xlfn.XLOOKUP(G86,Clientes!I:I,Clientes!F:F)</f>
        <v>GRUPO LOUIS DREYFUS</v>
      </c>
    </row>
    <row r="87" spans="1:34" x14ac:dyDescent="0.25">
      <c r="A87">
        <v>161</v>
      </c>
      <c r="B87" t="s">
        <v>145</v>
      </c>
      <c r="C87"/>
      <c r="D87" s="23">
        <v>25520</v>
      </c>
      <c r="E87">
        <v>2954</v>
      </c>
      <c r="F87">
        <v>13</v>
      </c>
      <c r="G87">
        <v>4737</v>
      </c>
      <c r="H87" t="s">
        <v>578</v>
      </c>
      <c r="I87" s="23">
        <v>25520</v>
      </c>
      <c r="J87" s="185">
        <v>46164</v>
      </c>
      <c r="K87" s="185">
        <v>46164</v>
      </c>
      <c r="L87" s="185">
        <v>46194</v>
      </c>
      <c r="M87" s="185">
        <v>46195</v>
      </c>
      <c r="N87"/>
      <c r="O87">
        <v>1010100</v>
      </c>
      <c r="P87" t="s">
        <v>29</v>
      </c>
      <c r="Q87">
        <v>200000100</v>
      </c>
      <c r="R87" t="s">
        <v>15322</v>
      </c>
      <c r="S87"/>
      <c r="T87" t="s">
        <v>15323</v>
      </c>
      <c r="U87" t="s">
        <v>6311</v>
      </c>
      <c r="V87" s="23">
        <v>0</v>
      </c>
      <c r="W87" s="23">
        <v>0</v>
      </c>
      <c r="X87" s="23">
        <v>0</v>
      </c>
      <c r="Y87"/>
      <c r="Z87">
        <v>1246276226</v>
      </c>
      <c r="AA87"/>
      <c r="AB87" t="s">
        <v>1186</v>
      </c>
      <c r="AC87">
        <v>102</v>
      </c>
      <c r="AD87">
        <v>4</v>
      </c>
      <c r="AE87" t="s">
        <v>15324</v>
      </c>
      <c r="AF87"/>
      <c r="AG87" s="23"/>
      <c r="AH87" s="265" t="str">
        <f>_xlfn.XLOOKUP(G87,Clientes!I:I,Clientes!F:F)</f>
        <v>NITROBRAS IND. E COM. DE FERTILIZ. LTDA</v>
      </c>
    </row>
    <row r="88" spans="1:34" x14ac:dyDescent="0.25">
      <c r="A88">
        <v>56</v>
      </c>
      <c r="B88" t="s">
        <v>146</v>
      </c>
      <c r="C88"/>
      <c r="D88" s="23">
        <v>26356</v>
      </c>
      <c r="E88">
        <v>10823</v>
      </c>
      <c r="F88">
        <v>11</v>
      </c>
      <c r="G88">
        <v>7745</v>
      </c>
      <c r="H88" t="s">
        <v>320</v>
      </c>
      <c r="I88" s="23">
        <v>26356</v>
      </c>
      <c r="J88" s="185">
        <v>46086</v>
      </c>
      <c r="K88" s="185">
        <v>46086</v>
      </c>
      <c r="L88" s="185">
        <v>46121</v>
      </c>
      <c r="M88" s="185">
        <v>46122</v>
      </c>
      <c r="N88"/>
      <c r="O88">
        <v>1010100</v>
      </c>
      <c r="P88" t="s">
        <v>29</v>
      </c>
      <c r="Q88">
        <v>200000100</v>
      </c>
      <c r="R88" t="s">
        <v>15322</v>
      </c>
      <c r="S88"/>
      <c r="T88" t="s">
        <v>15323</v>
      </c>
      <c r="U88" t="s">
        <v>2073</v>
      </c>
      <c r="V88" s="23">
        <v>0</v>
      </c>
      <c r="W88" s="23">
        <v>0</v>
      </c>
      <c r="X88" s="23">
        <v>0</v>
      </c>
      <c r="Y88"/>
      <c r="Z88">
        <v>1246266587</v>
      </c>
      <c r="AA88"/>
      <c r="AB88" t="s">
        <v>2073</v>
      </c>
      <c r="AC88">
        <v>102</v>
      </c>
      <c r="AD88">
        <v>4</v>
      </c>
      <c r="AE88" t="s">
        <v>15324</v>
      </c>
      <c r="AF88"/>
      <c r="AG88" s="23"/>
      <c r="AH88" s="265" t="str">
        <f>_xlfn.XLOOKUP(G88,Clientes!I:I,Clientes!F:F)</f>
        <v>GRUPO LOUIS DREYFUS</v>
      </c>
    </row>
    <row r="89" spans="1:34" x14ac:dyDescent="0.25">
      <c r="A89">
        <v>161</v>
      </c>
      <c r="B89" t="s">
        <v>145</v>
      </c>
      <c r="C89"/>
      <c r="D89" s="23">
        <v>28444.5</v>
      </c>
      <c r="E89">
        <v>10821</v>
      </c>
      <c r="F89">
        <v>11</v>
      </c>
      <c r="G89">
        <v>5209</v>
      </c>
      <c r="H89" t="s">
        <v>83</v>
      </c>
      <c r="I89" s="23">
        <v>28444.5</v>
      </c>
      <c r="J89" s="185">
        <v>46086</v>
      </c>
      <c r="K89" s="185">
        <v>46086</v>
      </c>
      <c r="L89" s="185">
        <v>46114</v>
      </c>
      <c r="M89" s="185">
        <v>46114</v>
      </c>
      <c r="N89"/>
      <c r="O89">
        <v>1010100</v>
      </c>
      <c r="P89" t="s">
        <v>29</v>
      </c>
      <c r="Q89">
        <v>200000100</v>
      </c>
      <c r="R89" t="s">
        <v>15322</v>
      </c>
      <c r="S89"/>
      <c r="T89" t="s">
        <v>15323</v>
      </c>
      <c r="U89" t="s">
        <v>6311</v>
      </c>
      <c r="V89" s="23">
        <v>0</v>
      </c>
      <c r="W89" s="23">
        <v>0</v>
      </c>
      <c r="X89" s="23">
        <v>0</v>
      </c>
      <c r="Y89"/>
      <c r="Z89">
        <v>1246266668</v>
      </c>
      <c r="AA89"/>
      <c r="AB89" t="s">
        <v>1186</v>
      </c>
      <c r="AC89">
        <v>102</v>
      </c>
      <c r="AD89">
        <v>4</v>
      </c>
      <c r="AE89" t="s">
        <v>15324</v>
      </c>
      <c r="AF89"/>
      <c r="AG89" s="23"/>
      <c r="AH89" s="265" t="str">
        <f>_xlfn.XLOOKUP(G89,Clientes!I:I,Clientes!F:F)</f>
        <v>NUTRISOYA - CATALÃO</v>
      </c>
    </row>
    <row r="90" spans="1:34" x14ac:dyDescent="0.25">
      <c r="A90">
        <v>161</v>
      </c>
      <c r="B90" t="s">
        <v>145</v>
      </c>
      <c r="C90"/>
      <c r="D90" s="23">
        <v>29520</v>
      </c>
      <c r="E90">
        <v>11269</v>
      </c>
      <c r="F90">
        <v>11</v>
      </c>
      <c r="G90">
        <v>1023</v>
      </c>
      <c r="H90" t="s">
        <v>49</v>
      </c>
      <c r="I90" s="23">
        <v>29520</v>
      </c>
      <c r="J90" s="185">
        <v>46142</v>
      </c>
      <c r="K90" s="185">
        <v>46142</v>
      </c>
      <c r="L90" s="185">
        <v>46202</v>
      </c>
      <c r="M90" s="185"/>
      <c r="N90"/>
      <c r="O90">
        <v>1010100</v>
      </c>
      <c r="P90" t="s">
        <v>29</v>
      </c>
      <c r="Q90">
        <v>200000100</v>
      </c>
      <c r="R90" t="s">
        <v>15322</v>
      </c>
      <c r="S90"/>
      <c r="T90" t="s">
        <v>15323</v>
      </c>
      <c r="U90" t="s">
        <v>6311</v>
      </c>
      <c r="V90" s="23">
        <v>0</v>
      </c>
      <c r="W90" s="23">
        <v>0</v>
      </c>
      <c r="X90" s="23">
        <v>0</v>
      </c>
      <c r="Y90"/>
      <c r="Z90">
        <v>1246273185</v>
      </c>
      <c r="AA90"/>
      <c r="AB90"/>
      <c r="AC90">
        <v>102</v>
      </c>
      <c r="AD90">
        <v>4</v>
      </c>
      <c r="AE90" t="s">
        <v>15324</v>
      </c>
      <c r="AF90"/>
      <c r="AG90" s="23"/>
      <c r="AH90" s="265" t="str">
        <f>_xlfn.XLOOKUP(G90,Clientes!I:I,Clientes!F:F)</f>
        <v>GRUPO ADUBOS ARAGUAIA</v>
      </c>
    </row>
    <row r="91" spans="1:34" x14ac:dyDescent="0.25">
      <c r="A91">
        <v>161</v>
      </c>
      <c r="B91" t="s">
        <v>145</v>
      </c>
      <c r="C91"/>
      <c r="D91" s="23">
        <v>29700</v>
      </c>
      <c r="E91">
        <v>10750</v>
      </c>
      <c r="F91">
        <v>11</v>
      </c>
      <c r="G91">
        <v>13861</v>
      </c>
      <c r="H91" t="s">
        <v>239</v>
      </c>
      <c r="I91" s="23">
        <v>29700</v>
      </c>
      <c r="J91" s="185">
        <v>46076</v>
      </c>
      <c r="K91" s="185">
        <v>46076</v>
      </c>
      <c r="L91" s="185">
        <v>46136</v>
      </c>
      <c r="M91" s="185">
        <v>46136</v>
      </c>
      <c r="N91"/>
      <c r="O91">
        <v>1010100</v>
      </c>
      <c r="P91" t="s">
        <v>29</v>
      </c>
      <c r="Q91">
        <v>200000100</v>
      </c>
      <c r="R91" t="s">
        <v>15322</v>
      </c>
      <c r="S91"/>
      <c r="T91" t="s">
        <v>15323</v>
      </c>
      <c r="U91" t="s">
        <v>1964</v>
      </c>
      <c r="V91" s="23">
        <v>0</v>
      </c>
      <c r="W91" s="23">
        <v>0</v>
      </c>
      <c r="X91" s="23">
        <v>0</v>
      </c>
      <c r="Y91"/>
      <c r="Z91">
        <v>1246264670</v>
      </c>
      <c r="AA91"/>
      <c r="AB91" t="s">
        <v>1186</v>
      </c>
      <c r="AC91">
        <v>102</v>
      </c>
      <c r="AD91">
        <v>4</v>
      </c>
      <c r="AE91" t="s">
        <v>15324</v>
      </c>
      <c r="AF91"/>
      <c r="AG91" s="23"/>
      <c r="AH91" s="265" t="str">
        <f>_xlfn.XLOOKUP(G91,Clientes!I:I,Clientes!F:F)</f>
        <v>GRUPO ADUBOS ARAGUAIA</v>
      </c>
    </row>
    <row r="92" spans="1:34" x14ac:dyDescent="0.25">
      <c r="A92">
        <v>199</v>
      </c>
      <c r="B92" t="s">
        <v>738</v>
      </c>
      <c r="C92"/>
      <c r="D92" s="23">
        <v>30129</v>
      </c>
      <c r="E92">
        <v>2866</v>
      </c>
      <c r="F92">
        <v>13</v>
      </c>
      <c r="G92">
        <v>2</v>
      </c>
      <c r="H92" t="s">
        <v>28</v>
      </c>
      <c r="I92" s="23">
        <v>30129</v>
      </c>
      <c r="J92" s="185">
        <v>46121</v>
      </c>
      <c r="K92" s="185">
        <v>46121</v>
      </c>
      <c r="L92" s="185">
        <v>46149</v>
      </c>
      <c r="M92" s="185">
        <v>46126</v>
      </c>
      <c r="N92"/>
      <c r="O92">
        <v>1010100</v>
      </c>
      <c r="P92" t="s">
        <v>29</v>
      </c>
      <c r="Q92">
        <v>200000300</v>
      </c>
      <c r="R92" t="s">
        <v>15383</v>
      </c>
      <c r="S92"/>
      <c r="T92" t="s">
        <v>15323</v>
      </c>
      <c r="U92" t="s">
        <v>1964</v>
      </c>
      <c r="V92" s="23">
        <v>0</v>
      </c>
      <c r="W92" s="23">
        <v>0</v>
      </c>
      <c r="X92" s="23">
        <v>0</v>
      </c>
      <c r="Y92"/>
      <c r="Z92">
        <v>1246270836</v>
      </c>
      <c r="AA92"/>
      <c r="AB92" t="s">
        <v>2073</v>
      </c>
      <c r="AC92">
        <v>102</v>
      </c>
      <c r="AD92">
        <v>4</v>
      </c>
      <c r="AE92" t="s">
        <v>15324</v>
      </c>
      <c r="AF92"/>
      <c r="AG92" s="23"/>
      <c r="AH92" s="265" t="str">
        <f>_xlfn.XLOOKUP(G92,Clientes!I:I,Clientes!F:F)</f>
        <v>GRUPO CARGILL</v>
      </c>
    </row>
    <row r="93" spans="1:34" x14ac:dyDescent="0.25">
      <c r="A93">
        <v>199</v>
      </c>
      <c r="B93" t="s">
        <v>738</v>
      </c>
      <c r="C93"/>
      <c r="D93" s="23">
        <v>30525</v>
      </c>
      <c r="E93">
        <v>2658</v>
      </c>
      <c r="F93">
        <v>13</v>
      </c>
      <c r="G93">
        <v>2</v>
      </c>
      <c r="H93" t="s">
        <v>28</v>
      </c>
      <c r="I93" s="23">
        <v>30525</v>
      </c>
      <c r="J93" s="185">
        <v>46034</v>
      </c>
      <c r="K93" s="185">
        <v>46034</v>
      </c>
      <c r="L93" s="185">
        <v>46062</v>
      </c>
      <c r="M93" s="185">
        <v>46036</v>
      </c>
      <c r="N93"/>
      <c r="O93">
        <v>1010100</v>
      </c>
      <c r="P93" t="s">
        <v>29</v>
      </c>
      <c r="Q93">
        <v>200000300</v>
      </c>
      <c r="R93" t="s">
        <v>15383</v>
      </c>
      <c r="S93"/>
      <c r="T93" t="s">
        <v>15323</v>
      </c>
      <c r="U93" t="s">
        <v>1964</v>
      </c>
      <c r="V93" s="23">
        <v>0</v>
      </c>
      <c r="W93" s="23">
        <v>0</v>
      </c>
      <c r="X93" s="23">
        <v>0</v>
      </c>
      <c r="Y93"/>
      <c r="Z93">
        <v>1246259158</v>
      </c>
      <c r="AA93"/>
      <c r="AB93" t="s">
        <v>1199</v>
      </c>
      <c r="AC93">
        <v>102</v>
      </c>
      <c r="AD93">
        <v>4</v>
      </c>
      <c r="AE93" t="s">
        <v>15324</v>
      </c>
      <c r="AF93"/>
      <c r="AG93" s="23"/>
      <c r="AH93" s="265" t="str">
        <f>_xlfn.XLOOKUP(G93,Clientes!I:I,Clientes!F:F)</f>
        <v>GRUPO CARGILL</v>
      </c>
    </row>
    <row r="94" spans="1:34" x14ac:dyDescent="0.25">
      <c r="A94">
        <v>199</v>
      </c>
      <c r="B94" t="s">
        <v>738</v>
      </c>
      <c r="C94"/>
      <c r="D94" s="23">
        <v>30646</v>
      </c>
      <c r="E94">
        <v>2745</v>
      </c>
      <c r="F94">
        <v>13</v>
      </c>
      <c r="G94">
        <v>2</v>
      </c>
      <c r="H94" t="s">
        <v>28</v>
      </c>
      <c r="I94" s="23">
        <v>30646</v>
      </c>
      <c r="J94" s="185">
        <v>46071</v>
      </c>
      <c r="K94" s="185">
        <v>46071</v>
      </c>
      <c r="L94" s="185">
        <v>46099</v>
      </c>
      <c r="M94" s="185">
        <v>46076</v>
      </c>
      <c r="N94"/>
      <c r="O94">
        <v>1010100</v>
      </c>
      <c r="P94" t="s">
        <v>29</v>
      </c>
      <c r="Q94">
        <v>200000300</v>
      </c>
      <c r="R94" t="s">
        <v>15383</v>
      </c>
      <c r="S94"/>
      <c r="T94" t="s">
        <v>15323</v>
      </c>
      <c r="U94" t="s">
        <v>1964</v>
      </c>
      <c r="V94" s="23">
        <v>0</v>
      </c>
      <c r="W94" s="23">
        <v>0</v>
      </c>
      <c r="X94" s="23">
        <v>0</v>
      </c>
      <c r="Y94"/>
      <c r="Z94">
        <v>1246263903</v>
      </c>
      <c r="AA94"/>
      <c r="AB94" t="s">
        <v>1199</v>
      </c>
      <c r="AC94">
        <v>102</v>
      </c>
      <c r="AD94">
        <v>4</v>
      </c>
      <c r="AE94" t="s">
        <v>15324</v>
      </c>
      <c r="AF94"/>
      <c r="AG94" s="23"/>
      <c r="AH94" s="265" t="str">
        <f>_xlfn.XLOOKUP(G94,Clientes!I:I,Clientes!F:F)</f>
        <v>GRUPO CARGILL</v>
      </c>
    </row>
    <row r="95" spans="1:34" x14ac:dyDescent="0.25">
      <c r="A95">
        <v>199</v>
      </c>
      <c r="B95" t="s">
        <v>738</v>
      </c>
      <c r="C95"/>
      <c r="D95" s="23">
        <v>30866</v>
      </c>
      <c r="E95">
        <v>2734</v>
      </c>
      <c r="F95">
        <v>13</v>
      </c>
      <c r="G95">
        <v>2</v>
      </c>
      <c r="H95" t="s">
        <v>28</v>
      </c>
      <c r="I95" s="23">
        <v>30866</v>
      </c>
      <c r="J95" s="185">
        <v>46064</v>
      </c>
      <c r="K95" s="185">
        <v>46064</v>
      </c>
      <c r="L95" s="185">
        <v>46092</v>
      </c>
      <c r="M95" s="185">
        <v>46078</v>
      </c>
      <c r="N95"/>
      <c r="O95">
        <v>1010100</v>
      </c>
      <c r="P95" t="s">
        <v>29</v>
      </c>
      <c r="Q95">
        <v>200000300</v>
      </c>
      <c r="R95" t="s">
        <v>15383</v>
      </c>
      <c r="S95"/>
      <c r="T95" t="s">
        <v>15323</v>
      </c>
      <c r="U95" t="s">
        <v>1964</v>
      </c>
      <c r="V95" s="23">
        <v>0</v>
      </c>
      <c r="W95" s="23">
        <v>0</v>
      </c>
      <c r="X95" s="23">
        <v>0</v>
      </c>
      <c r="Y95"/>
      <c r="Z95">
        <v>1246263318</v>
      </c>
      <c r="AA95"/>
      <c r="AB95" t="s">
        <v>1199</v>
      </c>
      <c r="AC95">
        <v>102</v>
      </c>
      <c r="AD95">
        <v>4</v>
      </c>
      <c r="AE95" t="s">
        <v>15324</v>
      </c>
      <c r="AF95"/>
      <c r="AG95" s="23"/>
      <c r="AH95" s="265" t="str">
        <f>_xlfn.XLOOKUP(G95,Clientes!I:I,Clientes!F:F)</f>
        <v>GRUPO CARGILL</v>
      </c>
    </row>
    <row r="96" spans="1:34" x14ac:dyDescent="0.25">
      <c r="A96">
        <v>199</v>
      </c>
      <c r="B96" t="s">
        <v>738</v>
      </c>
      <c r="C96"/>
      <c r="D96" s="23">
        <v>30976</v>
      </c>
      <c r="E96">
        <v>2943</v>
      </c>
      <c r="F96">
        <v>13</v>
      </c>
      <c r="G96">
        <v>2</v>
      </c>
      <c r="H96" t="s">
        <v>28</v>
      </c>
      <c r="I96" s="23">
        <v>30976</v>
      </c>
      <c r="J96" s="185">
        <v>46157</v>
      </c>
      <c r="K96" s="185">
        <v>46157</v>
      </c>
      <c r="L96" s="185">
        <v>46185</v>
      </c>
      <c r="M96" s="185">
        <v>46174</v>
      </c>
      <c r="N96"/>
      <c r="O96">
        <v>1010100</v>
      </c>
      <c r="P96" t="s">
        <v>29</v>
      </c>
      <c r="Q96">
        <v>200000300</v>
      </c>
      <c r="R96" t="s">
        <v>15383</v>
      </c>
      <c r="S96"/>
      <c r="T96" t="s">
        <v>15323</v>
      </c>
      <c r="U96" t="s">
        <v>1199</v>
      </c>
      <c r="V96" s="23">
        <v>0</v>
      </c>
      <c r="W96" s="23">
        <v>0</v>
      </c>
      <c r="X96" s="23">
        <v>0</v>
      </c>
      <c r="Y96"/>
      <c r="Z96">
        <v>1246275448</v>
      </c>
      <c r="AA96"/>
      <c r="AB96" t="s">
        <v>1199</v>
      </c>
      <c r="AC96">
        <v>102</v>
      </c>
      <c r="AD96">
        <v>4</v>
      </c>
      <c r="AE96" t="s">
        <v>15324</v>
      </c>
      <c r="AF96"/>
      <c r="AG96" s="23"/>
      <c r="AH96" s="265" t="str">
        <f>_xlfn.XLOOKUP(G96,Clientes!I:I,Clientes!F:F)</f>
        <v>GRUPO CARGILL</v>
      </c>
    </row>
    <row r="97" spans="1:34" x14ac:dyDescent="0.25">
      <c r="A97">
        <v>199</v>
      </c>
      <c r="B97" t="s">
        <v>738</v>
      </c>
      <c r="C97"/>
      <c r="D97" s="23">
        <v>30976</v>
      </c>
      <c r="E97">
        <v>2683</v>
      </c>
      <c r="F97">
        <v>13</v>
      </c>
      <c r="G97">
        <v>2</v>
      </c>
      <c r="H97" t="s">
        <v>28</v>
      </c>
      <c r="I97" s="23">
        <v>30976</v>
      </c>
      <c r="J97" s="185">
        <v>46042</v>
      </c>
      <c r="K97" s="185">
        <v>46042</v>
      </c>
      <c r="L97" s="185">
        <v>46070</v>
      </c>
      <c r="M97" s="185">
        <v>46052</v>
      </c>
      <c r="N97"/>
      <c r="O97">
        <v>1010100</v>
      </c>
      <c r="P97" t="s">
        <v>29</v>
      </c>
      <c r="Q97">
        <v>200000300</v>
      </c>
      <c r="R97" t="s">
        <v>15383</v>
      </c>
      <c r="S97"/>
      <c r="T97" t="s">
        <v>15323</v>
      </c>
      <c r="U97" t="s">
        <v>1964</v>
      </c>
      <c r="V97" s="23">
        <v>0</v>
      </c>
      <c r="W97" s="23">
        <v>0</v>
      </c>
      <c r="X97" s="23">
        <v>0</v>
      </c>
      <c r="Y97"/>
      <c r="Z97">
        <v>1246260090</v>
      </c>
      <c r="AA97"/>
      <c r="AB97" t="s">
        <v>1199</v>
      </c>
      <c r="AC97">
        <v>102</v>
      </c>
      <c r="AD97">
        <v>4</v>
      </c>
      <c r="AE97" t="s">
        <v>15324</v>
      </c>
      <c r="AF97"/>
      <c r="AG97" s="23"/>
      <c r="AH97" s="265" t="str">
        <f>_xlfn.XLOOKUP(G97,Clientes!I:I,Clientes!F:F)</f>
        <v>GRUPO CARGILL</v>
      </c>
    </row>
    <row r="98" spans="1:34" x14ac:dyDescent="0.25">
      <c r="A98">
        <v>199</v>
      </c>
      <c r="B98" t="s">
        <v>738</v>
      </c>
      <c r="C98"/>
      <c r="D98" s="23">
        <v>30987</v>
      </c>
      <c r="E98">
        <v>2647</v>
      </c>
      <c r="F98">
        <v>13</v>
      </c>
      <c r="G98">
        <v>2</v>
      </c>
      <c r="H98" t="s">
        <v>28</v>
      </c>
      <c r="I98" s="23">
        <v>30987</v>
      </c>
      <c r="J98" s="185">
        <v>46030</v>
      </c>
      <c r="K98" s="185">
        <v>46030</v>
      </c>
      <c r="L98" s="185">
        <v>46058</v>
      </c>
      <c r="M98" s="185">
        <v>46037</v>
      </c>
      <c r="N98"/>
      <c r="O98">
        <v>1010100</v>
      </c>
      <c r="P98" t="s">
        <v>29</v>
      </c>
      <c r="Q98">
        <v>200000300</v>
      </c>
      <c r="R98" t="s">
        <v>15383</v>
      </c>
      <c r="S98"/>
      <c r="T98" t="s">
        <v>15323</v>
      </c>
      <c r="U98" t="s">
        <v>1964</v>
      </c>
      <c r="V98" s="23">
        <v>0</v>
      </c>
      <c r="W98" s="23">
        <v>0</v>
      </c>
      <c r="X98" s="23">
        <v>0</v>
      </c>
      <c r="Y98"/>
      <c r="Z98">
        <v>1246258843</v>
      </c>
      <c r="AA98"/>
      <c r="AB98" t="s">
        <v>1199</v>
      </c>
      <c r="AC98">
        <v>102</v>
      </c>
      <c r="AD98">
        <v>4</v>
      </c>
      <c r="AE98" t="s">
        <v>15324</v>
      </c>
      <c r="AF98"/>
      <c r="AG98" s="23"/>
      <c r="AH98" s="265" t="str">
        <f>_xlfn.XLOOKUP(G98,Clientes!I:I,Clientes!F:F)</f>
        <v>GRUPO CARGILL</v>
      </c>
    </row>
    <row r="99" spans="1:34" x14ac:dyDescent="0.25">
      <c r="A99">
        <v>199</v>
      </c>
      <c r="B99" t="s">
        <v>738</v>
      </c>
      <c r="C99"/>
      <c r="D99" s="23">
        <v>31031</v>
      </c>
      <c r="E99">
        <v>2872</v>
      </c>
      <c r="F99">
        <v>13</v>
      </c>
      <c r="G99">
        <v>2</v>
      </c>
      <c r="H99" t="s">
        <v>28</v>
      </c>
      <c r="I99" s="23">
        <v>31031</v>
      </c>
      <c r="J99" s="185">
        <v>46126</v>
      </c>
      <c r="K99" s="185">
        <v>46126</v>
      </c>
      <c r="L99" s="185">
        <v>46154</v>
      </c>
      <c r="M99" s="185">
        <v>46135</v>
      </c>
      <c r="N99"/>
      <c r="O99">
        <v>1010100</v>
      </c>
      <c r="P99" t="s">
        <v>29</v>
      </c>
      <c r="Q99">
        <v>200000300</v>
      </c>
      <c r="R99" t="s">
        <v>15383</v>
      </c>
      <c r="S99"/>
      <c r="T99" t="s">
        <v>15323</v>
      </c>
      <c r="U99" t="s">
        <v>1964</v>
      </c>
      <c r="V99" s="23">
        <v>0</v>
      </c>
      <c r="W99" s="23">
        <v>0</v>
      </c>
      <c r="X99" s="23">
        <v>0</v>
      </c>
      <c r="Y99"/>
      <c r="Z99">
        <v>1246271338</v>
      </c>
      <c r="AA99"/>
      <c r="AB99" t="s">
        <v>1199</v>
      </c>
      <c r="AC99">
        <v>102</v>
      </c>
      <c r="AD99">
        <v>4</v>
      </c>
      <c r="AE99" t="s">
        <v>15324</v>
      </c>
      <c r="AF99"/>
      <c r="AG99" s="23"/>
      <c r="AH99" s="265" t="str">
        <f>_xlfn.XLOOKUP(G99,Clientes!I:I,Clientes!F:F)</f>
        <v>GRUPO CARGILL</v>
      </c>
    </row>
    <row r="100" spans="1:34" x14ac:dyDescent="0.25">
      <c r="A100">
        <v>199</v>
      </c>
      <c r="B100" t="s">
        <v>738</v>
      </c>
      <c r="C100"/>
      <c r="D100" s="23">
        <v>31064</v>
      </c>
      <c r="E100">
        <v>2731</v>
      </c>
      <c r="F100">
        <v>13</v>
      </c>
      <c r="G100">
        <v>2</v>
      </c>
      <c r="H100" t="s">
        <v>28</v>
      </c>
      <c r="I100" s="23">
        <v>31064</v>
      </c>
      <c r="J100" s="185">
        <v>46064</v>
      </c>
      <c r="K100" s="185">
        <v>46064</v>
      </c>
      <c r="L100" s="185">
        <v>46092</v>
      </c>
      <c r="M100" s="185">
        <v>46078</v>
      </c>
      <c r="N100"/>
      <c r="O100">
        <v>1010100</v>
      </c>
      <c r="P100" t="s">
        <v>29</v>
      </c>
      <c r="Q100">
        <v>200000300</v>
      </c>
      <c r="R100" t="s">
        <v>15383</v>
      </c>
      <c r="S100"/>
      <c r="T100" t="s">
        <v>15323</v>
      </c>
      <c r="U100" t="s">
        <v>1964</v>
      </c>
      <c r="V100" s="23">
        <v>0</v>
      </c>
      <c r="W100" s="23">
        <v>0</v>
      </c>
      <c r="X100" s="23">
        <v>0</v>
      </c>
      <c r="Y100"/>
      <c r="Z100">
        <v>1246263198</v>
      </c>
      <c r="AA100"/>
      <c r="AB100" t="s">
        <v>1199</v>
      </c>
      <c r="AC100">
        <v>102</v>
      </c>
      <c r="AD100">
        <v>4</v>
      </c>
      <c r="AE100" t="s">
        <v>15324</v>
      </c>
      <c r="AF100"/>
      <c r="AG100" s="23"/>
      <c r="AH100" s="265" t="str">
        <f>_xlfn.XLOOKUP(G100,Clientes!I:I,Clientes!F:F)</f>
        <v>GRUPO CARGILL</v>
      </c>
    </row>
    <row r="101" spans="1:34" x14ac:dyDescent="0.25">
      <c r="A101">
        <v>199</v>
      </c>
      <c r="B101" t="s">
        <v>738</v>
      </c>
      <c r="C101"/>
      <c r="D101" s="23">
        <v>31086</v>
      </c>
      <c r="E101">
        <v>2720</v>
      </c>
      <c r="F101">
        <v>13</v>
      </c>
      <c r="G101">
        <v>2</v>
      </c>
      <c r="H101" t="s">
        <v>28</v>
      </c>
      <c r="I101" s="23">
        <v>31086</v>
      </c>
      <c r="J101" s="185">
        <v>46058</v>
      </c>
      <c r="K101" s="185">
        <v>46058</v>
      </c>
      <c r="L101" s="185">
        <v>46086</v>
      </c>
      <c r="M101" s="185">
        <v>46064</v>
      </c>
      <c r="N101"/>
      <c r="O101">
        <v>1010100</v>
      </c>
      <c r="P101" t="s">
        <v>29</v>
      </c>
      <c r="Q101">
        <v>200000300</v>
      </c>
      <c r="R101" t="s">
        <v>15383</v>
      </c>
      <c r="S101"/>
      <c r="T101" t="s">
        <v>15323</v>
      </c>
      <c r="U101" t="s">
        <v>2073</v>
      </c>
      <c r="V101" s="23">
        <v>0</v>
      </c>
      <c r="W101" s="23">
        <v>0</v>
      </c>
      <c r="X101" s="23">
        <v>0</v>
      </c>
      <c r="Y101"/>
      <c r="Z101">
        <v>1246262390</v>
      </c>
      <c r="AA101"/>
      <c r="AB101" t="s">
        <v>2073</v>
      </c>
      <c r="AC101">
        <v>102</v>
      </c>
      <c r="AD101">
        <v>4</v>
      </c>
      <c r="AE101" t="s">
        <v>15324</v>
      </c>
      <c r="AF101"/>
      <c r="AG101" s="23"/>
      <c r="AH101" s="265" t="str">
        <f>_xlfn.XLOOKUP(G101,Clientes!I:I,Clientes!F:F)</f>
        <v>GRUPO CARGILL</v>
      </c>
    </row>
    <row r="102" spans="1:34" x14ac:dyDescent="0.25">
      <c r="A102">
        <v>199</v>
      </c>
      <c r="B102" t="s">
        <v>738</v>
      </c>
      <c r="C102"/>
      <c r="D102" s="23">
        <v>31119</v>
      </c>
      <c r="E102">
        <v>2879</v>
      </c>
      <c r="F102">
        <v>13</v>
      </c>
      <c r="G102">
        <v>2</v>
      </c>
      <c r="H102" t="s">
        <v>28</v>
      </c>
      <c r="I102" s="23">
        <v>31119</v>
      </c>
      <c r="J102" s="185">
        <v>46129</v>
      </c>
      <c r="K102" s="185">
        <v>46129</v>
      </c>
      <c r="L102" s="185">
        <v>46157</v>
      </c>
      <c r="M102" s="185">
        <v>46139</v>
      </c>
      <c r="N102"/>
      <c r="O102">
        <v>1010100</v>
      </c>
      <c r="P102" t="s">
        <v>29</v>
      </c>
      <c r="Q102">
        <v>200000300</v>
      </c>
      <c r="R102" t="s">
        <v>15383</v>
      </c>
      <c r="S102"/>
      <c r="T102" t="s">
        <v>15323</v>
      </c>
      <c r="U102" t="s">
        <v>1964</v>
      </c>
      <c r="V102" s="23">
        <v>0</v>
      </c>
      <c r="W102" s="23">
        <v>0</v>
      </c>
      <c r="X102" s="23">
        <v>0</v>
      </c>
      <c r="Y102"/>
      <c r="Z102">
        <v>1246271697</v>
      </c>
      <c r="AA102"/>
      <c r="AB102" t="s">
        <v>1199</v>
      </c>
      <c r="AC102">
        <v>102</v>
      </c>
      <c r="AD102">
        <v>4</v>
      </c>
      <c r="AE102" t="s">
        <v>15324</v>
      </c>
      <c r="AF102"/>
      <c r="AG102" s="23"/>
      <c r="AH102" s="265" t="str">
        <f>_xlfn.XLOOKUP(G102,Clientes!I:I,Clientes!F:F)</f>
        <v>GRUPO CARGILL</v>
      </c>
    </row>
    <row r="103" spans="1:34" x14ac:dyDescent="0.25">
      <c r="A103">
        <v>199</v>
      </c>
      <c r="B103" t="s">
        <v>738</v>
      </c>
      <c r="C103"/>
      <c r="D103" s="23">
        <v>31163</v>
      </c>
      <c r="E103">
        <v>3005</v>
      </c>
      <c r="F103">
        <v>13</v>
      </c>
      <c r="G103">
        <v>2</v>
      </c>
      <c r="H103" t="s">
        <v>28</v>
      </c>
      <c r="I103" s="23">
        <v>31163</v>
      </c>
      <c r="J103" s="185">
        <v>46182</v>
      </c>
      <c r="K103" s="185">
        <v>46182</v>
      </c>
      <c r="L103" s="185">
        <v>46210</v>
      </c>
      <c r="M103" s="185"/>
      <c r="N103"/>
      <c r="O103">
        <v>1010100</v>
      </c>
      <c r="P103" t="s">
        <v>29</v>
      </c>
      <c r="Q103">
        <v>200000300</v>
      </c>
      <c r="R103" t="s">
        <v>15383</v>
      </c>
      <c r="S103"/>
      <c r="T103" t="s">
        <v>15323</v>
      </c>
      <c r="U103" t="s">
        <v>1964</v>
      </c>
      <c r="V103" s="23">
        <v>0</v>
      </c>
      <c r="W103" s="23">
        <v>0</v>
      </c>
      <c r="X103" s="23">
        <v>0</v>
      </c>
      <c r="Y103"/>
      <c r="Z103">
        <v>1246278732</v>
      </c>
      <c r="AA103"/>
      <c r="AB103"/>
      <c r="AC103">
        <v>102</v>
      </c>
      <c r="AD103">
        <v>4</v>
      </c>
      <c r="AE103" t="s">
        <v>15324</v>
      </c>
      <c r="AF103"/>
      <c r="AG103" s="23"/>
      <c r="AH103" s="265" t="str">
        <f>_xlfn.XLOOKUP(G103,Clientes!I:I,Clientes!F:F)</f>
        <v>GRUPO CARGILL</v>
      </c>
    </row>
    <row r="104" spans="1:34" x14ac:dyDescent="0.25">
      <c r="A104">
        <v>199</v>
      </c>
      <c r="B104" t="s">
        <v>738</v>
      </c>
      <c r="C104"/>
      <c r="D104" s="23">
        <v>31207</v>
      </c>
      <c r="E104">
        <v>2770</v>
      </c>
      <c r="F104">
        <v>13</v>
      </c>
      <c r="G104">
        <v>2</v>
      </c>
      <c r="H104" t="s">
        <v>28</v>
      </c>
      <c r="I104" s="23">
        <v>31207</v>
      </c>
      <c r="J104" s="185">
        <v>46077</v>
      </c>
      <c r="K104" s="185">
        <v>46077</v>
      </c>
      <c r="L104" s="185">
        <v>46105</v>
      </c>
      <c r="M104" s="185">
        <v>46080</v>
      </c>
      <c r="N104"/>
      <c r="O104">
        <v>1010100</v>
      </c>
      <c r="P104" t="s">
        <v>29</v>
      </c>
      <c r="Q104">
        <v>200000300</v>
      </c>
      <c r="R104" t="s">
        <v>15383</v>
      </c>
      <c r="S104"/>
      <c r="T104" t="s">
        <v>15323</v>
      </c>
      <c r="U104" t="s">
        <v>1530</v>
      </c>
      <c r="V104" s="23">
        <v>0</v>
      </c>
      <c r="W104" s="23">
        <v>0</v>
      </c>
      <c r="X104" s="23">
        <v>0</v>
      </c>
      <c r="Y104"/>
      <c r="Z104">
        <v>1246264821</v>
      </c>
      <c r="AA104"/>
      <c r="AB104" t="s">
        <v>1199</v>
      </c>
      <c r="AC104">
        <v>102</v>
      </c>
      <c r="AD104">
        <v>4</v>
      </c>
      <c r="AE104" t="s">
        <v>15324</v>
      </c>
      <c r="AF104"/>
      <c r="AG104" s="23"/>
      <c r="AH104" s="265" t="str">
        <f>_xlfn.XLOOKUP(G104,Clientes!I:I,Clientes!F:F)</f>
        <v>GRUPO CARGILL</v>
      </c>
    </row>
    <row r="105" spans="1:34" x14ac:dyDescent="0.25">
      <c r="A105">
        <v>199</v>
      </c>
      <c r="B105" t="s">
        <v>738</v>
      </c>
      <c r="C105"/>
      <c r="D105" s="23">
        <v>31207</v>
      </c>
      <c r="E105">
        <v>2804</v>
      </c>
      <c r="F105">
        <v>13</v>
      </c>
      <c r="G105">
        <v>2</v>
      </c>
      <c r="H105" t="s">
        <v>28</v>
      </c>
      <c r="I105" s="23">
        <v>31207</v>
      </c>
      <c r="J105" s="185">
        <v>46091</v>
      </c>
      <c r="K105" s="185">
        <v>46091</v>
      </c>
      <c r="L105" s="185">
        <v>46119</v>
      </c>
      <c r="M105" s="185">
        <v>46093</v>
      </c>
      <c r="N105"/>
      <c r="O105">
        <v>1010100</v>
      </c>
      <c r="P105" t="s">
        <v>29</v>
      </c>
      <c r="Q105">
        <v>200000300</v>
      </c>
      <c r="R105" t="s">
        <v>15383</v>
      </c>
      <c r="S105"/>
      <c r="T105" t="s">
        <v>15323</v>
      </c>
      <c r="U105" t="s">
        <v>1964</v>
      </c>
      <c r="V105" s="23">
        <v>0</v>
      </c>
      <c r="W105" s="23">
        <v>0</v>
      </c>
      <c r="X105" s="23">
        <v>0</v>
      </c>
      <c r="Y105"/>
      <c r="Z105">
        <v>1246267174</v>
      </c>
      <c r="AA105"/>
      <c r="AB105" t="s">
        <v>1199</v>
      </c>
      <c r="AC105">
        <v>102</v>
      </c>
      <c r="AD105">
        <v>4</v>
      </c>
      <c r="AE105" t="s">
        <v>15324</v>
      </c>
      <c r="AF105"/>
      <c r="AG105" s="23"/>
      <c r="AH105" s="265" t="str">
        <f>_xlfn.XLOOKUP(G105,Clientes!I:I,Clientes!F:F)</f>
        <v>GRUPO CARGILL</v>
      </c>
    </row>
    <row r="106" spans="1:34" x14ac:dyDescent="0.25">
      <c r="A106">
        <v>199</v>
      </c>
      <c r="B106" t="s">
        <v>738</v>
      </c>
      <c r="C106"/>
      <c r="D106" s="23">
        <v>31218</v>
      </c>
      <c r="E106">
        <v>2955</v>
      </c>
      <c r="F106">
        <v>13</v>
      </c>
      <c r="G106">
        <v>2</v>
      </c>
      <c r="H106" t="s">
        <v>28</v>
      </c>
      <c r="I106" s="23">
        <v>31218</v>
      </c>
      <c r="J106" s="185">
        <v>46164</v>
      </c>
      <c r="K106" s="185">
        <v>46164</v>
      </c>
      <c r="L106" s="185">
        <v>46192</v>
      </c>
      <c r="M106" s="185">
        <v>46171</v>
      </c>
      <c r="N106"/>
      <c r="O106">
        <v>1010100</v>
      </c>
      <c r="P106" t="s">
        <v>29</v>
      </c>
      <c r="Q106">
        <v>200000300</v>
      </c>
      <c r="R106" t="s">
        <v>15383</v>
      </c>
      <c r="S106"/>
      <c r="T106" t="s">
        <v>15323</v>
      </c>
      <c r="U106" t="s">
        <v>1964</v>
      </c>
      <c r="V106" s="23">
        <v>0</v>
      </c>
      <c r="W106" s="23">
        <v>0</v>
      </c>
      <c r="X106" s="23">
        <v>0</v>
      </c>
      <c r="Y106"/>
      <c r="Z106">
        <v>1246276285</v>
      </c>
      <c r="AA106"/>
      <c r="AB106" t="s">
        <v>1199</v>
      </c>
      <c r="AC106">
        <v>102</v>
      </c>
      <c r="AD106">
        <v>4</v>
      </c>
      <c r="AE106" t="s">
        <v>15324</v>
      </c>
      <c r="AF106"/>
      <c r="AG106" s="23"/>
      <c r="AH106" s="265" t="str">
        <f>_xlfn.XLOOKUP(G106,Clientes!I:I,Clientes!F:F)</f>
        <v>GRUPO CARGILL</v>
      </c>
    </row>
    <row r="107" spans="1:34" x14ac:dyDescent="0.25">
      <c r="A107">
        <v>161</v>
      </c>
      <c r="B107" t="s">
        <v>145</v>
      </c>
      <c r="C107"/>
      <c r="D107" s="23">
        <v>31218.42</v>
      </c>
      <c r="E107">
        <v>10786</v>
      </c>
      <c r="F107">
        <v>11</v>
      </c>
      <c r="G107">
        <v>5209</v>
      </c>
      <c r="H107" t="s">
        <v>83</v>
      </c>
      <c r="I107" s="23">
        <v>31218.42</v>
      </c>
      <c r="J107" s="185">
        <v>46080</v>
      </c>
      <c r="K107" s="185">
        <v>46080</v>
      </c>
      <c r="L107" s="185">
        <v>46108</v>
      </c>
      <c r="M107" s="185">
        <v>46108</v>
      </c>
      <c r="N107"/>
      <c r="O107">
        <v>1010100</v>
      </c>
      <c r="P107" t="s">
        <v>29</v>
      </c>
      <c r="Q107">
        <v>200000100</v>
      </c>
      <c r="R107" t="s">
        <v>15322</v>
      </c>
      <c r="S107"/>
      <c r="T107" t="s">
        <v>15323</v>
      </c>
      <c r="U107" t="s">
        <v>6311</v>
      </c>
      <c r="V107" s="23">
        <v>0</v>
      </c>
      <c r="W107" s="23">
        <v>0</v>
      </c>
      <c r="X107" s="23">
        <v>0</v>
      </c>
      <c r="Y107"/>
      <c r="Z107">
        <v>1246265763</v>
      </c>
      <c r="AA107"/>
      <c r="AB107" t="s">
        <v>1186</v>
      </c>
      <c r="AC107">
        <v>102</v>
      </c>
      <c r="AD107">
        <v>4</v>
      </c>
      <c r="AE107" t="s">
        <v>15324</v>
      </c>
      <c r="AF107"/>
      <c r="AG107" s="23"/>
      <c r="AH107" s="265" t="str">
        <f>_xlfn.XLOOKUP(G107,Clientes!I:I,Clientes!F:F)</f>
        <v>NUTRISOYA - CATALÃO</v>
      </c>
    </row>
    <row r="108" spans="1:34" x14ac:dyDescent="0.25">
      <c r="A108">
        <v>199</v>
      </c>
      <c r="B108" t="s">
        <v>738</v>
      </c>
      <c r="C108"/>
      <c r="D108" s="23">
        <v>31240</v>
      </c>
      <c r="E108">
        <v>2922</v>
      </c>
      <c r="F108">
        <v>13</v>
      </c>
      <c r="G108">
        <v>2</v>
      </c>
      <c r="H108" t="s">
        <v>28</v>
      </c>
      <c r="I108" s="23">
        <v>31240</v>
      </c>
      <c r="J108" s="185">
        <v>46149</v>
      </c>
      <c r="K108" s="185">
        <v>46149</v>
      </c>
      <c r="L108" s="185">
        <v>46177</v>
      </c>
      <c r="M108" s="185">
        <v>46153</v>
      </c>
      <c r="N108"/>
      <c r="O108">
        <v>1010100</v>
      </c>
      <c r="P108" t="s">
        <v>29</v>
      </c>
      <c r="Q108">
        <v>200000300</v>
      </c>
      <c r="R108" t="s">
        <v>15383</v>
      </c>
      <c r="S108"/>
      <c r="T108" t="s">
        <v>15323</v>
      </c>
      <c r="U108" t="s">
        <v>1964</v>
      </c>
      <c r="V108" s="23">
        <v>0</v>
      </c>
      <c r="W108" s="23">
        <v>0</v>
      </c>
      <c r="X108" s="23">
        <v>0</v>
      </c>
      <c r="Y108"/>
      <c r="Z108">
        <v>1246273963</v>
      </c>
      <c r="AA108"/>
      <c r="AB108" t="s">
        <v>1199</v>
      </c>
      <c r="AC108">
        <v>102</v>
      </c>
      <c r="AD108">
        <v>4</v>
      </c>
      <c r="AE108" t="s">
        <v>15324</v>
      </c>
      <c r="AF108"/>
      <c r="AG108" s="23"/>
      <c r="AH108" s="265" t="str">
        <f>_xlfn.XLOOKUP(G108,Clientes!I:I,Clientes!F:F)</f>
        <v>GRUPO CARGILL</v>
      </c>
    </row>
    <row r="109" spans="1:34" x14ac:dyDescent="0.25">
      <c r="A109">
        <v>199</v>
      </c>
      <c r="B109" t="s">
        <v>738</v>
      </c>
      <c r="C109"/>
      <c r="D109" s="23">
        <v>31273</v>
      </c>
      <c r="E109">
        <v>2984</v>
      </c>
      <c r="F109">
        <v>13</v>
      </c>
      <c r="G109">
        <v>2</v>
      </c>
      <c r="H109" t="s">
        <v>28</v>
      </c>
      <c r="I109" s="23">
        <v>31273</v>
      </c>
      <c r="J109" s="185">
        <v>46172</v>
      </c>
      <c r="K109" s="185">
        <v>46172</v>
      </c>
      <c r="L109" s="185">
        <v>46200</v>
      </c>
      <c r="M109" s="185">
        <v>46174</v>
      </c>
      <c r="N109"/>
      <c r="O109">
        <v>1010100</v>
      </c>
      <c r="P109" t="s">
        <v>29</v>
      </c>
      <c r="Q109">
        <v>200000300</v>
      </c>
      <c r="R109" t="s">
        <v>15383</v>
      </c>
      <c r="S109"/>
      <c r="T109" t="s">
        <v>15323</v>
      </c>
      <c r="U109" t="s">
        <v>1964</v>
      </c>
      <c r="V109" s="23">
        <v>0</v>
      </c>
      <c r="W109" s="23">
        <v>0</v>
      </c>
      <c r="X109" s="23">
        <v>0</v>
      </c>
      <c r="Y109"/>
      <c r="Z109">
        <v>1246277511</v>
      </c>
      <c r="AA109"/>
      <c r="AB109" t="s">
        <v>1199</v>
      </c>
      <c r="AC109">
        <v>102</v>
      </c>
      <c r="AD109">
        <v>4</v>
      </c>
      <c r="AE109" t="s">
        <v>15324</v>
      </c>
      <c r="AF109"/>
      <c r="AG109" s="23"/>
      <c r="AH109" s="265" t="str">
        <f>_xlfn.XLOOKUP(G109,Clientes!I:I,Clientes!F:F)</f>
        <v>GRUPO CARGILL</v>
      </c>
    </row>
    <row r="110" spans="1:34" x14ac:dyDescent="0.25">
      <c r="A110">
        <v>199</v>
      </c>
      <c r="B110" t="s">
        <v>738</v>
      </c>
      <c r="C110"/>
      <c r="D110" s="23">
        <v>31306</v>
      </c>
      <c r="E110">
        <v>2862</v>
      </c>
      <c r="F110">
        <v>13</v>
      </c>
      <c r="G110">
        <v>2</v>
      </c>
      <c r="H110" t="s">
        <v>28</v>
      </c>
      <c r="I110" s="23">
        <v>31306</v>
      </c>
      <c r="J110" s="185">
        <v>46113</v>
      </c>
      <c r="K110" s="185">
        <v>46113</v>
      </c>
      <c r="L110" s="185">
        <v>46141</v>
      </c>
      <c r="M110" s="185">
        <v>46119</v>
      </c>
      <c r="N110"/>
      <c r="O110">
        <v>1010100</v>
      </c>
      <c r="P110" t="s">
        <v>29</v>
      </c>
      <c r="Q110">
        <v>200000300</v>
      </c>
      <c r="R110" t="s">
        <v>15383</v>
      </c>
      <c r="S110"/>
      <c r="T110" t="s">
        <v>15323</v>
      </c>
      <c r="U110" t="s">
        <v>1530</v>
      </c>
      <c r="V110" s="23">
        <v>0</v>
      </c>
      <c r="W110" s="23">
        <v>0</v>
      </c>
      <c r="X110" s="23">
        <v>0</v>
      </c>
      <c r="Y110"/>
      <c r="Z110">
        <v>1246269938</v>
      </c>
      <c r="AA110"/>
      <c r="AB110" t="s">
        <v>1199</v>
      </c>
      <c r="AC110">
        <v>102</v>
      </c>
      <c r="AD110">
        <v>4</v>
      </c>
      <c r="AE110" t="s">
        <v>15324</v>
      </c>
      <c r="AF110"/>
      <c r="AG110" s="23"/>
      <c r="AH110" s="265" t="str">
        <f>_xlfn.XLOOKUP(G110,Clientes!I:I,Clientes!F:F)</f>
        <v>GRUPO CARGILL</v>
      </c>
    </row>
    <row r="111" spans="1:34" x14ac:dyDescent="0.25">
      <c r="A111">
        <v>199</v>
      </c>
      <c r="B111" t="s">
        <v>738</v>
      </c>
      <c r="C111"/>
      <c r="D111" s="23">
        <v>31317</v>
      </c>
      <c r="E111">
        <v>2994</v>
      </c>
      <c r="F111">
        <v>13</v>
      </c>
      <c r="G111">
        <v>2</v>
      </c>
      <c r="H111" t="s">
        <v>28</v>
      </c>
      <c r="I111" s="23">
        <v>31317</v>
      </c>
      <c r="J111" s="185">
        <v>46176</v>
      </c>
      <c r="K111" s="185">
        <v>46176</v>
      </c>
      <c r="L111" s="185">
        <v>46204</v>
      </c>
      <c r="M111" s="185">
        <v>46184</v>
      </c>
      <c r="N111"/>
      <c r="O111">
        <v>1010100</v>
      </c>
      <c r="P111" t="s">
        <v>29</v>
      </c>
      <c r="Q111">
        <v>200000300</v>
      </c>
      <c r="R111" t="s">
        <v>15383</v>
      </c>
      <c r="S111"/>
      <c r="T111" t="s">
        <v>15323</v>
      </c>
      <c r="U111" t="s">
        <v>1964</v>
      </c>
      <c r="V111" s="23">
        <v>0</v>
      </c>
      <c r="W111" s="23">
        <v>0</v>
      </c>
      <c r="X111" s="23">
        <v>0</v>
      </c>
      <c r="Y111"/>
      <c r="Z111">
        <v>1246278025</v>
      </c>
      <c r="AA111"/>
      <c r="AB111" t="s">
        <v>1199</v>
      </c>
      <c r="AC111">
        <v>102</v>
      </c>
      <c r="AD111">
        <v>4</v>
      </c>
      <c r="AE111" t="s">
        <v>15324</v>
      </c>
      <c r="AF111"/>
      <c r="AG111" s="23"/>
      <c r="AH111" s="265" t="str">
        <f>_xlfn.XLOOKUP(G111,Clientes!I:I,Clientes!F:F)</f>
        <v>GRUPO CARGILL</v>
      </c>
    </row>
    <row r="112" spans="1:34" x14ac:dyDescent="0.25">
      <c r="A112">
        <v>199</v>
      </c>
      <c r="B112" t="s">
        <v>738</v>
      </c>
      <c r="C112"/>
      <c r="D112" s="23">
        <v>31339</v>
      </c>
      <c r="E112">
        <v>2823</v>
      </c>
      <c r="F112">
        <v>13</v>
      </c>
      <c r="G112">
        <v>2</v>
      </c>
      <c r="H112" t="s">
        <v>28</v>
      </c>
      <c r="I112" s="23">
        <v>31339</v>
      </c>
      <c r="J112" s="185">
        <v>46099</v>
      </c>
      <c r="K112" s="185">
        <v>46099</v>
      </c>
      <c r="L112" s="185">
        <v>46127</v>
      </c>
      <c r="M112" s="185">
        <v>46100</v>
      </c>
      <c r="N112"/>
      <c r="O112">
        <v>1010100</v>
      </c>
      <c r="P112" t="s">
        <v>29</v>
      </c>
      <c r="Q112">
        <v>200000300</v>
      </c>
      <c r="R112" t="s">
        <v>15383</v>
      </c>
      <c r="S112"/>
      <c r="T112" t="s">
        <v>15323</v>
      </c>
      <c r="U112" t="s">
        <v>1964</v>
      </c>
      <c r="V112" s="23">
        <v>0</v>
      </c>
      <c r="W112" s="23">
        <v>0</v>
      </c>
      <c r="X112" s="23">
        <v>0</v>
      </c>
      <c r="Y112"/>
      <c r="Z112">
        <v>1246268242</v>
      </c>
      <c r="AA112"/>
      <c r="AB112" t="s">
        <v>1199</v>
      </c>
      <c r="AC112">
        <v>102</v>
      </c>
      <c r="AD112">
        <v>4</v>
      </c>
      <c r="AE112" t="s">
        <v>15324</v>
      </c>
      <c r="AF112"/>
      <c r="AG112" s="23"/>
      <c r="AH112" s="265" t="str">
        <f>_xlfn.XLOOKUP(G112,Clientes!I:I,Clientes!F:F)</f>
        <v>GRUPO CARGILL</v>
      </c>
    </row>
    <row r="113" spans="1:34" x14ac:dyDescent="0.25">
      <c r="A113">
        <v>199</v>
      </c>
      <c r="B113" t="s">
        <v>738</v>
      </c>
      <c r="C113"/>
      <c r="D113" s="23">
        <v>31339</v>
      </c>
      <c r="E113">
        <v>3000</v>
      </c>
      <c r="F113">
        <v>13</v>
      </c>
      <c r="G113">
        <v>2</v>
      </c>
      <c r="H113" t="s">
        <v>28</v>
      </c>
      <c r="I113" s="23">
        <v>31339</v>
      </c>
      <c r="J113" s="185">
        <v>46178</v>
      </c>
      <c r="K113" s="185">
        <v>46178</v>
      </c>
      <c r="L113" s="185">
        <v>46206</v>
      </c>
      <c r="M113" s="185">
        <v>46184</v>
      </c>
      <c r="N113"/>
      <c r="O113">
        <v>1010100</v>
      </c>
      <c r="P113" t="s">
        <v>29</v>
      </c>
      <c r="Q113">
        <v>200000300</v>
      </c>
      <c r="R113" t="s">
        <v>15383</v>
      </c>
      <c r="S113"/>
      <c r="T113" t="s">
        <v>15323</v>
      </c>
      <c r="U113" t="s">
        <v>1964</v>
      </c>
      <c r="V113" s="23">
        <v>0</v>
      </c>
      <c r="W113" s="23">
        <v>0</v>
      </c>
      <c r="X113" s="23">
        <v>0</v>
      </c>
      <c r="Y113"/>
      <c r="Z113">
        <v>1246278384</v>
      </c>
      <c r="AA113"/>
      <c r="AB113" t="s">
        <v>1199</v>
      </c>
      <c r="AC113">
        <v>102</v>
      </c>
      <c r="AD113">
        <v>4</v>
      </c>
      <c r="AE113" t="s">
        <v>15324</v>
      </c>
      <c r="AF113"/>
      <c r="AG113" s="23"/>
      <c r="AH113" s="265" t="str">
        <f>_xlfn.XLOOKUP(G113,Clientes!I:I,Clientes!F:F)</f>
        <v>GRUPO CARGILL</v>
      </c>
    </row>
    <row r="114" spans="1:34" x14ac:dyDescent="0.25">
      <c r="A114">
        <v>161</v>
      </c>
      <c r="B114" t="s">
        <v>145</v>
      </c>
      <c r="C114"/>
      <c r="D114" s="23">
        <v>31780</v>
      </c>
      <c r="E114">
        <v>2935</v>
      </c>
      <c r="F114">
        <v>13</v>
      </c>
      <c r="G114">
        <v>5657</v>
      </c>
      <c r="H114" t="s">
        <v>84</v>
      </c>
      <c r="I114" s="23">
        <v>31780</v>
      </c>
      <c r="J114" s="185">
        <v>46154</v>
      </c>
      <c r="K114" s="185">
        <v>46154</v>
      </c>
      <c r="L114" s="185">
        <v>46182</v>
      </c>
      <c r="M114" s="185">
        <v>46181</v>
      </c>
      <c r="N114"/>
      <c r="O114">
        <v>1010100</v>
      </c>
      <c r="P114" t="s">
        <v>29</v>
      </c>
      <c r="Q114">
        <v>200000100</v>
      </c>
      <c r="R114" t="s">
        <v>15322</v>
      </c>
      <c r="S114"/>
      <c r="T114" t="s">
        <v>15323</v>
      </c>
      <c r="U114" t="s">
        <v>6311</v>
      </c>
      <c r="V114" s="23">
        <v>0</v>
      </c>
      <c r="W114" s="23">
        <v>0</v>
      </c>
      <c r="X114" s="23">
        <v>0</v>
      </c>
      <c r="Y114"/>
      <c r="Z114">
        <v>1246274603</v>
      </c>
      <c r="AA114"/>
      <c r="AB114" t="s">
        <v>1186</v>
      </c>
      <c r="AC114">
        <v>102</v>
      </c>
      <c r="AD114">
        <v>4</v>
      </c>
      <c r="AE114" t="s">
        <v>15324</v>
      </c>
      <c r="AF114"/>
      <c r="AG114" s="23"/>
      <c r="AH114" s="265" t="str">
        <f>_xlfn.XLOOKUP(G114,Clientes!I:I,Clientes!F:F)</f>
        <v>FERTIPLANTA - VARGEM GRANDE DO SUL</v>
      </c>
    </row>
    <row r="115" spans="1:34" x14ac:dyDescent="0.25">
      <c r="A115">
        <v>161</v>
      </c>
      <c r="B115" t="s">
        <v>145</v>
      </c>
      <c r="C115"/>
      <c r="D115" s="23">
        <v>32320</v>
      </c>
      <c r="E115">
        <v>2857</v>
      </c>
      <c r="F115">
        <v>13</v>
      </c>
      <c r="G115">
        <v>5657</v>
      </c>
      <c r="H115" t="s">
        <v>84</v>
      </c>
      <c r="I115" s="23">
        <v>32320</v>
      </c>
      <c r="J115" s="185">
        <v>46112</v>
      </c>
      <c r="K115" s="185">
        <v>46112</v>
      </c>
      <c r="L115" s="185">
        <v>46140</v>
      </c>
      <c r="M115" s="185">
        <v>46139</v>
      </c>
      <c r="N115"/>
      <c r="O115">
        <v>1010100</v>
      </c>
      <c r="P115" t="s">
        <v>29</v>
      </c>
      <c r="Q115">
        <v>200000100</v>
      </c>
      <c r="R115" t="s">
        <v>15322</v>
      </c>
      <c r="S115"/>
      <c r="T115" t="s">
        <v>15323</v>
      </c>
      <c r="U115" t="s">
        <v>1215</v>
      </c>
      <c r="V115" s="23">
        <v>0</v>
      </c>
      <c r="W115" s="23">
        <v>0</v>
      </c>
      <c r="X115" s="23">
        <v>0</v>
      </c>
      <c r="Y115"/>
      <c r="Z115">
        <v>1246269757</v>
      </c>
      <c r="AA115"/>
      <c r="AB115" t="s">
        <v>1186</v>
      </c>
      <c r="AC115">
        <v>102</v>
      </c>
      <c r="AD115">
        <v>4</v>
      </c>
      <c r="AE115" t="s">
        <v>15324</v>
      </c>
      <c r="AF115"/>
      <c r="AG115" s="23"/>
      <c r="AH115" s="265" t="str">
        <f>_xlfn.XLOOKUP(G115,Clientes!I:I,Clientes!F:F)</f>
        <v>FERTIPLANTA - VARGEM GRANDE DO SUL</v>
      </c>
    </row>
    <row r="116" spans="1:34" x14ac:dyDescent="0.25">
      <c r="A116">
        <v>161</v>
      </c>
      <c r="B116" t="s">
        <v>145</v>
      </c>
      <c r="C116"/>
      <c r="D116" s="23">
        <v>32495.81</v>
      </c>
      <c r="E116">
        <v>10902</v>
      </c>
      <c r="F116">
        <v>11</v>
      </c>
      <c r="G116">
        <v>2900</v>
      </c>
      <c r="H116" t="s">
        <v>463</v>
      </c>
      <c r="I116" s="23">
        <v>32495.81</v>
      </c>
      <c r="J116" s="185">
        <v>46097</v>
      </c>
      <c r="K116" s="185">
        <v>46097</v>
      </c>
      <c r="L116" s="185">
        <v>46117</v>
      </c>
      <c r="M116" s="185">
        <v>46112</v>
      </c>
      <c r="N116"/>
      <c r="O116">
        <v>1010100</v>
      </c>
      <c r="P116" t="s">
        <v>29</v>
      </c>
      <c r="Q116">
        <v>200000100</v>
      </c>
      <c r="R116" t="s">
        <v>15322</v>
      </c>
      <c r="S116"/>
      <c r="T116" t="s">
        <v>15323</v>
      </c>
      <c r="U116" t="s">
        <v>6311</v>
      </c>
      <c r="V116" s="23">
        <v>0</v>
      </c>
      <c r="W116" s="23">
        <v>0</v>
      </c>
      <c r="X116" s="23">
        <v>0</v>
      </c>
      <c r="Y116"/>
      <c r="Z116">
        <v>1246267970</v>
      </c>
      <c r="AA116"/>
      <c r="AB116" t="s">
        <v>1186</v>
      </c>
      <c r="AC116">
        <v>102</v>
      </c>
      <c r="AD116">
        <v>4</v>
      </c>
      <c r="AE116" t="s">
        <v>15324</v>
      </c>
      <c r="AF116"/>
      <c r="AG116" s="23"/>
      <c r="AH116" s="265" t="str">
        <f>_xlfn.XLOOKUP(G116,Clientes!I:I,Clientes!F:F)</f>
        <v>BIOSAFRA - MARUIM</v>
      </c>
    </row>
    <row r="117" spans="1:34" x14ac:dyDescent="0.25">
      <c r="A117">
        <v>161</v>
      </c>
      <c r="B117" t="s">
        <v>145</v>
      </c>
      <c r="C117"/>
      <c r="D117" s="23">
        <v>32495.81</v>
      </c>
      <c r="E117">
        <v>10902</v>
      </c>
      <c r="F117">
        <v>11</v>
      </c>
      <c r="G117">
        <v>2900</v>
      </c>
      <c r="H117" t="s">
        <v>463</v>
      </c>
      <c r="I117" s="23">
        <v>32495.81</v>
      </c>
      <c r="J117" s="185">
        <v>46097</v>
      </c>
      <c r="K117" s="185">
        <v>46097</v>
      </c>
      <c r="L117" s="185">
        <v>46137</v>
      </c>
      <c r="M117" s="185">
        <v>46134</v>
      </c>
      <c r="N117"/>
      <c r="O117">
        <v>1010100</v>
      </c>
      <c r="P117" t="s">
        <v>29</v>
      </c>
      <c r="Q117">
        <v>200000100</v>
      </c>
      <c r="R117" t="s">
        <v>15322</v>
      </c>
      <c r="S117"/>
      <c r="T117" t="s">
        <v>15323</v>
      </c>
      <c r="U117" t="s">
        <v>6311</v>
      </c>
      <c r="V117" s="23">
        <v>0</v>
      </c>
      <c r="W117" s="23">
        <v>0</v>
      </c>
      <c r="X117" s="23">
        <v>0</v>
      </c>
      <c r="Y117"/>
      <c r="Z117">
        <v>1246267971</v>
      </c>
      <c r="AA117"/>
      <c r="AB117" t="s">
        <v>1186</v>
      </c>
      <c r="AC117">
        <v>102</v>
      </c>
      <c r="AD117">
        <v>4</v>
      </c>
      <c r="AE117" t="s">
        <v>15324</v>
      </c>
      <c r="AF117"/>
      <c r="AG117" s="23"/>
      <c r="AH117" s="265" t="str">
        <f>_xlfn.XLOOKUP(G117,Clientes!I:I,Clientes!F:F)</f>
        <v>BIOSAFRA - MARUIM</v>
      </c>
    </row>
    <row r="118" spans="1:34" x14ac:dyDescent="0.25">
      <c r="A118">
        <v>161</v>
      </c>
      <c r="B118" t="s">
        <v>145</v>
      </c>
      <c r="C118"/>
      <c r="D118" s="23">
        <v>32495.81</v>
      </c>
      <c r="E118">
        <v>10902</v>
      </c>
      <c r="F118">
        <v>11</v>
      </c>
      <c r="G118">
        <v>2900</v>
      </c>
      <c r="H118" t="s">
        <v>463</v>
      </c>
      <c r="I118" s="23">
        <v>32495.81</v>
      </c>
      <c r="J118" s="185">
        <v>46097</v>
      </c>
      <c r="K118" s="185">
        <v>46097</v>
      </c>
      <c r="L118" s="185">
        <v>46157</v>
      </c>
      <c r="M118" s="185">
        <v>46154</v>
      </c>
      <c r="N118"/>
      <c r="O118">
        <v>1010100</v>
      </c>
      <c r="P118" t="s">
        <v>29</v>
      </c>
      <c r="Q118">
        <v>200000100</v>
      </c>
      <c r="R118" t="s">
        <v>15322</v>
      </c>
      <c r="S118"/>
      <c r="T118" t="s">
        <v>15323</v>
      </c>
      <c r="U118" t="s">
        <v>6311</v>
      </c>
      <c r="V118" s="23">
        <v>0</v>
      </c>
      <c r="W118" s="23">
        <v>0</v>
      </c>
      <c r="X118" s="23">
        <v>0</v>
      </c>
      <c r="Y118"/>
      <c r="Z118">
        <v>1246267972</v>
      </c>
      <c r="AA118"/>
      <c r="AB118" t="s">
        <v>1186</v>
      </c>
      <c r="AC118">
        <v>102</v>
      </c>
      <c r="AD118">
        <v>4</v>
      </c>
      <c r="AE118" t="s">
        <v>15324</v>
      </c>
      <c r="AF118"/>
      <c r="AG118" s="23"/>
      <c r="AH118" s="265" t="str">
        <f>_xlfn.XLOOKUP(G118,Clientes!I:I,Clientes!F:F)</f>
        <v>BIOSAFRA - MARUIM</v>
      </c>
    </row>
    <row r="119" spans="1:34" x14ac:dyDescent="0.25">
      <c r="A119">
        <v>161</v>
      </c>
      <c r="B119" t="s">
        <v>145</v>
      </c>
      <c r="C119"/>
      <c r="D119" s="23">
        <v>32495.82</v>
      </c>
      <c r="E119">
        <v>10902</v>
      </c>
      <c r="F119">
        <v>11</v>
      </c>
      <c r="G119">
        <v>2900</v>
      </c>
      <c r="H119" t="s">
        <v>463</v>
      </c>
      <c r="I119" s="23">
        <v>32495.82</v>
      </c>
      <c r="J119" s="185">
        <v>46097</v>
      </c>
      <c r="K119" s="185">
        <v>46097</v>
      </c>
      <c r="L119" s="185">
        <v>46187</v>
      </c>
      <c r="M119" s="185">
        <v>46182</v>
      </c>
      <c r="N119"/>
      <c r="O119">
        <v>1010100</v>
      </c>
      <c r="P119" t="s">
        <v>29</v>
      </c>
      <c r="Q119">
        <v>200000100</v>
      </c>
      <c r="R119" t="s">
        <v>15322</v>
      </c>
      <c r="S119"/>
      <c r="T119" t="s">
        <v>15323</v>
      </c>
      <c r="U119" t="s">
        <v>6311</v>
      </c>
      <c r="V119" s="23">
        <v>0</v>
      </c>
      <c r="W119" s="23">
        <v>0</v>
      </c>
      <c r="X119" s="23">
        <v>0</v>
      </c>
      <c r="Y119"/>
      <c r="Z119">
        <v>1246267973</v>
      </c>
      <c r="AA119"/>
      <c r="AB119" t="s">
        <v>1186</v>
      </c>
      <c r="AC119">
        <v>102</v>
      </c>
      <c r="AD119">
        <v>4</v>
      </c>
      <c r="AE119" t="s">
        <v>15324</v>
      </c>
      <c r="AF119"/>
      <c r="AG119" s="23"/>
      <c r="AH119" s="265" t="str">
        <f>_xlfn.XLOOKUP(G119,Clientes!I:I,Clientes!F:F)</f>
        <v>BIOSAFRA - MARUIM</v>
      </c>
    </row>
    <row r="120" spans="1:34" x14ac:dyDescent="0.25">
      <c r="A120">
        <v>161</v>
      </c>
      <c r="B120" t="s">
        <v>145</v>
      </c>
      <c r="C120"/>
      <c r="D120" s="23">
        <v>32896.199999999997</v>
      </c>
      <c r="E120">
        <v>11751</v>
      </c>
      <c r="F120">
        <v>11</v>
      </c>
      <c r="G120">
        <v>1953</v>
      </c>
      <c r="H120" t="s">
        <v>66</v>
      </c>
      <c r="I120" s="23">
        <v>32896.199999999997</v>
      </c>
      <c r="J120" s="185">
        <v>46191</v>
      </c>
      <c r="K120" s="185">
        <v>46191</v>
      </c>
      <c r="L120" s="185">
        <v>46251</v>
      </c>
      <c r="M120" s="185"/>
      <c r="N120"/>
      <c r="O120">
        <v>1010100</v>
      </c>
      <c r="P120" t="s">
        <v>29</v>
      </c>
      <c r="Q120">
        <v>200000100</v>
      </c>
      <c r="R120" t="s">
        <v>15322</v>
      </c>
      <c r="S120"/>
      <c r="T120" t="s">
        <v>15323</v>
      </c>
      <c r="U120" t="s">
        <v>1530</v>
      </c>
      <c r="V120" s="23">
        <v>0</v>
      </c>
      <c r="W120" s="23">
        <v>0</v>
      </c>
      <c r="X120" s="23">
        <v>0</v>
      </c>
      <c r="Y120"/>
      <c r="Z120">
        <v>1246280131</v>
      </c>
      <c r="AA120"/>
      <c r="AB120"/>
      <c r="AC120">
        <v>102</v>
      </c>
      <c r="AD120">
        <v>4</v>
      </c>
      <c r="AE120" t="s">
        <v>15324</v>
      </c>
      <c r="AF120"/>
      <c r="AG120" s="23"/>
      <c r="AH120" s="265" t="str">
        <f>_xlfn.XLOOKUP(G120,Clientes!I:I,Clientes!F:F)</f>
        <v>GRUPO AMAGGI</v>
      </c>
    </row>
    <row r="121" spans="1:34" x14ac:dyDescent="0.25">
      <c r="A121">
        <v>161</v>
      </c>
      <c r="B121" t="s">
        <v>145</v>
      </c>
      <c r="C121"/>
      <c r="D121" s="23">
        <v>33000</v>
      </c>
      <c r="E121">
        <v>11768</v>
      </c>
      <c r="F121">
        <v>11</v>
      </c>
      <c r="G121">
        <v>11133</v>
      </c>
      <c r="H121" t="s">
        <v>105</v>
      </c>
      <c r="I121" s="23">
        <v>33000</v>
      </c>
      <c r="J121" s="185">
        <v>46192</v>
      </c>
      <c r="K121" s="185">
        <v>46192</v>
      </c>
      <c r="L121" s="185">
        <v>46252</v>
      </c>
      <c r="M121" s="185"/>
      <c r="N121"/>
      <c r="O121">
        <v>1010100</v>
      </c>
      <c r="P121" t="s">
        <v>29</v>
      </c>
      <c r="Q121">
        <v>200000100</v>
      </c>
      <c r="R121" t="s">
        <v>15322</v>
      </c>
      <c r="S121"/>
      <c r="T121" t="s">
        <v>15323</v>
      </c>
      <c r="U121" t="s">
        <v>6311</v>
      </c>
      <c r="V121" s="23">
        <v>0</v>
      </c>
      <c r="W121" s="23">
        <v>0</v>
      </c>
      <c r="X121" s="23">
        <v>0</v>
      </c>
      <c r="Y121"/>
      <c r="Z121">
        <v>1246280274</v>
      </c>
      <c r="AA121"/>
      <c r="AB121"/>
      <c r="AC121">
        <v>102</v>
      </c>
      <c r="AD121">
        <v>4</v>
      </c>
      <c r="AE121" t="s">
        <v>15324</v>
      </c>
      <c r="AF121"/>
      <c r="AG121" s="23"/>
      <c r="AH121" s="265" t="str">
        <f>_xlfn.XLOOKUP(G121,Clientes!I:I,Clientes!F:F)</f>
        <v>GRUPO ADUBOS ARAGUAIA</v>
      </c>
    </row>
    <row r="122" spans="1:34" x14ac:dyDescent="0.25">
      <c r="A122">
        <v>161</v>
      </c>
      <c r="B122" t="s">
        <v>145</v>
      </c>
      <c r="C122"/>
      <c r="D122" s="23">
        <v>33020</v>
      </c>
      <c r="E122">
        <v>10422</v>
      </c>
      <c r="F122">
        <v>11</v>
      </c>
      <c r="G122">
        <v>7648</v>
      </c>
      <c r="H122" t="s">
        <v>273</v>
      </c>
      <c r="I122" s="23">
        <v>33020</v>
      </c>
      <c r="J122" s="185">
        <v>46027</v>
      </c>
      <c r="K122" s="185">
        <v>46027</v>
      </c>
      <c r="L122" s="185">
        <v>46062</v>
      </c>
      <c r="M122" s="185">
        <v>46062</v>
      </c>
      <c r="N122"/>
      <c r="O122">
        <v>1010100</v>
      </c>
      <c r="P122" t="s">
        <v>29</v>
      </c>
      <c r="Q122">
        <v>200000100</v>
      </c>
      <c r="R122" t="s">
        <v>15322</v>
      </c>
      <c r="S122"/>
      <c r="T122" t="s">
        <v>15323</v>
      </c>
      <c r="U122" t="s">
        <v>1964</v>
      </c>
      <c r="V122" s="23">
        <v>0</v>
      </c>
      <c r="W122" s="23">
        <v>0</v>
      </c>
      <c r="X122" s="23">
        <v>0</v>
      </c>
      <c r="Y122"/>
      <c r="Z122">
        <v>1246258325</v>
      </c>
      <c r="AA122"/>
      <c r="AB122" t="s">
        <v>1199</v>
      </c>
      <c r="AC122">
        <v>102</v>
      </c>
      <c r="AD122">
        <v>4</v>
      </c>
      <c r="AE122" t="s">
        <v>15324</v>
      </c>
      <c r="AF122"/>
      <c r="AG122" s="23"/>
      <c r="AH122" s="265" t="str">
        <f>_xlfn.XLOOKUP(G122,Clientes!I:I,Clientes!F:F)</f>
        <v>GRUPO LOUIS DREYFUS</v>
      </c>
    </row>
    <row r="123" spans="1:34" x14ac:dyDescent="0.25">
      <c r="A123">
        <v>161</v>
      </c>
      <c r="B123" t="s">
        <v>145</v>
      </c>
      <c r="C123"/>
      <c r="D123" s="23">
        <v>34213.5</v>
      </c>
      <c r="E123">
        <v>11361</v>
      </c>
      <c r="F123">
        <v>11</v>
      </c>
      <c r="G123">
        <v>6477</v>
      </c>
      <c r="H123" t="s">
        <v>87</v>
      </c>
      <c r="I123" s="23">
        <v>34213.5</v>
      </c>
      <c r="J123" s="185">
        <v>46154</v>
      </c>
      <c r="K123" s="185">
        <v>46154</v>
      </c>
      <c r="L123" s="185">
        <v>46244</v>
      </c>
      <c r="M123" s="185"/>
      <c r="N123"/>
      <c r="O123">
        <v>1010100</v>
      </c>
      <c r="P123" t="s">
        <v>29</v>
      </c>
      <c r="Q123">
        <v>200000100</v>
      </c>
      <c r="R123" t="s">
        <v>15322</v>
      </c>
      <c r="S123"/>
      <c r="T123" t="s">
        <v>15323</v>
      </c>
      <c r="U123" t="s">
        <v>4468</v>
      </c>
      <c r="V123" s="23">
        <v>0</v>
      </c>
      <c r="W123" s="23">
        <v>0</v>
      </c>
      <c r="X123" s="23">
        <v>0</v>
      </c>
      <c r="Y123"/>
      <c r="Z123">
        <v>1246274569</v>
      </c>
      <c r="AA123"/>
      <c r="AB123"/>
      <c r="AC123">
        <v>102</v>
      </c>
      <c r="AD123">
        <v>4</v>
      </c>
      <c r="AE123" t="s">
        <v>15324</v>
      </c>
      <c r="AF123"/>
      <c r="AG123" s="23"/>
      <c r="AH123" s="265" t="str">
        <f>_xlfn.XLOOKUP(G123,Clientes!I:I,Clientes!F:F)</f>
        <v>GRUPO MOSAIC FERTILIZANTES DO BRASIL</v>
      </c>
    </row>
    <row r="124" spans="1:34" x14ac:dyDescent="0.25">
      <c r="A124">
        <v>161</v>
      </c>
      <c r="B124" t="s">
        <v>145</v>
      </c>
      <c r="C124"/>
      <c r="D124" s="23">
        <v>34379.410000000003</v>
      </c>
      <c r="E124">
        <v>11418</v>
      </c>
      <c r="F124">
        <v>11</v>
      </c>
      <c r="G124">
        <v>12972</v>
      </c>
      <c r="H124" t="s">
        <v>654</v>
      </c>
      <c r="I124" s="23">
        <v>34379.410000000003</v>
      </c>
      <c r="J124" s="185">
        <v>46158</v>
      </c>
      <c r="K124" s="185">
        <v>46158</v>
      </c>
      <c r="L124" s="185">
        <v>46163</v>
      </c>
      <c r="M124" s="185">
        <v>46163</v>
      </c>
      <c r="N124"/>
      <c r="O124">
        <v>1010100</v>
      </c>
      <c r="P124" t="s">
        <v>29</v>
      </c>
      <c r="Q124">
        <v>10001200</v>
      </c>
      <c r="R124" t="s">
        <v>15379</v>
      </c>
      <c r="S124"/>
      <c r="T124" t="s">
        <v>15323</v>
      </c>
      <c r="U124" t="s">
        <v>6311</v>
      </c>
      <c r="V124" s="23">
        <v>0</v>
      </c>
      <c r="W124" s="23">
        <v>0</v>
      </c>
      <c r="X124" s="23">
        <v>0</v>
      </c>
      <c r="Y124"/>
      <c r="Z124">
        <v>1246275516</v>
      </c>
      <c r="AA124"/>
      <c r="AB124" t="s">
        <v>1186</v>
      </c>
      <c r="AC124">
        <v>102</v>
      </c>
      <c r="AD124">
        <v>4</v>
      </c>
      <c r="AE124" t="s">
        <v>15324</v>
      </c>
      <c r="AF124"/>
      <c r="AG124" s="23"/>
      <c r="AH124" s="265" t="str">
        <f>_xlfn.XLOOKUP(G124,Clientes!I:I,Clientes!F:F)</f>
        <v>INVICTA FERTILIZER - RIO GRANDE</v>
      </c>
    </row>
    <row r="125" spans="1:34" x14ac:dyDescent="0.25">
      <c r="A125">
        <v>161</v>
      </c>
      <c r="B125" t="s">
        <v>145</v>
      </c>
      <c r="C125"/>
      <c r="D125" s="23">
        <v>34441.589999999997</v>
      </c>
      <c r="E125">
        <v>11362</v>
      </c>
      <c r="F125">
        <v>11</v>
      </c>
      <c r="G125">
        <v>7302</v>
      </c>
      <c r="H125" t="s">
        <v>93</v>
      </c>
      <c r="I125" s="23">
        <v>34441.589999999997</v>
      </c>
      <c r="J125" s="185">
        <v>46154</v>
      </c>
      <c r="K125" s="185">
        <v>46154</v>
      </c>
      <c r="L125" s="185">
        <v>46244</v>
      </c>
      <c r="M125" s="185"/>
      <c r="N125"/>
      <c r="O125">
        <v>1010100</v>
      </c>
      <c r="P125" t="s">
        <v>29</v>
      </c>
      <c r="Q125">
        <v>200000100</v>
      </c>
      <c r="R125" t="s">
        <v>15322</v>
      </c>
      <c r="S125"/>
      <c r="T125" t="s">
        <v>15323</v>
      </c>
      <c r="U125" t="s">
        <v>4468</v>
      </c>
      <c r="V125" s="23">
        <v>0</v>
      </c>
      <c r="W125" s="23">
        <v>0</v>
      </c>
      <c r="X125" s="23">
        <v>0</v>
      </c>
      <c r="Y125"/>
      <c r="Z125">
        <v>1246274568</v>
      </c>
      <c r="AA125"/>
      <c r="AB125"/>
      <c r="AC125">
        <v>102</v>
      </c>
      <c r="AD125">
        <v>4</v>
      </c>
      <c r="AE125" t="s">
        <v>15324</v>
      </c>
      <c r="AF125"/>
      <c r="AG125" s="23"/>
      <c r="AH125" s="265" t="str">
        <f>_xlfn.XLOOKUP(G125,Clientes!I:I,Clientes!F:F)</f>
        <v>GRUPO MOSAIC FERTILIZANTES DO BRASIL</v>
      </c>
    </row>
    <row r="126" spans="1:34" x14ac:dyDescent="0.25">
      <c r="A126">
        <v>161</v>
      </c>
      <c r="B126" t="s">
        <v>145</v>
      </c>
      <c r="C126"/>
      <c r="D126" s="23">
        <v>34640</v>
      </c>
      <c r="E126">
        <v>2645</v>
      </c>
      <c r="F126">
        <v>13</v>
      </c>
      <c r="G126">
        <v>5657</v>
      </c>
      <c r="H126" t="s">
        <v>84</v>
      </c>
      <c r="I126" s="23">
        <v>34640</v>
      </c>
      <c r="J126" s="185">
        <v>46030</v>
      </c>
      <c r="K126" s="185">
        <v>46030</v>
      </c>
      <c r="L126" s="185">
        <v>46058</v>
      </c>
      <c r="M126" s="185">
        <v>46055</v>
      </c>
      <c r="N126"/>
      <c r="O126">
        <v>1010100</v>
      </c>
      <c r="P126" t="s">
        <v>29</v>
      </c>
      <c r="Q126">
        <v>200000100</v>
      </c>
      <c r="R126" t="s">
        <v>15322</v>
      </c>
      <c r="S126"/>
      <c r="T126" t="s">
        <v>15323</v>
      </c>
      <c r="U126" t="s">
        <v>6311</v>
      </c>
      <c r="V126" s="23">
        <v>0</v>
      </c>
      <c r="W126" s="23">
        <v>0</v>
      </c>
      <c r="X126" s="23">
        <v>0</v>
      </c>
      <c r="Y126"/>
      <c r="Z126">
        <v>1246258791</v>
      </c>
      <c r="AA126"/>
      <c r="AB126" t="s">
        <v>1186</v>
      </c>
      <c r="AC126">
        <v>102</v>
      </c>
      <c r="AD126">
        <v>4</v>
      </c>
      <c r="AE126" t="s">
        <v>15324</v>
      </c>
      <c r="AF126"/>
      <c r="AG126" s="23"/>
      <c r="AH126" s="265" t="str">
        <f>_xlfn.XLOOKUP(G126,Clientes!I:I,Clientes!F:F)</f>
        <v>FERTIPLANTA - VARGEM GRANDE DO SUL</v>
      </c>
    </row>
    <row r="127" spans="1:34" x14ac:dyDescent="0.25">
      <c r="A127">
        <v>161</v>
      </c>
      <c r="B127" t="s">
        <v>145</v>
      </c>
      <c r="C127"/>
      <c r="D127" s="23">
        <v>35057.43</v>
      </c>
      <c r="E127">
        <v>11552</v>
      </c>
      <c r="F127">
        <v>11</v>
      </c>
      <c r="G127">
        <v>6477</v>
      </c>
      <c r="H127" t="s">
        <v>87</v>
      </c>
      <c r="I127" s="23">
        <v>35057.43</v>
      </c>
      <c r="J127" s="185">
        <v>46171</v>
      </c>
      <c r="K127" s="185">
        <v>46171</v>
      </c>
      <c r="L127" s="185">
        <v>46261</v>
      </c>
      <c r="M127" s="185"/>
      <c r="N127"/>
      <c r="O127">
        <v>1010100</v>
      </c>
      <c r="P127" t="s">
        <v>29</v>
      </c>
      <c r="Q127">
        <v>200000100</v>
      </c>
      <c r="R127" t="s">
        <v>15322</v>
      </c>
      <c r="S127"/>
      <c r="T127" t="s">
        <v>15323</v>
      </c>
      <c r="U127" t="s">
        <v>1530</v>
      </c>
      <c r="V127" s="23">
        <v>0</v>
      </c>
      <c r="W127" s="23">
        <v>0</v>
      </c>
      <c r="X127" s="23">
        <v>0</v>
      </c>
      <c r="Y127"/>
      <c r="Z127">
        <v>1246277377</v>
      </c>
      <c r="AA127"/>
      <c r="AB127"/>
      <c r="AC127">
        <v>102</v>
      </c>
      <c r="AD127">
        <v>4</v>
      </c>
      <c r="AE127" t="s">
        <v>15324</v>
      </c>
      <c r="AF127"/>
      <c r="AG127" s="23"/>
      <c r="AH127" s="265" t="str">
        <f>_xlfn.XLOOKUP(G127,Clientes!I:I,Clientes!F:F)</f>
        <v>GRUPO MOSAIC FERTILIZANTES DO BRASIL</v>
      </c>
    </row>
    <row r="128" spans="1:34" x14ac:dyDescent="0.25">
      <c r="A128">
        <v>161</v>
      </c>
      <c r="B128" t="s">
        <v>145</v>
      </c>
      <c r="C128"/>
      <c r="D128" s="23">
        <v>35400</v>
      </c>
      <c r="E128">
        <v>10545</v>
      </c>
      <c r="F128">
        <v>11</v>
      </c>
      <c r="G128">
        <v>1953</v>
      </c>
      <c r="H128" t="s">
        <v>66</v>
      </c>
      <c r="I128" s="23">
        <v>35400</v>
      </c>
      <c r="J128" s="185">
        <v>46044</v>
      </c>
      <c r="K128" s="185">
        <v>46044</v>
      </c>
      <c r="L128" s="185">
        <v>46079</v>
      </c>
      <c r="M128" s="185">
        <v>46079</v>
      </c>
      <c r="N128"/>
      <c r="O128">
        <v>1010100</v>
      </c>
      <c r="P128" t="s">
        <v>29</v>
      </c>
      <c r="Q128">
        <v>200000100</v>
      </c>
      <c r="R128" t="s">
        <v>15322</v>
      </c>
      <c r="S128"/>
      <c r="T128" t="s">
        <v>15323</v>
      </c>
      <c r="U128" t="s">
        <v>1199</v>
      </c>
      <c r="V128" s="23">
        <v>0</v>
      </c>
      <c r="W128" s="23">
        <v>0</v>
      </c>
      <c r="X128" s="23">
        <v>0</v>
      </c>
      <c r="Y128"/>
      <c r="Z128">
        <v>1246260426</v>
      </c>
      <c r="AA128"/>
      <c r="AB128" t="s">
        <v>1199</v>
      </c>
      <c r="AC128">
        <v>102</v>
      </c>
      <c r="AD128">
        <v>4</v>
      </c>
      <c r="AE128" t="s">
        <v>15324</v>
      </c>
      <c r="AF128"/>
      <c r="AG128" s="23"/>
      <c r="AH128" s="265" t="str">
        <f>_xlfn.XLOOKUP(G128,Clientes!I:I,Clientes!F:F)</f>
        <v>GRUPO AMAGGI</v>
      </c>
    </row>
    <row r="129" spans="1:34" x14ac:dyDescent="0.25">
      <c r="A129">
        <v>161</v>
      </c>
      <c r="B129" t="s">
        <v>145</v>
      </c>
      <c r="C129"/>
      <c r="D129" s="23">
        <v>35810</v>
      </c>
      <c r="E129">
        <v>11271</v>
      </c>
      <c r="F129">
        <v>11</v>
      </c>
      <c r="G129">
        <v>86</v>
      </c>
      <c r="H129" t="s">
        <v>31</v>
      </c>
      <c r="I129" s="23">
        <v>35810</v>
      </c>
      <c r="J129" s="185">
        <v>46142</v>
      </c>
      <c r="K129" s="185">
        <v>46142</v>
      </c>
      <c r="L129" s="185">
        <v>46202</v>
      </c>
      <c r="M129" s="185"/>
      <c r="N129"/>
      <c r="O129">
        <v>1010100</v>
      </c>
      <c r="P129" t="s">
        <v>29</v>
      </c>
      <c r="Q129">
        <v>200000100</v>
      </c>
      <c r="R129" t="s">
        <v>15322</v>
      </c>
      <c r="S129"/>
      <c r="T129" t="s">
        <v>15323</v>
      </c>
      <c r="U129" t="s">
        <v>1530</v>
      </c>
      <c r="V129" s="23">
        <v>0</v>
      </c>
      <c r="W129" s="23">
        <v>0</v>
      </c>
      <c r="X129" s="23">
        <v>0</v>
      </c>
      <c r="Y129"/>
      <c r="Z129">
        <v>1246273225</v>
      </c>
      <c r="AA129"/>
      <c r="AB129"/>
      <c r="AC129">
        <v>102</v>
      </c>
      <c r="AD129">
        <v>4</v>
      </c>
      <c r="AE129" t="s">
        <v>15324</v>
      </c>
      <c r="AF129"/>
      <c r="AG129" s="23"/>
      <c r="AH129" s="265" t="str">
        <f>_xlfn.XLOOKUP(G129,Clientes!I:I,Clientes!F:F)</f>
        <v>GRUPO ADUBOS ARAGUAIA</v>
      </c>
    </row>
    <row r="130" spans="1:34" x14ac:dyDescent="0.25">
      <c r="A130">
        <v>161</v>
      </c>
      <c r="B130" t="s">
        <v>145</v>
      </c>
      <c r="C130"/>
      <c r="D130" s="23">
        <v>35810</v>
      </c>
      <c r="E130">
        <v>11680</v>
      </c>
      <c r="F130">
        <v>11</v>
      </c>
      <c r="G130">
        <v>86</v>
      </c>
      <c r="H130" t="s">
        <v>31</v>
      </c>
      <c r="I130" s="23">
        <v>35810</v>
      </c>
      <c r="J130" s="185">
        <v>46184</v>
      </c>
      <c r="K130" s="185">
        <v>46184</v>
      </c>
      <c r="L130" s="185">
        <v>46244</v>
      </c>
      <c r="M130" s="185"/>
      <c r="N130"/>
      <c r="O130">
        <v>1010100</v>
      </c>
      <c r="P130" t="s">
        <v>29</v>
      </c>
      <c r="Q130">
        <v>200000100</v>
      </c>
      <c r="R130" t="s">
        <v>15322</v>
      </c>
      <c r="S130"/>
      <c r="T130" t="s">
        <v>15323</v>
      </c>
      <c r="U130" t="s">
        <v>6311</v>
      </c>
      <c r="V130" s="23">
        <v>0</v>
      </c>
      <c r="W130" s="23">
        <v>0</v>
      </c>
      <c r="X130" s="23">
        <v>0</v>
      </c>
      <c r="Y130"/>
      <c r="Z130">
        <v>1246279195</v>
      </c>
      <c r="AA130"/>
      <c r="AB130"/>
      <c r="AC130">
        <v>102</v>
      </c>
      <c r="AD130">
        <v>4</v>
      </c>
      <c r="AE130" t="s">
        <v>15324</v>
      </c>
      <c r="AF130"/>
      <c r="AG130" s="23"/>
      <c r="AH130" s="265" t="str">
        <f>_xlfn.XLOOKUP(G130,Clientes!I:I,Clientes!F:F)</f>
        <v>GRUPO ADUBOS ARAGUAIA</v>
      </c>
    </row>
    <row r="131" spans="1:34" x14ac:dyDescent="0.25">
      <c r="A131">
        <v>161</v>
      </c>
      <c r="B131" t="s">
        <v>145</v>
      </c>
      <c r="C131"/>
      <c r="D131" s="23">
        <v>36679.800000000003</v>
      </c>
      <c r="E131">
        <v>11223</v>
      </c>
      <c r="F131">
        <v>11</v>
      </c>
      <c r="G131">
        <v>7302</v>
      </c>
      <c r="H131" t="s">
        <v>93</v>
      </c>
      <c r="I131" s="23">
        <v>36679.800000000003</v>
      </c>
      <c r="J131" s="185">
        <v>46139</v>
      </c>
      <c r="K131" s="185">
        <v>46139</v>
      </c>
      <c r="L131" s="185">
        <v>46229</v>
      </c>
      <c r="M131" s="185"/>
      <c r="N131"/>
      <c r="O131">
        <v>1010100</v>
      </c>
      <c r="P131" t="s">
        <v>29</v>
      </c>
      <c r="Q131">
        <v>200000100</v>
      </c>
      <c r="R131" t="s">
        <v>15322</v>
      </c>
      <c r="S131"/>
      <c r="T131" t="s">
        <v>15323</v>
      </c>
      <c r="U131" t="s">
        <v>4502</v>
      </c>
      <c r="V131" s="23">
        <v>0</v>
      </c>
      <c r="W131" s="23">
        <v>0</v>
      </c>
      <c r="X131" s="23">
        <v>0</v>
      </c>
      <c r="Y131"/>
      <c r="Z131">
        <v>1246272740</v>
      </c>
      <c r="AA131"/>
      <c r="AB131"/>
      <c r="AC131">
        <v>102</v>
      </c>
      <c r="AD131">
        <v>4</v>
      </c>
      <c r="AE131" t="s">
        <v>15324</v>
      </c>
      <c r="AF131"/>
      <c r="AG131" s="23"/>
      <c r="AH131" s="265" t="str">
        <f>_xlfn.XLOOKUP(G131,Clientes!I:I,Clientes!F:F)</f>
        <v>GRUPO MOSAIC FERTILIZANTES DO BRASIL</v>
      </c>
    </row>
    <row r="132" spans="1:34" x14ac:dyDescent="0.25">
      <c r="A132">
        <v>161</v>
      </c>
      <c r="B132" t="s">
        <v>145</v>
      </c>
      <c r="C132"/>
      <c r="D132" s="23">
        <v>36819.4</v>
      </c>
      <c r="E132">
        <v>11643</v>
      </c>
      <c r="F132">
        <v>11</v>
      </c>
      <c r="G132">
        <v>11133</v>
      </c>
      <c r="H132" t="s">
        <v>105</v>
      </c>
      <c r="I132" s="23">
        <v>36819.4</v>
      </c>
      <c r="J132" s="185">
        <v>46181</v>
      </c>
      <c r="K132" s="185">
        <v>46181</v>
      </c>
      <c r="L132" s="185">
        <v>46241</v>
      </c>
      <c r="M132" s="185"/>
      <c r="N132"/>
      <c r="O132">
        <v>1010100</v>
      </c>
      <c r="P132" t="s">
        <v>29</v>
      </c>
      <c r="Q132">
        <v>200000100</v>
      </c>
      <c r="R132" t="s">
        <v>15322</v>
      </c>
      <c r="S132"/>
      <c r="T132" t="s">
        <v>15323</v>
      </c>
      <c r="U132" t="s">
        <v>6311</v>
      </c>
      <c r="V132" s="23">
        <v>0</v>
      </c>
      <c r="W132" s="23">
        <v>0</v>
      </c>
      <c r="X132" s="23">
        <v>0</v>
      </c>
      <c r="Y132"/>
      <c r="Z132">
        <v>1246278600</v>
      </c>
      <c r="AA132"/>
      <c r="AB132"/>
      <c r="AC132">
        <v>102</v>
      </c>
      <c r="AD132">
        <v>4</v>
      </c>
      <c r="AE132" t="s">
        <v>15324</v>
      </c>
      <c r="AF132"/>
      <c r="AG132" s="23"/>
      <c r="AH132" s="265" t="str">
        <f>_xlfn.XLOOKUP(G132,Clientes!I:I,Clientes!F:F)</f>
        <v>GRUPO ADUBOS ARAGUAIA</v>
      </c>
    </row>
    <row r="133" spans="1:34" x14ac:dyDescent="0.25">
      <c r="A133">
        <v>161</v>
      </c>
      <c r="B133" t="s">
        <v>145</v>
      </c>
      <c r="C133"/>
      <c r="D133" s="23">
        <v>38545.440000000002</v>
      </c>
      <c r="E133">
        <v>10624</v>
      </c>
      <c r="F133">
        <v>11</v>
      </c>
      <c r="G133">
        <v>1462</v>
      </c>
      <c r="H133" t="s">
        <v>55</v>
      </c>
      <c r="I133" s="23">
        <v>37491.5</v>
      </c>
      <c r="J133" s="185">
        <v>46055</v>
      </c>
      <c r="K133" s="185">
        <v>46055</v>
      </c>
      <c r="L133" s="185">
        <v>46167</v>
      </c>
      <c r="M133" s="185">
        <v>46167</v>
      </c>
      <c r="N133"/>
      <c r="O133">
        <v>1010100</v>
      </c>
      <c r="P133" t="s">
        <v>29</v>
      </c>
      <c r="Q133">
        <v>200000100</v>
      </c>
      <c r="R133" t="s">
        <v>15322</v>
      </c>
      <c r="S133"/>
      <c r="T133" t="s">
        <v>15323</v>
      </c>
      <c r="U133" t="s">
        <v>1199</v>
      </c>
      <c r="V133" s="23">
        <v>0</v>
      </c>
      <c r="W133" s="23">
        <v>1053.94</v>
      </c>
      <c r="X133" s="23">
        <v>0</v>
      </c>
      <c r="Y133"/>
      <c r="Z133">
        <v>1246262009</v>
      </c>
      <c r="AA133"/>
      <c r="AB133" t="s">
        <v>1199</v>
      </c>
      <c r="AC133">
        <v>102</v>
      </c>
      <c r="AD133">
        <v>4</v>
      </c>
      <c r="AE133" t="s">
        <v>15324</v>
      </c>
      <c r="AF133"/>
      <c r="AG133" s="23"/>
      <c r="AH133" s="265" t="str">
        <f>_xlfn.XLOOKUP(G133,Clientes!I:I,Clientes!F:F)</f>
        <v>AURORA MINERAÇÃO LTDA</v>
      </c>
    </row>
    <row r="134" spans="1:34" x14ac:dyDescent="0.25">
      <c r="A134">
        <v>161</v>
      </c>
      <c r="B134" t="s">
        <v>145</v>
      </c>
      <c r="C134"/>
      <c r="D134" s="23">
        <v>37491.5</v>
      </c>
      <c r="E134">
        <v>10624</v>
      </c>
      <c r="F134">
        <v>11</v>
      </c>
      <c r="G134">
        <v>1462</v>
      </c>
      <c r="H134" t="s">
        <v>55</v>
      </c>
      <c r="I134" s="23">
        <v>37491.5</v>
      </c>
      <c r="J134" s="185">
        <v>46055</v>
      </c>
      <c r="K134" s="185">
        <v>46055</v>
      </c>
      <c r="L134" s="185">
        <v>46115</v>
      </c>
      <c r="M134" s="185">
        <v>46118</v>
      </c>
      <c r="N134"/>
      <c r="O134">
        <v>1010100</v>
      </c>
      <c r="P134" t="s">
        <v>29</v>
      </c>
      <c r="Q134">
        <v>200000100</v>
      </c>
      <c r="R134" t="s">
        <v>15322</v>
      </c>
      <c r="S134"/>
      <c r="T134" t="s">
        <v>15323</v>
      </c>
      <c r="U134" t="s">
        <v>6311</v>
      </c>
      <c r="V134" s="23">
        <v>0</v>
      </c>
      <c r="W134" s="23">
        <v>0</v>
      </c>
      <c r="X134" s="23">
        <v>0</v>
      </c>
      <c r="Y134"/>
      <c r="Z134">
        <v>1246262008</v>
      </c>
      <c r="AA134"/>
      <c r="AB134" t="s">
        <v>1186</v>
      </c>
      <c r="AC134">
        <v>102</v>
      </c>
      <c r="AD134">
        <v>4</v>
      </c>
      <c r="AE134" t="s">
        <v>15324</v>
      </c>
      <c r="AF134"/>
      <c r="AG134" s="23"/>
      <c r="AH134" s="265" t="str">
        <f>_xlfn.XLOOKUP(G134,Clientes!I:I,Clientes!F:F)</f>
        <v>AURORA MINERAÇÃO LTDA</v>
      </c>
    </row>
    <row r="135" spans="1:34" x14ac:dyDescent="0.25">
      <c r="A135">
        <v>161</v>
      </c>
      <c r="B135" t="s">
        <v>145</v>
      </c>
      <c r="C135"/>
      <c r="D135" s="23">
        <v>37608.400000000001</v>
      </c>
      <c r="E135">
        <v>10834</v>
      </c>
      <c r="F135">
        <v>11</v>
      </c>
      <c r="G135">
        <v>1462</v>
      </c>
      <c r="H135" t="s">
        <v>55</v>
      </c>
      <c r="I135" s="23">
        <v>37608.400000000001</v>
      </c>
      <c r="J135" s="185">
        <v>46087</v>
      </c>
      <c r="K135" s="185">
        <v>46087</v>
      </c>
      <c r="L135" s="185">
        <v>46147</v>
      </c>
      <c r="M135" s="185">
        <v>46147</v>
      </c>
      <c r="N135"/>
      <c r="O135">
        <v>1010100</v>
      </c>
      <c r="P135" t="s">
        <v>29</v>
      </c>
      <c r="Q135">
        <v>200000100</v>
      </c>
      <c r="R135" t="s">
        <v>15322</v>
      </c>
      <c r="S135"/>
      <c r="T135" t="s">
        <v>15323</v>
      </c>
      <c r="U135" t="s">
        <v>6311</v>
      </c>
      <c r="V135" s="23">
        <v>0</v>
      </c>
      <c r="W135" s="23">
        <v>0</v>
      </c>
      <c r="X135" s="23">
        <v>0</v>
      </c>
      <c r="Y135"/>
      <c r="Z135">
        <v>1246266894</v>
      </c>
      <c r="AA135"/>
      <c r="AB135" t="s">
        <v>1186</v>
      </c>
      <c r="AC135">
        <v>102</v>
      </c>
      <c r="AD135">
        <v>4</v>
      </c>
      <c r="AE135" t="s">
        <v>15324</v>
      </c>
      <c r="AF135"/>
      <c r="AG135" s="23"/>
      <c r="AH135" s="265" t="str">
        <f>_xlfn.XLOOKUP(G135,Clientes!I:I,Clientes!F:F)</f>
        <v>AURORA MINERAÇÃO LTDA</v>
      </c>
    </row>
    <row r="136" spans="1:34" x14ac:dyDescent="0.25">
      <c r="A136">
        <v>161</v>
      </c>
      <c r="B136" t="s">
        <v>145</v>
      </c>
      <c r="C136"/>
      <c r="D136" s="23">
        <v>37608.400000000001</v>
      </c>
      <c r="E136">
        <v>10834</v>
      </c>
      <c r="F136">
        <v>11</v>
      </c>
      <c r="G136">
        <v>1462</v>
      </c>
      <c r="H136" t="s">
        <v>55</v>
      </c>
      <c r="I136" s="23">
        <v>37608.400000000001</v>
      </c>
      <c r="J136" s="185">
        <v>46087</v>
      </c>
      <c r="K136" s="185">
        <v>46087</v>
      </c>
      <c r="L136" s="185">
        <v>46157</v>
      </c>
      <c r="M136" s="185">
        <v>46157</v>
      </c>
      <c r="N136"/>
      <c r="O136">
        <v>1010100</v>
      </c>
      <c r="P136" t="s">
        <v>29</v>
      </c>
      <c r="Q136">
        <v>200000100</v>
      </c>
      <c r="R136" t="s">
        <v>15322</v>
      </c>
      <c r="S136"/>
      <c r="T136" t="s">
        <v>15323</v>
      </c>
      <c r="U136" t="s">
        <v>6311</v>
      </c>
      <c r="V136" s="23">
        <v>0</v>
      </c>
      <c r="W136" s="23">
        <v>0</v>
      </c>
      <c r="X136" s="23">
        <v>0</v>
      </c>
      <c r="Y136"/>
      <c r="Z136">
        <v>1246266895</v>
      </c>
      <c r="AA136"/>
      <c r="AB136" t="s">
        <v>1186</v>
      </c>
      <c r="AC136">
        <v>102</v>
      </c>
      <c r="AD136">
        <v>4</v>
      </c>
      <c r="AE136" t="s">
        <v>15324</v>
      </c>
      <c r="AF136"/>
      <c r="AG136" s="23"/>
      <c r="AH136" s="265" t="str">
        <f>_xlfn.XLOOKUP(G136,Clientes!I:I,Clientes!F:F)</f>
        <v>AURORA MINERAÇÃO LTDA</v>
      </c>
    </row>
    <row r="137" spans="1:34" x14ac:dyDescent="0.25">
      <c r="A137">
        <v>161</v>
      </c>
      <c r="B137" t="s">
        <v>145</v>
      </c>
      <c r="C137"/>
      <c r="D137" s="23">
        <v>37638</v>
      </c>
      <c r="E137">
        <v>10883</v>
      </c>
      <c r="F137">
        <v>11</v>
      </c>
      <c r="G137">
        <v>205</v>
      </c>
      <c r="H137" t="s">
        <v>35</v>
      </c>
      <c r="I137" s="23">
        <v>37638</v>
      </c>
      <c r="J137" s="185">
        <v>46094</v>
      </c>
      <c r="K137" s="185">
        <v>46094</v>
      </c>
      <c r="L137" s="185">
        <v>46122</v>
      </c>
      <c r="M137" s="185">
        <v>46122</v>
      </c>
      <c r="N137"/>
      <c r="O137">
        <v>1010100</v>
      </c>
      <c r="P137" t="s">
        <v>29</v>
      </c>
      <c r="Q137">
        <v>200000100</v>
      </c>
      <c r="R137" t="s">
        <v>15322</v>
      </c>
      <c r="S137"/>
      <c r="T137" t="s">
        <v>15323</v>
      </c>
      <c r="U137" t="s">
        <v>5803</v>
      </c>
      <c r="V137" s="23">
        <v>0</v>
      </c>
      <c r="W137" s="23">
        <v>0</v>
      </c>
      <c r="X137" s="23">
        <v>0</v>
      </c>
      <c r="Y137"/>
      <c r="Z137">
        <v>1246267750</v>
      </c>
      <c r="AA137"/>
      <c r="AB137" t="s">
        <v>2073</v>
      </c>
      <c r="AC137">
        <v>102</v>
      </c>
      <c r="AD137">
        <v>4</v>
      </c>
      <c r="AE137" t="s">
        <v>15324</v>
      </c>
      <c r="AF137"/>
      <c r="AG137" s="23"/>
      <c r="AH137" s="265" t="str">
        <f>_xlfn.XLOOKUP(G137,Clientes!I:I,Clientes!F:F)</f>
        <v>GRUPO FERTIPAR FERTILIZANTES MATO GROSSO</v>
      </c>
    </row>
    <row r="138" spans="1:34" x14ac:dyDescent="0.25">
      <c r="A138">
        <v>161</v>
      </c>
      <c r="B138" t="s">
        <v>145</v>
      </c>
      <c r="C138"/>
      <c r="D138" s="23">
        <v>37660</v>
      </c>
      <c r="E138">
        <v>3010</v>
      </c>
      <c r="F138">
        <v>13</v>
      </c>
      <c r="G138">
        <v>2247</v>
      </c>
      <c r="H138" t="s">
        <v>425</v>
      </c>
      <c r="I138" s="23">
        <v>37660</v>
      </c>
      <c r="J138" s="185">
        <v>46184</v>
      </c>
      <c r="K138" s="185">
        <v>46184</v>
      </c>
      <c r="L138" s="185">
        <v>46212</v>
      </c>
      <c r="M138" s="185"/>
      <c r="N138"/>
      <c r="O138">
        <v>1010100</v>
      </c>
      <c r="P138" t="s">
        <v>29</v>
      </c>
      <c r="Q138">
        <v>200000100</v>
      </c>
      <c r="R138" t="s">
        <v>15322</v>
      </c>
      <c r="S138"/>
      <c r="T138" t="s">
        <v>15323</v>
      </c>
      <c r="U138" t="s">
        <v>6311</v>
      </c>
      <c r="V138" s="23">
        <v>0</v>
      </c>
      <c r="W138" s="23">
        <v>0</v>
      </c>
      <c r="X138" s="23">
        <v>0</v>
      </c>
      <c r="Y138"/>
      <c r="Z138">
        <v>1246279269</v>
      </c>
      <c r="AA138"/>
      <c r="AB138"/>
      <c r="AC138">
        <v>102</v>
      </c>
      <c r="AD138">
        <v>4</v>
      </c>
      <c r="AE138" t="s">
        <v>15324</v>
      </c>
      <c r="AF138"/>
      <c r="AG138" s="23"/>
      <c r="AH138" s="265" t="str">
        <f>_xlfn.XLOOKUP(G138,Clientes!I:I,Clientes!F:F)</f>
        <v>ADUBOS LEAO - LARANJEIRAS</v>
      </c>
    </row>
    <row r="139" spans="1:34" x14ac:dyDescent="0.25">
      <c r="A139">
        <v>161</v>
      </c>
      <c r="B139" t="s">
        <v>145</v>
      </c>
      <c r="C139"/>
      <c r="D139" s="23">
        <v>37736.400000000001</v>
      </c>
      <c r="E139">
        <v>10544</v>
      </c>
      <c r="F139">
        <v>11</v>
      </c>
      <c r="G139">
        <v>8414</v>
      </c>
      <c r="H139" t="s">
        <v>98</v>
      </c>
      <c r="I139" s="23">
        <v>37736.400000000001</v>
      </c>
      <c r="J139" s="185">
        <v>46044</v>
      </c>
      <c r="K139" s="185">
        <v>46044</v>
      </c>
      <c r="L139" s="185">
        <v>46079</v>
      </c>
      <c r="M139" s="185">
        <v>46079</v>
      </c>
      <c r="N139"/>
      <c r="O139">
        <v>1010100</v>
      </c>
      <c r="P139" t="s">
        <v>29</v>
      </c>
      <c r="Q139">
        <v>200000100</v>
      </c>
      <c r="R139" t="s">
        <v>15322</v>
      </c>
      <c r="S139"/>
      <c r="T139" t="s">
        <v>15323</v>
      </c>
      <c r="U139" t="s">
        <v>1199</v>
      </c>
      <c r="V139" s="23">
        <v>0</v>
      </c>
      <c r="W139" s="23">
        <v>0</v>
      </c>
      <c r="X139" s="23">
        <v>0</v>
      </c>
      <c r="Y139"/>
      <c r="Z139">
        <v>1246260421</v>
      </c>
      <c r="AA139"/>
      <c r="AB139" t="s">
        <v>1199</v>
      </c>
      <c r="AC139">
        <v>102</v>
      </c>
      <c r="AD139">
        <v>4</v>
      </c>
      <c r="AE139" t="s">
        <v>15324</v>
      </c>
      <c r="AF139"/>
      <c r="AG139" s="23"/>
      <c r="AH139" s="265" t="str">
        <f>_xlfn.XLOOKUP(G139,Clientes!I:I,Clientes!F:F)</f>
        <v>GRUPO AMAGGI</v>
      </c>
    </row>
    <row r="140" spans="1:34" x14ac:dyDescent="0.25">
      <c r="A140">
        <v>161</v>
      </c>
      <c r="B140" t="s">
        <v>145</v>
      </c>
      <c r="C140"/>
      <c r="D140" s="23">
        <v>37758.699999999997</v>
      </c>
      <c r="E140">
        <v>10433</v>
      </c>
      <c r="F140">
        <v>11</v>
      </c>
      <c r="G140">
        <v>1462</v>
      </c>
      <c r="H140" t="s">
        <v>55</v>
      </c>
      <c r="I140" s="23">
        <v>37758.699999999997</v>
      </c>
      <c r="J140" s="185">
        <v>46028</v>
      </c>
      <c r="K140" s="185">
        <v>46028</v>
      </c>
      <c r="L140" s="185">
        <v>46088</v>
      </c>
      <c r="M140" s="185">
        <v>46090</v>
      </c>
      <c r="N140"/>
      <c r="O140">
        <v>1010100</v>
      </c>
      <c r="P140" t="s">
        <v>29</v>
      </c>
      <c r="Q140">
        <v>200000100</v>
      </c>
      <c r="R140" t="s">
        <v>15322</v>
      </c>
      <c r="S140"/>
      <c r="T140" t="s">
        <v>15323</v>
      </c>
      <c r="U140" t="s">
        <v>6311</v>
      </c>
      <c r="V140" s="23">
        <v>0</v>
      </c>
      <c r="W140" s="23">
        <v>0</v>
      </c>
      <c r="X140" s="23">
        <v>0</v>
      </c>
      <c r="Y140"/>
      <c r="Z140">
        <v>1246258535</v>
      </c>
      <c r="AA140"/>
      <c r="AB140" t="s">
        <v>1186</v>
      </c>
      <c r="AC140">
        <v>102</v>
      </c>
      <c r="AD140">
        <v>4</v>
      </c>
      <c r="AE140" t="s">
        <v>15324</v>
      </c>
      <c r="AF140"/>
      <c r="AG140" s="23"/>
      <c r="AH140" s="265" t="str">
        <f>_xlfn.XLOOKUP(G140,Clientes!I:I,Clientes!F:F)</f>
        <v>AURORA MINERAÇÃO LTDA</v>
      </c>
    </row>
    <row r="141" spans="1:34" x14ac:dyDescent="0.25">
      <c r="A141">
        <v>161</v>
      </c>
      <c r="B141" t="s">
        <v>145</v>
      </c>
      <c r="C141"/>
      <c r="D141" s="23">
        <v>37758.699999999997</v>
      </c>
      <c r="E141">
        <v>10433</v>
      </c>
      <c r="F141">
        <v>11</v>
      </c>
      <c r="G141">
        <v>1462</v>
      </c>
      <c r="H141" t="s">
        <v>55</v>
      </c>
      <c r="I141" s="23">
        <v>37758.699999999997</v>
      </c>
      <c r="J141" s="185">
        <v>46028</v>
      </c>
      <c r="K141" s="185">
        <v>46028</v>
      </c>
      <c r="L141" s="185">
        <v>46098</v>
      </c>
      <c r="M141" s="185">
        <v>46098</v>
      </c>
      <c r="N141"/>
      <c r="O141">
        <v>1010100</v>
      </c>
      <c r="P141" t="s">
        <v>29</v>
      </c>
      <c r="Q141">
        <v>200000100</v>
      </c>
      <c r="R141" t="s">
        <v>15322</v>
      </c>
      <c r="S141"/>
      <c r="T141" t="s">
        <v>15323</v>
      </c>
      <c r="U141" t="s">
        <v>6311</v>
      </c>
      <c r="V141" s="23">
        <v>0</v>
      </c>
      <c r="W141" s="23">
        <v>0</v>
      </c>
      <c r="X141" s="23">
        <v>0</v>
      </c>
      <c r="Y141"/>
      <c r="Z141">
        <v>1246258536</v>
      </c>
      <c r="AA141"/>
      <c r="AB141" t="s">
        <v>1186</v>
      </c>
      <c r="AC141">
        <v>102</v>
      </c>
      <c r="AD141">
        <v>4</v>
      </c>
      <c r="AE141" t="s">
        <v>15324</v>
      </c>
      <c r="AF141"/>
      <c r="AG141" s="23"/>
      <c r="AH141" s="265" t="str">
        <f>_xlfn.XLOOKUP(G141,Clientes!I:I,Clientes!F:F)</f>
        <v>AURORA MINERAÇÃO LTDA</v>
      </c>
    </row>
    <row r="142" spans="1:34" x14ac:dyDescent="0.25">
      <c r="A142">
        <v>161</v>
      </c>
      <c r="B142" t="s">
        <v>145</v>
      </c>
      <c r="C142"/>
      <c r="D142" s="23">
        <v>37800</v>
      </c>
      <c r="E142">
        <v>10881</v>
      </c>
      <c r="F142">
        <v>11</v>
      </c>
      <c r="G142">
        <v>205</v>
      </c>
      <c r="H142" t="s">
        <v>35</v>
      </c>
      <c r="I142" s="23">
        <v>37800</v>
      </c>
      <c r="J142" s="185">
        <v>46094</v>
      </c>
      <c r="K142" s="185">
        <v>46094</v>
      </c>
      <c r="L142" s="185">
        <v>46122</v>
      </c>
      <c r="M142" s="185">
        <v>46122</v>
      </c>
      <c r="N142"/>
      <c r="O142">
        <v>1010100</v>
      </c>
      <c r="P142" t="s">
        <v>29</v>
      </c>
      <c r="Q142">
        <v>200000100</v>
      </c>
      <c r="R142" t="s">
        <v>15322</v>
      </c>
      <c r="S142"/>
      <c r="T142" t="s">
        <v>15323</v>
      </c>
      <c r="U142" t="s">
        <v>5803</v>
      </c>
      <c r="V142" s="23">
        <v>0</v>
      </c>
      <c r="W142" s="23">
        <v>0</v>
      </c>
      <c r="X142" s="23">
        <v>0</v>
      </c>
      <c r="Y142"/>
      <c r="Z142">
        <v>1246267728</v>
      </c>
      <c r="AA142"/>
      <c r="AB142" t="s">
        <v>2073</v>
      </c>
      <c r="AC142">
        <v>102</v>
      </c>
      <c r="AD142">
        <v>4</v>
      </c>
      <c r="AE142" t="s">
        <v>15324</v>
      </c>
      <c r="AF142"/>
      <c r="AG142" s="23"/>
      <c r="AH142" s="265" t="str">
        <f>_xlfn.XLOOKUP(G142,Clientes!I:I,Clientes!F:F)</f>
        <v>GRUPO FERTIPAR FERTILIZANTES MATO GROSSO</v>
      </c>
    </row>
    <row r="143" spans="1:34" x14ac:dyDescent="0.25">
      <c r="A143">
        <v>161</v>
      </c>
      <c r="B143" t="s">
        <v>145</v>
      </c>
      <c r="C143"/>
      <c r="D143" s="23">
        <v>38067.25</v>
      </c>
      <c r="E143">
        <v>11350</v>
      </c>
      <c r="F143">
        <v>11</v>
      </c>
      <c r="G143">
        <v>1462</v>
      </c>
      <c r="H143" t="s">
        <v>55</v>
      </c>
      <c r="I143" s="23">
        <v>38067.25</v>
      </c>
      <c r="J143" s="185">
        <v>46153</v>
      </c>
      <c r="K143" s="185">
        <v>46153</v>
      </c>
      <c r="L143" s="185">
        <v>46213</v>
      </c>
      <c r="M143" s="185"/>
      <c r="N143"/>
      <c r="O143">
        <v>1010100</v>
      </c>
      <c r="P143" t="s">
        <v>29</v>
      </c>
      <c r="Q143">
        <v>200000100</v>
      </c>
      <c r="R143" t="s">
        <v>15322</v>
      </c>
      <c r="S143"/>
      <c r="T143" t="s">
        <v>15323</v>
      </c>
      <c r="U143" t="s">
        <v>6311</v>
      </c>
      <c r="V143" s="23">
        <v>0</v>
      </c>
      <c r="W143" s="23">
        <v>0</v>
      </c>
      <c r="X143" s="23">
        <v>0</v>
      </c>
      <c r="Y143"/>
      <c r="Z143">
        <v>1246274419</v>
      </c>
      <c r="AA143"/>
      <c r="AB143"/>
      <c r="AC143">
        <v>102</v>
      </c>
      <c r="AD143">
        <v>4</v>
      </c>
      <c r="AE143" t="s">
        <v>15324</v>
      </c>
      <c r="AF143"/>
      <c r="AG143" s="23"/>
      <c r="AH143" s="265" t="str">
        <f>_xlfn.XLOOKUP(G143,Clientes!I:I,Clientes!F:F)</f>
        <v>AURORA MINERAÇÃO LTDA</v>
      </c>
    </row>
    <row r="144" spans="1:34" x14ac:dyDescent="0.25">
      <c r="A144">
        <v>161</v>
      </c>
      <c r="B144" t="s">
        <v>145</v>
      </c>
      <c r="C144"/>
      <c r="D144" s="23">
        <v>38067.25</v>
      </c>
      <c r="E144">
        <v>11350</v>
      </c>
      <c r="F144">
        <v>11</v>
      </c>
      <c r="G144">
        <v>1462</v>
      </c>
      <c r="H144" t="s">
        <v>55</v>
      </c>
      <c r="I144" s="23">
        <v>38067.25</v>
      </c>
      <c r="J144" s="185">
        <v>46153</v>
      </c>
      <c r="K144" s="185">
        <v>46153</v>
      </c>
      <c r="L144" s="185">
        <v>46223</v>
      </c>
      <c r="M144" s="185"/>
      <c r="N144"/>
      <c r="O144">
        <v>1010100</v>
      </c>
      <c r="P144" t="s">
        <v>29</v>
      </c>
      <c r="Q144">
        <v>200000100</v>
      </c>
      <c r="R144" t="s">
        <v>15322</v>
      </c>
      <c r="S144"/>
      <c r="T144" t="s">
        <v>15323</v>
      </c>
      <c r="U144" t="s">
        <v>6311</v>
      </c>
      <c r="V144" s="23">
        <v>0</v>
      </c>
      <c r="W144" s="23">
        <v>0</v>
      </c>
      <c r="X144" s="23">
        <v>0</v>
      </c>
      <c r="Y144"/>
      <c r="Z144">
        <v>1246274420</v>
      </c>
      <c r="AA144"/>
      <c r="AB144"/>
      <c r="AC144">
        <v>102</v>
      </c>
      <c r="AD144">
        <v>4</v>
      </c>
      <c r="AE144" t="s">
        <v>15324</v>
      </c>
      <c r="AF144"/>
      <c r="AG144" s="23"/>
      <c r="AH144" s="265" t="str">
        <f>_xlfn.XLOOKUP(G144,Clientes!I:I,Clientes!F:F)</f>
        <v>AURORA MINERAÇÃO LTDA</v>
      </c>
    </row>
    <row r="145" spans="1:34" x14ac:dyDescent="0.25">
      <c r="A145">
        <v>161</v>
      </c>
      <c r="B145" t="s">
        <v>145</v>
      </c>
      <c r="C145"/>
      <c r="D145" s="23">
        <v>38160.199999999997</v>
      </c>
      <c r="E145">
        <v>11041</v>
      </c>
      <c r="F145">
        <v>11</v>
      </c>
      <c r="G145">
        <v>1462</v>
      </c>
      <c r="H145" t="s">
        <v>55</v>
      </c>
      <c r="I145" s="23">
        <v>38160.199999999997</v>
      </c>
      <c r="J145" s="185">
        <v>46114</v>
      </c>
      <c r="K145" s="185">
        <v>46114</v>
      </c>
      <c r="L145" s="185">
        <v>46174</v>
      </c>
      <c r="M145" s="185"/>
      <c r="N145"/>
      <c r="O145">
        <v>1010100</v>
      </c>
      <c r="P145" t="s">
        <v>29</v>
      </c>
      <c r="Q145">
        <v>200000100</v>
      </c>
      <c r="R145" t="s">
        <v>15322</v>
      </c>
      <c r="S145"/>
      <c r="T145" t="s">
        <v>15323</v>
      </c>
      <c r="U145" t="s">
        <v>6311</v>
      </c>
      <c r="V145" s="23">
        <v>0</v>
      </c>
      <c r="W145" s="23">
        <v>0</v>
      </c>
      <c r="X145" s="23">
        <v>0</v>
      </c>
      <c r="Y145"/>
      <c r="Z145">
        <v>1246270126</v>
      </c>
      <c r="AA145"/>
      <c r="AB145"/>
      <c r="AC145">
        <v>102</v>
      </c>
      <c r="AD145">
        <v>4</v>
      </c>
      <c r="AE145" t="s">
        <v>15324</v>
      </c>
      <c r="AF145"/>
      <c r="AG145" s="23"/>
      <c r="AH145" s="265" t="str">
        <f>_xlfn.XLOOKUP(G145,Clientes!I:I,Clientes!F:F)</f>
        <v>AURORA MINERAÇÃO LTDA</v>
      </c>
    </row>
    <row r="146" spans="1:34" x14ac:dyDescent="0.25">
      <c r="A146">
        <v>161</v>
      </c>
      <c r="B146" t="s">
        <v>145</v>
      </c>
      <c r="C146"/>
      <c r="D146" s="23">
        <v>38160.199999999997</v>
      </c>
      <c r="E146">
        <v>11041</v>
      </c>
      <c r="F146">
        <v>11</v>
      </c>
      <c r="G146">
        <v>1462</v>
      </c>
      <c r="H146" t="s">
        <v>55</v>
      </c>
      <c r="I146" s="23">
        <v>38160.199999999997</v>
      </c>
      <c r="J146" s="185">
        <v>46114</v>
      </c>
      <c r="K146" s="185">
        <v>46114</v>
      </c>
      <c r="L146" s="185">
        <v>46184</v>
      </c>
      <c r="M146" s="185"/>
      <c r="N146"/>
      <c r="O146">
        <v>1010100</v>
      </c>
      <c r="P146" t="s">
        <v>29</v>
      </c>
      <c r="Q146">
        <v>200000100</v>
      </c>
      <c r="R146" t="s">
        <v>15322</v>
      </c>
      <c r="S146"/>
      <c r="T146" t="s">
        <v>15323</v>
      </c>
      <c r="U146" t="s">
        <v>6311</v>
      </c>
      <c r="V146" s="23">
        <v>0</v>
      </c>
      <c r="W146" s="23">
        <v>0</v>
      </c>
      <c r="X146" s="23">
        <v>0</v>
      </c>
      <c r="Y146"/>
      <c r="Z146">
        <v>1246270127</v>
      </c>
      <c r="AA146"/>
      <c r="AB146"/>
      <c r="AC146">
        <v>102</v>
      </c>
      <c r="AD146">
        <v>4</v>
      </c>
      <c r="AE146" t="s">
        <v>15324</v>
      </c>
      <c r="AF146"/>
      <c r="AG146" s="23"/>
      <c r="AH146" s="265" t="str">
        <f>_xlfn.XLOOKUP(G146,Clientes!I:I,Clientes!F:F)</f>
        <v>AURORA MINERAÇÃO LTDA</v>
      </c>
    </row>
    <row r="147" spans="1:34" x14ac:dyDescent="0.25">
      <c r="A147">
        <v>161</v>
      </c>
      <c r="B147" t="s">
        <v>145</v>
      </c>
      <c r="C147"/>
      <c r="D147" s="23">
        <v>38236.25</v>
      </c>
      <c r="E147">
        <v>11543</v>
      </c>
      <c r="F147">
        <v>11</v>
      </c>
      <c r="G147">
        <v>1462</v>
      </c>
      <c r="H147" t="s">
        <v>55</v>
      </c>
      <c r="I147" s="23">
        <v>38236.25</v>
      </c>
      <c r="J147" s="185">
        <v>46170</v>
      </c>
      <c r="K147" s="185">
        <v>46170</v>
      </c>
      <c r="L147" s="185">
        <v>46230</v>
      </c>
      <c r="M147" s="185"/>
      <c r="N147"/>
      <c r="O147">
        <v>1010100</v>
      </c>
      <c r="P147" t="s">
        <v>29</v>
      </c>
      <c r="Q147">
        <v>200000100</v>
      </c>
      <c r="R147" t="s">
        <v>15322</v>
      </c>
      <c r="S147"/>
      <c r="T147" t="s">
        <v>15323</v>
      </c>
      <c r="U147" t="s">
        <v>6311</v>
      </c>
      <c r="V147" s="23">
        <v>0</v>
      </c>
      <c r="W147" s="23">
        <v>0</v>
      </c>
      <c r="X147" s="23">
        <v>0</v>
      </c>
      <c r="Y147"/>
      <c r="Z147">
        <v>1246277330</v>
      </c>
      <c r="AA147"/>
      <c r="AB147"/>
      <c r="AC147">
        <v>102</v>
      </c>
      <c r="AD147">
        <v>4</v>
      </c>
      <c r="AE147" t="s">
        <v>15324</v>
      </c>
      <c r="AF147"/>
      <c r="AG147" s="23"/>
      <c r="AH147" s="265" t="str">
        <f>_xlfn.XLOOKUP(G147,Clientes!I:I,Clientes!F:F)</f>
        <v>AURORA MINERAÇÃO LTDA</v>
      </c>
    </row>
    <row r="148" spans="1:34" x14ac:dyDescent="0.25">
      <c r="A148">
        <v>161</v>
      </c>
      <c r="B148" t="s">
        <v>145</v>
      </c>
      <c r="C148"/>
      <c r="D148" s="23">
        <v>38236.25</v>
      </c>
      <c r="E148">
        <v>11543</v>
      </c>
      <c r="F148">
        <v>11</v>
      </c>
      <c r="G148">
        <v>1462</v>
      </c>
      <c r="H148" t="s">
        <v>55</v>
      </c>
      <c r="I148" s="23">
        <v>38236.25</v>
      </c>
      <c r="J148" s="185">
        <v>46170</v>
      </c>
      <c r="K148" s="185">
        <v>46170</v>
      </c>
      <c r="L148" s="185">
        <v>46240</v>
      </c>
      <c r="M148" s="185"/>
      <c r="N148"/>
      <c r="O148">
        <v>1010100</v>
      </c>
      <c r="P148" t="s">
        <v>29</v>
      </c>
      <c r="Q148">
        <v>200000100</v>
      </c>
      <c r="R148" t="s">
        <v>15322</v>
      </c>
      <c r="S148"/>
      <c r="T148" t="s">
        <v>15323</v>
      </c>
      <c r="U148" t="s">
        <v>6311</v>
      </c>
      <c r="V148" s="23">
        <v>0</v>
      </c>
      <c r="W148" s="23">
        <v>0</v>
      </c>
      <c r="X148" s="23">
        <v>0</v>
      </c>
      <c r="Y148"/>
      <c r="Z148">
        <v>1246277331</v>
      </c>
      <c r="AA148"/>
      <c r="AB148"/>
      <c r="AC148">
        <v>102</v>
      </c>
      <c r="AD148">
        <v>4</v>
      </c>
      <c r="AE148" t="s">
        <v>15324</v>
      </c>
      <c r="AF148"/>
      <c r="AG148" s="23"/>
      <c r="AH148" s="265" t="str">
        <f>_xlfn.XLOOKUP(G148,Clientes!I:I,Clientes!F:F)</f>
        <v>AURORA MINERAÇÃO LTDA</v>
      </c>
    </row>
    <row r="149" spans="1:34" x14ac:dyDescent="0.25">
      <c r="A149">
        <v>161</v>
      </c>
      <c r="B149" t="s">
        <v>145</v>
      </c>
      <c r="C149"/>
      <c r="D149" s="23">
        <v>38530</v>
      </c>
      <c r="E149">
        <v>2722</v>
      </c>
      <c r="F149">
        <v>13</v>
      </c>
      <c r="G149">
        <v>7662</v>
      </c>
      <c r="H149" t="s">
        <v>95</v>
      </c>
      <c r="I149" s="23">
        <v>38530</v>
      </c>
      <c r="J149" s="185">
        <v>46059</v>
      </c>
      <c r="K149" s="185">
        <v>46059</v>
      </c>
      <c r="L149" s="185">
        <v>46104</v>
      </c>
      <c r="M149" s="185">
        <v>46104</v>
      </c>
      <c r="N149"/>
      <c r="O149">
        <v>1010100</v>
      </c>
      <c r="P149" t="s">
        <v>29</v>
      </c>
      <c r="Q149">
        <v>200000100</v>
      </c>
      <c r="R149" t="s">
        <v>15322</v>
      </c>
      <c r="S149"/>
      <c r="T149" t="s">
        <v>15323</v>
      </c>
      <c r="U149" t="s">
        <v>6311</v>
      </c>
      <c r="V149" s="23">
        <v>0</v>
      </c>
      <c r="W149" s="23">
        <v>0</v>
      </c>
      <c r="X149" s="23">
        <v>0</v>
      </c>
      <c r="Y149"/>
      <c r="Z149">
        <v>1246262500</v>
      </c>
      <c r="AA149"/>
      <c r="AB149" t="s">
        <v>1186</v>
      </c>
      <c r="AC149">
        <v>102</v>
      </c>
      <c r="AD149">
        <v>4</v>
      </c>
      <c r="AE149" t="s">
        <v>15324</v>
      </c>
      <c r="AF149"/>
      <c r="AG149" s="23"/>
      <c r="AH149" s="265" t="str">
        <f>_xlfn.XLOOKUP(G149,Clientes!I:I,Clientes!F:F)</f>
        <v>BENTONIT UNIAO - CAMPINA GRANDE</v>
      </c>
    </row>
    <row r="150" spans="1:34" x14ac:dyDescent="0.25">
      <c r="A150">
        <v>161</v>
      </c>
      <c r="B150" t="s">
        <v>145</v>
      </c>
      <c r="C150"/>
      <c r="D150" s="23">
        <v>38530</v>
      </c>
      <c r="E150">
        <v>2722</v>
      </c>
      <c r="F150">
        <v>13</v>
      </c>
      <c r="G150">
        <v>7662</v>
      </c>
      <c r="H150" t="s">
        <v>95</v>
      </c>
      <c r="I150" s="23">
        <v>38530</v>
      </c>
      <c r="J150" s="185">
        <v>46059</v>
      </c>
      <c r="K150" s="185">
        <v>46059</v>
      </c>
      <c r="L150" s="185">
        <v>46119</v>
      </c>
      <c r="M150" s="185">
        <v>46119</v>
      </c>
      <c r="N150"/>
      <c r="O150">
        <v>1010100</v>
      </c>
      <c r="P150" t="s">
        <v>29</v>
      </c>
      <c r="Q150">
        <v>200000100</v>
      </c>
      <c r="R150" t="s">
        <v>15322</v>
      </c>
      <c r="S150"/>
      <c r="T150" t="s">
        <v>15323</v>
      </c>
      <c r="U150" t="s">
        <v>6311</v>
      </c>
      <c r="V150" s="23">
        <v>0</v>
      </c>
      <c r="W150" s="23">
        <v>0</v>
      </c>
      <c r="X150" s="23">
        <v>0</v>
      </c>
      <c r="Y150"/>
      <c r="Z150">
        <v>1246262501</v>
      </c>
      <c r="AA150"/>
      <c r="AB150" t="s">
        <v>1186</v>
      </c>
      <c r="AC150">
        <v>102</v>
      </c>
      <c r="AD150">
        <v>4</v>
      </c>
      <c r="AE150" t="s">
        <v>15324</v>
      </c>
      <c r="AF150"/>
      <c r="AG150" s="23"/>
      <c r="AH150" s="265" t="str">
        <f>_xlfn.XLOOKUP(G150,Clientes!I:I,Clientes!F:F)</f>
        <v>BENTONIT UNIAO - CAMPINA GRANDE</v>
      </c>
    </row>
    <row r="151" spans="1:34" x14ac:dyDescent="0.25">
      <c r="A151">
        <v>161</v>
      </c>
      <c r="B151" t="s">
        <v>145</v>
      </c>
      <c r="C151"/>
      <c r="D151" s="23">
        <v>38698.71</v>
      </c>
      <c r="E151">
        <v>10935</v>
      </c>
      <c r="F151">
        <v>11</v>
      </c>
      <c r="G151">
        <v>15908</v>
      </c>
      <c r="H151" t="s">
        <v>748</v>
      </c>
      <c r="I151" s="23">
        <v>38698.71</v>
      </c>
      <c r="J151" s="185">
        <v>46100</v>
      </c>
      <c r="K151" s="185">
        <v>46100</v>
      </c>
      <c r="L151" s="185">
        <v>46190</v>
      </c>
      <c r="M151" s="185">
        <v>46189</v>
      </c>
      <c r="N151"/>
      <c r="O151">
        <v>1010100</v>
      </c>
      <c r="P151" t="s">
        <v>29</v>
      </c>
      <c r="Q151">
        <v>200000200</v>
      </c>
      <c r="R151" t="s">
        <v>15377</v>
      </c>
      <c r="S151"/>
      <c r="T151" t="s">
        <v>15323</v>
      </c>
      <c r="U151" t="s">
        <v>6311</v>
      </c>
      <c r="V151" s="23">
        <v>0</v>
      </c>
      <c r="W151" s="23">
        <v>0</v>
      </c>
      <c r="X151" s="23">
        <v>0</v>
      </c>
      <c r="Y151"/>
      <c r="Z151">
        <v>1246268455</v>
      </c>
      <c r="AA151"/>
      <c r="AB151" t="s">
        <v>1186</v>
      </c>
      <c r="AC151">
        <v>102</v>
      </c>
      <c r="AD151">
        <v>4</v>
      </c>
      <c r="AE151" t="s">
        <v>15324</v>
      </c>
      <c r="AF151"/>
      <c r="AG151" s="23"/>
      <c r="AH151" s="265" t="str">
        <f>_xlfn.XLOOKUP(G151,Clientes!I:I,Clientes!F:F)</f>
        <v>ADUFÉRTIL - CAMPEVO</v>
      </c>
    </row>
    <row r="152" spans="1:34" x14ac:dyDescent="0.25">
      <c r="A152">
        <v>161</v>
      </c>
      <c r="B152" t="s">
        <v>145</v>
      </c>
      <c r="C152"/>
      <c r="D152" s="23">
        <v>38698.71</v>
      </c>
      <c r="E152">
        <v>10939</v>
      </c>
      <c r="F152">
        <v>11</v>
      </c>
      <c r="G152">
        <v>15904</v>
      </c>
      <c r="H152" t="s">
        <v>754</v>
      </c>
      <c r="I152" s="23">
        <v>38698.71</v>
      </c>
      <c r="J152" s="185">
        <v>46100</v>
      </c>
      <c r="K152" s="185">
        <v>46100</v>
      </c>
      <c r="L152" s="185">
        <v>46190</v>
      </c>
      <c r="M152" s="185">
        <v>46189</v>
      </c>
      <c r="N152"/>
      <c r="O152">
        <v>1010100</v>
      </c>
      <c r="P152" t="s">
        <v>29</v>
      </c>
      <c r="Q152">
        <v>200000200</v>
      </c>
      <c r="R152" t="s">
        <v>15377</v>
      </c>
      <c r="S152"/>
      <c r="T152" t="s">
        <v>15323</v>
      </c>
      <c r="U152" t="s">
        <v>6311</v>
      </c>
      <c r="V152" s="23">
        <v>0</v>
      </c>
      <c r="W152" s="23">
        <v>0</v>
      </c>
      <c r="X152" s="23">
        <v>0</v>
      </c>
      <c r="Y152"/>
      <c r="Z152">
        <v>1246268475</v>
      </c>
      <c r="AA152"/>
      <c r="AB152" t="s">
        <v>1186</v>
      </c>
      <c r="AC152">
        <v>102</v>
      </c>
      <c r="AD152">
        <v>4</v>
      </c>
      <c r="AE152" t="s">
        <v>15324</v>
      </c>
      <c r="AF152"/>
      <c r="AG152" s="23"/>
      <c r="AH152" s="265" t="str">
        <f>_xlfn.XLOOKUP(G152,Clientes!I:I,Clientes!F:F)</f>
        <v>ADUFÉRTIL - CAMPEVO</v>
      </c>
    </row>
    <row r="153" spans="1:34" x14ac:dyDescent="0.25">
      <c r="A153">
        <v>40</v>
      </c>
      <c r="B153" t="s">
        <v>155</v>
      </c>
      <c r="C153"/>
      <c r="D153" s="23">
        <v>39430.379999999997</v>
      </c>
      <c r="E153">
        <v>10964</v>
      </c>
      <c r="F153">
        <v>11</v>
      </c>
      <c r="G153">
        <v>2655</v>
      </c>
      <c r="H153" t="s">
        <v>318</v>
      </c>
      <c r="I153" s="23">
        <v>39430.379999999997</v>
      </c>
      <c r="J153" s="185">
        <v>46105</v>
      </c>
      <c r="K153" s="185">
        <v>46105</v>
      </c>
      <c r="L153" s="185">
        <v>46195</v>
      </c>
      <c r="M153" s="185">
        <v>46195</v>
      </c>
      <c r="N153"/>
      <c r="O153">
        <v>1010200</v>
      </c>
      <c r="P153" t="s">
        <v>113</v>
      </c>
      <c r="Q153">
        <v>200000100</v>
      </c>
      <c r="R153" t="s">
        <v>15322</v>
      </c>
      <c r="S153"/>
      <c r="T153" t="s">
        <v>15323</v>
      </c>
      <c r="U153" t="s">
        <v>1199</v>
      </c>
      <c r="V153" s="23">
        <v>0</v>
      </c>
      <c r="W153" s="23">
        <v>0</v>
      </c>
      <c r="X153" s="23">
        <v>0</v>
      </c>
      <c r="Y153"/>
      <c r="Z153">
        <v>1246280554</v>
      </c>
      <c r="AA153"/>
      <c r="AB153" t="s">
        <v>1199</v>
      </c>
      <c r="AC153">
        <v>125</v>
      </c>
      <c r="AD153">
        <v>4</v>
      </c>
      <c r="AE153" t="s">
        <v>15324</v>
      </c>
      <c r="AF153" t="s">
        <v>15348</v>
      </c>
      <c r="AG153" s="23">
        <v>7632</v>
      </c>
      <c r="AH153" s="265" t="str">
        <f>_xlfn.XLOOKUP(G153,Clientes!I:I,Clientes!F:F)</f>
        <v>EQUILIBRA PERU S.A</v>
      </c>
    </row>
    <row r="154" spans="1:34" x14ac:dyDescent="0.25">
      <c r="A154">
        <v>161</v>
      </c>
      <c r="B154" t="s">
        <v>145</v>
      </c>
      <c r="C154"/>
      <c r="D154" s="23">
        <v>39435.82</v>
      </c>
      <c r="E154">
        <v>10676</v>
      </c>
      <c r="F154">
        <v>11</v>
      </c>
      <c r="G154">
        <v>7167</v>
      </c>
      <c r="H154" t="s">
        <v>137</v>
      </c>
      <c r="I154" s="23">
        <v>39435.82</v>
      </c>
      <c r="J154" s="185">
        <v>46064</v>
      </c>
      <c r="K154" s="185">
        <v>46064</v>
      </c>
      <c r="L154" s="185">
        <v>46071</v>
      </c>
      <c r="M154" s="185">
        <v>46071</v>
      </c>
      <c r="N154"/>
      <c r="O154">
        <v>1010100</v>
      </c>
      <c r="P154" t="s">
        <v>29</v>
      </c>
      <c r="Q154">
        <v>200000200</v>
      </c>
      <c r="R154" t="s">
        <v>15377</v>
      </c>
      <c r="S154"/>
      <c r="T154" t="s">
        <v>15323</v>
      </c>
      <c r="U154" t="s">
        <v>6311</v>
      </c>
      <c r="V154" s="23">
        <v>0</v>
      </c>
      <c r="W154" s="23">
        <v>0</v>
      </c>
      <c r="X154" s="23">
        <v>0</v>
      </c>
      <c r="Y154"/>
      <c r="Z154">
        <v>1246263340</v>
      </c>
      <c r="AA154"/>
      <c r="AB154" t="s">
        <v>1186</v>
      </c>
      <c r="AC154">
        <v>102</v>
      </c>
      <c r="AD154">
        <v>4</v>
      </c>
      <c r="AE154" t="s">
        <v>15324</v>
      </c>
      <c r="AF154"/>
      <c r="AG154" s="23"/>
      <c r="AH154" s="265" t="str">
        <f>_xlfn.XLOOKUP(G154,Clientes!I:I,Clientes!F:F)</f>
        <v>EQUILIBRIO - MOGI MIRIM</v>
      </c>
    </row>
    <row r="155" spans="1:34" x14ac:dyDescent="0.25">
      <c r="A155">
        <v>161</v>
      </c>
      <c r="B155" t="s">
        <v>145</v>
      </c>
      <c r="C155"/>
      <c r="D155" s="23">
        <v>39435.82</v>
      </c>
      <c r="E155">
        <v>10677</v>
      </c>
      <c r="F155">
        <v>11</v>
      </c>
      <c r="G155">
        <v>7167</v>
      </c>
      <c r="H155" t="s">
        <v>137</v>
      </c>
      <c r="I155" s="23">
        <v>39435.82</v>
      </c>
      <c r="J155" s="185">
        <v>46064</v>
      </c>
      <c r="K155" s="185">
        <v>46064</v>
      </c>
      <c r="L155" s="185">
        <v>46094</v>
      </c>
      <c r="M155" s="185">
        <v>46094</v>
      </c>
      <c r="N155"/>
      <c r="O155">
        <v>1010100</v>
      </c>
      <c r="P155" t="s">
        <v>29</v>
      </c>
      <c r="Q155">
        <v>200000200</v>
      </c>
      <c r="R155" t="s">
        <v>15377</v>
      </c>
      <c r="S155"/>
      <c r="T155" t="s">
        <v>15323</v>
      </c>
      <c r="U155" t="s">
        <v>6311</v>
      </c>
      <c r="V155" s="23">
        <v>0</v>
      </c>
      <c r="W155" s="23">
        <v>0</v>
      </c>
      <c r="X155" s="23">
        <v>0</v>
      </c>
      <c r="Y155"/>
      <c r="Z155">
        <v>1246263343</v>
      </c>
      <c r="AA155"/>
      <c r="AB155" t="s">
        <v>1186</v>
      </c>
      <c r="AC155">
        <v>102</v>
      </c>
      <c r="AD155">
        <v>4</v>
      </c>
      <c r="AE155" t="s">
        <v>15324</v>
      </c>
      <c r="AF155"/>
      <c r="AG155" s="23"/>
      <c r="AH155" s="265" t="str">
        <f>_xlfn.XLOOKUP(G155,Clientes!I:I,Clientes!F:F)</f>
        <v>EQUILIBRIO - MOGI MIRIM</v>
      </c>
    </row>
    <row r="156" spans="1:34" x14ac:dyDescent="0.25">
      <c r="A156">
        <v>161</v>
      </c>
      <c r="B156" t="s">
        <v>145</v>
      </c>
      <c r="C156"/>
      <c r="D156" s="23">
        <v>39740.400000000001</v>
      </c>
      <c r="E156">
        <v>11353</v>
      </c>
      <c r="F156">
        <v>11</v>
      </c>
      <c r="G156">
        <v>205</v>
      </c>
      <c r="H156" t="s">
        <v>35</v>
      </c>
      <c r="I156" s="23">
        <v>39740.400000000001</v>
      </c>
      <c r="J156" s="185">
        <v>46153</v>
      </c>
      <c r="K156" s="185">
        <v>46153</v>
      </c>
      <c r="L156" s="185">
        <v>46181</v>
      </c>
      <c r="M156" s="185">
        <v>46181</v>
      </c>
      <c r="N156"/>
      <c r="O156">
        <v>1010100</v>
      </c>
      <c r="P156" t="s">
        <v>29</v>
      </c>
      <c r="Q156">
        <v>200000100</v>
      </c>
      <c r="R156" t="s">
        <v>15322</v>
      </c>
      <c r="S156"/>
      <c r="T156" t="s">
        <v>15323</v>
      </c>
      <c r="U156" t="s">
        <v>5803</v>
      </c>
      <c r="V156" s="23">
        <v>0</v>
      </c>
      <c r="W156" s="23">
        <v>0</v>
      </c>
      <c r="X156" s="23">
        <v>0</v>
      </c>
      <c r="Y156"/>
      <c r="Z156">
        <v>1246274448</v>
      </c>
      <c r="AA156"/>
      <c r="AB156" t="s">
        <v>1199</v>
      </c>
      <c r="AC156">
        <v>102</v>
      </c>
      <c r="AD156">
        <v>4</v>
      </c>
      <c r="AE156" t="s">
        <v>15324</v>
      </c>
      <c r="AF156"/>
      <c r="AG156" s="23"/>
      <c r="AH156" s="265" t="str">
        <f>_xlfn.XLOOKUP(G156,Clientes!I:I,Clientes!F:F)</f>
        <v>GRUPO FERTIPAR FERTILIZANTES MATO GROSSO</v>
      </c>
    </row>
    <row r="157" spans="1:34" x14ac:dyDescent="0.25">
      <c r="A157">
        <v>56</v>
      </c>
      <c r="B157" t="s">
        <v>146</v>
      </c>
      <c r="C157"/>
      <c r="D157" s="23">
        <v>39900</v>
      </c>
      <c r="E157">
        <v>11139</v>
      </c>
      <c r="F157">
        <v>11</v>
      </c>
      <c r="G157">
        <v>1936</v>
      </c>
      <c r="H157" t="s">
        <v>64</v>
      </c>
      <c r="I157" s="23">
        <v>39900</v>
      </c>
      <c r="J157" s="185">
        <v>46128</v>
      </c>
      <c r="K157" s="185">
        <v>46128</v>
      </c>
      <c r="L157" s="185">
        <v>46156</v>
      </c>
      <c r="M157" s="185">
        <v>46156</v>
      </c>
      <c r="N157"/>
      <c r="O157">
        <v>1010100</v>
      </c>
      <c r="P157" t="s">
        <v>29</v>
      </c>
      <c r="Q157">
        <v>200000100</v>
      </c>
      <c r="R157" t="s">
        <v>15322</v>
      </c>
      <c r="S157"/>
      <c r="T157" t="s">
        <v>15323</v>
      </c>
      <c r="U157" t="s">
        <v>1216</v>
      </c>
      <c r="V157" s="23">
        <v>0</v>
      </c>
      <c r="W157" s="23">
        <v>0</v>
      </c>
      <c r="X157" s="23">
        <v>0</v>
      </c>
      <c r="Y157"/>
      <c r="Z157">
        <v>1246271562</v>
      </c>
      <c r="AA157"/>
      <c r="AB157" t="s">
        <v>1199</v>
      </c>
      <c r="AC157">
        <v>102</v>
      </c>
      <c r="AD157">
        <v>4</v>
      </c>
      <c r="AE157" t="s">
        <v>15324</v>
      </c>
      <c r="AF157"/>
      <c r="AG157" s="23"/>
      <c r="AH157" s="265" t="str">
        <f>_xlfn.XLOOKUP(G157,Clientes!I:I,Clientes!F:F)</f>
        <v>GRUPO AGRO INDUSTRIAL SAO LUIZ LTDA</v>
      </c>
    </row>
    <row r="158" spans="1:34" x14ac:dyDescent="0.25">
      <c r="A158">
        <v>56</v>
      </c>
      <c r="B158" t="s">
        <v>146</v>
      </c>
      <c r="C158"/>
      <c r="D158" s="23">
        <v>39900</v>
      </c>
      <c r="E158">
        <v>10879</v>
      </c>
      <c r="F158">
        <v>11</v>
      </c>
      <c r="G158">
        <v>1936</v>
      </c>
      <c r="H158" t="s">
        <v>64</v>
      </c>
      <c r="I158" s="23">
        <v>39900</v>
      </c>
      <c r="J158" s="185">
        <v>46094</v>
      </c>
      <c r="K158" s="185">
        <v>46094</v>
      </c>
      <c r="L158" s="185">
        <v>46122</v>
      </c>
      <c r="M158" s="185">
        <v>46122</v>
      </c>
      <c r="N158"/>
      <c r="O158">
        <v>1010100</v>
      </c>
      <c r="P158" t="s">
        <v>29</v>
      </c>
      <c r="Q158">
        <v>200000100</v>
      </c>
      <c r="R158" t="s">
        <v>15322</v>
      </c>
      <c r="S158"/>
      <c r="T158" t="s">
        <v>15323</v>
      </c>
      <c r="U158" t="s">
        <v>1216</v>
      </c>
      <c r="V158" s="23">
        <v>0</v>
      </c>
      <c r="W158" s="23">
        <v>0</v>
      </c>
      <c r="X158" s="23">
        <v>0</v>
      </c>
      <c r="Y158"/>
      <c r="Z158">
        <v>1246267723</v>
      </c>
      <c r="AA158"/>
      <c r="AB158" t="s">
        <v>2073</v>
      </c>
      <c r="AC158">
        <v>102</v>
      </c>
      <c r="AD158">
        <v>4</v>
      </c>
      <c r="AE158" t="s">
        <v>15324</v>
      </c>
      <c r="AF158"/>
      <c r="AG158" s="23"/>
      <c r="AH158" s="265" t="str">
        <f>_xlfn.XLOOKUP(G158,Clientes!I:I,Clientes!F:F)</f>
        <v>GRUPO AGRO INDUSTRIAL SAO LUIZ LTDA</v>
      </c>
    </row>
    <row r="159" spans="1:34" x14ac:dyDescent="0.25">
      <c r="A159">
        <v>56</v>
      </c>
      <c r="B159" t="s">
        <v>146</v>
      </c>
      <c r="C159"/>
      <c r="D159" s="23">
        <v>39900</v>
      </c>
      <c r="E159">
        <v>10562</v>
      </c>
      <c r="F159">
        <v>11</v>
      </c>
      <c r="G159">
        <v>1936</v>
      </c>
      <c r="H159" t="s">
        <v>64</v>
      </c>
      <c r="I159" s="23">
        <v>39900</v>
      </c>
      <c r="J159" s="185">
        <v>46045</v>
      </c>
      <c r="K159" s="185">
        <v>46045</v>
      </c>
      <c r="L159" s="185">
        <v>46073</v>
      </c>
      <c r="M159" s="185">
        <v>46073</v>
      </c>
      <c r="N159"/>
      <c r="O159">
        <v>1010100</v>
      </c>
      <c r="P159" t="s">
        <v>29</v>
      </c>
      <c r="Q159">
        <v>200000100</v>
      </c>
      <c r="R159" t="s">
        <v>15322</v>
      </c>
      <c r="S159"/>
      <c r="T159" t="s">
        <v>15323</v>
      </c>
      <c r="U159" t="s">
        <v>4468</v>
      </c>
      <c r="V159" s="23">
        <v>0</v>
      </c>
      <c r="W159" s="23">
        <v>0</v>
      </c>
      <c r="X159" s="23">
        <v>0</v>
      </c>
      <c r="Y159"/>
      <c r="Z159">
        <v>1246260706</v>
      </c>
      <c r="AA159"/>
      <c r="AB159" t="s">
        <v>1199</v>
      </c>
      <c r="AC159">
        <v>102</v>
      </c>
      <c r="AD159">
        <v>4</v>
      </c>
      <c r="AE159" t="s">
        <v>15324</v>
      </c>
      <c r="AF159"/>
      <c r="AG159" s="23"/>
      <c r="AH159" s="265" t="str">
        <f>_xlfn.XLOOKUP(G159,Clientes!I:I,Clientes!F:F)</f>
        <v>GRUPO AGRO INDUSTRIAL SAO LUIZ LTDA</v>
      </c>
    </row>
    <row r="160" spans="1:34" x14ac:dyDescent="0.25">
      <c r="A160">
        <v>56</v>
      </c>
      <c r="B160" t="s">
        <v>146</v>
      </c>
      <c r="C160"/>
      <c r="D160" s="23">
        <v>40300</v>
      </c>
      <c r="E160">
        <v>11615</v>
      </c>
      <c r="F160">
        <v>11</v>
      </c>
      <c r="G160">
        <v>1936</v>
      </c>
      <c r="H160" t="s">
        <v>64</v>
      </c>
      <c r="I160" s="23">
        <v>40300</v>
      </c>
      <c r="J160" s="185">
        <v>46178</v>
      </c>
      <c r="K160" s="185">
        <v>46178</v>
      </c>
      <c r="L160" s="185">
        <v>46206</v>
      </c>
      <c r="M160" s="185"/>
      <c r="N160"/>
      <c r="O160">
        <v>1010100</v>
      </c>
      <c r="P160" t="s">
        <v>29</v>
      </c>
      <c r="Q160">
        <v>200000100</v>
      </c>
      <c r="R160" t="s">
        <v>15322</v>
      </c>
      <c r="S160"/>
      <c r="T160" t="s">
        <v>15323</v>
      </c>
      <c r="U160" t="s">
        <v>1216</v>
      </c>
      <c r="V160" s="23">
        <v>0</v>
      </c>
      <c r="W160" s="23">
        <v>0</v>
      </c>
      <c r="X160" s="23">
        <v>0</v>
      </c>
      <c r="Y160"/>
      <c r="Z160">
        <v>1246278386</v>
      </c>
      <c r="AA160"/>
      <c r="AB160"/>
      <c r="AC160">
        <v>102</v>
      </c>
      <c r="AD160">
        <v>4</v>
      </c>
      <c r="AE160" t="s">
        <v>15324</v>
      </c>
      <c r="AF160"/>
      <c r="AG160" s="23"/>
      <c r="AH160" s="265" t="str">
        <f>_xlfn.XLOOKUP(G160,Clientes!I:I,Clientes!F:F)</f>
        <v>GRUPO AGRO INDUSTRIAL SAO LUIZ LTDA</v>
      </c>
    </row>
    <row r="161" spans="1:34" x14ac:dyDescent="0.25">
      <c r="A161">
        <v>161</v>
      </c>
      <c r="B161" t="s">
        <v>145</v>
      </c>
      <c r="C161"/>
      <c r="D161" s="23">
        <v>40378.800000000003</v>
      </c>
      <c r="E161">
        <v>10767</v>
      </c>
      <c r="F161">
        <v>11</v>
      </c>
      <c r="G161">
        <v>2975</v>
      </c>
      <c r="H161" t="s">
        <v>420</v>
      </c>
      <c r="I161" s="23">
        <v>40378.800000000003</v>
      </c>
      <c r="J161" s="185">
        <v>46078</v>
      </c>
      <c r="K161" s="185">
        <v>46078</v>
      </c>
      <c r="L161" s="185">
        <v>46106</v>
      </c>
      <c r="M161" s="185">
        <v>46106</v>
      </c>
      <c r="N161"/>
      <c r="O161">
        <v>1010100</v>
      </c>
      <c r="P161" t="s">
        <v>29</v>
      </c>
      <c r="Q161">
        <v>200000100</v>
      </c>
      <c r="R161" t="s">
        <v>15322</v>
      </c>
      <c r="S161"/>
      <c r="T161" t="s">
        <v>15323</v>
      </c>
      <c r="U161" t="s">
        <v>6311</v>
      </c>
      <c r="V161" s="23">
        <v>0</v>
      </c>
      <c r="W161" s="23">
        <v>0</v>
      </c>
      <c r="X161" s="23">
        <v>0</v>
      </c>
      <c r="Y161"/>
      <c r="Z161">
        <v>1246265084</v>
      </c>
      <c r="AA161"/>
      <c r="AB161" t="s">
        <v>1186</v>
      </c>
      <c r="AC161">
        <v>102</v>
      </c>
      <c r="AD161">
        <v>4</v>
      </c>
      <c r="AE161" t="s">
        <v>15324</v>
      </c>
      <c r="AF161"/>
      <c r="AG161" s="23"/>
      <c r="AH161" s="265" t="str">
        <f>_xlfn.XLOOKUP(G161,Clientes!I:I,Clientes!F:F)</f>
        <v>COONAGRO COOPERATIVA - PARANAGUA</v>
      </c>
    </row>
    <row r="162" spans="1:34" x14ac:dyDescent="0.25">
      <c r="A162">
        <v>161</v>
      </c>
      <c r="B162" t="s">
        <v>145</v>
      </c>
      <c r="C162"/>
      <c r="D162" s="23">
        <v>40563.800000000003</v>
      </c>
      <c r="E162">
        <v>11494</v>
      </c>
      <c r="F162">
        <v>11</v>
      </c>
      <c r="G162">
        <v>205</v>
      </c>
      <c r="H162" t="s">
        <v>35</v>
      </c>
      <c r="I162" s="23">
        <v>40563.800000000003</v>
      </c>
      <c r="J162" s="185">
        <v>46167</v>
      </c>
      <c r="K162" s="185">
        <v>46167</v>
      </c>
      <c r="L162" s="185">
        <v>46195</v>
      </c>
      <c r="M162" s="185">
        <v>46195</v>
      </c>
      <c r="N162"/>
      <c r="O162">
        <v>1010100</v>
      </c>
      <c r="P162" t="s">
        <v>29</v>
      </c>
      <c r="Q162">
        <v>200000100</v>
      </c>
      <c r="R162" t="s">
        <v>15322</v>
      </c>
      <c r="S162"/>
      <c r="T162" t="s">
        <v>15323</v>
      </c>
      <c r="U162" t="s">
        <v>2246</v>
      </c>
      <c r="V162" s="23">
        <v>0</v>
      </c>
      <c r="W162" s="23">
        <v>0</v>
      </c>
      <c r="X162" s="23">
        <v>0</v>
      </c>
      <c r="Y162"/>
      <c r="Z162">
        <v>1246276656</v>
      </c>
      <c r="AA162"/>
      <c r="AB162" t="s">
        <v>1199</v>
      </c>
      <c r="AC162">
        <v>102</v>
      </c>
      <c r="AD162">
        <v>4</v>
      </c>
      <c r="AE162" t="s">
        <v>15324</v>
      </c>
      <c r="AF162"/>
      <c r="AG162" s="23"/>
      <c r="AH162" s="265" t="str">
        <f>_xlfn.XLOOKUP(G162,Clientes!I:I,Clientes!F:F)</f>
        <v>GRUPO FERTIPAR FERTILIZANTES MATO GROSSO</v>
      </c>
    </row>
    <row r="163" spans="1:34" x14ac:dyDescent="0.25">
      <c r="A163">
        <v>161</v>
      </c>
      <c r="B163" t="s">
        <v>145</v>
      </c>
      <c r="C163"/>
      <c r="D163" s="23">
        <v>40843.199999999997</v>
      </c>
      <c r="E163">
        <v>11640</v>
      </c>
      <c r="F163">
        <v>11</v>
      </c>
      <c r="G163">
        <v>205</v>
      </c>
      <c r="H163" t="s">
        <v>35</v>
      </c>
      <c r="I163" s="23">
        <v>40843.199999999997</v>
      </c>
      <c r="J163" s="185">
        <v>46181</v>
      </c>
      <c r="K163" s="185">
        <v>46181</v>
      </c>
      <c r="L163" s="185">
        <v>46209</v>
      </c>
      <c r="M163" s="185"/>
      <c r="N163"/>
      <c r="O163">
        <v>1010100</v>
      </c>
      <c r="P163" t="s">
        <v>29</v>
      </c>
      <c r="Q163">
        <v>200000100</v>
      </c>
      <c r="R163" t="s">
        <v>15322</v>
      </c>
      <c r="S163"/>
      <c r="T163" t="s">
        <v>15323</v>
      </c>
      <c r="U163" t="s">
        <v>5803</v>
      </c>
      <c r="V163" s="23">
        <v>0</v>
      </c>
      <c r="W163" s="23">
        <v>0</v>
      </c>
      <c r="X163" s="23">
        <v>0</v>
      </c>
      <c r="Y163"/>
      <c r="Z163">
        <v>1246278565</v>
      </c>
      <c r="AA163"/>
      <c r="AB163"/>
      <c r="AC163">
        <v>102</v>
      </c>
      <c r="AD163">
        <v>4</v>
      </c>
      <c r="AE163" t="s">
        <v>15324</v>
      </c>
      <c r="AF163"/>
      <c r="AG163" s="23"/>
      <c r="AH163" s="265" t="str">
        <f>_xlfn.XLOOKUP(G163,Clientes!I:I,Clientes!F:F)</f>
        <v>GRUPO FERTIPAR FERTILIZANTES MATO GROSSO</v>
      </c>
    </row>
    <row r="164" spans="1:34" x14ac:dyDescent="0.25">
      <c r="A164">
        <v>161</v>
      </c>
      <c r="B164" t="s">
        <v>145</v>
      </c>
      <c r="C164"/>
      <c r="D164" s="23">
        <v>40894</v>
      </c>
      <c r="E164">
        <v>11352</v>
      </c>
      <c r="F164">
        <v>11</v>
      </c>
      <c r="G164">
        <v>205</v>
      </c>
      <c r="H164" t="s">
        <v>35</v>
      </c>
      <c r="I164" s="23">
        <v>40894</v>
      </c>
      <c r="J164" s="185">
        <v>46153</v>
      </c>
      <c r="K164" s="185">
        <v>46153</v>
      </c>
      <c r="L164" s="185">
        <v>46181</v>
      </c>
      <c r="M164" s="185">
        <v>46181</v>
      </c>
      <c r="N164"/>
      <c r="O164">
        <v>1010100</v>
      </c>
      <c r="P164" t="s">
        <v>29</v>
      </c>
      <c r="Q164">
        <v>200000100</v>
      </c>
      <c r="R164" t="s">
        <v>15322</v>
      </c>
      <c r="S164"/>
      <c r="T164" t="s">
        <v>15323</v>
      </c>
      <c r="U164" t="s">
        <v>5803</v>
      </c>
      <c r="V164" s="23">
        <v>0</v>
      </c>
      <c r="W164" s="23">
        <v>0</v>
      </c>
      <c r="X164" s="23">
        <v>0</v>
      </c>
      <c r="Y164"/>
      <c r="Z164">
        <v>1246274446</v>
      </c>
      <c r="AA164"/>
      <c r="AB164" t="s">
        <v>1199</v>
      </c>
      <c r="AC164">
        <v>102</v>
      </c>
      <c r="AD164">
        <v>4</v>
      </c>
      <c r="AE164" t="s">
        <v>15324</v>
      </c>
      <c r="AF164"/>
      <c r="AG164" s="23"/>
      <c r="AH164" s="265" t="str">
        <f>_xlfn.XLOOKUP(G164,Clientes!I:I,Clientes!F:F)</f>
        <v>GRUPO FERTIPAR FERTILIZANTES MATO GROSSO</v>
      </c>
    </row>
    <row r="165" spans="1:34" x14ac:dyDescent="0.25">
      <c r="A165">
        <v>161</v>
      </c>
      <c r="B165" t="s">
        <v>145</v>
      </c>
      <c r="C165"/>
      <c r="D165" s="23">
        <v>40965.800000000003</v>
      </c>
      <c r="E165">
        <v>11496</v>
      </c>
      <c r="F165">
        <v>11</v>
      </c>
      <c r="G165">
        <v>205</v>
      </c>
      <c r="H165" t="s">
        <v>35</v>
      </c>
      <c r="I165" s="23">
        <v>40965.800000000003</v>
      </c>
      <c r="J165" s="185">
        <v>46167</v>
      </c>
      <c r="K165" s="185">
        <v>46167</v>
      </c>
      <c r="L165" s="185">
        <v>46195</v>
      </c>
      <c r="M165" s="185">
        <v>46195</v>
      </c>
      <c r="N165"/>
      <c r="O165">
        <v>1010100</v>
      </c>
      <c r="P165" t="s">
        <v>29</v>
      </c>
      <c r="Q165">
        <v>200000100</v>
      </c>
      <c r="R165" t="s">
        <v>15322</v>
      </c>
      <c r="S165"/>
      <c r="T165" t="s">
        <v>15323</v>
      </c>
      <c r="U165" t="s">
        <v>4502</v>
      </c>
      <c r="V165" s="23">
        <v>0</v>
      </c>
      <c r="W165" s="23">
        <v>0</v>
      </c>
      <c r="X165" s="23">
        <v>0</v>
      </c>
      <c r="Y165"/>
      <c r="Z165">
        <v>1246276718</v>
      </c>
      <c r="AA165"/>
      <c r="AB165" t="s">
        <v>1199</v>
      </c>
      <c r="AC165">
        <v>102</v>
      </c>
      <c r="AD165">
        <v>4</v>
      </c>
      <c r="AE165" t="s">
        <v>15324</v>
      </c>
      <c r="AF165"/>
      <c r="AG165" s="23"/>
      <c r="AH165" s="265" t="str">
        <f>_xlfn.XLOOKUP(G165,Clientes!I:I,Clientes!F:F)</f>
        <v>GRUPO FERTIPAR FERTILIZANTES MATO GROSSO</v>
      </c>
    </row>
    <row r="166" spans="1:34" x14ac:dyDescent="0.25">
      <c r="A166">
        <v>161</v>
      </c>
      <c r="B166" t="s">
        <v>145</v>
      </c>
      <c r="C166"/>
      <c r="D166" s="23">
        <v>41274.199999999997</v>
      </c>
      <c r="E166">
        <v>11644</v>
      </c>
      <c r="F166">
        <v>11</v>
      </c>
      <c r="G166">
        <v>205</v>
      </c>
      <c r="H166" t="s">
        <v>35</v>
      </c>
      <c r="I166" s="23">
        <v>41274.199999999997</v>
      </c>
      <c r="J166" s="185">
        <v>46181</v>
      </c>
      <c r="K166" s="185">
        <v>46181</v>
      </c>
      <c r="L166" s="185">
        <v>46209</v>
      </c>
      <c r="M166" s="185"/>
      <c r="N166"/>
      <c r="O166">
        <v>1010100</v>
      </c>
      <c r="P166" t="s">
        <v>29</v>
      </c>
      <c r="Q166">
        <v>200000100</v>
      </c>
      <c r="R166" t="s">
        <v>15322</v>
      </c>
      <c r="S166"/>
      <c r="T166" t="s">
        <v>15323</v>
      </c>
      <c r="U166" t="s">
        <v>5803</v>
      </c>
      <c r="V166" s="23">
        <v>0</v>
      </c>
      <c r="W166" s="23">
        <v>0</v>
      </c>
      <c r="X166" s="23">
        <v>0</v>
      </c>
      <c r="Y166"/>
      <c r="Z166">
        <v>1246278602</v>
      </c>
      <c r="AA166"/>
      <c r="AB166"/>
      <c r="AC166">
        <v>102</v>
      </c>
      <c r="AD166">
        <v>4</v>
      </c>
      <c r="AE166" t="s">
        <v>15324</v>
      </c>
      <c r="AF166"/>
      <c r="AG166" s="23"/>
      <c r="AH166" s="265" t="str">
        <f>_xlfn.XLOOKUP(G166,Clientes!I:I,Clientes!F:F)</f>
        <v>GRUPO FERTIPAR FERTILIZANTES MATO GROSSO</v>
      </c>
    </row>
    <row r="167" spans="1:34" x14ac:dyDescent="0.25">
      <c r="A167">
        <v>39</v>
      </c>
      <c r="B167" t="s">
        <v>15325</v>
      </c>
      <c r="C167"/>
      <c r="D167" s="23">
        <v>42218.400000000001</v>
      </c>
      <c r="E167">
        <v>2996</v>
      </c>
      <c r="F167">
        <v>13</v>
      </c>
      <c r="G167">
        <v>7</v>
      </c>
      <c r="H167" t="s">
        <v>562</v>
      </c>
      <c r="I167" s="23">
        <v>42218.400000000001</v>
      </c>
      <c r="J167" s="185">
        <v>46176</v>
      </c>
      <c r="K167" s="185">
        <v>46176</v>
      </c>
      <c r="L167" s="185">
        <v>46211</v>
      </c>
      <c r="M167" s="185">
        <v>46197</v>
      </c>
      <c r="N167"/>
      <c r="O167">
        <v>1010100</v>
      </c>
      <c r="P167" t="s">
        <v>29</v>
      </c>
      <c r="Q167">
        <v>200000100</v>
      </c>
      <c r="R167" t="s">
        <v>15322</v>
      </c>
      <c r="S167"/>
      <c r="T167" t="s">
        <v>15323</v>
      </c>
      <c r="U167" t="s">
        <v>2073</v>
      </c>
      <c r="V167" s="23">
        <v>0</v>
      </c>
      <c r="W167" s="23">
        <v>0</v>
      </c>
      <c r="X167" s="23">
        <v>0</v>
      </c>
      <c r="Y167"/>
      <c r="Z167">
        <v>1246280816</v>
      </c>
      <c r="AA167"/>
      <c r="AB167" t="s">
        <v>2073</v>
      </c>
      <c r="AC167">
        <v>102</v>
      </c>
      <c r="AD167">
        <v>4</v>
      </c>
      <c r="AE167" t="s">
        <v>15324</v>
      </c>
      <c r="AF167"/>
      <c r="AG167" s="23"/>
      <c r="AH167" s="265" t="str">
        <f>_xlfn.XLOOKUP(G167,Clientes!I:I,Clientes!F:F)</f>
        <v>START QUIMICA - 22.685.341/0006-95</v>
      </c>
    </row>
    <row r="168" spans="1:34" x14ac:dyDescent="0.25">
      <c r="A168">
        <v>161</v>
      </c>
      <c r="B168" t="s">
        <v>145</v>
      </c>
      <c r="C168"/>
      <c r="D168" s="23">
        <v>42240</v>
      </c>
      <c r="E168">
        <v>10442</v>
      </c>
      <c r="F168">
        <v>11</v>
      </c>
      <c r="G168">
        <v>505</v>
      </c>
      <c r="H168" t="s">
        <v>41</v>
      </c>
      <c r="I168" s="23">
        <v>42240</v>
      </c>
      <c r="J168" s="185">
        <v>46030</v>
      </c>
      <c r="K168" s="185">
        <v>46030</v>
      </c>
      <c r="L168" s="185">
        <v>46058</v>
      </c>
      <c r="M168" s="185">
        <v>46058</v>
      </c>
      <c r="N168"/>
      <c r="O168">
        <v>1010100</v>
      </c>
      <c r="P168" t="s">
        <v>29</v>
      </c>
      <c r="Q168">
        <v>200000100</v>
      </c>
      <c r="R168" t="s">
        <v>15322</v>
      </c>
      <c r="S168"/>
      <c r="T168" t="s">
        <v>15323</v>
      </c>
      <c r="U168" t="s">
        <v>6311</v>
      </c>
      <c r="V168" s="23">
        <v>0</v>
      </c>
      <c r="W168" s="23">
        <v>0</v>
      </c>
      <c r="X168" s="23">
        <v>0</v>
      </c>
      <c r="Y168"/>
      <c r="Z168">
        <v>1246258769</v>
      </c>
      <c r="AA168"/>
      <c r="AB168" t="s">
        <v>1186</v>
      </c>
      <c r="AC168">
        <v>102</v>
      </c>
      <c r="AD168">
        <v>4</v>
      </c>
      <c r="AE168" t="s">
        <v>15324</v>
      </c>
      <c r="AF168"/>
      <c r="AG168" s="23"/>
      <c r="AH168" s="265" t="str">
        <f>_xlfn.XLOOKUP(G168,Clientes!I:I,Clientes!F:F)</f>
        <v>FERTINE - RECIFE</v>
      </c>
    </row>
    <row r="169" spans="1:34" x14ac:dyDescent="0.25">
      <c r="A169">
        <v>161</v>
      </c>
      <c r="B169" t="s">
        <v>145</v>
      </c>
      <c r="C169"/>
      <c r="D169" s="23">
        <v>42240</v>
      </c>
      <c r="E169">
        <v>10665</v>
      </c>
      <c r="F169">
        <v>11</v>
      </c>
      <c r="G169">
        <v>505</v>
      </c>
      <c r="H169" t="s">
        <v>41</v>
      </c>
      <c r="I169" s="23">
        <v>42240</v>
      </c>
      <c r="J169" s="185">
        <v>46062</v>
      </c>
      <c r="K169" s="185">
        <v>46062</v>
      </c>
      <c r="L169" s="185">
        <v>46090</v>
      </c>
      <c r="M169" s="185">
        <v>46090</v>
      </c>
      <c r="N169"/>
      <c r="O169">
        <v>1010100</v>
      </c>
      <c r="P169" t="s">
        <v>29</v>
      </c>
      <c r="Q169">
        <v>200000100</v>
      </c>
      <c r="R169" t="s">
        <v>15322</v>
      </c>
      <c r="S169"/>
      <c r="T169" t="s">
        <v>15323</v>
      </c>
      <c r="U169" t="s">
        <v>6311</v>
      </c>
      <c r="V169" s="23">
        <v>0</v>
      </c>
      <c r="W169" s="23">
        <v>0</v>
      </c>
      <c r="X169" s="23">
        <v>0</v>
      </c>
      <c r="Y169"/>
      <c r="Z169">
        <v>1246262783</v>
      </c>
      <c r="AA169"/>
      <c r="AB169" t="s">
        <v>1186</v>
      </c>
      <c r="AC169">
        <v>102</v>
      </c>
      <c r="AD169">
        <v>4</v>
      </c>
      <c r="AE169" t="s">
        <v>15324</v>
      </c>
      <c r="AF169"/>
      <c r="AG169" s="23"/>
      <c r="AH169" s="265" t="str">
        <f>_xlfn.XLOOKUP(G169,Clientes!I:I,Clientes!F:F)</f>
        <v>FERTINE - RECIFE</v>
      </c>
    </row>
    <row r="170" spans="1:34" x14ac:dyDescent="0.25">
      <c r="A170">
        <v>161</v>
      </c>
      <c r="B170" t="s">
        <v>145</v>
      </c>
      <c r="C170"/>
      <c r="D170" s="23">
        <v>42240</v>
      </c>
      <c r="E170">
        <v>10930</v>
      </c>
      <c r="F170">
        <v>11</v>
      </c>
      <c r="G170">
        <v>505</v>
      </c>
      <c r="H170" t="s">
        <v>41</v>
      </c>
      <c r="I170" s="23">
        <v>42240</v>
      </c>
      <c r="J170" s="185">
        <v>46100</v>
      </c>
      <c r="K170" s="185">
        <v>46100</v>
      </c>
      <c r="L170" s="185">
        <v>46128</v>
      </c>
      <c r="M170" s="185">
        <v>46128</v>
      </c>
      <c r="N170"/>
      <c r="O170">
        <v>1010100</v>
      </c>
      <c r="P170" t="s">
        <v>29</v>
      </c>
      <c r="Q170">
        <v>200000100</v>
      </c>
      <c r="R170" t="s">
        <v>15322</v>
      </c>
      <c r="S170"/>
      <c r="T170" t="s">
        <v>15323</v>
      </c>
      <c r="U170" t="s">
        <v>6311</v>
      </c>
      <c r="V170" s="23">
        <v>0</v>
      </c>
      <c r="W170" s="23">
        <v>0</v>
      </c>
      <c r="X170" s="23">
        <v>0</v>
      </c>
      <c r="Y170"/>
      <c r="Z170">
        <v>1246268415</v>
      </c>
      <c r="AA170"/>
      <c r="AB170" t="s">
        <v>1186</v>
      </c>
      <c r="AC170">
        <v>102</v>
      </c>
      <c r="AD170">
        <v>4</v>
      </c>
      <c r="AE170" t="s">
        <v>15324</v>
      </c>
      <c r="AF170"/>
      <c r="AG170" s="23"/>
      <c r="AH170" s="265" t="str">
        <f>_xlfn.XLOOKUP(G170,Clientes!I:I,Clientes!F:F)</f>
        <v>FERTINE - RECIFE</v>
      </c>
    </row>
    <row r="171" spans="1:34" x14ac:dyDescent="0.25">
      <c r="A171">
        <v>161</v>
      </c>
      <c r="B171" t="s">
        <v>145</v>
      </c>
      <c r="C171"/>
      <c r="D171" s="23">
        <v>42720</v>
      </c>
      <c r="E171">
        <v>11323</v>
      </c>
      <c r="F171">
        <v>11</v>
      </c>
      <c r="G171">
        <v>505</v>
      </c>
      <c r="H171" t="s">
        <v>41</v>
      </c>
      <c r="I171" s="23">
        <v>42720</v>
      </c>
      <c r="J171" s="185">
        <v>46149</v>
      </c>
      <c r="K171" s="185">
        <v>46149</v>
      </c>
      <c r="L171" s="185">
        <v>46177</v>
      </c>
      <c r="M171" s="185">
        <v>46178</v>
      </c>
      <c r="N171"/>
      <c r="O171">
        <v>1010100</v>
      </c>
      <c r="P171" t="s">
        <v>29</v>
      </c>
      <c r="Q171">
        <v>200000100</v>
      </c>
      <c r="R171" t="s">
        <v>15322</v>
      </c>
      <c r="S171"/>
      <c r="T171" t="s">
        <v>15323</v>
      </c>
      <c r="U171" t="s">
        <v>6311</v>
      </c>
      <c r="V171" s="23">
        <v>0</v>
      </c>
      <c r="W171" s="23">
        <v>0</v>
      </c>
      <c r="X171" s="23">
        <v>0</v>
      </c>
      <c r="Y171"/>
      <c r="Z171">
        <v>1246273918</v>
      </c>
      <c r="AA171"/>
      <c r="AB171" t="s">
        <v>1186</v>
      </c>
      <c r="AC171">
        <v>102</v>
      </c>
      <c r="AD171">
        <v>4</v>
      </c>
      <c r="AE171" t="s">
        <v>15324</v>
      </c>
      <c r="AF171"/>
      <c r="AG171" s="23"/>
      <c r="AH171" s="265" t="str">
        <f>_xlfn.XLOOKUP(G171,Clientes!I:I,Clientes!F:F)</f>
        <v>FERTINE - RECIFE</v>
      </c>
    </row>
    <row r="172" spans="1:34" x14ac:dyDescent="0.25">
      <c r="A172">
        <v>161</v>
      </c>
      <c r="B172" t="s">
        <v>145</v>
      </c>
      <c r="C172"/>
      <c r="D172" s="23">
        <v>43569.75</v>
      </c>
      <c r="E172">
        <v>11012</v>
      </c>
      <c r="F172">
        <v>11</v>
      </c>
      <c r="G172">
        <v>5519</v>
      </c>
      <c r="H172" t="s">
        <v>272</v>
      </c>
      <c r="I172" s="23">
        <v>43569.75</v>
      </c>
      <c r="J172" s="185">
        <v>46112</v>
      </c>
      <c r="K172" s="185">
        <v>46112</v>
      </c>
      <c r="L172" s="185">
        <v>46142</v>
      </c>
      <c r="M172" s="185">
        <v>46141</v>
      </c>
      <c r="N172"/>
      <c r="O172">
        <v>1010100</v>
      </c>
      <c r="P172" t="s">
        <v>29</v>
      </c>
      <c r="Q172">
        <v>200000100</v>
      </c>
      <c r="R172" t="s">
        <v>15322</v>
      </c>
      <c r="S172"/>
      <c r="T172" t="s">
        <v>15323</v>
      </c>
      <c r="U172" t="s">
        <v>2246</v>
      </c>
      <c r="V172" s="23">
        <v>0</v>
      </c>
      <c r="W172" s="23">
        <v>0</v>
      </c>
      <c r="X172" s="23">
        <v>0</v>
      </c>
      <c r="Y172"/>
      <c r="Z172">
        <v>1246269682</v>
      </c>
      <c r="AA172"/>
      <c r="AB172" t="s">
        <v>1186</v>
      </c>
      <c r="AC172">
        <v>102</v>
      </c>
      <c r="AD172">
        <v>4</v>
      </c>
      <c r="AE172" t="s">
        <v>15324</v>
      </c>
      <c r="AF172"/>
      <c r="AG172" s="23"/>
      <c r="AH172" s="265" t="str">
        <f>_xlfn.XLOOKUP(G172,Clientes!I:I,Clientes!F:F)</f>
        <v>GRANUPAR - RIO BRANCO DO SUL</v>
      </c>
    </row>
    <row r="173" spans="1:34" x14ac:dyDescent="0.25">
      <c r="A173">
        <v>161</v>
      </c>
      <c r="B173" t="s">
        <v>145</v>
      </c>
      <c r="C173"/>
      <c r="D173" s="23">
        <v>43569.75</v>
      </c>
      <c r="E173">
        <v>11012</v>
      </c>
      <c r="F173">
        <v>11</v>
      </c>
      <c r="G173">
        <v>5519</v>
      </c>
      <c r="H173" t="s">
        <v>272</v>
      </c>
      <c r="I173" s="23">
        <v>43569.75</v>
      </c>
      <c r="J173" s="185">
        <v>46112</v>
      </c>
      <c r="K173" s="185">
        <v>46112</v>
      </c>
      <c r="L173" s="185">
        <v>46172</v>
      </c>
      <c r="M173" s="185">
        <v>46171</v>
      </c>
      <c r="N173"/>
      <c r="O173">
        <v>1010100</v>
      </c>
      <c r="P173" t="s">
        <v>29</v>
      </c>
      <c r="Q173">
        <v>200000100</v>
      </c>
      <c r="R173" t="s">
        <v>15322</v>
      </c>
      <c r="S173"/>
      <c r="T173" t="s">
        <v>15323</v>
      </c>
      <c r="U173" t="s">
        <v>2246</v>
      </c>
      <c r="V173" s="23">
        <v>0</v>
      </c>
      <c r="W173" s="23">
        <v>0</v>
      </c>
      <c r="X173" s="23">
        <v>0</v>
      </c>
      <c r="Y173"/>
      <c r="Z173">
        <v>1246269683</v>
      </c>
      <c r="AA173"/>
      <c r="AB173" t="s">
        <v>1186</v>
      </c>
      <c r="AC173">
        <v>102</v>
      </c>
      <c r="AD173">
        <v>4</v>
      </c>
      <c r="AE173" t="s">
        <v>15324</v>
      </c>
      <c r="AF173"/>
      <c r="AG173" s="23"/>
      <c r="AH173" s="265" t="str">
        <f>_xlfn.XLOOKUP(G173,Clientes!I:I,Clientes!F:F)</f>
        <v>GRANUPAR - RIO BRANCO DO SUL</v>
      </c>
    </row>
    <row r="174" spans="1:34" x14ac:dyDescent="0.25">
      <c r="A174">
        <v>161</v>
      </c>
      <c r="B174" t="s">
        <v>145</v>
      </c>
      <c r="C174"/>
      <c r="D174" s="23">
        <v>44919</v>
      </c>
      <c r="E174">
        <v>11215</v>
      </c>
      <c r="F174">
        <v>11</v>
      </c>
      <c r="G174">
        <v>3142</v>
      </c>
      <c r="H174" t="s">
        <v>78</v>
      </c>
      <c r="I174" s="23">
        <v>44919</v>
      </c>
      <c r="J174" s="185">
        <v>46136</v>
      </c>
      <c r="K174" s="185">
        <v>46136</v>
      </c>
      <c r="L174" s="185">
        <v>46164</v>
      </c>
      <c r="M174" s="185">
        <v>46164</v>
      </c>
      <c r="N174"/>
      <c r="O174">
        <v>1010100</v>
      </c>
      <c r="P174" t="s">
        <v>29</v>
      </c>
      <c r="Q174">
        <v>200000100</v>
      </c>
      <c r="R174" t="s">
        <v>15322</v>
      </c>
      <c r="S174"/>
      <c r="T174" t="s">
        <v>15323</v>
      </c>
      <c r="U174" t="s">
        <v>6311</v>
      </c>
      <c r="V174" s="23">
        <v>0</v>
      </c>
      <c r="W174" s="23">
        <v>0</v>
      </c>
      <c r="X174" s="23">
        <v>0</v>
      </c>
      <c r="Y174"/>
      <c r="Z174">
        <v>1246272504</v>
      </c>
      <c r="AA174"/>
      <c r="AB174" t="s">
        <v>1186</v>
      </c>
      <c r="AC174">
        <v>102</v>
      </c>
      <c r="AD174">
        <v>4</v>
      </c>
      <c r="AE174" t="s">
        <v>15324</v>
      </c>
      <c r="AF174"/>
      <c r="AG174" s="23"/>
      <c r="AH174" s="265" t="str">
        <f>_xlfn.XLOOKUP(G174,Clientes!I:I,Clientes!F:F)</f>
        <v>INTERFERTIL - SAO FRANCISCO DO SUL</v>
      </c>
    </row>
    <row r="175" spans="1:34" x14ac:dyDescent="0.25">
      <c r="A175">
        <v>161</v>
      </c>
      <c r="B175" t="s">
        <v>145</v>
      </c>
      <c r="C175"/>
      <c r="D175" s="23">
        <v>45716.4</v>
      </c>
      <c r="E175">
        <v>11411</v>
      </c>
      <c r="F175">
        <v>11</v>
      </c>
      <c r="G175">
        <v>5519</v>
      </c>
      <c r="H175" t="s">
        <v>272</v>
      </c>
      <c r="I175" s="23">
        <v>45716.4</v>
      </c>
      <c r="J175" s="185">
        <v>46157</v>
      </c>
      <c r="K175" s="185">
        <v>46157</v>
      </c>
      <c r="L175" s="185">
        <v>46187</v>
      </c>
      <c r="M175" s="185">
        <v>46188</v>
      </c>
      <c r="N175"/>
      <c r="O175">
        <v>1010100</v>
      </c>
      <c r="P175" t="s">
        <v>29</v>
      </c>
      <c r="Q175">
        <v>200000100</v>
      </c>
      <c r="R175" t="s">
        <v>15322</v>
      </c>
      <c r="S175"/>
      <c r="T175" t="s">
        <v>15323</v>
      </c>
      <c r="U175" t="s">
        <v>6311</v>
      </c>
      <c r="V175" s="23">
        <v>0</v>
      </c>
      <c r="W175" s="23">
        <v>0</v>
      </c>
      <c r="X175" s="23">
        <v>0</v>
      </c>
      <c r="Y175"/>
      <c r="Z175">
        <v>1246275471</v>
      </c>
      <c r="AA175"/>
      <c r="AB175" t="s">
        <v>1186</v>
      </c>
      <c r="AC175">
        <v>102</v>
      </c>
      <c r="AD175">
        <v>4</v>
      </c>
      <c r="AE175" t="s">
        <v>15324</v>
      </c>
      <c r="AF175"/>
      <c r="AG175" s="23"/>
      <c r="AH175" s="265" t="str">
        <f>_xlfn.XLOOKUP(G175,Clientes!I:I,Clientes!F:F)</f>
        <v>GRANUPAR - RIO BRANCO DO SUL</v>
      </c>
    </row>
    <row r="176" spans="1:34" x14ac:dyDescent="0.25">
      <c r="A176">
        <v>161</v>
      </c>
      <c r="B176" t="s">
        <v>145</v>
      </c>
      <c r="C176"/>
      <c r="D176" s="23">
        <v>45716.4</v>
      </c>
      <c r="E176">
        <v>11411</v>
      </c>
      <c r="F176">
        <v>11</v>
      </c>
      <c r="G176">
        <v>5519</v>
      </c>
      <c r="H176" t="s">
        <v>272</v>
      </c>
      <c r="I176" s="23">
        <v>45716.4</v>
      </c>
      <c r="J176" s="185">
        <v>46157</v>
      </c>
      <c r="K176" s="185">
        <v>46157</v>
      </c>
      <c r="L176" s="185">
        <v>46217</v>
      </c>
      <c r="M176" s="185"/>
      <c r="N176"/>
      <c r="O176">
        <v>1010100</v>
      </c>
      <c r="P176" t="s">
        <v>29</v>
      </c>
      <c r="Q176">
        <v>200000100</v>
      </c>
      <c r="R176" t="s">
        <v>15322</v>
      </c>
      <c r="S176"/>
      <c r="T176" t="s">
        <v>15323</v>
      </c>
      <c r="U176" t="s">
        <v>6311</v>
      </c>
      <c r="V176" s="23">
        <v>0</v>
      </c>
      <c r="W176" s="23">
        <v>0</v>
      </c>
      <c r="X176" s="23">
        <v>0</v>
      </c>
      <c r="Y176"/>
      <c r="Z176">
        <v>1246275472</v>
      </c>
      <c r="AA176"/>
      <c r="AB176"/>
      <c r="AC176">
        <v>102</v>
      </c>
      <c r="AD176">
        <v>4</v>
      </c>
      <c r="AE176" t="s">
        <v>15324</v>
      </c>
      <c r="AF176"/>
      <c r="AG176" s="23"/>
      <c r="AH176" s="265" t="str">
        <f>_xlfn.XLOOKUP(G176,Clientes!I:I,Clientes!F:F)</f>
        <v>GRANUPAR - RIO BRANCO DO SUL</v>
      </c>
    </row>
    <row r="177" spans="1:34" x14ac:dyDescent="0.25">
      <c r="A177">
        <v>40</v>
      </c>
      <c r="B177" t="s">
        <v>155</v>
      </c>
      <c r="C177"/>
      <c r="D177" s="23">
        <v>45718.46</v>
      </c>
      <c r="E177">
        <v>10745</v>
      </c>
      <c r="F177">
        <v>11</v>
      </c>
      <c r="G177">
        <v>15543</v>
      </c>
      <c r="H177" t="s">
        <v>716</v>
      </c>
      <c r="I177" s="23">
        <v>45718.46</v>
      </c>
      <c r="J177" s="185">
        <v>46076</v>
      </c>
      <c r="K177" s="185">
        <v>46076</v>
      </c>
      <c r="L177" s="185">
        <v>46181</v>
      </c>
      <c r="M177" s="185"/>
      <c r="N177"/>
      <c r="O177">
        <v>1010200</v>
      </c>
      <c r="P177" t="s">
        <v>113</v>
      </c>
      <c r="Q177">
        <v>200000100</v>
      </c>
      <c r="R177" t="s">
        <v>15322</v>
      </c>
      <c r="S177"/>
      <c r="T177" t="s">
        <v>15323</v>
      </c>
      <c r="U177" t="s">
        <v>1199</v>
      </c>
      <c r="V177" s="23">
        <v>0</v>
      </c>
      <c r="W177" s="23">
        <v>0</v>
      </c>
      <c r="X177" s="23">
        <v>0</v>
      </c>
      <c r="Y177"/>
      <c r="Z177">
        <v>1246264533</v>
      </c>
      <c r="AA177"/>
      <c r="AB177"/>
      <c r="AC177">
        <v>102</v>
      </c>
      <c r="AD177">
        <v>4</v>
      </c>
      <c r="AE177" t="s">
        <v>15324</v>
      </c>
      <c r="AF177" t="s">
        <v>15340</v>
      </c>
      <c r="AG177" s="23">
        <v>8792</v>
      </c>
      <c r="AH177" s="265" t="str">
        <f>_xlfn.XLOOKUP(G177,Clientes!I:I,Clientes!F:F)</f>
        <v>GOTLAND EQUADOR (SOLINAG)</v>
      </c>
    </row>
    <row r="178" spans="1:34" x14ac:dyDescent="0.25">
      <c r="A178">
        <v>161</v>
      </c>
      <c r="B178" t="s">
        <v>145</v>
      </c>
      <c r="C178"/>
      <c r="D178" s="23">
        <v>46001.18</v>
      </c>
      <c r="E178">
        <v>11234</v>
      </c>
      <c r="F178">
        <v>11</v>
      </c>
      <c r="G178">
        <v>2900</v>
      </c>
      <c r="H178" t="s">
        <v>463</v>
      </c>
      <c r="I178" s="23">
        <v>46001.18</v>
      </c>
      <c r="J178" s="185">
        <v>46139</v>
      </c>
      <c r="K178" s="185">
        <v>46139</v>
      </c>
      <c r="L178" s="185">
        <v>46195</v>
      </c>
      <c r="M178" s="185">
        <v>46189</v>
      </c>
      <c r="N178"/>
      <c r="O178">
        <v>1010100</v>
      </c>
      <c r="P178" t="s">
        <v>29</v>
      </c>
      <c r="Q178">
        <v>200000100</v>
      </c>
      <c r="R178" t="s">
        <v>15322</v>
      </c>
      <c r="S178"/>
      <c r="T178" t="s">
        <v>15323</v>
      </c>
      <c r="U178" t="s">
        <v>6311</v>
      </c>
      <c r="V178" s="23">
        <v>0</v>
      </c>
      <c r="W178" s="23">
        <v>0</v>
      </c>
      <c r="X178" s="23">
        <v>0</v>
      </c>
      <c r="Y178"/>
      <c r="Z178">
        <v>1246272843</v>
      </c>
      <c r="AA178"/>
      <c r="AB178" t="s">
        <v>1186</v>
      </c>
      <c r="AC178">
        <v>102</v>
      </c>
      <c r="AD178">
        <v>4</v>
      </c>
      <c r="AE178" t="s">
        <v>15324</v>
      </c>
      <c r="AF178"/>
      <c r="AG178" s="23"/>
      <c r="AH178" s="265" t="str">
        <f>_xlfn.XLOOKUP(G178,Clientes!I:I,Clientes!F:F)</f>
        <v>BIOSAFRA - MARUIM</v>
      </c>
    </row>
    <row r="179" spans="1:34" x14ac:dyDescent="0.25">
      <c r="A179">
        <v>161</v>
      </c>
      <c r="B179" t="s">
        <v>145</v>
      </c>
      <c r="C179"/>
      <c r="D179" s="23">
        <v>46001.19</v>
      </c>
      <c r="E179">
        <v>11234</v>
      </c>
      <c r="F179">
        <v>11</v>
      </c>
      <c r="G179">
        <v>2900</v>
      </c>
      <c r="H179" t="s">
        <v>463</v>
      </c>
      <c r="I179" s="23">
        <v>46001.19</v>
      </c>
      <c r="J179" s="185">
        <v>46139</v>
      </c>
      <c r="K179" s="185">
        <v>46139</v>
      </c>
      <c r="L179" s="185">
        <v>46167</v>
      </c>
      <c r="M179" s="185">
        <v>46161</v>
      </c>
      <c r="N179"/>
      <c r="O179">
        <v>1010100</v>
      </c>
      <c r="P179" t="s">
        <v>29</v>
      </c>
      <c r="Q179">
        <v>200000100</v>
      </c>
      <c r="R179" t="s">
        <v>15322</v>
      </c>
      <c r="S179"/>
      <c r="T179" t="s">
        <v>15323</v>
      </c>
      <c r="U179" t="s">
        <v>6311</v>
      </c>
      <c r="V179" s="23">
        <v>0</v>
      </c>
      <c r="W179" s="23">
        <v>0</v>
      </c>
      <c r="X179" s="23">
        <v>0</v>
      </c>
      <c r="Y179"/>
      <c r="Z179">
        <v>1246272842</v>
      </c>
      <c r="AA179"/>
      <c r="AB179" t="s">
        <v>1186</v>
      </c>
      <c r="AC179">
        <v>102</v>
      </c>
      <c r="AD179">
        <v>4</v>
      </c>
      <c r="AE179" t="s">
        <v>15324</v>
      </c>
      <c r="AF179"/>
      <c r="AG179" s="23"/>
      <c r="AH179" s="265" t="str">
        <f>_xlfn.XLOOKUP(G179,Clientes!I:I,Clientes!F:F)</f>
        <v>BIOSAFRA - MARUIM</v>
      </c>
    </row>
    <row r="180" spans="1:34" x14ac:dyDescent="0.25">
      <c r="A180">
        <v>161</v>
      </c>
      <c r="B180" t="s">
        <v>145</v>
      </c>
      <c r="C180"/>
      <c r="D180" s="23">
        <v>46034.400000000001</v>
      </c>
      <c r="E180">
        <v>11302</v>
      </c>
      <c r="F180">
        <v>11</v>
      </c>
      <c r="G180">
        <v>15908</v>
      </c>
      <c r="H180" t="s">
        <v>748</v>
      </c>
      <c r="I180" s="23">
        <v>46034.400000000001</v>
      </c>
      <c r="J180" s="185">
        <v>46147</v>
      </c>
      <c r="K180" s="185">
        <v>46147</v>
      </c>
      <c r="L180" s="185">
        <v>46237</v>
      </c>
      <c r="M180" s="185"/>
      <c r="N180"/>
      <c r="O180">
        <v>1010100</v>
      </c>
      <c r="P180" t="s">
        <v>29</v>
      </c>
      <c r="Q180">
        <v>200000200</v>
      </c>
      <c r="R180" t="s">
        <v>15377</v>
      </c>
      <c r="S180"/>
      <c r="T180" t="s">
        <v>15323</v>
      </c>
      <c r="U180" t="s">
        <v>6311</v>
      </c>
      <c r="V180" s="23">
        <v>0</v>
      </c>
      <c r="W180" s="23">
        <v>0</v>
      </c>
      <c r="X180" s="23">
        <v>0</v>
      </c>
      <c r="Y180"/>
      <c r="Z180">
        <v>1246273647</v>
      </c>
      <c r="AA180"/>
      <c r="AB180"/>
      <c r="AC180">
        <v>102</v>
      </c>
      <c r="AD180">
        <v>4</v>
      </c>
      <c r="AE180" t="s">
        <v>15324</v>
      </c>
      <c r="AF180"/>
      <c r="AG180" s="23"/>
      <c r="AH180" s="265" t="str">
        <f>_xlfn.XLOOKUP(G180,Clientes!I:I,Clientes!F:F)</f>
        <v>ADUFÉRTIL - CAMPEVO</v>
      </c>
    </row>
    <row r="181" spans="1:34" x14ac:dyDescent="0.25">
      <c r="A181">
        <v>161</v>
      </c>
      <c r="B181" t="s">
        <v>145</v>
      </c>
      <c r="C181"/>
      <c r="D181" s="23">
        <v>47888.6</v>
      </c>
      <c r="E181">
        <v>11216</v>
      </c>
      <c r="F181">
        <v>11</v>
      </c>
      <c r="G181">
        <v>97</v>
      </c>
      <c r="H181" t="s">
        <v>300</v>
      </c>
      <c r="I181" s="23">
        <v>47888.6</v>
      </c>
      <c r="J181" s="185">
        <v>46136</v>
      </c>
      <c r="K181" s="185">
        <v>46136</v>
      </c>
      <c r="L181" s="185">
        <v>46164</v>
      </c>
      <c r="M181" s="185">
        <v>46164</v>
      </c>
      <c r="N181"/>
      <c r="O181">
        <v>1010100</v>
      </c>
      <c r="P181" t="s">
        <v>29</v>
      </c>
      <c r="Q181">
        <v>200000100</v>
      </c>
      <c r="R181" t="s">
        <v>15322</v>
      </c>
      <c r="S181"/>
      <c r="T181" t="s">
        <v>15323</v>
      </c>
      <c r="U181" t="s">
        <v>6311</v>
      </c>
      <c r="V181" s="23">
        <v>0</v>
      </c>
      <c r="W181" s="23">
        <v>0</v>
      </c>
      <c r="X181" s="23">
        <v>0</v>
      </c>
      <c r="Y181"/>
      <c r="Z181">
        <v>1246272517</v>
      </c>
      <c r="AA181"/>
      <c r="AB181" t="s">
        <v>1186</v>
      </c>
      <c r="AC181">
        <v>102</v>
      </c>
      <c r="AD181">
        <v>4</v>
      </c>
      <c r="AE181" t="s">
        <v>15324</v>
      </c>
      <c r="AF181"/>
      <c r="AG181" s="23"/>
      <c r="AH181" s="265" t="str">
        <f>_xlfn.XLOOKUP(G181,Clientes!I:I,Clientes!F:F)</f>
        <v>FECOAGRO FEDERACAO DAS COOPERATIVAS</v>
      </c>
    </row>
    <row r="182" spans="1:34" x14ac:dyDescent="0.25">
      <c r="A182">
        <v>161</v>
      </c>
      <c r="B182" t="s">
        <v>145</v>
      </c>
      <c r="C182"/>
      <c r="D182" s="23">
        <v>47916</v>
      </c>
      <c r="E182">
        <v>10615</v>
      </c>
      <c r="F182">
        <v>11</v>
      </c>
      <c r="G182">
        <v>7648</v>
      </c>
      <c r="H182" t="s">
        <v>273</v>
      </c>
      <c r="I182" s="23">
        <v>47916</v>
      </c>
      <c r="J182" s="185">
        <v>46052</v>
      </c>
      <c r="K182" s="185">
        <v>46052</v>
      </c>
      <c r="L182" s="185">
        <v>46087</v>
      </c>
      <c r="M182" s="185">
        <v>46087</v>
      </c>
      <c r="N182"/>
      <c r="O182">
        <v>1010100</v>
      </c>
      <c r="P182" t="s">
        <v>29</v>
      </c>
      <c r="Q182">
        <v>200000100</v>
      </c>
      <c r="R182" t="s">
        <v>15322</v>
      </c>
      <c r="S182"/>
      <c r="T182" t="s">
        <v>15323</v>
      </c>
      <c r="U182" t="s">
        <v>4468</v>
      </c>
      <c r="V182" s="23">
        <v>0</v>
      </c>
      <c r="W182" s="23">
        <v>0</v>
      </c>
      <c r="X182" s="23">
        <v>0</v>
      </c>
      <c r="Y182"/>
      <c r="Z182">
        <v>1246261741</v>
      </c>
      <c r="AA182"/>
      <c r="AB182" t="s">
        <v>1199</v>
      </c>
      <c r="AC182">
        <v>102</v>
      </c>
      <c r="AD182">
        <v>4</v>
      </c>
      <c r="AE182" t="s">
        <v>15324</v>
      </c>
      <c r="AF182"/>
      <c r="AG182" s="23"/>
      <c r="AH182" s="265" t="str">
        <f>_xlfn.XLOOKUP(G182,Clientes!I:I,Clientes!F:F)</f>
        <v>GRUPO LOUIS DREYFUS</v>
      </c>
    </row>
    <row r="183" spans="1:34" x14ac:dyDescent="0.25">
      <c r="A183">
        <v>161</v>
      </c>
      <c r="B183" t="s">
        <v>145</v>
      </c>
      <c r="C183"/>
      <c r="D183" s="23">
        <v>48336</v>
      </c>
      <c r="E183">
        <v>11706</v>
      </c>
      <c r="F183">
        <v>11</v>
      </c>
      <c r="G183">
        <v>2809</v>
      </c>
      <c r="H183" t="s">
        <v>159</v>
      </c>
      <c r="I183" s="23">
        <v>48336</v>
      </c>
      <c r="J183" s="185">
        <v>46188</v>
      </c>
      <c r="K183" s="185">
        <v>46188</v>
      </c>
      <c r="L183" s="185">
        <v>46216</v>
      </c>
      <c r="M183" s="185"/>
      <c r="N183"/>
      <c r="O183">
        <v>1010100</v>
      </c>
      <c r="P183" t="s">
        <v>29</v>
      </c>
      <c r="Q183">
        <v>200000100</v>
      </c>
      <c r="R183" t="s">
        <v>15322</v>
      </c>
      <c r="S183"/>
      <c r="T183" t="s">
        <v>15323</v>
      </c>
      <c r="U183" t="s">
        <v>6311</v>
      </c>
      <c r="V183" s="23">
        <v>0</v>
      </c>
      <c r="W183" s="23">
        <v>0</v>
      </c>
      <c r="X183" s="23">
        <v>0</v>
      </c>
      <c r="Y183"/>
      <c r="Z183">
        <v>1246279479</v>
      </c>
      <c r="AA183"/>
      <c r="AB183"/>
      <c r="AC183">
        <v>102</v>
      </c>
      <c r="AD183">
        <v>4</v>
      </c>
      <c r="AE183" t="s">
        <v>15324</v>
      </c>
      <c r="AF183"/>
      <c r="AG183" s="23"/>
      <c r="AH183" s="265" t="str">
        <f>_xlfn.XLOOKUP(G183,Clientes!I:I,Clientes!F:F)</f>
        <v>CISBRA QUIMICA - FORMOSA</v>
      </c>
    </row>
    <row r="184" spans="1:34" x14ac:dyDescent="0.25">
      <c r="A184">
        <v>161</v>
      </c>
      <c r="B184" t="s">
        <v>145</v>
      </c>
      <c r="C184"/>
      <c r="D184" s="23">
        <v>48480</v>
      </c>
      <c r="E184">
        <v>10569</v>
      </c>
      <c r="F184">
        <v>11</v>
      </c>
      <c r="G184">
        <v>215</v>
      </c>
      <c r="H184" t="s">
        <v>221</v>
      </c>
      <c r="I184" s="23">
        <v>48480</v>
      </c>
      <c r="J184" s="185">
        <v>46045</v>
      </c>
      <c r="K184" s="185">
        <v>46045</v>
      </c>
      <c r="L184" s="185">
        <v>46073</v>
      </c>
      <c r="M184" s="185">
        <v>46073</v>
      </c>
      <c r="N184"/>
      <c r="O184">
        <v>1010100</v>
      </c>
      <c r="P184" t="s">
        <v>29</v>
      </c>
      <c r="Q184">
        <v>200000100</v>
      </c>
      <c r="R184" t="s">
        <v>15322</v>
      </c>
      <c r="S184"/>
      <c r="T184" t="s">
        <v>15323</v>
      </c>
      <c r="U184" t="s">
        <v>6311</v>
      </c>
      <c r="V184" s="23">
        <v>0</v>
      </c>
      <c r="W184" s="23">
        <v>0</v>
      </c>
      <c r="X184" s="23">
        <v>0</v>
      </c>
      <c r="Y184"/>
      <c r="Z184">
        <v>1246260811</v>
      </c>
      <c r="AA184"/>
      <c r="AB184" t="s">
        <v>1186</v>
      </c>
      <c r="AC184">
        <v>102</v>
      </c>
      <c r="AD184">
        <v>4</v>
      </c>
      <c r="AE184" t="s">
        <v>15324</v>
      </c>
      <c r="AF184"/>
      <c r="AG184" s="23"/>
      <c r="AH184" s="265" t="str">
        <f>_xlfn.XLOOKUP(G184,Clientes!I:I,Clientes!F:F)</f>
        <v>GRUPO UNIFERTIL</v>
      </c>
    </row>
    <row r="185" spans="1:34" x14ac:dyDescent="0.25">
      <c r="A185">
        <v>161</v>
      </c>
      <c r="B185" t="s">
        <v>145</v>
      </c>
      <c r="C185"/>
      <c r="D185" s="23">
        <v>49331.199999999997</v>
      </c>
      <c r="E185">
        <v>10637</v>
      </c>
      <c r="F185">
        <v>11</v>
      </c>
      <c r="G185">
        <v>33</v>
      </c>
      <c r="H185" t="s">
        <v>757</v>
      </c>
      <c r="I185" s="23">
        <v>49331.199999999997</v>
      </c>
      <c r="J185" s="185">
        <v>46056</v>
      </c>
      <c r="K185" s="185">
        <v>46056</v>
      </c>
      <c r="L185" s="185">
        <v>46086</v>
      </c>
      <c r="M185" s="185">
        <v>46085</v>
      </c>
      <c r="N185"/>
      <c r="O185">
        <v>1010100</v>
      </c>
      <c r="P185" t="s">
        <v>29</v>
      </c>
      <c r="Q185">
        <v>200000100</v>
      </c>
      <c r="R185" t="s">
        <v>15322</v>
      </c>
      <c r="S185"/>
      <c r="T185" t="s">
        <v>15323</v>
      </c>
      <c r="U185" t="s">
        <v>4468</v>
      </c>
      <c r="V185" s="23">
        <v>0</v>
      </c>
      <c r="W185" s="23">
        <v>0</v>
      </c>
      <c r="X185" s="23">
        <v>0</v>
      </c>
      <c r="Y185"/>
      <c r="Z185">
        <v>1246262205</v>
      </c>
      <c r="AA185"/>
      <c r="AB185" t="s">
        <v>1199</v>
      </c>
      <c r="AC185">
        <v>102</v>
      </c>
      <c r="AD185">
        <v>4</v>
      </c>
      <c r="AE185" t="s">
        <v>15324</v>
      </c>
      <c r="AF185"/>
      <c r="AG185" s="23"/>
      <c r="AH185" s="265" t="str">
        <f>_xlfn.XLOOKUP(G185,Clientes!I:I,Clientes!F:F)</f>
        <v>GRUPO HERINGER</v>
      </c>
    </row>
    <row r="186" spans="1:34" x14ac:dyDescent="0.25">
      <c r="A186">
        <v>161</v>
      </c>
      <c r="B186" t="s">
        <v>145</v>
      </c>
      <c r="C186"/>
      <c r="D186" s="23">
        <v>49794.11</v>
      </c>
      <c r="E186">
        <v>11301</v>
      </c>
      <c r="F186">
        <v>11</v>
      </c>
      <c r="G186">
        <v>15904</v>
      </c>
      <c r="H186" t="s">
        <v>754</v>
      </c>
      <c r="I186" s="23">
        <v>49794.11</v>
      </c>
      <c r="J186" s="185">
        <v>46147</v>
      </c>
      <c r="K186" s="185">
        <v>46147</v>
      </c>
      <c r="L186" s="185">
        <v>46237</v>
      </c>
      <c r="M186" s="185"/>
      <c r="N186"/>
      <c r="O186">
        <v>1010100</v>
      </c>
      <c r="P186" t="s">
        <v>29</v>
      </c>
      <c r="Q186">
        <v>200000200</v>
      </c>
      <c r="R186" t="s">
        <v>15377</v>
      </c>
      <c r="S186"/>
      <c r="T186" t="s">
        <v>15323</v>
      </c>
      <c r="U186" t="s">
        <v>6311</v>
      </c>
      <c r="V186" s="23">
        <v>0</v>
      </c>
      <c r="W186" s="23">
        <v>0</v>
      </c>
      <c r="X186" s="23">
        <v>0</v>
      </c>
      <c r="Y186"/>
      <c r="Z186">
        <v>1246273644</v>
      </c>
      <c r="AA186"/>
      <c r="AB186"/>
      <c r="AC186">
        <v>102</v>
      </c>
      <c r="AD186">
        <v>4</v>
      </c>
      <c r="AE186" t="s">
        <v>15324</v>
      </c>
      <c r="AF186"/>
      <c r="AG186" s="23"/>
      <c r="AH186" s="265" t="str">
        <f>_xlfn.XLOOKUP(G186,Clientes!I:I,Clientes!F:F)</f>
        <v>ADUFÉRTIL - CAMPEVO</v>
      </c>
    </row>
    <row r="187" spans="1:34" x14ac:dyDescent="0.25">
      <c r="A187">
        <v>40</v>
      </c>
      <c r="B187" t="s">
        <v>155</v>
      </c>
      <c r="C187"/>
      <c r="D187" s="23">
        <v>49956.68</v>
      </c>
      <c r="E187">
        <v>11123</v>
      </c>
      <c r="F187">
        <v>11</v>
      </c>
      <c r="G187">
        <v>3297</v>
      </c>
      <c r="H187" t="s">
        <v>550</v>
      </c>
      <c r="I187" s="23">
        <v>49956.68</v>
      </c>
      <c r="J187" s="185">
        <v>46126</v>
      </c>
      <c r="K187" s="185">
        <v>46126</v>
      </c>
      <c r="L187" s="185">
        <v>46200</v>
      </c>
      <c r="M187" s="185"/>
      <c r="N187"/>
      <c r="O187">
        <v>1010200</v>
      </c>
      <c r="P187" t="s">
        <v>113</v>
      </c>
      <c r="Q187">
        <v>200000100</v>
      </c>
      <c r="R187" t="s">
        <v>15322</v>
      </c>
      <c r="S187"/>
      <c r="T187" t="s">
        <v>15323</v>
      </c>
      <c r="U187" t="s">
        <v>1199</v>
      </c>
      <c r="V187" s="23">
        <v>0</v>
      </c>
      <c r="W187" s="23">
        <v>0</v>
      </c>
      <c r="X187" s="23">
        <v>0</v>
      </c>
      <c r="Y187"/>
      <c r="Z187">
        <v>1246271355</v>
      </c>
      <c r="AA187"/>
      <c r="AB187"/>
      <c r="AC187">
        <v>125</v>
      </c>
      <c r="AD187">
        <v>4</v>
      </c>
      <c r="AE187" t="s">
        <v>15324</v>
      </c>
      <c r="AF187" t="s">
        <v>15347</v>
      </c>
      <c r="AG187" s="23">
        <v>9944</v>
      </c>
      <c r="AH187" s="265" t="str">
        <f>_xlfn.XLOOKUP(G187,Clientes!I:I,Clientes!F:F)</f>
        <v>MACROSOURCE PERU S.R.L.</v>
      </c>
    </row>
    <row r="188" spans="1:34" x14ac:dyDescent="0.25">
      <c r="A188">
        <v>161</v>
      </c>
      <c r="B188" t="s">
        <v>145</v>
      </c>
      <c r="C188"/>
      <c r="D188" s="23">
        <v>51280</v>
      </c>
      <c r="E188">
        <v>2764</v>
      </c>
      <c r="F188">
        <v>13</v>
      </c>
      <c r="G188">
        <v>13861</v>
      </c>
      <c r="H188" t="s">
        <v>239</v>
      </c>
      <c r="I188" s="23">
        <v>51280</v>
      </c>
      <c r="J188" s="185">
        <v>46076</v>
      </c>
      <c r="K188" s="185">
        <v>46076</v>
      </c>
      <c r="L188" s="185">
        <v>46136</v>
      </c>
      <c r="M188" s="185">
        <v>46136</v>
      </c>
      <c r="N188"/>
      <c r="O188">
        <v>1010100</v>
      </c>
      <c r="P188" t="s">
        <v>29</v>
      </c>
      <c r="Q188">
        <v>200000100</v>
      </c>
      <c r="R188" t="s">
        <v>15322</v>
      </c>
      <c r="S188"/>
      <c r="T188" t="s">
        <v>15323</v>
      </c>
      <c r="U188" t="s">
        <v>6311</v>
      </c>
      <c r="V188" s="23">
        <v>0</v>
      </c>
      <c r="W188" s="23">
        <v>0</v>
      </c>
      <c r="X188" s="23">
        <v>0</v>
      </c>
      <c r="Y188"/>
      <c r="Z188">
        <v>1246264568</v>
      </c>
      <c r="AA188"/>
      <c r="AB188" t="s">
        <v>1186</v>
      </c>
      <c r="AC188">
        <v>102</v>
      </c>
      <c r="AD188">
        <v>4</v>
      </c>
      <c r="AE188" t="s">
        <v>15324</v>
      </c>
      <c r="AF188"/>
      <c r="AG188" s="23"/>
      <c r="AH188" s="265" t="str">
        <f>_xlfn.XLOOKUP(G188,Clientes!I:I,Clientes!F:F)</f>
        <v>GRUPO ADUBOS ARAGUAIA</v>
      </c>
    </row>
    <row r="189" spans="1:34" x14ac:dyDescent="0.25">
      <c r="A189">
        <v>161</v>
      </c>
      <c r="B189" t="s">
        <v>145</v>
      </c>
      <c r="C189"/>
      <c r="D189" s="23">
        <v>51376.4</v>
      </c>
      <c r="E189">
        <v>10535</v>
      </c>
      <c r="F189">
        <v>11</v>
      </c>
      <c r="G189">
        <v>6124</v>
      </c>
      <c r="H189" t="s">
        <v>695</v>
      </c>
      <c r="I189" s="23">
        <v>51376.4</v>
      </c>
      <c r="J189" s="185">
        <v>46042</v>
      </c>
      <c r="K189" s="185">
        <v>46042</v>
      </c>
      <c r="L189" s="185">
        <v>46132</v>
      </c>
      <c r="M189" s="185">
        <v>46132</v>
      </c>
      <c r="N189"/>
      <c r="O189">
        <v>1010100</v>
      </c>
      <c r="P189" t="s">
        <v>29</v>
      </c>
      <c r="Q189">
        <v>200000100</v>
      </c>
      <c r="R189" t="s">
        <v>15322</v>
      </c>
      <c r="S189"/>
      <c r="T189" t="s">
        <v>15323</v>
      </c>
      <c r="U189" t="s">
        <v>4468</v>
      </c>
      <c r="V189" s="23">
        <v>0</v>
      </c>
      <c r="W189" s="23">
        <v>0</v>
      </c>
      <c r="X189" s="23">
        <v>0</v>
      </c>
      <c r="Y189"/>
      <c r="Z189">
        <v>1246260189</v>
      </c>
      <c r="AA189"/>
      <c r="AB189" t="s">
        <v>1199</v>
      </c>
      <c r="AC189">
        <v>102</v>
      </c>
      <c r="AD189">
        <v>4</v>
      </c>
      <c r="AE189" t="s">
        <v>15324</v>
      </c>
      <c r="AF189"/>
      <c r="AG189" s="23"/>
      <c r="AH189" s="265" t="str">
        <f>_xlfn.XLOOKUP(G189,Clientes!I:I,Clientes!F:F)</f>
        <v>GRUPO MOSAIC FERTILIZANTES DO BRASIL</v>
      </c>
    </row>
    <row r="190" spans="1:34" x14ac:dyDescent="0.25">
      <c r="A190">
        <v>161</v>
      </c>
      <c r="B190" t="s">
        <v>145</v>
      </c>
      <c r="C190"/>
      <c r="D190" s="23">
        <v>51452.4</v>
      </c>
      <c r="E190">
        <v>11749</v>
      </c>
      <c r="F190">
        <v>11</v>
      </c>
      <c r="G190">
        <v>8414</v>
      </c>
      <c r="H190" t="s">
        <v>98</v>
      </c>
      <c r="I190" s="23">
        <v>51452.4</v>
      </c>
      <c r="J190" s="185">
        <v>46191</v>
      </c>
      <c r="K190" s="185">
        <v>46191</v>
      </c>
      <c r="L190" s="185">
        <v>46251</v>
      </c>
      <c r="M190" s="185"/>
      <c r="N190"/>
      <c r="O190">
        <v>1010100</v>
      </c>
      <c r="P190" t="s">
        <v>29</v>
      </c>
      <c r="Q190">
        <v>200000100</v>
      </c>
      <c r="R190" t="s">
        <v>15322</v>
      </c>
      <c r="S190"/>
      <c r="T190" t="s">
        <v>15323</v>
      </c>
      <c r="U190" t="s">
        <v>1530</v>
      </c>
      <c r="V190" s="23">
        <v>0</v>
      </c>
      <c r="W190" s="23">
        <v>0</v>
      </c>
      <c r="X190" s="23">
        <v>0</v>
      </c>
      <c r="Y190"/>
      <c r="Z190">
        <v>1246280126</v>
      </c>
      <c r="AA190"/>
      <c r="AB190"/>
      <c r="AC190">
        <v>102</v>
      </c>
      <c r="AD190">
        <v>4</v>
      </c>
      <c r="AE190" t="s">
        <v>15324</v>
      </c>
      <c r="AF190"/>
      <c r="AG190" s="23"/>
      <c r="AH190" s="265" t="str">
        <f>_xlfn.XLOOKUP(G190,Clientes!I:I,Clientes!F:F)</f>
        <v>GRUPO AMAGGI</v>
      </c>
    </row>
    <row r="191" spans="1:34" x14ac:dyDescent="0.25">
      <c r="A191">
        <v>161</v>
      </c>
      <c r="B191" t="s">
        <v>145</v>
      </c>
      <c r="C191"/>
      <c r="D191" s="23">
        <v>51551.06</v>
      </c>
      <c r="E191">
        <v>10938</v>
      </c>
      <c r="F191">
        <v>11</v>
      </c>
      <c r="G191">
        <v>15905</v>
      </c>
      <c r="H191" t="s">
        <v>750</v>
      </c>
      <c r="I191" s="23">
        <v>51551.06</v>
      </c>
      <c r="J191" s="185">
        <v>46100</v>
      </c>
      <c r="K191" s="185">
        <v>46100</v>
      </c>
      <c r="L191" s="185">
        <v>46190</v>
      </c>
      <c r="M191" s="185">
        <v>46189</v>
      </c>
      <c r="N191"/>
      <c r="O191">
        <v>1010100</v>
      </c>
      <c r="P191" t="s">
        <v>29</v>
      </c>
      <c r="Q191">
        <v>200000200</v>
      </c>
      <c r="R191" t="s">
        <v>15377</v>
      </c>
      <c r="S191"/>
      <c r="T191" t="s">
        <v>15323</v>
      </c>
      <c r="U191" t="s">
        <v>6311</v>
      </c>
      <c r="V191" s="23">
        <v>0</v>
      </c>
      <c r="W191" s="23">
        <v>0</v>
      </c>
      <c r="X191" s="23">
        <v>0</v>
      </c>
      <c r="Y191"/>
      <c r="Z191">
        <v>1246268473</v>
      </c>
      <c r="AA191"/>
      <c r="AB191" t="s">
        <v>1186</v>
      </c>
      <c r="AC191">
        <v>102</v>
      </c>
      <c r="AD191">
        <v>4</v>
      </c>
      <c r="AE191" t="s">
        <v>15324</v>
      </c>
      <c r="AF191"/>
      <c r="AG191" s="23"/>
      <c r="AH191" s="265" t="str">
        <f>_xlfn.XLOOKUP(G191,Clientes!I:I,Clientes!F:F)</f>
        <v>ADUFÉRTIL - CAMPEVO</v>
      </c>
    </row>
    <row r="192" spans="1:34" x14ac:dyDescent="0.25">
      <c r="A192">
        <v>161</v>
      </c>
      <c r="B192" t="s">
        <v>145</v>
      </c>
      <c r="C192"/>
      <c r="D192" s="23">
        <v>51551.06</v>
      </c>
      <c r="E192">
        <v>10937</v>
      </c>
      <c r="F192">
        <v>11</v>
      </c>
      <c r="G192">
        <v>15906</v>
      </c>
      <c r="H192" t="s">
        <v>752</v>
      </c>
      <c r="I192" s="23">
        <v>51551.06</v>
      </c>
      <c r="J192" s="185">
        <v>46100</v>
      </c>
      <c r="K192" s="185">
        <v>46100</v>
      </c>
      <c r="L192" s="185">
        <v>46190</v>
      </c>
      <c r="M192" s="185">
        <v>46189</v>
      </c>
      <c r="N192"/>
      <c r="O192">
        <v>1010100</v>
      </c>
      <c r="P192" t="s">
        <v>29</v>
      </c>
      <c r="Q192">
        <v>200000200</v>
      </c>
      <c r="R192" t="s">
        <v>15377</v>
      </c>
      <c r="S192"/>
      <c r="T192" t="s">
        <v>15323</v>
      </c>
      <c r="U192" t="s">
        <v>6311</v>
      </c>
      <c r="V192" s="23">
        <v>0</v>
      </c>
      <c r="W192" s="23">
        <v>0</v>
      </c>
      <c r="X192" s="23">
        <v>0</v>
      </c>
      <c r="Y192"/>
      <c r="Z192">
        <v>1246268468</v>
      </c>
      <c r="AA192"/>
      <c r="AB192" t="s">
        <v>1186</v>
      </c>
      <c r="AC192">
        <v>102</v>
      </c>
      <c r="AD192">
        <v>4</v>
      </c>
      <c r="AE192" t="s">
        <v>15324</v>
      </c>
      <c r="AF192"/>
      <c r="AG192" s="23"/>
      <c r="AH192" s="265" t="str">
        <f>_xlfn.XLOOKUP(G192,Clientes!I:I,Clientes!F:F)</f>
        <v>ADUFÉRTIL - CAMPEVO</v>
      </c>
    </row>
    <row r="193" spans="1:34" x14ac:dyDescent="0.25">
      <c r="A193">
        <v>161</v>
      </c>
      <c r="B193" t="s">
        <v>145</v>
      </c>
      <c r="C193"/>
      <c r="D193" s="23">
        <v>51634.400000000001</v>
      </c>
      <c r="E193">
        <v>11119</v>
      </c>
      <c r="F193">
        <v>11</v>
      </c>
      <c r="G193">
        <v>6124</v>
      </c>
      <c r="H193" t="s">
        <v>695</v>
      </c>
      <c r="I193" s="23">
        <v>51634.400000000001</v>
      </c>
      <c r="J193" s="185">
        <v>46126</v>
      </c>
      <c r="K193" s="185">
        <v>46126</v>
      </c>
      <c r="L193" s="185">
        <v>46216</v>
      </c>
      <c r="M193" s="185"/>
      <c r="N193"/>
      <c r="O193">
        <v>1010100</v>
      </c>
      <c r="P193" t="s">
        <v>29</v>
      </c>
      <c r="Q193">
        <v>200000100</v>
      </c>
      <c r="R193" t="s">
        <v>15322</v>
      </c>
      <c r="S193"/>
      <c r="T193" t="s">
        <v>15323</v>
      </c>
      <c r="U193" t="s">
        <v>2246</v>
      </c>
      <c r="V193" s="23">
        <v>0</v>
      </c>
      <c r="W193" s="23">
        <v>0</v>
      </c>
      <c r="X193" s="23">
        <v>0</v>
      </c>
      <c r="Y193"/>
      <c r="Z193">
        <v>1246271329</v>
      </c>
      <c r="AA193"/>
      <c r="AB193"/>
      <c r="AC193">
        <v>102</v>
      </c>
      <c r="AD193">
        <v>4</v>
      </c>
      <c r="AE193" t="s">
        <v>15324</v>
      </c>
      <c r="AF193"/>
      <c r="AG193" s="23"/>
      <c r="AH193" s="265" t="str">
        <f>_xlfn.XLOOKUP(G193,Clientes!I:I,Clientes!F:F)</f>
        <v>GRUPO MOSAIC FERTILIZANTES DO BRASIL</v>
      </c>
    </row>
    <row r="194" spans="1:34" x14ac:dyDescent="0.25">
      <c r="A194">
        <v>161</v>
      </c>
      <c r="B194" t="s">
        <v>145</v>
      </c>
      <c r="C194"/>
      <c r="D194" s="23">
        <v>52129.08</v>
      </c>
      <c r="E194">
        <v>11536</v>
      </c>
      <c r="F194">
        <v>11</v>
      </c>
      <c r="G194">
        <v>6124</v>
      </c>
      <c r="H194" t="s">
        <v>695</v>
      </c>
      <c r="I194" s="23">
        <v>52129.08</v>
      </c>
      <c r="J194" s="185">
        <v>46170</v>
      </c>
      <c r="K194" s="185">
        <v>46170</v>
      </c>
      <c r="L194" s="185">
        <v>46260</v>
      </c>
      <c r="M194" s="185"/>
      <c r="N194"/>
      <c r="O194">
        <v>1010100</v>
      </c>
      <c r="P194" t="s">
        <v>29</v>
      </c>
      <c r="Q194">
        <v>200000100</v>
      </c>
      <c r="R194" t="s">
        <v>15322</v>
      </c>
      <c r="S194"/>
      <c r="T194" t="s">
        <v>15323</v>
      </c>
      <c r="U194" t="s">
        <v>4468</v>
      </c>
      <c r="V194" s="23">
        <v>0</v>
      </c>
      <c r="W194" s="23">
        <v>0</v>
      </c>
      <c r="X194" s="23">
        <v>0</v>
      </c>
      <c r="Y194"/>
      <c r="Z194">
        <v>1246277258</v>
      </c>
      <c r="AA194"/>
      <c r="AB194"/>
      <c r="AC194">
        <v>102</v>
      </c>
      <c r="AD194">
        <v>4</v>
      </c>
      <c r="AE194" t="s">
        <v>15324</v>
      </c>
      <c r="AF194"/>
      <c r="AG194" s="23"/>
      <c r="AH194" s="265" t="str">
        <f>_xlfn.XLOOKUP(G194,Clientes!I:I,Clientes!F:F)</f>
        <v>GRUPO MOSAIC FERTILIZANTES DO BRASIL</v>
      </c>
    </row>
    <row r="195" spans="1:34" x14ac:dyDescent="0.25">
      <c r="A195">
        <v>161</v>
      </c>
      <c r="B195" t="s">
        <v>145</v>
      </c>
      <c r="C195"/>
      <c r="D195" s="23">
        <v>52374</v>
      </c>
      <c r="E195">
        <v>10897</v>
      </c>
      <c r="F195">
        <v>11</v>
      </c>
      <c r="G195">
        <v>6124</v>
      </c>
      <c r="H195" t="s">
        <v>695</v>
      </c>
      <c r="I195" s="23">
        <v>52374</v>
      </c>
      <c r="J195" s="185">
        <v>46097</v>
      </c>
      <c r="K195" s="185">
        <v>46097</v>
      </c>
      <c r="L195" s="185">
        <v>46187</v>
      </c>
      <c r="M195" s="185">
        <v>46188</v>
      </c>
      <c r="N195"/>
      <c r="O195">
        <v>1010100</v>
      </c>
      <c r="P195" t="s">
        <v>29</v>
      </c>
      <c r="Q195">
        <v>200000100</v>
      </c>
      <c r="R195" t="s">
        <v>15322</v>
      </c>
      <c r="S195"/>
      <c r="T195" t="s">
        <v>15323</v>
      </c>
      <c r="U195" t="s">
        <v>4502</v>
      </c>
      <c r="V195" s="23">
        <v>0</v>
      </c>
      <c r="W195" s="23">
        <v>0</v>
      </c>
      <c r="X195" s="23">
        <v>0</v>
      </c>
      <c r="Y195"/>
      <c r="Z195">
        <v>1246267926</v>
      </c>
      <c r="AA195"/>
      <c r="AB195" t="s">
        <v>1199</v>
      </c>
      <c r="AC195">
        <v>102</v>
      </c>
      <c r="AD195">
        <v>4</v>
      </c>
      <c r="AE195" t="s">
        <v>15324</v>
      </c>
      <c r="AF195"/>
      <c r="AG195" s="23"/>
      <c r="AH195" s="265" t="str">
        <f>_xlfn.XLOOKUP(G195,Clientes!I:I,Clientes!F:F)</f>
        <v>GRUPO MOSAIC FERTILIZANTES DO BRASIL</v>
      </c>
    </row>
    <row r="196" spans="1:34" x14ac:dyDescent="0.25">
      <c r="A196">
        <v>161</v>
      </c>
      <c r="B196" t="s">
        <v>145</v>
      </c>
      <c r="C196"/>
      <c r="D196" s="23">
        <v>52654.7</v>
      </c>
      <c r="E196">
        <v>11629</v>
      </c>
      <c r="F196">
        <v>11</v>
      </c>
      <c r="G196">
        <v>8414</v>
      </c>
      <c r="H196" t="s">
        <v>98</v>
      </c>
      <c r="I196" s="23">
        <v>52654.7</v>
      </c>
      <c r="J196" s="185">
        <v>46179</v>
      </c>
      <c r="K196" s="185">
        <v>46179</v>
      </c>
      <c r="L196" s="185">
        <v>46239</v>
      </c>
      <c r="M196" s="185"/>
      <c r="N196"/>
      <c r="O196">
        <v>1010100</v>
      </c>
      <c r="P196" t="s">
        <v>29</v>
      </c>
      <c r="Q196">
        <v>200000100</v>
      </c>
      <c r="R196" t="s">
        <v>15322</v>
      </c>
      <c r="S196"/>
      <c r="T196" t="s">
        <v>15323</v>
      </c>
      <c r="U196" t="s">
        <v>5803</v>
      </c>
      <c r="V196" s="23">
        <v>0</v>
      </c>
      <c r="W196" s="23">
        <v>0</v>
      </c>
      <c r="X196" s="23">
        <v>0</v>
      </c>
      <c r="Y196"/>
      <c r="Z196">
        <v>1246278429</v>
      </c>
      <c r="AA196"/>
      <c r="AB196"/>
      <c r="AC196">
        <v>102</v>
      </c>
      <c r="AD196">
        <v>4</v>
      </c>
      <c r="AE196" t="s">
        <v>15324</v>
      </c>
      <c r="AF196"/>
      <c r="AG196" s="23"/>
      <c r="AH196" s="265" t="str">
        <f>_xlfn.XLOOKUP(G196,Clientes!I:I,Clientes!F:F)</f>
        <v>GRUPO AMAGGI</v>
      </c>
    </row>
    <row r="197" spans="1:34" x14ac:dyDescent="0.25">
      <c r="A197">
        <v>161</v>
      </c>
      <c r="B197" t="s">
        <v>145</v>
      </c>
      <c r="C197"/>
      <c r="D197" s="23">
        <v>52960</v>
      </c>
      <c r="E197">
        <v>11230</v>
      </c>
      <c r="F197">
        <v>11</v>
      </c>
      <c r="G197">
        <v>33</v>
      </c>
      <c r="H197" t="s">
        <v>757</v>
      </c>
      <c r="I197" s="23">
        <v>52960</v>
      </c>
      <c r="J197" s="185">
        <v>46139</v>
      </c>
      <c r="K197" s="185">
        <v>46139</v>
      </c>
      <c r="L197" s="185">
        <v>46169</v>
      </c>
      <c r="M197" s="185">
        <v>46169</v>
      </c>
      <c r="N197"/>
      <c r="O197">
        <v>1010100</v>
      </c>
      <c r="P197" t="s">
        <v>29</v>
      </c>
      <c r="Q197">
        <v>200000100</v>
      </c>
      <c r="R197" t="s">
        <v>15322</v>
      </c>
      <c r="S197"/>
      <c r="T197" t="s">
        <v>15323</v>
      </c>
      <c r="U197" t="s">
        <v>4468</v>
      </c>
      <c r="V197" s="23">
        <v>0</v>
      </c>
      <c r="W197" s="23">
        <v>0</v>
      </c>
      <c r="X197" s="23">
        <v>0</v>
      </c>
      <c r="Y197"/>
      <c r="Z197">
        <v>1246272783</v>
      </c>
      <c r="AA197"/>
      <c r="AB197" t="s">
        <v>1199</v>
      </c>
      <c r="AC197">
        <v>102</v>
      </c>
      <c r="AD197">
        <v>4</v>
      </c>
      <c r="AE197" t="s">
        <v>15324</v>
      </c>
      <c r="AF197"/>
      <c r="AG197" s="23"/>
      <c r="AH197" s="265" t="str">
        <f>_xlfn.XLOOKUP(G197,Clientes!I:I,Clientes!F:F)</f>
        <v>GRUPO HERINGER</v>
      </c>
    </row>
    <row r="198" spans="1:34" x14ac:dyDescent="0.25">
      <c r="A198">
        <v>161</v>
      </c>
      <c r="B198" t="s">
        <v>145</v>
      </c>
      <c r="C198"/>
      <c r="D198" s="23">
        <v>53158.6</v>
      </c>
      <c r="E198">
        <v>11647</v>
      </c>
      <c r="F198">
        <v>11</v>
      </c>
      <c r="G198">
        <v>33</v>
      </c>
      <c r="H198" t="s">
        <v>757</v>
      </c>
      <c r="I198" s="23">
        <v>53158.6</v>
      </c>
      <c r="J198" s="185">
        <v>46181</v>
      </c>
      <c r="K198" s="185">
        <v>46181</v>
      </c>
      <c r="L198" s="185">
        <v>46211</v>
      </c>
      <c r="M198" s="185"/>
      <c r="N198"/>
      <c r="O198">
        <v>1010100</v>
      </c>
      <c r="P198" t="s">
        <v>29</v>
      </c>
      <c r="Q198">
        <v>200000100</v>
      </c>
      <c r="R198" t="s">
        <v>15322</v>
      </c>
      <c r="S198"/>
      <c r="T198" t="s">
        <v>15323</v>
      </c>
      <c r="U198" t="s">
        <v>5803</v>
      </c>
      <c r="V198" s="23">
        <v>0</v>
      </c>
      <c r="W198" s="23">
        <v>0</v>
      </c>
      <c r="X198" s="23">
        <v>0</v>
      </c>
      <c r="Y198"/>
      <c r="Z198">
        <v>1246278608</v>
      </c>
      <c r="AA198"/>
      <c r="AB198"/>
      <c r="AC198">
        <v>102</v>
      </c>
      <c r="AD198">
        <v>4</v>
      </c>
      <c r="AE198" t="s">
        <v>15324</v>
      </c>
      <c r="AF198"/>
      <c r="AG198" s="23"/>
      <c r="AH198" s="265" t="str">
        <f>_xlfn.XLOOKUP(G198,Clientes!I:I,Clientes!F:F)</f>
        <v>GRUPO HERINGER</v>
      </c>
    </row>
    <row r="199" spans="1:34" x14ac:dyDescent="0.25">
      <c r="A199">
        <v>161</v>
      </c>
      <c r="B199" t="s">
        <v>145</v>
      </c>
      <c r="C199"/>
      <c r="D199" s="23">
        <v>53380</v>
      </c>
      <c r="E199">
        <v>2758</v>
      </c>
      <c r="F199">
        <v>13</v>
      </c>
      <c r="G199">
        <v>210</v>
      </c>
      <c r="H199" t="s">
        <v>299</v>
      </c>
      <c r="I199" s="23">
        <v>53380</v>
      </c>
      <c r="J199" s="185">
        <v>46073</v>
      </c>
      <c r="K199" s="185">
        <v>46073</v>
      </c>
      <c r="L199" s="185">
        <v>46101</v>
      </c>
      <c r="M199" s="185">
        <v>46077</v>
      </c>
      <c r="N199"/>
      <c r="O199">
        <v>1010100</v>
      </c>
      <c r="P199" t="s">
        <v>29</v>
      </c>
      <c r="Q199">
        <v>200000100</v>
      </c>
      <c r="R199" t="s">
        <v>15322</v>
      </c>
      <c r="S199"/>
      <c r="T199" t="s">
        <v>15323</v>
      </c>
      <c r="U199" t="s">
        <v>6311</v>
      </c>
      <c r="V199" s="23">
        <v>0</v>
      </c>
      <c r="W199" s="23">
        <v>0</v>
      </c>
      <c r="X199" s="23">
        <v>0</v>
      </c>
      <c r="Y199"/>
      <c r="Z199">
        <v>1246264359</v>
      </c>
      <c r="AA199"/>
      <c r="AB199" t="s">
        <v>1186</v>
      </c>
      <c r="AC199">
        <v>102</v>
      </c>
      <c r="AD199">
        <v>4</v>
      </c>
      <c r="AE199" t="s">
        <v>15324</v>
      </c>
      <c r="AF199"/>
      <c r="AG199" s="23"/>
      <c r="AH199" s="265" t="str">
        <f>_xlfn.XLOOKUP(G199,Clientes!I:I,Clientes!F:F)</f>
        <v>SUPERFÉRTIL FERTILIZANTES - PATROCÍNIO</v>
      </c>
    </row>
    <row r="200" spans="1:34" x14ac:dyDescent="0.25">
      <c r="A200">
        <v>56</v>
      </c>
      <c r="B200" t="s">
        <v>146</v>
      </c>
      <c r="C200"/>
      <c r="D200" s="23">
        <v>54000</v>
      </c>
      <c r="E200">
        <v>11175</v>
      </c>
      <c r="F200">
        <v>11</v>
      </c>
      <c r="G200">
        <v>1936</v>
      </c>
      <c r="H200" t="s">
        <v>64</v>
      </c>
      <c r="I200" s="23">
        <v>54000</v>
      </c>
      <c r="J200" s="185">
        <v>46132</v>
      </c>
      <c r="K200" s="185">
        <v>46132</v>
      </c>
      <c r="L200" s="185">
        <v>46160</v>
      </c>
      <c r="M200" s="185">
        <v>46160</v>
      </c>
      <c r="N200"/>
      <c r="O200">
        <v>1010100</v>
      </c>
      <c r="P200" t="s">
        <v>29</v>
      </c>
      <c r="Q200">
        <v>200000100</v>
      </c>
      <c r="R200" t="s">
        <v>15322</v>
      </c>
      <c r="S200"/>
      <c r="T200" t="s">
        <v>15323</v>
      </c>
      <c r="U200" t="s">
        <v>2246</v>
      </c>
      <c r="V200" s="23">
        <v>0</v>
      </c>
      <c r="W200" s="23">
        <v>0</v>
      </c>
      <c r="X200" s="23">
        <v>0</v>
      </c>
      <c r="Y200"/>
      <c r="Z200">
        <v>1246271887</v>
      </c>
      <c r="AA200"/>
      <c r="AB200" t="s">
        <v>1199</v>
      </c>
      <c r="AC200">
        <v>102</v>
      </c>
      <c r="AD200">
        <v>4</v>
      </c>
      <c r="AE200" t="s">
        <v>15324</v>
      </c>
      <c r="AF200"/>
      <c r="AG200" s="23"/>
      <c r="AH200" s="265" t="str">
        <f>_xlfn.XLOOKUP(G200,Clientes!I:I,Clientes!F:F)</f>
        <v>GRUPO AGRO INDUSTRIAL SAO LUIZ LTDA</v>
      </c>
    </row>
    <row r="201" spans="1:34" x14ac:dyDescent="0.25">
      <c r="A201">
        <v>56</v>
      </c>
      <c r="B201" t="s">
        <v>146</v>
      </c>
      <c r="C201"/>
      <c r="D201" s="23">
        <v>54120</v>
      </c>
      <c r="E201">
        <v>10721</v>
      </c>
      <c r="F201">
        <v>11</v>
      </c>
      <c r="G201">
        <v>17379</v>
      </c>
      <c r="H201" t="s">
        <v>8944</v>
      </c>
      <c r="I201" s="23">
        <v>54120</v>
      </c>
      <c r="J201" s="185">
        <v>46072</v>
      </c>
      <c r="K201" s="185">
        <v>46072</v>
      </c>
      <c r="L201" s="185">
        <v>46100</v>
      </c>
      <c r="M201" s="185">
        <v>46100</v>
      </c>
      <c r="N201"/>
      <c r="O201">
        <v>1010100</v>
      </c>
      <c r="P201" t="s">
        <v>29</v>
      </c>
      <c r="Q201">
        <v>200000100</v>
      </c>
      <c r="R201" t="s">
        <v>15322</v>
      </c>
      <c r="S201"/>
      <c r="T201" t="s">
        <v>15323</v>
      </c>
      <c r="U201" t="s">
        <v>1199</v>
      </c>
      <c r="V201" s="23">
        <v>0</v>
      </c>
      <c r="W201" s="23">
        <v>0</v>
      </c>
      <c r="X201" s="23">
        <v>0</v>
      </c>
      <c r="Y201"/>
      <c r="Z201">
        <v>1246264150</v>
      </c>
      <c r="AA201"/>
      <c r="AB201" t="s">
        <v>1186</v>
      </c>
      <c r="AC201">
        <v>102</v>
      </c>
      <c r="AD201">
        <v>4</v>
      </c>
      <c r="AE201" t="s">
        <v>15324</v>
      </c>
      <c r="AF201"/>
      <c r="AG201" s="23"/>
      <c r="AH201" s="265" t="str">
        <f>_xlfn.XLOOKUP(G201,Clientes!I:I,Clientes!F:F)</f>
        <v>DREYMOOR FERTILIZANTES - CURITIBA</v>
      </c>
    </row>
    <row r="202" spans="1:34" x14ac:dyDescent="0.25">
      <c r="A202">
        <v>56</v>
      </c>
      <c r="B202" t="s">
        <v>146</v>
      </c>
      <c r="C202"/>
      <c r="D202" s="23">
        <v>54120</v>
      </c>
      <c r="E202">
        <v>10558</v>
      </c>
      <c r="F202">
        <v>11</v>
      </c>
      <c r="G202">
        <v>17379</v>
      </c>
      <c r="H202" t="s">
        <v>8944</v>
      </c>
      <c r="I202" s="23">
        <v>54120</v>
      </c>
      <c r="J202" s="185">
        <v>46045</v>
      </c>
      <c r="K202" s="185">
        <v>46045</v>
      </c>
      <c r="L202" s="185">
        <v>46073</v>
      </c>
      <c r="M202" s="185">
        <v>46073</v>
      </c>
      <c r="N202"/>
      <c r="O202">
        <v>1010100</v>
      </c>
      <c r="P202" t="s">
        <v>29</v>
      </c>
      <c r="Q202">
        <v>200000100</v>
      </c>
      <c r="R202" t="s">
        <v>15322</v>
      </c>
      <c r="S202"/>
      <c r="T202" t="s">
        <v>15323</v>
      </c>
      <c r="U202" t="s">
        <v>2073</v>
      </c>
      <c r="V202" s="23">
        <v>0</v>
      </c>
      <c r="W202" s="23">
        <v>0</v>
      </c>
      <c r="X202" s="23">
        <v>0</v>
      </c>
      <c r="Y202"/>
      <c r="Z202">
        <v>1246260607</v>
      </c>
      <c r="AA202"/>
      <c r="AB202" t="s">
        <v>1186</v>
      </c>
      <c r="AC202">
        <v>102</v>
      </c>
      <c r="AD202">
        <v>4</v>
      </c>
      <c r="AE202" t="s">
        <v>15324</v>
      </c>
      <c r="AF202"/>
      <c r="AG202" s="23"/>
      <c r="AH202" s="265" t="str">
        <f>_xlfn.XLOOKUP(G202,Clientes!I:I,Clientes!F:F)</f>
        <v>DREYMOOR FERTILIZANTES - CURITIBA</v>
      </c>
    </row>
    <row r="203" spans="1:34" x14ac:dyDescent="0.25">
      <c r="A203">
        <v>56</v>
      </c>
      <c r="B203" t="s">
        <v>146</v>
      </c>
      <c r="C203"/>
      <c r="D203" s="23">
        <v>54135</v>
      </c>
      <c r="E203">
        <v>10465</v>
      </c>
      <c r="F203">
        <v>11</v>
      </c>
      <c r="G203">
        <v>7302</v>
      </c>
      <c r="H203" t="s">
        <v>93</v>
      </c>
      <c r="I203" s="23">
        <v>54135</v>
      </c>
      <c r="J203" s="185">
        <v>46034</v>
      </c>
      <c r="K203" s="185">
        <v>46034</v>
      </c>
      <c r="L203" s="185">
        <v>46124</v>
      </c>
      <c r="M203" s="185">
        <v>46125</v>
      </c>
      <c r="N203"/>
      <c r="O203">
        <v>1010100</v>
      </c>
      <c r="P203" t="s">
        <v>29</v>
      </c>
      <c r="Q203">
        <v>200000100</v>
      </c>
      <c r="R203" t="s">
        <v>15322</v>
      </c>
      <c r="S203"/>
      <c r="T203" t="s">
        <v>15323</v>
      </c>
      <c r="U203" t="s">
        <v>4468</v>
      </c>
      <c r="V203" s="23">
        <v>0</v>
      </c>
      <c r="W203" s="23">
        <v>0</v>
      </c>
      <c r="X203" s="23">
        <v>0</v>
      </c>
      <c r="Y203"/>
      <c r="Z203">
        <v>1246259200</v>
      </c>
      <c r="AA203"/>
      <c r="AB203" t="s">
        <v>2073</v>
      </c>
      <c r="AC203">
        <v>102</v>
      </c>
      <c r="AD203">
        <v>4</v>
      </c>
      <c r="AE203" t="s">
        <v>15324</v>
      </c>
      <c r="AF203"/>
      <c r="AG203" s="23"/>
      <c r="AH203" s="265" t="str">
        <f>_xlfn.XLOOKUP(G203,Clientes!I:I,Clientes!F:F)</f>
        <v>GRUPO MOSAIC FERTILIZANTES DO BRASIL</v>
      </c>
    </row>
    <row r="204" spans="1:34" x14ac:dyDescent="0.25">
      <c r="A204">
        <v>161</v>
      </c>
      <c r="B204" t="s">
        <v>145</v>
      </c>
      <c r="C204"/>
      <c r="D204" s="23">
        <v>54389.7</v>
      </c>
      <c r="E204">
        <v>10692</v>
      </c>
      <c r="F204">
        <v>11</v>
      </c>
      <c r="G204">
        <v>8414</v>
      </c>
      <c r="H204" t="s">
        <v>98</v>
      </c>
      <c r="I204" s="23">
        <v>54389.7</v>
      </c>
      <c r="J204" s="185">
        <v>46066</v>
      </c>
      <c r="K204" s="185">
        <v>46066</v>
      </c>
      <c r="L204" s="185">
        <v>46094</v>
      </c>
      <c r="M204" s="185">
        <v>46107</v>
      </c>
      <c r="N204"/>
      <c r="O204">
        <v>1010100</v>
      </c>
      <c r="P204" t="s">
        <v>29</v>
      </c>
      <c r="Q204">
        <v>200000100</v>
      </c>
      <c r="R204" t="s">
        <v>15322</v>
      </c>
      <c r="S204"/>
      <c r="T204" t="s">
        <v>15323</v>
      </c>
      <c r="U204" t="s">
        <v>4468</v>
      </c>
      <c r="V204" s="23">
        <v>0</v>
      </c>
      <c r="W204" s="23">
        <v>0</v>
      </c>
      <c r="X204" s="23">
        <v>0</v>
      </c>
      <c r="Y204"/>
      <c r="Z204">
        <v>1246263766</v>
      </c>
      <c r="AA204"/>
      <c r="AB204" t="s">
        <v>1199</v>
      </c>
      <c r="AC204">
        <v>102</v>
      </c>
      <c r="AD204">
        <v>4</v>
      </c>
      <c r="AE204" t="s">
        <v>15324</v>
      </c>
      <c r="AF204"/>
      <c r="AG204" s="23"/>
      <c r="AH204" s="265" t="str">
        <f>_xlfn.XLOOKUP(G204,Clientes!I:I,Clientes!F:F)</f>
        <v>GRUPO AMAGGI</v>
      </c>
    </row>
    <row r="205" spans="1:34" x14ac:dyDescent="0.25">
      <c r="A205">
        <v>161</v>
      </c>
      <c r="B205" t="s">
        <v>145</v>
      </c>
      <c r="C205"/>
      <c r="D205" s="23">
        <v>54919.6</v>
      </c>
      <c r="E205">
        <v>11281</v>
      </c>
      <c r="F205">
        <v>11</v>
      </c>
      <c r="G205">
        <v>6124</v>
      </c>
      <c r="H205" t="s">
        <v>695</v>
      </c>
      <c r="I205" s="23">
        <v>54919.6</v>
      </c>
      <c r="J205" s="185">
        <v>46146</v>
      </c>
      <c r="K205" s="185">
        <v>46146</v>
      </c>
      <c r="L205" s="185">
        <v>46236</v>
      </c>
      <c r="M205" s="185"/>
      <c r="N205"/>
      <c r="O205">
        <v>1010100</v>
      </c>
      <c r="P205" t="s">
        <v>29</v>
      </c>
      <c r="Q205">
        <v>200000100</v>
      </c>
      <c r="R205" t="s">
        <v>15322</v>
      </c>
      <c r="S205"/>
      <c r="T205" t="s">
        <v>15323</v>
      </c>
      <c r="U205" t="s">
        <v>5803</v>
      </c>
      <c r="V205" s="23">
        <v>0</v>
      </c>
      <c r="W205" s="23">
        <v>0</v>
      </c>
      <c r="X205" s="23">
        <v>0</v>
      </c>
      <c r="Y205"/>
      <c r="Z205">
        <v>1246273393</v>
      </c>
      <c r="AA205"/>
      <c r="AB205"/>
      <c r="AC205">
        <v>102</v>
      </c>
      <c r="AD205">
        <v>4</v>
      </c>
      <c r="AE205" t="s">
        <v>15324</v>
      </c>
      <c r="AF205"/>
      <c r="AG205" s="23"/>
      <c r="AH205" s="265" t="str">
        <f>_xlfn.XLOOKUP(G205,Clientes!I:I,Clientes!F:F)</f>
        <v>GRUPO MOSAIC FERTILIZANTES DO BRASIL</v>
      </c>
    </row>
    <row r="206" spans="1:34" x14ac:dyDescent="0.25">
      <c r="A206">
        <v>161</v>
      </c>
      <c r="B206" t="s">
        <v>145</v>
      </c>
      <c r="C206"/>
      <c r="D206" s="23">
        <v>55119.6</v>
      </c>
      <c r="E206">
        <v>10782</v>
      </c>
      <c r="F206">
        <v>11</v>
      </c>
      <c r="G206">
        <v>11212</v>
      </c>
      <c r="H206" t="s">
        <v>230</v>
      </c>
      <c r="I206" s="23">
        <v>55119.6</v>
      </c>
      <c r="J206" s="185">
        <v>46080</v>
      </c>
      <c r="K206" s="185">
        <v>46080</v>
      </c>
      <c r="L206" s="185">
        <v>46108</v>
      </c>
      <c r="M206" s="185">
        <v>46108</v>
      </c>
      <c r="N206"/>
      <c r="O206">
        <v>1010100</v>
      </c>
      <c r="P206" t="s">
        <v>29</v>
      </c>
      <c r="Q206">
        <v>200000100</v>
      </c>
      <c r="R206" t="s">
        <v>15322</v>
      </c>
      <c r="S206"/>
      <c r="T206" t="s">
        <v>15323</v>
      </c>
      <c r="U206" t="s">
        <v>6311</v>
      </c>
      <c r="V206" s="23">
        <v>0</v>
      </c>
      <c r="W206" s="23">
        <v>0</v>
      </c>
      <c r="X206" s="23">
        <v>0</v>
      </c>
      <c r="Y206"/>
      <c r="Z206">
        <v>1246265521</v>
      </c>
      <c r="AA206"/>
      <c r="AB206" t="s">
        <v>1186</v>
      </c>
      <c r="AC206">
        <v>102</v>
      </c>
      <c r="AD206">
        <v>4</v>
      </c>
      <c r="AE206" t="s">
        <v>15324</v>
      </c>
      <c r="AF206"/>
      <c r="AG206" s="23"/>
      <c r="AH206" s="265" t="str">
        <f>_xlfn.XLOOKUP(G206,Clientes!I:I,Clientes!F:F)</f>
        <v>INPEK FERTILIZANTES - PARANAGUA</v>
      </c>
    </row>
    <row r="207" spans="1:34" x14ac:dyDescent="0.25">
      <c r="A207">
        <v>161</v>
      </c>
      <c r="B207" t="s">
        <v>145</v>
      </c>
      <c r="C207"/>
      <c r="D207" s="23">
        <v>55246.400000000001</v>
      </c>
      <c r="E207">
        <v>10720</v>
      </c>
      <c r="F207">
        <v>11</v>
      </c>
      <c r="G207">
        <v>6124</v>
      </c>
      <c r="H207" t="s">
        <v>695</v>
      </c>
      <c r="I207" s="23">
        <v>55246.400000000001</v>
      </c>
      <c r="J207" s="185">
        <v>46072</v>
      </c>
      <c r="K207" s="185">
        <v>46072</v>
      </c>
      <c r="L207" s="185">
        <v>46162</v>
      </c>
      <c r="M207" s="185">
        <v>46162</v>
      </c>
      <c r="N207"/>
      <c r="O207">
        <v>1010100</v>
      </c>
      <c r="P207" t="s">
        <v>29</v>
      </c>
      <c r="Q207">
        <v>200000100</v>
      </c>
      <c r="R207" t="s">
        <v>15322</v>
      </c>
      <c r="S207"/>
      <c r="T207" t="s">
        <v>15323</v>
      </c>
      <c r="U207" t="s">
        <v>5803</v>
      </c>
      <c r="V207" s="23">
        <v>0</v>
      </c>
      <c r="W207" s="23">
        <v>0</v>
      </c>
      <c r="X207" s="23">
        <v>0</v>
      </c>
      <c r="Y207"/>
      <c r="Z207">
        <v>1246264147</v>
      </c>
      <c r="AA207"/>
      <c r="AB207" t="s">
        <v>1199</v>
      </c>
      <c r="AC207">
        <v>102</v>
      </c>
      <c r="AD207">
        <v>4</v>
      </c>
      <c r="AE207" t="s">
        <v>15324</v>
      </c>
      <c r="AF207"/>
      <c r="AG207" s="23"/>
      <c r="AH207" s="265" t="str">
        <f>_xlfn.XLOOKUP(G207,Clientes!I:I,Clientes!F:F)</f>
        <v>GRUPO MOSAIC FERTILIZANTES DO BRASIL</v>
      </c>
    </row>
    <row r="208" spans="1:34" x14ac:dyDescent="0.25">
      <c r="A208">
        <v>56</v>
      </c>
      <c r="B208" t="s">
        <v>146</v>
      </c>
      <c r="C208"/>
      <c r="D208" s="23">
        <v>57000</v>
      </c>
      <c r="E208">
        <v>10490</v>
      </c>
      <c r="F208">
        <v>11</v>
      </c>
      <c r="G208">
        <v>14766</v>
      </c>
      <c r="H208" t="s">
        <v>693</v>
      </c>
      <c r="I208" s="23">
        <v>57000</v>
      </c>
      <c r="J208" s="185">
        <v>46036</v>
      </c>
      <c r="K208" s="185">
        <v>46036</v>
      </c>
      <c r="L208" s="185">
        <v>46064</v>
      </c>
      <c r="M208" s="185">
        <v>46064</v>
      </c>
      <c r="N208"/>
      <c r="O208">
        <v>1010100</v>
      </c>
      <c r="P208" t="s">
        <v>29</v>
      </c>
      <c r="Q208">
        <v>200000100</v>
      </c>
      <c r="R208" t="s">
        <v>15322</v>
      </c>
      <c r="S208"/>
      <c r="T208" t="s">
        <v>15323</v>
      </c>
      <c r="U208" t="s">
        <v>6311</v>
      </c>
      <c r="V208" s="23">
        <v>0</v>
      </c>
      <c r="W208" s="23">
        <v>0</v>
      </c>
      <c r="X208" s="23">
        <v>0</v>
      </c>
      <c r="Y208"/>
      <c r="Z208">
        <v>1246259493</v>
      </c>
      <c r="AA208"/>
      <c r="AB208" t="s">
        <v>1186</v>
      </c>
      <c r="AC208">
        <v>102</v>
      </c>
      <c r="AD208">
        <v>4</v>
      </c>
      <c r="AE208" t="s">
        <v>15324</v>
      </c>
      <c r="AF208"/>
      <c r="AG208" s="23"/>
      <c r="AH208" s="265" t="str">
        <f>_xlfn.XLOOKUP(G208,Clientes!I:I,Clientes!F:F)</f>
        <v>DREYMOOR FERTILIZANTES - CURITIBA</v>
      </c>
    </row>
    <row r="209" spans="1:34" x14ac:dyDescent="0.25">
      <c r="A209">
        <v>56</v>
      </c>
      <c r="B209" t="s">
        <v>146</v>
      </c>
      <c r="C209"/>
      <c r="D209" s="23">
        <v>57000</v>
      </c>
      <c r="E209">
        <v>10737</v>
      </c>
      <c r="F209">
        <v>11</v>
      </c>
      <c r="G209">
        <v>17458</v>
      </c>
      <c r="H209" t="s">
        <v>14440</v>
      </c>
      <c r="I209" s="23">
        <v>57000</v>
      </c>
      <c r="J209" s="185">
        <v>46073</v>
      </c>
      <c r="K209" s="185">
        <v>46073</v>
      </c>
      <c r="L209" s="185">
        <v>46101</v>
      </c>
      <c r="M209" s="185">
        <v>46101</v>
      </c>
      <c r="N209"/>
      <c r="O209">
        <v>1010100</v>
      </c>
      <c r="P209" t="s">
        <v>29</v>
      </c>
      <c r="Q209">
        <v>200000100</v>
      </c>
      <c r="R209" t="s">
        <v>15322</v>
      </c>
      <c r="S209"/>
      <c r="T209" t="s">
        <v>15323</v>
      </c>
      <c r="U209" t="s">
        <v>6311</v>
      </c>
      <c r="V209" s="23">
        <v>0</v>
      </c>
      <c r="W209" s="23">
        <v>0</v>
      </c>
      <c r="X209" s="23">
        <v>0</v>
      </c>
      <c r="Y209"/>
      <c r="Z209">
        <v>1246264429</v>
      </c>
      <c r="AA209"/>
      <c r="AB209" t="s">
        <v>1186</v>
      </c>
      <c r="AC209">
        <v>102</v>
      </c>
      <c r="AD209">
        <v>4</v>
      </c>
      <c r="AE209" t="s">
        <v>15324</v>
      </c>
      <c r="AF209"/>
      <c r="AG209" s="23"/>
      <c r="AH209" s="265" t="str">
        <f>_xlfn.XLOOKUP(G209,Clientes!I:I,Clientes!F:F)</f>
        <v>DREYMOOR FERTILIZANTES - CURITIBA</v>
      </c>
    </row>
    <row r="210" spans="1:34" x14ac:dyDescent="0.25">
      <c r="A210">
        <v>161</v>
      </c>
      <c r="B210" t="s">
        <v>145</v>
      </c>
      <c r="C210"/>
      <c r="D210" s="23">
        <v>57019</v>
      </c>
      <c r="E210">
        <v>10985</v>
      </c>
      <c r="F210">
        <v>11</v>
      </c>
      <c r="G210">
        <v>7103</v>
      </c>
      <c r="H210" t="s">
        <v>482</v>
      </c>
      <c r="I210" s="23">
        <v>57019</v>
      </c>
      <c r="J210" s="185">
        <v>46108</v>
      </c>
      <c r="K210" s="185">
        <v>46108</v>
      </c>
      <c r="L210" s="185">
        <v>46198</v>
      </c>
      <c r="M210" s="185"/>
      <c r="N210"/>
      <c r="O210">
        <v>1010100</v>
      </c>
      <c r="P210" t="s">
        <v>29</v>
      </c>
      <c r="Q210">
        <v>200000100</v>
      </c>
      <c r="R210" t="s">
        <v>15322</v>
      </c>
      <c r="S210"/>
      <c r="T210" t="s">
        <v>15323</v>
      </c>
      <c r="U210" t="s">
        <v>2246</v>
      </c>
      <c r="V210" s="23">
        <v>0</v>
      </c>
      <c r="W210" s="23">
        <v>0</v>
      </c>
      <c r="X210" s="23">
        <v>0</v>
      </c>
      <c r="Y210"/>
      <c r="Z210">
        <v>1246269403</v>
      </c>
      <c r="AA210"/>
      <c r="AB210"/>
      <c r="AC210">
        <v>102</v>
      </c>
      <c r="AD210">
        <v>4</v>
      </c>
      <c r="AE210" t="s">
        <v>15324</v>
      </c>
      <c r="AF210"/>
      <c r="AG210" s="23"/>
      <c r="AH210" s="265" t="str">
        <f>_xlfn.XLOOKUP(G210,Clientes!I:I,Clientes!F:F)</f>
        <v>GRUPO MOSAIC FERTILIZANTES DO BRASIL</v>
      </c>
    </row>
    <row r="211" spans="1:34" x14ac:dyDescent="0.25">
      <c r="A211">
        <v>161</v>
      </c>
      <c r="B211" t="s">
        <v>145</v>
      </c>
      <c r="C211"/>
      <c r="D211" s="23">
        <v>57185.4</v>
      </c>
      <c r="E211">
        <v>10709</v>
      </c>
      <c r="F211">
        <v>11</v>
      </c>
      <c r="G211">
        <v>31</v>
      </c>
      <c r="H211" t="s">
        <v>261</v>
      </c>
      <c r="I211" s="23">
        <v>57185.4</v>
      </c>
      <c r="J211" s="185">
        <v>46071</v>
      </c>
      <c r="K211" s="185">
        <v>46071</v>
      </c>
      <c r="L211" s="185">
        <v>46099</v>
      </c>
      <c r="M211" s="185">
        <v>46099</v>
      </c>
      <c r="N211"/>
      <c r="O211">
        <v>1010100</v>
      </c>
      <c r="P211" t="s">
        <v>29</v>
      </c>
      <c r="Q211">
        <v>200000100</v>
      </c>
      <c r="R211" t="s">
        <v>15322</v>
      </c>
      <c r="S211"/>
      <c r="T211" t="s">
        <v>15323</v>
      </c>
      <c r="U211" t="s">
        <v>6311</v>
      </c>
      <c r="V211" s="23">
        <v>0</v>
      </c>
      <c r="W211" s="23">
        <v>0</v>
      </c>
      <c r="X211" s="23">
        <v>0</v>
      </c>
      <c r="Y211"/>
      <c r="Z211">
        <v>1246263897</v>
      </c>
      <c r="AA211"/>
      <c r="AB211" t="s">
        <v>1186</v>
      </c>
      <c r="AC211">
        <v>102</v>
      </c>
      <c r="AD211">
        <v>4</v>
      </c>
      <c r="AE211" t="s">
        <v>15324</v>
      </c>
      <c r="AF211"/>
      <c r="AG211" s="23"/>
      <c r="AH211" s="265" t="str">
        <f>_xlfn.XLOOKUP(G211,Clientes!I:I,Clientes!F:F)</f>
        <v>SUL GOIANA - GOIATUBA</v>
      </c>
    </row>
    <row r="212" spans="1:34" x14ac:dyDescent="0.25">
      <c r="A212">
        <v>161</v>
      </c>
      <c r="B212" t="s">
        <v>145</v>
      </c>
      <c r="C212"/>
      <c r="D212" s="23">
        <v>57431.3</v>
      </c>
      <c r="E212">
        <v>10661</v>
      </c>
      <c r="F212">
        <v>11</v>
      </c>
      <c r="G212">
        <v>205</v>
      </c>
      <c r="H212" t="s">
        <v>35</v>
      </c>
      <c r="I212" s="23">
        <v>57431.3</v>
      </c>
      <c r="J212" s="185">
        <v>46062</v>
      </c>
      <c r="K212" s="185">
        <v>46062</v>
      </c>
      <c r="L212" s="185">
        <v>46090</v>
      </c>
      <c r="M212" s="185">
        <v>46090</v>
      </c>
      <c r="N212"/>
      <c r="O212">
        <v>1010100</v>
      </c>
      <c r="P212" t="s">
        <v>29</v>
      </c>
      <c r="Q212">
        <v>200000100</v>
      </c>
      <c r="R212" t="s">
        <v>15322</v>
      </c>
      <c r="S212"/>
      <c r="T212" t="s">
        <v>15323</v>
      </c>
      <c r="U212" t="s">
        <v>1216</v>
      </c>
      <c r="V212" s="23">
        <v>0</v>
      </c>
      <c r="W212" s="23">
        <v>0</v>
      </c>
      <c r="X212" s="23">
        <v>0</v>
      </c>
      <c r="Y212"/>
      <c r="Z212">
        <v>1246262700</v>
      </c>
      <c r="AA212"/>
      <c r="AB212" t="s">
        <v>2073</v>
      </c>
      <c r="AC212">
        <v>102</v>
      </c>
      <c r="AD212">
        <v>4</v>
      </c>
      <c r="AE212" t="s">
        <v>15324</v>
      </c>
      <c r="AF212"/>
      <c r="AG212" s="23"/>
      <c r="AH212" s="265" t="str">
        <f>_xlfn.XLOOKUP(G212,Clientes!I:I,Clientes!F:F)</f>
        <v>GRUPO FERTIPAR FERTILIZANTES MATO GROSSO</v>
      </c>
    </row>
    <row r="213" spans="1:34" x14ac:dyDescent="0.25">
      <c r="A213">
        <v>161</v>
      </c>
      <c r="B213" t="s">
        <v>145</v>
      </c>
      <c r="C213"/>
      <c r="D213" s="23">
        <v>57680.81</v>
      </c>
      <c r="E213">
        <v>11759</v>
      </c>
      <c r="F213">
        <v>11</v>
      </c>
      <c r="G213">
        <v>7103</v>
      </c>
      <c r="H213" t="s">
        <v>482</v>
      </c>
      <c r="I213" s="23">
        <v>57680.81</v>
      </c>
      <c r="J213" s="185">
        <v>46192</v>
      </c>
      <c r="K213" s="185">
        <v>46192</v>
      </c>
      <c r="L213" s="185">
        <v>46282</v>
      </c>
      <c r="M213" s="185"/>
      <c r="N213"/>
      <c r="O213">
        <v>1010100</v>
      </c>
      <c r="P213" t="s">
        <v>29</v>
      </c>
      <c r="Q213">
        <v>200000100</v>
      </c>
      <c r="R213" t="s">
        <v>15322</v>
      </c>
      <c r="S213"/>
      <c r="T213" t="s">
        <v>15323</v>
      </c>
      <c r="U213" t="s">
        <v>2246</v>
      </c>
      <c r="V213" s="23">
        <v>0</v>
      </c>
      <c r="W213" s="23">
        <v>0</v>
      </c>
      <c r="X213" s="23">
        <v>0</v>
      </c>
      <c r="Y213"/>
      <c r="Z213">
        <v>1246280238</v>
      </c>
      <c r="AA213"/>
      <c r="AB213"/>
      <c r="AC213">
        <v>102</v>
      </c>
      <c r="AD213">
        <v>4</v>
      </c>
      <c r="AE213" t="s">
        <v>15324</v>
      </c>
      <c r="AF213"/>
      <c r="AG213" s="23"/>
      <c r="AH213" s="265" t="str">
        <f>_xlfn.XLOOKUP(G213,Clientes!I:I,Clientes!F:F)</f>
        <v>GRUPO MOSAIC FERTILIZANTES DO BRASIL</v>
      </c>
    </row>
    <row r="214" spans="1:34" x14ac:dyDescent="0.25">
      <c r="A214">
        <v>161</v>
      </c>
      <c r="B214" t="s">
        <v>145</v>
      </c>
      <c r="C214"/>
      <c r="D214" s="23">
        <v>57684.7</v>
      </c>
      <c r="E214">
        <v>10480</v>
      </c>
      <c r="F214">
        <v>11</v>
      </c>
      <c r="G214">
        <v>205</v>
      </c>
      <c r="H214" t="s">
        <v>35</v>
      </c>
      <c r="I214" s="23">
        <v>57684.7</v>
      </c>
      <c r="J214" s="185">
        <v>46036</v>
      </c>
      <c r="K214" s="185">
        <v>46036</v>
      </c>
      <c r="L214" s="185">
        <v>46064</v>
      </c>
      <c r="M214" s="185">
        <v>46064</v>
      </c>
      <c r="N214"/>
      <c r="O214">
        <v>1010100</v>
      </c>
      <c r="P214" t="s">
        <v>29</v>
      </c>
      <c r="Q214">
        <v>200000100</v>
      </c>
      <c r="R214" t="s">
        <v>15322</v>
      </c>
      <c r="S214"/>
      <c r="T214" t="s">
        <v>15323</v>
      </c>
      <c r="U214" t="s">
        <v>2246</v>
      </c>
      <c r="V214" s="23">
        <v>0</v>
      </c>
      <c r="W214" s="23">
        <v>0</v>
      </c>
      <c r="X214" s="23">
        <v>0</v>
      </c>
      <c r="Y214"/>
      <c r="Z214">
        <v>1246259440</v>
      </c>
      <c r="AA214"/>
      <c r="AB214" t="s">
        <v>1199</v>
      </c>
      <c r="AC214">
        <v>102</v>
      </c>
      <c r="AD214">
        <v>4</v>
      </c>
      <c r="AE214" t="s">
        <v>15324</v>
      </c>
      <c r="AF214"/>
      <c r="AG214" s="23"/>
      <c r="AH214" s="265" t="str">
        <f>_xlfn.XLOOKUP(G214,Clientes!I:I,Clientes!F:F)</f>
        <v>GRUPO FERTIPAR FERTILIZANTES MATO GROSSO</v>
      </c>
    </row>
    <row r="215" spans="1:34" x14ac:dyDescent="0.25">
      <c r="A215">
        <v>161</v>
      </c>
      <c r="B215" t="s">
        <v>145</v>
      </c>
      <c r="C215"/>
      <c r="D215" s="23">
        <v>57795</v>
      </c>
      <c r="E215">
        <v>2799</v>
      </c>
      <c r="F215">
        <v>13</v>
      </c>
      <c r="G215">
        <v>7662</v>
      </c>
      <c r="H215" t="s">
        <v>95</v>
      </c>
      <c r="I215" s="23">
        <v>57795</v>
      </c>
      <c r="J215" s="185">
        <v>46087</v>
      </c>
      <c r="K215" s="185">
        <v>46087</v>
      </c>
      <c r="L215" s="185">
        <v>46132</v>
      </c>
      <c r="M215" s="185">
        <v>46132</v>
      </c>
      <c r="N215"/>
      <c r="O215">
        <v>1010100</v>
      </c>
      <c r="P215" t="s">
        <v>29</v>
      </c>
      <c r="Q215">
        <v>200000100</v>
      </c>
      <c r="R215" t="s">
        <v>15322</v>
      </c>
      <c r="S215"/>
      <c r="T215" t="s">
        <v>15323</v>
      </c>
      <c r="U215" t="s">
        <v>6311</v>
      </c>
      <c r="V215" s="23">
        <v>0</v>
      </c>
      <c r="W215" s="23">
        <v>0</v>
      </c>
      <c r="X215" s="23">
        <v>0</v>
      </c>
      <c r="Y215"/>
      <c r="Z215">
        <v>1246266875</v>
      </c>
      <c r="AA215"/>
      <c r="AB215" t="s">
        <v>1186</v>
      </c>
      <c r="AC215">
        <v>102</v>
      </c>
      <c r="AD215">
        <v>4</v>
      </c>
      <c r="AE215" t="s">
        <v>15324</v>
      </c>
      <c r="AF215"/>
      <c r="AG215" s="23"/>
      <c r="AH215" s="265" t="str">
        <f>_xlfn.XLOOKUP(G215,Clientes!I:I,Clientes!F:F)</f>
        <v>BENTONIT UNIAO - CAMPINA GRANDE</v>
      </c>
    </row>
    <row r="216" spans="1:34" x14ac:dyDescent="0.25">
      <c r="A216">
        <v>161</v>
      </c>
      <c r="B216" t="s">
        <v>145</v>
      </c>
      <c r="C216"/>
      <c r="D216" s="23">
        <v>57795</v>
      </c>
      <c r="E216">
        <v>2799</v>
      </c>
      <c r="F216">
        <v>13</v>
      </c>
      <c r="G216">
        <v>7662</v>
      </c>
      <c r="H216" t="s">
        <v>95</v>
      </c>
      <c r="I216" s="23">
        <v>57795</v>
      </c>
      <c r="J216" s="185">
        <v>46087</v>
      </c>
      <c r="K216" s="185">
        <v>46087</v>
      </c>
      <c r="L216" s="185">
        <v>46147</v>
      </c>
      <c r="M216" s="185">
        <v>46147</v>
      </c>
      <c r="N216"/>
      <c r="O216">
        <v>1010100</v>
      </c>
      <c r="P216" t="s">
        <v>29</v>
      </c>
      <c r="Q216">
        <v>200000100</v>
      </c>
      <c r="R216" t="s">
        <v>15322</v>
      </c>
      <c r="S216"/>
      <c r="T216" t="s">
        <v>15323</v>
      </c>
      <c r="U216" t="s">
        <v>6311</v>
      </c>
      <c r="V216" s="23">
        <v>0</v>
      </c>
      <c r="W216" s="23">
        <v>0</v>
      </c>
      <c r="X216" s="23">
        <v>0</v>
      </c>
      <c r="Y216"/>
      <c r="Z216">
        <v>1246266876</v>
      </c>
      <c r="AA216"/>
      <c r="AB216" t="s">
        <v>1186</v>
      </c>
      <c r="AC216">
        <v>102</v>
      </c>
      <c r="AD216">
        <v>4</v>
      </c>
      <c r="AE216" t="s">
        <v>15324</v>
      </c>
      <c r="AF216"/>
      <c r="AG216" s="23"/>
      <c r="AH216" s="265" t="str">
        <f>_xlfn.XLOOKUP(G216,Clientes!I:I,Clientes!F:F)</f>
        <v>BENTONIT UNIAO - CAMPINA GRANDE</v>
      </c>
    </row>
    <row r="217" spans="1:34" x14ac:dyDescent="0.25">
      <c r="A217">
        <v>161</v>
      </c>
      <c r="B217" t="s">
        <v>145</v>
      </c>
      <c r="C217"/>
      <c r="D217" s="23">
        <v>57795</v>
      </c>
      <c r="E217">
        <v>2704</v>
      </c>
      <c r="F217">
        <v>13</v>
      </c>
      <c r="G217">
        <v>7662</v>
      </c>
      <c r="H217" t="s">
        <v>95</v>
      </c>
      <c r="I217" s="23">
        <v>57795</v>
      </c>
      <c r="J217" s="185">
        <v>46049</v>
      </c>
      <c r="K217" s="185">
        <v>46049</v>
      </c>
      <c r="L217" s="185">
        <v>46094</v>
      </c>
      <c r="M217" s="185">
        <v>46094</v>
      </c>
      <c r="N217"/>
      <c r="O217">
        <v>1010100</v>
      </c>
      <c r="P217" t="s">
        <v>29</v>
      </c>
      <c r="Q217">
        <v>200000100</v>
      </c>
      <c r="R217" t="s">
        <v>15322</v>
      </c>
      <c r="S217"/>
      <c r="T217" t="s">
        <v>15323</v>
      </c>
      <c r="U217" t="s">
        <v>6311</v>
      </c>
      <c r="V217" s="23">
        <v>0</v>
      </c>
      <c r="W217" s="23">
        <v>0</v>
      </c>
      <c r="X217" s="23">
        <v>0</v>
      </c>
      <c r="Y217"/>
      <c r="Z217">
        <v>1246261202</v>
      </c>
      <c r="AA217"/>
      <c r="AB217" t="s">
        <v>1186</v>
      </c>
      <c r="AC217">
        <v>102</v>
      </c>
      <c r="AD217">
        <v>4</v>
      </c>
      <c r="AE217" t="s">
        <v>15324</v>
      </c>
      <c r="AF217"/>
      <c r="AG217" s="23"/>
      <c r="AH217" s="265" t="str">
        <f>_xlfn.XLOOKUP(G217,Clientes!I:I,Clientes!F:F)</f>
        <v>BENTONIT UNIAO - CAMPINA GRANDE</v>
      </c>
    </row>
    <row r="218" spans="1:34" x14ac:dyDescent="0.25">
      <c r="A218">
        <v>161</v>
      </c>
      <c r="B218" t="s">
        <v>145</v>
      </c>
      <c r="C218"/>
      <c r="D218" s="23">
        <v>57795</v>
      </c>
      <c r="E218">
        <v>2704</v>
      </c>
      <c r="F218">
        <v>13</v>
      </c>
      <c r="G218">
        <v>7662</v>
      </c>
      <c r="H218" t="s">
        <v>95</v>
      </c>
      <c r="I218" s="23">
        <v>57795</v>
      </c>
      <c r="J218" s="185">
        <v>46049</v>
      </c>
      <c r="K218" s="185">
        <v>46049</v>
      </c>
      <c r="L218" s="185">
        <v>46109</v>
      </c>
      <c r="M218" s="185">
        <v>46111</v>
      </c>
      <c r="N218"/>
      <c r="O218">
        <v>1010100</v>
      </c>
      <c r="P218" t="s">
        <v>29</v>
      </c>
      <c r="Q218">
        <v>200000100</v>
      </c>
      <c r="R218" t="s">
        <v>15322</v>
      </c>
      <c r="S218"/>
      <c r="T218" t="s">
        <v>15323</v>
      </c>
      <c r="U218" t="s">
        <v>6311</v>
      </c>
      <c r="V218" s="23">
        <v>0</v>
      </c>
      <c r="W218" s="23">
        <v>0</v>
      </c>
      <c r="X218" s="23">
        <v>0</v>
      </c>
      <c r="Y218"/>
      <c r="Z218">
        <v>1246261203</v>
      </c>
      <c r="AA218"/>
      <c r="AB218" t="s">
        <v>1186</v>
      </c>
      <c r="AC218">
        <v>102</v>
      </c>
      <c r="AD218">
        <v>4</v>
      </c>
      <c r="AE218" t="s">
        <v>15324</v>
      </c>
      <c r="AF218"/>
      <c r="AG218" s="23"/>
      <c r="AH218" s="265" t="str">
        <f>_xlfn.XLOOKUP(G218,Clientes!I:I,Clientes!F:F)</f>
        <v>BENTONIT UNIAO - CAMPINA GRANDE</v>
      </c>
    </row>
    <row r="219" spans="1:34" x14ac:dyDescent="0.25">
      <c r="A219">
        <v>161</v>
      </c>
      <c r="B219" t="s">
        <v>145</v>
      </c>
      <c r="C219"/>
      <c r="D219" s="23">
        <v>57795</v>
      </c>
      <c r="E219">
        <v>2754</v>
      </c>
      <c r="F219">
        <v>13</v>
      </c>
      <c r="G219">
        <v>7662</v>
      </c>
      <c r="H219" t="s">
        <v>95</v>
      </c>
      <c r="I219" s="23">
        <v>57795</v>
      </c>
      <c r="J219" s="185">
        <v>46073</v>
      </c>
      <c r="K219" s="185">
        <v>46073</v>
      </c>
      <c r="L219" s="185">
        <v>46118</v>
      </c>
      <c r="M219" s="185">
        <v>46118</v>
      </c>
      <c r="N219"/>
      <c r="O219">
        <v>1010100</v>
      </c>
      <c r="P219" t="s">
        <v>29</v>
      </c>
      <c r="Q219">
        <v>200000100</v>
      </c>
      <c r="R219" t="s">
        <v>15322</v>
      </c>
      <c r="S219"/>
      <c r="T219" t="s">
        <v>15323</v>
      </c>
      <c r="U219" t="s">
        <v>6311</v>
      </c>
      <c r="V219" s="23">
        <v>0</v>
      </c>
      <c r="W219" s="23">
        <v>0</v>
      </c>
      <c r="X219" s="23">
        <v>0</v>
      </c>
      <c r="Y219"/>
      <c r="Z219">
        <v>1246264217</v>
      </c>
      <c r="AA219"/>
      <c r="AB219" t="s">
        <v>1186</v>
      </c>
      <c r="AC219">
        <v>102</v>
      </c>
      <c r="AD219">
        <v>4</v>
      </c>
      <c r="AE219" t="s">
        <v>15324</v>
      </c>
      <c r="AF219"/>
      <c r="AG219" s="23"/>
      <c r="AH219" s="265" t="str">
        <f>_xlfn.XLOOKUP(G219,Clientes!I:I,Clientes!F:F)</f>
        <v>BENTONIT UNIAO - CAMPINA GRANDE</v>
      </c>
    </row>
    <row r="220" spans="1:34" x14ac:dyDescent="0.25">
      <c r="A220">
        <v>161</v>
      </c>
      <c r="B220" t="s">
        <v>145</v>
      </c>
      <c r="C220"/>
      <c r="D220" s="23">
        <v>57795</v>
      </c>
      <c r="E220">
        <v>2754</v>
      </c>
      <c r="F220">
        <v>13</v>
      </c>
      <c r="G220">
        <v>7662</v>
      </c>
      <c r="H220" t="s">
        <v>95</v>
      </c>
      <c r="I220" s="23">
        <v>57795</v>
      </c>
      <c r="J220" s="185">
        <v>46073</v>
      </c>
      <c r="K220" s="185">
        <v>46073</v>
      </c>
      <c r="L220" s="185">
        <v>46133</v>
      </c>
      <c r="M220" s="185">
        <v>46134</v>
      </c>
      <c r="N220"/>
      <c r="O220">
        <v>1010100</v>
      </c>
      <c r="P220" t="s">
        <v>29</v>
      </c>
      <c r="Q220">
        <v>200000100</v>
      </c>
      <c r="R220" t="s">
        <v>15322</v>
      </c>
      <c r="S220"/>
      <c r="T220" t="s">
        <v>15323</v>
      </c>
      <c r="U220" t="s">
        <v>6311</v>
      </c>
      <c r="V220" s="23">
        <v>0</v>
      </c>
      <c r="W220" s="23">
        <v>0</v>
      </c>
      <c r="X220" s="23">
        <v>0</v>
      </c>
      <c r="Y220"/>
      <c r="Z220">
        <v>1246264218</v>
      </c>
      <c r="AA220"/>
      <c r="AB220" t="s">
        <v>1186</v>
      </c>
      <c r="AC220">
        <v>102</v>
      </c>
      <c r="AD220">
        <v>4</v>
      </c>
      <c r="AE220" t="s">
        <v>15324</v>
      </c>
      <c r="AF220"/>
      <c r="AG220" s="23"/>
      <c r="AH220" s="265" t="str">
        <f>_xlfn.XLOOKUP(G220,Clientes!I:I,Clientes!F:F)</f>
        <v>BENTONIT UNIAO - CAMPINA GRANDE</v>
      </c>
    </row>
    <row r="221" spans="1:34" x14ac:dyDescent="0.25">
      <c r="A221">
        <v>161</v>
      </c>
      <c r="B221" t="s">
        <v>145</v>
      </c>
      <c r="C221"/>
      <c r="D221" s="23">
        <v>57795</v>
      </c>
      <c r="E221">
        <v>2646</v>
      </c>
      <c r="F221">
        <v>13</v>
      </c>
      <c r="G221">
        <v>7662</v>
      </c>
      <c r="H221" t="s">
        <v>95</v>
      </c>
      <c r="I221" s="23">
        <v>57795</v>
      </c>
      <c r="J221" s="185">
        <v>46030</v>
      </c>
      <c r="K221" s="185">
        <v>46030</v>
      </c>
      <c r="L221" s="185">
        <v>46075</v>
      </c>
      <c r="M221" s="185">
        <v>46076</v>
      </c>
      <c r="N221"/>
      <c r="O221">
        <v>1010100</v>
      </c>
      <c r="P221" t="s">
        <v>29</v>
      </c>
      <c r="Q221">
        <v>200000100</v>
      </c>
      <c r="R221" t="s">
        <v>15322</v>
      </c>
      <c r="S221"/>
      <c r="T221" t="s">
        <v>15323</v>
      </c>
      <c r="U221" t="s">
        <v>6311</v>
      </c>
      <c r="V221" s="23">
        <v>0</v>
      </c>
      <c r="W221" s="23">
        <v>0</v>
      </c>
      <c r="X221" s="23">
        <v>0</v>
      </c>
      <c r="Y221"/>
      <c r="Z221">
        <v>1246258806</v>
      </c>
      <c r="AA221"/>
      <c r="AB221" t="s">
        <v>1186</v>
      </c>
      <c r="AC221">
        <v>102</v>
      </c>
      <c r="AD221">
        <v>4</v>
      </c>
      <c r="AE221" t="s">
        <v>15324</v>
      </c>
      <c r="AF221"/>
      <c r="AG221" s="23"/>
      <c r="AH221" s="265" t="str">
        <f>_xlfn.XLOOKUP(G221,Clientes!I:I,Clientes!F:F)</f>
        <v>BENTONIT UNIAO - CAMPINA GRANDE</v>
      </c>
    </row>
    <row r="222" spans="1:34" x14ac:dyDescent="0.25">
      <c r="A222">
        <v>161</v>
      </c>
      <c r="B222" t="s">
        <v>145</v>
      </c>
      <c r="C222"/>
      <c r="D222" s="23">
        <v>57795</v>
      </c>
      <c r="E222">
        <v>2646</v>
      </c>
      <c r="F222">
        <v>13</v>
      </c>
      <c r="G222">
        <v>7662</v>
      </c>
      <c r="H222" t="s">
        <v>95</v>
      </c>
      <c r="I222" s="23">
        <v>57795</v>
      </c>
      <c r="J222" s="185">
        <v>46030</v>
      </c>
      <c r="K222" s="185">
        <v>46030</v>
      </c>
      <c r="L222" s="185">
        <v>46090</v>
      </c>
      <c r="M222" s="185">
        <v>46090</v>
      </c>
      <c r="N222"/>
      <c r="O222">
        <v>1010100</v>
      </c>
      <c r="P222" t="s">
        <v>29</v>
      </c>
      <c r="Q222">
        <v>200000100</v>
      </c>
      <c r="R222" t="s">
        <v>15322</v>
      </c>
      <c r="S222"/>
      <c r="T222" t="s">
        <v>15323</v>
      </c>
      <c r="U222" t="s">
        <v>6311</v>
      </c>
      <c r="V222" s="23">
        <v>0</v>
      </c>
      <c r="W222" s="23">
        <v>0</v>
      </c>
      <c r="X222" s="23">
        <v>0</v>
      </c>
      <c r="Y222"/>
      <c r="Z222">
        <v>1246258807</v>
      </c>
      <c r="AA222"/>
      <c r="AB222" t="s">
        <v>1186</v>
      </c>
      <c r="AC222">
        <v>102</v>
      </c>
      <c r="AD222">
        <v>4</v>
      </c>
      <c r="AE222" t="s">
        <v>15324</v>
      </c>
      <c r="AF222"/>
      <c r="AG222" s="23"/>
      <c r="AH222" s="265" t="str">
        <f>_xlfn.XLOOKUP(G222,Clientes!I:I,Clientes!F:F)</f>
        <v>BENTONIT UNIAO - CAMPINA GRANDE</v>
      </c>
    </row>
    <row r="223" spans="1:34" x14ac:dyDescent="0.25">
      <c r="A223">
        <v>161</v>
      </c>
      <c r="B223" t="s">
        <v>145</v>
      </c>
      <c r="C223"/>
      <c r="D223" s="23">
        <v>58336.3</v>
      </c>
      <c r="E223">
        <v>10566</v>
      </c>
      <c r="F223">
        <v>11</v>
      </c>
      <c r="G223">
        <v>205</v>
      </c>
      <c r="H223" t="s">
        <v>35</v>
      </c>
      <c r="I223" s="23">
        <v>58336.3</v>
      </c>
      <c r="J223" s="185">
        <v>46045</v>
      </c>
      <c r="K223" s="185">
        <v>46045</v>
      </c>
      <c r="L223" s="185">
        <v>46073</v>
      </c>
      <c r="M223" s="185">
        <v>46073</v>
      </c>
      <c r="N223"/>
      <c r="O223">
        <v>1010100</v>
      </c>
      <c r="P223" t="s">
        <v>29</v>
      </c>
      <c r="Q223">
        <v>200000100</v>
      </c>
      <c r="R223" t="s">
        <v>15322</v>
      </c>
      <c r="S223"/>
      <c r="T223" t="s">
        <v>15323</v>
      </c>
      <c r="U223" t="s">
        <v>4468</v>
      </c>
      <c r="V223" s="23">
        <v>0</v>
      </c>
      <c r="W223" s="23">
        <v>0</v>
      </c>
      <c r="X223" s="23">
        <v>0</v>
      </c>
      <c r="Y223"/>
      <c r="Z223">
        <v>1246260770</v>
      </c>
      <c r="AA223"/>
      <c r="AB223" t="s">
        <v>1199</v>
      </c>
      <c r="AC223">
        <v>102</v>
      </c>
      <c r="AD223">
        <v>4</v>
      </c>
      <c r="AE223" t="s">
        <v>15324</v>
      </c>
      <c r="AF223"/>
      <c r="AG223" s="23"/>
      <c r="AH223" s="265" t="str">
        <f>_xlfn.XLOOKUP(G223,Clientes!I:I,Clientes!F:F)</f>
        <v>GRUPO FERTIPAR FERTILIZANTES MATO GROSSO</v>
      </c>
    </row>
    <row r="224" spans="1:34" x14ac:dyDescent="0.25">
      <c r="A224">
        <v>161</v>
      </c>
      <c r="B224" t="s">
        <v>145</v>
      </c>
      <c r="C224"/>
      <c r="D224" s="23">
        <v>58698.3</v>
      </c>
      <c r="E224">
        <v>10611</v>
      </c>
      <c r="F224">
        <v>11</v>
      </c>
      <c r="G224">
        <v>205</v>
      </c>
      <c r="H224" t="s">
        <v>35</v>
      </c>
      <c r="I224" s="23">
        <v>58698.3</v>
      </c>
      <c r="J224" s="185">
        <v>46052</v>
      </c>
      <c r="K224" s="185">
        <v>46052</v>
      </c>
      <c r="L224" s="185">
        <v>46080</v>
      </c>
      <c r="M224" s="185">
        <v>46080</v>
      </c>
      <c r="N224"/>
      <c r="O224">
        <v>1010100</v>
      </c>
      <c r="P224" t="s">
        <v>29</v>
      </c>
      <c r="Q224">
        <v>200000100</v>
      </c>
      <c r="R224" t="s">
        <v>15322</v>
      </c>
      <c r="S224"/>
      <c r="T224" t="s">
        <v>15323</v>
      </c>
      <c r="U224" t="s">
        <v>5803</v>
      </c>
      <c r="V224" s="23">
        <v>0</v>
      </c>
      <c r="W224" s="23">
        <v>0</v>
      </c>
      <c r="X224" s="23">
        <v>0</v>
      </c>
      <c r="Y224"/>
      <c r="Z224">
        <v>1246261734</v>
      </c>
      <c r="AA224"/>
      <c r="AB224" t="s">
        <v>1199</v>
      </c>
      <c r="AC224">
        <v>102</v>
      </c>
      <c r="AD224">
        <v>4</v>
      </c>
      <c r="AE224" t="s">
        <v>15324</v>
      </c>
      <c r="AF224"/>
      <c r="AG224" s="23"/>
      <c r="AH224" s="265" t="str">
        <f>_xlfn.XLOOKUP(G224,Clientes!I:I,Clientes!F:F)</f>
        <v>GRUPO FERTIPAR FERTILIZANTES MATO GROSSO</v>
      </c>
    </row>
    <row r="225" spans="1:34" x14ac:dyDescent="0.25">
      <c r="A225">
        <v>40</v>
      </c>
      <c r="B225" t="s">
        <v>155</v>
      </c>
      <c r="C225"/>
      <c r="D225" s="23">
        <v>58715.6</v>
      </c>
      <c r="E225">
        <v>2836</v>
      </c>
      <c r="F225">
        <v>13</v>
      </c>
      <c r="G225">
        <v>4222</v>
      </c>
      <c r="H225" t="s">
        <v>756</v>
      </c>
      <c r="I225" s="23">
        <v>58715.6</v>
      </c>
      <c r="J225" s="185">
        <v>46105</v>
      </c>
      <c r="K225" s="185">
        <v>46105</v>
      </c>
      <c r="L225" s="185">
        <v>46122</v>
      </c>
      <c r="M225" s="185">
        <v>46121</v>
      </c>
      <c r="N225"/>
      <c r="O225">
        <v>1010200</v>
      </c>
      <c r="P225" t="s">
        <v>113</v>
      </c>
      <c r="Q225">
        <v>200000100</v>
      </c>
      <c r="R225" t="s">
        <v>15322</v>
      </c>
      <c r="S225"/>
      <c r="T225" t="s">
        <v>15323</v>
      </c>
      <c r="U225" t="s">
        <v>1199</v>
      </c>
      <c r="V225" s="23">
        <v>0</v>
      </c>
      <c r="W225" s="23">
        <v>0</v>
      </c>
      <c r="X225" s="23">
        <v>0</v>
      </c>
      <c r="Y225"/>
      <c r="Z225">
        <v>1246268732</v>
      </c>
      <c r="AA225"/>
      <c r="AB225" t="s">
        <v>1199</v>
      </c>
      <c r="AC225">
        <v>125</v>
      </c>
      <c r="AD225">
        <v>4</v>
      </c>
      <c r="AE225" t="s">
        <v>15324</v>
      </c>
      <c r="AF225" t="s">
        <v>15358</v>
      </c>
      <c r="AG225" s="23">
        <v>11198</v>
      </c>
      <c r="AH225" s="265" t="str">
        <f>_xlfn.XLOOKUP(G225,Clientes!I:I,Clientes!F:F)</f>
        <v>MIP - COLOMBIA</v>
      </c>
    </row>
    <row r="226" spans="1:34" x14ac:dyDescent="0.25">
      <c r="A226">
        <v>161</v>
      </c>
      <c r="B226" t="s">
        <v>145</v>
      </c>
      <c r="C226"/>
      <c r="D226" s="23">
        <v>58917.8</v>
      </c>
      <c r="E226">
        <v>10907</v>
      </c>
      <c r="F226">
        <v>11</v>
      </c>
      <c r="G226">
        <v>1953</v>
      </c>
      <c r="H226" t="s">
        <v>66</v>
      </c>
      <c r="I226" s="23">
        <v>58917.8</v>
      </c>
      <c r="J226" s="185">
        <v>46098</v>
      </c>
      <c r="K226" s="185">
        <v>46098</v>
      </c>
      <c r="L226" s="185">
        <v>46158</v>
      </c>
      <c r="M226" s="185">
        <v>46157</v>
      </c>
      <c r="N226"/>
      <c r="O226">
        <v>1010100</v>
      </c>
      <c r="P226" t="s">
        <v>29</v>
      </c>
      <c r="Q226">
        <v>200000100</v>
      </c>
      <c r="R226" t="s">
        <v>15322</v>
      </c>
      <c r="S226"/>
      <c r="T226" t="s">
        <v>15323</v>
      </c>
      <c r="U226" t="s">
        <v>4502</v>
      </c>
      <c r="V226" s="23">
        <v>0</v>
      </c>
      <c r="W226" s="23">
        <v>0</v>
      </c>
      <c r="X226" s="23">
        <v>0</v>
      </c>
      <c r="Y226"/>
      <c r="Z226">
        <v>1246267986</v>
      </c>
      <c r="AA226"/>
      <c r="AB226" t="s">
        <v>1199</v>
      </c>
      <c r="AC226">
        <v>102</v>
      </c>
      <c r="AD226">
        <v>4</v>
      </c>
      <c r="AE226" t="s">
        <v>15324</v>
      </c>
      <c r="AF226"/>
      <c r="AG226" s="23"/>
      <c r="AH226" s="265" t="str">
        <f>_xlfn.XLOOKUP(G226,Clientes!I:I,Clientes!F:F)</f>
        <v>GRUPO AMAGGI</v>
      </c>
    </row>
    <row r="227" spans="1:34" x14ac:dyDescent="0.25">
      <c r="A227">
        <v>161</v>
      </c>
      <c r="B227" t="s">
        <v>145</v>
      </c>
      <c r="C227"/>
      <c r="D227" s="23">
        <v>58920</v>
      </c>
      <c r="E227">
        <v>2851</v>
      </c>
      <c r="F227">
        <v>13</v>
      </c>
      <c r="G227">
        <v>2975</v>
      </c>
      <c r="H227" t="s">
        <v>420</v>
      </c>
      <c r="I227" s="23">
        <v>58920</v>
      </c>
      <c r="J227" s="185">
        <v>46108</v>
      </c>
      <c r="K227" s="185">
        <v>46108</v>
      </c>
      <c r="L227" s="185">
        <v>46136</v>
      </c>
      <c r="M227" s="185">
        <v>46134</v>
      </c>
      <c r="N227"/>
      <c r="O227">
        <v>1010100</v>
      </c>
      <c r="P227" t="s">
        <v>29</v>
      </c>
      <c r="Q227">
        <v>200000100</v>
      </c>
      <c r="R227" t="s">
        <v>15322</v>
      </c>
      <c r="S227"/>
      <c r="T227" t="s">
        <v>15323</v>
      </c>
      <c r="U227" t="s">
        <v>6311</v>
      </c>
      <c r="V227" s="23">
        <v>0</v>
      </c>
      <c r="W227" s="23">
        <v>0</v>
      </c>
      <c r="X227" s="23">
        <v>0</v>
      </c>
      <c r="Y227"/>
      <c r="Z227">
        <v>1246269447</v>
      </c>
      <c r="AA227"/>
      <c r="AB227" t="s">
        <v>1186</v>
      </c>
      <c r="AC227">
        <v>102</v>
      </c>
      <c r="AD227">
        <v>4</v>
      </c>
      <c r="AE227" t="s">
        <v>15324</v>
      </c>
      <c r="AF227"/>
      <c r="AG227" s="23"/>
      <c r="AH227" s="265" t="str">
        <f>_xlfn.XLOOKUP(G227,Clientes!I:I,Clientes!F:F)</f>
        <v>COONAGRO COOPERATIVA - PARANAGUA</v>
      </c>
    </row>
    <row r="228" spans="1:34" x14ac:dyDescent="0.25">
      <c r="A228">
        <v>161</v>
      </c>
      <c r="B228" t="s">
        <v>145</v>
      </c>
      <c r="C228"/>
      <c r="D228" s="23">
        <v>59850</v>
      </c>
      <c r="E228">
        <v>11500</v>
      </c>
      <c r="F228">
        <v>11</v>
      </c>
      <c r="G228">
        <v>2975</v>
      </c>
      <c r="H228" t="s">
        <v>420</v>
      </c>
      <c r="I228" s="23">
        <v>59850</v>
      </c>
      <c r="J228" s="185">
        <v>46168</v>
      </c>
      <c r="K228" s="185">
        <v>46168</v>
      </c>
      <c r="L228" s="185">
        <v>46196</v>
      </c>
      <c r="M228" s="185">
        <v>46195</v>
      </c>
      <c r="N228"/>
      <c r="O228">
        <v>1010100</v>
      </c>
      <c r="P228" t="s">
        <v>29</v>
      </c>
      <c r="Q228">
        <v>200000100</v>
      </c>
      <c r="R228" t="s">
        <v>15322</v>
      </c>
      <c r="S228"/>
      <c r="T228" t="s">
        <v>15323</v>
      </c>
      <c r="U228" t="s">
        <v>6311</v>
      </c>
      <c r="V228" s="23">
        <v>0</v>
      </c>
      <c r="W228" s="23">
        <v>0</v>
      </c>
      <c r="X228" s="23">
        <v>0</v>
      </c>
      <c r="Y228"/>
      <c r="Z228">
        <v>1246276916</v>
      </c>
      <c r="AA228"/>
      <c r="AB228" t="s">
        <v>1186</v>
      </c>
      <c r="AC228">
        <v>102</v>
      </c>
      <c r="AD228">
        <v>4</v>
      </c>
      <c r="AE228" t="s">
        <v>15324</v>
      </c>
      <c r="AF228"/>
      <c r="AG228" s="23"/>
      <c r="AH228" s="265" t="str">
        <f>_xlfn.XLOOKUP(G228,Clientes!I:I,Clientes!F:F)</f>
        <v>COONAGRO COOPERATIVA - PARANAGUA</v>
      </c>
    </row>
    <row r="229" spans="1:34" x14ac:dyDescent="0.25">
      <c r="A229">
        <v>161</v>
      </c>
      <c r="B229" t="s">
        <v>145</v>
      </c>
      <c r="C229"/>
      <c r="D229" s="23">
        <v>59889.9</v>
      </c>
      <c r="E229">
        <v>11549</v>
      </c>
      <c r="F229">
        <v>11</v>
      </c>
      <c r="G229">
        <v>2975</v>
      </c>
      <c r="H229" t="s">
        <v>420</v>
      </c>
      <c r="I229" s="23">
        <v>59889.9</v>
      </c>
      <c r="J229" s="185">
        <v>46171</v>
      </c>
      <c r="K229" s="185">
        <v>46171</v>
      </c>
      <c r="L229" s="185">
        <v>46199</v>
      </c>
      <c r="M229" s="185">
        <v>46197</v>
      </c>
      <c r="N229"/>
      <c r="O229">
        <v>1010100</v>
      </c>
      <c r="P229" t="s">
        <v>29</v>
      </c>
      <c r="Q229">
        <v>200000100</v>
      </c>
      <c r="R229" t="s">
        <v>15322</v>
      </c>
      <c r="S229"/>
      <c r="T229" t="s">
        <v>15323</v>
      </c>
      <c r="U229" t="s">
        <v>6311</v>
      </c>
      <c r="V229" s="23">
        <v>0</v>
      </c>
      <c r="W229" s="23">
        <v>0</v>
      </c>
      <c r="X229" s="23">
        <v>0</v>
      </c>
      <c r="Y229"/>
      <c r="Z229">
        <v>1246277368</v>
      </c>
      <c r="AA229"/>
      <c r="AB229" t="s">
        <v>1186</v>
      </c>
      <c r="AC229">
        <v>102</v>
      </c>
      <c r="AD229">
        <v>4</v>
      </c>
      <c r="AE229" t="s">
        <v>15324</v>
      </c>
      <c r="AF229"/>
      <c r="AG229" s="23"/>
      <c r="AH229" s="265" t="str">
        <f>_xlfn.XLOOKUP(G229,Clientes!I:I,Clientes!F:F)</f>
        <v>COONAGRO COOPERATIVA - PARANAGUA</v>
      </c>
    </row>
    <row r="230" spans="1:34" x14ac:dyDescent="0.25">
      <c r="A230">
        <v>161</v>
      </c>
      <c r="B230" t="s">
        <v>145</v>
      </c>
      <c r="C230"/>
      <c r="D230" s="23">
        <v>60009.599999999999</v>
      </c>
      <c r="E230">
        <v>11367</v>
      </c>
      <c r="F230">
        <v>11</v>
      </c>
      <c r="G230">
        <v>2975</v>
      </c>
      <c r="H230" t="s">
        <v>420</v>
      </c>
      <c r="I230" s="23">
        <v>60009.599999999999</v>
      </c>
      <c r="J230" s="185">
        <v>46154</v>
      </c>
      <c r="K230" s="185">
        <v>46154</v>
      </c>
      <c r="L230" s="185">
        <v>46182</v>
      </c>
      <c r="M230" s="185">
        <v>46181</v>
      </c>
      <c r="N230"/>
      <c r="O230">
        <v>1010100</v>
      </c>
      <c r="P230" t="s">
        <v>29</v>
      </c>
      <c r="Q230">
        <v>200000100</v>
      </c>
      <c r="R230" t="s">
        <v>15322</v>
      </c>
      <c r="S230"/>
      <c r="T230" t="s">
        <v>15323</v>
      </c>
      <c r="U230" t="s">
        <v>6311</v>
      </c>
      <c r="V230" s="23">
        <v>0</v>
      </c>
      <c r="W230" s="23">
        <v>0</v>
      </c>
      <c r="X230" s="23">
        <v>0</v>
      </c>
      <c r="Y230"/>
      <c r="Z230">
        <v>1246274594</v>
      </c>
      <c r="AA230"/>
      <c r="AB230" t="s">
        <v>1186</v>
      </c>
      <c r="AC230">
        <v>102</v>
      </c>
      <c r="AD230">
        <v>4</v>
      </c>
      <c r="AE230" t="s">
        <v>15324</v>
      </c>
      <c r="AF230"/>
      <c r="AG230" s="23"/>
      <c r="AH230" s="265" t="str">
        <f>_xlfn.XLOOKUP(G230,Clientes!I:I,Clientes!F:F)</f>
        <v>COONAGRO COOPERATIVA - PARANAGUA</v>
      </c>
    </row>
    <row r="231" spans="1:34" x14ac:dyDescent="0.25">
      <c r="A231">
        <v>161</v>
      </c>
      <c r="B231" t="s">
        <v>145</v>
      </c>
      <c r="C231"/>
      <c r="D231" s="23">
        <v>60112.54</v>
      </c>
      <c r="E231">
        <v>11303</v>
      </c>
      <c r="F231">
        <v>11</v>
      </c>
      <c r="G231">
        <v>15906</v>
      </c>
      <c r="H231" t="s">
        <v>752</v>
      </c>
      <c r="I231" s="23">
        <v>60112.54</v>
      </c>
      <c r="J231" s="185">
        <v>46147</v>
      </c>
      <c r="K231" s="185">
        <v>46147</v>
      </c>
      <c r="L231" s="185">
        <v>46237</v>
      </c>
      <c r="M231" s="185"/>
      <c r="N231"/>
      <c r="O231">
        <v>1010100</v>
      </c>
      <c r="P231" t="s">
        <v>29</v>
      </c>
      <c r="Q231">
        <v>200000200</v>
      </c>
      <c r="R231" t="s">
        <v>15377</v>
      </c>
      <c r="S231"/>
      <c r="T231" t="s">
        <v>15323</v>
      </c>
      <c r="U231" t="s">
        <v>6311</v>
      </c>
      <c r="V231" s="23">
        <v>0</v>
      </c>
      <c r="W231" s="23">
        <v>0</v>
      </c>
      <c r="X231" s="23">
        <v>0</v>
      </c>
      <c r="Y231"/>
      <c r="Z231">
        <v>1246273649</v>
      </c>
      <c r="AA231"/>
      <c r="AB231"/>
      <c r="AC231">
        <v>102</v>
      </c>
      <c r="AD231">
        <v>4</v>
      </c>
      <c r="AE231" t="s">
        <v>15324</v>
      </c>
      <c r="AF231"/>
      <c r="AG231" s="23"/>
      <c r="AH231" s="265" t="str">
        <f>_xlfn.XLOOKUP(G231,Clientes!I:I,Clientes!F:F)</f>
        <v>ADUFÉRTIL - CAMPEVO</v>
      </c>
    </row>
    <row r="232" spans="1:34" x14ac:dyDescent="0.25">
      <c r="A232">
        <v>56</v>
      </c>
      <c r="B232" t="s">
        <v>146</v>
      </c>
      <c r="C232"/>
      <c r="D232" s="23">
        <v>60450</v>
      </c>
      <c r="E232">
        <v>11365</v>
      </c>
      <c r="F232">
        <v>11</v>
      </c>
      <c r="G232">
        <v>1936</v>
      </c>
      <c r="H232" t="s">
        <v>64</v>
      </c>
      <c r="I232" s="23">
        <v>60450</v>
      </c>
      <c r="J232" s="185">
        <v>46154</v>
      </c>
      <c r="K232" s="185">
        <v>46154</v>
      </c>
      <c r="L232" s="185">
        <v>46182</v>
      </c>
      <c r="M232" s="185">
        <v>46182</v>
      </c>
      <c r="N232"/>
      <c r="O232">
        <v>1010100</v>
      </c>
      <c r="P232" t="s">
        <v>29</v>
      </c>
      <c r="Q232">
        <v>200000100</v>
      </c>
      <c r="R232" t="s">
        <v>15322</v>
      </c>
      <c r="S232"/>
      <c r="T232" t="s">
        <v>15323</v>
      </c>
      <c r="U232" t="s">
        <v>2246</v>
      </c>
      <c r="V232" s="23">
        <v>0</v>
      </c>
      <c r="W232" s="23">
        <v>0</v>
      </c>
      <c r="X232" s="23">
        <v>0</v>
      </c>
      <c r="Y232"/>
      <c r="Z232">
        <v>1246274592</v>
      </c>
      <c r="AA232"/>
      <c r="AB232" t="s">
        <v>1199</v>
      </c>
      <c r="AC232">
        <v>102</v>
      </c>
      <c r="AD232">
        <v>4</v>
      </c>
      <c r="AE232" t="s">
        <v>15324</v>
      </c>
      <c r="AF232"/>
      <c r="AG232" s="23"/>
      <c r="AH232" s="265" t="str">
        <f>_xlfn.XLOOKUP(G232,Clientes!I:I,Clientes!F:F)</f>
        <v>GRUPO AGRO INDUSTRIAL SAO LUIZ LTDA</v>
      </c>
    </row>
    <row r="233" spans="1:34" x14ac:dyDescent="0.25">
      <c r="A233">
        <v>56</v>
      </c>
      <c r="B233" t="s">
        <v>146</v>
      </c>
      <c r="C233"/>
      <c r="D233" s="23">
        <v>60691.8</v>
      </c>
      <c r="E233">
        <v>11502</v>
      </c>
      <c r="F233">
        <v>11</v>
      </c>
      <c r="G233">
        <v>1936</v>
      </c>
      <c r="H233" t="s">
        <v>64</v>
      </c>
      <c r="I233" s="23">
        <v>60691.8</v>
      </c>
      <c r="J233" s="185">
        <v>46168</v>
      </c>
      <c r="K233" s="185">
        <v>46168</v>
      </c>
      <c r="L233" s="185">
        <v>46196</v>
      </c>
      <c r="M233" s="185">
        <v>46196</v>
      </c>
      <c r="N233"/>
      <c r="O233">
        <v>1010100</v>
      </c>
      <c r="P233" t="s">
        <v>29</v>
      </c>
      <c r="Q233">
        <v>200000100</v>
      </c>
      <c r="R233" t="s">
        <v>15322</v>
      </c>
      <c r="S233"/>
      <c r="T233" t="s">
        <v>15323</v>
      </c>
      <c r="U233" t="s">
        <v>5803</v>
      </c>
      <c r="V233" s="23">
        <v>0</v>
      </c>
      <c r="W233" s="23">
        <v>0</v>
      </c>
      <c r="X233" s="23">
        <v>0</v>
      </c>
      <c r="Y233"/>
      <c r="Z233">
        <v>1246276921</v>
      </c>
      <c r="AA233"/>
      <c r="AB233" t="s">
        <v>1199</v>
      </c>
      <c r="AC233">
        <v>102</v>
      </c>
      <c r="AD233">
        <v>4</v>
      </c>
      <c r="AE233" t="s">
        <v>15324</v>
      </c>
      <c r="AF233"/>
      <c r="AG233" s="23"/>
      <c r="AH233" s="265" t="str">
        <f>_xlfn.XLOOKUP(G233,Clientes!I:I,Clientes!F:F)</f>
        <v>GRUPO AGRO INDUSTRIAL SAO LUIZ LTDA</v>
      </c>
    </row>
    <row r="234" spans="1:34" x14ac:dyDescent="0.25">
      <c r="A234">
        <v>161</v>
      </c>
      <c r="B234" t="s">
        <v>145</v>
      </c>
      <c r="C234"/>
      <c r="D234" s="23">
        <v>60929</v>
      </c>
      <c r="E234">
        <v>10504</v>
      </c>
      <c r="F234">
        <v>11</v>
      </c>
      <c r="G234">
        <v>31</v>
      </c>
      <c r="H234" t="s">
        <v>261</v>
      </c>
      <c r="I234" s="23">
        <v>60929</v>
      </c>
      <c r="J234" s="185">
        <v>46038</v>
      </c>
      <c r="K234" s="185">
        <v>46038</v>
      </c>
      <c r="L234" s="185">
        <v>46066</v>
      </c>
      <c r="M234" s="185">
        <v>46066</v>
      </c>
      <c r="N234"/>
      <c r="O234">
        <v>1010100</v>
      </c>
      <c r="P234" t="s">
        <v>29</v>
      </c>
      <c r="Q234">
        <v>200000100</v>
      </c>
      <c r="R234" t="s">
        <v>15322</v>
      </c>
      <c r="S234"/>
      <c r="T234" t="s">
        <v>15323</v>
      </c>
      <c r="U234" t="s">
        <v>6311</v>
      </c>
      <c r="V234" s="23">
        <v>0</v>
      </c>
      <c r="W234" s="23">
        <v>0</v>
      </c>
      <c r="X234" s="23">
        <v>0</v>
      </c>
      <c r="Y234"/>
      <c r="Z234">
        <v>1246259735</v>
      </c>
      <c r="AA234"/>
      <c r="AB234" t="s">
        <v>1186</v>
      </c>
      <c r="AC234">
        <v>102</v>
      </c>
      <c r="AD234">
        <v>4</v>
      </c>
      <c r="AE234" t="s">
        <v>15324</v>
      </c>
      <c r="AF234"/>
      <c r="AG234" s="23"/>
      <c r="AH234" s="265" t="str">
        <f>_xlfn.XLOOKUP(G234,Clientes!I:I,Clientes!F:F)</f>
        <v>SUL GOIANA - GOIATUBA</v>
      </c>
    </row>
    <row r="235" spans="1:34" x14ac:dyDescent="0.25">
      <c r="A235">
        <v>56</v>
      </c>
      <c r="B235" t="s">
        <v>146</v>
      </c>
      <c r="C235"/>
      <c r="D235" s="23">
        <v>61000</v>
      </c>
      <c r="E235">
        <v>11618</v>
      </c>
      <c r="F235">
        <v>11</v>
      </c>
      <c r="G235">
        <v>7302</v>
      </c>
      <c r="H235" t="s">
        <v>93</v>
      </c>
      <c r="I235" s="23">
        <v>61000</v>
      </c>
      <c r="J235" s="185">
        <v>46178</v>
      </c>
      <c r="K235" s="185">
        <v>46178</v>
      </c>
      <c r="L235" s="185">
        <v>46268</v>
      </c>
      <c r="M235" s="185"/>
      <c r="N235"/>
      <c r="O235">
        <v>1010100</v>
      </c>
      <c r="P235" t="s">
        <v>29</v>
      </c>
      <c r="Q235">
        <v>200000100</v>
      </c>
      <c r="R235" t="s">
        <v>15322</v>
      </c>
      <c r="S235"/>
      <c r="T235" t="s">
        <v>15323</v>
      </c>
      <c r="U235" t="s">
        <v>1216</v>
      </c>
      <c r="V235" s="23">
        <v>0</v>
      </c>
      <c r="W235" s="23">
        <v>0</v>
      </c>
      <c r="X235" s="23">
        <v>0</v>
      </c>
      <c r="Y235"/>
      <c r="Z235">
        <v>1246278404</v>
      </c>
      <c r="AA235"/>
      <c r="AB235"/>
      <c r="AC235">
        <v>102</v>
      </c>
      <c r="AD235">
        <v>4</v>
      </c>
      <c r="AE235" t="s">
        <v>15324</v>
      </c>
      <c r="AF235"/>
      <c r="AG235" s="23"/>
      <c r="AH235" s="265" t="str">
        <f>_xlfn.XLOOKUP(G235,Clientes!I:I,Clientes!F:F)</f>
        <v>GRUPO MOSAIC FERTILIZANTES DO BRASIL</v>
      </c>
    </row>
    <row r="236" spans="1:34" x14ac:dyDescent="0.25">
      <c r="A236">
        <v>161</v>
      </c>
      <c r="B236" t="s">
        <v>145</v>
      </c>
      <c r="C236"/>
      <c r="D236" s="23">
        <v>61000</v>
      </c>
      <c r="E236">
        <v>11570</v>
      </c>
      <c r="F236">
        <v>11</v>
      </c>
      <c r="G236">
        <v>7302</v>
      </c>
      <c r="H236" t="s">
        <v>93</v>
      </c>
      <c r="I236" s="23">
        <v>61000</v>
      </c>
      <c r="J236" s="185">
        <v>46174</v>
      </c>
      <c r="K236" s="185">
        <v>46174</v>
      </c>
      <c r="L236" s="185">
        <v>46264</v>
      </c>
      <c r="M236" s="185"/>
      <c r="N236"/>
      <c r="O236">
        <v>1010100</v>
      </c>
      <c r="P236" t="s">
        <v>29</v>
      </c>
      <c r="Q236">
        <v>200000100</v>
      </c>
      <c r="R236" t="s">
        <v>15322</v>
      </c>
      <c r="S236"/>
      <c r="T236" t="s">
        <v>15323</v>
      </c>
      <c r="U236" t="s">
        <v>4468</v>
      </c>
      <c r="V236" s="23">
        <v>0</v>
      </c>
      <c r="W236" s="23">
        <v>0</v>
      </c>
      <c r="X236" s="23">
        <v>0</v>
      </c>
      <c r="Y236"/>
      <c r="Z236">
        <v>1246277590</v>
      </c>
      <c r="AA236"/>
      <c r="AB236"/>
      <c r="AC236">
        <v>102</v>
      </c>
      <c r="AD236">
        <v>4</v>
      </c>
      <c r="AE236" t="s">
        <v>15324</v>
      </c>
      <c r="AF236"/>
      <c r="AG236" s="23"/>
      <c r="AH236" s="265" t="str">
        <f>_xlfn.XLOOKUP(G236,Clientes!I:I,Clientes!F:F)</f>
        <v>GRUPO MOSAIC FERTILIZANTES DO BRASIL</v>
      </c>
    </row>
    <row r="237" spans="1:34" x14ac:dyDescent="0.25">
      <c r="A237">
        <v>161</v>
      </c>
      <c r="B237" t="s">
        <v>145</v>
      </c>
      <c r="C237"/>
      <c r="D237" s="23">
        <v>61000</v>
      </c>
      <c r="E237">
        <v>11704</v>
      </c>
      <c r="F237">
        <v>11</v>
      </c>
      <c r="G237">
        <v>7302</v>
      </c>
      <c r="H237" t="s">
        <v>93</v>
      </c>
      <c r="I237" s="23">
        <v>61000</v>
      </c>
      <c r="J237" s="185">
        <v>46185</v>
      </c>
      <c r="K237" s="185">
        <v>46185</v>
      </c>
      <c r="L237" s="185">
        <v>46275</v>
      </c>
      <c r="M237" s="185"/>
      <c r="N237"/>
      <c r="O237">
        <v>1010100</v>
      </c>
      <c r="P237" t="s">
        <v>29</v>
      </c>
      <c r="Q237">
        <v>200000100</v>
      </c>
      <c r="R237" t="s">
        <v>15322</v>
      </c>
      <c r="S237"/>
      <c r="T237" t="s">
        <v>15323</v>
      </c>
      <c r="U237" t="s">
        <v>4502</v>
      </c>
      <c r="V237" s="23">
        <v>0</v>
      </c>
      <c r="W237" s="23">
        <v>0</v>
      </c>
      <c r="X237" s="23">
        <v>0</v>
      </c>
      <c r="Y237"/>
      <c r="Z237">
        <v>1246279400</v>
      </c>
      <c r="AA237"/>
      <c r="AB237"/>
      <c r="AC237">
        <v>102</v>
      </c>
      <c r="AD237">
        <v>4</v>
      </c>
      <c r="AE237" t="s">
        <v>15324</v>
      </c>
      <c r="AF237"/>
      <c r="AG237" s="23"/>
      <c r="AH237" s="265" t="str">
        <f>_xlfn.XLOOKUP(G237,Clientes!I:I,Clientes!F:F)</f>
        <v>GRUPO MOSAIC FERTILIZANTES DO BRASIL</v>
      </c>
    </row>
    <row r="238" spans="1:34" x14ac:dyDescent="0.25">
      <c r="A238">
        <v>161</v>
      </c>
      <c r="B238" t="s">
        <v>145</v>
      </c>
      <c r="C238"/>
      <c r="D238" s="23">
        <v>61407.199999999997</v>
      </c>
      <c r="E238">
        <v>11180</v>
      </c>
      <c r="F238">
        <v>11</v>
      </c>
      <c r="G238">
        <v>13018</v>
      </c>
      <c r="H238" t="s">
        <v>15614</v>
      </c>
      <c r="I238" s="23">
        <v>61407.199999999997</v>
      </c>
      <c r="J238" s="185">
        <v>46132</v>
      </c>
      <c r="K238" s="185">
        <v>46132</v>
      </c>
      <c r="L238" s="185">
        <v>46220</v>
      </c>
      <c r="M238" s="185">
        <v>46197</v>
      </c>
      <c r="N238"/>
      <c r="O238">
        <v>1010100</v>
      </c>
      <c r="P238" t="s">
        <v>29</v>
      </c>
      <c r="Q238">
        <v>200000100</v>
      </c>
      <c r="R238" t="s">
        <v>15322</v>
      </c>
      <c r="S238"/>
      <c r="T238" t="s">
        <v>15323</v>
      </c>
      <c r="U238" t="s">
        <v>1199</v>
      </c>
      <c r="V238" s="23">
        <v>0</v>
      </c>
      <c r="W238" s="23">
        <v>0</v>
      </c>
      <c r="X238" s="23">
        <v>0</v>
      </c>
      <c r="Y238"/>
      <c r="Z238">
        <v>1246271899</v>
      </c>
      <c r="AA238"/>
      <c r="AB238" t="s">
        <v>1199</v>
      </c>
      <c r="AC238">
        <v>102</v>
      </c>
      <c r="AD238">
        <v>4</v>
      </c>
      <c r="AE238" t="s">
        <v>15324</v>
      </c>
      <c r="AF238"/>
      <c r="AG238" s="23"/>
      <c r="AH238" s="265" t="str">
        <f>_xlfn.XLOOKUP(G238,Clientes!I:I,Clientes!F:F)</f>
        <v>ULTRAFERTIL</v>
      </c>
    </row>
    <row r="239" spans="1:34" x14ac:dyDescent="0.25">
      <c r="A239">
        <v>161</v>
      </c>
      <c r="B239" t="s">
        <v>145</v>
      </c>
      <c r="C239"/>
      <c r="D239" s="23">
        <v>61554.5</v>
      </c>
      <c r="E239">
        <v>10577</v>
      </c>
      <c r="F239">
        <v>11</v>
      </c>
      <c r="G239">
        <v>2975</v>
      </c>
      <c r="H239" t="s">
        <v>420</v>
      </c>
      <c r="I239" s="23">
        <v>61554.5</v>
      </c>
      <c r="J239" s="185">
        <v>46048</v>
      </c>
      <c r="K239" s="185">
        <v>46048</v>
      </c>
      <c r="L239" s="185">
        <v>46076</v>
      </c>
      <c r="M239" s="185">
        <v>46076</v>
      </c>
      <c r="N239"/>
      <c r="O239">
        <v>1010100</v>
      </c>
      <c r="P239" t="s">
        <v>29</v>
      </c>
      <c r="Q239">
        <v>200000100</v>
      </c>
      <c r="R239" t="s">
        <v>15322</v>
      </c>
      <c r="S239"/>
      <c r="T239" t="s">
        <v>15323</v>
      </c>
      <c r="U239" t="s">
        <v>6311</v>
      </c>
      <c r="V239" s="23">
        <v>0</v>
      </c>
      <c r="W239" s="23">
        <v>0</v>
      </c>
      <c r="X239" s="23">
        <v>0</v>
      </c>
      <c r="Y239"/>
      <c r="Z239">
        <v>1246261049</v>
      </c>
      <c r="AA239"/>
      <c r="AB239" t="s">
        <v>1186</v>
      </c>
      <c r="AC239">
        <v>102</v>
      </c>
      <c r="AD239">
        <v>4</v>
      </c>
      <c r="AE239" t="s">
        <v>15324</v>
      </c>
      <c r="AF239"/>
      <c r="AG239" s="23"/>
      <c r="AH239" s="265" t="str">
        <f>_xlfn.XLOOKUP(G239,Clientes!I:I,Clientes!F:F)</f>
        <v>COONAGRO COOPERATIVA - PARANAGUA</v>
      </c>
    </row>
    <row r="240" spans="1:34" x14ac:dyDescent="0.25">
      <c r="A240">
        <v>161</v>
      </c>
      <c r="B240" t="s">
        <v>145</v>
      </c>
      <c r="C240"/>
      <c r="D240" s="23">
        <v>61840.800000000003</v>
      </c>
      <c r="E240">
        <v>11611</v>
      </c>
      <c r="F240">
        <v>11</v>
      </c>
      <c r="G240">
        <v>2975</v>
      </c>
      <c r="H240" t="s">
        <v>420</v>
      </c>
      <c r="I240" s="23">
        <v>61840.800000000003</v>
      </c>
      <c r="J240" s="185">
        <v>46178</v>
      </c>
      <c r="K240" s="185">
        <v>46178</v>
      </c>
      <c r="L240" s="185">
        <v>46206</v>
      </c>
      <c r="M240" s="185"/>
      <c r="N240"/>
      <c r="O240">
        <v>1010100</v>
      </c>
      <c r="P240" t="s">
        <v>29</v>
      </c>
      <c r="Q240">
        <v>200000100</v>
      </c>
      <c r="R240" t="s">
        <v>15322</v>
      </c>
      <c r="S240"/>
      <c r="T240" t="s">
        <v>15323</v>
      </c>
      <c r="U240" t="s">
        <v>6311</v>
      </c>
      <c r="V240" s="23">
        <v>0</v>
      </c>
      <c r="W240" s="23">
        <v>0</v>
      </c>
      <c r="X240" s="23">
        <v>0</v>
      </c>
      <c r="Y240"/>
      <c r="Z240">
        <v>1246278376</v>
      </c>
      <c r="AA240"/>
      <c r="AB240"/>
      <c r="AC240">
        <v>102</v>
      </c>
      <c r="AD240">
        <v>4</v>
      </c>
      <c r="AE240" t="s">
        <v>15324</v>
      </c>
      <c r="AF240"/>
      <c r="AG240" s="23"/>
      <c r="AH240" s="265" t="str">
        <f>_xlfn.XLOOKUP(G240,Clientes!I:I,Clientes!F:F)</f>
        <v>COONAGRO COOPERATIVA - PARANAGUA</v>
      </c>
    </row>
    <row r="241" spans="1:34" x14ac:dyDescent="0.25">
      <c r="A241">
        <v>161</v>
      </c>
      <c r="B241" t="s">
        <v>145</v>
      </c>
      <c r="C241"/>
      <c r="D241" s="23">
        <v>62037</v>
      </c>
      <c r="E241">
        <v>11761</v>
      </c>
      <c r="F241">
        <v>11</v>
      </c>
      <c r="G241">
        <v>7302</v>
      </c>
      <c r="H241" t="s">
        <v>93</v>
      </c>
      <c r="I241" s="23">
        <v>62037</v>
      </c>
      <c r="J241" s="185">
        <v>46192</v>
      </c>
      <c r="K241" s="185">
        <v>46192</v>
      </c>
      <c r="L241" s="185">
        <v>46282</v>
      </c>
      <c r="M241" s="185"/>
      <c r="N241"/>
      <c r="O241">
        <v>1010100</v>
      </c>
      <c r="P241" t="s">
        <v>29</v>
      </c>
      <c r="Q241">
        <v>200000100</v>
      </c>
      <c r="R241" t="s">
        <v>15322</v>
      </c>
      <c r="S241"/>
      <c r="T241" t="s">
        <v>15323</v>
      </c>
      <c r="U241" t="s">
        <v>1216</v>
      </c>
      <c r="V241" s="23">
        <v>0</v>
      </c>
      <c r="W241" s="23">
        <v>0</v>
      </c>
      <c r="X241" s="23">
        <v>0</v>
      </c>
      <c r="Y241"/>
      <c r="Z241">
        <v>1246280248</v>
      </c>
      <c r="AA241"/>
      <c r="AB241"/>
      <c r="AC241">
        <v>102</v>
      </c>
      <c r="AD241">
        <v>4</v>
      </c>
      <c r="AE241" t="s">
        <v>15324</v>
      </c>
      <c r="AF241"/>
      <c r="AG241" s="23"/>
      <c r="AH241" s="265" t="str">
        <f>_xlfn.XLOOKUP(G241,Clientes!I:I,Clientes!F:F)</f>
        <v>GRUPO MOSAIC FERTILIZANTES DO BRASIL</v>
      </c>
    </row>
    <row r="242" spans="1:34" x14ac:dyDescent="0.25">
      <c r="A242">
        <v>161</v>
      </c>
      <c r="B242" t="s">
        <v>145</v>
      </c>
      <c r="C242"/>
      <c r="D242" s="23">
        <v>62045.3</v>
      </c>
      <c r="E242">
        <v>10763</v>
      </c>
      <c r="F242">
        <v>11</v>
      </c>
      <c r="G242">
        <v>2975</v>
      </c>
      <c r="H242" t="s">
        <v>420</v>
      </c>
      <c r="I242" s="23">
        <v>62045.3</v>
      </c>
      <c r="J242" s="185">
        <v>46078</v>
      </c>
      <c r="K242" s="185">
        <v>46078</v>
      </c>
      <c r="L242" s="185">
        <v>46106</v>
      </c>
      <c r="M242" s="185">
        <v>46106</v>
      </c>
      <c r="N242"/>
      <c r="O242">
        <v>1010100</v>
      </c>
      <c r="P242" t="s">
        <v>29</v>
      </c>
      <c r="Q242">
        <v>200000100</v>
      </c>
      <c r="R242" t="s">
        <v>15322</v>
      </c>
      <c r="S242"/>
      <c r="T242" t="s">
        <v>15323</v>
      </c>
      <c r="U242" t="s">
        <v>6311</v>
      </c>
      <c r="V242" s="23">
        <v>0</v>
      </c>
      <c r="W242" s="23">
        <v>0</v>
      </c>
      <c r="X242" s="23">
        <v>0</v>
      </c>
      <c r="Y242"/>
      <c r="Z242">
        <v>1246265079</v>
      </c>
      <c r="AA242"/>
      <c r="AB242" t="s">
        <v>1186</v>
      </c>
      <c r="AC242">
        <v>102</v>
      </c>
      <c r="AD242">
        <v>4</v>
      </c>
      <c r="AE242" t="s">
        <v>15324</v>
      </c>
      <c r="AF242"/>
      <c r="AG242" s="23"/>
      <c r="AH242" s="265" t="str">
        <f>_xlfn.XLOOKUP(G242,Clientes!I:I,Clientes!F:F)</f>
        <v>COONAGRO COOPERATIVA - PARANAGUA</v>
      </c>
    </row>
    <row r="243" spans="1:34" x14ac:dyDescent="0.25">
      <c r="A243">
        <v>161</v>
      </c>
      <c r="B243" t="s">
        <v>145</v>
      </c>
      <c r="C243"/>
      <c r="D243" s="23">
        <v>62290.7</v>
      </c>
      <c r="E243">
        <v>10638</v>
      </c>
      <c r="F243">
        <v>11</v>
      </c>
      <c r="G243">
        <v>2975</v>
      </c>
      <c r="H243" t="s">
        <v>420</v>
      </c>
      <c r="I243" s="23">
        <v>62290.7</v>
      </c>
      <c r="J243" s="185">
        <v>46056</v>
      </c>
      <c r="K243" s="185">
        <v>46056</v>
      </c>
      <c r="L243" s="185">
        <v>46084</v>
      </c>
      <c r="M243" s="185">
        <v>46083</v>
      </c>
      <c r="N243"/>
      <c r="O243">
        <v>1010100</v>
      </c>
      <c r="P243" t="s">
        <v>29</v>
      </c>
      <c r="Q243">
        <v>200000100</v>
      </c>
      <c r="R243" t="s">
        <v>15322</v>
      </c>
      <c r="S243"/>
      <c r="T243" t="s">
        <v>15323</v>
      </c>
      <c r="U243" t="s">
        <v>6311</v>
      </c>
      <c r="V243" s="23">
        <v>0</v>
      </c>
      <c r="W243" s="23">
        <v>0</v>
      </c>
      <c r="X243" s="23">
        <v>0</v>
      </c>
      <c r="Y243"/>
      <c r="Z243">
        <v>1246262207</v>
      </c>
      <c r="AA243"/>
      <c r="AB243" t="s">
        <v>1199</v>
      </c>
      <c r="AC243">
        <v>102</v>
      </c>
      <c r="AD243">
        <v>4</v>
      </c>
      <c r="AE243" t="s">
        <v>15324</v>
      </c>
      <c r="AF243"/>
      <c r="AG243" s="23"/>
      <c r="AH243" s="265" t="str">
        <f>_xlfn.XLOOKUP(G243,Clientes!I:I,Clientes!F:F)</f>
        <v>COONAGRO COOPERATIVA - PARANAGUA</v>
      </c>
    </row>
    <row r="244" spans="1:34" x14ac:dyDescent="0.25">
      <c r="A244">
        <v>161</v>
      </c>
      <c r="B244" t="s">
        <v>145</v>
      </c>
      <c r="C244"/>
      <c r="D244" s="23">
        <v>62496.02</v>
      </c>
      <c r="E244">
        <v>11304</v>
      </c>
      <c r="F244">
        <v>11</v>
      </c>
      <c r="G244">
        <v>15905</v>
      </c>
      <c r="H244" t="s">
        <v>750</v>
      </c>
      <c r="I244" s="23">
        <v>62496.02</v>
      </c>
      <c r="J244" s="185">
        <v>46147</v>
      </c>
      <c r="K244" s="185">
        <v>46147</v>
      </c>
      <c r="L244" s="185">
        <v>46237</v>
      </c>
      <c r="M244" s="185"/>
      <c r="N244"/>
      <c r="O244">
        <v>1010100</v>
      </c>
      <c r="P244" t="s">
        <v>29</v>
      </c>
      <c r="Q244">
        <v>200000200</v>
      </c>
      <c r="R244" t="s">
        <v>15377</v>
      </c>
      <c r="S244"/>
      <c r="T244" t="s">
        <v>15323</v>
      </c>
      <c r="U244" t="s">
        <v>6311</v>
      </c>
      <c r="V244" s="23">
        <v>0</v>
      </c>
      <c r="W244" s="23">
        <v>0</v>
      </c>
      <c r="X244" s="23">
        <v>0</v>
      </c>
      <c r="Y244"/>
      <c r="Z244">
        <v>1246273651</v>
      </c>
      <c r="AA244"/>
      <c r="AB244"/>
      <c r="AC244">
        <v>102</v>
      </c>
      <c r="AD244">
        <v>4</v>
      </c>
      <c r="AE244" t="s">
        <v>15324</v>
      </c>
      <c r="AF244"/>
      <c r="AG244" s="23"/>
      <c r="AH244" s="265" t="str">
        <f>_xlfn.XLOOKUP(G244,Clientes!I:I,Clientes!F:F)</f>
        <v>ADUFÉRTIL - CAMPEVO</v>
      </c>
    </row>
    <row r="245" spans="1:34" x14ac:dyDescent="0.25">
      <c r="A245">
        <v>161</v>
      </c>
      <c r="B245" t="s">
        <v>145</v>
      </c>
      <c r="C245"/>
      <c r="D245" s="23">
        <v>62553.7</v>
      </c>
      <c r="E245">
        <v>10626</v>
      </c>
      <c r="F245">
        <v>11</v>
      </c>
      <c r="G245">
        <v>7102</v>
      </c>
      <c r="H245" t="s">
        <v>676</v>
      </c>
      <c r="I245" s="23">
        <v>62553.7</v>
      </c>
      <c r="J245" s="185">
        <v>46055</v>
      </c>
      <c r="K245" s="185">
        <v>46055</v>
      </c>
      <c r="L245" s="185">
        <v>46145</v>
      </c>
      <c r="M245" s="185">
        <v>46146</v>
      </c>
      <c r="N245"/>
      <c r="O245">
        <v>1010100</v>
      </c>
      <c r="P245" t="s">
        <v>29</v>
      </c>
      <c r="Q245">
        <v>200000100</v>
      </c>
      <c r="R245" t="s">
        <v>15322</v>
      </c>
      <c r="S245"/>
      <c r="T245" t="s">
        <v>15323</v>
      </c>
      <c r="U245" t="s">
        <v>4468</v>
      </c>
      <c r="V245" s="23">
        <v>0</v>
      </c>
      <c r="W245" s="23">
        <v>0</v>
      </c>
      <c r="X245" s="23">
        <v>0</v>
      </c>
      <c r="Y245"/>
      <c r="Z245">
        <v>1246262017</v>
      </c>
      <c r="AA245"/>
      <c r="AB245" t="s">
        <v>1199</v>
      </c>
      <c r="AC245">
        <v>102</v>
      </c>
      <c r="AD245">
        <v>4</v>
      </c>
      <c r="AE245" t="s">
        <v>15324</v>
      </c>
      <c r="AF245"/>
      <c r="AG245" s="23"/>
      <c r="AH245" s="265" t="str">
        <f>_xlfn.XLOOKUP(G245,Clientes!I:I,Clientes!F:F)</f>
        <v>GRUPO MOSAIC FERTILIZANTES DO BRASIL</v>
      </c>
    </row>
    <row r="246" spans="1:34" x14ac:dyDescent="0.25">
      <c r="A246">
        <v>161</v>
      </c>
      <c r="B246" t="s">
        <v>145</v>
      </c>
      <c r="C246"/>
      <c r="D246" s="23">
        <v>62566.400000000001</v>
      </c>
      <c r="E246">
        <v>11243</v>
      </c>
      <c r="F246">
        <v>11</v>
      </c>
      <c r="G246">
        <v>10473</v>
      </c>
      <c r="H246" t="s">
        <v>768</v>
      </c>
      <c r="I246" s="23">
        <v>62566.400000000001</v>
      </c>
      <c r="J246" s="185">
        <v>46140</v>
      </c>
      <c r="K246" s="185">
        <v>46140</v>
      </c>
      <c r="L246" s="185">
        <v>46175</v>
      </c>
      <c r="M246" s="185">
        <v>46175</v>
      </c>
      <c r="N246"/>
      <c r="O246">
        <v>1010100</v>
      </c>
      <c r="P246" t="s">
        <v>29</v>
      </c>
      <c r="Q246">
        <v>200000100</v>
      </c>
      <c r="R246" t="s">
        <v>15322</v>
      </c>
      <c r="S246"/>
      <c r="T246" t="s">
        <v>15323</v>
      </c>
      <c r="U246" t="s">
        <v>2246</v>
      </c>
      <c r="V246" s="23">
        <v>0</v>
      </c>
      <c r="W246" s="23">
        <v>0</v>
      </c>
      <c r="X246" s="23">
        <v>0</v>
      </c>
      <c r="Y246"/>
      <c r="Z246">
        <v>1246272889</v>
      </c>
      <c r="AA246"/>
      <c r="AB246" t="s">
        <v>1199</v>
      </c>
      <c r="AC246">
        <v>102</v>
      </c>
      <c r="AD246">
        <v>4</v>
      </c>
      <c r="AE246" t="s">
        <v>15324</v>
      </c>
      <c r="AF246"/>
      <c r="AG246" s="23"/>
      <c r="AH246" s="265" t="str">
        <f>_xlfn.XLOOKUP(G246,Clientes!I:I,Clientes!F:F)</f>
        <v>GRUPO LOUIS DREYFUS</v>
      </c>
    </row>
    <row r="247" spans="1:34" x14ac:dyDescent="0.25">
      <c r="A247">
        <v>161</v>
      </c>
      <c r="B247" t="s">
        <v>145</v>
      </c>
      <c r="C247"/>
      <c r="D247" s="23">
        <v>62637.3</v>
      </c>
      <c r="E247">
        <v>10966</v>
      </c>
      <c r="F247">
        <v>11</v>
      </c>
      <c r="G247">
        <v>7102</v>
      </c>
      <c r="H247" t="s">
        <v>676</v>
      </c>
      <c r="I247" s="23">
        <v>62637.3</v>
      </c>
      <c r="J247" s="185">
        <v>46105</v>
      </c>
      <c r="K247" s="185">
        <v>46105</v>
      </c>
      <c r="L247" s="185">
        <v>46195</v>
      </c>
      <c r="M247" s="185">
        <v>46195</v>
      </c>
      <c r="N247"/>
      <c r="O247">
        <v>1010100</v>
      </c>
      <c r="P247" t="s">
        <v>29</v>
      </c>
      <c r="Q247">
        <v>200000100</v>
      </c>
      <c r="R247" t="s">
        <v>15322</v>
      </c>
      <c r="S247"/>
      <c r="T247" t="s">
        <v>15323</v>
      </c>
      <c r="U247" t="s">
        <v>2246</v>
      </c>
      <c r="V247" s="23">
        <v>0</v>
      </c>
      <c r="W247" s="23">
        <v>0</v>
      </c>
      <c r="X247" s="23">
        <v>0</v>
      </c>
      <c r="Y247"/>
      <c r="Z247">
        <v>1246268784</v>
      </c>
      <c r="AA247"/>
      <c r="AB247" t="s">
        <v>1199</v>
      </c>
      <c r="AC247">
        <v>102</v>
      </c>
      <c r="AD247">
        <v>4</v>
      </c>
      <c r="AE247" t="s">
        <v>15324</v>
      </c>
      <c r="AF247"/>
      <c r="AG247" s="23"/>
      <c r="AH247" s="265" t="str">
        <f>_xlfn.XLOOKUP(G247,Clientes!I:I,Clientes!F:F)</f>
        <v>GRUPO MOSAIC FERTILIZANTES DO BRASIL</v>
      </c>
    </row>
    <row r="248" spans="1:34" x14ac:dyDescent="0.25">
      <c r="A248">
        <v>161</v>
      </c>
      <c r="B248" t="s">
        <v>145</v>
      </c>
      <c r="C248"/>
      <c r="D248" s="23">
        <v>62670.400000000001</v>
      </c>
      <c r="E248">
        <v>11594</v>
      </c>
      <c r="F248">
        <v>11</v>
      </c>
      <c r="G248">
        <v>10473</v>
      </c>
      <c r="H248" t="s">
        <v>768</v>
      </c>
      <c r="I248" s="23">
        <v>62670.400000000001</v>
      </c>
      <c r="J248" s="185">
        <v>46176</v>
      </c>
      <c r="K248" s="185">
        <v>46176</v>
      </c>
      <c r="L248" s="185">
        <v>46211</v>
      </c>
      <c r="M248" s="185"/>
      <c r="N248"/>
      <c r="O248">
        <v>1010100</v>
      </c>
      <c r="P248" t="s">
        <v>29</v>
      </c>
      <c r="Q248">
        <v>200000100</v>
      </c>
      <c r="R248" t="s">
        <v>15322</v>
      </c>
      <c r="S248"/>
      <c r="T248" t="s">
        <v>15323</v>
      </c>
      <c r="U248" t="s">
        <v>4502</v>
      </c>
      <c r="V248" s="23">
        <v>0</v>
      </c>
      <c r="W248" s="23">
        <v>0</v>
      </c>
      <c r="X248" s="23">
        <v>0</v>
      </c>
      <c r="Y248"/>
      <c r="Z248">
        <v>1246278206</v>
      </c>
      <c r="AA248"/>
      <c r="AB248"/>
      <c r="AC248">
        <v>102</v>
      </c>
      <c r="AD248">
        <v>4</v>
      </c>
      <c r="AE248" t="s">
        <v>15324</v>
      </c>
      <c r="AF248"/>
      <c r="AG248" s="23"/>
      <c r="AH248" s="265" t="str">
        <f>_xlfn.XLOOKUP(G248,Clientes!I:I,Clientes!F:F)</f>
        <v>GRUPO LOUIS DREYFUS</v>
      </c>
    </row>
    <row r="249" spans="1:34" x14ac:dyDescent="0.25">
      <c r="A249">
        <v>161</v>
      </c>
      <c r="B249" t="s">
        <v>145</v>
      </c>
      <c r="C249"/>
      <c r="D249" s="23">
        <v>62700</v>
      </c>
      <c r="E249">
        <v>10663</v>
      </c>
      <c r="F249">
        <v>11</v>
      </c>
      <c r="G249">
        <v>7102</v>
      </c>
      <c r="H249" t="s">
        <v>676</v>
      </c>
      <c r="I249" s="23">
        <v>62700</v>
      </c>
      <c r="J249" s="185">
        <v>46062</v>
      </c>
      <c r="K249" s="185">
        <v>46062</v>
      </c>
      <c r="L249" s="185">
        <v>46152</v>
      </c>
      <c r="M249" s="185">
        <v>46153</v>
      </c>
      <c r="N249"/>
      <c r="O249">
        <v>1010100</v>
      </c>
      <c r="P249" t="s">
        <v>29</v>
      </c>
      <c r="Q249">
        <v>200000100</v>
      </c>
      <c r="R249" t="s">
        <v>15322</v>
      </c>
      <c r="S249"/>
      <c r="T249" t="s">
        <v>15323</v>
      </c>
      <c r="U249" t="s">
        <v>1530</v>
      </c>
      <c r="V249" s="23">
        <v>0</v>
      </c>
      <c r="W249" s="23">
        <v>0</v>
      </c>
      <c r="X249" s="23">
        <v>0</v>
      </c>
      <c r="Y249"/>
      <c r="Z249">
        <v>1246262728</v>
      </c>
      <c r="AA249"/>
      <c r="AB249" t="s">
        <v>1199</v>
      </c>
      <c r="AC249">
        <v>102</v>
      </c>
      <c r="AD249">
        <v>4</v>
      </c>
      <c r="AE249" t="s">
        <v>15324</v>
      </c>
      <c r="AF249"/>
      <c r="AG249" s="23"/>
      <c r="AH249" s="265" t="str">
        <f>_xlfn.XLOOKUP(G249,Clientes!I:I,Clientes!F:F)</f>
        <v>GRUPO MOSAIC FERTILIZANTES DO BRASIL</v>
      </c>
    </row>
    <row r="250" spans="1:34" x14ac:dyDescent="0.25">
      <c r="A250">
        <v>161</v>
      </c>
      <c r="B250" t="s">
        <v>145</v>
      </c>
      <c r="C250"/>
      <c r="D250" s="23">
        <v>62820</v>
      </c>
      <c r="E250">
        <v>2788</v>
      </c>
      <c r="F250">
        <v>13</v>
      </c>
      <c r="G250">
        <v>11212</v>
      </c>
      <c r="H250" t="s">
        <v>230</v>
      </c>
      <c r="I250" s="23">
        <v>62820</v>
      </c>
      <c r="J250" s="185">
        <v>46080</v>
      </c>
      <c r="K250" s="185">
        <v>46080</v>
      </c>
      <c r="L250" s="185">
        <v>46108</v>
      </c>
      <c r="M250" s="185">
        <v>46108</v>
      </c>
      <c r="N250"/>
      <c r="O250">
        <v>1010100</v>
      </c>
      <c r="P250" t="s">
        <v>29</v>
      </c>
      <c r="Q250">
        <v>200000100</v>
      </c>
      <c r="R250" t="s">
        <v>15322</v>
      </c>
      <c r="S250"/>
      <c r="T250" t="s">
        <v>15323</v>
      </c>
      <c r="U250" t="s">
        <v>1530</v>
      </c>
      <c r="V250" s="23">
        <v>0</v>
      </c>
      <c r="W250" s="23">
        <v>0</v>
      </c>
      <c r="X250" s="23">
        <v>0</v>
      </c>
      <c r="Y250"/>
      <c r="Z250">
        <v>1246265841</v>
      </c>
      <c r="AA250"/>
      <c r="AB250" t="s">
        <v>1186</v>
      </c>
      <c r="AC250">
        <v>102</v>
      </c>
      <c r="AD250">
        <v>4</v>
      </c>
      <c r="AE250" t="s">
        <v>15324</v>
      </c>
      <c r="AF250"/>
      <c r="AG250" s="23"/>
      <c r="AH250" s="265" t="str">
        <f>_xlfn.XLOOKUP(G250,Clientes!I:I,Clientes!F:F)</f>
        <v>INPEK FERTILIZANTES - PARANAGUA</v>
      </c>
    </row>
    <row r="251" spans="1:34" x14ac:dyDescent="0.25">
      <c r="A251">
        <v>161</v>
      </c>
      <c r="B251" t="s">
        <v>145</v>
      </c>
      <c r="C251"/>
      <c r="D251" s="23">
        <v>62888.1</v>
      </c>
      <c r="E251">
        <v>10440</v>
      </c>
      <c r="F251">
        <v>11</v>
      </c>
      <c r="G251">
        <v>7102</v>
      </c>
      <c r="H251" t="s">
        <v>676</v>
      </c>
      <c r="I251" s="23">
        <v>62888.1</v>
      </c>
      <c r="J251" s="185">
        <v>46029</v>
      </c>
      <c r="K251" s="185">
        <v>46029</v>
      </c>
      <c r="L251" s="185">
        <v>46119</v>
      </c>
      <c r="M251" s="185">
        <v>46119</v>
      </c>
      <c r="N251"/>
      <c r="O251">
        <v>1010100</v>
      </c>
      <c r="P251" t="s">
        <v>29</v>
      </c>
      <c r="Q251">
        <v>200000100</v>
      </c>
      <c r="R251" t="s">
        <v>15322</v>
      </c>
      <c r="S251"/>
      <c r="T251" t="s">
        <v>15323</v>
      </c>
      <c r="U251" t="s">
        <v>4502</v>
      </c>
      <c r="V251" s="23">
        <v>0</v>
      </c>
      <c r="W251" s="23">
        <v>0</v>
      </c>
      <c r="X251" s="23">
        <v>0</v>
      </c>
      <c r="Y251"/>
      <c r="Z251">
        <v>1246258714</v>
      </c>
      <c r="AA251"/>
      <c r="AB251" t="s">
        <v>1199</v>
      </c>
      <c r="AC251">
        <v>102</v>
      </c>
      <c r="AD251">
        <v>4</v>
      </c>
      <c r="AE251" t="s">
        <v>15324</v>
      </c>
      <c r="AF251"/>
      <c r="AG251" s="23"/>
      <c r="AH251" s="265" t="str">
        <f>_xlfn.XLOOKUP(G251,Clientes!I:I,Clientes!F:F)</f>
        <v>GRUPO MOSAIC FERTILIZANTES DO BRASIL</v>
      </c>
    </row>
    <row r="252" spans="1:34" x14ac:dyDescent="0.25">
      <c r="A252">
        <v>161</v>
      </c>
      <c r="B252" t="s">
        <v>145</v>
      </c>
      <c r="C252"/>
      <c r="D252" s="23">
        <v>62967</v>
      </c>
      <c r="E252">
        <v>11442</v>
      </c>
      <c r="F252">
        <v>11</v>
      </c>
      <c r="G252">
        <v>2992</v>
      </c>
      <c r="H252" t="s">
        <v>77</v>
      </c>
      <c r="I252" s="23">
        <v>62967</v>
      </c>
      <c r="J252" s="185">
        <v>46161</v>
      </c>
      <c r="K252" s="185">
        <v>46161</v>
      </c>
      <c r="L252" s="185">
        <v>46161</v>
      </c>
      <c r="M252" s="185">
        <v>46161</v>
      </c>
      <c r="N252"/>
      <c r="O252">
        <v>1010100</v>
      </c>
      <c r="P252" t="s">
        <v>29</v>
      </c>
      <c r="Q252">
        <v>200000100</v>
      </c>
      <c r="R252" t="s">
        <v>15322</v>
      </c>
      <c r="S252"/>
      <c r="T252" t="s">
        <v>15323</v>
      </c>
      <c r="U252" t="s">
        <v>2246</v>
      </c>
      <c r="V252" s="23">
        <v>0</v>
      </c>
      <c r="W252" s="23">
        <v>0</v>
      </c>
      <c r="X252" s="23">
        <v>0</v>
      </c>
      <c r="Y252"/>
      <c r="Z252">
        <v>1246275818</v>
      </c>
      <c r="AA252"/>
      <c r="AB252" t="s">
        <v>1199</v>
      </c>
      <c r="AC252">
        <v>18</v>
      </c>
      <c r="AD252">
        <v>4</v>
      </c>
      <c r="AE252" t="s">
        <v>15324</v>
      </c>
      <c r="AF252"/>
      <c r="AG252" s="23"/>
      <c r="AH252" s="265" t="str">
        <f>_xlfn.XLOOKUP(G252,Clientes!I:I,Clientes!F:F)</f>
        <v>GRUPO SUPERBAC</v>
      </c>
    </row>
    <row r="253" spans="1:34" x14ac:dyDescent="0.25">
      <c r="A253">
        <v>161</v>
      </c>
      <c r="B253" t="s">
        <v>145</v>
      </c>
      <c r="C253"/>
      <c r="D253" s="23">
        <v>63055.3</v>
      </c>
      <c r="E253">
        <v>10455</v>
      </c>
      <c r="F253">
        <v>11</v>
      </c>
      <c r="G253">
        <v>7102</v>
      </c>
      <c r="H253" t="s">
        <v>676</v>
      </c>
      <c r="I253" s="23">
        <v>63055.3</v>
      </c>
      <c r="J253" s="185">
        <v>46034</v>
      </c>
      <c r="K253" s="185">
        <v>46034</v>
      </c>
      <c r="L253" s="185">
        <v>46124</v>
      </c>
      <c r="M253" s="185">
        <v>46125</v>
      </c>
      <c r="N253"/>
      <c r="O253">
        <v>1010100</v>
      </c>
      <c r="P253" t="s">
        <v>29</v>
      </c>
      <c r="Q253">
        <v>200000100</v>
      </c>
      <c r="R253" t="s">
        <v>15322</v>
      </c>
      <c r="S253"/>
      <c r="T253" t="s">
        <v>15323</v>
      </c>
      <c r="U253" t="s">
        <v>2246</v>
      </c>
      <c r="V253" s="23">
        <v>0</v>
      </c>
      <c r="W253" s="23">
        <v>0</v>
      </c>
      <c r="X253" s="23">
        <v>0</v>
      </c>
      <c r="Y253"/>
      <c r="Z253">
        <v>1246259121</v>
      </c>
      <c r="AA253"/>
      <c r="AB253" t="s">
        <v>2073</v>
      </c>
      <c r="AC253">
        <v>102</v>
      </c>
      <c r="AD253">
        <v>4</v>
      </c>
      <c r="AE253" t="s">
        <v>15324</v>
      </c>
      <c r="AF253"/>
      <c r="AG253" s="23"/>
      <c r="AH253" s="265" t="str">
        <f>_xlfn.XLOOKUP(G253,Clientes!I:I,Clientes!F:F)</f>
        <v>GRUPO MOSAIC FERTILIZANTES DO BRASIL</v>
      </c>
    </row>
    <row r="254" spans="1:34" x14ac:dyDescent="0.25">
      <c r="A254">
        <v>161</v>
      </c>
      <c r="B254" t="s">
        <v>145</v>
      </c>
      <c r="C254"/>
      <c r="D254" s="23">
        <v>63152.44</v>
      </c>
      <c r="E254">
        <v>11585</v>
      </c>
      <c r="F254">
        <v>11</v>
      </c>
      <c r="G254">
        <v>7102</v>
      </c>
      <c r="H254" t="s">
        <v>676</v>
      </c>
      <c r="I254" s="23">
        <v>63152.44</v>
      </c>
      <c r="J254" s="185">
        <v>46175</v>
      </c>
      <c r="K254" s="185">
        <v>46175</v>
      </c>
      <c r="L254" s="185">
        <v>46265</v>
      </c>
      <c r="M254" s="185"/>
      <c r="N254"/>
      <c r="O254">
        <v>1010100</v>
      </c>
      <c r="P254" t="s">
        <v>29</v>
      </c>
      <c r="Q254">
        <v>200000100</v>
      </c>
      <c r="R254" t="s">
        <v>15322</v>
      </c>
      <c r="S254"/>
      <c r="T254" t="s">
        <v>15323</v>
      </c>
      <c r="U254" t="s">
        <v>5803</v>
      </c>
      <c r="V254" s="23">
        <v>0</v>
      </c>
      <c r="W254" s="23">
        <v>0</v>
      </c>
      <c r="X254" s="23">
        <v>0</v>
      </c>
      <c r="Y254"/>
      <c r="Z254">
        <v>1246277905</v>
      </c>
      <c r="AA254"/>
      <c r="AB254"/>
      <c r="AC254">
        <v>102</v>
      </c>
      <c r="AD254">
        <v>4</v>
      </c>
      <c r="AE254" t="s">
        <v>15324</v>
      </c>
      <c r="AF254"/>
      <c r="AG254" s="23"/>
      <c r="AH254" s="265" t="str">
        <f>_xlfn.XLOOKUP(G254,Clientes!I:I,Clientes!F:F)</f>
        <v>GRUPO MOSAIC FERTILIZANTES DO BRASIL</v>
      </c>
    </row>
    <row r="255" spans="1:34" x14ac:dyDescent="0.25">
      <c r="A255">
        <v>161</v>
      </c>
      <c r="B255" t="s">
        <v>145</v>
      </c>
      <c r="C255"/>
      <c r="D255" s="23">
        <v>63173.54</v>
      </c>
      <c r="E255">
        <v>11726</v>
      </c>
      <c r="F255">
        <v>11</v>
      </c>
      <c r="G255">
        <v>7102</v>
      </c>
      <c r="H255" t="s">
        <v>676</v>
      </c>
      <c r="I255" s="23">
        <v>63173.54</v>
      </c>
      <c r="J255" s="185">
        <v>46189</v>
      </c>
      <c r="K255" s="185">
        <v>46189</v>
      </c>
      <c r="L255" s="185">
        <v>46279</v>
      </c>
      <c r="M255" s="185"/>
      <c r="N255"/>
      <c r="O255">
        <v>1010100</v>
      </c>
      <c r="P255" t="s">
        <v>29</v>
      </c>
      <c r="Q255">
        <v>200000100</v>
      </c>
      <c r="R255" t="s">
        <v>15322</v>
      </c>
      <c r="S255"/>
      <c r="T255" t="s">
        <v>15323</v>
      </c>
      <c r="U255" t="s">
        <v>2246</v>
      </c>
      <c r="V255" s="23">
        <v>0</v>
      </c>
      <c r="W255" s="23">
        <v>0</v>
      </c>
      <c r="X255" s="23">
        <v>0</v>
      </c>
      <c r="Y255"/>
      <c r="Z255">
        <v>1246279684</v>
      </c>
      <c r="AA255"/>
      <c r="AB255"/>
      <c r="AC255">
        <v>102</v>
      </c>
      <c r="AD255">
        <v>4</v>
      </c>
      <c r="AE255" t="s">
        <v>15324</v>
      </c>
      <c r="AF255"/>
      <c r="AG255" s="23"/>
      <c r="AH255" s="265" t="str">
        <f>_xlfn.XLOOKUP(G255,Clientes!I:I,Clientes!F:F)</f>
        <v>GRUPO MOSAIC FERTILIZANTES DO BRASIL</v>
      </c>
    </row>
    <row r="256" spans="1:34" x14ac:dyDescent="0.25">
      <c r="A256">
        <v>161</v>
      </c>
      <c r="B256" t="s">
        <v>145</v>
      </c>
      <c r="C256"/>
      <c r="D256" s="23">
        <v>63257.91</v>
      </c>
      <c r="E256">
        <v>11514</v>
      </c>
      <c r="F256">
        <v>11</v>
      </c>
      <c r="G256">
        <v>7102</v>
      </c>
      <c r="H256" t="s">
        <v>676</v>
      </c>
      <c r="I256" s="23">
        <v>63257.91</v>
      </c>
      <c r="J256" s="185">
        <v>46169</v>
      </c>
      <c r="K256" s="185">
        <v>46169</v>
      </c>
      <c r="L256" s="185">
        <v>46259</v>
      </c>
      <c r="M256" s="185"/>
      <c r="N256"/>
      <c r="O256">
        <v>1010100</v>
      </c>
      <c r="P256" t="s">
        <v>29</v>
      </c>
      <c r="Q256">
        <v>200000100</v>
      </c>
      <c r="R256" t="s">
        <v>15322</v>
      </c>
      <c r="S256"/>
      <c r="T256" t="s">
        <v>15323</v>
      </c>
      <c r="U256" t="s">
        <v>5803</v>
      </c>
      <c r="V256" s="23">
        <v>0</v>
      </c>
      <c r="W256" s="23">
        <v>0</v>
      </c>
      <c r="X256" s="23">
        <v>0</v>
      </c>
      <c r="Y256"/>
      <c r="Z256">
        <v>1246277067</v>
      </c>
      <c r="AA256"/>
      <c r="AB256"/>
      <c r="AC256">
        <v>102</v>
      </c>
      <c r="AD256">
        <v>4</v>
      </c>
      <c r="AE256" t="s">
        <v>15324</v>
      </c>
      <c r="AF256"/>
      <c r="AG256" s="23"/>
      <c r="AH256" s="265" t="str">
        <f>_xlfn.XLOOKUP(G256,Clientes!I:I,Clientes!F:F)</f>
        <v>GRUPO MOSAIC FERTILIZANTES DO BRASIL</v>
      </c>
    </row>
    <row r="257" spans="1:34" x14ac:dyDescent="0.25">
      <c r="A257">
        <v>161</v>
      </c>
      <c r="B257" t="s">
        <v>145</v>
      </c>
      <c r="C257"/>
      <c r="D257" s="23">
        <v>63257.91</v>
      </c>
      <c r="E257">
        <v>11631</v>
      </c>
      <c r="F257">
        <v>11</v>
      </c>
      <c r="G257">
        <v>7102</v>
      </c>
      <c r="H257" t="s">
        <v>676</v>
      </c>
      <c r="I257" s="23">
        <v>63257.91</v>
      </c>
      <c r="J257" s="185">
        <v>46181</v>
      </c>
      <c r="K257" s="185">
        <v>46181</v>
      </c>
      <c r="L257" s="185">
        <v>46271</v>
      </c>
      <c r="M257" s="185"/>
      <c r="N257"/>
      <c r="O257">
        <v>1010100</v>
      </c>
      <c r="P257" t="s">
        <v>29</v>
      </c>
      <c r="Q257">
        <v>200000100</v>
      </c>
      <c r="R257" t="s">
        <v>15322</v>
      </c>
      <c r="S257"/>
      <c r="T257" t="s">
        <v>15323</v>
      </c>
      <c r="U257" t="s">
        <v>4502</v>
      </c>
      <c r="V257" s="23">
        <v>0</v>
      </c>
      <c r="W257" s="23">
        <v>0</v>
      </c>
      <c r="X257" s="23">
        <v>0</v>
      </c>
      <c r="Y257"/>
      <c r="Z257">
        <v>1246278476</v>
      </c>
      <c r="AA257"/>
      <c r="AB257"/>
      <c r="AC257">
        <v>102</v>
      </c>
      <c r="AD257">
        <v>4</v>
      </c>
      <c r="AE257" t="s">
        <v>15324</v>
      </c>
      <c r="AF257"/>
      <c r="AG257" s="23"/>
      <c r="AH257" s="265" t="str">
        <f>_xlfn.XLOOKUP(G257,Clientes!I:I,Clientes!F:F)</f>
        <v>GRUPO MOSAIC FERTILIZANTES DO BRASIL</v>
      </c>
    </row>
    <row r="258" spans="1:34" x14ac:dyDescent="0.25">
      <c r="A258">
        <v>161</v>
      </c>
      <c r="B258" t="s">
        <v>145</v>
      </c>
      <c r="C258"/>
      <c r="D258" s="23">
        <v>63327</v>
      </c>
      <c r="E258">
        <v>11069</v>
      </c>
      <c r="F258">
        <v>11</v>
      </c>
      <c r="G258">
        <v>7102</v>
      </c>
      <c r="H258" t="s">
        <v>676</v>
      </c>
      <c r="I258" s="23">
        <v>63327</v>
      </c>
      <c r="J258" s="185">
        <v>46120</v>
      </c>
      <c r="K258" s="185">
        <v>46120</v>
      </c>
      <c r="L258" s="185">
        <v>46210</v>
      </c>
      <c r="M258" s="185"/>
      <c r="N258"/>
      <c r="O258">
        <v>1010100</v>
      </c>
      <c r="P258" t="s">
        <v>29</v>
      </c>
      <c r="Q258">
        <v>200000100</v>
      </c>
      <c r="R258" t="s">
        <v>15322</v>
      </c>
      <c r="S258"/>
      <c r="T258" t="s">
        <v>15323</v>
      </c>
      <c r="U258" t="s">
        <v>2246</v>
      </c>
      <c r="V258" s="23">
        <v>0</v>
      </c>
      <c r="W258" s="23">
        <v>0</v>
      </c>
      <c r="X258" s="23">
        <v>0</v>
      </c>
      <c r="Y258"/>
      <c r="Z258">
        <v>1246270569</v>
      </c>
      <c r="AA258"/>
      <c r="AB258"/>
      <c r="AC258">
        <v>102</v>
      </c>
      <c r="AD258">
        <v>4</v>
      </c>
      <c r="AE258" t="s">
        <v>15324</v>
      </c>
      <c r="AF258"/>
      <c r="AG258" s="23"/>
      <c r="AH258" s="265" t="str">
        <f>_xlfn.XLOOKUP(G258,Clientes!I:I,Clientes!F:F)</f>
        <v>GRUPO MOSAIC FERTILIZANTES DO BRASIL</v>
      </c>
    </row>
    <row r="259" spans="1:34" x14ac:dyDescent="0.25">
      <c r="A259">
        <v>161</v>
      </c>
      <c r="B259" t="s">
        <v>145</v>
      </c>
      <c r="C259"/>
      <c r="D259" s="23">
        <v>63616.49</v>
      </c>
      <c r="E259">
        <v>11421</v>
      </c>
      <c r="F259">
        <v>11</v>
      </c>
      <c r="G259">
        <v>7102</v>
      </c>
      <c r="H259" t="s">
        <v>676</v>
      </c>
      <c r="I259" s="23">
        <v>63616.49</v>
      </c>
      <c r="J259" s="185">
        <v>46160</v>
      </c>
      <c r="K259" s="185">
        <v>46160</v>
      </c>
      <c r="L259" s="185">
        <v>46250</v>
      </c>
      <c r="M259" s="185"/>
      <c r="N259"/>
      <c r="O259">
        <v>1010100</v>
      </c>
      <c r="P259" t="s">
        <v>29</v>
      </c>
      <c r="Q259">
        <v>200000100</v>
      </c>
      <c r="R259" t="s">
        <v>15322</v>
      </c>
      <c r="S259"/>
      <c r="T259" t="s">
        <v>15323</v>
      </c>
      <c r="U259" t="s">
        <v>5803</v>
      </c>
      <c r="V259" s="23">
        <v>0</v>
      </c>
      <c r="W259" s="23">
        <v>0</v>
      </c>
      <c r="X259" s="23">
        <v>0</v>
      </c>
      <c r="Y259"/>
      <c r="Z259">
        <v>1246275577</v>
      </c>
      <c r="AA259"/>
      <c r="AB259"/>
      <c r="AC259">
        <v>102</v>
      </c>
      <c r="AD259">
        <v>4</v>
      </c>
      <c r="AE259" t="s">
        <v>15324</v>
      </c>
      <c r="AF259"/>
      <c r="AG259" s="23"/>
      <c r="AH259" s="265" t="str">
        <f>_xlfn.XLOOKUP(G259,Clientes!I:I,Clientes!F:F)</f>
        <v>GRUPO MOSAIC FERTILIZANTES DO BRASIL</v>
      </c>
    </row>
    <row r="260" spans="1:34" x14ac:dyDescent="0.25">
      <c r="A260">
        <v>161</v>
      </c>
      <c r="B260" t="s">
        <v>145</v>
      </c>
      <c r="C260"/>
      <c r="D260" s="23">
        <v>63619.6</v>
      </c>
      <c r="E260">
        <v>10543</v>
      </c>
      <c r="F260">
        <v>11</v>
      </c>
      <c r="G260">
        <v>7102</v>
      </c>
      <c r="H260" t="s">
        <v>676</v>
      </c>
      <c r="I260" s="23">
        <v>63619.6</v>
      </c>
      <c r="J260" s="185">
        <v>46044</v>
      </c>
      <c r="K260" s="185">
        <v>46044</v>
      </c>
      <c r="L260" s="185">
        <v>46134</v>
      </c>
      <c r="M260" s="185">
        <v>46134</v>
      </c>
      <c r="N260"/>
      <c r="O260">
        <v>1010100</v>
      </c>
      <c r="P260" t="s">
        <v>29</v>
      </c>
      <c r="Q260">
        <v>200000100</v>
      </c>
      <c r="R260" t="s">
        <v>15322</v>
      </c>
      <c r="S260"/>
      <c r="T260" t="s">
        <v>15323</v>
      </c>
      <c r="U260" t="s">
        <v>2246</v>
      </c>
      <c r="V260" s="23">
        <v>0</v>
      </c>
      <c r="W260" s="23">
        <v>0</v>
      </c>
      <c r="X260" s="23">
        <v>0</v>
      </c>
      <c r="Y260"/>
      <c r="Z260">
        <v>1246260392</v>
      </c>
      <c r="AA260"/>
      <c r="AB260" t="s">
        <v>1199</v>
      </c>
      <c r="AC260">
        <v>102</v>
      </c>
      <c r="AD260">
        <v>4</v>
      </c>
      <c r="AE260" t="s">
        <v>15324</v>
      </c>
      <c r="AF260"/>
      <c r="AG260" s="23"/>
      <c r="AH260" s="265" t="str">
        <f>_xlfn.XLOOKUP(G260,Clientes!I:I,Clientes!F:F)</f>
        <v>GRUPO MOSAIC FERTILIZANTES DO BRASIL</v>
      </c>
    </row>
    <row r="261" spans="1:34" x14ac:dyDescent="0.25">
      <c r="A261">
        <v>161</v>
      </c>
      <c r="B261" t="s">
        <v>145</v>
      </c>
      <c r="C261"/>
      <c r="D261" s="23">
        <v>63625.599999999999</v>
      </c>
      <c r="E261">
        <v>11167</v>
      </c>
      <c r="F261">
        <v>11</v>
      </c>
      <c r="G261">
        <v>13018</v>
      </c>
      <c r="H261" t="s">
        <v>15614</v>
      </c>
      <c r="I261" s="23">
        <v>63625.599999999999</v>
      </c>
      <c r="J261" s="185">
        <v>46129</v>
      </c>
      <c r="K261" s="185">
        <v>46129</v>
      </c>
      <c r="L261" s="185">
        <v>46195</v>
      </c>
      <c r="M261" s="185">
        <v>46195</v>
      </c>
      <c r="N261"/>
      <c r="O261">
        <v>1010100</v>
      </c>
      <c r="P261" t="s">
        <v>29</v>
      </c>
      <c r="Q261">
        <v>200000100</v>
      </c>
      <c r="R261" t="s">
        <v>15322</v>
      </c>
      <c r="S261"/>
      <c r="T261" t="s">
        <v>15323</v>
      </c>
      <c r="U261" t="s">
        <v>1199</v>
      </c>
      <c r="V261" s="23">
        <v>0</v>
      </c>
      <c r="W261" s="23">
        <v>0</v>
      </c>
      <c r="X261" s="23">
        <v>0</v>
      </c>
      <c r="Y261"/>
      <c r="Z261">
        <v>1246271772</v>
      </c>
      <c r="AA261"/>
      <c r="AB261" t="s">
        <v>1199</v>
      </c>
      <c r="AC261">
        <v>102</v>
      </c>
      <c r="AD261">
        <v>4</v>
      </c>
      <c r="AE261" t="s">
        <v>15324</v>
      </c>
      <c r="AF261"/>
      <c r="AG261" s="23"/>
      <c r="AH261" s="265" t="str">
        <f>_xlfn.XLOOKUP(G261,Clientes!I:I,Clientes!F:F)</f>
        <v>ULTRAFERTIL</v>
      </c>
    </row>
    <row r="262" spans="1:34" x14ac:dyDescent="0.25">
      <c r="A262">
        <v>161</v>
      </c>
      <c r="B262" t="s">
        <v>145</v>
      </c>
      <c r="C262"/>
      <c r="D262" s="23">
        <v>63785.23</v>
      </c>
      <c r="E262">
        <v>11696</v>
      </c>
      <c r="F262">
        <v>11</v>
      </c>
      <c r="G262">
        <v>7102</v>
      </c>
      <c r="H262" t="s">
        <v>676</v>
      </c>
      <c r="I262" s="23">
        <v>63785.23</v>
      </c>
      <c r="J262" s="185">
        <v>46185</v>
      </c>
      <c r="K262" s="185">
        <v>46185</v>
      </c>
      <c r="L262" s="185">
        <v>46275</v>
      </c>
      <c r="M262" s="185"/>
      <c r="N262"/>
      <c r="O262">
        <v>1010100</v>
      </c>
      <c r="P262" t="s">
        <v>29</v>
      </c>
      <c r="Q262">
        <v>200000100</v>
      </c>
      <c r="R262" t="s">
        <v>15322</v>
      </c>
      <c r="S262"/>
      <c r="T262" t="s">
        <v>15323</v>
      </c>
      <c r="U262" t="s">
        <v>4502</v>
      </c>
      <c r="V262" s="23">
        <v>0</v>
      </c>
      <c r="W262" s="23">
        <v>0</v>
      </c>
      <c r="X262" s="23">
        <v>0</v>
      </c>
      <c r="Y262"/>
      <c r="Z262">
        <v>1246279378</v>
      </c>
      <c r="AA262"/>
      <c r="AB262"/>
      <c r="AC262">
        <v>102</v>
      </c>
      <c r="AD262">
        <v>4</v>
      </c>
      <c r="AE262" t="s">
        <v>15324</v>
      </c>
      <c r="AF262"/>
      <c r="AG262" s="23"/>
      <c r="AH262" s="265" t="str">
        <f>_xlfn.XLOOKUP(G262,Clientes!I:I,Clientes!F:F)</f>
        <v>GRUPO MOSAIC FERTILIZANTES DO BRASIL</v>
      </c>
    </row>
    <row r="263" spans="1:34" x14ac:dyDescent="0.25">
      <c r="A263">
        <v>161</v>
      </c>
      <c r="B263" t="s">
        <v>145</v>
      </c>
      <c r="C263"/>
      <c r="D263" s="23">
        <v>63838</v>
      </c>
      <c r="E263">
        <v>11134</v>
      </c>
      <c r="F263">
        <v>11</v>
      </c>
      <c r="G263">
        <v>13018</v>
      </c>
      <c r="H263" t="s">
        <v>15614</v>
      </c>
      <c r="I263" s="23">
        <v>63838</v>
      </c>
      <c r="J263" s="185">
        <v>46127</v>
      </c>
      <c r="K263" s="185">
        <v>46127</v>
      </c>
      <c r="L263" s="185">
        <v>46215</v>
      </c>
      <c r="M263" s="185">
        <v>46197</v>
      </c>
      <c r="N263"/>
      <c r="O263">
        <v>1010100</v>
      </c>
      <c r="P263" t="s">
        <v>29</v>
      </c>
      <c r="Q263">
        <v>200000100</v>
      </c>
      <c r="R263" t="s">
        <v>15322</v>
      </c>
      <c r="S263"/>
      <c r="T263" t="s">
        <v>15323</v>
      </c>
      <c r="U263" t="s">
        <v>1199</v>
      </c>
      <c r="V263" s="23">
        <v>0</v>
      </c>
      <c r="W263" s="23">
        <v>0</v>
      </c>
      <c r="X263" s="23">
        <v>0</v>
      </c>
      <c r="Y263"/>
      <c r="Z263">
        <v>1246271508</v>
      </c>
      <c r="AA263"/>
      <c r="AB263" t="s">
        <v>1199</v>
      </c>
      <c r="AC263">
        <v>102</v>
      </c>
      <c r="AD263">
        <v>4</v>
      </c>
      <c r="AE263" t="s">
        <v>15324</v>
      </c>
      <c r="AF263"/>
      <c r="AG263" s="23"/>
      <c r="AH263" s="265" t="str">
        <f>_xlfn.XLOOKUP(G263,Clientes!I:I,Clientes!F:F)</f>
        <v>ULTRAFERTIL</v>
      </c>
    </row>
    <row r="264" spans="1:34" x14ac:dyDescent="0.25">
      <c r="A264">
        <v>56</v>
      </c>
      <c r="B264" t="s">
        <v>146</v>
      </c>
      <c r="C264"/>
      <c r="D264" s="23">
        <v>64104.800000000003</v>
      </c>
      <c r="E264">
        <v>10739</v>
      </c>
      <c r="F264">
        <v>11</v>
      </c>
      <c r="G264">
        <v>7479</v>
      </c>
      <c r="H264" t="s">
        <v>714</v>
      </c>
      <c r="I264" s="23">
        <v>64104.800000000003</v>
      </c>
      <c r="J264" s="185">
        <v>46076</v>
      </c>
      <c r="K264" s="185">
        <v>46076</v>
      </c>
      <c r="L264" s="185">
        <v>46166</v>
      </c>
      <c r="M264" s="185">
        <v>46167</v>
      </c>
      <c r="N264"/>
      <c r="O264">
        <v>1010100</v>
      </c>
      <c r="P264" t="s">
        <v>29</v>
      </c>
      <c r="Q264">
        <v>200000100</v>
      </c>
      <c r="R264" t="s">
        <v>15322</v>
      </c>
      <c r="S264"/>
      <c r="T264" t="s">
        <v>15323</v>
      </c>
      <c r="U264" t="s">
        <v>2246</v>
      </c>
      <c r="V264" s="23">
        <v>0</v>
      </c>
      <c r="W264" s="23">
        <v>0</v>
      </c>
      <c r="X264" s="23">
        <v>0</v>
      </c>
      <c r="Y264"/>
      <c r="Z264">
        <v>1246264518</v>
      </c>
      <c r="AA264"/>
      <c r="AB264" t="s">
        <v>1199</v>
      </c>
      <c r="AC264">
        <v>102</v>
      </c>
      <c r="AD264">
        <v>4</v>
      </c>
      <c r="AE264" t="s">
        <v>15324</v>
      </c>
      <c r="AF264"/>
      <c r="AG264" s="23"/>
      <c r="AH264" s="265" t="str">
        <f>_xlfn.XLOOKUP(G264,Clientes!I:I,Clientes!F:F)</f>
        <v>GRUPO MOSAIC FERTILIZANTES DO BRASIL</v>
      </c>
    </row>
    <row r="265" spans="1:34" x14ac:dyDescent="0.25">
      <c r="A265">
        <v>161</v>
      </c>
      <c r="B265" t="s">
        <v>145</v>
      </c>
      <c r="C265"/>
      <c r="D265" s="23">
        <v>64184.53</v>
      </c>
      <c r="E265">
        <v>11666</v>
      </c>
      <c r="F265">
        <v>11</v>
      </c>
      <c r="G265">
        <v>6477</v>
      </c>
      <c r="H265" t="s">
        <v>87</v>
      </c>
      <c r="I265" s="23">
        <v>64184.53</v>
      </c>
      <c r="J265" s="185">
        <v>46183</v>
      </c>
      <c r="K265" s="185">
        <v>46183</v>
      </c>
      <c r="L265" s="185">
        <v>46273</v>
      </c>
      <c r="M265" s="185"/>
      <c r="N265"/>
      <c r="O265">
        <v>1010100</v>
      </c>
      <c r="P265" t="s">
        <v>29</v>
      </c>
      <c r="Q265">
        <v>200000100</v>
      </c>
      <c r="R265" t="s">
        <v>15322</v>
      </c>
      <c r="S265"/>
      <c r="T265" t="s">
        <v>15323</v>
      </c>
      <c r="U265" t="s">
        <v>5803</v>
      </c>
      <c r="V265" s="23">
        <v>0</v>
      </c>
      <c r="W265" s="23">
        <v>0</v>
      </c>
      <c r="X265" s="23">
        <v>0</v>
      </c>
      <c r="Y265"/>
      <c r="Z265">
        <v>1246278952</v>
      </c>
      <c r="AA265"/>
      <c r="AB265"/>
      <c r="AC265">
        <v>102</v>
      </c>
      <c r="AD265">
        <v>4</v>
      </c>
      <c r="AE265" t="s">
        <v>15324</v>
      </c>
      <c r="AF265"/>
      <c r="AG265" s="23"/>
      <c r="AH265" s="265" t="str">
        <f>_xlfn.XLOOKUP(G265,Clientes!I:I,Clientes!F:F)</f>
        <v>GRUPO MOSAIC FERTILIZANTES DO BRASIL</v>
      </c>
    </row>
    <row r="266" spans="1:34" x14ac:dyDescent="0.25">
      <c r="A266">
        <v>56</v>
      </c>
      <c r="B266" t="s">
        <v>146</v>
      </c>
      <c r="C266"/>
      <c r="D266" s="23">
        <v>64239.64</v>
      </c>
      <c r="E266">
        <v>11401</v>
      </c>
      <c r="F266">
        <v>11</v>
      </c>
      <c r="G266">
        <v>7479</v>
      </c>
      <c r="H266" t="s">
        <v>714</v>
      </c>
      <c r="I266" s="23">
        <v>64239.64</v>
      </c>
      <c r="J266" s="185">
        <v>46157</v>
      </c>
      <c r="K266" s="185">
        <v>46157</v>
      </c>
      <c r="L266" s="185">
        <v>46247</v>
      </c>
      <c r="M266" s="185"/>
      <c r="N266"/>
      <c r="O266">
        <v>1010100</v>
      </c>
      <c r="P266" t="s">
        <v>29</v>
      </c>
      <c r="Q266">
        <v>200000100</v>
      </c>
      <c r="R266" t="s">
        <v>15322</v>
      </c>
      <c r="S266"/>
      <c r="T266" t="s">
        <v>15323</v>
      </c>
      <c r="U266" t="s">
        <v>4468</v>
      </c>
      <c r="V266" s="23">
        <v>0</v>
      </c>
      <c r="W266" s="23">
        <v>0</v>
      </c>
      <c r="X266" s="23">
        <v>0</v>
      </c>
      <c r="Y266"/>
      <c r="Z266">
        <v>1246275302</v>
      </c>
      <c r="AA266"/>
      <c r="AB266"/>
      <c r="AC266">
        <v>102</v>
      </c>
      <c r="AD266">
        <v>4</v>
      </c>
      <c r="AE266" t="s">
        <v>15324</v>
      </c>
      <c r="AF266"/>
      <c r="AG266" s="23"/>
      <c r="AH266" s="265" t="str">
        <f>_xlfn.XLOOKUP(G266,Clientes!I:I,Clientes!F:F)</f>
        <v>GRUPO MOSAIC FERTILIZANTES DO BRASIL</v>
      </c>
    </row>
    <row r="267" spans="1:34" x14ac:dyDescent="0.25">
      <c r="A267">
        <v>161</v>
      </c>
      <c r="B267" t="s">
        <v>145</v>
      </c>
      <c r="C267"/>
      <c r="D267" s="23">
        <v>65758</v>
      </c>
      <c r="E267">
        <v>11579</v>
      </c>
      <c r="F267">
        <v>11</v>
      </c>
      <c r="G267">
        <v>4577</v>
      </c>
      <c r="H267" t="s">
        <v>224</v>
      </c>
      <c r="I267" s="23">
        <v>65758</v>
      </c>
      <c r="J267" s="185">
        <v>46175</v>
      </c>
      <c r="K267" s="185">
        <v>46175</v>
      </c>
      <c r="L267" s="185">
        <v>46203</v>
      </c>
      <c r="M267" s="185"/>
      <c r="N267"/>
      <c r="O267">
        <v>1010100</v>
      </c>
      <c r="P267" t="s">
        <v>29</v>
      </c>
      <c r="Q267">
        <v>200000100</v>
      </c>
      <c r="R267" t="s">
        <v>15322</v>
      </c>
      <c r="S267"/>
      <c r="T267" t="s">
        <v>15323</v>
      </c>
      <c r="U267" t="s">
        <v>6311</v>
      </c>
      <c r="V267" s="23">
        <v>0</v>
      </c>
      <c r="W267" s="23">
        <v>0</v>
      </c>
      <c r="X267" s="23">
        <v>0</v>
      </c>
      <c r="Y267"/>
      <c r="Z267">
        <v>1246277819</v>
      </c>
      <c r="AA267"/>
      <c r="AB267"/>
      <c r="AC267">
        <v>102</v>
      </c>
      <c r="AD267">
        <v>4</v>
      </c>
      <c r="AE267" t="s">
        <v>15324</v>
      </c>
      <c r="AF267"/>
      <c r="AG267" s="23"/>
      <c r="AH267" s="265" t="str">
        <f>_xlfn.XLOOKUP(G267,Clientes!I:I,Clientes!F:F)</f>
        <v>MICROSOLO INDUSTRIAL - SETE LAGOAS</v>
      </c>
    </row>
    <row r="268" spans="1:34" x14ac:dyDescent="0.25">
      <c r="A268">
        <v>161</v>
      </c>
      <c r="B268" t="s">
        <v>145</v>
      </c>
      <c r="C268"/>
      <c r="D268" s="23">
        <v>66176</v>
      </c>
      <c r="E268">
        <v>11032</v>
      </c>
      <c r="F268">
        <v>11</v>
      </c>
      <c r="G268">
        <v>4577</v>
      </c>
      <c r="H268" t="s">
        <v>224</v>
      </c>
      <c r="I268" s="23">
        <v>66176</v>
      </c>
      <c r="J268" s="185">
        <v>46114</v>
      </c>
      <c r="K268" s="185">
        <v>46114</v>
      </c>
      <c r="L268" s="185">
        <v>46142</v>
      </c>
      <c r="M268" s="185">
        <v>46142</v>
      </c>
      <c r="N268"/>
      <c r="O268">
        <v>1010100</v>
      </c>
      <c r="P268" t="s">
        <v>29</v>
      </c>
      <c r="Q268">
        <v>200000100</v>
      </c>
      <c r="R268" t="s">
        <v>15322</v>
      </c>
      <c r="S268"/>
      <c r="T268" t="s">
        <v>15323</v>
      </c>
      <c r="U268" t="s">
        <v>6311</v>
      </c>
      <c r="V268" s="23">
        <v>0</v>
      </c>
      <c r="W268" s="23">
        <v>0</v>
      </c>
      <c r="X268" s="23">
        <v>0</v>
      </c>
      <c r="Y268"/>
      <c r="Z268">
        <v>1246270080</v>
      </c>
      <c r="AA268"/>
      <c r="AB268" t="s">
        <v>1186</v>
      </c>
      <c r="AC268">
        <v>102</v>
      </c>
      <c r="AD268">
        <v>4</v>
      </c>
      <c r="AE268" t="s">
        <v>15324</v>
      </c>
      <c r="AF268"/>
      <c r="AG268" s="23"/>
      <c r="AH268" s="265" t="str">
        <f>_xlfn.XLOOKUP(G268,Clientes!I:I,Clientes!F:F)</f>
        <v>MICROSOLO INDUSTRIAL - SETE LAGOAS</v>
      </c>
    </row>
    <row r="269" spans="1:34" x14ac:dyDescent="0.25">
      <c r="A269">
        <v>161</v>
      </c>
      <c r="B269" t="s">
        <v>145</v>
      </c>
      <c r="C269"/>
      <c r="D269" s="23">
        <v>66308</v>
      </c>
      <c r="E269">
        <v>10857</v>
      </c>
      <c r="F269">
        <v>11</v>
      </c>
      <c r="G269">
        <v>4577</v>
      </c>
      <c r="H269" t="s">
        <v>224</v>
      </c>
      <c r="I269" s="23">
        <v>66308</v>
      </c>
      <c r="J269" s="185">
        <v>46091</v>
      </c>
      <c r="K269" s="185">
        <v>46091</v>
      </c>
      <c r="L269" s="185">
        <v>46119</v>
      </c>
      <c r="M269" s="185">
        <v>46119</v>
      </c>
      <c r="N269"/>
      <c r="O269">
        <v>1010100</v>
      </c>
      <c r="P269" t="s">
        <v>29</v>
      </c>
      <c r="Q269">
        <v>200000100</v>
      </c>
      <c r="R269" t="s">
        <v>15322</v>
      </c>
      <c r="S269"/>
      <c r="T269" t="s">
        <v>15323</v>
      </c>
      <c r="U269" t="s">
        <v>6311</v>
      </c>
      <c r="V269" s="23">
        <v>0</v>
      </c>
      <c r="W269" s="23">
        <v>0</v>
      </c>
      <c r="X269" s="23">
        <v>0</v>
      </c>
      <c r="Y269"/>
      <c r="Z269">
        <v>1246267216</v>
      </c>
      <c r="AA269"/>
      <c r="AB269" t="s">
        <v>1186</v>
      </c>
      <c r="AC269">
        <v>102</v>
      </c>
      <c r="AD269">
        <v>4</v>
      </c>
      <c r="AE269" t="s">
        <v>15324</v>
      </c>
      <c r="AF269"/>
      <c r="AG269" s="23"/>
      <c r="AH269" s="265" t="str">
        <f>_xlfn.XLOOKUP(G269,Clientes!I:I,Clientes!F:F)</f>
        <v>MICROSOLO INDUSTRIAL - SETE LAGOAS</v>
      </c>
    </row>
    <row r="270" spans="1:34" x14ac:dyDescent="0.25">
      <c r="A270">
        <v>161</v>
      </c>
      <c r="B270" t="s">
        <v>145</v>
      </c>
      <c r="C270"/>
      <c r="D270" s="23">
        <v>66740</v>
      </c>
      <c r="E270">
        <v>2838</v>
      </c>
      <c r="F270">
        <v>13</v>
      </c>
      <c r="G270">
        <v>15749</v>
      </c>
      <c r="H270" t="s">
        <v>468</v>
      </c>
      <c r="I270" s="23">
        <v>66740</v>
      </c>
      <c r="J270" s="185">
        <v>46105</v>
      </c>
      <c r="K270" s="185">
        <v>46105</v>
      </c>
      <c r="L270" s="185">
        <v>46133</v>
      </c>
      <c r="M270" s="185">
        <v>46132</v>
      </c>
      <c r="N270"/>
      <c r="O270">
        <v>1010100</v>
      </c>
      <c r="P270" t="s">
        <v>29</v>
      </c>
      <c r="Q270">
        <v>200000100</v>
      </c>
      <c r="R270" t="s">
        <v>15322</v>
      </c>
      <c r="S270"/>
      <c r="T270" t="s">
        <v>15323</v>
      </c>
      <c r="U270" t="s">
        <v>6311</v>
      </c>
      <c r="V270" s="23">
        <v>0</v>
      </c>
      <c r="W270" s="23">
        <v>0</v>
      </c>
      <c r="X270" s="23">
        <v>0</v>
      </c>
      <c r="Y270"/>
      <c r="Z270">
        <v>1246268739</v>
      </c>
      <c r="AA270"/>
      <c r="AB270" t="s">
        <v>1186</v>
      </c>
      <c r="AC270">
        <v>102</v>
      </c>
      <c r="AD270">
        <v>4</v>
      </c>
      <c r="AE270" t="s">
        <v>15324</v>
      </c>
      <c r="AF270"/>
      <c r="AG270" s="23"/>
      <c r="AH270" s="265" t="str">
        <f>_xlfn.XLOOKUP(G270,Clientes!I:I,Clientes!F:F)</f>
        <v>FASS AGRO FERTILIZANTES - SERTAOZINHO</v>
      </c>
    </row>
    <row r="271" spans="1:34" x14ac:dyDescent="0.25">
      <c r="A271">
        <v>161</v>
      </c>
      <c r="B271" t="s">
        <v>145</v>
      </c>
      <c r="C271"/>
      <c r="D271" s="23">
        <v>66740</v>
      </c>
      <c r="E271">
        <v>3021</v>
      </c>
      <c r="F271">
        <v>13</v>
      </c>
      <c r="G271">
        <v>15749</v>
      </c>
      <c r="H271" t="s">
        <v>468</v>
      </c>
      <c r="I271" s="23">
        <v>66740</v>
      </c>
      <c r="J271" s="185">
        <v>46189</v>
      </c>
      <c r="K271" s="185">
        <v>46189</v>
      </c>
      <c r="L271" s="185">
        <v>46217</v>
      </c>
      <c r="M271" s="185"/>
      <c r="N271"/>
      <c r="O271">
        <v>1010100</v>
      </c>
      <c r="P271" t="s">
        <v>29</v>
      </c>
      <c r="Q271">
        <v>200000100</v>
      </c>
      <c r="R271" t="s">
        <v>15322</v>
      </c>
      <c r="S271"/>
      <c r="T271" t="s">
        <v>15323</v>
      </c>
      <c r="U271" t="s">
        <v>6311</v>
      </c>
      <c r="V271" s="23">
        <v>0</v>
      </c>
      <c r="W271" s="23">
        <v>0</v>
      </c>
      <c r="X271" s="23">
        <v>0</v>
      </c>
      <c r="Y271"/>
      <c r="Z271">
        <v>1246279766</v>
      </c>
      <c r="AA271"/>
      <c r="AB271"/>
      <c r="AC271">
        <v>102</v>
      </c>
      <c r="AD271">
        <v>4</v>
      </c>
      <c r="AE271" t="s">
        <v>15324</v>
      </c>
      <c r="AF271"/>
      <c r="AG271" s="23"/>
      <c r="AH271" s="265" t="str">
        <f>_xlfn.XLOOKUP(G271,Clientes!I:I,Clientes!F:F)</f>
        <v>FASS AGRO FERTILIZANTES - SERTAOZINHO</v>
      </c>
    </row>
    <row r="272" spans="1:34" x14ac:dyDescent="0.25">
      <c r="A272">
        <v>161</v>
      </c>
      <c r="B272" t="s">
        <v>145</v>
      </c>
      <c r="C272"/>
      <c r="D272" s="23">
        <v>67584</v>
      </c>
      <c r="E272">
        <v>10670</v>
      </c>
      <c r="F272">
        <v>11</v>
      </c>
      <c r="G272">
        <v>252</v>
      </c>
      <c r="H272" t="s">
        <v>15633</v>
      </c>
      <c r="I272" s="23">
        <v>67584</v>
      </c>
      <c r="J272" s="185">
        <v>46063</v>
      </c>
      <c r="K272" s="185">
        <v>46063</v>
      </c>
      <c r="L272" s="185">
        <v>46091</v>
      </c>
      <c r="M272" s="185">
        <v>46091</v>
      </c>
      <c r="N272"/>
      <c r="O272">
        <v>1010100</v>
      </c>
      <c r="P272" t="s">
        <v>29</v>
      </c>
      <c r="Q272">
        <v>200000100</v>
      </c>
      <c r="R272" t="s">
        <v>15322</v>
      </c>
      <c r="S272"/>
      <c r="T272" t="s">
        <v>15323</v>
      </c>
      <c r="U272" t="s">
        <v>1530</v>
      </c>
      <c r="V272" s="23">
        <v>0</v>
      </c>
      <c r="W272" s="23">
        <v>0</v>
      </c>
      <c r="X272" s="23">
        <v>0</v>
      </c>
      <c r="Y272"/>
      <c r="Z272">
        <v>1246262898</v>
      </c>
      <c r="AA272"/>
      <c r="AB272" t="s">
        <v>1199</v>
      </c>
      <c r="AC272">
        <v>102</v>
      </c>
      <c r="AD272">
        <v>4</v>
      </c>
      <c r="AE272" t="s">
        <v>15324</v>
      </c>
      <c r="AF272"/>
      <c r="AG272" s="23"/>
      <c r="AH272" s="265" t="str">
        <f>_xlfn.XLOOKUP(G272,Clientes!I:I,Clientes!F:F)</f>
        <v>GRUPO FERTIPAR FERTILIZANTES PARANA</v>
      </c>
    </row>
    <row r="273" spans="1:34" x14ac:dyDescent="0.25">
      <c r="A273">
        <v>161</v>
      </c>
      <c r="B273" t="s">
        <v>145</v>
      </c>
      <c r="C273"/>
      <c r="D273" s="23">
        <v>67584</v>
      </c>
      <c r="E273">
        <v>10472</v>
      </c>
      <c r="F273">
        <v>11</v>
      </c>
      <c r="G273">
        <v>252</v>
      </c>
      <c r="H273" t="s">
        <v>15633</v>
      </c>
      <c r="I273" s="23">
        <v>67584</v>
      </c>
      <c r="J273" s="185">
        <v>46035</v>
      </c>
      <c r="K273" s="185">
        <v>46035</v>
      </c>
      <c r="L273" s="185">
        <v>46063</v>
      </c>
      <c r="M273" s="185">
        <v>46063</v>
      </c>
      <c r="N273"/>
      <c r="O273">
        <v>1010100</v>
      </c>
      <c r="P273" t="s">
        <v>29</v>
      </c>
      <c r="Q273">
        <v>200000100</v>
      </c>
      <c r="R273" t="s">
        <v>15322</v>
      </c>
      <c r="S273"/>
      <c r="T273" t="s">
        <v>15323</v>
      </c>
      <c r="U273" t="s">
        <v>2246</v>
      </c>
      <c r="V273" s="23">
        <v>0</v>
      </c>
      <c r="W273" s="23">
        <v>0</v>
      </c>
      <c r="X273" s="23">
        <v>0</v>
      </c>
      <c r="Y273"/>
      <c r="Z273">
        <v>1246259255</v>
      </c>
      <c r="AA273"/>
      <c r="AB273" t="s">
        <v>1199</v>
      </c>
      <c r="AC273">
        <v>102</v>
      </c>
      <c r="AD273">
        <v>4</v>
      </c>
      <c r="AE273" t="s">
        <v>15324</v>
      </c>
      <c r="AF273"/>
      <c r="AG273" s="23"/>
      <c r="AH273" s="265" t="str">
        <f>_xlfn.XLOOKUP(G273,Clientes!I:I,Clientes!F:F)</f>
        <v>GRUPO FERTIPAR FERTILIZANTES PARANA</v>
      </c>
    </row>
    <row r="274" spans="1:34" x14ac:dyDescent="0.25">
      <c r="A274">
        <v>161</v>
      </c>
      <c r="B274" t="s">
        <v>145</v>
      </c>
      <c r="C274"/>
      <c r="D274" s="23">
        <v>67841.5</v>
      </c>
      <c r="E274">
        <v>10785</v>
      </c>
      <c r="F274">
        <v>11</v>
      </c>
      <c r="G274">
        <v>2949</v>
      </c>
      <c r="H274" t="s">
        <v>720</v>
      </c>
      <c r="I274" s="23">
        <v>67841.5</v>
      </c>
      <c r="J274" s="185">
        <v>46080</v>
      </c>
      <c r="K274" s="185">
        <v>46080</v>
      </c>
      <c r="L274" s="185">
        <v>46170</v>
      </c>
      <c r="M274" s="185">
        <v>46170</v>
      </c>
      <c r="N274"/>
      <c r="O274">
        <v>1010100</v>
      </c>
      <c r="P274" t="s">
        <v>29</v>
      </c>
      <c r="Q274">
        <v>200000100</v>
      </c>
      <c r="R274" t="s">
        <v>15322</v>
      </c>
      <c r="S274"/>
      <c r="T274" t="s">
        <v>15323</v>
      </c>
      <c r="U274" t="s">
        <v>1216</v>
      </c>
      <c r="V274" s="23">
        <v>0</v>
      </c>
      <c r="W274" s="23">
        <v>0</v>
      </c>
      <c r="X274" s="23">
        <v>0</v>
      </c>
      <c r="Y274"/>
      <c r="Z274">
        <v>1246265741</v>
      </c>
      <c r="AA274"/>
      <c r="AB274" t="s">
        <v>1199</v>
      </c>
      <c r="AC274">
        <v>102</v>
      </c>
      <c r="AD274">
        <v>4</v>
      </c>
      <c r="AE274" t="s">
        <v>15324</v>
      </c>
      <c r="AF274"/>
      <c r="AG274" s="23"/>
      <c r="AH274" s="265" t="str">
        <f>_xlfn.XLOOKUP(G274,Clientes!I:I,Clientes!F:F)</f>
        <v>GRUPO MOSAIC FERTILIZANTES DO BRASIL</v>
      </c>
    </row>
    <row r="275" spans="1:34" x14ac:dyDescent="0.25">
      <c r="A275">
        <v>161</v>
      </c>
      <c r="B275" t="s">
        <v>145</v>
      </c>
      <c r="C275"/>
      <c r="D275" s="23">
        <v>67867.8</v>
      </c>
      <c r="E275">
        <v>11064</v>
      </c>
      <c r="F275">
        <v>11</v>
      </c>
      <c r="G275">
        <v>7302</v>
      </c>
      <c r="H275" t="s">
        <v>93</v>
      </c>
      <c r="I275" s="23">
        <v>67867.8</v>
      </c>
      <c r="J275" s="185">
        <v>46119</v>
      </c>
      <c r="K275" s="185">
        <v>46119</v>
      </c>
      <c r="L275" s="185">
        <v>46209</v>
      </c>
      <c r="M275" s="185"/>
      <c r="N275"/>
      <c r="O275">
        <v>1010100</v>
      </c>
      <c r="P275" t="s">
        <v>29</v>
      </c>
      <c r="Q275">
        <v>200000100</v>
      </c>
      <c r="R275" t="s">
        <v>15322</v>
      </c>
      <c r="S275"/>
      <c r="T275" t="s">
        <v>15323</v>
      </c>
      <c r="U275" t="s">
        <v>5803</v>
      </c>
      <c r="V275" s="23">
        <v>0</v>
      </c>
      <c r="W275" s="23">
        <v>0</v>
      </c>
      <c r="X275" s="23">
        <v>0</v>
      </c>
      <c r="Y275"/>
      <c r="Z275">
        <v>1246270495</v>
      </c>
      <c r="AA275"/>
      <c r="AB275"/>
      <c r="AC275">
        <v>102</v>
      </c>
      <c r="AD275">
        <v>4</v>
      </c>
      <c r="AE275" t="s">
        <v>15324</v>
      </c>
      <c r="AF275"/>
      <c r="AG275" s="23"/>
      <c r="AH275" s="265" t="str">
        <f>_xlfn.XLOOKUP(G275,Clientes!I:I,Clientes!F:F)</f>
        <v>GRUPO MOSAIC FERTILIZANTES DO BRASIL</v>
      </c>
    </row>
    <row r="276" spans="1:34" x14ac:dyDescent="0.25">
      <c r="A276">
        <v>161</v>
      </c>
      <c r="B276" t="s">
        <v>145</v>
      </c>
      <c r="C276"/>
      <c r="D276" s="23">
        <v>68404.19</v>
      </c>
      <c r="E276">
        <v>11769</v>
      </c>
      <c r="F276">
        <v>11</v>
      </c>
      <c r="G276">
        <v>6477</v>
      </c>
      <c r="H276" t="s">
        <v>87</v>
      </c>
      <c r="I276" s="23">
        <v>68404.19</v>
      </c>
      <c r="J276" s="185">
        <v>46192</v>
      </c>
      <c r="K276" s="185">
        <v>46192</v>
      </c>
      <c r="L276" s="185">
        <v>46282</v>
      </c>
      <c r="M276" s="185"/>
      <c r="N276"/>
      <c r="O276">
        <v>1010100</v>
      </c>
      <c r="P276" t="s">
        <v>29</v>
      </c>
      <c r="Q276">
        <v>200000100</v>
      </c>
      <c r="R276" t="s">
        <v>15322</v>
      </c>
      <c r="S276"/>
      <c r="T276" t="s">
        <v>15323</v>
      </c>
      <c r="U276" t="s">
        <v>5803</v>
      </c>
      <c r="V276" s="23">
        <v>0</v>
      </c>
      <c r="W276" s="23">
        <v>0</v>
      </c>
      <c r="X276" s="23">
        <v>0</v>
      </c>
      <c r="Y276"/>
      <c r="Z276">
        <v>1246280278</v>
      </c>
      <c r="AA276"/>
      <c r="AB276"/>
      <c r="AC276">
        <v>102</v>
      </c>
      <c r="AD276">
        <v>4</v>
      </c>
      <c r="AE276" t="s">
        <v>15324</v>
      </c>
      <c r="AF276"/>
      <c r="AG276" s="23"/>
      <c r="AH276" s="265" t="str">
        <f>_xlfn.XLOOKUP(G276,Clientes!I:I,Clientes!F:F)</f>
        <v>GRUPO MOSAIC FERTILIZANTES DO BRASIL</v>
      </c>
    </row>
    <row r="277" spans="1:34" x14ac:dyDescent="0.25">
      <c r="A277">
        <v>161</v>
      </c>
      <c r="B277" t="s">
        <v>145</v>
      </c>
      <c r="C277"/>
      <c r="D277" s="23">
        <v>69092.100000000006</v>
      </c>
      <c r="E277">
        <v>11678</v>
      </c>
      <c r="F277">
        <v>11</v>
      </c>
      <c r="G277">
        <v>7648</v>
      </c>
      <c r="H277" t="s">
        <v>273</v>
      </c>
      <c r="I277" s="23">
        <v>69092.100000000006</v>
      </c>
      <c r="J277" s="185">
        <v>46184</v>
      </c>
      <c r="K277" s="185">
        <v>46184</v>
      </c>
      <c r="L277" s="185">
        <v>46219</v>
      </c>
      <c r="M277" s="185"/>
      <c r="N277"/>
      <c r="O277">
        <v>1010100</v>
      </c>
      <c r="P277" t="s">
        <v>29</v>
      </c>
      <c r="Q277">
        <v>200000100</v>
      </c>
      <c r="R277" t="s">
        <v>15322</v>
      </c>
      <c r="S277"/>
      <c r="T277" t="s">
        <v>15323</v>
      </c>
      <c r="U277" t="s">
        <v>1530</v>
      </c>
      <c r="V277" s="23">
        <v>0</v>
      </c>
      <c r="W277" s="23">
        <v>0</v>
      </c>
      <c r="X277" s="23">
        <v>0</v>
      </c>
      <c r="Y277"/>
      <c r="Z277">
        <v>1246279181</v>
      </c>
      <c r="AA277"/>
      <c r="AB277"/>
      <c r="AC277">
        <v>102</v>
      </c>
      <c r="AD277">
        <v>4</v>
      </c>
      <c r="AE277" t="s">
        <v>15324</v>
      </c>
      <c r="AF277"/>
      <c r="AG277" s="23"/>
      <c r="AH277" s="265" t="str">
        <f>_xlfn.XLOOKUP(G277,Clientes!I:I,Clientes!F:F)</f>
        <v>GRUPO LOUIS DREYFUS</v>
      </c>
    </row>
    <row r="278" spans="1:34" x14ac:dyDescent="0.25">
      <c r="A278">
        <v>161</v>
      </c>
      <c r="B278" t="s">
        <v>145</v>
      </c>
      <c r="C278"/>
      <c r="D278" s="23">
        <v>69184</v>
      </c>
      <c r="E278">
        <v>10858</v>
      </c>
      <c r="F278">
        <v>11</v>
      </c>
      <c r="G278">
        <v>729</v>
      </c>
      <c r="H278" t="s">
        <v>46</v>
      </c>
      <c r="I278" s="23">
        <v>69184</v>
      </c>
      <c r="J278" s="185">
        <v>46091</v>
      </c>
      <c r="K278" s="185">
        <v>46091</v>
      </c>
      <c r="L278" s="185">
        <v>46121</v>
      </c>
      <c r="M278" s="185">
        <v>46135</v>
      </c>
      <c r="N278"/>
      <c r="O278">
        <v>1010100</v>
      </c>
      <c r="P278" t="s">
        <v>29</v>
      </c>
      <c r="Q278">
        <v>200000100</v>
      </c>
      <c r="R278" t="s">
        <v>15322</v>
      </c>
      <c r="S278"/>
      <c r="T278" t="s">
        <v>15323</v>
      </c>
      <c r="U278" t="s">
        <v>2246</v>
      </c>
      <c r="V278" s="23">
        <v>0</v>
      </c>
      <c r="W278" s="23">
        <v>0</v>
      </c>
      <c r="X278" s="23">
        <v>0</v>
      </c>
      <c r="Y278"/>
      <c r="Z278">
        <v>1246267218</v>
      </c>
      <c r="AA278"/>
      <c r="AB278" t="s">
        <v>1199</v>
      </c>
      <c r="AC278">
        <v>102</v>
      </c>
      <c r="AD278">
        <v>4</v>
      </c>
      <c r="AE278" t="s">
        <v>15324</v>
      </c>
      <c r="AF278"/>
      <c r="AG278" s="23"/>
      <c r="AH278" s="265" t="str">
        <f>_xlfn.XLOOKUP(G278,Clientes!I:I,Clientes!F:F)</f>
        <v>GRUPO FERTILIZ TOCANTINS</v>
      </c>
    </row>
    <row r="279" spans="1:34" x14ac:dyDescent="0.25">
      <c r="A279">
        <v>161</v>
      </c>
      <c r="B279" t="s">
        <v>145</v>
      </c>
      <c r="C279"/>
      <c r="D279" s="23">
        <v>69320</v>
      </c>
      <c r="E279">
        <v>2641</v>
      </c>
      <c r="F279">
        <v>13</v>
      </c>
      <c r="G279">
        <v>7648</v>
      </c>
      <c r="H279" t="s">
        <v>273</v>
      </c>
      <c r="I279" s="23">
        <v>69320</v>
      </c>
      <c r="J279" s="185">
        <v>46027</v>
      </c>
      <c r="K279" s="185">
        <v>46027</v>
      </c>
      <c r="L279" s="185">
        <v>46062</v>
      </c>
      <c r="M279" s="185">
        <v>46062</v>
      </c>
      <c r="N279"/>
      <c r="O279">
        <v>1010100</v>
      </c>
      <c r="P279" t="s">
        <v>29</v>
      </c>
      <c r="Q279">
        <v>200000100</v>
      </c>
      <c r="R279" t="s">
        <v>15322</v>
      </c>
      <c r="S279"/>
      <c r="T279" t="s">
        <v>15323</v>
      </c>
      <c r="U279" t="s">
        <v>1964</v>
      </c>
      <c r="V279" s="23">
        <v>0</v>
      </c>
      <c r="W279" s="23">
        <v>0</v>
      </c>
      <c r="X279" s="23">
        <v>0</v>
      </c>
      <c r="Y279"/>
      <c r="Z279">
        <v>1246258284</v>
      </c>
      <c r="AA279"/>
      <c r="AB279" t="s">
        <v>1199</v>
      </c>
      <c r="AC279">
        <v>103</v>
      </c>
      <c r="AD279">
        <v>4</v>
      </c>
      <c r="AE279" t="s">
        <v>15324</v>
      </c>
      <c r="AF279"/>
      <c r="AG279" s="23"/>
      <c r="AH279" s="265" t="str">
        <f>_xlfn.XLOOKUP(G279,Clientes!I:I,Clientes!F:F)</f>
        <v>GRUPO LOUIS DREYFUS</v>
      </c>
    </row>
    <row r="280" spans="1:34" x14ac:dyDescent="0.25">
      <c r="A280">
        <v>161</v>
      </c>
      <c r="B280" t="s">
        <v>145</v>
      </c>
      <c r="C280"/>
      <c r="D280" s="23">
        <v>69716</v>
      </c>
      <c r="E280">
        <v>10411</v>
      </c>
      <c r="F280">
        <v>11</v>
      </c>
      <c r="G280">
        <v>4577</v>
      </c>
      <c r="H280" t="s">
        <v>224</v>
      </c>
      <c r="I280" s="23">
        <v>69716</v>
      </c>
      <c r="J280" s="185">
        <v>46024</v>
      </c>
      <c r="K280" s="185">
        <v>46024</v>
      </c>
      <c r="L280" s="185">
        <v>46052</v>
      </c>
      <c r="M280" s="185">
        <v>46052</v>
      </c>
      <c r="N280"/>
      <c r="O280">
        <v>1010100</v>
      </c>
      <c r="P280" t="s">
        <v>29</v>
      </c>
      <c r="Q280">
        <v>200000100</v>
      </c>
      <c r="R280" t="s">
        <v>15322</v>
      </c>
      <c r="S280"/>
      <c r="T280" t="s">
        <v>15323</v>
      </c>
      <c r="U280" t="s">
        <v>6311</v>
      </c>
      <c r="V280" s="23">
        <v>0</v>
      </c>
      <c r="W280" s="23">
        <v>0</v>
      </c>
      <c r="X280" s="23">
        <v>0</v>
      </c>
      <c r="Y280"/>
      <c r="Z280">
        <v>1246258182</v>
      </c>
      <c r="AA280"/>
      <c r="AB280" t="s">
        <v>1186</v>
      </c>
      <c r="AC280">
        <v>102</v>
      </c>
      <c r="AD280">
        <v>4</v>
      </c>
      <c r="AE280" t="s">
        <v>15324</v>
      </c>
      <c r="AF280"/>
      <c r="AG280" s="23"/>
      <c r="AH280" s="265" t="str">
        <f>_xlfn.XLOOKUP(G280,Clientes!I:I,Clientes!F:F)</f>
        <v>MICROSOLO INDUSTRIAL - SETE LAGOAS</v>
      </c>
    </row>
    <row r="281" spans="1:34" x14ac:dyDescent="0.25">
      <c r="A281">
        <v>161</v>
      </c>
      <c r="B281" t="s">
        <v>145</v>
      </c>
      <c r="C281"/>
      <c r="D281" s="23">
        <v>69738.899999999994</v>
      </c>
      <c r="E281">
        <v>11337</v>
      </c>
      <c r="F281">
        <v>11</v>
      </c>
      <c r="G281">
        <v>7648</v>
      </c>
      <c r="H281" t="s">
        <v>273</v>
      </c>
      <c r="I281" s="23">
        <v>69738.899999999994</v>
      </c>
      <c r="J281" s="185">
        <v>46150</v>
      </c>
      <c r="K281" s="185">
        <v>46150</v>
      </c>
      <c r="L281" s="185">
        <v>46185</v>
      </c>
      <c r="M281" s="185">
        <v>46185</v>
      </c>
      <c r="N281"/>
      <c r="O281">
        <v>1010100</v>
      </c>
      <c r="P281" t="s">
        <v>29</v>
      </c>
      <c r="Q281">
        <v>200000100</v>
      </c>
      <c r="R281" t="s">
        <v>15322</v>
      </c>
      <c r="S281"/>
      <c r="T281" t="s">
        <v>15323</v>
      </c>
      <c r="U281" t="s">
        <v>1964</v>
      </c>
      <c r="V281" s="23">
        <v>0</v>
      </c>
      <c r="W281" s="23">
        <v>0</v>
      </c>
      <c r="X281" s="23">
        <v>0</v>
      </c>
      <c r="Y281"/>
      <c r="Z281">
        <v>1246274164</v>
      </c>
      <c r="AA281"/>
      <c r="AB281" t="s">
        <v>1199</v>
      </c>
      <c r="AC281">
        <v>102</v>
      </c>
      <c r="AD281">
        <v>4</v>
      </c>
      <c r="AE281" t="s">
        <v>15324</v>
      </c>
      <c r="AF281"/>
      <c r="AG281" s="23"/>
      <c r="AH281" s="265" t="str">
        <f>_xlfn.XLOOKUP(G281,Clientes!I:I,Clientes!F:F)</f>
        <v>GRUPO LOUIS DREYFUS</v>
      </c>
    </row>
    <row r="282" spans="1:34" x14ac:dyDescent="0.25">
      <c r="A282">
        <v>161</v>
      </c>
      <c r="B282" t="s">
        <v>145</v>
      </c>
      <c r="C282"/>
      <c r="D282" s="23">
        <v>69762.399999999994</v>
      </c>
      <c r="E282">
        <v>11251</v>
      </c>
      <c r="F282">
        <v>11</v>
      </c>
      <c r="G282">
        <v>729</v>
      </c>
      <c r="H282" t="s">
        <v>46</v>
      </c>
      <c r="I282" s="23">
        <v>69762.399999999994</v>
      </c>
      <c r="J282" s="185">
        <v>46141</v>
      </c>
      <c r="K282" s="185">
        <v>46141</v>
      </c>
      <c r="L282" s="185">
        <v>46201</v>
      </c>
      <c r="M282" s="185">
        <v>46197</v>
      </c>
      <c r="N282"/>
      <c r="O282">
        <v>1010100</v>
      </c>
      <c r="P282" t="s">
        <v>29</v>
      </c>
      <c r="Q282">
        <v>200000100</v>
      </c>
      <c r="R282" t="s">
        <v>15322</v>
      </c>
      <c r="S282"/>
      <c r="T282" t="s">
        <v>15323</v>
      </c>
      <c r="U282" t="s">
        <v>1530</v>
      </c>
      <c r="V282" s="23">
        <v>0</v>
      </c>
      <c r="W282" s="23">
        <v>0</v>
      </c>
      <c r="X282" s="23">
        <v>0</v>
      </c>
      <c r="Y282"/>
      <c r="Z282">
        <v>1246273030</v>
      </c>
      <c r="AA282"/>
      <c r="AB282" t="s">
        <v>1199</v>
      </c>
      <c r="AC282">
        <v>102</v>
      </c>
      <c r="AD282">
        <v>4</v>
      </c>
      <c r="AE282" t="s">
        <v>15324</v>
      </c>
      <c r="AF282"/>
      <c r="AG282" s="23"/>
      <c r="AH282" s="265" t="str">
        <f>_xlfn.XLOOKUP(G282,Clientes!I:I,Clientes!F:F)</f>
        <v>GRUPO FERTILIZ TOCANTINS</v>
      </c>
    </row>
    <row r="283" spans="1:34" x14ac:dyDescent="0.25">
      <c r="A283">
        <v>161</v>
      </c>
      <c r="B283" t="s">
        <v>145</v>
      </c>
      <c r="C283"/>
      <c r="D283" s="23">
        <v>70068.399999999994</v>
      </c>
      <c r="E283">
        <v>11554</v>
      </c>
      <c r="F283">
        <v>11</v>
      </c>
      <c r="G283">
        <v>13018</v>
      </c>
      <c r="H283" t="s">
        <v>15614</v>
      </c>
      <c r="I283" s="23">
        <v>70068.399999999994</v>
      </c>
      <c r="J283" s="185">
        <v>46171</v>
      </c>
      <c r="K283" s="185">
        <v>46171</v>
      </c>
      <c r="L283" s="185">
        <v>46231</v>
      </c>
      <c r="M283" s="185">
        <v>46197</v>
      </c>
      <c r="N283"/>
      <c r="O283">
        <v>1010100</v>
      </c>
      <c r="P283" t="s">
        <v>29</v>
      </c>
      <c r="Q283">
        <v>200000100</v>
      </c>
      <c r="R283" t="s">
        <v>15322</v>
      </c>
      <c r="S283"/>
      <c r="T283" t="s">
        <v>15323</v>
      </c>
      <c r="U283" t="s">
        <v>1199</v>
      </c>
      <c r="V283" s="23">
        <v>0</v>
      </c>
      <c r="W283" s="23">
        <v>0</v>
      </c>
      <c r="X283" s="23">
        <v>0</v>
      </c>
      <c r="Y283"/>
      <c r="Z283">
        <v>1246277393</v>
      </c>
      <c r="AA283"/>
      <c r="AB283" t="s">
        <v>1199</v>
      </c>
      <c r="AC283">
        <v>102</v>
      </c>
      <c r="AD283">
        <v>4</v>
      </c>
      <c r="AE283" t="s">
        <v>15324</v>
      </c>
      <c r="AF283"/>
      <c r="AG283" s="23"/>
      <c r="AH283" s="265" t="str">
        <f>_xlfn.XLOOKUP(G283,Clientes!I:I,Clientes!F:F)</f>
        <v>ULTRAFERTIL</v>
      </c>
    </row>
    <row r="284" spans="1:34" x14ac:dyDescent="0.25">
      <c r="A284">
        <v>161</v>
      </c>
      <c r="B284" t="s">
        <v>145</v>
      </c>
      <c r="C284"/>
      <c r="D284" s="23">
        <v>70410.600000000006</v>
      </c>
      <c r="E284">
        <v>10790</v>
      </c>
      <c r="F284">
        <v>11</v>
      </c>
      <c r="G284">
        <v>7024</v>
      </c>
      <c r="H284" t="s">
        <v>721</v>
      </c>
      <c r="I284" s="23">
        <v>70410.600000000006</v>
      </c>
      <c r="J284" s="185">
        <v>46080</v>
      </c>
      <c r="K284" s="185">
        <v>46080</v>
      </c>
      <c r="L284" s="185">
        <v>46170</v>
      </c>
      <c r="M284" s="185">
        <v>46170</v>
      </c>
      <c r="N284"/>
      <c r="O284">
        <v>1010100</v>
      </c>
      <c r="P284" t="s">
        <v>29</v>
      </c>
      <c r="Q284">
        <v>200000100</v>
      </c>
      <c r="R284" t="s">
        <v>15322</v>
      </c>
      <c r="S284"/>
      <c r="T284" t="s">
        <v>15323</v>
      </c>
      <c r="U284" t="s">
        <v>4468</v>
      </c>
      <c r="V284" s="23">
        <v>0</v>
      </c>
      <c r="W284" s="23">
        <v>0</v>
      </c>
      <c r="X284" s="23">
        <v>0</v>
      </c>
      <c r="Y284"/>
      <c r="Z284">
        <v>1246265856</v>
      </c>
      <c r="AA284"/>
      <c r="AB284" t="s">
        <v>1199</v>
      </c>
      <c r="AC284">
        <v>102</v>
      </c>
      <c r="AD284">
        <v>4</v>
      </c>
      <c r="AE284" t="s">
        <v>15324</v>
      </c>
      <c r="AF284"/>
      <c r="AG284" s="23"/>
      <c r="AH284" s="265" t="str">
        <f>_xlfn.XLOOKUP(G284,Clientes!I:I,Clientes!F:F)</f>
        <v>GRUPO MOSAIC FERTILIZANTES DO BRASIL</v>
      </c>
    </row>
    <row r="285" spans="1:34" x14ac:dyDescent="0.25">
      <c r="A285">
        <v>161</v>
      </c>
      <c r="B285" t="s">
        <v>145</v>
      </c>
      <c r="C285"/>
      <c r="D285" s="23">
        <v>70516.800000000003</v>
      </c>
      <c r="E285">
        <v>11077</v>
      </c>
      <c r="F285">
        <v>11</v>
      </c>
      <c r="G285">
        <v>7022</v>
      </c>
      <c r="H285" t="s">
        <v>15419</v>
      </c>
      <c r="I285" s="23">
        <v>70516.800000000003</v>
      </c>
      <c r="J285" s="185">
        <v>46121</v>
      </c>
      <c r="K285" s="185">
        <v>46121</v>
      </c>
      <c r="L285" s="185">
        <v>46211</v>
      </c>
      <c r="M285" s="185">
        <v>46181</v>
      </c>
      <c r="N285"/>
      <c r="O285">
        <v>1010100</v>
      </c>
      <c r="P285" t="s">
        <v>29</v>
      </c>
      <c r="Q285">
        <v>200000100</v>
      </c>
      <c r="R285" t="s">
        <v>15322</v>
      </c>
      <c r="S285"/>
      <c r="T285" t="s">
        <v>15323</v>
      </c>
      <c r="U285" t="s">
        <v>2246</v>
      </c>
      <c r="V285" s="23">
        <v>0</v>
      </c>
      <c r="W285" s="23">
        <v>0</v>
      </c>
      <c r="X285" s="23">
        <v>0</v>
      </c>
      <c r="Y285"/>
      <c r="Z285">
        <v>1246270817</v>
      </c>
      <c r="AA285"/>
      <c r="AB285" t="s">
        <v>1199</v>
      </c>
      <c r="AC285">
        <v>102</v>
      </c>
      <c r="AD285">
        <v>4</v>
      </c>
      <c r="AE285" t="s">
        <v>15324</v>
      </c>
      <c r="AF285"/>
      <c r="AG285" s="23"/>
      <c r="AH285" s="265" t="str">
        <f>_xlfn.XLOOKUP(G285,Clientes!I:I,Clientes!F:F)</f>
        <v>STRATOS - ROSARIO DO CATETE</v>
      </c>
    </row>
    <row r="286" spans="1:34" x14ac:dyDescent="0.25">
      <c r="A286">
        <v>161</v>
      </c>
      <c r="B286" t="s">
        <v>145</v>
      </c>
      <c r="C286"/>
      <c r="D286" s="23">
        <v>70516.800000000003</v>
      </c>
      <c r="E286">
        <v>11052</v>
      </c>
      <c r="F286">
        <v>11</v>
      </c>
      <c r="G286">
        <v>7022</v>
      </c>
      <c r="H286" t="s">
        <v>15419</v>
      </c>
      <c r="I286" s="23">
        <v>70516.800000000003</v>
      </c>
      <c r="J286" s="185">
        <v>46118</v>
      </c>
      <c r="K286" s="185">
        <v>46118</v>
      </c>
      <c r="L286" s="185">
        <v>46208</v>
      </c>
      <c r="M286" s="185">
        <v>46178</v>
      </c>
      <c r="N286"/>
      <c r="O286">
        <v>1010100</v>
      </c>
      <c r="P286" t="s">
        <v>29</v>
      </c>
      <c r="Q286">
        <v>200000100</v>
      </c>
      <c r="R286" t="s">
        <v>15322</v>
      </c>
      <c r="S286"/>
      <c r="T286" t="s">
        <v>15323</v>
      </c>
      <c r="U286" t="s">
        <v>4502</v>
      </c>
      <c r="V286" s="23">
        <v>0</v>
      </c>
      <c r="W286" s="23">
        <v>0</v>
      </c>
      <c r="X286" s="23">
        <v>0</v>
      </c>
      <c r="Y286"/>
      <c r="Z286">
        <v>1246270344</v>
      </c>
      <c r="AA286"/>
      <c r="AB286" t="s">
        <v>1199</v>
      </c>
      <c r="AC286">
        <v>102</v>
      </c>
      <c r="AD286">
        <v>4</v>
      </c>
      <c r="AE286" t="s">
        <v>15324</v>
      </c>
      <c r="AF286"/>
      <c r="AG286" s="23"/>
      <c r="AH286" s="265" t="str">
        <f>_xlfn.XLOOKUP(G286,Clientes!I:I,Clientes!F:F)</f>
        <v>STRATOS - ROSARIO DO CATETE</v>
      </c>
    </row>
    <row r="287" spans="1:34" x14ac:dyDescent="0.25">
      <c r="A287">
        <v>161</v>
      </c>
      <c r="B287" t="s">
        <v>145</v>
      </c>
      <c r="C287"/>
      <c r="D287" s="23">
        <v>70540.399999999994</v>
      </c>
      <c r="E287">
        <v>11403</v>
      </c>
      <c r="F287">
        <v>11</v>
      </c>
      <c r="G287">
        <v>7022</v>
      </c>
      <c r="H287" t="s">
        <v>15419</v>
      </c>
      <c r="I287" s="23">
        <v>70540.399999999994</v>
      </c>
      <c r="J287" s="185">
        <v>46157</v>
      </c>
      <c r="K287" s="185">
        <v>46157</v>
      </c>
      <c r="L287" s="185">
        <v>46247</v>
      </c>
      <c r="M287" s="185"/>
      <c r="N287"/>
      <c r="O287">
        <v>1010100</v>
      </c>
      <c r="P287" t="s">
        <v>29</v>
      </c>
      <c r="Q287">
        <v>200000100</v>
      </c>
      <c r="R287" t="s">
        <v>15322</v>
      </c>
      <c r="S287"/>
      <c r="T287" t="s">
        <v>15323</v>
      </c>
      <c r="U287" t="s">
        <v>5803</v>
      </c>
      <c r="V287" s="23">
        <v>0</v>
      </c>
      <c r="W287" s="23">
        <v>0</v>
      </c>
      <c r="X287" s="23">
        <v>0</v>
      </c>
      <c r="Y287"/>
      <c r="Z287">
        <v>1246275322</v>
      </c>
      <c r="AA287"/>
      <c r="AB287"/>
      <c r="AC287">
        <v>102</v>
      </c>
      <c r="AD287">
        <v>4</v>
      </c>
      <c r="AE287" t="s">
        <v>15324</v>
      </c>
      <c r="AF287"/>
      <c r="AG287" s="23"/>
      <c r="AH287" s="265" t="str">
        <f>_xlfn.XLOOKUP(G287,Clientes!I:I,Clientes!F:F)</f>
        <v>STRATOS - ROSARIO DO CATETE</v>
      </c>
    </row>
    <row r="288" spans="1:34" x14ac:dyDescent="0.25">
      <c r="A288">
        <v>161</v>
      </c>
      <c r="B288" t="s">
        <v>145</v>
      </c>
      <c r="C288"/>
      <c r="D288" s="23">
        <v>70587.600000000006</v>
      </c>
      <c r="E288">
        <v>11338</v>
      </c>
      <c r="F288">
        <v>11</v>
      </c>
      <c r="G288">
        <v>7022</v>
      </c>
      <c r="H288" t="s">
        <v>15419</v>
      </c>
      <c r="I288" s="23">
        <v>70587.600000000006</v>
      </c>
      <c r="J288" s="185">
        <v>46153</v>
      </c>
      <c r="K288" s="185">
        <v>46153</v>
      </c>
      <c r="L288" s="185">
        <v>46243</v>
      </c>
      <c r="M288" s="185"/>
      <c r="N288"/>
      <c r="O288">
        <v>1010100</v>
      </c>
      <c r="P288" t="s">
        <v>29</v>
      </c>
      <c r="Q288">
        <v>200000100</v>
      </c>
      <c r="R288" t="s">
        <v>15322</v>
      </c>
      <c r="S288"/>
      <c r="T288" t="s">
        <v>15323</v>
      </c>
      <c r="U288" t="s">
        <v>1530</v>
      </c>
      <c r="V288" s="23">
        <v>0</v>
      </c>
      <c r="W288" s="23">
        <v>0</v>
      </c>
      <c r="X288" s="23">
        <v>0</v>
      </c>
      <c r="Y288"/>
      <c r="Z288">
        <v>1246274256</v>
      </c>
      <c r="AA288"/>
      <c r="AB288"/>
      <c r="AC288">
        <v>102</v>
      </c>
      <c r="AD288">
        <v>4</v>
      </c>
      <c r="AE288" t="s">
        <v>15324</v>
      </c>
      <c r="AF288"/>
      <c r="AG288" s="23"/>
      <c r="AH288" s="265" t="str">
        <f>_xlfn.XLOOKUP(G288,Clientes!I:I,Clientes!F:F)</f>
        <v>STRATOS - ROSARIO DO CATETE</v>
      </c>
    </row>
    <row r="289" spans="1:34" x14ac:dyDescent="0.25">
      <c r="A289">
        <v>161</v>
      </c>
      <c r="B289" t="s">
        <v>145</v>
      </c>
      <c r="C289"/>
      <c r="D289" s="23">
        <v>70658.399999999994</v>
      </c>
      <c r="E289">
        <v>11081</v>
      </c>
      <c r="F289">
        <v>11</v>
      </c>
      <c r="G289">
        <v>7022</v>
      </c>
      <c r="H289" t="s">
        <v>15419</v>
      </c>
      <c r="I289" s="23">
        <v>70658.399999999994</v>
      </c>
      <c r="J289" s="185">
        <v>46121</v>
      </c>
      <c r="K289" s="185">
        <v>46121</v>
      </c>
      <c r="L289" s="185">
        <v>46211</v>
      </c>
      <c r="M289" s="185">
        <v>46181</v>
      </c>
      <c r="N289"/>
      <c r="O289">
        <v>1010100</v>
      </c>
      <c r="P289" t="s">
        <v>29</v>
      </c>
      <c r="Q289">
        <v>200000100</v>
      </c>
      <c r="R289" t="s">
        <v>15322</v>
      </c>
      <c r="S289"/>
      <c r="T289" t="s">
        <v>15323</v>
      </c>
      <c r="U289" t="s">
        <v>1964</v>
      </c>
      <c r="V289" s="23">
        <v>0</v>
      </c>
      <c r="W289" s="23">
        <v>0</v>
      </c>
      <c r="X289" s="23">
        <v>0</v>
      </c>
      <c r="Y289"/>
      <c r="Z289">
        <v>1246270917</v>
      </c>
      <c r="AA289"/>
      <c r="AB289" t="s">
        <v>1199</v>
      </c>
      <c r="AC289">
        <v>102</v>
      </c>
      <c r="AD289">
        <v>4</v>
      </c>
      <c r="AE289" t="s">
        <v>15324</v>
      </c>
      <c r="AF289"/>
      <c r="AG289" s="23"/>
      <c r="AH289" s="265" t="str">
        <f>_xlfn.XLOOKUP(G289,Clientes!I:I,Clientes!F:F)</f>
        <v>STRATOS - ROSARIO DO CATETE</v>
      </c>
    </row>
    <row r="290" spans="1:34" x14ac:dyDescent="0.25">
      <c r="A290">
        <v>161</v>
      </c>
      <c r="B290" t="s">
        <v>145</v>
      </c>
      <c r="C290"/>
      <c r="D290" s="23">
        <v>70705.600000000006</v>
      </c>
      <c r="E290">
        <v>10891</v>
      </c>
      <c r="F290">
        <v>11</v>
      </c>
      <c r="G290">
        <v>7022</v>
      </c>
      <c r="H290" t="s">
        <v>15419</v>
      </c>
      <c r="I290" s="23">
        <v>70705.600000000006</v>
      </c>
      <c r="J290" s="185">
        <v>46097</v>
      </c>
      <c r="K290" s="185">
        <v>46097</v>
      </c>
      <c r="L290" s="185">
        <v>46157</v>
      </c>
      <c r="M290" s="185">
        <v>46157</v>
      </c>
      <c r="N290"/>
      <c r="O290">
        <v>1010100</v>
      </c>
      <c r="P290" t="s">
        <v>29</v>
      </c>
      <c r="Q290">
        <v>200000100</v>
      </c>
      <c r="R290" t="s">
        <v>15322</v>
      </c>
      <c r="S290"/>
      <c r="T290" t="s">
        <v>15323</v>
      </c>
      <c r="U290" t="s">
        <v>1964</v>
      </c>
      <c r="V290" s="23">
        <v>0</v>
      </c>
      <c r="W290" s="23">
        <v>0</v>
      </c>
      <c r="X290" s="23">
        <v>0</v>
      </c>
      <c r="Y290"/>
      <c r="Z290">
        <v>1246267824</v>
      </c>
      <c r="AA290"/>
      <c r="AB290" t="s">
        <v>1199</v>
      </c>
      <c r="AC290">
        <v>102</v>
      </c>
      <c r="AD290">
        <v>4</v>
      </c>
      <c r="AE290" t="s">
        <v>15324</v>
      </c>
      <c r="AF290"/>
      <c r="AG290" s="23"/>
      <c r="AH290" s="265" t="str">
        <f>_xlfn.XLOOKUP(G290,Clientes!I:I,Clientes!F:F)</f>
        <v>STRATOS - ROSARIO DO CATETE</v>
      </c>
    </row>
    <row r="291" spans="1:34" x14ac:dyDescent="0.25">
      <c r="A291">
        <v>161</v>
      </c>
      <c r="B291" t="s">
        <v>145</v>
      </c>
      <c r="C291"/>
      <c r="D291" s="23">
        <v>70705.600000000006</v>
      </c>
      <c r="E291">
        <v>10943</v>
      </c>
      <c r="F291">
        <v>11</v>
      </c>
      <c r="G291">
        <v>7022</v>
      </c>
      <c r="H291" t="s">
        <v>15419</v>
      </c>
      <c r="I291" s="23">
        <v>70705.600000000006</v>
      </c>
      <c r="J291" s="185">
        <v>46101</v>
      </c>
      <c r="K291" s="185">
        <v>46101</v>
      </c>
      <c r="L291" s="185">
        <v>46191</v>
      </c>
      <c r="M291" s="185">
        <v>46161</v>
      </c>
      <c r="N291"/>
      <c r="O291">
        <v>1010100</v>
      </c>
      <c r="P291" t="s">
        <v>29</v>
      </c>
      <c r="Q291">
        <v>200000100</v>
      </c>
      <c r="R291" t="s">
        <v>15322</v>
      </c>
      <c r="S291"/>
      <c r="T291" t="s">
        <v>15323</v>
      </c>
      <c r="U291" t="s">
        <v>2246</v>
      </c>
      <c r="V291" s="23">
        <v>0</v>
      </c>
      <c r="W291" s="23">
        <v>0</v>
      </c>
      <c r="X291" s="23">
        <v>0</v>
      </c>
      <c r="Y291"/>
      <c r="Z291">
        <v>1246268533</v>
      </c>
      <c r="AA291"/>
      <c r="AB291" t="s">
        <v>1199</v>
      </c>
      <c r="AC291">
        <v>102</v>
      </c>
      <c r="AD291">
        <v>4</v>
      </c>
      <c r="AE291" t="s">
        <v>15324</v>
      </c>
      <c r="AF291"/>
      <c r="AG291" s="23"/>
      <c r="AH291" s="265" t="str">
        <f>_xlfn.XLOOKUP(G291,Clientes!I:I,Clientes!F:F)</f>
        <v>STRATOS - ROSARIO DO CATETE</v>
      </c>
    </row>
    <row r="292" spans="1:34" x14ac:dyDescent="0.25">
      <c r="A292">
        <v>161</v>
      </c>
      <c r="B292" t="s">
        <v>145</v>
      </c>
      <c r="C292"/>
      <c r="D292" s="23">
        <v>70705.600000000006</v>
      </c>
      <c r="E292">
        <v>11102</v>
      </c>
      <c r="F292">
        <v>11</v>
      </c>
      <c r="G292">
        <v>7022</v>
      </c>
      <c r="H292" t="s">
        <v>15419</v>
      </c>
      <c r="I292" s="23">
        <v>70705.600000000006</v>
      </c>
      <c r="J292" s="185">
        <v>46125</v>
      </c>
      <c r="K292" s="185">
        <v>46125</v>
      </c>
      <c r="L292" s="185">
        <v>46215</v>
      </c>
      <c r="M292" s="185">
        <v>46185</v>
      </c>
      <c r="N292"/>
      <c r="O292">
        <v>1010100</v>
      </c>
      <c r="P292" t="s">
        <v>29</v>
      </c>
      <c r="Q292">
        <v>200000100</v>
      </c>
      <c r="R292" t="s">
        <v>15322</v>
      </c>
      <c r="S292"/>
      <c r="T292" t="s">
        <v>15323</v>
      </c>
      <c r="U292" t="s">
        <v>4502</v>
      </c>
      <c r="V292" s="23">
        <v>0</v>
      </c>
      <c r="W292" s="23">
        <v>0</v>
      </c>
      <c r="X292" s="23">
        <v>0</v>
      </c>
      <c r="Y292"/>
      <c r="Z292">
        <v>1246271135</v>
      </c>
      <c r="AA292"/>
      <c r="AB292" t="s">
        <v>1199</v>
      </c>
      <c r="AC292">
        <v>102</v>
      </c>
      <c r="AD292">
        <v>4</v>
      </c>
      <c r="AE292" t="s">
        <v>15324</v>
      </c>
      <c r="AF292"/>
      <c r="AG292" s="23"/>
      <c r="AH292" s="265" t="str">
        <f>_xlfn.XLOOKUP(G292,Clientes!I:I,Clientes!F:F)</f>
        <v>STRATOS - ROSARIO DO CATETE</v>
      </c>
    </row>
    <row r="293" spans="1:34" x14ac:dyDescent="0.25">
      <c r="A293">
        <v>161</v>
      </c>
      <c r="B293" t="s">
        <v>145</v>
      </c>
      <c r="C293"/>
      <c r="D293" s="23">
        <v>70744.5</v>
      </c>
      <c r="E293">
        <v>10556</v>
      </c>
      <c r="F293">
        <v>11</v>
      </c>
      <c r="G293">
        <v>43</v>
      </c>
      <c r="H293" t="s">
        <v>674</v>
      </c>
      <c r="I293" s="23">
        <v>70744.5</v>
      </c>
      <c r="J293" s="185">
        <v>46045</v>
      </c>
      <c r="K293" s="185">
        <v>46045</v>
      </c>
      <c r="L293" s="185">
        <v>46073</v>
      </c>
      <c r="M293" s="185">
        <v>46073</v>
      </c>
      <c r="N293"/>
      <c r="O293">
        <v>1010100</v>
      </c>
      <c r="P293" t="s">
        <v>29</v>
      </c>
      <c r="Q293">
        <v>200000100</v>
      </c>
      <c r="R293" t="s">
        <v>15322</v>
      </c>
      <c r="S293"/>
      <c r="T293" t="s">
        <v>15323</v>
      </c>
      <c r="U293" t="s">
        <v>1964</v>
      </c>
      <c r="V293" s="23">
        <v>0</v>
      </c>
      <c r="W293" s="23">
        <v>0</v>
      </c>
      <c r="X293" s="23">
        <v>0</v>
      </c>
      <c r="Y293"/>
      <c r="Z293">
        <v>1246260586</v>
      </c>
      <c r="AA293"/>
      <c r="AB293" t="s">
        <v>1199</v>
      </c>
      <c r="AC293">
        <v>102</v>
      </c>
      <c r="AD293">
        <v>4</v>
      </c>
      <c r="AE293" t="s">
        <v>15324</v>
      </c>
      <c r="AF293"/>
      <c r="AG293" s="23"/>
      <c r="AH293" s="265" t="str">
        <f>_xlfn.XLOOKUP(G293,Clientes!I:I,Clientes!F:F)</f>
        <v>GRUPO CIBRA</v>
      </c>
    </row>
    <row r="294" spans="1:34" x14ac:dyDescent="0.25">
      <c r="A294">
        <v>161</v>
      </c>
      <c r="B294" t="s">
        <v>145</v>
      </c>
      <c r="C294"/>
      <c r="D294" s="23">
        <v>70752.800000000003</v>
      </c>
      <c r="E294">
        <v>10774</v>
      </c>
      <c r="F294">
        <v>11</v>
      </c>
      <c r="G294">
        <v>7022</v>
      </c>
      <c r="H294" t="s">
        <v>15419</v>
      </c>
      <c r="I294" s="23">
        <v>70752.800000000003</v>
      </c>
      <c r="J294" s="185">
        <v>46079</v>
      </c>
      <c r="K294" s="185">
        <v>46079</v>
      </c>
      <c r="L294" s="185">
        <v>46139</v>
      </c>
      <c r="M294" s="185">
        <v>46139</v>
      </c>
      <c r="N294"/>
      <c r="O294">
        <v>1010100</v>
      </c>
      <c r="P294" t="s">
        <v>29</v>
      </c>
      <c r="Q294">
        <v>200000100</v>
      </c>
      <c r="R294" t="s">
        <v>15322</v>
      </c>
      <c r="S294"/>
      <c r="T294" t="s">
        <v>15323</v>
      </c>
      <c r="U294" t="s">
        <v>2246</v>
      </c>
      <c r="V294" s="23">
        <v>0</v>
      </c>
      <c r="W294" s="23">
        <v>0</v>
      </c>
      <c r="X294" s="23">
        <v>0</v>
      </c>
      <c r="Y294"/>
      <c r="Z294">
        <v>1246265339</v>
      </c>
      <c r="AA294"/>
      <c r="AB294" t="s">
        <v>1199</v>
      </c>
      <c r="AC294">
        <v>102</v>
      </c>
      <c r="AD294">
        <v>4</v>
      </c>
      <c r="AE294" t="s">
        <v>15324</v>
      </c>
      <c r="AF294"/>
      <c r="AG294" s="23"/>
      <c r="AH294" s="265" t="str">
        <f>_xlfn.XLOOKUP(G294,Clientes!I:I,Clientes!F:F)</f>
        <v>STRATOS - ROSARIO DO CATETE</v>
      </c>
    </row>
    <row r="295" spans="1:34" x14ac:dyDescent="0.25">
      <c r="A295">
        <v>161</v>
      </c>
      <c r="B295" t="s">
        <v>145</v>
      </c>
      <c r="C295"/>
      <c r="D295" s="23">
        <v>70776.399999999994</v>
      </c>
      <c r="E295">
        <v>11461</v>
      </c>
      <c r="F295">
        <v>11</v>
      </c>
      <c r="G295">
        <v>7022</v>
      </c>
      <c r="H295" t="s">
        <v>15419</v>
      </c>
      <c r="I295" s="23">
        <v>70776.399999999994</v>
      </c>
      <c r="J295" s="185">
        <v>46163</v>
      </c>
      <c r="K295" s="185">
        <v>46163</v>
      </c>
      <c r="L295" s="185">
        <v>46253</v>
      </c>
      <c r="M295" s="185"/>
      <c r="N295"/>
      <c r="O295">
        <v>1010100</v>
      </c>
      <c r="P295" t="s">
        <v>29</v>
      </c>
      <c r="Q295">
        <v>200000100</v>
      </c>
      <c r="R295" t="s">
        <v>15322</v>
      </c>
      <c r="S295"/>
      <c r="T295" t="s">
        <v>15323</v>
      </c>
      <c r="U295" t="s">
        <v>4468</v>
      </c>
      <c r="V295" s="23">
        <v>0</v>
      </c>
      <c r="W295" s="23">
        <v>0</v>
      </c>
      <c r="X295" s="23">
        <v>0</v>
      </c>
      <c r="Y295"/>
      <c r="Z295">
        <v>1246276033</v>
      </c>
      <c r="AA295"/>
      <c r="AB295"/>
      <c r="AC295">
        <v>102</v>
      </c>
      <c r="AD295">
        <v>4</v>
      </c>
      <c r="AE295" t="s">
        <v>15324</v>
      </c>
      <c r="AF295"/>
      <c r="AG295" s="23"/>
      <c r="AH295" s="265" t="str">
        <f>_xlfn.XLOOKUP(G295,Clientes!I:I,Clientes!F:F)</f>
        <v>STRATOS - ROSARIO DO CATETE</v>
      </c>
    </row>
    <row r="296" spans="1:34" x14ac:dyDescent="0.25">
      <c r="A296">
        <v>161</v>
      </c>
      <c r="B296" t="s">
        <v>145</v>
      </c>
      <c r="C296"/>
      <c r="D296" s="23">
        <v>70800</v>
      </c>
      <c r="E296">
        <v>11695</v>
      </c>
      <c r="F296">
        <v>11</v>
      </c>
      <c r="G296">
        <v>7022</v>
      </c>
      <c r="H296" t="s">
        <v>15419</v>
      </c>
      <c r="I296" s="23">
        <v>70800</v>
      </c>
      <c r="J296" s="185">
        <v>46185</v>
      </c>
      <c r="K296" s="185">
        <v>46185</v>
      </c>
      <c r="L296" s="185">
        <v>46275</v>
      </c>
      <c r="M296" s="185"/>
      <c r="N296"/>
      <c r="O296">
        <v>1010100</v>
      </c>
      <c r="P296" t="s">
        <v>29</v>
      </c>
      <c r="Q296">
        <v>200000100</v>
      </c>
      <c r="R296" t="s">
        <v>15322</v>
      </c>
      <c r="S296"/>
      <c r="T296" t="s">
        <v>15323</v>
      </c>
      <c r="U296" t="s">
        <v>1530</v>
      </c>
      <c r="V296" s="23">
        <v>0</v>
      </c>
      <c r="W296" s="23">
        <v>0</v>
      </c>
      <c r="X296" s="23">
        <v>0</v>
      </c>
      <c r="Y296"/>
      <c r="Z296">
        <v>1246279372</v>
      </c>
      <c r="AA296"/>
      <c r="AB296"/>
      <c r="AC296">
        <v>102</v>
      </c>
      <c r="AD296">
        <v>4</v>
      </c>
      <c r="AE296" t="s">
        <v>15324</v>
      </c>
      <c r="AF296"/>
      <c r="AG296" s="23"/>
      <c r="AH296" s="265" t="str">
        <f>_xlfn.XLOOKUP(G296,Clientes!I:I,Clientes!F:F)</f>
        <v>STRATOS - ROSARIO DO CATETE</v>
      </c>
    </row>
    <row r="297" spans="1:34" x14ac:dyDescent="0.25">
      <c r="A297">
        <v>161</v>
      </c>
      <c r="B297" t="s">
        <v>145</v>
      </c>
      <c r="C297"/>
      <c r="D297" s="23">
        <v>70847.199999999997</v>
      </c>
      <c r="E297">
        <v>11588</v>
      </c>
      <c r="F297">
        <v>11</v>
      </c>
      <c r="G297">
        <v>7022</v>
      </c>
      <c r="H297" t="s">
        <v>15419</v>
      </c>
      <c r="I297" s="23">
        <v>70847.199999999997</v>
      </c>
      <c r="J297" s="185">
        <v>46176</v>
      </c>
      <c r="K297" s="185">
        <v>46176</v>
      </c>
      <c r="L297" s="185">
        <v>46266</v>
      </c>
      <c r="M297" s="185"/>
      <c r="N297"/>
      <c r="O297">
        <v>1010100</v>
      </c>
      <c r="P297" t="s">
        <v>29</v>
      </c>
      <c r="Q297">
        <v>200000100</v>
      </c>
      <c r="R297" t="s">
        <v>15322</v>
      </c>
      <c r="S297"/>
      <c r="T297" t="s">
        <v>15323</v>
      </c>
      <c r="U297" t="s">
        <v>4468</v>
      </c>
      <c r="V297" s="23">
        <v>0</v>
      </c>
      <c r="W297" s="23">
        <v>0</v>
      </c>
      <c r="X297" s="23">
        <v>0</v>
      </c>
      <c r="Y297"/>
      <c r="Z297">
        <v>1246278023</v>
      </c>
      <c r="AA297"/>
      <c r="AB297"/>
      <c r="AC297">
        <v>102</v>
      </c>
      <c r="AD297">
        <v>4</v>
      </c>
      <c r="AE297" t="s">
        <v>15324</v>
      </c>
      <c r="AF297"/>
      <c r="AG297" s="23"/>
      <c r="AH297" s="265" t="str">
        <f>_xlfn.XLOOKUP(G297,Clientes!I:I,Clientes!F:F)</f>
        <v>STRATOS - ROSARIO DO CATETE</v>
      </c>
    </row>
    <row r="298" spans="1:34" x14ac:dyDescent="0.25">
      <c r="A298">
        <v>161</v>
      </c>
      <c r="B298" t="s">
        <v>145</v>
      </c>
      <c r="C298"/>
      <c r="D298" s="23">
        <v>70849.5</v>
      </c>
      <c r="E298">
        <v>11597</v>
      </c>
      <c r="F298">
        <v>11</v>
      </c>
      <c r="G298">
        <v>7024</v>
      </c>
      <c r="H298" t="s">
        <v>721</v>
      </c>
      <c r="I298" s="23">
        <v>70849.5</v>
      </c>
      <c r="J298" s="185">
        <v>46178</v>
      </c>
      <c r="K298" s="185">
        <v>46178</v>
      </c>
      <c r="L298" s="185">
        <v>46268</v>
      </c>
      <c r="M298" s="185"/>
      <c r="N298"/>
      <c r="O298">
        <v>1010100</v>
      </c>
      <c r="P298" t="s">
        <v>29</v>
      </c>
      <c r="Q298">
        <v>200000100</v>
      </c>
      <c r="R298" t="s">
        <v>15322</v>
      </c>
      <c r="S298"/>
      <c r="T298" t="s">
        <v>15323</v>
      </c>
      <c r="U298" t="s">
        <v>1216</v>
      </c>
      <c r="V298" s="23">
        <v>0</v>
      </c>
      <c r="W298" s="23">
        <v>0</v>
      </c>
      <c r="X298" s="23">
        <v>0</v>
      </c>
      <c r="Y298"/>
      <c r="Z298">
        <v>1246278281</v>
      </c>
      <c r="AA298"/>
      <c r="AB298"/>
      <c r="AC298">
        <v>102</v>
      </c>
      <c r="AD298">
        <v>4</v>
      </c>
      <c r="AE298" t="s">
        <v>15324</v>
      </c>
      <c r="AF298"/>
      <c r="AG298" s="23"/>
      <c r="AH298" s="265" t="str">
        <f>_xlfn.XLOOKUP(G298,Clientes!I:I,Clientes!F:F)</f>
        <v>GRUPO MOSAIC FERTILIZANTES DO BRASIL</v>
      </c>
    </row>
    <row r="299" spans="1:34" x14ac:dyDescent="0.25">
      <c r="A299">
        <v>161</v>
      </c>
      <c r="B299" t="s">
        <v>145</v>
      </c>
      <c r="C299"/>
      <c r="D299" s="23">
        <v>70855.199999999997</v>
      </c>
      <c r="E299">
        <v>11011</v>
      </c>
      <c r="F299">
        <v>11</v>
      </c>
      <c r="G299">
        <v>7024</v>
      </c>
      <c r="H299" t="s">
        <v>721</v>
      </c>
      <c r="I299" s="23">
        <v>70855.199999999997</v>
      </c>
      <c r="J299" s="185">
        <v>46111</v>
      </c>
      <c r="K299" s="185">
        <v>46111</v>
      </c>
      <c r="L299" s="185">
        <v>46201</v>
      </c>
      <c r="M299" s="185"/>
      <c r="N299"/>
      <c r="O299">
        <v>1010100</v>
      </c>
      <c r="P299" t="s">
        <v>29</v>
      </c>
      <c r="Q299">
        <v>200000100</v>
      </c>
      <c r="R299" t="s">
        <v>15322</v>
      </c>
      <c r="S299"/>
      <c r="T299" t="s">
        <v>15323</v>
      </c>
      <c r="U299" t="s">
        <v>5803</v>
      </c>
      <c r="V299" s="23">
        <v>0</v>
      </c>
      <c r="W299" s="23">
        <v>0</v>
      </c>
      <c r="X299" s="23">
        <v>0</v>
      </c>
      <c r="Y299"/>
      <c r="Z299">
        <v>1246269662</v>
      </c>
      <c r="AA299"/>
      <c r="AB299"/>
      <c r="AC299">
        <v>102</v>
      </c>
      <c r="AD299">
        <v>4</v>
      </c>
      <c r="AE299" t="s">
        <v>15324</v>
      </c>
      <c r="AF299"/>
      <c r="AG299" s="23"/>
      <c r="AH299" s="265" t="str">
        <f>_xlfn.XLOOKUP(G299,Clientes!I:I,Clientes!F:F)</f>
        <v>GRUPO MOSAIC FERTILIZANTES DO BRASIL</v>
      </c>
    </row>
    <row r="300" spans="1:34" x14ac:dyDescent="0.25">
      <c r="A300">
        <v>161</v>
      </c>
      <c r="B300" t="s">
        <v>145</v>
      </c>
      <c r="C300"/>
      <c r="D300" s="23">
        <v>70894.399999999994</v>
      </c>
      <c r="E300">
        <v>10982</v>
      </c>
      <c r="F300">
        <v>11</v>
      </c>
      <c r="G300">
        <v>7022</v>
      </c>
      <c r="H300" t="s">
        <v>15419</v>
      </c>
      <c r="I300" s="23">
        <v>70894.399999999994</v>
      </c>
      <c r="J300" s="185">
        <v>46107</v>
      </c>
      <c r="K300" s="185">
        <v>46107</v>
      </c>
      <c r="L300" s="185">
        <v>46197</v>
      </c>
      <c r="M300" s="185">
        <v>46170</v>
      </c>
      <c r="N300"/>
      <c r="O300">
        <v>1010100</v>
      </c>
      <c r="P300" t="s">
        <v>29</v>
      </c>
      <c r="Q300">
        <v>200000100</v>
      </c>
      <c r="R300" t="s">
        <v>15322</v>
      </c>
      <c r="S300"/>
      <c r="T300" t="s">
        <v>15323</v>
      </c>
      <c r="U300" t="s">
        <v>4468</v>
      </c>
      <c r="V300" s="23">
        <v>0</v>
      </c>
      <c r="W300" s="23">
        <v>0</v>
      </c>
      <c r="X300" s="23">
        <v>0</v>
      </c>
      <c r="Y300"/>
      <c r="Z300">
        <v>1246269324</v>
      </c>
      <c r="AA300"/>
      <c r="AB300" t="s">
        <v>1199</v>
      </c>
      <c r="AC300">
        <v>102</v>
      </c>
      <c r="AD300">
        <v>4</v>
      </c>
      <c r="AE300" t="s">
        <v>15324</v>
      </c>
      <c r="AF300"/>
      <c r="AG300" s="23"/>
      <c r="AH300" s="265" t="str">
        <f>_xlfn.XLOOKUP(G300,Clientes!I:I,Clientes!F:F)</f>
        <v>STRATOS - ROSARIO DO CATETE</v>
      </c>
    </row>
    <row r="301" spans="1:34" x14ac:dyDescent="0.25">
      <c r="A301">
        <v>161</v>
      </c>
      <c r="B301" t="s">
        <v>145</v>
      </c>
      <c r="C301"/>
      <c r="D301" s="23">
        <v>70894.399999999994</v>
      </c>
      <c r="E301">
        <v>11087</v>
      </c>
      <c r="F301">
        <v>11</v>
      </c>
      <c r="G301">
        <v>7022</v>
      </c>
      <c r="H301" t="s">
        <v>15419</v>
      </c>
      <c r="I301" s="23">
        <v>70894.399999999994</v>
      </c>
      <c r="J301" s="185">
        <v>46122</v>
      </c>
      <c r="K301" s="185">
        <v>46122</v>
      </c>
      <c r="L301" s="185">
        <v>46212</v>
      </c>
      <c r="M301" s="185">
        <v>46182</v>
      </c>
      <c r="N301"/>
      <c r="O301">
        <v>1010100</v>
      </c>
      <c r="P301" t="s">
        <v>29</v>
      </c>
      <c r="Q301">
        <v>200000100</v>
      </c>
      <c r="R301" t="s">
        <v>15322</v>
      </c>
      <c r="S301"/>
      <c r="T301" t="s">
        <v>15323</v>
      </c>
      <c r="U301" t="s">
        <v>2246</v>
      </c>
      <c r="V301" s="23">
        <v>0</v>
      </c>
      <c r="W301" s="23">
        <v>0</v>
      </c>
      <c r="X301" s="23">
        <v>0</v>
      </c>
      <c r="Y301"/>
      <c r="Z301">
        <v>1246270966</v>
      </c>
      <c r="AA301"/>
      <c r="AB301" t="s">
        <v>1199</v>
      </c>
      <c r="AC301">
        <v>102</v>
      </c>
      <c r="AD301">
        <v>4</v>
      </c>
      <c r="AE301" t="s">
        <v>15324</v>
      </c>
      <c r="AF301"/>
      <c r="AG301" s="23"/>
      <c r="AH301" s="265" t="str">
        <f>_xlfn.XLOOKUP(G301,Clientes!I:I,Clientes!F:F)</f>
        <v>STRATOS - ROSARIO DO CATETE</v>
      </c>
    </row>
    <row r="302" spans="1:34" x14ac:dyDescent="0.25">
      <c r="A302">
        <v>161</v>
      </c>
      <c r="B302" t="s">
        <v>145</v>
      </c>
      <c r="C302"/>
      <c r="D302" s="23">
        <v>70894.399999999994</v>
      </c>
      <c r="E302">
        <v>10798</v>
      </c>
      <c r="F302">
        <v>11</v>
      </c>
      <c r="G302">
        <v>7022</v>
      </c>
      <c r="H302" t="s">
        <v>15419</v>
      </c>
      <c r="I302" s="23">
        <v>70894.399999999994</v>
      </c>
      <c r="J302" s="185">
        <v>46083</v>
      </c>
      <c r="K302" s="185">
        <v>46083</v>
      </c>
      <c r="L302" s="185">
        <v>46143</v>
      </c>
      <c r="M302" s="185">
        <v>46141</v>
      </c>
      <c r="N302"/>
      <c r="O302">
        <v>1010100</v>
      </c>
      <c r="P302" t="s">
        <v>29</v>
      </c>
      <c r="Q302">
        <v>200000100</v>
      </c>
      <c r="R302" t="s">
        <v>15322</v>
      </c>
      <c r="S302"/>
      <c r="T302" t="s">
        <v>15323</v>
      </c>
      <c r="U302" t="s">
        <v>5803</v>
      </c>
      <c r="V302" s="23">
        <v>0</v>
      </c>
      <c r="W302" s="23">
        <v>0</v>
      </c>
      <c r="X302" s="23">
        <v>0</v>
      </c>
      <c r="Y302"/>
      <c r="Z302">
        <v>1246266057</v>
      </c>
      <c r="AA302"/>
      <c r="AB302" t="s">
        <v>1199</v>
      </c>
      <c r="AC302">
        <v>102</v>
      </c>
      <c r="AD302">
        <v>4</v>
      </c>
      <c r="AE302" t="s">
        <v>15324</v>
      </c>
      <c r="AF302"/>
      <c r="AG302" s="23"/>
      <c r="AH302" s="265" t="str">
        <f>_xlfn.XLOOKUP(G302,Clientes!I:I,Clientes!F:F)</f>
        <v>STRATOS - ROSARIO DO CATETE</v>
      </c>
    </row>
    <row r="303" spans="1:34" x14ac:dyDescent="0.25">
      <c r="A303">
        <v>161</v>
      </c>
      <c r="B303" t="s">
        <v>145</v>
      </c>
      <c r="C303"/>
      <c r="D303" s="23">
        <v>70918</v>
      </c>
      <c r="E303">
        <v>10699</v>
      </c>
      <c r="F303">
        <v>11</v>
      </c>
      <c r="G303">
        <v>7022</v>
      </c>
      <c r="H303" t="s">
        <v>15419</v>
      </c>
      <c r="I303" s="23">
        <v>70918</v>
      </c>
      <c r="J303" s="185">
        <v>46069</v>
      </c>
      <c r="K303" s="185">
        <v>46069</v>
      </c>
      <c r="L303" s="185">
        <v>46129</v>
      </c>
      <c r="M303" s="185">
        <v>46129</v>
      </c>
      <c r="N303"/>
      <c r="O303">
        <v>1010100</v>
      </c>
      <c r="P303" t="s">
        <v>29</v>
      </c>
      <c r="Q303">
        <v>200000100</v>
      </c>
      <c r="R303" t="s">
        <v>15322</v>
      </c>
      <c r="S303"/>
      <c r="T303" t="s">
        <v>15323</v>
      </c>
      <c r="U303" t="s">
        <v>4468</v>
      </c>
      <c r="V303" s="23">
        <v>0</v>
      </c>
      <c r="W303" s="23">
        <v>0</v>
      </c>
      <c r="X303" s="23">
        <v>0</v>
      </c>
      <c r="Y303"/>
      <c r="Z303">
        <v>1246263794</v>
      </c>
      <c r="AA303"/>
      <c r="AB303" t="s">
        <v>2073</v>
      </c>
      <c r="AC303">
        <v>102</v>
      </c>
      <c r="AD303">
        <v>4</v>
      </c>
      <c r="AE303" t="s">
        <v>15324</v>
      </c>
      <c r="AF303"/>
      <c r="AG303" s="23"/>
      <c r="AH303" s="265" t="str">
        <f>_xlfn.XLOOKUP(G303,Clientes!I:I,Clientes!F:F)</f>
        <v>STRATOS - ROSARIO DO CATETE</v>
      </c>
    </row>
    <row r="304" spans="1:34" x14ac:dyDescent="0.25">
      <c r="A304">
        <v>161</v>
      </c>
      <c r="B304" t="s">
        <v>145</v>
      </c>
      <c r="C304"/>
      <c r="D304" s="23">
        <v>70941.600000000006</v>
      </c>
      <c r="E304">
        <v>11176</v>
      </c>
      <c r="F304">
        <v>11</v>
      </c>
      <c r="G304">
        <v>7022</v>
      </c>
      <c r="H304" t="s">
        <v>15419</v>
      </c>
      <c r="I304" s="23">
        <v>70941.600000000006</v>
      </c>
      <c r="J304" s="185">
        <v>46132</v>
      </c>
      <c r="K304" s="185">
        <v>46132</v>
      </c>
      <c r="L304" s="185">
        <v>46222</v>
      </c>
      <c r="M304" s="185">
        <v>46191</v>
      </c>
      <c r="N304"/>
      <c r="O304">
        <v>1010100</v>
      </c>
      <c r="P304" t="s">
        <v>29</v>
      </c>
      <c r="Q304">
        <v>200000100</v>
      </c>
      <c r="R304" t="s">
        <v>15322</v>
      </c>
      <c r="S304"/>
      <c r="T304" t="s">
        <v>15323</v>
      </c>
      <c r="U304" t="s">
        <v>4468</v>
      </c>
      <c r="V304" s="23">
        <v>0</v>
      </c>
      <c r="W304" s="23">
        <v>0</v>
      </c>
      <c r="X304" s="23">
        <v>0</v>
      </c>
      <c r="Y304"/>
      <c r="Z304">
        <v>1246271888</v>
      </c>
      <c r="AA304"/>
      <c r="AB304" t="s">
        <v>1199</v>
      </c>
      <c r="AC304">
        <v>102</v>
      </c>
      <c r="AD304">
        <v>4</v>
      </c>
      <c r="AE304" t="s">
        <v>15324</v>
      </c>
      <c r="AF304"/>
      <c r="AG304" s="23"/>
      <c r="AH304" s="265" t="str">
        <f>_xlfn.XLOOKUP(G304,Clientes!I:I,Clientes!F:F)</f>
        <v>STRATOS - ROSARIO DO CATETE</v>
      </c>
    </row>
    <row r="305" spans="1:34" x14ac:dyDescent="0.25">
      <c r="A305">
        <v>161</v>
      </c>
      <c r="B305" t="s">
        <v>145</v>
      </c>
      <c r="C305"/>
      <c r="D305" s="23">
        <v>70957.8</v>
      </c>
      <c r="E305">
        <v>10513</v>
      </c>
      <c r="F305">
        <v>11</v>
      </c>
      <c r="G305">
        <v>43</v>
      </c>
      <c r="H305" t="s">
        <v>674</v>
      </c>
      <c r="I305" s="23">
        <v>70957.8</v>
      </c>
      <c r="J305" s="185">
        <v>46041</v>
      </c>
      <c r="K305" s="185">
        <v>46041</v>
      </c>
      <c r="L305" s="185">
        <v>46069</v>
      </c>
      <c r="M305" s="185">
        <v>46071</v>
      </c>
      <c r="N305"/>
      <c r="O305">
        <v>1010100</v>
      </c>
      <c r="P305" t="s">
        <v>29</v>
      </c>
      <c r="Q305">
        <v>200000100</v>
      </c>
      <c r="R305" t="s">
        <v>15322</v>
      </c>
      <c r="S305"/>
      <c r="T305" t="s">
        <v>15323</v>
      </c>
      <c r="U305" t="s">
        <v>1530</v>
      </c>
      <c r="V305" s="23">
        <v>0</v>
      </c>
      <c r="W305" s="23">
        <v>0</v>
      </c>
      <c r="X305" s="23">
        <v>0</v>
      </c>
      <c r="Y305"/>
      <c r="Z305">
        <v>1246259915</v>
      </c>
      <c r="AA305"/>
      <c r="AB305" t="s">
        <v>1199</v>
      </c>
      <c r="AC305">
        <v>102</v>
      </c>
      <c r="AD305">
        <v>4</v>
      </c>
      <c r="AE305" t="s">
        <v>15324</v>
      </c>
      <c r="AF305"/>
      <c r="AG305" s="23"/>
      <c r="AH305" s="265" t="str">
        <f>_xlfn.XLOOKUP(G305,Clientes!I:I,Clientes!F:F)</f>
        <v>GRUPO CIBRA</v>
      </c>
    </row>
    <row r="306" spans="1:34" x14ac:dyDescent="0.25">
      <c r="A306">
        <v>161</v>
      </c>
      <c r="B306" t="s">
        <v>145</v>
      </c>
      <c r="C306"/>
      <c r="D306" s="23">
        <v>70988.800000000003</v>
      </c>
      <c r="E306">
        <v>10829</v>
      </c>
      <c r="F306">
        <v>11</v>
      </c>
      <c r="G306">
        <v>7022</v>
      </c>
      <c r="H306" t="s">
        <v>15419</v>
      </c>
      <c r="I306" s="23">
        <v>70988.800000000003</v>
      </c>
      <c r="J306" s="185">
        <v>46087</v>
      </c>
      <c r="K306" s="185">
        <v>46087</v>
      </c>
      <c r="L306" s="185">
        <v>46147</v>
      </c>
      <c r="M306" s="185">
        <v>46141</v>
      </c>
      <c r="N306"/>
      <c r="O306">
        <v>1010100</v>
      </c>
      <c r="P306" t="s">
        <v>29</v>
      </c>
      <c r="Q306">
        <v>200000100</v>
      </c>
      <c r="R306" t="s">
        <v>15322</v>
      </c>
      <c r="S306"/>
      <c r="T306" t="s">
        <v>15323</v>
      </c>
      <c r="U306" t="s">
        <v>2246</v>
      </c>
      <c r="V306" s="23">
        <v>0</v>
      </c>
      <c r="W306" s="23">
        <v>0</v>
      </c>
      <c r="X306" s="23">
        <v>0</v>
      </c>
      <c r="Y306"/>
      <c r="Z306">
        <v>1246266859</v>
      </c>
      <c r="AA306"/>
      <c r="AB306" t="s">
        <v>1199</v>
      </c>
      <c r="AC306">
        <v>102</v>
      </c>
      <c r="AD306">
        <v>4</v>
      </c>
      <c r="AE306" t="s">
        <v>15324</v>
      </c>
      <c r="AF306"/>
      <c r="AG306" s="23"/>
      <c r="AH306" s="265" t="str">
        <f>_xlfn.XLOOKUP(G306,Clientes!I:I,Clientes!F:F)</f>
        <v>STRATOS - ROSARIO DO CATETE</v>
      </c>
    </row>
    <row r="307" spans="1:34" x14ac:dyDescent="0.25">
      <c r="A307">
        <v>161</v>
      </c>
      <c r="B307" t="s">
        <v>145</v>
      </c>
      <c r="C307"/>
      <c r="D307" s="23">
        <v>71012.399999999994</v>
      </c>
      <c r="E307">
        <v>11207</v>
      </c>
      <c r="F307">
        <v>11</v>
      </c>
      <c r="G307">
        <v>7022</v>
      </c>
      <c r="H307" t="s">
        <v>15419</v>
      </c>
      <c r="I307" s="23">
        <v>71012.399999999994</v>
      </c>
      <c r="J307" s="185">
        <v>46136</v>
      </c>
      <c r="K307" s="185">
        <v>46136</v>
      </c>
      <c r="L307" s="185">
        <v>46226</v>
      </c>
      <c r="M307" s="185">
        <v>46196</v>
      </c>
      <c r="N307"/>
      <c r="O307">
        <v>1010100</v>
      </c>
      <c r="P307" t="s">
        <v>29</v>
      </c>
      <c r="Q307">
        <v>200000100</v>
      </c>
      <c r="R307" t="s">
        <v>15322</v>
      </c>
      <c r="S307"/>
      <c r="T307" t="s">
        <v>15323</v>
      </c>
      <c r="U307" t="s">
        <v>1216</v>
      </c>
      <c r="V307" s="23">
        <v>0</v>
      </c>
      <c r="W307" s="23">
        <v>0</v>
      </c>
      <c r="X307" s="23">
        <v>0</v>
      </c>
      <c r="Y307"/>
      <c r="Z307">
        <v>1246272359</v>
      </c>
      <c r="AA307"/>
      <c r="AB307" t="s">
        <v>1199</v>
      </c>
      <c r="AC307">
        <v>102</v>
      </c>
      <c r="AD307">
        <v>4</v>
      </c>
      <c r="AE307" t="s">
        <v>15324</v>
      </c>
      <c r="AF307"/>
      <c r="AG307" s="23"/>
      <c r="AH307" s="265" t="str">
        <f>_xlfn.XLOOKUP(G307,Clientes!I:I,Clientes!F:F)</f>
        <v>STRATOS - ROSARIO DO CATETE</v>
      </c>
    </row>
    <row r="308" spans="1:34" x14ac:dyDescent="0.25">
      <c r="A308">
        <v>161</v>
      </c>
      <c r="B308" t="s">
        <v>145</v>
      </c>
      <c r="C308"/>
      <c r="D308" s="23">
        <v>71038.429999999993</v>
      </c>
      <c r="E308">
        <v>11682</v>
      </c>
      <c r="F308">
        <v>11</v>
      </c>
      <c r="G308">
        <v>7024</v>
      </c>
      <c r="H308" t="s">
        <v>721</v>
      </c>
      <c r="I308" s="23">
        <v>71038.429999999993</v>
      </c>
      <c r="J308" s="185">
        <v>46184</v>
      </c>
      <c r="K308" s="185">
        <v>46184</v>
      </c>
      <c r="L308" s="185">
        <v>46274</v>
      </c>
      <c r="M308" s="185"/>
      <c r="N308"/>
      <c r="O308">
        <v>1010100</v>
      </c>
      <c r="P308" t="s">
        <v>29</v>
      </c>
      <c r="Q308">
        <v>200000100</v>
      </c>
      <c r="R308" t="s">
        <v>15322</v>
      </c>
      <c r="S308"/>
      <c r="T308" t="s">
        <v>15323</v>
      </c>
      <c r="U308" t="s">
        <v>4502</v>
      </c>
      <c r="V308" s="23">
        <v>0</v>
      </c>
      <c r="W308" s="23">
        <v>0</v>
      </c>
      <c r="X308" s="23">
        <v>0</v>
      </c>
      <c r="Y308"/>
      <c r="Z308">
        <v>1246279215</v>
      </c>
      <c r="AA308"/>
      <c r="AB308"/>
      <c r="AC308">
        <v>102</v>
      </c>
      <c r="AD308">
        <v>4</v>
      </c>
      <c r="AE308" t="s">
        <v>15324</v>
      </c>
      <c r="AF308"/>
      <c r="AG308" s="23"/>
      <c r="AH308" s="265" t="str">
        <f>_xlfn.XLOOKUP(G308,Clientes!I:I,Clientes!F:F)</f>
        <v>GRUPO MOSAIC FERTILIZANTES DO BRASIL</v>
      </c>
    </row>
    <row r="309" spans="1:34" x14ac:dyDescent="0.25">
      <c r="A309">
        <v>161</v>
      </c>
      <c r="B309" t="s">
        <v>145</v>
      </c>
      <c r="C309"/>
      <c r="D309" s="23">
        <v>71123.7</v>
      </c>
      <c r="E309">
        <v>10916</v>
      </c>
      <c r="F309">
        <v>11</v>
      </c>
      <c r="G309">
        <v>43</v>
      </c>
      <c r="H309" t="s">
        <v>674</v>
      </c>
      <c r="I309" s="23">
        <v>71123.7</v>
      </c>
      <c r="J309" s="185">
        <v>46099</v>
      </c>
      <c r="K309" s="185">
        <v>46099</v>
      </c>
      <c r="L309" s="185">
        <v>46127</v>
      </c>
      <c r="M309" s="185">
        <v>46127</v>
      </c>
      <c r="N309"/>
      <c r="O309">
        <v>1010100</v>
      </c>
      <c r="P309" t="s">
        <v>29</v>
      </c>
      <c r="Q309">
        <v>200000100</v>
      </c>
      <c r="R309" t="s">
        <v>15322</v>
      </c>
      <c r="S309"/>
      <c r="T309" t="s">
        <v>15323</v>
      </c>
      <c r="U309" t="s">
        <v>2246</v>
      </c>
      <c r="V309" s="23">
        <v>0</v>
      </c>
      <c r="W309" s="23">
        <v>0</v>
      </c>
      <c r="X309" s="23">
        <v>0</v>
      </c>
      <c r="Y309"/>
      <c r="Z309">
        <v>1246268230</v>
      </c>
      <c r="AA309"/>
      <c r="AB309" t="s">
        <v>2073</v>
      </c>
      <c r="AC309">
        <v>102</v>
      </c>
      <c r="AD309">
        <v>4</v>
      </c>
      <c r="AE309" t="s">
        <v>15324</v>
      </c>
      <c r="AF309"/>
      <c r="AG309" s="23"/>
      <c r="AH309" s="265" t="str">
        <f>_xlfn.XLOOKUP(G309,Clientes!I:I,Clientes!F:F)</f>
        <v>GRUPO CIBRA</v>
      </c>
    </row>
    <row r="310" spans="1:34" x14ac:dyDescent="0.25">
      <c r="A310">
        <v>161</v>
      </c>
      <c r="B310" t="s">
        <v>145</v>
      </c>
      <c r="C310"/>
      <c r="D310" s="23">
        <v>71154</v>
      </c>
      <c r="E310">
        <v>10789</v>
      </c>
      <c r="F310">
        <v>11</v>
      </c>
      <c r="G310">
        <v>7022</v>
      </c>
      <c r="H310" t="s">
        <v>15419</v>
      </c>
      <c r="I310" s="23">
        <v>71154</v>
      </c>
      <c r="J310" s="185">
        <v>46080</v>
      </c>
      <c r="K310" s="185">
        <v>46080</v>
      </c>
      <c r="L310" s="185">
        <v>46140</v>
      </c>
      <c r="M310" s="185">
        <v>46140</v>
      </c>
      <c r="N310"/>
      <c r="O310">
        <v>1010100</v>
      </c>
      <c r="P310" t="s">
        <v>29</v>
      </c>
      <c r="Q310">
        <v>200000100</v>
      </c>
      <c r="R310" t="s">
        <v>15322</v>
      </c>
      <c r="S310"/>
      <c r="T310" t="s">
        <v>15323</v>
      </c>
      <c r="U310" t="s">
        <v>4468</v>
      </c>
      <c r="V310" s="23">
        <v>0</v>
      </c>
      <c r="W310" s="23">
        <v>0</v>
      </c>
      <c r="X310" s="23">
        <v>0</v>
      </c>
      <c r="Y310"/>
      <c r="Z310">
        <v>1246265854</v>
      </c>
      <c r="AA310"/>
      <c r="AB310" t="s">
        <v>1199</v>
      </c>
      <c r="AC310">
        <v>102</v>
      </c>
      <c r="AD310">
        <v>4</v>
      </c>
      <c r="AE310" t="s">
        <v>15324</v>
      </c>
      <c r="AF310"/>
      <c r="AG310" s="23"/>
      <c r="AH310" s="265" t="str">
        <f>_xlfn.XLOOKUP(G310,Clientes!I:I,Clientes!F:F)</f>
        <v>STRATOS - ROSARIO DO CATETE</v>
      </c>
    </row>
    <row r="311" spans="1:34" x14ac:dyDescent="0.25">
      <c r="A311">
        <v>161</v>
      </c>
      <c r="B311" t="s">
        <v>145</v>
      </c>
      <c r="C311"/>
      <c r="D311" s="23">
        <v>71154</v>
      </c>
      <c r="E311">
        <v>11645</v>
      </c>
      <c r="F311">
        <v>11</v>
      </c>
      <c r="G311">
        <v>7022</v>
      </c>
      <c r="H311" t="s">
        <v>15419</v>
      </c>
      <c r="I311" s="23">
        <v>71154</v>
      </c>
      <c r="J311" s="185">
        <v>46181</v>
      </c>
      <c r="K311" s="185">
        <v>46181</v>
      </c>
      <c r="L311" s="185">
        <v>46271</v>
      </c>
      <c r="M311" s="185"/>
      <c r="N311"/>
      <c r="O311">
        <v>1010100</v>
      </c>
      <c r="P311" t="s">
        <v>29</v>
      </c>
      <c r="Q311">
        <v>200000100</v>
      </c>
      <c r="R311" t="s">
        <v>15322</v>
      </c>
      <c r="S311"/>
      <c r="T311" t="s">
        <v>15323</v>
      </c>
      <c r="U311" t="s">
        <v>5803</v>
      </c>
      <c r="V311" s="23">
        <v>0</v>
      </c>
      <c r="W311" s="23">
        <v>0</v>
      </c>
      <c r="X311" s="23">
        <v>0</v>
      </c>
      <c r="Y311"/>
      <c r="Z311">
        <v>1246278604</v>
      </c>
      <c r="AA311"/>
      <c r="AB311"/>
      <c r="AC311">
        <v>102</v>
      </c>
      <c r="AD311">
        <v>4</v>
      </c>
      <c r="AE311" t="s">
        <v>15324</v>
      </c>
      <c r="AF311"/>
      <c r="AG311" s="23"/>
      <c r="AH311" s="265" t="str">
        <f>_xlfn.XLOOKUP(G311,Clientes!I:I,Clientes!F:F)</f>
        <v>STRATOS - ROSARIO DO CATETE</v>
      </c>
    </row>
    <row r="312" spans="1:34" x14ac:dyDescent="0.25">
      <c r="A312">
        <v>161</v>
      </c>
      <c r="B312" t="s">
        <v>145</v>
      </c>
      <c r="C312"/>
      <c r="D312" s="23">
        <v>71177.600000000006</v>
      </c>
      <c r="E312">
        <v>11746</v>
      </c>
      <c r="F312">
        <v>11</v>
      </c>
      <c r="G312">
        <v>7022</v>
      </c>
      <c r="H312" t="s">
        <v>15419</v>
      </c>
      <c r="I312" s="23">
        <v>71177.600000000006</v>
      </c>
      <c r="J312" s="185">
        <v>46191</v>
      </c>
      <c r="K312" s="185">
        <v>46191</v>
      </c>
      <c r="L312" s="185">
        <v>46281</v>
      </c>
      <c r="M312" s="185"/>
      <c r="N312"/>
      <c r="O312">
        <v>1010100</v>
      </c>
      <c r="P312" t="s">
        <v>29</v>
      </c>
      <c r="Q312">
        <v>200000100</v>
      </c>
      <c r="R312" t="s">
        <v>15322</v>
      </c>
      <c r="S312"/>
      <c r="T312" t="s">
        <v>15323</v>
      </c>
      <c r="U312" t="s">
        <v>5803</v>
      </c>
      <c r="V312" s="23">
        <v>0</v>
      </c>
      <c r="W312" s="23">
        <v>0</v>
      </c>
      <c r="X312" s="23">
        <v>0</v>
      </c>
      <c r="Y312"/>
      <c r="Z312">
        <v>1246280091</v>
      </c>
      <c r="AA312"/>
      <c r="AB312"/>
      <c r="AC312">
        <v>102</v>
      </c>
      <c r="AD312">
        <v>4</v>
      </c>
      <c r="AE312" t="s">
        <v>15324</v>
      </c>
      <c r="AF312"/>
      <c r="AG312" s="23"/>
      <c r="AH312" s="265" t="str">
        <f>_xlfn.XLOOKUP(G312,Clientes!I:I,Clientes!F:F)</f>
        <v>STRATOS - ROSARIO DO CATETE</v>
      </c>
    </row>
    <row r="313" spans="1:34" x14ac:dyDescent="0.25">
      <c r="A313">
        <v>161</v>
      </c>
      <c r="B313" t="s">
        <v>145</v>
      </c>
      <c r="C313"/>
      <c r="D313" s="23">
        <v>71194.8</v>
      </c>
      <c r="E313">
        <v>10713</v>
      </c>
      <c r="F313">
        <v>11</v>
      </c>
      <c r="G313">
        <v>43</v>
      </c>
      <c r="H313" t="s">
        <v>674</v>
      </c>
      <c r="I313" s="23">
        <v>71194.8</v>
      </c>
      <c r="J313" s="185">
        <v>46071</v>
      </c>
      <c r="K313" s="185">
        <v>46071</v>
      </c>
      <c r="L313" s="185">
        <v>46099</v>
      </c>
      <c r="M313" s="185">
        <v>46099</v>
      </c>
      <c r="N313"/>
      <c r="O313">
        <v>1010100</v>
      </c>
      <c r="P313" t="s">
        <v>29</v>
      </c>
      <c r="Q313">
        <v>200000100</v>
      </c>
      <c r="R313" t="s">
        <v>15322</v>
      </c>
      <c r="S313"/>
      <c r="T313" t="s">
        <v>15323</v>
      </c>
      <c r="U313" t="s">
        <v>4468</v>
      </c>
      <c r="V313" s="23">
        <v>0</v>
      </c>
      <c r="W313" s="23">
        <v>0</v>
      </c>
      <c r="X313" s="23">
        <v>0</v>
      </c>
      <c r="Y313"/>
      <c r="Z313">
        <v>1246263987</v>
      </c>
      <c r="AA313"/>
      <c r="AB313" t="s">
        <v>1199</v>
      </c>
      <c r="AC313">
        <v>102</v>
      </c>
      <c r="AD313">
        <v>4</v>
      </c>
      <c r="AE313" t="s">
        <v>15324</v>
      </c>
      <c r="AF313"/>
      <c r="AG313" s="23"/>
      <c r="AH313" s="265" t="str">
        <f>_xlfn.XLOOKUP(G313,Clientes!I:I,Clientes!F:F)</f>
        <v>GRUPO CIBRA</v>
      </c>
    </row>
    <row r="314" spans="1:34" x14ac:dyDescent="0.25">
      <c r="A314">
        <v>161</v>
      </c>
      <c r="B314" t="s">
        <v>145</v>
      </c>
      <c r="C314"/>
      <c r="D314" s="23">
        <v>71194.8</v>
      </c>
      <c r="E314">
        <v>10664</v>
      </c>
      <c r="F314">
        <v>11</v>
      </c>
      <c r="G314">
        <v>43</v>
      </c>
      <c r="H314" t="s">
        <v>674</v>
      </c>
      <c r="I314" s="23">
        <v>71194.8</v>
      </c>
      <c r="J314" s="185">
        <v>46062</v>
      </c>
      <c r="K314" s="185">
        <v>46062</v>
      </c>
      <c r="L314" s="185">
        <v>46090</v>
      </c>
      <c r="M314" s="185">
        <v>46090</v>
      </c>
      <c r="N314"/>
      <c r="O314">
        <v>1010100</v>
      </c>
      <c r="P314" t="s">
        <v>29</v>
      </c>
      <c r="Q314">
        <v>200000100</v>
      </c>
      <c r="R314" t="s">
        <v>15322</v>
      </c>
      <c r="S314"/>
      <c r="T314" t="s">
        <v>15323</v>
      </c>
      <c r="U314" t="s">
        <v>1964</v>
      </c>
      <c r="V314" s="23">
        <v>0</v>
      </c>
      <c r="W314" s="23">
        <v>0</v>
      </c>
      <c r="X314" s="23">
        <v>0</v>
      </c>
      <c r="Y314"/>
      <c r="Z314">
        <v>1246262749</v>
      </c>
      <c r="AA314"/>
      <c r="AB314" t="s">
        <v>2073</v>
      </c>
      <c r="AC314">
        <v>102</v>
      </c>
      <c r="AD314">
        <v>4</v>
      </c>
      <c r="AE314" t="s">
        <v>15324</v>
      </c>
      <c r="AF314"/>
      <c r="AG314" s="23"/>
      <c r="AH314" s="265" t="str">
        <f>_xlfn.XLOOKUP(G314,Clientes!I:I,Clientes!F:F)</f>
        <v>GRUPO CIBRA</v>
      </c>
    </row>
    <row r="315" spans="1:34" x14ac:dyDescent="0.25">
      <c r="A315">
        <v>161</v>
      </c>
      <c r="B315" t="s">
        <v>145</v>
      </c>
      <c r="C315"/>
      <c r="D315" s="23">
        <v>71198.100000000006</v>
      </c>
      <c r="E315">
        <v>11571</v>
      </c>
      <c r="F315">
        <v>11</v>
      </c>
      <c r="G315">
        <v>43</v>
      </c>
      <c r="H315" t="s">
        <v>674</v>
      </c>
      <c r="I315" s="23">
        <v>71198.100000000006</v>
      </c>
      <c r="J315" s="185">
        <v>46174</v>
      </c>
      <c r="K315" s="185">
        <v>46174</v>
      </c>
      <c r="L315" s="185">
        <v>46202</v>
      </c>
      <c r="M315" s="185"/>
      <c r="N315"/>
      <c r="O315">
        <v>1010100</v>
      </c>
      <c r="P315" t="s">
        <v>29</v>
      </c>
      <c r="Q315">
        <v>200000100</v>
      </c>
      <c r="R315" t="s">
        <v>15322</v>
      </c>
      <c r="S315"/>
      <c r="T315" t="s">
        <v>15323</v>
      </c>
      <c r="U315" t="s">
        <v>5803</v>
      </c>
      <c r="V315" s="23">
        <v>0</v>
      </c>
      <c r="W315" s="23">
        <v>0</v>
      </c>
      <c r="X315" s="23">
        <v>0</v>
      </c>
      <c r="Y315"/>
      <c r="Z315">
        <v>1246277595</v>
      </c>
      <c r="AA315"/>
      <c r="AB315"/>
      <c r="AC315">
        <v>102</v>
      </c>
      <c r="AD315">
        <v>4</v>
      </c>
      <c r="AE315" t="s">
        <v>15324</v>
      </c>
      <c r="AF315"/>
      <c r="AG315" s="23"/>
      <c r="AH315" s="265" t="str">
        <f>_xlfn.XLOOKUP(G315,Clientes!I:I,Clientes!F:F)</f>
        <v>GRUPO CIBRA</v>
      </c>
    </row>
    <row r="316" spans="1:34" x14ac:dyDescent="0.25">
      <c r="A316">
        <v>161</v>
      </c>
      <c r="B316" t="s">
        <v>145</v>
      </c>
      <c r="C316"/>
      <c r="D316" s="23">
        <v>71203.75</v>
      </c>
      <c r="E316">
        <v>11414</v>
      </c>
      <c r="F316">
        <v>11</v>
      </c>
      <c r="G316">
        <v>7024</v>
      </c>
      <c r="H316" t="s">
        <v>721</v>
      </c>
      <c r="I316" s="23">
        <v>71203.75</v>
      </c>
      <c r="J316" s="185">
        <v>46157</v>
      </c>
      <c r="K316" s="185">
        <v>46157</v>
      </c>
      <c r="L316" s="185">
        <v>46247</v>
      </c>
      <c r="M316" s="185"/>
      <c r="N316"/>
      <c r="O316">
        <v>1010100</v>
      </c>
      <c r="P316" t="s">
        <v>29</v>
      </c>
      <c r="Q316">
        <v>200000100</v>
      </c>
      <c r="R316" t="s">
        <v>15322</v>
      </c>
      <c r="S316"/>
      <c r="T316" t="s">
        <v>15323</v>
      </c>
      <c r="U316" t="s">
        <v>4502</v>
      </c>
      <c r="V316" s="23">
        <v>0</v>
      </c>
      <c r="W316" s="23">
        <v>0</v>
      </c>
      <c r="X316" s="23">
        <v>0</v>
      </c>
      <c r="Y316"/>
      <c r="Z316">
        <v>1246275490</v>
      </c>
      <c r="AA316"/>
      <c r="AB316"/>
      <c r="AC316">
        <v>102</v>
      </c>
      <c r="AD316">
        <v>4</v>
      </c>
      <c r="AE316" t="s">
        <v>15324</v>
      </c>
      <c r="AF316"/>
      <c r="AG316" s="23"/>
      <c r="AH316" s="265" t="str">
        <f>_xlfn.XLOOKUP(G316,Clientes!I:I,Clientes!F:F)</f>
        <v>GRUPO MOSAIC FERTILIZANTES DO BRASIL</v>
      </c>
    </row>
    <row r="317" spans="1:34" x14ac:dyDescent="0.25">
      <c r="A317">
        <v>161</v>
      </c>
      <c r="B317" t="s">
        <v>145</v>
      </c>
      <c r="C317"/>
      <c r="D317" s="23">
        <v>71265.899999999994</v>
      </c>
      <c r="E317">
        <v>10617</v>
      </c>
      <c r="F317">
        <v>11</v>
      </c>
      <c r="G317">
        <v>43</v>
      </c>
      <c r="H317" t="s">
        <v>674</v>
      </c>
      <c r="I317" s="23">
        <v>71265.899999999994</v>
      </c>
      <c r="J317" s="185">
        <v>46055</v>
      </c>
      <c r="K317" s="185">
        <v>46055</v>
      </c>
      <c r="L317" s="185">
        <v>46083</v>
      </c>
      <c r="M317" s="185">
        <v>46083</v>
      </c>
      <c r="N317"/>
      <c r="O317">
        <v>1010100</v>
      </c>
      <c r="P317" t="s">
        <v>29</v>
      </c>
      <c r="Q317">
        <v>200000100</v>
      </c>
      <c r="R317" t="s">
        <v>15322</v>
      </c>
      <c r="S317"/>
      <c r="T317" t="s">
        <v>15323</v>
      </c>
      <c r="U317" t="s">
        <v>1530</v>
      </c>
      <c r="V317" s="23">
        <v>0</v>
      </c>
      <c r="W317" s="23">
        <v>0</v>
      </c>
      <c r="X317" s="23">
        <v>0</v>
      </c>
      <c r="Y317"/>
      <c r="Z317">
        <v>1246261820</v>
      </c>
      <c r="AA317"/>
      <c r="AB317" t="s">
        <v>1199</v>
      </c>
      <c r="AC317">
        <v>102</v>
      </c>
      <c r="AD317">
        <v>4</v>
      </c>
      <c r="AE317" t="s">
        <v>15324</v>
      </c>
      <c r="AF317"/>
      <c r="AG317" s="23"/>
      <c r="AH317" s="265" t="str">
        <f>_xlfn.XLOOKUP(G317,Clientes!I:I,Clientes!F:F)</f>
        <v>GRUPO CIBRA</v>
      </c>
    </row>
    <row r="318" spans="1:34" x14ac:dyDescent="0.25">
      <c r="A318">
        <v>161</v>
      </c>
      <c r="B318" t="s">
        <v>145</v>
      </c>
      <c r="C318"/>
      <c r="D318" s="23">
        <v>71289.600000000006</v>
      </c>
      <c r="E318">
        <v>11076</v>
      </c>
      <c r="F318">
        <v>11</v>
      </c>
      <c r="G318">
        <v>43</v>
      </c>
      <c r="H318" t="s">
        <v>674</v>
      </c>
      <c r="I318" s="23">
        <v>71289.600000000006</v>
      </c>
      <c r="J318" s="185">
        <v>46120</v>
      </c>
      <c r="K318" s="185">
        <v>46120</v>
      </c>
      <c r="L318" s="185">
        <v>46148</v>
      </c>
      <c r="M318" s="185">
        <v>46148</v>
      </c>
      <c r="N318"/>
      <c r="O318">
        <v>1010100</v>
      </c>
      <c r="P318" t="s">
        <v>29</v>
      </c>
      <c r="Q318">
        <v>200000100</v>
      </c>
      <c r="R318" t="s">
        <v>15322</v>
      </c>
      <c r="S318"/>
      <c r="T318" t="s">
        <v>15323</v>
      </c>
      <c r="U318" t="s">
        <v>5803</v>
      </c>
      <c r="V318" s="23">
        <v>0</v>
      </c>
      <c r="W318" s="23">
        <v>0</v>
      </c>
      <c r="X318" s="23">
        <v>0</v>
      </c>
      <c r="Y318"/>
      <c r="Z318">
        <v>1246270729</v>
      </c>
      <c r="AA318"/>
      <c r="AB318" t="s">
        <v>1199</v>
      </c>
      <c r="AC318">
        <v>102</v>
      </c>
      <c r="AD318">
        <v>4</v>
      </c>
      <c r="AE318" t="s">
        <v>15324</v>
      </c>
      <c r="AF318"/>
      <c r="AG318" s="23"/>
      <c r="AH318" s="265" t="str">
        <f>_xlfn.XLOOKUP(G318,Clientes!I:I,Clientes!F:F)</f>
        <v>GRUPO CIBRA</v>
      </c>
    </row>
    <row r="319" spans="1:34" x14ac:dyDescent="0.25">
      <c r="A319">
        <v>161</v>
      </c>
      <c r="B319" t="s">
        <v>145</v>
      </c>
      <c r="C319"/>
      <c r="D319" s="23">
        <v>71323.199999999997</v>
      </c>
      <c r="E319">
        <v>11084</v>
      </c>
      <c r="F319">
        <v>11</v>
      </c>
      <c r="G319">
        <v>7024</v>
      </c>
      <c r="H319" t="s">
        <v>721</v>
      </c>
      <c r="I319" s="23">
        <v>71323.199999999997</v>
      </c>
      <c r="J319" s="185">
        <v>46122</v>
      </c>
      <c r="K319" s="185">
        <v>46122</v>
      </c>
      <c r="L319" s="185">
        <v>46212</v>
      </c>
      <c r="M319" s="185"/>
      <c r="N319"/>
      <c r="O319">
        <v>1010100</v>
      </c>
      <c r="P319" t="s">
        <v>29</v>
      </c>
      <c r="Q319">
        <v>200000100</v>
      </c>
      <c r="R319" t="s">
        <v>15322</v>
      </c>
      <c r="S319"/>
      <c r="T319" t="s">
        <v>15323</v>
      </c>
      <c r="U319" t="s">
        <v>1964</v>
      </c>
      <c r="V319" s="23">
        <v>0</v>
      </c>
      <c r="W319" s="23">
        <v>0</v>
      </c>
      <c r="X319" s="23">
        <v>0</v>
      </c>
      <c r="Y319"/>
      <c r="Z319">
        <v>1246270943</v>
      </c>
      <c r="AA319"/>
      <c r="AB319"/>
      <c r="AC319">
        <v>102</v>
      </c>
      <c r="AD319">
        <v>4</v>
      </c>
      <c r="AE319" t="s">
        <v>15324</v>
      </c>
      <c r="AF319"/>
      <c r="AG319" s="23"/>
      <c r="AH319" s="265" t="str">
        <f>_xlfn.XLOOKUP(G319,Clientes!I:I,Clientes!F:F)</f>
        <v>GRUPO MOSAIC FERTILIZANTES DO BRASIL</v>
      </c>
    </row>
    <row r="320" spans="1:34" x14ac:dyDescent="0.25">
      <c r="A320">
        <v>161</v>
      </c>
      <c r="B320" t="s">
        <v>145</v>
      </c>
      <c r="C320"/>
      <c r="D320" s="23">
        <v>71337</v>
      </c>
      <c r="E320">
        <v>10482</v>
      </c>
      <c r="F320">
        <v>11</v>
      </c>
      <c r="G320">
        <v>43</v>
      </c>
      <c r="H320" t="s">
        <v>674</v>
      </c>
      <c r="I320" s="23">
        <v>71337</v>
      </c>
      <c r="J320" s="185">
        <v>46036</v>
      </c>
      <c r="K320" s="185">
        <v>46036</v>
      </c>
      <c r="L320" s="185">
        <v>46064</v>
      </c>
      <c r="M320" s="185">
        <v>46064</v>
      </c>
      <c r="N320"/>
      <c r="O320">
        <v>1010100</v>
      </c>
      <c r="P320" t="s">
        <v>29</v>
      </c>
      <c r="Q320">
        <v>200000100</v>
      </c>
      <c r="R320" t="s">
        <v>15322</v>
      </c>
      <c r="S320"/>
      <c r="T320" t="s">
        <v>15323</v>
      </c>
      <c r="U320" t="s">
        <v>1530</v>
      </c>
      <c r="V320" s="23">
        <v>0</v>
      </c>
      <c r="W320" s="23">
        <v>0</v>
      </c>
      <c r="X320" s="23">
        <v>0</v>
      </c>
      <c r="Y320"/>
      <c r="Z320">
        <v>1246259442</v>
      </c>
      <c r="AA320"/>
      <c r="AB320" t="s">
        <v>1199</v>
      </c>
      <c r="AC320">
        <v>102</v>
      </c>
      <c r="AD320">
        <v>4</v>
      </c>
      <c r="AE320" t="s">
        <v>15324</v>
      </c>
      <c r="AF320"/>
      <c r="AG320" s="23"/>
      <c r="AH320" s="265" t="str">
        <f>_xlfn.XLOOKUP(G320,Clientes!I:I,Clientes!F:F)</f>
        <v>GRUPO CIBRA</v>
      </c>
    </row>
    <row r="321" spans="1:34" x14ac:dyDescent="0.25">
      <c r="A321">
        <v>161</v>
      </c>
      <c r="B321" t="s">
        <v>145</v>
      </c>
      <c r="C321"/>
      <c r="D321" s="23">
        <v>71341.5</v>
      </c>
      <c r="E321">
        <v>11275</v>
      </c>
      <c r="F321">
        <v>11</v>
      </c>
      <c r="G321">
        <v>43</v>
      </c>
      <c r="H321" t="s">
        <v>674</v>
      </c>
      <c r="I321" s="23">
        <v>71341.5</v>
      </c>
      <c r="J321" s="185">
        <v>46142</v>
      </c>
      <c r="K321" s="185">
        <v>46142</v>
      </c>
      <c r="L321" s="185">
        <v>46170</v>
      </c>
      <c r="M321" s="185">
        <v>46170</v>
      </c>
      <c r="N321"/>
      <c r="O321">
        <v>1010100</v>
      </c>
      <c r="P321" t="s">
        <v>29</v>
      </c>
      <c r="Q321">
        <v>200000100</v>
      </c>
      <c r="R321" t="s">
        <v>15322</v>
      </c>
      <c r="S321"/>
      <c r="T321" t="s">
        <v>15323</v>
      </c>
      <c r="U321" t="s">
        <v>5803</v>
      </c>
      <c r="V321" s="23">
        <v>0</v>
      </c>
      <c r="W321" s="23">
        <v>0</v>
      </c>
      <c r="X321" s="23">
        <v>0</v>
      </c>
      <c r="Y321"/>
      <c r="Z321">
        <v>1246273286</v>
      </c>
      <c r="AA321"/>
      <c r="AB321" t="s">
        <v>1199</v>
      </c>
      <c r="AC321">
        <v>102</v>
      </c>
      <c r="AD321">
        <v>4</v>
      </c>
      <c r="AE321" t="s">
        <v>15324</v>
      </c>
      <c r="AF321"/>
      <c r="AG321" s="23"/>
      <c r="AH321" s="265" t="str">
        <f>_xlfn.XLOOKUP(G321,Clientes!I:I,Clientes!F:F)</f>
        <v>GRUPO CIBRA</v>
      </c>
    </row>
    <row r="322" spans="1:34" x14ac:dyDescent="0.25">
      <c r="A322">
        <v>161</v>
      </c>
      <c r="B322" t="s">
        <v>145</v>
      </c>
      <c r="C322"/>
      <c r="D322" s="23">
        <v>71384.399999999994</v>
      </c>
      <c r="E322">
        <v>10949</v>
      </c>
      <c r="F322">
        <v>11</v>
      </c>
      <c r="G322">
        <v>43</v>
      </c>
      <c r="H322" t="s">
        <v>674</v>
      </c>
      <c r="I322" s="23">
        <v>71384.399999999994</v>
      </c>
      <c r="J322" s="185">
        <v>46101</v>
      </c>
      <c r="K322" s="185">
        <v>46101</v>
      </c>
      <c r="L322" s="185">
        <v>46129</v>
      </c>
      <c r="M322" s="185">
        <v>46129</v>
      </c>
      <c r="N322"/>
      <c r="O322">
        <v>1010100</v>
      </c>
      <c r="P322" t="s">
        <v>29</v>
      </c>
      <c r="Q322">
        <v>200000100</v>
      </c>
      <c r="R322" t="s">
        <v>15322</v>
      </c>
      <c r="S322"/>
      <c r="T322" t="s">
        <v>15323</v>
      </c>
      <c r="U322" t="s">
        <v>1530</v>
      </c>
      <c r="V322" s="23">
        <v>0</v>
      </c>
      <c r="W322" s="23">
        <v>0</v>
      </c>
      <c r="X322" s="23">
        <v>0</v>
      </c>
      <c r="Y322"/>
      <c r="Z322">
        <v>1246268568</v>
      </c>
      <c r="AA322"/>
      <c r="AB322" t="s">
        <v>2073</v>
      </c>
      <c r="AC322">
        <v>102</v>
      </c>
      <c r="AD322">
        <v>4</v>
      </c>
      <c r="AE322" t="s">
        <v>15324</v>
      </c>
      <c r="AF322"/>
      <c r="AG322" s="23"/>
      <c r="AH322" s="265" t="str">
        <f>_xlfn.XLOOKUP(G322,Clientes!I:I,Clientes!F:F)</f>
        <v>GRUPO CIBRA</v>
      </c>
    </row>
    <row r="323" spans="1:34" x14ac:dyDescent="0.25">
      <c r="A323">
        <v>161</v>
      </c>
      <c r="B323" t="s">
        <v>145</v>
      </c>
      <c r="C323"/>
      <c r="D323" s="23">
        <v>71431.8</v>
      </c>
      <c r="E323">
        <v>11132</v>
      </c>
      <c r="F323">
        <v>11</v>
      </c>
      <c r="G323">
        <v>43</v>
      </c>
      <c r="H323" t="s">
        <v>674</v>
      </c>
      <c r="I323" s="23">
        <v>71431.8</v>
      </c>
      <c r="J323" s="185">
        <v>46127</v>
      </c>
      <c r="K323" s="185">
        <v>46127</v>
      </c>
      <c r="L323" s="185">
        <v>46155</v>
      </c>
      <c r="M323" s="185">
        <v>46155</v>
      </c>
      <c r="N323"/>
      <c r="O323">
        <v>1010100</v>
      </c>
      <c r="P323" t="s">
        <v>29</v>
      </c>
      <c r="Q323">
        <v>200000100</v>
      </c>
      <c r="R323" t="s">
        <v>15322</v>
      </c>
      <c r="S323"/>
      <c r="T323" t="s">
        <v>15323</v>
      </c>
      <c r="U323" t="s">
        <v>5803</v>
      </c>
      <c r="V323" s="23">
        <v>0</v>
      </c>
      <c r="W323" s="23">
        <v>0</v>
      </c>
      <c r="X323" s="23">
        <v>0</v>
      </c>
      <c r="Y323"/>
      <c r="Z323">
        <v>1246271493</v>
      </c>
      <c r="AA323"/>
      <c r="AB323" t="s">
        <v>1199</v>
      </c>
      <c r="AC323">
        <v>102</v>
      </c>
      <c r="AD323">
        <v>4</v>
      </c>
      <c r="AE323" t="s">
        <v>15324</v>
      </c>
      <c r="AF323"/>
      <c r="AG323" s="23"/>
      <c r="AH323" s="265" t="str">
        <f>_xlfn.XLOOKUP(G323,Clientes!I:I,Clientes!F:F)</f>
        <v>GRUPO CIBRA</v>
      </c>
    </row>
    <row r="324" spans="1:34" x14ac:dyDescent="0.25">
      <c r="A324">
        <v>161</v>
      </c>
      <c r="B324" t="s">
        <v>145</v>
      </c>
      <c r="C324"/>
      <c r="D324" s="23">
        <v>71508</v>
      </c>
      <c r="E324">
        <v>10871</v>
      </c>
      <c r="F324">
        <v>11</v>
      </c>
      <c r="G324">
        <v>7022</v>
      </c>
      <c r="H324" t="s">
        <v>15419</v>
      </c>
      <c r="I324" s="23">
        <v>71508</v>
      </c>
      <c r="J324" s="185">
        <v>46093</v>
      </c>
      <c r="K324" s="185">
        <v>46093</v>
      </c>
      <c r="L324" s="185">
        <v>46153</v>
      </c>
      <c r="M324" s="185">
        <v>46141</v>
      </c>
      <c r="N324"/>
      <c r="O324">
        <v>1010100</v>
      </c>
      <c r="P324" t="s">
        <v>29</v>
      </c>
      <c r="Q324">
        <v>200000100</v>
      </c>
      <c r="R324" t="s">
        <v>15322</v>
      </c>
      <c r="S324"/>
      <c r="T324" t="s">
        <v>15323</v>
      </c>
      <c r="U324" t="s">
        <v>2246</v>
      </c>
      <c r="V324" s="23">
        <v>0</v>
      </c>
      <c r="W324" s="23">
        <v>0</v>
      </c>
      <c r="X324" s="23">
        <v>0</v>
      </c>
      <c r="Y324"/>
      <c r="Z324">
        <v>1246267571</v>
      </c>
      <c r="AA324"/>
      <c r="AB324" t="s">
        <v>1199</v>
      </c>
      <c r="AC324">
        <v>102</v>
      </c>
      <c r="AD324">
        <v>4</v>
      </c>
      <c r="AE324" t="s">
        <v>15324</v>
      </c>
      <c r="AF324"/>
      <c r="AG324" s="23"/>
      <c r="AH324" s="265" t="str">
        <f>_xlfn.XLOOKUP(G324,Clientes!I:I,Clientes!F:F)</f>
        <v>STRATOS - ROSARIO DO CATETE</v>
      </c>
    </row>
    <row r="325" spans="1:34" x14ac:dyDescent="0.25">
      <c r="A325">
        <v>161</v>
      </c>
      <c r="B325" t="s">
        <v>145</v>
      </c>
      <c r="C325"/>
      <c r="D325" s="23">
        <v>71652.2</v>
      </c>
      <c r="E325">
        <v>11238</v>
      </c>
      <c r="F325">
        <v>11</v>
      </c>
      <c r="G325">
        <v>43</v>
      </c>
      <c r="H325" t="s">
        <v>674</v>
      </c>
      <c r="I325" s="23">
        <v>71652.2</v>
      </c>
      <c r="J325" s="185">
        <v>46139</v>
      </c>
      <c r="K325" s="185">
        <v>46139</v>
      </c>
      <c r="L325" s="185">
        <v>46167</v>
      </c>
      <c r="M325" s="185">
        <v>46167</v>
      </c>
      <c r="N325"/>
      <c r="O325">
        <v>1010100</v>
      </c>
      <c r="P325" t="s">
        <v>29</v>
      </c>
      <c r="Q325">
        <v>200000100</v>
      </c>
      <c r="R325" t="s">
        <v>15322</v>
      </c>
      <c r="S325"/>
      <c r="T325" t="s">
        <v>15323</v>
      </c>
      <c r="U325" t="s">
        <v>4468</v>
      </c>
      <c r="V325" s="23">
        <v>0</v>
      </c>
      <c r="W325" s="23">
        <v>0</v>
      </c>
      <c r="X325" s="23">
        <v>0</v>
      </c>
      <c r="Y325"/>
      <c r="Z325">
        <v>1246272852</v>
      </c>
      <c r="AA325"/>
      <c r="AB325" t="s">
        <v>1199</v>
      </c>
      <c r="AC325">
        <v>102</v>
      </c>
      <c r="AD325">
        <v>4</v>
      </c>
      <c r="AE325" t="s">
        <v>15324</v>
      </c>
      <c r="AF325"/>
      <c r="AG325" s="23"/>
      <c r="AH325" s="265" t="str">
        <f>_xlfn.XLOOKUP(G325,Clientes!I:I,Clientes!F:F)</f>
        <v>GRUPO CIBRA</v>
      </c>
    </row>
    <row r="326" spans="1:34" x14ac:dyDescent="0.25">
      <c r="A326">
        <v>161</v>
      </c>
      <c r="B326" t="s">
        <v>145</v>
      </c>
      <c r="C326"/>
      <c r="D326" s="23">
        <v>71652.2</v>
      </c>
      <c r="E326">
        <v>11195</v>
      </c>
      <c r="F326">
        <v>11</v>
      </c>
      <c r="G326">
        <v>43</v>
      </c>
      <c r="H326" t="s">
        <v>674</v>
      </c>
      <c r="I326" s="23">
        <v>71652.2</v>
      </c>
      <c r="J326" s="185">
        <v>46135</v>
      </c>
      <c r="K326" s="185">
        <v>46135</v>
      </c>
      <c r="L326" s="185">
        <v>46163</v>
      </c>
      <c r="M326" s="185">
        <v>46163</v>
      </c>
      <c r="N326"/>
      <c r="O326">
        <v>1010100</v>
      </c>
      <c r="P326" t="s">
        <v>29</v>
      </c>
      <c r="Q326">
        <v>200000100</v>
      </c>
      <c r="R326" t="s">
        <v>15322</v>
      </c>
      <c r="S326"/>
      <c r="T326" t="s">
        <v>15323</v>
      </c>
      <c r="U326" t="s">
        <v>4502</v>
      </c>
      <c r="V326" s="23">
        <v>0</v>
      </c>
      <c r="W326" s="23">
        <v>0</v>
      </c>
      <c r="X326" s="23">
        <v>0</v>
      </c>
      <c r="Y326"/>
      <c r="Z326">
        <v>1246272199</v>
      </c>
      <c r="AA326"/>
      <c r="AB326" t="s">
        <v>1199</v>
      </c>
      <c r="AC326">
        <v>102</v>
      </c>
      <c r="AD326">
        <v>4</v>
      </c>
      <c r="AE326" t="s">
        <v>15324</v>
      </c>
      <c r="AF326"/>
      <c r="AG326" s="23"/>
      <c r="AH326" s="265" t="str">
        <f>_xlfn.XLOOKUP(G326,Clientes!I:I,Clientes!F:F)</f>
        <v>GRUPO CIBRA</v>
      </c>
    </row>
    <row r="327" spans="1:34" x14ac:dyDescent="0.25">
      <c r="A327">
        <v>161</v>
      </c>
      <c r="B327" t="s">
        <v>145</v>
      </c>
      <c r="C327"/>
      <c r="D327" s="23">
        <v>71700</v>
      </c>
      <c r="E327">
        <v>11396</v>
      </c>
      <c r="F327">
        <v>11</v>
      </c>
      <c r="G327">
        <v>43</v>
      </c>
      <c r="H327" t="s">
        <v>674</v>
      </c>
      <c r="I327" s="23">
        <v>71700</v>
      </c>
      <c r="J327" s="185">
        <v>46156</v>
      </c>
      <c r="K327" s="185">
        <v>46156</v>
      </c>
      <c r="L327" s="185">
        <v>46184</v>
      </c>
      <c r="M327" s="185">
        <v>46184</v>
      </c>
      <c r="N327"/>
      <c r="O327">
        <v>1010100</v>
      </c>
      <c r="P327" t="s">
        <v>29</v>
      </c>
      <c r="Q327">
        <v>200000100</v>
      </c>
      <c r="R327" t="s">
        <v>15322</v>
      </c>
      <c r="S327"/>
      <c r="T327" t="s">
        <v>15323</v>
      </c>
      <c r="U327" t="s">
        <v>4468</v>
      </c>
      <c r="V327" s="23">
        <v>0</v>
      </c>
      <c r="W327" s="23">
        <v>0</v>
      </c>
      <c r="X327" s="23">
        <v>0</v>
      </c>
      <c r="Y327"/>
      <c r="Z327">
        <v>1246275188</v>
      </c>
      <c r="AA327"/>
      <c r="AB327" t="s">
        <v>1199</v>
      </c>
      <c r="AC327">
        <v>102</v>
      </c>
      <c r="AD327">
        <v>4</v>
      </c>
      <c r="AE327" t="s">
        <v>15324</v>
      </c>
      <c r="AF327"/>
      <c r="AG327" s="23"/>
      <c r="AH327" s="265" t="str">
        <f>_xlfn.XLOOKUP(G327,Clientes!I:I,Clientes!F:F)</f>
        <v>GRUPO CIBRA</v>
      </c>
    </row>
    <row r="328" spans="1:34" x14ac:dyDescent="0.25">
      <c r="A328">
        <v>161</v>
      </c>
      <c r="B328" t="s">
        <v>145</v>
      </c>
      <c r="C328"/>
      <c r="D328" s="23">
        <v>71723.899999999994</v>
      </c>
      <c r="E328">
        <v>11756</v>
      </c>
      <c r="F328">
        <v>11</v>
      </c>
      <c r="G328">
        <v>43</v>
      </c>
      <c r="H328" t="s">
        <v>674</v>
      </c>
      <c r="I328" s="23">
        <v>71723.899999999994</v>
      </c>
      <c r="J328" s="185">
        <v>46192</v>
      </c>
      <c r="K328" s="185">
        <v>46192</v>
      </c>
      <c r="L328" s="185">
        <v>46220</v>
      </c>
      <c r="M328" s="185"/>
      <c r="N328"/>
      <c r="O328">
        <v>1010100</v>
      </c>
      <c r="P328" t="s">
        <v>29</v>
      </c>
      <c r="Q328">
        <v>200000100</v>
      </c>
      <c r="R328" t="s">
        <v>15322</v>
      </c>
      <c r="S328"/>
      <c r="T328" t="s">
        <v>15323</v>
      </c>
      <c r="U328" t="s">
        <v>1530</v>
      </c>
      <c r="V328" s="23">
        <v>0</v>
      </c>
      <c r="W328" s="23">
        <v>0</v>
      </c>
      <c r="X328" s="23">
        <v>0</v>
      </c>
      <c r="Y328"/>
      <c r="Z328">
        <v>1246280177</v>
      </c>
      <c r="AA328"/>
      <c r="AB328"/>
      <c r="AC328">
        <v>102</v>
      </c>
      <c r="AD328">
        <v>4</v>
      </c>
      <c r="AE328" t="s">
        <v>15324</v>
      </c>
      <c r="AF328"/>
      <c r="AG328" s="23"/>
      <c r="AH328" s="265" t="str">
        <f>_xlfn.XLOOKUP(G328,Clientes!I:I,Clientes!F:F)</f>
        <v>GRUPO CIBRA</v>
      </c>
    </row>
    <row r="329" spans="1:34" x14ac:dyDescent="0.25">
      <c r="A329">
        <v>161</v>
      </c>
      <c r="B329" t="s">
        <v>145</v>
      </c>
      <c r="C329"/>
      <c r="D329" s="23">
        <v>71795.600000000006</v>
      </c>
      <c r="E329">
        <v>11375</v>
      </c>
      <c r="F329">
        <v>11</v>
      </c>
      <c r="G329">
        <v>43</v>
      </c>
      <c r="H329" t="s">
        <v>674</v>
      </c>
      <c r="I329" s="23">
        <v>71795.600000000006</v>
      </c>
      <c r="J329" s="185">
        <v>46155</v>
      </c>
      <c r="K329" s="185">
        <v>46155</v>
      </c>
      <c r="L329" s="185">
        <v>46183</v>
      </c>
      <c r="M329" s="185">
        <v>46183</v>
      </c>
      <c r="N329"/>
      <c r="O329">
        <v>1010100</v>
      </c>
      <c r="P329" t="s">
        <v>29</v>
      </c>
      <c r="Q329">
        <v>200000100</v>
      </c>
      <c r="R329" t="s">
        <v>15322</v>
      </c>
      <c r="S329"/>
      <c r="T329" t="s">
        <v>15323</v>
      </c>
      <c r="U329" t="s">
        <v>4502</v>
      </c>
      <c r="V329" s="23">
        <v>0</v>
      </c>
      <c r="W329" s="23">
        <v>0</v>
      </c>
      <c r="X329" s="23">
        <v>0</v>
      </c>
      <c r="Y329"/>
      <c r="Z329">
        <v>1246274755</v>
      </c>
      <c r="AA329"/>
      <c r="AB329" t="s">
        <v>1199</v>
      </c>
      <c r="AC329">
        <v>102</v>
      </c>
      <c r="AD329">
        <v>4</v>
      </c>
      <c r="AE329" t="s">
        <v>15324</v>
      </c>
      <c r="AF329"/>
      <c r="AG329" s="23"/>
      <c r="AH329" s="265" t="str">
        <f>_xlfn.XLOOKUP(G329,Clientes!I:I,Clientes!F:F)</f>
        <v>GRUPO CIBRA</v>
      </c>
    </row>
    <row r="330" spans="1:34" x14ac:dyDescent="0.25">
      <c r="A330">
        <v>161</v>
      </c>
      <c r="B330" t="s">
        <v>145</v>
      </c>
      <c r="C330"/>
      <c r="D330" s="23">
        <v>71819.5</v>
      </c>
      <c r="E330">
        <v>11498</v>
      </c>
      <c r="F330">
        <v>11</v>
      </c>
      <c r="G330">
        <v>43</v>
      </c>
      <c r="H330" t="s">
        <v>674</v>
      </c>
      <c r="I330" s="23">
        <v>71819.5</v>
      </c>
      <c r="J330" s="185">
        <v>46168</v>
      </c>
      <c r="K330" s="185">
        <v>46168</v>
      </c>
      <c r="L330" s="185">
        <v>46196</v>
      </c>
      <c r="M330" s="185">
        <v>46196</v>
      </c>
      <c r="N330"/>
      <c r="O330">
        <v>1010100</v>
      </c>
      <c r="P330" t="s">
        <v>29</v>
      </c>
      <c r="Q330">
        <v>200000100</v>
      </c>
      <c r="R330" t="s">
        <v>15322</v>
      </c>
      <c r="S330"/>
      <c r="T330" t="s">
        <v>15323</v>
      </c>
      <c r="U330" t="s">
        <v>1530</v>
      </c>
      <c r="V330" s="23">
        <v>0</v>
      </c>
      <c r="W330" s="23">
        <v>0</v>
      </c>
      <c r="X330" s="23">
        <v>0</v>
      </c>
      <c r="Y330"/>
      <c r="Z330">
        <v>1246276836</v>
      </c>
      <c r="AA330"/>
      <c r="AB330" t="s">
        <v>1199</v>
      </c>
      <c r="AC330">
        <v>102</v>
      </c>
      <c r="AD330">
        <v>4</v>
      </c>
      <c r="AE330" t="s">
        <v>15324</v>
      </c>
      <c r="AF330"/>
      <c r="AG330" s="23"/>
      <c r="AH330" s="265" t="str">
        <f>_xlfn.XLOOKUP(G330,Clientes!I:I,Clientes!F:F)</f>
        <v>GRUPO CIBRA</v>
      </c>
    </row>
    <row r="331" spans="1:34" x14ac:dyDescent="0.25">
      <c r="A331">
        <v>161</v>
      </c>
      <c r="B331" t="s">
        <v>145</v>
      </c>
      <c r="C331"/>
      <c r="D331" s="23">
        <v>71862</v>
      </c>
      <c r="E331">
        <v>11485</v>
      </c>
      <c r="F331">
        <v>11</v>
      </c>
      <c r="G331">
        <v>7022</v>
      </c>
      <c r="H331" t="s">
        <v>15419</v>
      </c>
      <c r="I331" s="23">
        <v>71862</v>
      </c>
      <c r="J331" s="185">
        <v>46167</v>
      </c>
      <c r="K331" s="185">
        <v>46167</v>
      </c>
      <c r="L331" s="185">
        <v>46257</v>
      </c>
      <c r="M331" s="185"/>
      <c r="N331"/>
      <c r="O331">
        <v>1010100</v>
      </c>
      <c r="P331" t="s">
        <v>29</v>
      </c>
      <c r="Q331">
        <v>200000100</v>
      </c>
      <c r="R331" t="s">
        <v>15322</v>
      </c>
      <c r="S331"/>
      <c r="T331" t="s">
        <v>15323</v>
      </c>
      <c r="U331" t="s">
        <v>2246</v>
      </c>
      <c r="V331" s="23">
        <v>0</v>
      </c>
      <c r="W331" s="23">
        <v>0</v>
      </c>
      <c r="X331" s="23">
        <v>0</v>
      </c>
      <c r="Y331"/>
      <c r="Z331">
        <v>1246276474</v>
      </c>
      <c r="AA331"/>
      <c r="AB331"/>
      <c r="AC331">
        <v>102</v>
      </c>
      <c r="AD331">
        <v>4</v>
      </c>
      <c r="AE331" t="s">
        <v>15324</v>
      </c>
      <c r="AF331"/>
      <c r="AG331" s="23"/>
      <c r="AH331" s="265" t="str">
        <f>_xlfn.XLOOKUP(G331,Clientes!I:I,Clientes!F:F)</f>
        <v>STRATOS - ROSARIO DO CATETE</v>
      </c>
    </row>
    <row r="332" spans="1:34" x14ac:dyDescent="0.25">
      <c r="A332">
        <v>161</v>
      </c>
      <c r="B332" t="s">
        <v>145</v>
      </c>
      <c r="C332"/>
      <c r="D332" s="23">
        <v>71909.2</v>
      </c>
      <c r="E332">
        <v>11322</v>
      </c>
      <c r="F332">
        <v>11</v>
      </c>
      <c r="G332">
        <v>7022</v>
      </c>
      <c r="H332" t="s">
        <v>15419</v>
      </c>
      <c r="I332" s="23">
        <v>71909.2</v>
      </c>
      <c r="J332" s="185">
        <v>46149</v>
      </c>
      <c r="K332" s="185">
        <v>46149</v>
      </c>
      <c r="L332" s="185">
        <v>46239</v>
      </c>
      <c r="M332" s="185"/>
      <c r="N332"/>
      <c r="O332">
        <v>1010100</v>
      </c>
      <c r="P332" t="s">
        <v>29</v>
      </c>
      <c r="Q332">
        <v>200000100</v>
      </c>
      <c r="R332" t="s">
        <v>15322</v>
      </c>
      <c r="S332"/>
      <c r="T332" t="s">
        <v>15323</v>
      </c>
      <c r="U332" t="s">
        <v>1530</v>
      </c>
      <c r="V332" s="23">
        <v>0</v>
      </c>
      <c r="W332" s="23">
        <v>0</v>
      </c>
      <c r="X332" s="23">
        <v>0</v>
      </c>
      <c r="Y332"/>
      <c r="Z332">
        <v>1246273912</v>
      </c>
      <c r="AA332"/>
      <c r="AB332"/>
      <c r="AC332">
        <v>102</v>
      </c>
      <c r="AD332">
        <v>4</v>
      </c>
      <c r="AE332" t="s">
        <v>15324</v>
      </c>
      <c r="AF332"/>
      <c r="AG332" s="23"/>
      <c r="AH332" s="265" t="str">
        <f>_xlfn.XLOOKUP(G332,Clientes!I:I,Clientes!F:F)</f>
        <v>STRATOS - ROSARIO DO CATETE</v>
      </c>
    </row>
    <row r="333" spans="1:34" x14ac:dyDescent="0.25">
      <c r="A333">
        <v>161</v>
      </c>
      <c r="B333" t="s">
        <v>145</v>
      </c>
      <c r="C333"/>
      <c r="D333" s="23">
        <v>71915.100000000006</v>
      </c>
      <c r="E333">
        <v>11327</v>
      </c>
      <c r="F333">
        <v>11</v>
      </c>
      <c r="G333">
        <v>43</v>
      </c>
      <c r="H333" t="s">
        <v>674</v>
      </c>
      <c r="I333" s="23">
        <v>71915.100000000006</v>
      </c>
      <c r="J333" s="185">
        <v>46150</v>
      </c>
      <c r="K333" s="185">
        <v>46150</v>
      </c>
      <c r="L333" s="185">
        <v>46178</v>
      </c>
      <c r="M333" s="185">
        <v>46178</v>
      </c>
      <c r="N333"/>
      <c r="O333">
        <v>1010100</v>
      </c>
      <c r="P333" t="s">
        <v>29</v>
      </c>
      <c r="Q333">
        <v>200000100</v>
      </c>
      <c r="R333" t="s">
        <v>15322</v>
      </c>
      <c r="S333"/>
      <c r="T333" t="s">
        <v>15323</v>
      </c>
      <c r="U333" t="s">
        <v>1530</v>
      </c>
      <c r="V333" s="23">
        <v>0</v>
      </c>
      <c r="W333" s="23">
        <v>0</v>
      </c>
      <c r="X333" s="23">
        <v>0</v>
      </c>
      <c r="Y333"/>
      <c r="Z333">
        <v>1246274033</v>
      </c>
      <c r="AA333"/>
      <c r="AB333" t="s">
        <v>1199</v>
      </c>
      <c r="AC333">
        <v>102</v>
      </c>
      <c r="AD333">
        <v>4</v>
      </c>
      <c r="AE333" t="s">
        <v>15324</v>
      </c>
      <c r="AF333"/>
      <c r="AG333" s="23"/>
      <c r="AH333" s="265" t="str">
        <f>_xlfn.XLOOKUP(G333,Clientes!I:I,Clientes!F:F)</f>
        <v>GRUPO CIBRA</v>
      </c>
    </row>
    <row r="334" spans="1:34" x14ac:dyDescent="0.25">
      <c r="A334">
        <v>161</v>
      </c>
      <c r="B334" t="s">
        <v>145</v>
      </c>
      <c r="C334"/>
      <c r="D334" s="23">
        <v>71915.100000000006</v>
      </c>
      <c r="E334">
        <v>11630</v>
      </c>
      <c r="F334">
        <v>11</v>
      </c>
      <c r="G334">
        <v>43</v>
      </c>
      <c r="H334" t="s">
        <v>674</v>
      </c>
      <c r="I334" s="23">
        <v>71915.100000000006</v>
      </c>
      <c r="J334" s="185">
        <v>46179</v>
      </c>
      <c r="K334" s="185">
        <v>46179</v>
      </c>
      <c r="L334" s="185">
        <v>46207</v>
      </c>
      <c r="M334" s="185"/>
      <c r="N334"/>
      <c r="O334">
        <v>1010100</v>
      </c>
      <c r="P334" t="s">
        <v>29</v>
      </c>
      <c r="Q334">
        <v>200000100</v>
      </c>
      <c r="R334" t="s">
        <v>15322</v>
      </c>
      <c r="S334"/>
      <c r="T334" t="s">
        <v>15323</v>
      </c>
      <c r="U334" t="s">
        <v>2246</v>
      </c>
      <c r="V334" s="23">
        <v>0</v>
      </c>
      <c r="W334" s="23">
        <v>0</v>
      </c>
      <c r="X334" s="23">
        <v>0</v>
      </c>
      <c r="Y334"/>
      <c r="Z334">
        <v>1246278431</v>
      </c>
      <c r="AA334"/>
      <c r="AB334"/>
      <c r="AC334">
        <v>102</v>
      </c>
      <c r="AD334">
        <v>4</v>
      </c>
      <c r="AE334" t="s">
        <v>15324</v>
      </c>
      <c r="AF334"/>
      <c r="AG334" s="23"/>
      <c r="AH334" s="265" t="str">
        <f>_xlfn.XLOOKUP(G334,Clientes!I:I,Clientes!F:F)</f>
        <v>GRUPO CIBRA</v>
      </c>
    </row>
    <row r="335" spans="1:34" x14ac:dyDescent="0.25">
      <c r="A335">
        <v>161</v>
      </c>
      <c r="B335" t="s">
        <v>145</v>
      </c>
      <c r="C335"/>
      <c r="D335" s="23">
        <v>71962.600000000006</v>
      </c>
      <c r="E335">
        <v>10399</v>
      </c>
      <c r="F335">
        <v>11</v>
      </c>
      <c r="G335">
        <v>7022</v>
      </c>
      <c r="H335" t="s">
        <v>15419</v>
      </c>
      <c r="I335" s="23">
        <v>71962.600000000006</v>
      </c>
      <c r="J335" s="185">
        <v>46024</v>
      </c>
      <c r="K335" s="185">
        <v>46024</v>
      </c>
      <c r="L335" s="185">
        <v>46084</v>
      </c>
      <c r="M335" s="185">
        <v>46084</v>
      </c>
      <c r="N335"/>
      <c r="O335">
        <v>1010100</v>
      </c>
      <c r="P335" t="s">
        <v>29</v>
      </c>
      <c r="Q335">
        <v>200000100</v>
      </c>
      <c r="R335" t="s">
        <v>15322</v>
      </c>
      <c r="S335"/>
      <c r="T335" t="s">
        <v>15323</v>
      </c>
      <c r="U335" t="s">
        <v>5803</v>
      </c>
      <c r="V335" s="23">
        <v>0</v>
      </c>
      <c r="W335" s="23">
        <v>0</v>
      </c>
      <c r="X335" s="23">
        <v>0</v>
      </c>
      <c r="Y335"/>
      <c r="Z335">
        <v>1246258088</v>
      </c>
      <c r="AA335"/>
      <c r="AB335" t="s">
        <v>1199</v>
      </c>
      <c r="AC335">
        <v>102</v>
      </c>
      <c r="AD335">
        <v>4</v>
      </c>
      <c r="AE335" t="s">
        <v>15324</v>
      </c>
      <c r="AF335"/>
      <c r="AG335" s="23"/>
      <c r="AH335" s="265" t="str">
        <f>_xlfn.XLOOKUP(G335,Clientes!I:I,Clientes!F:F)</f>
        <v>STRATOS - ROSARIO DO CATETE</v>
      </c>
    </row>
    <row r="336" spans="1:34" x14ac:dyDescent="0.25">
      <c r="A336">
        <v>161</v>
      </c>
      <c r="B336" t="s">
        <v>145</v>
      </c>
      <c r="C336"/>
      <c r="D336" s="23">
        <v>71980</v>
      </c>
      <c r="E336">
        <v>10730</v>
      </c>
      <c r="F336">
        <v>11</v>
      </c>
      <c r="G336">
        <v>7022</v>
      </c>
      <c r="H336" t="s">
        <v>15419</v>
      </c>
      <c r="I336" s="23">
        <v>71980</v>
      </c>
      <c r="J336" s="185">
        <v>46073</v>
      </c>
      <c r="K336" s="185">
        <v>46073</v>
      </c>
      <c r="L336" s="185">
        <v>46133</v>
      </c>
      <c r="M336" s="185">
        <v>46134</v>
      </c>
      <c r="N336"/>
      <c r="O336">
        <v>1010100</v>
      </c>
      <c r="P336" t="s">
        <v>29</v>
      </c>
      <c r="Q336">
        <v>200000100</v>
      </c>
      <c r="R336" t="s">
        <v>15322</v>
      </c>
      <c r="S336"/>
      <c r="T336" t="s">
        <v>15323</v>
      </c>
      <c r="U336" t="s">
        <v>2246</v>
      </c>
      <c r="V336" s="23">
        <v>0</v>
      </c>
      <c r="W336" s="23">
        <v>0</v>
      </c>
      <c r="X336" s="23">
        <v>0</v>
      </c>
      <c r="Y336"/>
      <c r="Z336">
        <v>1246264219</v>
      </c>
      <c r="AA336"/>
      <c r="AB336" t="s">
        <v>1199</v>
      </c>
      <c r="AC336">
        <v>102</v>
      </c>
      <c r="AD336">
        <v>4</v>
      </c>
      <c r="AE336" t="s">
        <v>15324</v>
      </c>
      <c r="AF336"/>
      <c r="AG336" s="23"/>
      <c r="AH336" s="265" t="str">
        <f>_xlfn.XLOOKUP(G336,Clientes!I:I,Clientes!F:F)</f>
        <v>STRATOS - ROSARIO DO CATETE</v>
      </c>
    </row>
    <row r="337" spans="1:34" x14ac:dyDescent="0.25">
      <c r="A337">
        <v>161</v>
      </c>
      <c r="B337" t="s">
        <v>145</v>
      </c>
      <c r="C337"/>
      <c r="D337" s="23">
        <v>72010.7</v>
      </c>
      <c r="E337">
        <v>11692</v>
      </c>
      <c r="F337">
        <v>11</v>
      </c>
      <c r="G337">
        <v>43</v>
      </c>
      <c r="H337" t="s">
        <v>674</v>
      </c>
      <c r="I337" s="23">
        <v>72010.7</v>
      </c>
      <c r="J337" s="185">
        <v>46185</v>
      </c>
      <c r="K337" s="185">
        <v>46185</v>
      </c>
      <c r="L337" s="185">
        <v>46213</v>
      </c>
      <c r="M337" s="185"/>
      <c r="N337"/>
      <c r="O337">
        <v>1010100</v>
      </c>
      <c r="P337" t="s">
        <v>29</v>
      </c>
      <c r="Q337">
        <v>200000100</v>
      </c>
      <c r="R337" t="s">
        <v>15322</v>
      </c>
      <c r="S337"/>
      <c r="T337" t="s">
        <v>15323</v>
      </c>
      <c r="U337" t="s">
        <v>5803</v>
      </c>
      <c r="V337" s="23">
        <v>0</v>
      </c>
      <c r="W337" s="23">
        <v>0</v>
      </c>
      <c r="X337" s="23">
        <v>0</v>
      </c>
      <c r="Y337"/>
      <c r="Z337">
        <v>1246279357</v>
      </c>
      <c r="AA337"/>
      <c r="AB337"/>
      <c r="AC337">
        <v>102</v>
      </c>
      <c r="AD337">
        <v>4</v>
      </c>
      <c r="AE337" t="s">
        <v>15324</v>
      </c>
      <c r="AF337"/>
      <c r="AG337" s="23"/>
      <c r="AH337" s="265" t="str">
        <f>_xlfn.XLOOKUP(G337,Clientes!I:I,Clientes!F:F)</f>
        <v>GRUPO CIBRA</v>
      </c>
    </row>
    <row r="338" spans="1:34" x14ac:dyDescent="0.25">
      <c r="A338">
        <v>161</v>
      </c>
      <c r="B338" t="s">
        <v>145</v>
      </c>
      <c r="C338"/>
      <c r="D338" s="23">
        <v>72131.3</v>
      </c>
      <c r="E338">
        <v>10580</v>
      </c>
      <c r="F338">
        <v>11</v>
      </c>
      <c r="G338">
        <v>7022</v>
      </c>
      <c r="H338" t="s">
        <v>15419</v>
      </c>
      <c r="I338" s="23">
        <v>72131.3</v>
      </c>
      <c r="J338" s="185">
        <v>46049</v>
      </c>
      <c r="K338" s="185">
        <v>46049</v>
      </c>
      <c r="L338" s="185">
        <v>46140</v>
      </c>
      <c r="M338" s="185">
        <v>46111</v>
      </c>
      <c r="N338"/>
      <c r="O338">
        <v>1010100</v>
      </c>
      <c r="P338" t="s">
        <v>29</v>
      </c>
      <c r="Q338">
        <v>200000100</v>
      </c>
      <c r="R338" t="s">
        <v>15322</v>
      </c>
      <c r="S338"/>
      <c r="T338" t="s">
        <v>15323</v>
      </c>
      <c r="U338" t="s">
        <v>1199</v>
      </c>
      <c r="V338" s="23">
        <v>0</v>
      </c>
      <c r="W338" s="23">
        <v>0</v>
      </c>
      <c r="X338" s="23">
        <v>0</v>
      </c>
      <c r="Y338"/>
      <c r="Z338">
        <v>1246261116</v>
      </c>
      <c r="AA338"/>
      <c r="AB338" t="s">
        <v>1199</v>
      </c>
      <c r="AC338">
        <v>102</v>
      </c>
      <c r="AD338">
        <v>4</v>
      </c>
      <c r="AE338" t="s">
        <v>15324</v>
      </c>
      <c r="AF338"/>
      <c r="AG338" s="23"/>
      <c r="AH338" s="265" t="str">
        <f>_xlfn.XLOOKUP(G338,Clientes!I:I,Clientes!F:F)</f>
        <v>STRATOS - ROSARIO DO CATETE</v>
      </c>
    </row>
    <row r="339" spans="1:34" x14ac:dyDescent="0.25">
      <c r="A339">
        <v>161</v>
      </c>
      <c r="B339" t="s">
        <v>145</v>
      </c>
      <c r="C339"/>
      <c r="D339" s="23">
        <v>72154.100000000006</v>
      </c>
      <c r="E339">
        <v>11426</v>
      </c>
      <c r="F339">
        <v>11</v>
      </c>
      <c r="G339">
        <v>43</v>
      </c>
      <c r="H339" t="s">
        <v>674</v>
      </c>
      <c r="I339" s="23">
        <v>72154.100000000006</v>
      </c>
      <c r="J339" s="185">
        <v>46160</v>
      </c>
      <c r="K339" s="185">
        <v>46160</v>
      </c>
      <c r="L339" s="185">
        <v>46188</v>
      </c>
      <c r="M339" s="185">
        <v>46188</v>
      </c>
      <c r="N339"/>
      <c r="O339">
        <v>1010100</v>
      </c>
      <c r="P339" t="s">
        <v>29</v>
      </c>
      <c r="Q339">
        <v>200000100</v>
      </c>
      <c r="R339" t="s">
        <v>15322</v>
      </c>
      <c r="S339"/>
      <c r="T339" t="s">
        <v>15323</v>
      </c>
      <c r="U339" t="s">
        <v>1530</v>
      </c>
      <c r="V339" s="23">
        <v>0</v>
      </c>
      <c r="W339" s="23">
        <v>0</v>
      </c>
      <c r="X339" s="23">
        <v>0</v>
      </c>
      <c r="Y339"/>
      <c r="Z339">
        <v>1246275602</v>
      </c>
      <c r="AA339"/>
      <c r="AB339" t="s">
        <v>1199</v>
      </c>
      <c r="AC339">
        <v>102</v>
      </c>
      <c r="AD339">
        <v>4</v>
      </c>
      <c r="AE339" t="s">
        <v>15324</v>
      </c>
      <c r="AF339"/>
      <c r="AG339" s="23"/>
      <c r="AH339" s="265" t="str">
        <f>_xlfn.XLOOKUP(G339,Clientes!I:I,Clientes!F:F)</f>
        <v>GRUPO CIBRA</v>
      </c>
    </row>
    <row r="340" spans="1:34" x14ac:dyDescent="0.25">
      <c r="A340">
        <v>161</v>
      </c>
      <c r="B340" t="s">
        <v>145</v>
      </c>
      <c r="C340"/>
      <c r="D340" s="23">
        <v>72162</v>
      </c>
      <c r="E340">
        <v>11187</v>
      </c>
      <c r="F340">
        <v>11</v>
      </c>
      <c r="G340">
        <v>11724</v>
      </c>
      <c r="H340" t="s">
        <v>107</v>
      </c>
      <c r="I340" s="23">
        <v>72162</v>
      </c>
      <c r="J340" s="185">
        <v>46132</v>
      </c>
      <c r="K340" s="185">
        <v>46132</v>
      </c>
      <c r="L340" s="185">
        <v>46198</v>
      </c>
      <c r="M340" s="185"/>
      <c r="N340"/>
      <c r="O340">
        <v>1010100</v>
      </c>
      <c r="P340" t="s">
        <v>29</v>
      </c>
      <c r="Q340">
        <v>200000100</v>
      </c>
      <c r="R340" t="s">
        <v>15322</v>
      </c>
      <c r="S340"/>
      <c r="T340" t="s">
        <v>15323</v>
      </c>
      <c r="U340" t="s">
        <v>6311</v>
      </c>
      <c r="V340" s="23">
        <v>0</v>
      </c>
      <c r="W340" s="23">
        <v>0</v>
      </c>
      <c r="X340" s="23">
        <v>0</v>
      </c>
      <c r="Y340"/>
      <c r="Z340">
        <v>1246271964</v>
      </c>
      <c r="AA340"/>
      <c r="AB340"/>
      <c r="AC340">
        <v>102</v>
      </c>
      <c r="AD340">
        <v>4</v>
      </c>
      <c r="AE340" t="s">
        <v>15324</v>
      </c>
      <c r="AF340"/>
      <c r="AG340" s="23"/>
      <c r="AH340" s="265" t="str">
        <f>_xlfn.XLOOKUP(G340,Clientes!I:I,Clientes!F:F)</f>
        <v>GRUPO HINOVE</v>
      </c>
    </row>
    <row r="341" spans="1:34" x14ac:dyDescent="0.25">
      <c r="A341">
        <v>161</v>
      </c>
      <c r="B341" t="s">
        <v>145</v>
      </c>
      <c r="C341"/>
      <c r="D341" s="23">
        <v>72162</v>
      </c>
      <c r="E341">
        <v>11186</v>
      </c>
      <c r="F341">
        <v>11</v>
      </c>
      <c r="G341">
        <v>11724</v>
      </c>
      <c r="H341" t="s">
        <v>107</v>
      </c>
      <c r="I341" s="23">
        <v>72162</v>
      </c>
      <c r="J341" s="185">
        <v>46132</v>
      </c>
      <c r="K341" s="185">
        <v>46132</v>
      </c>
      <c r="L341" s="185">
        <v>46198</v>
      </c>
      <c r="M341" s="185"/>
      <c r="N341"/>
      <c r="O341">
        <v>1010100</v>
      </c>
      <c r="P341" t="s">
        <v>29</v>
      </c>
      <c r="Q341">
        <v>200000100</v>
      </c>
      <c r="R341" t="s">
        <v>15322</v>
      </c>
      <c r="S341"/>
      <c r="T341" t="s">
        <v>15323</v>
      </c>
      <c r="U341" t="s">
        <v>6311</v>
      </c>
      <c r="V341" s="23">
        <v>0</v>
      </c>
      <c r="W341" s="23">
        <v>0</v>
      </c>
      <c r="X341" s="23">
        <v>0</v>
      </c>
      <c r="Y341"/>
      <c r="Z341">
        <v>1246271962</v>
      </c>
      <c r="AA341"/>
      <c r="AB341"/>
      <c r="AC341">
        <v>102</v>
      </c>
      <c r="AD341">
        <v>4</v>
      </c>
      <c r="AE341" t="s">
        <v>15324</v>
      </c>
      <c r="AF341"/>
      <c r="AG341" s="23"/>
      <c r="AH341" s="265" t="str">
        <f>_xlfn.XLOOKUP(G341,Clientes!I:I,Clientes!F:F)</f>
        <v>GRUPO HINOVE</v>
      </c>
    </row>
    <row r="342" spans="1:34" x14ac:dyDescent="0.25">
      <c r="A342">
        <v>161</v>
      </c>
      <c r="B342" t="s">
        <v>145</v>
      </c>
      <c r="C342"/>
      <c r="D342" s="23">
        <v>72300</v>
      </c>
      <c r="E342">
        <v>10540</v>
      </c>
      <c r="F342">
        <v>11</v>
      </c>
      <c r="G342">
        <v>7022</v>
      </c>
      <c r="H342" t="s">
        <v>15419</v>
      </c>
      <c r="I342" s="23">
        <v>72300</v>
      </c>
      <c r="J342" s="185">
        <v>46044</v>
      </c>
      <c r="K342" s="185">
        <v>46044</v>
      </c>
      <c r="L342" s="185">
        <v>46104</v>
      </c>
      <c r="M342" s="185">
        <v>46104</v>
      </c>
      <c r="N342"/>
      <c r="O342">
        <v>1010100</v>
      </c>
      <c r="P342" t="s">
        <v>29</v>
      </c>
      <c r="Q342">
        <v>200000100</v>
      </c>
      <c r="R342" t="s">
        <v>15322</v>
      </c>
      <c r="S342"/>
      <c r="T342" t="s">
        <v>15323</v>
      </c>
      <c r="U342" t="s">
        <v>2246</v>
      </c>
      <c r="V342" s="23">
        <v>0</v>
      </c>
      <c r="W342" s="23">
        <v>0</v>
      </c>
      <c r="X342" s="23">
        <v>0</v>
      </c>
      <c r="Y342"/>
      <c r="Z342">
        <v>1246260366</v>
      </c>
      <c r="AA342"/>
      <c r="AB342" t="s">
        <v>1199</v>
      </c>
      <c r="AC342">
        <v>102</v>
      </c>
      <c r="AD342">
        <v>4</v>
      </c>
      <c r="AE342" t="s">
        <v>15324</v>
      </c>
      <c r="AF342"/>
      <c r="AG342" s="23"/>
      <c r="AH342" s="265" t="str">
        <f>_xlfn.XLOOKUP(G342,Clientes!I:I,Clientes!F:F)</f>
        <v>STRATOS - ROSARIO DO CATETE</v>
      </c>
    </row>
    <row r="343" spans="1:34" x14ac:dyDescent="0.25">
      <c r="A343">
        <v>161</v>
      </c>
      <c r="B343" t="s">
        <v>145</v>
      </c>
      <c r="C343"/>
      <c r="D343" s="23">
        <v>72300</v>
      </c>
      <c r="E343">
        <v>10436</v>
      </c>
      <c r="F343">
        <v>11</v>
      </c>
      <c r="G343">
        <v>7022</v>
      </c>
      <c r="H343" t="s">
        <v>15419</v>
      </c>
      <c r="I343" s="23">
        <v>72300</v>
      </c>
      <c r="J343" s="185">
        <v>46028</v>
      </c>
      <c r="K343" s="185">
        <v>46028</v>
      </c>
      <c r="L343" s="185">
        <v>46088</v>
      </c>
      <c r="M343" s="185">
        <v>46090</v>
      </c>
      <c r="N343"/>
      <c r="O343">
        <v>1010100</v>
      </c>
      <c r="P343" t="s">
        <v>29</v>
      </c>
      <c r="Q343">
        <v>200000100</v>
      </c>
      <c r="R343" t="s">
        <v>15322</v>
      </c>
      <c r="S343"/>
      <c r="T343" t="s">
        <v>15323</v>
      </c>
      <c r="U343" t="s">
        <v>5803</v>
      </c>
      <c r="V343" s="23">
        <v>0</v>
      </c>
      <c r="W343" s="23">
        <v>0</v>
      </c>
      <c r="X343" s="23">
        <v>0</v>
      </c>
      <c r="Y343"/>
      <c r="Z343">
        <v>1246258556</v>
      </c>
      <c r="AA343"/>
      <c r="AB343" t="s">
        <v>2073</v>
      </c>
      <c r="AC343">
        <v>102</v>
      </c>
      <c r="AD343">
        <v>4</v>
      </c>
      <c r="AE343" t="s">
        <v>15324</v>
      </c>
      <c r="AF343"/>
      <c r="AG343" s="23"/>
      <c r="AH343" s="265" t="str">
        <f>_xlfn.XLOOKUP(G343,Clientes!I:I,Clientes!F:F)</f>
        <v>STRATOS - ROSARIO DO CATETE</v>
      </c>
    </row>
    <row r="344" spans="1:34" x14ac:dyDescent="0.25">
      <c r="A344">
        <v>161</v>
      </c>
      <c r="B344" t="s">
        <v>145</v>
      </c>
      <c r="C344"/>
      <c r="D344" s="23">
        <v>72348.2</v>
      </c>
      <c r="E344">
        <v>10619</v>
      </c>
      <c r="F344">
        <v>11</v>
      </c>
      <c r="G344">
        <v>7022</v>
      </c>
      <c r="H344" t="s">
        <v>15419</v>
      </c>
      <c r="I344" s="23">
        <v>72348.2</v>
      </c>
      <c r="J344" s="185">
        <v>46055</v>
      </c>
      <c r="K344" s="185">
        <v>46055</v>
      </c>
      <c r="L344" s="185">
        <v>46115</v>
      </c>
      <c r="M344" s="185">
        <v>46118</v>
      </c>
      <c r="N344"/>
      <c r="O344">
        <v>1010100</v>
      </c>
      <c r="P344" t="s">
        <v>29</v>
      </c>
      <c r="Q344">
        <v>200000100</v>
      </c>
      <c r="R344" t="s">
        <v>15322</v>
      </c>
      <c r="S344"/>
      <c r="T344" t="s">
        <v>15323</v>
      </c>
      <c r="U344" t="s">
        <v>2246</v>
      </c>
      <c r="V344" s="23">
        <v>0</v>
      </c>
      <c r="W344" s="23">
        <v>0</v>
      </c>
      <c r="X344" s="23">
        <v>0</v>
      </c>
      <c r="Y344"/>
      <c r="Z344">
        <v>1246261819</v>
      </c>
      <c r="AA344"/>
      <c r="AB344" t="s">
        <v>1199</v>
      </c>
      <c r="AC344">
        <v>102</v>
      </c>
      <c r="AD344">
        <v>4</v>
      </c>
      <c r="AE344" t="s">
        <v>15324</v>
      </c>
      <c r="AF344"/>
      <c r="AG344" s="23"/>
      <c r="AH344" s="265" t="str">
        <f>_xlfn.XLOOKUP(G344,Clientes!I:I,Clientes!F:F)</f>
        <v>STRATOS - ROSARIO DO CATETE</v>
      </c>
    </row>
    <row r="345" spans="1:34" x14ac:dyDescent="0.25">
      <c r="A345">
        <v>161</v>
      </c>
      <c r="B345" t="s">
        <v>145</v>
      </c>
      <c r="C345"/>
      <c r="D345" s="23">
        <v>72372.3</v>
      </c>
      <c r="E345">
        <v>10414</v>
      </c>
      <c r="F345">
        <v>11</v>
      </c>
      <c r="G345">
        <v>7022</v>
      </c>
      <c r="H345" t="s">
        <v>15419</v>
      </c>
      <c r="I345" s="23">
        <v>72372.3</v>
      </c>
      <c r="J345" s="185">
        <v>46027</v>
      </c>
      <c r="K345" s="185">
        <v>46027</v>
      </c>
      <c r="L345" s="185">
        <v>46087</v>
      </c>
      <c r="M345" s="185">
        <v>46087</v>
      </c>
      <c r="N345"/>
      <c r="O345">
        <v>1010100</v>
      </c>
      <c r="P345" t="s">
        <v>29</v>
      </c>
      <c r="Q345">
        <v>200000100</v>
      </c>
      <c r="R345" t="s">
        <v>15322</v>
      </c>
      <c r="S345"/>
      <c r="T345" t="s">
        <v>15323</v>
      </c>
      <c r="U345" t="s">
        <v>2246</v>
      </c>
      <c r="V345" s="23">
        <v>0</v>
      </c>
      <c r="W345" s="23">
        <v>0</v>
      </c>
      <c r="X345" s="23">
        <v>0</v>
      </c>
      <c r="Y345"/>
      <c r="Z345">
        <v>1246258217</v>
      </c>
      <c r="AA345"/>
      <c r="AB345" t="s">
        <v>1199</v>
      </c>
      <c r="AC345">
        <v>102</v>
      </c>
      <c r="AD345">
        <v>4</v>
      </c>
      <c r="AE345" t="s">
        <v>15324</v>
      </c>
      <c r="AF345"/>
      <c r="AG345" s="23"/>
      <c r="AH345" s="265" t="str">
        <f>_xlfn.XLOOKUP(G345,Clientes!I:I,Clientes!F:F)</f>
        <v>STRATOS - ROSARIO DO CATETE</v>
      </c>
    </row>
    <row r="346" spans="1:34" x14ac:dyDescent="0.25">
      <c r="A346">
        <v>161</v>
      </c>
      <c r="B346" t="s">
        <v>145</v>
      </c>
      <c r="C346"/>
      <c r="D346" s="23">
        <v>72565.100000000006</v>
      </c>
      <c r="E346">
        <v>10614</v>
      </c>
      <c r="F346">
        <v>11</v>
      </c>
      <c r="G346">
        <v>7022</v>
      </c>
      <c r="H346" t="s">
        <v>15419</v>
      </c>
      <c r="I346" s="23">
        <v>72565.100000000006</v>
      </c>
      <c r="J346" s="185">
        <v>46052</v>
      </c>
      <c r="K346" s="185">
        <v>46052</v>
      </c>
      <c r="L346" s="185">
        <v>46112</v>
      </c>
      <c r="M346" s="185">
        <v>46112</v>
      </c>
      <c r="N346"/>
      <c r="O346">
        <v>1010100</v>
      </c>
      <c r="P346" t="s">
        <v>29</v>
      </c>
      <c r="Q346">
        <v>200000100</v>
      </c>
      <c r="R346" t="s">
        <v>15322</v>
      </c>
      <c r="S346"/>
      <c r="T346" t="s">
        <v>15323</v>
      </c>
      <c r="U346" t="s">
        <v>4468</v>
      </c>
      <c r="V346" s="23">
        <v>0</v>
      </c>
      <c r="W346" s="23">
        <v>0</v>
      </c>
      <c r="X346" s="23">
        <v>0</v>
      </c>
      <c r="Y346"/>
      <c r="Z346">
        <v>1246261739</v>
      </c>
      <c r="AA346"/>
      <c r="AB346" t="s">
        <v>1199</v>
      </c>
      <c r="AC346">
        <v>102</v>
      </c>
      <c r="AD346">
        <v>4</v>
      </c>
      <c r="AE346" t="s">
        <v>15324</v>
      </c>
      <c r="AF346"/>
      <c r="AG346" s="23"/>
      <c r="AH346" s="265" t="str">
        <f>_xlfn.XLOOKUP(G346,Clientes!I:I,Clientes!F:F)</f>
        <v>STRATOS - ROSARIO DO CATETE</v>
      </c>
    </row>
    <row r="347" spans="1:34" x14ac:dyDescent="0.25">
      <c r="A347">
        <v>161</v>
      </c>
      <c r="B347" t="s">
        <v>145</v>
      </c>
      <c r="C347"/>
      <c r="D347" s="23">
        <v>72587.789999999994</v>
      </c>
      <c r="E347">
        <v>11111</v>
      </c>
      <c r="F347">
        <v>11</v>
      </c>
      <c r="G347">
        <v>15905</v>
      </c>
      <c r="H347" t="s">
        <v>750</v>
      </c>
      <c r="I347" s="23">
        <v>72587.789999999994</v>
      </c>
      <c r="J347" s="185">
        <v>46125</v>
      </c>
      <c r="K347" s="185">
        <v>46125</v>
      </c>
      <c r="L347" s="185">
        <v>46215</v>
      </c>
      <c r="M347" s="185"/>
      <c r="N347"/>
      <c r="O347">
        <v>1010100</v>
      </c>
      <c r="P347" t="s">
        <v>29</v>
      </c>
      <c r="Q347">
        <v>200000200</v>
      </c>
      <c r="R347" t="s">
        <v>15377</v>
      </c>
      <c r="S347"/>
      <c r="T347" t="s">
        <v>15323</v>
      </c>
      <c r="U347" t="s">
        <v>6311</v>
      </c>
      <c r="V347" s="23">
        <v>0</v>
      </c>
      <c r="W347" s="23">
        <v>0</v>
      </c>
      <c r="X347" s="23">
        <v>0</v>
      </c>
      <c r="Y347"/>
      <c r="Z347">
        <v>1246271194</v>
      </c>
      <c r="AA347"/>
      <c r="AB347"/>
      <c r="AC347">
        <v>102</v>
      </c>
      <c r="AD347">
        <v>4</v>
      </c>
      <c r="AE347" t="s">
        <v>15324</v>
      </c>
      <c r="AF347"/>
      <c r="AG347" s="23"/>
      <c r="AH347" s="265" t="str">
        <f>_xlfn.XLOOKUP(G347,Clientes!I:I,Clientes!F:F)</f>
        <v>ADUFÉRTIL - CAMPEVO</v>
      </c>
    </row>
    <row r="348" spans="1:34" x14ac:dyDescent="0.25">
      <c r="A348">
        <v>161</v>
      </c>
      <c r="B348" t="s">
        <v>145</v>
      </c>
      <c r="C348"/>
      <c r="D348" s="23">
        <v>72685.600000000006</v>
      </c>
      <c r="E348">
        <v>10447</v>
      </c>
      <c r="F348">
        <v>11</v>
      </c>
      <c r="G348">
        <v>7022</v>
      </c>
      <c r="H348" t="s">
        <v>15419</v>
      </c>
      <c r="I348" s="23">
        <v>72685.600000000006</v>
      </c>
      <c r="J348" s="185">
        <v>46031</v>
      </c>
      <c r="K348" s="185">
        <v>46031</v>
      </c>
      <c r="L348" s="185">
        <v>46091</v>
      </c>
      <c r="M348" s="185">
        <v>46091</v>
      </c>
      <c r="N348"/>
      <c r="O348">
        <v>1010100</v>
      </c>
      <c r="P348" t="s">
        <v>29</v>
      </c>
      <c r="Q348">
        <v>200000100</v>
      </c>
      <c r="R348" t="s">
        <v>15322</v>
      </c>
      <c r="S348"/>
      <c r="T348" t="s">
        <v>15323</v>
      </c>
      <c r="U348" t="s">
        <v>2246</v>
      </c>
      <c r="V348" s="23">
        <v>0</v>
      </c>
      <c r="W348" s="23">
        <v>0</v>
      </c>
      <c r="X348" s="23">
        <v>0</v>
      </c>
      <c r="Y348"/>
      <c r="Z348">
        <v>1246259015</v>
      </c>
      <c r="AA348"/>
      <c r="AB348" t="s">
        <v>1199</v>
      </c>
      <c r="AC348">
        <v>102</v>
      </c>
      <c r="AD348">
        <v>4</v>
      </c>
      <c r="AE348" t="s">
        <v>15324</v>
      </c>
      <c r="AF348"/>
      <c r="AG348" s="23"/>
      <c r="AH348" s="265" t="str">
        <f>_xlfn.XLOOKUP(G348,Clientes!I:I,Clientes!F:F)</f>
        <v>STRATOS - ROSARIO DO CATETE</v>
      </c>
    </row>
    <row r="349" spans="1:34" x14ac:dyDescent="0.25">
      <c r="A349">
        <v>40</v>
      </c>
      <c r="B349" t="s">
        <v>155</v>
      </c>
      <c r="C349"/>
      <c r="D349" s="23">
        <v>72704.210000000006</v>
      </c>
      <c r="E349">
        <v>10643</v>
      </c>
      <c r="F349">
        <v>11</v>
      </c>
      <c r="G349">
        <v>17232</v>
      </c>
      <c r="H349" t="s">
        <v>712</v>
      </c>
      <c r="I349" s="23">
        <v>72704.210000000006</v>
      </c>
      <c r="J349" s="185">
        <v>46057</v>
      </c>
      <c r="K349" s="185">
        <v>46057</v>
      </c>
      <c r="L349" s="185">
        <v>46087</v>
      </c>
      <c r="M349" s="185">
        <v>46057</v>
      </c>
      <c r="N349"/>
      <c r="O349">
        <v>1010200</v>
      </c>
      <c r="P349" t="s">
        <v>113</v>
      </c>
      <c r="Q349">
        <v>200000100</v>
      </c>
      <c r="R349" t="s">
        <v>15322</v>
      </c>
      <c r="S349"/>
      <c r="T349" t="s">
        <v>15323</v>
      </c>
      <c r="U349" t="s">
        <v>1199</v>
      </c>
      <c r="V349" s="23">
        <v>0</v>
      </c>
      <c r="W349" s="23">
        <v>0</v>
      </c>
      <c r="X349" s="23">
        <v>0</v>
      </c>
      <c r="Y349"/>
      <c r="Z349">
        <v>1246262307</v>
      </c>
      <c r="AA349"/>
      <c r="AB349" t="s">
        <v>1199</v>
      </c>
      <c r="AC349">
        <v>18</v>
      </c>
      <c r="AD349">
        <v>4</v>
      </c>
      <c r="AE349" t="s">
        <v>15324</v>
      </c>
      <c r="AF349"/>
      <c r="AG349" s="23"/>
      <c r="AH349" s="265" t="str">
        <f>_xlfn.XLOOKUP(G349,Clientes!I:I,Clientes!F:F)</f>
        <v>CALPAR S.A. - PARAGUAY</v>
      </c>
    </row>
    <row r="350" spans="1:34" x14ac:dyDescent="0.25">
      <c r="A350">
        <v>161</v>
      </c>
      <c r="B350" t="s">
        <v>145</v>
      </c>
      <c r="C350"/>
      <c r="D350" s="23">
        <v>72780</v>
      </c>
      <c r="E350">
        <v>2786</v>
      </c>
      <c r="F350">
        <v>13</v>
      </c>
      <c r="G350">
        <v>5209</v>
      </c>
      <c r="H350" t="s">
        <v>83</v>
      </c>
      <c r="I350" s="23">
        <v>72780</v>
      </c>
      <c r="J350" s="185">
        <v>46080</v>
      </c>
      <c r="K350" s="185">
        <v>46080</v>
      </c>
      <c r="L350" s="185">
        <v>46108</v>
      </c>
      <c r="M350" s="185">
        <v>46108</v>
      </c>
      <c r="N350"/>
      <c r="O350">
        <v>1010100</v>
      </c>
      <c r="P350" t="s">
        <v>29</v>
      </c>
      <c r="Q350">
        <v>200000100</v>
      </c>
      <c r="R350" t="s">
        <v>15322</v>
      </c>
      <c r="S350"/>
      <c r="T350" t="s">
        <v>15323</v>
      </c>
      <c r="U350" t="s">
        <v>6311</v>
      </c>
      <c r="V350" s="23">
        <v>0</v>
      </c>
      <c r="W350" s="23">
        <v>0</v>
      </c>
      <c r="X350" s="23">
        <v>0</v>
      </c>
      <c r="Y350"/>
      <c r="Z350">
        <v>1246265831</v>
      </c>
      <c r="AA350"/>
      <c r="AB350" t="s">
        <v>1186</v>
      </c>
      <c r="AC350">
        <v>102</v>
      </c>
      <c r="AD350">
        <v>4</v>
      </c>
      <c r="AE350" t="s">
        <v>15324</v>
      </c>
      <c r="AF350"/>
      <c r="AG350" s="23"/>
      <c r="AH350" s="265" t="str">
        <f>_xlfn.XLOOKUP(G350,Clientes!I:I,Clientes!F:F)</f>
        <v>NUTRISOYA - CATALÃO</v>
      </c>
    </row>
    <row r="351" spans="1:34" x14ac:dyDescent="0.25">
      <c r="A351">
        <v>161</v>
      </c>
      <c r="B351" t="s">
        <v>145</v>
      </c>
      <c r="C351"/>
      <c r="D351" s="23">
        <v>73191.7</v>
      </c>
      <c r="E351">
        <v>10512</v>
      </c>
      <c r="F351">
        <v>11</v>
      </c>
      <c r="G351">
        <v>7022</v>
      </c>
      <c r="H351" t="s">
        <v>15419</v>
      </c>
      <c r="I351" s="23">
        <v>73191.7</v>
      </c>
      <c r="J351" s="185">
        <v>46041</v>
      </c>
      <c r="K351" s="185">
        <v>46041</v>
      </c>
      <c r="L351" s="185">
        <v>46101</v>
      </c>
      <c r="M351" s="185">
        <v>46101</v>
      </c>
      <c r="N351"/>
      <c r="O351">
        <v>1010100</v>
      </c>
      <c r="P351" t="s">
        <v>29</v>
      </c>
      <c r="Q351">
        <v>200000100</v>
      </c>
      <c r="R351" t="s">
        <v>15322</v>
      </c>
      <c r="S351"/>
      <c r="T351" t="s">
        <v>15323</v>
      </c>
      <c r="U351" t="s">
        <v>2246</v>
      </c>
      <c r="V351" s="23">
        <v>0</v>
      </c>
      <c r="W351" s="23">
        <v>0</v>
      </c>
      <c r="X351" s="23">
        <v>0</v>
      </c>
      <c r="Y351"/>
      <c r="Z351">
        <v>1246259902</v>
      </c>
      <c r="AA351"/>
      <c r="AB351" t="s">
        <v>1199</v>
      </c>
      <c r="AC351">
        <v>102</v>
      </c>
      <c r="AD351">
        <v>4</v>
      </c>
      <c r="AE351" t="s">
        <v>15324</v>
      </c>
      <c r="AF351"/>
      <c r="AG351" s="23"/>
      <c r="AH351" s="265" t="str">
        <f>_xlfn.XLOOKUP(G351,Clientes!I:I,Clientes!F:F)</f>
        <v>STRATOS - ROSARIO DO CATETE</v>
      </c>
    </row>
    <row r="352" spans="1:34" x14ac:dyDescent="0.25">
      <c r="A352">
        <v>56</v>
      </c>
      <c r="B352" t="s">
        <v>146</v>
      </c>
      <c r="C352"/>
      <c r="D352" s="23">
        <v>73972.2</v>
      </c>
      <c r="E352">
        <v>10686</v>
      </c>
      <c r="F352">
        <v>11</v>
      </c>
      <c r="G352">
        <v>10413</v>
      </c>
      <c r="H352" t="s">
        <v>265</v>
      </c>
      <c r="I352" s="23">
        <v>73972.2</v>
      </c>
      <c r="J352" s="185">
        <v>46065</v>
      </c>
      <c r="K352" s="185">
        <v>46065</v>
      </c>
      <c r="L352" s="185">
        <v>46096</v>
      </c>
      <c r="M352" s="185">
        <v>46083</v>
      </c>
      <c r="N352"/>
      <c r="O352">
        <v>1010100</v>
      </c>
      <c r="P352" t="s">
        <v>29</v>
      </c>
      <c r="Q352">
        <v>200000100</v>
      </c>
      <c r="R352" t="s">
        <v>15322</v>
      </c>
      <c r="S352"/>
      <c r="T352" t="s">
        <v>15323</v>
      </c>
      <c r="U352" t="s">
        <v>4468</v>
      </c>
      <c r="V352" s="23">
        <v>0</v>
      </c>
      <c r="W352" s="23">
        <v>0</v>
      </c>
      <c r="X352" s="23">
        <v>0</v>
      </c>
      <c r="Y352"/>
      <c r="Z352">
        <v>1246263549</v>
      </c>
      <c r="AA352"/>
      <c r="AB352" t="s">
        <v>1199</v>
      </c>
      <c r="AC352">
        <v>102</v>
      </c>
      <c r="AD352">
        <v>29</v>
      </c>
      <c r="AE352" t="s">
        <v>15381</v>
      </c>
      <c r="AF352"/>
      <c r="AG352" s="23"/>
      <c r="AH352" s="265" t="str">
        <f>_xlfn.XLOOKUP(G352,Clientes!I:I,Clientes!F:F)</f>
        <v>BUNGE - SANTOS</v>
      </c>
    </row>
    <row r="353" spans="1:34" x14ac:dyDescent="0.25">
      <c r="A353">
        <v>56</v>
      </c>
      <c r="B353" t="s">
        <v>146</v>
      </c>
      <c r="C353"/>
      <c r="D353" s="23">
        <v>74021.399999999994</v>
      </c>
      <c r="E353">
        <v>10950</v>
      </c>
      <c r="F353">
        <v>11</v>
      </c>
      <c r="G353">
        <v>10413</v>
      </c>
      <c r="H353" t="s">
        <v>265</v>
      </c>
      <c r="I353" s="23">
        <v>74021.399999999994</v>
      </c>
      <c r="J353" s="185">
        <v>46101</v>
      </c>
      <c r="K353" s="185">
        <v>46101</v>
      </c>
      <c r="L353" s="185">
        <v>46127</v>
      </c>
      <c r="M353" s="185">
        <v>46127</v>
      </c>
      <c r="N353"/>
      <c r="O353">
        <v>1010100</v>
      </c>
      <c r="P353" t="s">
        <v>29</v>
      </c>
      <c r="Q353">
        <v>200000100</v>
      </c>
      <c r="R353" t="s">
        <v>15322</v>
      </c>
      <c r="S353"/>
      <c r="T353" t="s">
        <v>15323</v>
      </c>
      <c r="U353" t="s">
        <v>5803</v>
      </c>
      <c r="V353" s="23">
        <v>0</v>
      </c>
      <c r="W353" s="23">
        <v>0</v>
      </c>
      <c r="X353" s="23">
        <v>0</v>
      </c>
      <c r="Y353"/>
      <c r="Z353">
        <v>1246268581</v>
      </c>
      <c r="AA353"/>
      <c r="AB353" t="s">
        <v>2073</v>
      </c>
      <c r="AC353">
        <v>102</v>
      </c>
      <c r="AD353">
        <v>4</v>
      </c>
      <c r="AE353" t="s">
        <v>15324</v>
      </c>
      <c r="AF353"/>
      <c r="AG353" s="23"/>
      <c r="AH353" s="265" t="str">
        <f>_xlfn.XLOOKUP(G353,Clientes!I:I,Clientes!F:F)</f>
        <v>BUNGE - SANTOS</v>
      </c>
    </row>
    <row r="354" spans="1:34" x14ac:dyDescent="0.25">
      <c r="A354">
        <v>56</v>
      </c>
      <c r="B354" t="s">
        <v>146</v>
      </c>
      <c r="C354"/>
      <c r="D354" s="23">
        <v>74070.600000000006</v>
      </c>
      <c r="E354">
        <v>10703</v>
      </c>
      <c r="F354">
        <v>11</v>
      </c>
      <c r="G354">
        <v>10413</v>
      </c>
      <c r="H354" t="s">
        <v>265</v>
      </c>
      <c r="I354" s="23">
        <v>74070.600000000006</v>
      </c>
      <c r="J354" s="185">
        <v>46069</v>
      </c>
      <c r="K354" s="185">
        <v>46069</v>
      </c>
      <c r="L354" s="185">
        <v>46096</v>
      </c>
      <c r="M354" s="185">
        <v>46097</v>
      </c>
      <c r="N354"/>
      <c r="O354">
        <v>1010100</v>
      </c>
      <c r="P354" t="s">
        <v>29</v>
      </c>
      <c r="Q354">
        <v>200000100</v>
      </c>
      <c r="R354" t="s">
        <v>15322</v>
      </c>
      <c r="S354"/>
      <c r="T354" t="s">
        <v>15323</v>
      </c>
      <c r="U354" t="s">
        <v>5803</v>
      </c>
      <c r="V354" s="23">
        <v>0</v>
      </c>
      <c r="W354" s="23">
        <v>0</v>
      </c>
      <c r="X354" s="23">
        <v>0</v>
      </c>
      <c r="Y354"/>
      <c r="Z354">
        <v>1246263819</v>
      </c>
      <c r="AA354"/>
      <c r="AB354" t="s">
        <v>1199</v>
      </c>
      <c r="AC354">
        <v>102</v>
      </c>
      <c r="AD354">
        <v>4</v>
      </c>
      <c r="AE354" t="s">
        <v>15324</v>
      </c>
      <c r="AF354"/>
      <c r="AG354" s="23"/>
      <c r="AH354" s="265" t="str">
        <f>_xlfn.XLOOKUP(G354,Clientes!I:I,Clientes!F:F)</f>
        <v>BUNGE - SANTOS</v>
      </c>
    </row>
    <row r="355" spans="1:34" x14ac:dyDescent="0.25">
      <c r="A355">
        <v>56</v>
      </c>
      <c r="B355" t="s">
        <v>146</v>
      </c>
      <c r="C355"/>
      <c r="D355" s="23">
        <v>74365.8</v>
      </c>
      <c r="E355">
        <v>10667</v>
      </c>
      <c r="F355">
        <v>11</v>
      </c>
      <c r="G355">
        <v>10413</v>
      </c>
      <c r="H355" t="s">
        <v>265</v>
      </c>
      <c r="I355" s="23">
        <v>74365.8</v>
      </c>
      <c r="J355" s="185">
        <v>46062</v>
      </c>
      <c r="K355" s="185">
        <v>46062</v>
      </c>
      <c r="L355" s="185">
        <v>46096</v>
      </c>
      <c r="M355" s="185">
        <v>46083</v>
      </c>
      <c r="N355"/>
      <c r="O355">
        <v>1010100</v>
      </c>
      <c r="P355" t="s">
        <v>29</v>
      </c>
      <c r="Q355">
        <v>200000100</v>
      </c>
      <c r="R355" t="s">
        <v>15322</v>
      </c>
      <c r="S355"/>
      <c r="T355" t="s">
        <v>15323</v>
      </c>
      <c r="U355" t="s">
        <v>5803</v>
      </c>
      <c r="V355" s="23">
        <v>0</v>
      </c>
      <c r="W355" s="23">
        <v>0</v>
      </c>
      <c r="X355" s="23">
        <v>0</v>
      </c>
      <c r="Y355"/>
      <c r="Z355">
        <v>1246262835</v>
      </c>
      <c r="AA355"/>
      <c r="AB355" t="s">
        <v>1199</v>
      </c>
      <c r="AC355">
        <v>102</v>
      </c>
      <c r="AD355">
        <v>4</v>
      </c>
      <c r="AE355" t="s">
        <v>15324</v>
      </c>
      <c r="AF355"/>
      <c r="AG355" s="23"/>
      <c r="AH355" s="265" t="str">
        <f>_xlfn.XLOOKUP(G355,Clientes!I:I,Clientes!F:F)</f>
        <v>BUNGE - SANTOS</v>
      </c>
    </row>
    <row r="356" spans="1:34" x14ac:dyDescent="0.25">
      <c r="A356">
        <v>161</v>
      </c>
      <c r="B356" t="s">
        <v>145</v>
      </c>
      <c r="C356"/>
      <c r="D356" s="23">
        <v>75196.800000000003</v>
      </c>
      <c r="E356">
        <v>10962</v>
      </c>
      <c r="F356">
        <v>11</v>
      </c>
      <c r="G356">
        <v>205</v>
      </c>
      <c r="H356" t="s">
        <v>35</v>
      </c>
      <c r="I356" s="23">
        <v>75196.800000000003</v>
      </c>
      <c r="J356" s="185">
        <v>46105</v>
      </c>
      <c r="K356" s="185">
        <v>46105</v>
      </c>
      <c r="L356" s="185">
        <v>46133</v>
      </c>
      <c r="M356" s="185">
        <v>46132</v>
      </c>
      <c r="N356"/>
      <c r="O356">
        <v>1010100</v>
      </c>
      <c r="P356" t="s">
        <v>29</v>
      </c>
      <c r="Q356">
        <v>200000100</v>
      </c>
      <c r="R356" t="s">
        <v>15322</v>
      </c>
      <c r="S356"/>
      <c r="T356" t="s">
        <v>15323</v>
      </c>
      <c r="U356" t="s">
        <v>4502</v>
      </c>
      <c r="V356" s="23">
        <v>0</v>
      </c>
      <c r="W356" s="23">
        <v>0</v>
      </c>
      <c r="X356" s="23">
        <v>0</v>
      </c>
      <c r="Y356"/>
      <c r="Z356">
        <v>1246268731</v>
      </c>
      <c r="AA356"/>
      <c r="AB356" t="s">
        <v>1199</v>
      </c>
      <c r="AC356">
        <v>102</v>
      </c>
      <c r="AD356">
        <v>4</v>
      </c>
      <c r="AE356" t="s">
        <v>15324</v>
      </c>
      <c r="AF356"/>
      <c r="AG356" s="23"/>
      <c r="AH356" s="265" t="str">
        <f>_xlfn.XLOOKUP(G356,Clientes!I:I,Clientes!F:F)</f>
        <v>GRUPO FERTIPAR FERTILIZANTES MATO GROSSO</v>
      </c>
    </row>
    <row r="357" spans="1:34" x14ac:dyDescent="0.25">
      <c r="A357">
        <v>161</v>
      </c>
      <c r="B357" t="s">
        <v>145</v>
      </c>
      <c r="C357"/>
      <c r="D357" s="23">
        <v>75474</v>
      </c>
      <c r="E357">
        <v>11003</v>
      </c>
      <c r="F357">
        <v>11</v>
      </c>
      <c r="G357">
        <v>205</v>
      </c>
      <c r="H357" t="s">
        <v>35</v>
      </c>
      <c r="I357" s="23">
        <v>75474</v>
      </c>
      <c r="J357" s="185">
        <v>46111</v>
      </c>
      <c r="K357" s="185">
        <v>46111</v>
      </c>
      <c r="L357" s="185">
        <v>46139</v>
      </c>
      <c r="M357" s="185">
        <v>46139</v>
      </c>
      <c r="N357"/>
      <c r="O357">
        <v>1010100</v>
      </c>
      <c r="P357" t="s">
        <v>29</v>
      </c>
      <c r="Q357">
        <v>200000100</v>
      </c>
      <c r="R357" t="s">
        <v>15322</v>
      </c>
      <c r="S357"/>
      <c r="T357" t="s">
        <v>15323</v>
      </c>
      <c r="U357" t="s">
        <v>4502</v>
      </c>
      <c r="V357" s="23">
        <v>0</v>
      </c>
      <c r="W357" s="23">
        <v>0</v>
      </c>
      <c r="X357" s="23">
        <v>0</v>
      </c>
      <c r="Y357"/>
      <c r="Z357">
        <v>1246269597</v>
      </c>
      <c r="AA357"/>
      <c r="AB357" t="s">
        <v>1199</v>
      </c>
      <c r="AC357">
        <v>102</v>
      </c>
      <c r="AD357">
        <v>4</v>
      </c>
      <c r="AE357" t="s">
        <v>15324</v>
      </c>
      <c r="AF357"/>
      <c r="AG357" s="23"/>
      <c r="AH357" s="265" t="str">
        <f>_xlfn.XLOOKUP(G357,Clientes!I:I,Clientes!F:F)</f>
        <v>GRUPO FERTIPAR FERTILIZANTES MATO GROSSO</v>
      </c>
    </row>
    <row r="358" spans="1:34" x14ac:dyDescent="0.25">
      <c r="A358">
        <v>161</v>
      </c>
      <c r="B358" t="s">
        <v>145</v>
      </c>
      <c r="C358"/>
      <c r="D358" s="23">
        <v>75952.800000000003</v>
      </c>
      <c r="E358">
        <v>10983</v>
      </c>
      <c r="F358">
        <v>11</v>
      </c>
      <c r="G358">
        <v>205</v>
      </c>
      <c r="H358" t="s">
        <v>35</v>
      </c>
      <c r="I358" s="23">
        <v>75952.800000000003</v>
      </c>
      <c r="J358" s="185">
        <v>46107</v>
      </c>
      <c r="K358" s="185">
        <v>46107</v>
      </c>
      <c r="L358" s="185">
        <v>46135</v>
      </c>
      <c r="M358" s="185">
        <v>46135</v>
      </c>
      <c r="N358"/>
      <c r="O358">
        <v>1010100</v>
      </c>
      <c r="P358" t="s">
        <v>29</v>
      </c>
      <c r="Q358">
        <v>200000100</v>
      </c>
      <c r="R358" t="s">
        <v>15322</v>
      </c>
      <c r="S358"/>
      <c r="T358" t="s">
        <v>15323</v>
      </c>
      <c r="U358" t="s">
        <v>4468</v>
      </c>
      <c r="V358" s="23">
        <v>0</v>
      </c>
      <c r="W358" s="23">
        <v>0</v>
      </c>
      <c r="X358" s="23">
        <v>0</v>
      </c>
      <c r="Y358"/>
      <c r="Z358">
        <v>1246269330</v>
      </c>
      <c r="AA358"/>
      <c r="AB358" t="s">
        <v>1199</v>
      </c>
      <c r="AC358">
        <v>102</v>
      </c>
      <c r="AD358">
        <v>4</v>
      </c>
      <c r="AE358" t="s">
        <v>15324</v>
      </c>
      <c r="AF358"/>
      <c r="AG358" s="23"/>
      <c r="AH358" s="265" t="str">
        <f>_xlfn.XLOOKUP(G358,Clientes!I:I,Clientes!F:F)</f>
        <v>GRUPO FERTIPAR FERTILIZANTES MATO GROSSO</v>
      </c>
    </row>
    <row r="359" spans="1:34" x14ac:dyDescent="0.25">
      <c r="A359">
        <v>161</v>
      </c>
      <c r="B359" t="s">
        <v>145</v>
      </c>
      <c r="C359"/>
      <c r="D359" s="23">
        <v>76179.600000000006</v>
      </c>
      <c r="E359">
        <v>10956</v>
      </c>
      <c r="F359">
        <v>11</v>
      </c>
      <c r="G359">
        <v>205</v>
      </c>
      <c r="H359" t="s">
        <v>35</v>
      </c>
      <c r="I359" s="23">
        <v>76179.600000000006</v>
      </c>
      <c r="J359" s="185">
        <v>46104</v>
      </c>
      <c r="K359" s="185">
        <v>46104</v>
      </c>
      <c r="L359" s="185">
        <v>46132</v>
      </c>
      <c r="M359" s="185">
        <v>46132</v>
      </c>
      <c r="N359"/>
      <c r="O359">
        <v>1010100</v>
      </c>
      <c r="P359" t="s">
        <v>29</v>
      </c>
      <c r="Q359">
        <v>200000100</v>
      </c>
      <c r="R359" t="s">
        <v>15322</v>
      </c>
      <c r="S359"/>
      <c r="T359" t="s">
        <v>15323</v>
      </c>
      <c r="U359" t="s">
        <v>4502</v>
      </c>
      <c r="V359" s="23">
        <v>0</v>
      </c>
      <c r="W359" s="23">
        <v>0</v>
      </c>
      <c r="X359" s="23">
        <v>0</v>
      </c>
      <c r="Y359"/>
      <c r="Z359">
        <v>1246268622</v>
      </c>
      <c r="AA359"/>
      <c r="AB359" t="s">
        <v>1199</v>
      </c>
      <c r="AC359">
        <v>102</v>
      </c>
      <c r="AD359">
        <v>4</v>
      </c>
      <c r="AE359" t="s">
        <v>15324</v>
      </c>
      <c r="AF359"/>
      <c r="AG359" s="23"/>
      <c r="AH359" s="265" t="str">
        <f>_xlfn.XLOOKUP(G359,Clientes!I:I,Clientes!F:F)</f>
        <v>GRUPO FERTIPAR FERTILIZANTES MATO GROSSO</v>
      </c>
    </row>
    <row r="360" spans="1:34" x14ac:dyDescent="0.25">
      <c r="A360">
        <v>161</v>
      </c>
      <c r="B360" t="s">
        <v>145</v>
      </c>
      <c r="C360"/>
      <c r="D360" s="23">
        <v>76255.199999999997</v>
      </c>
      <c r="E360">
        <v>10854</v>
      </c>
      <c r="F360">
        <v>11</v>
      </c>
      <c r="G360">
        <v>205</v>
      </c>
      <c r="H360" t="s">
        <v>35</v>
      </c>
      <c r="I360" s="23">
        <v>76255.199999999997</v>
      </c>
      <c r="J360" s="185">
        <v>46091</v>
      </c>
      <c r="K360" s="185">
        <v>46091</v>
      </c>
      <c r="L360" s="185">
        <v>46119</v>
      </c>
      <c r="M360" s="185">
        <v>46119</v>
      </c>
      <c r="N360"/>
      <c r="O360">
        <v>1010100</v>
      </c>
      <c r="P360" t="s">
        <v>29</v>
      </c>
      <c r="Q360">
        <v>200000100</v>
      </c>
      <c r="R360" t="s">
        <v>15322</v>
      </c>
      <c r="S360"/>
      <c r="T360" t="s">
        <v>15323</v>
      </c>
      <c r="U360" t="s">
        <v>1216</v>
      </c>
      <c r="V360" s="23">
        <v>0</v>
      </c>
      <c r="W360" s="23">
        <v>0</v>
      </c>
      <c r="X360" s="23">
        <v>0</v>
      </c>
      <c r="Y360"/>
      <c r="Z360">
        <v>1246267196</v>
      </c>
      <c r="AA360"/>
      <c r="AB360" t="s">
        <v>1199</v>
      </c>
      <c r="AC360">
        <v>102</v>
      </c>
      <c r="AD360">
        <v>4</v>
      </c>
      <c r="AE360" t="s">
        <v>15324</v>
      </c>
      <c r="AF360"/>
      <c r="AG360" s="23"/>
      <c r="AH360" s="265" t="str">
        <f>_xlfn.XLOOKUP(G360,Clientes!I:I,Clientes!F:F)</f>
        <v>GRUPO FERTIPAR FERTILIZANTES MATO GROSSO</v>
      </c>
    </row>
    <row r="361" spans="1:34" x14ac:dyDescent="0.25">
      <c r="A361">
        <v>161</v>
      </c>
      <c r="B361" t="s">
        <v>145</v>
      </c>
      <c r="C361"/>
      <c r="D361" s="23">
        <v>76330.8</v>
      </c>
      <c r="E361">
        <v>10892</v>
      </c>
      <c r="F361">
        <v>11</v>
      </c>
      <c r="G361">
        <v>205</v>
      </c>
      <c r="H361" t="s">
        <v>35</v>
      </c>
      <c r="I361" s="23">
        <v>76330.8</v>
      </c>
      <c r="J361" s="185">
        <v>46097</v>
      </c>
      <c r="K361" s="185">
        <v>46097</v>
      </c>
      <c r="L361" s="185">
        <v>46125</v>
      </c>
      <c r="M361" s="185">
        <v>46125</v>
      </c>
      <c r="N361"/>
      <c r="O361">
        <v>1010100</v>
      </c>
      <c r="P361" t="s">
        <v>29</v>
      </c>
      <c r="Q361">
        <v>200000100</v>
      </c>
      <c r="R361" t="s">
        <v>15322</v>
      </c>
      <c r="S361"/>
      <c r="T361" t="s">
        <v>15323</v>
      </c>
      <c r="U361" t="s">
        <v>4502</v>
      </c>
      <c r="V361" s="23">
        <v>0</v>
      </c>
      <c r="W361" s="23">
        <v>0</v>
      </c>
      <c r="X361" s="23">
        <v>0</v>
      </c>
      <c r="Y361"/>
      <c r="Z361">
        <v>1246267832</v>
      </c>
      <c r="AA361"/>
      <c r="AB361" t="s">
        <v>2073</v>
      </c>
      <c r="AC361">
        <v>102</v>
      </c>
      <c r="AD361">
        <v>4</v>
      </c>
      <c r="AE361" t="s">
        <v>15324</v>
      </c>
      <c r="AF361"/>
      <c r="AG361" s="23"/>
      <c r="AH361" s="265" t="str">
        <f>_xlfn.XLOOKUP(G361,Clientes!I:I,Clientes!F:F)</f>
        <v>GRUPO FERTIPAR FERTILIZANTES MATO GROSSO</v>
      </c>
    </row>
    <row r="362" spans="1:34" x14ac:dyDescent="0.25">
      <c r="A362">
        <v>40</v>
      </c>
      <c r="B362" t="s">
        <v>155</v>
      </c>
      <c r="C362"/>
      <c r="D362" s="23">
        <v>76480.23</v>
      </c>
      <c r="E362">
        <v>2837</v>
      </c>
      <c r="F362">
        <v>13</v>
      </c>
      <c r="G362">
        <v>11580</v>
      </c>
      <c r="H362" t="s">
        <v>424</v>
      </c>
      <c r="I362" s="23">
        <v>76480.23</v>
      </c>
      <c r="J362" s="185">
        <v>46105</v>
      </c>
      <c r="K362" s="185">
        <v>46105</v>
      </c>
      <c r="L362" s="185">
        <v>46440</v>
      </c>
      <c r="M362" s="185"/>
      <c r="N362"/>
      <c r="O362">
        <v>1010200</v>
      </c>
      <c r="P362" t="s">
        <v>113</v>
      </c>
      <c r="Q362">
        <v>200000100</v>
      </c>
      <c r="R362" t="s">
        <v>15322</v>
      </c>
      <c r="S362"/>
      <c r="T362" t="s">
        <v>15323</v>
      </c>
      <c r="U362" t="s">
        <v>1199</v>
      </c>
      <c r="V362" s="23">
        <v>0</v>
      </c>
      <c r="W362" s="23">
        <v>0</v>
      </c>
      <c r="X362" s="23">
        <v>0</v>
      </c>
      <c r="Y362"/>
      <c r="Z362">
        <v>1246268734</v>
      </c>
      <c r="AA362"/>
      <c r="AB362"/>
      <c r="AC362">
        <v>102</v>
      </c>
      <c r="AD362">
        <v>4</v>
      </c>
      <c r="AE362" t="s">
        <v>15324</v>
      </c>
      <c r="AF362" t="s">
        <v>15346</v>
      </c>
      <c r="AG362" s="23">
        <v>14586</v>
      </c>
      <c r="AH362" s="265" t="str">
        <f>_xlfn.XLOOKUP(G362,Clientes!I:I,Clientes!F:F)</f>
        <v>AGRO MIL AGROS SAS - COLOMBIA</v>
      </c>
    </row>
    <row r="363" spans="1:34" x14ac:dyDescent="0.25">
      <c r="A363">
        <v>161</v>
      </c>
      <c r="B363" t="s">
        <v>145</v>
      </c>
      <c r="C363"/>
      <c r="D363" s="23">
        <v>77060</v>
      </c>
      <c r="E363">
        <v>2856</v>
      </c>
      <c r="F363">
        <v>13</v>
      </c>
      <c r="G363">
        <v>7662</v>
      </c>
      <c r="H363" t="s">
        <v>95</v>
      </c>
      <c r="I363" s="23">
        <v>77060</v>
      </c>
      <c r="J363" s="185">
        <v>46112</v>
      </c>
      <c r="K363" s="185">
        <v>46112</v>
      </c>
      <c r="L363" s="185">
        <v>46157</v>
      </c>
      <c r="M363" s="185">
        <v>46157</v>
      </c>
      <c r="N363"/>
      <c r="O363">
        <v>1010100</v>
      </c>
      <c r="P363" t="s">
        <v>29</v>
      </c>
      <c r="Q363">
        <v>200000100</v>
      </c>
      <c r="R363" t="s">
        <v>15322</v>
      </c>
      <c r="S363"/>
      <c r="T363" t="s">
        <v>15323</v>
      </c>
      <c r="U363" t="s">
        <v>6311</v>
      </c>
      <c r="V363" s="23">
        <v>0</v>
      </c>
      <c r="W363" s="23">
        <v>0</v>
      </c>
      <c r="X363" s="23">
        <v>0</v>
      </c>
      <c r="Y363"/>
      <c r="Z363">
        <v>1246269689</v>
      </c>
      <c r="AA363"/>
      <c r="AB363" t="s">
        <v>1186</v>
      </c>
      <c r="AC363">
        <v>102</v>
      </c>
      <c r="AD363">
        <v>4</v>
      </c>
      <c r="AE363" t="s">
        <v>15324</v>
      </c>
      <c r="AF363"/>
      <c r="AG363" s="23"/>
      <c r="AH363" s="265" t="str">
        <f>_xlfn.XLOOKUP(G363,Clientes!I:I,Clientes!F:F)</f>
        <v>BENTONIT UNIAO - CAMPINA GRANDE</v>
      </c>
    </row>
    <row r="364" spans="1:34" x14ac:dyDescent="0.25">
      <c r="A364">
        <v>161</v>
      </c>
      <c r="B364" t="s">
        <v>145</v>
      </c>
      <c r="C364"/>
      <c r="D364" s="23">
        <v>77060</v>
      </c>
      <c r="E364">
        <v>2856</v>
      </c>
      <c r="F364">
        <v>13</v>
      </c>
      <c r="G364">
        <v>7662</v>
      </c>
      <c r="H364" t="s">
        <v>95</v>
      </c>
      <c r="I364" s="23">
        <v>77060</v>
      </c>
      <c r="J364" s="185">
        <v>46112</v>
      </c>
      <c r="K364" s="185">
        <v>46112</v>
      </c>
      <c r="L364" s="185">
        <v>46172</v>
      </c>
      <c r="M364" s="185">
        <v>46174</v>
      </c>
      <c r="N364"/>
      <c r="O364">
        <v>1010100</v>
      </c>
      <c r="P364" t="s">
        <v>29</v>
      </c>
      <c r="Q364">
        <v>200000100</v>
      </c>
      <c r="R364" t="s">
        <v>15322</v>
      </c>
      <c r="S364"/>
      <c r="T364" t="s">
        <v>15323</v>
      </c>
      <c r="U364" t="s">
        <v>6311</v>
      </c>
      <c r="V364" s="23">
        <v>0</v>
      </c>
      <c r="W364" s="23">
        <v>0</v>
      </c>
      <c r="X364" s="23">
        <v>0</v>
      </c>
      <c r="Y364"/>
      <c r="Z364">
        <v>1246269690</v>
      </c>
      <c r="AA364"/>
      <c r="AB364" t="s">
        <v>1186</v>
      </c>
      <c r="AC364">
        <v>102</v>
      </c>
      <c r="AD364">
        <v>4</v>
      </c>
      <c r="AE364" t="s">
        <v>15324</v>
      </c>
      <c r="AF364"/>
      <c r="AG364" s="23"/>
      <c r="AH364" s="265" t="str">
        <f>_xlfn.XLOOKUP(G364,Clientes!I:I,Clientes!F:F)</f>
        <v>BENTONIT UNIAO - CAMPINA GRANDE</v>
      </c>
    </row>
    <row r="365" spans="1:34" x14ac:dyDescent="0.25">
      <c r="A365">
        <v>161</v>
      </c>
      <c r="B365" t="s">
        <v>145</v>
      </c>
      <c r="C365"/>
      <c r="D365" s="23">
        <v>77060</v>
      </c>
      <c r="E365">
        <v>2723</v>
      </c>
      <c r="F365">
        <v>13</v>
      </c>
      <c r="G365">
        <v>7662</v>
      </c>
      <c r="H365" t="s">
        <v>95</v>
      </c>
      <c r="I365" s="23">
        <v>77060</v>
      </c>
      <c r="J365" s="185">
        <v>46059</v>
      </c>
      <c r="K365" s="185">
        <v>46059</v>
      </c>
      <c r="L365" s="185">
        <v>46104</v>
      </c>
      <c r="M365" s="185">
        <v>46104</v>
      </c>
      <c r="N365"/>
      <c r="O365">
        <v>1010100</v>
      </c>
      <c r="P365" t="s">
        <v>29</v>
      </c>
      <c r="Q365">
        <v>200000100</v>
      </c>
      <c r="R365" t="s">
        <v>15322</v>
      </c>
      <c r="S365"/>
      <c r="T365" t="s">
        <v>15323</v>
      </c>
      <c r="U365" t="s">
        <v>6311</v>
      </c>
      <c r="V365" s="23">
        <v>0</v>
      </c>
      <c r="W365" s="23">
        <v>0</v>
      </c>
      <c r="X365" s="23">
        <v>0</v>
      </c>
      <c r="Y365"/>
      <c r="Z365">
        <v>1246262502</v>
      </c>
      <c r="AA365"/>
      <c r="AB365" t="s">
        <v>1186</v>
      </c>
      <c r="AC365">
        <v>102</v>
      </c>
      <c r="AD365">
        <v>4</v>
      </c>
      <c r="AE365" t="s">
        <v>15324</v>
      </c>
      <c r="AF365"/>
      <c r="AG365" s="23"/>
      <c r="AH365" s="265" t="str">
        <f>_xlfn.XLOOKUP(G365,Clientes!I:I,Clientes!F:F)</f>
        <v>BENTONIT UNIAO - CAMPINA GRANDE</v>
      </c>
    </row>
    <row r="366" spans="1:34" x14ac:dyDescent="0.25">
      <c r="A366">
        <v>161</v>
      </c>
      <c r="B366" t="s">
        <v>145</v>
      </c>
      <c r="C366"/>
      <c r="D366" s="23">
        <v>77060</v>
      </c>
      <c r="E366">
        <v>2723</v>
      </c>
      <c r="F366">
        <v>13</v>
      </c>
      <c r="G366">
        <v>7662</v>
      </c>
      <c r="H366" t="s">
        <v>95</v>
      </c>
      <c r="I366" s="23">
        <v>77060</v>
      </c>
      <c r="J366" s="185">
        <v>46059</v>
      </c>
      <c r="K366" s="185">
        <v>46059</v>
      </c>
      <c r="L366" s="185">
        <v>46119</v>
      </c>
      <c r="M366" s="185">
        <v>46119</v>
      </c>
      <c r="N366"/>
      <c r="O366">
        <v>1010100</v>
      </c>
      <c r="P366" t="s">
        <v>29</v>
      </c>
      <c r="Q366">
        <v>200000100</v>
      </c>
      <c r="R366" t="s">
        <v>15322</v>
      </c>
      <c r="S366"/>
      <c r="T366" t="s">
        <v>15323</v>
      </c>
      <c r="U366" t="s">
        <v>6311</v>
      </c>
      <c r="V366" s="23">
        <v>0</v>
      </c>
      <c r="W366" s="23">
        <v>0</v>
      </c>
      <c r="X366" s="23">
        <v>0</v>
      </c>
      <c r="Y366"/>
      <c r="Z366">
        <v>1246262503</v>
      </c>
      <c r="AA366"/>
      <c r="AB366" t="s">
        <v>1186</v>
      </c>
      <c r="AC366">
        <v>102</v>
      </c>
      <c r="AD366">
        <v>4</v>
      </c>
      <c r="AE366" t="s">
        <v>15324</v>
      </c>
      <c r="AF366"/>
      <c r="AG366" s="23"/>
      <c r="AH366" s="265" t="str">
        <f>_xlfn.XLOOKUP(G366,Clientes!I:I,Clientes!F:F)</f>
        <v>BENTONIT UNIAO - CAMPINA GRANDE</v>
      </c>
    </row>
    <row r="367" spans="1:34" x14ac:dyDescent="0.25">
      <c r="A367">
        <v>161</v>
      </c>
      <c r="B367" t="s">
        <v>145</v>
      </c>
      <c r="C367"/>
      <c r="D367" s="23">
        <v>78164.100000000006</v>
      </c>
      <c r="E367">
        <v>10878</v>
      </c>
      <c r="F367">
        <v>11</v>
      </c>
      <c r="G367">
        <v>2975</v>
      </c>
      <c r="H367" t="s">
        <v>420</v>
      </c>
      <c r="I367" s="23">
        <v>78164.100000000006</v>
      </c>
      <c r="J367" s="185">
        <v>46094</v>
      </c>
      <c r="K367" s="185">
        <v>46094</v>
      </c>
      <c r="L367" s="185">
        <v>46122</v>
      </c>
      <c r="M367" s="185">
        <v>46120</v>
      </c>
      <c r="N367"/>
      <c r="O367">
        <v>1010100</v>
      </c>
      <c r="P367" t="s">
        <v>29</v>
      </c>
      <c r="Q367">
        <v>200000100</v>
      </c>
      <c r="R367" t="s">
        <v>15322</v>
      </c>
      <c r="S367"/>
      <c r="T367" t="s">
        <v>15323</v>
      </c>
      <c r="U367" t="s">
        <v>6311</v>
      </c>
      <c r="V367" s="23">
        <v>0</v>
      </c>
      <c r="W367" s="23">
        <v>0</v>
      </c>
      <c r="X367" s="23">
        <v>0</v>
      </c>
      <c r="Y367"/>
      <c r="Z367">
        <v>1246267719</v>
      </c>
      <c r="AA367"/>
      <c r="AB367" t="s">
        <v>1186</v>
      </c>
      <c r="AC367">
        <v>102</v>
      </c>
      <c r="AD367">
        <v>4</v>
      </c>
      <c r="AE367" t="s">
        <v>15324</v>
      </c>
      <c r="AF367"/>
      <c r="AG367" s="23"/>
      <c r="AH367" s="265" t="str">
        <f>_xlfn.XLOOKUP(G367,Clientes!I:I,Clientes!F:F)</f>
        <v>COONAGRO COOPERATIVA - PARANAGUA</v>
      </c>
    </row>
    <row r="368" spans="1:34" x14ac:dyDescent="0.25">
      <c r="A368">
        <v>161</v>
      </c>
      <c r="B368" t="s">
        <v>145</v>
      </c>
      <c r="C368"/>
      <c r="D368" s="23">
        <v>78390</v>
      </c>
      <c r="E368">
        <v>11033</v>
      </c>
      <c r="F368">
        <v>11</v>
      </c>
      <c r="G368">
        <v>2559</v>
      </c>
      <c r="H368" t="s">
        <v>451</v>
      </c>
      <c r="I368" s="23">
        <v>78390</v>
      </c>
      <c r="J368" s="185">
        <v>46114</v>
      </c>
      <c r="K368" s="185">
        <v>46114</v>
      </c>
      <c r="L368" s="185">
        <v>46204</v>
      </c>
      <c r="M368" s="185"/>
      <c r="N368"/>
      <c r="O368">
        <v>1010100</v>
      </c>
      <c r="P368" t="s">
        <v>29</v>
      </c>
      <c r="Q368">
        <v>200000100</v>
      </c>
      <c r="R368" t="s">
        <v>15322</v>
      </c>
      <c r="S368"/>
      <c r="T368" t="s">
        <v>15323</v>
      </c>
      <c r="U368" t="s">
        <v>1530</v>
      </c>
      <c r="V368" s="23">
        <v>0</v>
      </c>
      <c r="W368" s="23">
        <v>0</v>
      </c>
      <c r="X368" s="23">
        <v>0</v>
      </c>
      <c r="Y368"/>
      <c r="Z368">
        <v>1246270082</v>
      </c>
      <c r="AA368"/>
      <c r="AB368"/>
      <c r="AC368">
        <v>102</v>
      </c>
      <c r="AD368">
        <v>4</v>
      </c>
      <c r="AE368" t="s">
        <v>15324</v>
      </c>
      <c r="AF368"/>
      <c r="AG368" s="23"/>
      <c r="AH368" s="265" t="str">
        <f>_xlfn.XLOOKUP(G368,Clientes!I:I,Clientes!F:F)</f>
        <v>GRUPO MOSAIC FERTILIZANTES DO BRASIL</v>
      </c>
    </row>
    <row r="369" spans="1:34" x14ac:dyDescent="0.25">
      <c r="A369">
        <v>56</v>
      </c>
      <c r="B369" t="s">
        <v>146</v>
      </c>
      <c r="C369"/>
      <c r="D369" s="23">
        <v>78835.8</v>
      </c>
      <c r="E369">
        <v>11444</v>
      </c>
      <c r="F369">
        <v>11</v>
      </c>
      <c r="G369">
        <v>10413</v>
      </c>
      <c r="H369" t="s">
        <v>265</v>
      </c>
      <c r="I369" s="23">
        <v>78835.8</v>
      </c>
      <c r="J369" s="185">
        <v>46161</v>
      </c>
      <c r="K369" s="185">
        <v>46161</v>
      </c>
      <c r="L369" s="185">
        <v>46188</v>
      </c>
      <c r="M369" s="185">
        <v>46188</v>
      </c>
      <c r="N369"/>
      <c r="O369">
        <v>1010100</v>
      </c>
      <c r="P369" t="s">
        <v>29</v>
      </c>
      <c r="Q369">
        <v>200000100</v>
      </c>
      <c r="R369" t="s">
        <v>15322</v>
      </c>
      <c r="S369"/>
      <c r="T369" t="s">
        <v>15323</v>
      </c>
      <c r="U369" t="s">
        <v>5803</v>
      </c>
      <c r="V369" s="23">
        <v>0</v>
      </c>
      <c r="W369" s="23">
        <v>0</v>
      </c>
      <c r="X369" s="23">
        <v>0</v>
      </c>
      <c r="Y369"/>
      <c r="Z369">
        <v>1246275825</v>
      </c>
      <c r="AA369"/>
      <c r="AB369" t="s">
        <v>1199</v>
      </c>
      <c r="AC369">
        <v>102</v>
      </c>
      <c r="AD369">
        <v>4</v>
      </c>
      <c r="AE369" t="s">
        <v>15324</v>
      </c>
      <c r="AF369"/>
      <c r="AG369" s="23"/>
      <c r="AH369" s="265" t="str">
        <f>_xlfn.XLOOKUP(G369,Clientes!I:I,Clientes!F:F)</f>
        <v>BUNGE - SANTOS</v>
      </c>
    </row>
    <row r="370" spans="1:34" x14ac:dyDescent="0.25">
      <c r="A370">
        <v>56</v>
      </c>
      <c r="B370" t="s">
        <v>146</v>
      </c>
      <c r="C370"/>
      <c r="D370" s="23">
        <v>78993</v>
      </c>
      <c r="E370">
        <v>11733</v>
      </c>
      <c r="F370">
        <v>11</v>
      </c>
      <c r="G370">
        <v>10413</v>
      </c>
      <c r="H370" t="s">
        <v>265</v>
      </c>
      <c r="I370" s="23">
        <v>78993</v>
      </c>
      <c r="J370" s="185">
        <v>46189</v>
      </c>
      <c r="K370" s="185">
        <v>46189</v>
      </c>
      <c r="L370" s="185">
        <v>46218</v>
      </c>
      <c r="M370" s="185"/>
      <c r="N370"/>
      <c r="O370">
        <v>1010100</v>
      </c>
      <c r="P370" t="s">
        <v>29</v>
      </c>
      <c r="Q370">
        <v>200000100</v>
      </c>
      <c r="R370" t="s">
        <v>15322</v>
      </c>
      <c r="S370"/>
      <c r="T370" t="s">
        <v>15323</v>
      </c>
      <c r="U370" t="s">
        <v>5803</v>
      </c>
      <c r="V370" s="23">
        <v>0</v>
      </c>
      <c r="W370" s="23">
        <v>0</v>
      </c>
      <c r="X370" s="23">
        <v>0</v>
      </c>
      <c r="Y370"/>
      <c r="Z370">
        <v>1246279827</v>
      </c>
      <c r="AA370"/>
      <c r="AB370"/>
      <c r="AC370">
        <v>102</v>
      </c>
      <c r="AD370">
        <v>4</v>
      </c>
      <c r="AE370" t="s">
        <v>15324</v>
      </c>
      <c r="AF370"/>
      <c r="AG370" s="23"/>
      <c r="AH370" s="265" t="str">
        <f>_xlfn.XLOOKUP(G370,Clientes!I:I,Clientes!F:F)</f>
        <v>BUNGE - SANTOS</v>
      </c>
    </row>
    <row r="371" spans="1:34" x14ac:dyDescent="0.25">
      <c r="A371">
        <v>56</v>
      </c>
      <c r="B371" t="s">
        <v>146</v>
      </c>
      <c r="C371"/>
      <c r="D371" s="23">
        <v>79019.199999999997</v>
      </c>
      <c r="E371">
        <v>11626</v>
      </c>
      <c r="F371">
        <v>11</v>
      </c>
      <c r="G371">
        <v>10413</v>
      </c>
      <c r="H371" t="s">
        <v>265</v>
      </c>
      <c r="I371" s="23">
        <v>79019.199999999997</v>
      </c>
      <c r="J371" s="185">
        <v>46178</v>
      </c>
      <c r="K371" s="185">
        <v>46178</v>
      </c>
      <c r="L371" s="185">
        <v>46218</v>
      </c>
      <c r="M371" s="185"/>
      <c r="N371"/>
      <c r="O371">
        <v>1010100</v>
      </c>
      <c r="P371" t="s">
        <v>29</v>
      </c>
      <c r="Q371">
        <v>200000100</v>
      </c>
      <c r="R371" t="s">
        <v>15322</v>
      </c>
      <c r="S371"/>
      <c r="T371" t="s">
        <v>15323</v>
      </c>
      <c r="U371" t="s">
        <v>5803</v>
      </c>
      <c r="V371" s="23">
        <v>0</v>
      </c>
      <c r="W371" s="23">
        <v>0</v>
      </c>
      <c r="X371" s="23">
        <v>0</v>
      </c>
      <c r="Y371"/>
      <c r="Z371">
        <v>1246278424</v>
      </c>
      <c r="AA371"/>
      <c r="AB371"/>
      <c r="AC371">
        <v>102</v>
      </c>
      <c r="AD371">
        <v>4</v>
      </c>
      <c r="AE371" t="s">
        <v>15324</v>
      </c>
      <c r="AF371"/>
      <c r="AG371" s="23"/>
      <c r="AH371" s="265" t="str">
        <f>_xlfn.XLOOKUP(G371,Clientes!I:I,Clientes!F:F)</f>
        <v>BUNGE - SANTOS</v>
      </c>
    </row>
    <row r="372" spans="1:34" x14ac:dyDescent="0.25">
      <c r="A372">
        <v>161</v>
      </c>
      <c r="B372" t="s">
        <v>145</v>
      </c>
      <c r="C372"/>
      <c r="D372" s="23">
        <v>79884.2</v>
      </c>
      <c r="E372">
        <v>11344</v>
      </c>
      <c r="F372">
        <v>11</v>
      </c>
      <c r="G372">
        <v>8414</v>
      </c>
      <c r="H372" t="s">
        <v>98</v>
      </c>
      <c r="I372" s="23">
        <v>79884.2</v>
      </c>
      <c r="J372" s="185">
        <v>46153</v>
      </c>
      <c r="K372" s="185">
        <v>46153</v>
      </c>
      <c r="L372" s="185">
        <v>46213</v>
      </c>
      <c r="M372" s="185"/>
      <c r="N372"/>
      <c r="O372">
        <v>1010100</v>
      </c>
      <c r="P372" t="s">
        <v>29</v>
      </c>
      <c r="Q372">
        <v>200000100</v>
      </c>
      <c r="R372" t="s">
        <v>15322</v>
      </c>
      <c r="S372"/>
      <c r="T372" t="s">
        <v>15323</v>
      </c>
      <c r="U372" t="s">
        <v>4502</v>
      </c>
      <c r="V372" s="23">
        <v>0</v>
      </c>
      <c r="W372" s="23">
        <v>0</v>
      </c>
      <c r="X372" s="23">
        <v>0</v>
      </c>
      <c r="Y372"/>
      <c r="Z372">
        <v>1246274298</v>
      </c>
      <c r="AA372"/>
      <c r="AB372"/>
      <c r="AC372">
        <v>102</v>
      </c>
      <c r="AD372">
        <v>4</v>
      </c>
      <c r="AE372" t="s">
        <v>15324</v>
      </c>
      <c r="AF372"/>
      <c r="AG372" s="23"/>
      <c r="AH372" s="265" t="str">
        <f>_xlfn.XLOOKUP(G372,Clientes!I:I,Clientes!F:F)</f>
        <v>GRUPO AMAGGI</v>
      </c>
    </row>
    <row r="373" spans="1:34" x14ac:dyDescent="0.25">
      <c r="A373">
        <v>161</v>
      </c>
      <c r="B373" t="s">
        <v>145</v>
      </c>
      <c r="C373"/>
      <c r="D373" s="23">
        <v>80079.3</v>
      </c>
      <c r="E373">
        <v>11138</v>
      </c>
      <c r="F373">
        <v>11</v>
      </c>
      <c r="G373">
        <v>2975</v>
      </c>
      <c r="H373" t="s">
        <v>420</v>
      </c>
      <c r="I373" s="23">
        <v>80079.3</v>
      </c>
      <c r="J373" s="185">
        <v>46128</v>
      </c>
      <c r="K373" s="185">
        <v>46128</v>
      </c>
      <c r="L373" s="185">
        <v>46156</v>
      </c>
      <c r="M373" s="185">
        <v>46155</v>
      </c>
      <c r="N373"/>
      <c r="O373">
        <v>1010100</v>
      </c>
      <c r="P373" t="s">
        <v>29</v>
      </c>
      <c r="Q373">
        <v>200000100</v>
      </c>
      <c r="R373" t="s">
        <v>15322</v>
      </c>
      <c r="S373"/>
      <c r="T373" t="s">
        <v>15323</v>
      </c>
      <c r="U373" t="s">
        <v>6311</v>
      </c>
      <c r="V373" s="23">
        <v>0</v>
      </c>
      <c r="W373" s="23">
        <v>0</v>
      </c>
      <c r="X373" s="23">
        <v>0</v>
      </c>
      <c r="Y373"/>
      <c r="Z373">
        <v>1246271560</v>
      </c>
      <c r="AA373"/>
      <c r="AB373" t="s">
        <v>1186</v>
      </c>
      <c r="AC373">
        <v>102</v>
      </c>
      <c r="AD373">
        <v>4</v>
      </c>
      <c r="AE373" t="s">
        <v>15324</v>
      </c>
      <c r="AF373"/>
      <c r="AG373" s="23"/>
      <c r="AH373" s="265" t="str">
        <f>_xlfn.XLOOKUP(G373,Clientes!I:I,Clientes!F:F)</f>
        <v>COONAGRO COOPERATIVA - PARANAGUA</v>
      </c>
    </row>
    <row r="374" spans="1:34" x14ac:dyDescent="0.25">
      <c r="A374">
        <v>161</v>
      </c>
      <c r="B374" t="s">
        <v>145</v>
      </c>
      <c r="C374"/>
      <c r="D374" s="23">
        <v>80199</v>
      </c>
      <c r="E374">
        <v>10561</v>
      </c>
      <c r="F374">
        <v>11</v>
      </c>
      <c r="G374">
        <v>2975</v>
      </c>
      <c r="H374" t="s">
        <v>420</v>
      </c>
      <c r="I374" s="23">
        <v>80199</v>
      </c>
      <c r="J374" s="185">
        <v>46045</v>
      </c>
      <c r="K374" s="185">
        <v>46045</v>
      </c>
      <c r="L374" s="185">
        <v>46073</v>
      </c>
      <c r="M374" s="185">
        <v>46071</v>
      </c>
      <c r="N374"/>
      <c r="O374">
        <v>1010100</v>
      </c>
      <c r="P374" t="s">
        <v>29</v>
      </c>
      <c r="Q374">
        <v>200000100</v>
      </c>
      <c r="R374" t="s">
        <v>15322</v>
      </c>
      <c r="S374"/>
      <c r="T374" t="s">
        <v>15323</v>
      </c>
      <c r="U374" t="s">
        <v>6311</v>
      </c>
      <c r="V374" s="23">
        <v>0</v>
      </c>
      <c r="W374" s="23">
        <v>0</v>
      </c>
      <c r="X374" s="23">
        <v>0</v>
      </c>
      <c r="Y374"/>
      <c r="Z374">
        <v>1246260700</v>
      </c>
      <c r="AA374"/>
      <c r="AB374" t="s">
        <v>1186</v>
      </c>
      <c r="AC374">
        <v>102</v>
      </c>
      <c r="AD374">
        <v>4</v>
      </c>
      <c r="AE374" t="s">
        <v>15324</v>
      </c>
      <c r="AF374"/>
      <c r="AG374" s="23"/>
      <c r="AH374" s="265" t="str">
        <f>_xlfn.XLOOKUP(G374,Clientes!I:I,Clientes!F:F)</f>
        <v>COONAGRO COOPERATIVA - PARANAGUA</v>
      </c>
    </row>
    <row r="375" spans="1:34" x14ac:dyDescent="0.25">
      <c r="A375">
        <v>161</v>
      </c>
      <c r="B375" t="s">
        <v>145</v>
      </c>
      <c r="C375"/>
      <c r="D375" s="23">
        <v>80337.600000000006</v>
      </c>
      <c r="E375">
        <v>10748</v>
      </c>
      <c r="F375">
        <v>11</v>
      </c>
      <c r="G375">
        <v>205</v>
      </c>
      <c r="H375" t="s">
        <v>35</v>
      </c>
      <c r="I375" s="23">
        <v>80337.600000000006</v>
      </c>
      <c r="J375" s="185">
        <v>46076</v>
      </c>
      <c r="K375" s="185">
        <v>46076</v>
      </c>
      <c r="L375" s="185">
        <v>46104</v>
      </c>
      <c r="M375" s="185">
        <v>46104</v>
      </c>
      <c r="N375"/>
      <c r="O375">
        <v>1010100</v>
      </c>
      <c r="P375" t="s">
        <v>29</v>
      </c>
      <c r="Q375">
        <v>200000100</v>
      </c>
      <c r="R375" t="s">
        <v>15322</v>
      </c>
      <c r="S375"/>
      <c r="T375" t="s">
        <v>15323</v>
      </c>
      <c r="U375" t="s">
        <v>5803</v>
      </c>
      <c r="V375" s="23">
        <v>0</v>
      </c>
      <c r="W375" s="23">
        <v>0</v>
      </c>
      <c r="X375" s="23">
        <v>0</v>
      </c>
      <c r="Y375"/>
      <c r="Z375">
        <v>1246264578</v>
      </c>
      <c r="AA375"/>
      <c r="AB375" t="s">
        <v>1199</v>
      </c>
      <c r="AC375">
        <v>102</v>
      </c>
      <c r="AD375">
        <v>4</v>
      </c>
      <c r="AE375" t="s">
        <v>15324</v>
      </c>
      <c r="AF375"/>
      <c r="AG375" s="23"/>
      <c r="AH375" s="265" t="str">
        <f>_xlfn.XLOOKUP(G375,Clientes!I:I,Clientes!F:F)</f>
        <v>GRUPO FERTIPAR FERTILIZANTES MATO GROSSO</v>
      </c>
    </row>
    <row r="376" spans="1:34" x14ac:dyDescent="0.25">
      <c r="A376">
        <v>161</v>
      </c>
      <c r="B376" t="s">
        <v>145</v>
      </c>
      <c r="C376"/>
      <c r="D376" s="23">
        <v>80460</v>
      </c>
      <c r="E376">
        <v>10940</v>
      </c>
      <c r="F376">
        <v>11</v>
      </c>
      <c r="G376">
        <v>2011</v>
      </c>
      <c r="H376" t="s">
        <v>616</v>
      </c>
      <c r="I376" s="23">
        <v>80460</v>
      </c>
      <c r="J376" s="185">
        <v>46101</v>
      </c>
      <c r="K376" s="185">
        <v>46101</v>
      </c>
      <c r="L376" s="185">
        <v>46129</v>
      </c>
      <c r="M376" s="185">
        <v>46127</v>
      </c>
      <c r="N376"/>
      <c r="O376">
        <v>1010100</v>
      </c>
      <c r="P376" t="s">
        <v>29</v>
      </c>
      <c r="Q376">
        <v>200000100</v>
      </c>
      <c r="R376" t="s">
        <v>15322</v>
      </c>
      <c r="S376"/>
      <c r="T376" t="s">
        <v>15323</v>
      </c>
      <c r="U376" t="s">
        <v>6311</v>
      </c>
      <c r="V376" s="23">
        <v>0</v>
      </c>
      <c r="W376" s="23">
        <v>0</v>
      </c>
      <c r="X376" s="23">
        <v>0</v>
      </c>
      <c r="Y376"/>
      <c r="Z376">
        <v>1246268490</v>
      </c>
      <c r="AA376"/>
      <c r="AB376" t="s">
        <v>1186</v>
      </c>
      <c r="AC376">
        <v>102</v>
      </c>
      <c r="AD376">
        <v>4</v>
      </c>
      <c r="AE376" t="s">
        <v>15324</v>
      </c>
      <c r="AF376"/>
      <c r="AG376" s="23"/>
      <c r="AH376" s="265" t="str">
        <f>_xlfn.XLOOKUP(G376,Clientes!I:I,Clientes!F:F)</f>
        <v>FERTGROW S.A</v>
      </c>
    </row>
    <row r="377" spans="1:34" x14ac:dyDescent="0.25">
      <c r="A377">
        <v>161</v>
      </c>
      <c r="B377" t="s">
        <v>145</v>
      </c>
      <c r="C377"/>
      <c r="D377" s="23">
        <v>80589.600000000006</v>
      </c>
      <c r="E377">
        <v>11158</v>
      </c>
      <c r="F377">
        <v>11</v>
      </c>
      <c r="G377">
        <v>205</v>
      </c>
      <c r="H377" t="s">
        <v>35</v>
      </c>
      <c r="I377" s="23">
        <v>80589.600000000006</v>
      </c>
      <c r="J377" s="185">
        <v>46129</v>
      </c>
      <c r="K377" s="185">
        <v>46129</v>
      </c>
      <c r="L377" s="185">
        <v>46157</v>
      </c>
      <c r="M377" s="185">
        <v>46157</v>
      </c>
      <c r="N377"/>
      <c r="O377">
        <v>1010100</v>
      </c>
      <c r="P377" t="s">
        <v>29</v>
      </c>
      <c r="Q377">
        <v>200000100</v>
      </c>
      <c r="R377" t="s">
        <v>15322</v>
      </c>
      <c r="S377"/>
      <c r="T377" t="s">
        <v>15323</v>
      </c>
      <c r="U377" t="s">
        <v>1964</v>
      </c>
      <c r="V377" s="23">
        <v>0</v>
      </c>
      <c r="W377" s="23">
        <v>0</v>
      </c>
      <c r="X377" s="23">
        <v>0</v>
      </c>
      <c r="Y377"/>
      <c r="Z377">
        <v>1246271690</v>
      </c>
      <c r="AA377"/>
      <c r="AB377" t="s">
        <v>1199</v>
      </c>
      <c r="AC377">
        <v>102</v>
      </c>
      <c r="AD377">
        <v>4</v>
      </c>
      <c r="AE377" t="s">
        <v>15324</v>
      </c>
      <c r="AF377"/>
      <c r="AG377" s="23"/>
      <c r="AH377" s="265" t="str">
        <f>_xlfn.XLOOKUP(G377,Clientes!I:I,Clientes!F:F)</f>
        <v>GRUPO FERTIPAR FERTILIZANTES MATO GROSSO</v>
      </c>
    </row>
    <row r="378" spans="1:34" x14ac:dyDescent="0.25">
      <c r="A378">
        <v>161</v>
      </c>
      <c r="B378" t="s">
        <v>145</v>
      </c>
      <c r="C378"/>
      <c r="D378" s="23">
        <v>80676</v>
      </c>
      <c r="E378">
        <v>10407</v>
      </c>
      <c r="F378">
        <v>11</v>
      </c>
      <c r="G378">
        <v>2011</v>
      </c>
      <c r="H378" t="s">
        <v>616</v>
      </c>
      <c r="I378" s="23">
        <v>80676</v>
      </c>
      <c r="J378" s="185">
        <v>46024</v>
      </c>
      <c r="K378" s="185">
        <v>46024</v>
      </c>
      <c r="L378" s="185">
        <v>46052</v>
      </c>
      <c r="M378" s="185">
        <v>46050</v>
      </c>
      <c r="N378"/>
      <c r="O378">
        <v>1010100</v>
      </c>
      <c r="P378" t="s">
        <v>29</v>
      </c>
      <c r="Q378">
        <v>200000100</v>
      </c>
      <c r="R378" t="s">
        <v>15322</v>
      </c>
      <c r="S378"/>
      <c r="T378" t="s">
        <v>15323</v>
      </c>
      <c r="U378" t="s">
        <v>6311</v>
      </c>
      <c r="V378" s="23">
        <v>0</v>
      </c>
      <c r="W378" s="23">
        <v>0</v>
      </c>
      <c r="X378" s="23">
        <v>0</v>
      </c>
      <c r="Y378"/>
      <c r="Z378">
        <v>1246258126</v>
      </c>
      <c r="AA378"/>
      <c r="AB378" t="s">
        <v>1186</v>
      </c>
      <c r="AC378">
        <v>102</v>
      </c>
      <c r="AD378">
        <v>4</v>
      </c>
      <c r="AE378" t="s">
        <v>15324</v>
      </c>
      <c r="AF378"/>
      <c r="AG378" s="23"/>
      <c r="AH378" s="265" t="str">
        <f>_xlfn.XLOOKUP(G378,Clientes!I:I,Clientes!F:F)</f>
        <v>FERTGROW S.A</v>
      </c>
    </row>
    <row r="379" spans="1:34" x14ac:dyDescent="0.25">
      <c r="A379">
        <v>161</v>
      </c>
      <c r="B379" t="s">
        <v>145</v>
      </c>
      <c r="C379"/>
      <c r="D379" s="23">
        <v>80816.399999999994</v>
      </c>
      <c r="E379">
        <v>10845</v>
      </c>
      <c r="F379">
        <v>11</v>
      </c>
      <c r="G379">
        <v>205</v>
      </c>
      <c r="H379" t="s">
        <v>35</v>
      </c>
      <c r="I379" s="23">
        <v>80816.399999999994</v>
      </c>
      <c r="J379" s="185">
        <v>46090</v>
      </c>
      <c r="K379" s="185">
        <v>46090</v>
      </c>
      <c r="L379" s="185">
        <v>46118</v>
      </c>
      <c r="M379" s="185">
        <v>46118</v>
      </c>
      <c r="N379"/>
      <c r="O379">
        <v>1010100</v>
      </c>
      <c r="P379" t="s">
        <v>29</v>
      </c>
      <c r="Q379">
        <v>200000100</v>
      </c>
      <c r="R379" t="s">
        <v>15322</v>
      </c>
      <c r="S379"/>
      <c r="T379" t="s">
        <v>15323</v>
      </c>
      <c r="U379" t="s">
        <v>5803</v>
      </c>
      <c r="V379" s="23">
        <v>0</v>
      </c>
      <c r="W379" s="23">
        <v>0</v>
      </c>
      <c r="X379" s="23">
        <v>0</v>
      </c>
      <c r="Y379"/>
      <c r="Z379">
        <v>1246267018</v>
      </c>
      <c r="AA379"/>
      <c r="AB379" t="s">
        <v>1199</v>
      </c>
      <c r="AC379">
        <v>102</v>
      </c>
      <c r="AD379">
        <v>4</v>
      </c>
      <c r="AE379" t="s">
        <v>15324</v>
      </c>
      <c r="AF379"/>
      <c r="AG379" s="23"/>
      <c r="AH379" s="265" t="str">
        <f>_xlfn.XLOOKUP(G379,Clientes!I:I,Clientes!F:F)</f>
        <v>GRUPO FERTIPAR FERTILIZANTES MATO GROSSO</v>
      </c>
    </row>
    <row r="380" spans="1:34" x14ac:dyDescent="0.25">
      <c r="A380">
        <v>161</v>
      </c>
      <c r="B380" t="s">
        <v>145</v>
      </c>
      <c r="C380"/>
      <c r="D380" s="23">
        <v>80919</v>
      </c>
      <c r="E380">
        <v>10852</v>
      </c>
      <c r="F380">
        <v>11</v>
      </c>
      <c r="G380">
        <v>2011</v>
      </c>
      <c r="H380" t="s">
        <v>616</v>
      </c>
      <c r="I380" s="23">
        <v>80919</v>
      </c>
      <c r="J380" s="185">
        <v>46091</v>
      </c>
      <c r="K380" s="185">
        <v>46091</v>
      </c>
      <c r="L380" s="185">
        <v>46119</v>
      </c>
      <c r="M380" s="185">
        <v>46118</v>
      </c>
      <c r="N380"/>
      <c r="O380">
        <v>1010100</v>
      </c>
      <c r="P380" t="s">
        <v>29</v>
      </c>
      <c r="Q380">
        <v>200000100</v>
      </c>
      <c r="R380" t="s">
        <v>15322</v>
      </c>
      <c r="S380"/>
      <c r="T380" t="s">
        <v>15323</v>
      </c>
      <c r="U380" t="s">
        <v>6311</v>
      </c>
      <c r="V380" s="23">
        <v>0</v>
      </c>
      <c r="W380" s="23">
        <v>0</v>
      </c>
      <c r="X380" s="23">
        <v>0</v>
      </c>
      <c r="Y380"/>
      <c r="Z380">
        <v>1246267143</v>
      </c>
      <c r="AA380"/>
      <c r="AB380" t="s">
        <v>1186</v>
      </c>
      <c r="AC380">
        <v>102</v>
      </c>
      <c r="AD380">
        <v>4</v>
      </c>
      <c r="AE380" t="s">
        <v>15324</v>
      </c>
      <c r="AF380"/>
      <c r="AG380" s="23"/>
      <c r="AH380" s="265" t="str">
        <f>_xlfn.XLOOKUP(G380,Clientes!I:I,Clientes!F:F)</f>
        <v>FERTGROW S.A</v>
      </c>
    </row>
    <row r="381" spans="1:34" x14ac:dyDescent="0.25">
      <c r="A381">
        <v>161</v>
      </c>
      <c r="B381" t="s">
        <v>145</v>
      </c>
      <c r="C381"/>
      <c r="D381" s="23">
        <v>80924.399999999994</v>
      </c>
      <c r="E381">
        <v>11454</v>
      </c>
      <c r="F381">
        <v>11</v>
      </c>
      <c r="G381">
        <v>205</v>
      </c>
      <c r="H381" t="s">
        <v>35</v>
      </c>
      <c r="I381" s="23">
        <v>80924.399999999994</v>
      </c>
      <c r="J381" s="185">
        <v>46162</v>
      </c>
      <c r="K381" s="185">
        <v>46162</v>
      </c>
      <c r="L381" s="185">
        <v>46190</v>
      </c>
      <c r="M381" s="185">
        <v>46190</v>
      </c>
      <c r="N381"/>
      <c r="O381">
        <v>1010100</v>
      </c>
      <c r="P381" t="s">
        <v>29</v>
      </c>
      <c r="Q381">
        <v>200000100</v>
      </c>
      <c r="R381" t="s">
        <v>15322</v>
      </c>
      <c r="S381"/>
      <c r="T381" t="s">
        <v>15323</v>
      </c>
      <c r="U381" t="s">
        <v>5803</v>
      </c>
      <c r="V381" s="23">
        <v>0</v>
      </c>
      <c r="W381" s="23">
        <v>0</v>
      </c>
      <c r="X381" s="23">
        <v>0</v>
      </c>
      <c r="Y381"/>
      <c r="Z381">
        <v>1246275963</v>
      </c>
      <c r="AA381"/>
      <c r="AB381" t="s">
        <v>1199</v>
      </c>
      <c r="AC381">
        <v>102</v>
      </c>
      <c r="AD381">
        <v>4</v>
      </c>
      <c r="AE381" t="s">
        <v>15324</v>
      </c>
      <c r="AF381"/>
      <c r="AG381" s="23"/>
      <c r="AH381" s="265" t="str">
        <f>_xlfn.XLOOKUP(G381,Clientes!I:I,Clientes!F:F)</f>
        <v>GRUPO FERTIPAR FERTILIZANTES MATO GROSSO</v>
      </c>
    </row>
    <row r="382" spans="1:34" x14ac:dyDescent="0.25">
      <c r="A382">
        <v>161</v>
      </c>
      <c r="B382" t="s">
        <v>145</v>
      </c>
      <c r="C382"/>
      <c r="D382" s="23">
        <v>80981</v>
      </c>
      <c r="E382">
        <v>11305</v>
      </c>
      <c r="F382">
        <v>11</v>
      </c>
      <c r="G382">
        <v>205</v>
      </c>
      <c r="H382" t="s">
        <v>35</v>
      </c>
      <c r="I382" s="23">
        <v>80981</v>
      </c>
      <c r="J382" s="185">
        <v>46147</v>
      </c>
      <c r="K382" s="185">
        <v>46147</v>
      </c>
      <c r="L382" s="185">
        <v>46175</v>
      </c>
      <c r="M382" s="185">
        <v>46175</v>
      </c>
      <c r="N382"/>
      <c r="O382">
        <v>1010100</v>
      </c>
      <c r="P382" t="s">
        <v>29</v>
      </c>
      <c r="Q382">
        <v>200000100</v>
      </c>
      <c r="R382" t="s">
        <v>15322</v>
      </c>
      <c r="S382"/>
      <c r="T382" t="s">
        <v>15323</v>
      </c>
      <c r="U382" t="s">
        <v>5803</v>
      </c>
      <c r="V382" s="23">
        <v>0</v>
      </c>
      <c r="W382" s="23">
        <v>0</v>
      </c>
      <c r="X382" s="23">
        <v>0</v>
      </c>
      <c r="Y382"/>
      <c r="Z382">
        <v>1246273653</v>
      </c>
      <c r="AA382"/>
      <c r="AB382" t="s">
        <v>1199</v>
      </c>
      <c r="AC382">
        <v>102</v>
      </c>
      <c r="AD382">
        <v>4</v>
      </c>
      <c r="AE382" t="s">
        <v>15324</v>
      </c>
      <c r="AF382"/>
      <c r="AG382" s="23"/>
      <c r="AH382" s="265" t="str">
        <f>_xlfn.XLOOKUP(G382,Clientes!I:I,Clientes!F:F)</f>
        <v>GRUPO FERTIPAR FERTILIZANTES MATO GROSSO</v>
      </c>
    </row>
    <row r="383" spans="1:34" x14ac:dyDescent="0.25">
      <c r="A383">
        <v>161</v>
      </c>
      <c r="B383" t="s">
        <v>145</v>
      </c>
      <c r="C383"/>
      <c r="D383" s="23">
        <v>81026</v>
      </c>
      <c r="E383">
        <v>11721</v>
      </c>
      <c r="F383">
        <v>11</v>
      </c>
      <c r="G383">
        <v>205</v>
      </c>
      <c r="H383" t="s">
        <v>35</v>
      </c>
      <c r="I383" s="23">
        <v>81026</v>
      </c>
      <c r="J383" s="185">
        <v>46189</v>
      </c>
      <c r="K383" s="185">
        <v>46189</v>
      </c>
      <c r="L383" s="185">
        <v>46217</v>
      </c>
      <c r="M383" s="185"/>
      <c r="N383"/>
      <c r="O383">
        <v>1010100</v>
      </c>
      <c r="P383" t="s">
        <v>29</v>
      </c>
      <c r="Q383">
        <v>200000100</v>
      </c>
      <c r="R383" t="s">
        <v>15322</v>
      </c>
      <c r="S383"/>
      <c r="T383" t="s">
        <v>15323</v>
      </c>
      <c r="U383" t="s">
        <v>2246</v>
      </c>
      <c r="V383" s="23">
        <v>0</v>
      </c>
      <c r="W383" s="23">
        <v>0</v>
      </c>
      <c r="X383" s="23">
        <v>0</v>
      </c>
      <c r="Y383"/>
      <c r="Z383">
        <v>1246279653</v>
      </c>
      <c r="AA383"/>
      <c r="AB383"/>
      <c r="AC383">
        <v>102</v>
      </c>
      <c r="AD383">
        <v>4</v>
      </c>
      <c r="AE383" t="s">
        <v>15324</v>
      </c>
      <c r="AF383"/>
      <c r="AG383" s="23"/>
      <c r="AH383" s="265" t="str">
        <f>_xlfn.XLOOKUP(G383,Clientes!I:I,Clientes!F:F)</f>
        <v>GRUPO FERTIPAR FERTILIZANTES MATO GROSSO</v>
      </c>
    </row>
    <row r="384" spans="1:34" x14ac:dyDescent="0.25">
      <c r="A384">
        <v>161</v>
      </c>
      <c r="B384" t="s">
        <v>145</v>
      </c>
      <c r="C384"/>
      <c r="D384" s="23">
        <v>81051.399999999994</v>
      </c>
      <c r="E384">
        <v>11248</v>
      </c>
      <c r="F384">
        <v>11</v>
      </c>
      <c r="G384">
        <v>205</v>
      </c>
      <c r="H384" t="s">
        <v>35</v>
      </c>
      <c r="I384" s="23">
        <v>81051.399999999994</v>
      </c>
      <c r="J384" s="185">
        <v>46140</v>
      </c>
      <c r="K384" s="185">
        <v>46140</v>
      </c>
      <c r="L384" s="185">
        <v>46168</v>
      </c>
      <c r="M384" s="185">
        <v>46168</v>
      </c>
      <c r="N384"/>
      <c r="O384">
        <v>1010100</v>
      </c>
      <c r="P384" t="s">
        <v>29</v>
      </c>
      <c r="Q384">
        <v>200000100</v>
      </c>
      <c r="R384" t="s">
        <v>15322</v>
      </c>
      <c r="S384"/>
      <c r="T384" t="s">
        <v>15323</v>
      </c>
      <c r="U384" t="s">
        <v>5803</v>
      </c>
      <c r="V384" s="23">
        <v>0</v>
      </c>
      <c r="W384" s="23">
        <v>0</v>
      </c>
      <c r="X384" s="23">
        <v>0</v>
      </c>
      <c r="Y384"/>
      <c r="Z384">
        <v>1246273002</v>
      </c>
      <c r="AA384"/>
      <c r="AB384" t="s">
        <v>1199</v>
      </c>
      <c r="AC384">
        <v>102</v>
      </c>
      <c r="AD384">
        <v>4</v>
      </c>
      <c r="AE384" t="s">
        <v>15324</v>
      </c>
      <c r="AF384"/>
      <c r="AG384" s="23"/>
      <c r="AH384" s="265" t="str">
        <f>_xlfn.XLOOKUP(G384,Clientes!I:I,Clientes!F:F)</f>
        <v>GRUPO FERTIPAR FERTILIZANTES MATO GROSSO</v>
      </c>
    </row>
    <row r="385" spans="1:34" x14ac:dyDescent="0.25">
      <c r="A385">
        <v>161</v>
      </c>
      <c r="B385" t="s">
        <v>145</v>
      </c>
      <c r="C385"/>
      <c r="D385" s="23">
        <v>81407</v>
      </c>
      <c r="E385">
        <v>11713</v>
      </c>
      <c r="F385">
        <v>11</v>
      </c>
      <c r="G385">
        <v>205</v>
      </c>
      <c r="H385" t="s">
        <v>35</v>
      </c>
      <c r="I385" s="23">
        <v>81407</v>
      </c>
      <c r="J385" s="185">
        <v>46188</v>
      </c>
      <c r="K385" s="185">
        <v>46188</v>
      </c>
      <c r="L385" s="185">
        <v>46216</v>
      </c>
      <c r="M385" s="185"/>
      <c r="N385"/>
      <c r="O385">
        <v>1010100</v>
      </c>
      <c r="P385" t="s">
        <v>29</v>
      </c>
      <c r="Q385">
        <v>200000100</v>
      </c>
      <c r="R385" t="s">
        <v>15322</v>
      </c>
      <c r="S385"/>
      <c r="T385" t="s">
        <v>15323</v>
      </c>
      <c r="U385" t="s">
        <v>2246</v>
      </c>
      <c r="V385" s="23">
        <v>0</v>
      </c>
      <c r="W385" s="23">
        <v>0</v>
      </c>
      <c r="X385" s="23">
        <v>0</v>
      </c>
      <c r="Y385"/>
      <c r="Z385">
        <v>1246279521</v>
      </c>
      <c r="AA385"/>
      <c r="AB385"/>
      <c r="AC385">
        <v>102</v>
      </c>
      <c r="AD385">
        <v>4</v>
      </c>
      <c r="AE385" t="s">
        <v>15324</v>
      </c>
      <c r="AF385"/>
      <c r="AG385" s="23"/>
      <c r="AH385" s="265" t="str">
        <f>_xlfn.XLOOKUP(G385,Clientes!I:I,Clientes!F:F)</f>
        <v>GRUPO FERTIPAR FERTILIZANTES MATO GROSSO</v>
      </c>
    </row>
    <row r="386" spans="1:34" x14ac:dyDescent="0.25">
      <c r="A386">
        <v>161</v>
      </c>
      <c r="B386" t="s">
        <v>145</v>
      </c>
      <c r="C386"/>
      <c r="D386" s="23">
        <v>81483.199999999997</v>
      </c>
      <c r="E386">
        <v>11393</v>
      </c>
      <c r="F386">
        <v>11</v>
      </c>
      <c r="G386">
        <v>205</v>
      </c>
      <c r="H386" t="s">
        <v>35</v>
      </c>
      <c r="I386" s="23">
        <v>81483.199999999997</v>
      </c>
      <c r="J386" s="185">
        <v>46156</v>
      </c>
      <c r="K386" s="185">
        <v>46156</v>
      </c>
      <c r="L386" s="185">
        <v>46184</v>
      </c>
      <c r="M386" s="185">
        <v>46184</v>
      </c>
      <c r="N386"/>
      <c r="O386">
        <v>1010100</v>
      </c>
      <c r="P386" t="s">
        <v>29</v>
      </c>
      <c r="Q386">
        <v>200000100</v>
      </c>
      <c r="R386" t="s">
        <v>15322</v>
      </c>
      <c r="S386"/>
      <c r="T386" t="s">
        <v>15323</v>
      </c>
      <c r="U386" t="s">
        <v>4468</v>
      </c>
      <c r="V386" s="23">
        <v>0</v>
      </c>
      <c r="W386" s="23">
        <v>0</v>
      </c>
      <c r="X386" s="23">
        <v>0</v>
      </c>
      <c r="Y386"/>
      <c r="Z386">
        <v>1246275071</v>
      </c>
      <c r="AA386"/>
      <c r="AB386" t="s">
        <v>1199</v>
      </c>
      <c r="AC386">
        <v>102</v>
      </c>
      <c r="AD386">
        <v>4</v>
      </c>
      <c r="AE386" t="s">
        <v>15324</v>
      </c>
      <c r="AF386"/>
      <c r="AG386" s="23"/>
      <c r="AH386" s="265" t="str">
        <f>_xlfn.XLOOKUP(G386,Clientes!I:I,Clientes!F:F)</f>
        <v>GRUPO FERTIPAR FERTILIZANTES MATO GROSSO</v>
      </c>
    </row>
    <row r="387" spans="1:34" x14ac:dyDescent="0.25">
      <c r="A387">
        <v>161</v>
      </c>
      <c r="B387" t="s">
        <v>145</v>
      </c>
      <c r="C387"/>
      <c r="D387" s="23">
        <v>81534</v>
      </c>
      <c r="E387">
        <v>11436</v>
      </c>
      <c r="F387">
        <v>11</v>
      </c>
      <c r="G387">
        <v>205</v>
      </c>
      <c r="H387" t="s">
        <v>35</v>
      </c>
      <c r="I387" s="23">
        <v>81534</v>
      </c>
      <c r="J387" s="185">
        <v>46160</v>
      </c>
      <c r="K387" s="185">
        <v>46160</v>
      </c>
      <c r="L387" s="185">
        <v>46188</v>
      </c>
      <c r="M387" s="185">
        <v>46188</v>
      </c>
      <c r="N387"/>
      <c r="O387">
        <v>1010100</v>
      </c>
      <c r="P387" t="s">
        <v>29</v>
      </c>
      <c r="Q387">
        <v>200000100</v>
      </c>
      <c r="R387" t="s">
        <v>15322</v>
      </c>
      <c r="S387"/>
      <c r="T387" t="s">
        <v>15323</v>
      </c>
      <c r="U387" t="s">
        <v>5803</v>
      </c>
      <c r="V387" s="23">
        <v>0</v>
      </c>
      <c r="W387" s="23">
        <v>0</v>
      </c>
      <c r="X387" s="23">
        <v>0</v>
      </c>
      <c r="Y387"/>
      <c r="Z387">
        <v>1246275703</v>
      </c>
      <c r="AA387"/>
      <c r="AB387" t="s">
        <v>1199</v>
      </c>
      <c r="AC387">
        <v>102</v>
      </c>
      <c r="AD387">
        <v>4</v>
      </c>
      <c r="AE387" t="s">
        <v>15324</v>
      </c>
      <c r="AF387"/>
      <c r="AG387" s="23"/>
      <c r="AH387" s="265" t="str">
        <f>_xlfn.XLOOKUP(G387,Clientes!I:I,Clientes!F:F)</f>
        <v>GRUPO FERTIPAR FERTILIZANTES MATO GROSSO</v>
      </c>
    </row>
    <row r="388" spans="1:34" x14ac:dyDescent="0.25">
      <c r="A388">
        <v>161</v>
      </c>
      <c r="B388" t="s">
        <v>145</v>
      </c>
      <c r="C388"/>
      <c r="D388" s="23">
        <v>81559.399999999994</v>
      </c>
      <c r="E388">
        <v>11684</v>
      </c>
      <c r="F388">
        <v>11</v>
      </c>
      <c r="G388">
        <v>205</v>
      </c>
      <c r="H388" t="s">
        <v>35</v>
      </c>
      <c r="I388" s="23">
        <v>81559.399999999994</v>
      </c>
      <c r="J388" s="185">
        <v>46184</v>
      </c>
      <c r="K388" s="185">
        <v>46184</v>
      </c>
      <c r="L388" s="185">
        <v>46212</v>
      </c>
      <c r="M388" s="185"/>
      <c r="N388"/>
      <c r="O388">
        <v>1010100</v>
      </c>
      <c r="P388" t="s">
        <v>29</v>
      </c>
      <c r="Q388">
        <v>200000100</v>
      </c>
      <c r="R388" t="s">
        <v>15322</v>
      </c>
      <c r="S388"/>
      <c r="T388" t="s">
        <v>15323</v>
      </c>
      <c r="U388" t="s">
        <v>2246</v>
      </c>
      <c r="V388" s="23">
        <v>0</v>
      </c>
      <c r="W388" s="23">
        <v>0</v>
      </c>
      <c r="X388" s="23">
        <v>0</v>
      </c>
      <c r="Y388"/>
      <c r="Z388">
        <v>1246279229</v>
      </c>
      <c r="AA388"/>
      <c r="AB388"/>
      <c r="AC388">
        <v>102</v>
      </c>
      <c r="AD388">
        <v>4</v>
      </c>
      <c r="AE388" t="s">
        <v>15324</v>
      </c>
      <c r="AF388"/>
      <c r="AG388" s="23"/>
      <c r="AH388" s="265" t="str">
        <f>_xlfn.XLOOKUP(G388,Clientes!I:I,Clientes!F:F)</f>
        <v>GRUPO FERTIPAR FERTILIZANTES MATO GROSSO</v>
      </c>
    </row>
    <row r="389" spans="1:34" x14ac:dyDescent="0.25">
      <c r="A389">
        <v>161</v>
      </c>
      <c r="B389" t="s">
        <v>145</v>
      </c>
      <c r="C389"/>
      <c r="D389" s="23">
        <v>81584.800000000003</v>
      </c>
      <c r="E389">
        <v>11654</v>
      </c>
      <c r="F389">
        <v>11</v>
      </c>
      <c r="G389">
        <v>205</v>
      </c>
      <c r="H389" t="s">
        <v>35</v>
      </c>
      <c r="I389" s="23">
        <v>81584.800000000003</v>
      </c>
      <c r="J389" s="185">
        <v>46182</v>
      </c>
      <c r="K389" s="185">
        <v>46182</v>
      </c>
      <c r="L389" s="185">
        <v>46210</v>
      </c>
      <c r="M389" s="185"/>
      <c r="N389"/>
      <c r="O389">
        <v>1010100</v>
      </c>
      <c r="P389" t="s">
        <v>29</v>
      </c>
      <c r="Q389">
        <v>200000100</v>
      </c>
      <c r="R389" t="s">
        <v>15322</v>
      </c>
      <c r="S389"/>
      <c r="T389" t="s">
        <v>15323</v>
      </c>
      <c r="U389" t="s">
        <v>4502</v>
      </c>
      <c r="V389" s="23">
        <v>0</v>
      </c>
      <c r="W389" s="23">
        <v>0</v>
      </c>
      <c r="X389" s="23">
        <v>0</v>
      </c>
      <c r="Y389"/>
      <c r="Z389">
        <v>1246278693</v>
      </c>
      <c r="AA389"/>
      <c r="AB389"/>
      <c r="AC389">
        <v>102</v>
      </c>
      <c r="AD389">
        <v>4</v>
      </c>
      <c r="AE389" t="s">
        <v>15324</v>
      </c>
      <c r="AF389"/>
      <c r="AG389" s="23"/>
      <c r="AH389" s="265" t="str">
        <f>_xlfn.XLOOKUP(G389,Clientes!I:I,Clientes!F:F)</f>
        <v>GRUPO FERTIPAR FERTILIZANTES MATO GROSSO</v>
      </c>
    </row>
    <row r="390" spans="1:34" x14ac:dyDescent="0.25">
      <c r="A390">
        <v>161</v>
      </c>
      <c r="B390" t="s">
        <v>145</v>
      </c>
      <c r="C390"/>
      <c r="D390" s="23">
        <v>81661</v>
      </c>
      <c r="E390">
        <v>11669</v>
      </c>
      <c r="F390">
        <v>11</v>
      </c>
      <c r="G390">
        <v>205</v>
      </c>
      <c r="H390" t="s">
        <v>35</v>
      </c>
      <c r="I390" s="23">
        <v>81661</v>
      </c>
      <c r="J390" s="185">
        <v>46183</v>
      </c>
      <c r="K390" s="185">
        <v>46183</v>
      </c>
      <c r="L390" s="185">
        <v>46211</v>
      </c>
      <c r="M390" s="185"/>
      <c r="N390"/>
      <c r="O390">
        <v>1010100</v>
      </c>
      <c r="P390" t="s">
        <v>29</v>
      </c>
      <c r="Q390">
        <v>200000100</v>
      </c>
      <c r="R390" t="s">
        <v>15322</v>
      </c>
      <c r="S390"/>
      <c r="T390" t="s">
        <v>15323</v>
      </c>
      <c r="U390" t="s">
        <v>4502</v>
      </c>
      <c r="V390" s="23">
        <v>0</v>
      </c>
      <c r="W390" s="23">
        <v>0</v>
      </c>
      <c r="X390" s="23">
        <v>0</v>
      </c>
      <c r="Y390"/>
      <c r="Z390">
        <v>1246279022</v>
      </c>
      <c r="AA390"/>
      <c r="AB390"/>
      <c r="AC390">
        <v>102</v>
      </c>
      <c r="AD390">
        <v>4</v>
      </c>
      <c r="AE390" t="s">
        <v>15324</v>
      </c>
      <c r="AF390"/>
      <c r="AG390" s="23"/>
      <c r="AH390" s="265" t="str">
        <f>_xlfn.XLOOKUP(G390,Clientes!I:I,Clientes!F:F)</f>
        <v>GRUPO FERTIPAR FERTILIZANTES MATO GROSSO</v>
      </c>
    </row>
    <row r="391" spans="1:34" x14ac:dyDescent="0.25">
      <c r="A391">
        <v>161</v>
      </c>
      <c r="B391" t="s">
        <v>145</v>
      </c>
      <c r="C391"/>
      <c r="D391" s="23">
        <v>81872</v>
      </c>
      <c r="E391">
        <v>11252</v>
      </c>
      <c r="F391">
        <v>11</v>
      </c>
      <c r="G391">
        <v>5182</v>
      </c>
      <c r="H391" t="s">
        <v>82</v>
      </c>
      <c r="I391" s="23">
        <v>81872</v>
      </c>
      <c r="J391" s="185">
        <v>46141</v>
      </c>
      <c r="K391" s="185">
        <v>46141</v>
      </c>
      <c r="L391" s="185">
        <v>46169</v>
      </c>
      <c r="M391" s="185">
        <v>46169</v>
      </c>
      <c r="N391"/>
      <c r="O391">
        <v>1010100</v>
      </c>
      <c r="P391" t="s">
        <v>29</v>
      </c>
      <c r="Q391">
        <v>200000100</v>
      </c>
      <c r="R391" t="s">
        <v>15322</v>
      </c>
      <c r="S391"/>
      <c r="T391" t="s">
        <v>15323</v>
      </c>
      <c r="U391" t="s">
        <v>1530</v>
      </c>
      <c r="V391" s="23">
        <v>0</v>
      </c>
      <c r="W391" s="23">
        <v>0</v>
      </c>
      <c r="X391" s="23">
        <v>0</v>
      </c>
      <c r="Y391"/>
      <c r="Z391">
        <v>1246273036</v>
      </c>
      <c r="AA391"/>
      <c r="AB391" t="s">
        <v>1199</v>
      </c>
      <c r="AC391">
        <v>102</v>
      </c>
      <c r="AD391">
        <v>4</v>
      </c>
      <c r="AE391" t="s">
        <v>15324</v>
      </c>
      <c r="AF391"/>
      <c r="AG391" s="23"/>
      <c r="AH391" s="265" t="str">
        <f>_xlfn.XLOOKUP(G391,Clientes!I:I,Clientes!F:F)</f>
        <v>GRUPO FERTIPAR FERTILIZANTES MATO GROSSO</v>
      </c>
    </row>
    <row r="392" spans="1:34" x14ac:dyDescent="0.25">
      <c r="A392">
        <v>161</v>
      </c>
      <c r="B392" t="s">
        <v>145</v>
      </c>
      <c r="C392"/>
      <c r="D392" s="23">
        <v>82103</v>
      </c>
      <c r="E392">
        <v>11535</v>
      </c>
      <c r="F392">
        <v>11</v>
      </c>
      <c r="G392">
        <v>10492</v>
      </c>
      <c r="H392" t="s">
        <v>101</v>
      </c>
      <c r="I392" s="23">
        <v>82103</v>
      </c>
      <c r="J392" s="185">
        <v>46170</v>
      </c>
      <c r="K392" s="185">
        <v>46170</v>
      </c>
      <c r="L392" s="185">
        <v>46198</v>
      </c>
      <c r="M392" s="185">
        <v>46195</v>
      </c>
      <c r="N392"/>
      <c r="O392">
        <v>1010100</v>
      </c>
      <c r="P392" t="s">
        <v>29</v>
      </c>
      <c r="Q392">
        <v>200000100</v>
      </c>
      <c r="R392" t="s">
        <v>15322</v>
      </c>
      <c r="S392"/>
      <c r="T392" t="s">
        <v>15323</v>
      </c>
      <c r="U392" t="s">
        <v>2073</v>
      </c>
      <c r="V392" s="23">
        <v>0</v>
      </c>
      <c r="W392" s="23">
        <v>0</v>
      </c>
      <c r="X392" s="23">
        <v>0</v>
      </c>
      <c r="Y392"/>
      <c r="Z392">
        <v>1246277253</v>
      </c>
      <c r="AA392"/>
      <c r="AB392" t="s">
        <v>1186</v>
      </c>
      <c r="AC392">
        <v>102</v>
      </c>
      <c r="AD392">
        <v>4</v>
      </c>
      <c r="AE392" t="s">
        <v>15324</v>
      </c>
      <c r="AF392"/>
      <c r="AG392" s="23"/>
      <c r="AH392" s="265" t="str">
        <f>_xlfn.XLOOKUP(G392,Clientes!I:I,Clientes!F:F)</f>
        <v>GRUPO UNIFERTIL</v>
      </c>
    </row>
    <row r="393" spans="1:34" x14ac:dyDescent="0.25">
      <c r="A393">
        <v>161</v>
      </c>
      <c r="B393" t="s">
        <v>145</v>
      </c>
      <c r="C393"/>
      <c r="D393" s="23">
        <v>82334.399999999994</v>
      </c>
      <c r="E393">
        <v>11595</v>
      </c>
      <c r="F393">
        <v>11</v>
      </c>
      <c r="G393">
        <v>5182</v>
      </c>
      <c r="H393" t="s">
        <v>82</v>
      </c>
      <c r="I393" s="23">
        <v>82334.399999999994</v>
      </c>
      <c r="J393" s="185">
        <v>46176</v>
      </c>
      <c r="K393" s="185">
        <v>46176</v>
      </c>
      <c r="L393" s="185">
        <v>46204</v>
      </c>
      <c r="M393" s="185"/>
      <c r="N393"/>
      <c r="O393">
        <v>1010100</v>
      </c>
      <c r="P393" t="s">
        <v>29</v>
      </c>
      <c r="Q393">
        <v>200000100</v>
      </c>
      <c r="R393" t="s">
        <v>15322</v>
      </c>
      <c r="S393"/>
      <c r="T393" t="s">
        <v>15323</v>
      </c>
      <c r="U393" t="s">
        <v>5803</v>
      </c>
      <c r="V393" s="23">
        <v>0</v>
      </c>
      <c r="W393" s="23">
        <v>0</v>
      </c>
      <c r="X393" s="23">
        <v>0</v>
      </c>
      <c r="Y393"/>
      <c r="Z393">
        <v>1246278207</v>
      </c>
      <c r="AA393"/>
      <c r="AB393"/>
      <c r="AC393">
        <v>102</v>
      </c>
      <c r="AD393">
        <v>4</v>
      </c>
      <c r="AE393" t="s">
        <v>15324</v>
      </c>
      <c r="AF393"/>
      <c r="AG393" s="23"/>
      <c r="AH393" s="265" t="str">
        <f>_xlfn.XLOOKUP(G393,Clientes!I:I,Clientes!F:F)</f>
        <v>GRUPO FERTIPAR FERTILIZANTES MATO GROSSO</v>
      </c>
    </row>
    <row r="394" spans="1:34" x14ac:dyDescent="0.25">
      <c r="A394">
        <v>161</v>
      </c>
      <c r="B394" t="s">
        <v>145</v>
      </c>
      <c r="C394"/>
      <c r="D394" s="23">
        <v>82802.3</v>
      </c>
      <c r="E394">
        <v>10735</v>
      </c>
      <c r="F394">
        <v>11</v>
      </c>
      <c r="G394">
        <v>214</v>
      </c>
      <c r="H394" t="s">
        <v>149</v>
      </c>
      <c r="I394" s="23">
        <v>82802.3</v>
      </c>
      <c r="J394" s="185">
        <v>46073</v>
      </c>
      <c r="K394" s="185">
        <v>46073</v>
      </c>
      <c r="L394" s="185">
        <v>46101</v>
      </c>
      <c r="M394" s="185">
        <v>46101</v>
      </c>
      <c r="N394"/>
      <c r="O394">
        <v>1010100</v>
      </c>
      <c r="P394" t="s">
        <v>29</v>
      </c>
      <c r="Q394">
        <v>200000100</v>
      </c>
      <c r="R394" t="s">
        <v>15322</v>
      </c>
      <c r="S394"/>
      <c r="T394" t="s">
        <v>15323</v>
      </c>
      <c r="U394" t="s">
        <v>6311</v>
      </c>
      <c r="V394" s="23">
        <v>0</v>
      </c>
      <c r="W394" s="23">
        <v>0</v>
      </c>
      <c r="X394" s="23">
        <v>0</v>
      </c>
      <c r="Y394"/>
      <c r="Z394">
        <v>1246264408</v>
      </c>
      <c r="AA394"/>
      <c r="AB394" t="s">
        <v>1186</v>
      </c>
      <c r="AC394">
        <v>102</v>
      </c>
      <c r="AD394">
        <v>4</v>
      </c>
      <c r="AE394" t="s">
        <v>15324</v>
      </c>
      <c r="AF394"/>
      <c r="AG394" s="23"/>
      <c r="AH394" s="265" t="str">
        <f>_xlfn.XLOOKUP(G394,Clientes!I:I,Clientes!F:F)</f>
        <v>GRUPO UNIFERTIL</v>
      </c>
    </row>
    <row r="395" spans="1:34" x14ac:dyDescent="0.25">
      <c r="A395">
        <v>161</v>
      </c>
      <c r="B395" t="s">
        <v>145</v>
      </c>
      <c r="C395"/>
      <c r="D395" s="23">
        <v>82854.100000000006</v>
      </c>
      <c r="E395">
        <v>11237</v>
      </c>
      <c r="F395">
        <v>11</v>
      </c>
      <c r="G395">
        <v>214</v>
      </c>
      <c r="H395" t="s">
        <v>149</v>
      </c>
      <c r="I395" s="23">
        <v>82854.100000000006</v>
      </c>
      <c r="J395" s="185">
        <v>46139</v>
      </c>
      <c r="K395" s="185">
        <v>46139</v>
      </c>
      <c r="L395" s="185">
        <v>46167</v>
      </c>
      <c r="M395" s="185">
        <v>46162</v>
      </c>
      <c r="N395"/>
      <c r="O395">
        <v>1010100</v>
      </c>
      <c r="P395" t="s">
        <v>29</v>
      </c>
      <c r="Q395">
        <v>200000100</v>
      </c>
      <c r="R395" t="s">
        <v>15322</v>
      </c>
      <c r="S395"/>
      <c r="T395" t="s">
        <v>15323</v>
      </c>
      <c r="U395" t="s">
        <v>6311</v>
      </c>
      <c r="V395" s="23">
        <v>0</v>
      </c>
      <c r="W395" s="23">
        <v>0</v>
      </c>
      <c r="X395" s="23">
        <v>0</v>
      </c>
      <c r="Y395"/>
      <c r="Z395">
        <v>1246272851</v>
      </c>
      <c r="AA395"/>
      <c r="AB395" t="s">
        <v>1186</v>
      </c>
      <c r="AC395">
        <v>102</v>
      </c>
      <c r="AD395">
        <v>4</v>
      </c>
      <c r="AE395" t="s">
        <v>15324</v>
      </c>
      <c r="AF395"/>
      <c r="AG395" s="23"/>
      <c r="AH395" s="265" t="str">
        <f>_xlfn.XLOOKUP(G395,Clientes!I:I,Clientes!F:F)</f>
        <v>GRUPO UNIFERTIL</v>
      </c>
    </row>
    <row r="396" spans="1:34" x14ac:dyDescent="0.25">
      <c r="A396">
        <v>161</v>
      </c>
      <c r="B396" t="s">
        <v>145</v>
      </c>
      <c r="C396"/>
      <c r="D396" s="23">
        <v>82880</v>
      </c>
      <c r="E396">
        <v>11563</v>
      </c>
      <c r="F396">
        <v>11</v>
      </c>
      <c r="G396">
        <v>214</v>
      </c>
      <c r="H396" t="s">
        <v>149</v>
      </c>
      <c r="I396" s="23">
        <v>82880</v>
      </c>
      <c r="J396" s="185">
        <v>46174</v>
      </c>
      <c r="K396" s="185">
        <v>46174</v>
      </c>
      <c r="L396" s="185">
        <v>46202</v>
      </c>
      <c r="M396" s="185">
        <v>46195</v>
      </c>
      <c r="N396"/>
      <c r="O396">
        <v>1010100</v>
      </c>
      <c r="P396" t="s">
        <v>29</v>
      </c>
      <c r="Q396">
        <v>200000100</v>
      </c>
      <c r="R396" t="s">
        <v>15322</v>
      </c>
      <c r="S396"/>
      <c r="T396" t="s">
        <v>15323</v>
      </c>
      <c r="U396" t="s">
        <v>6311</v>
      </c>
      <c r="V396" s="23">
        <v>0</v>
      </c>
      <c r="W396" s="23">
        <v>0</v>
      </c>
      <c r="X396" s="23">
        <v>0</v>
      </c>
      <c r="Y396"/>
      <c r="Z396">
        <v>1246277539</v>
      </c>
      <c r="AA396"/>
      <c r="AB396" t="s">
        <v>1186</v>
      </c>
      <c r="AC396">
        <v>102</v>
      </c>
      <c r="AD396">
        <v>4</v>
      </c>
      <c r="AE396" t="s">
        <v>15324</v>
      </c>
      <c r="AF396"/>
      <c r="AG396" s="23"/>
      <c r="AH396" s="265" t="str">
        <f>_xlfn.XLOOKUP(G396,Clientes!I:I,Clientes!F:F)</f>
        <v>GRUPO UNIFERTIL</v>
      </c>
    </row>
    <row r="397" spans="1:34" x14ac:dyDescent="0.25">
      <c r="A397">
        <v>161</v>
      </c>
      <c r="B397" t="s">
        <v>145</v>
      </c>
      <c r="C397"/>
      <c r="D397" s="23">
        <v>82931.8</v>
      </c>
      <c r="E397">
        <v>11065</v>
      </c>
      <c r="F397">
        <v>11</v>
      </c>
      <c r="G397">
        <v>214</v>
      </c>
      <c r="H397" t="s">
        <v>149</v>
      </c>
      <c r="I397" s="23">
        <v>82931.8</v>
      </c>
      <c r="J397" s="185">
        <v>46119</v>
      </c>
      <c r="K397" s="185">
        <v>46119</v>
      </c>
      <c r="L397" s="185">
        <v>46147</v>
      </c>
      <c r="M397" s="185">
        <v>46147</v>
      </c>
      <c r="N397"/>
      <c r="O397">
        <v>1010100</v>
      </c>
      <c r="P397" t="s">
        <v>29</v>
      </c>
      <c r="Q397">
        <v>200000100</v>
      </c>
      <c r="R397" t="s">
        <v>15322</v>
      </c>
      <c r="S397"/>
      <c r="T397" t="s">
        <v>15323</v>
      </c>
      <c r="U397" t="s">
        <v>1964</v>
      </c>
      <c r="V397" s="23">
        <v>0</v>
      </c>
      <c r="W397" s="23">
        <v>0</v>
      </c>
      <c r="X397" s="23">
        <v>0</v>
      </c>
      <c r="Y397"/>
      <c r="Z397">
        <v>1246270505</v>
      </c>
      <c r="AA397"/>
      <c r="AB397" t="s">
        <v>1186</v>
      </c>
      <c r="AC397">
        <v>102</v>
      </c>
      <c r="AD397">
        <v>4</v>
      </c>
      <c r="AE397" t="s">
        <v>15324</v>
      </c>
      <c r="AF397"/>
      <c r="AG397" s="23"/>
      <c r="AH397" s="265" t="str">
        <f>_xlfn.XLOOKUP(G397,Clientes!I:I,Clientes!F:F)</f>
        <v>GRUPO UNIFERTIL</v>
      </c>
    </row>
    <row r="398" spans="1:34" x14ac:dyDescent="0.25">
      <c r="A398">
        <v>161</v>
      </c>
      <c r="B398" t="s">
        <v>145</v>
      </c>
      <c r="C398"/>
      <c r="D398" s="23">
        <v>82983.600000000006</v>
      </c>
      <c r="E398">
        <v>10827</v>
      </c>
      <c r="F398">
        <v>11</v>
      </c>
      <c r="G398">
        <v>10492</v>
      </c>
      <c r="H398" t="s">
        <v>101</v>
      </c>
      <c r="I398" s="23">
        <v>82983.600000000006</v>
      </c>
      <c r="J398" s="185">
        <v>46086</v>
      </c>
      <c r="K398" s="185">
        <v>46086</v>
      </c>
      <c r="L398" s="185">
        <v>46114</v>
      </c>
      <c r="M398" s="185">
        <v>46111</v>
      </c>
      <c r="N398"/>
      <c r="O398">
        <v>1010100</v>
      </c>
      <c r="P398" t="s">
        <v>29</v>
      </c>
      <c r="Q398">
        <v>200000100</v>
      </c>
      <c r="R398" t="s">
        <v>15322</v>
      </c>
      <c r="S398"/>
      <c r="T398" t="s">
        <v>15323</v>
      </c>
      <c r="U398" t="s">
        <v>6311</v>
      </c>
      <c r="V398" s="23">
        <v>0</v>
      </c>
      <c r="W398" s="23">
        <v>0</v>
      </c>
      <c r="X398" s="23">
        <v>0</v>
      </c>
      <c r="Y398"/>
      <c r="Z398">
        <v>1246266842</v>
      </c>
      <c r="AA398"/>
      <c r="AB398" t="s">
        <v>1186</v>
      </c>
      <c r="AC398">
        <v>102</v>
      </c>
      <c r="AD398">
        <v>4</v>
      </c>
      <c r="AE398" t="s">
        <v>15324</v>
      </c>
      <c r="AF398"/>
      <c r="AG398" s="23"/>
      <c r="AH398" s="265" t="str">
        <f>_xlfn.XLOOKUP(G398,Clientes!I:I,Clientes!F:F)</f>
        <v>GRUPO UNIFERTIL</v>
      </c>
    </row>
    <row r="399" spans="1:34" x14ac:dyDescent="0.25">
      <c r="A399">
        <v>161</v>
      </c>
      <c r="B399" t="s">
        <v>145</v>
      </c>
      <c r="C399"/>
      <c r="D399" s="23">
        <v>83061.3</v>
      </c>
      <c r="E399">
        <v>11709</v>
      </c>
      <c r="F399">
        <v>11</v>
      </c>
      <c r="G399">
        <v>10492</v>
      </c>
      <c r="H399" t="s">
        <v>101</v>
      </c>
      <c r="I399" s="23">
        <v>83061.3</v>
      </c>
      <c r="J399" s="185">
        <v>46188</v>
      </c>
      <c r="K399" s="185">
        <v>46188</v>
      </c>
      <c r="L399" s="185">
        <v>46216</v>
      </c>
      <c r="M399" s="185"/>
      <c r="N399"/>
      <c r="O399">
        <v>1010100</v>
      </c>
      <c r="P399" t="s">
        <v>29</v>
      </c>
      <c r="Q399">
        <v>200000100</v>
      </c>
      <c r="R399" t="s">
        <v>15322</v>
      </c>
      <c r="S399"/>
      <c r="T399" t="s">
        <v>15323</v>
      </c>
      <c r="U399" t="s">
        <v>1964</v>
      </c>
      <c r="V399" s="23">
        <v>0</v>
      </c>
      <c r="W399" s="23">
        <v>0</v>
      </c>
      <c r="X399" s="23">
        <v>0</v>
      </c>
      <c r="Y399"/>
      <c r="Z399">
        <v>1246279511</v>
      </c>
      <c r="AA399"/>
      <c r="AB399"/>
      <c r="AC399">
        <v>102</v>
      </c>
      <c r="AD399">
        <v>4</v>
      </c>
      <c r="AE399" t="s">
        <v>15324</v>
      </c>
      <c r="AF399"/>
      <c r="AG399" s="23"/>
      <c r="AH399" s="265" t="str">
        <f>_xlfn.XLOOKUP(G399,Clientes!I:I,Clientes!F:F)</f>
        <v>GRUPO UNIFERTIL</v>
      </c>
    </row>
    <row r="400" spans="1:34" x14ac:dyDescent="0.25">
      <c r="A400">
        <v>161</v>
      </c>
      <c r="B400" t="s">
        <v>145</v>
      </c>
      <c r="C400"/>
      <c r="D400" s="23">
        <v>83061.3</v>
      </c>
      <c r="E400">
        <v>11106</v>
      </c>
      <c r="F400">
        <v>11</v>
      </c>
      <c r="G400">
        <v>10492</v>
      </c>
      <c r="H400" t="s">
        <v>101</v>
      </c>
      <c r="I400" s="23">
        <v>83061.3</v>
      </c>
      <c r="J400" s="185">
        <v>46125</v>
      </c>
      <c r="K400" s="185">
        <v>46125</v>
      </c>
      <c r="L400" s="185">
        <v>46153</v>
      </c>
      <c r="M400" s="185">
        <v>46153</v>
      </c>
      <c r="N400"/>
      <c r="O400">
        <v>1010100</v>
      </c>
      <c r="P400" t="s">
        <v>29</v>
      </c>
      <c r="Q400">
        <v>200000100</v>
      </c>
      <c r="R400" t="s">
        <v>15322</v>
      </c>
      <c r="S400"/>
      <c r="T400" t="s">
        <v>15323</v>
      </c>
      <c r="U400" t="s">
        <v>6311</v>
      </c>
      <c r="V400" s="23">
        <v>0</v>
      </c>
      <c r="W400" s="23">
        <v>0</v>
      </c>
      <c r="X400" s="23">
        <v>0</v>
      </c>
      <c r="Y400"/>
      <c r="Z400">
        <v>1246271169</v>
      </c>
      <c r="AA400"/>
      <c r="AB400" t="s">
        <v>1186</v>
      </c>
      <c r="AC400">
        <v>102</v>
      </c>
      <c r="AD400">
        <v>4</v>
      </c>
      <c r="AE400" t="s">
        <v>15324</v>
      </c>
      <c r="AF400"/>
      <c r="AG400" s="23"/>
      <c r="AH400" s="265" t="str">
        <f>_xlfn.XLOOKUP(G400,Clientes!I:I,Clientes!F:F)</f>
        <v>GRUPO UNIFERTIL</v>
      </c>
    </row>
    <row r="401" spans="1:34" x14ac:dyDescent="0.25">
      <c r="A401">
        <v>161</v>
      </c>
      <c r="B401" t="s">
        <v>145</v>
      </c>
      <c r="C401"/>
      <c r="D401" s="23">
        <v>83061.3</v>
      </c>
      <c r="E401">
        <v>11373</v>
      </c>
      <c r="F401">
        <v>11</v>
      </c>
      <c r="G401">
        <v>214</v>
      </c>
      <c r="H401" t="s">
        <v>149</v>
      </c>
      <c r="I401" s="23">
        <v>83061.3</v>
      </c>
      <c r="J401" s="185">
        <v>46154</v>
      </c>
      <c r="K401" s="185">
        <v>46154</v>
      </c>
      <c r="L401" s="185">
        <v>46182</v>
      </c>
      <c r="M401" s="185">
        <v>46178</v>
      </c>
      <c r="N401"/>
      <c r="O401">
        <v>1010100</v>
      </c>
      <c r="P401" t="s">
        <v>29</v>
      </c>
      <c r="Q401">
        <v>200000100</v>
      </c>
      <c r="R401" t="s">
        <v>15322</v>
      </c>
      <c r="S401"/>
      <c r="T401" t="s">
        <v>15323</v>
      </c>
      <c r="U401" t="s">
        <v>6311</v>
      </c>
      <c r="V401" s="23">
        <v>0</v>
      </c>
      <c r="W401" s="23">
        <v>0</v>
      </c>
      <c r="X401" s="23">
        <v>0</v>
      </c>
      <c r="Y401"/>
      <c r="Z401">
        <v>1246274661</v>
      </c>
      <c r="AA401"/>
      <c r="AB401" t="s">
        <v>1186</v>
      </c>
      <c r="AC401">
        <v>102</v>
      </c>
      <c r="AD401">
        <v>4</v>
      </c>
      <c r="AE401" t="s">
        <v>15324</v>
      </c>
      <c r="AF401"/>
      <c r="AG401" s="23"/>
      <c r="AH401" s="265" t="str">
        <f>_xlfn.XLOOKUP(G401,Clientes!I:I,Clientes!F:F)</f>
        <v>GRUPO UNIFERTIL</v>
      </c>
    </row>
    <row r="402" spans="1:34" x14ac:dyDescent="0.25">
      <c r="A402">
        <v>161</v>
      </c>
      <c r="B402" t="s">
        <v>145</v>
      </c>
      <c r="C402"/>
      <c r="D402" s="23">
        <v>83087.199999999997</v>
      </c>
      <c r="E402">
        <v>11360</v>
      </c>
      <c r="F402">
        <v>11</v>
      </c>
      <c r="G402">
        <v>10492</v>
      </c>
      <c r="H402" t="s">
        <v>101</v>
      </c>
      <c r="I402" s="23">
        <v>83087.199999999997</v>
      </c>
      <c r="J402" s="185">
        <v>46154</v>
      </c>
      <c r="K402" s="185">
        <v>46154</v>
      </c>
      <c r="L402" s="185">
        <v>46182</v>
      </c>
      <c r="M402" s="185">
        <v>46178</v>
      </c>
      <c r="N402"/>
      <c r="O402">
        <v>1010100</v>
      </c>
      <c r="P402" t="s">
        <v>29</v>
      </c>
      <c r="Q402">
        <v>200000100</v>
      </c>
      <c r="R402" t="s">
        <v>15322</v>
      </c>
      <c r="S402"/>
      <c r="T402" t="s">
        <v>15323</v>
      </c>
      <c r="U402" t="s">
        <v>6311</v>
      </c>
      <c r="V402" s="23">
        <v>0</v>
      </c>
      <c r="W402" s="23">
        <v>0</v>
      </c>
      <c r="X402" s="23">
        <v>0</v>
      </c>
      <c r="Y402"/>
      <c r="Z402">
        <v>1246274547</v>
      </c>
      <c r="AA402"/>
      <c r="AB402" t="s">
        <v>1186</v>
      </c>
      <c r="AC402">
        <v>102</v>
      </c>
      <c r="AD402">
        <v>4</v>
      </c>
      <c r="AE402" t="s">
        <v>15324</v>
      </c>
      <c r="AF402"/>
      <c r="AG402" s="23"/>
      <c r="AH402" s="265" t="str">
        <f>_xlfn.XLOOKUP(G402,Clientes!I:I,Clientes!F:F)</f>
        <v>GRUPO UNIFERTIL</v>
      </c>
    </row>
    <row r="403" spans="1:34" x14ac:dyDescent="0.25">
      <c r="A403">
        <v>161</v>
      </c>
      <c r="B403" t="s">
        <v>145</v>
      </c>
      <c r="C403"/>
      <c r="D403" s="23">
        <v>83198.7</v>
      </c>
      <c r="E403">
        <v>10836</v>
      </c>
      <c r="F403">
        <v>11</v>
      </c>
      <c r="G403">
        <v>3142</v>
      </c>
      <c r="H403" t="s">
        <v>78</v>
      </c>
      <c r="I403" s="23">
        <v>83198.7</v>
      </c>
      <c r="J403" s="185">
        <v>46087</v>
      </c>
      <c r="K403" s="185">
        <v>46087</v>
      </c>
      <c r="L403" s="185">
        <v>46115</v>
      </c>
      <c r="M403" s="185">
        <v>46118</v>
      </c>
      <c r="N403"/>
      <c r="O403">
        <v>1010100</v>
      </c>
      <c r="P403" t="s">
        <v>29</v>
      </c>
      <c r="Q403">
        <v>200000100</v>
      </c>
      <c r="R403" t="s">
        <v>15322</v>
      </c>
      <c r="S403"/>
      <c r="T403" t="s">
        <v>15323</v>
      </c>
      <c r="U403" t="s">
        <v>1530</v>
      </c>
      <c r="V403" s="23">
        <v>0</v>
      </c>
      <c r="W403" s="23">
        <v>0</v>
      </c>
      <c r="X403" s="23">
        <v>0</v>
      </c>
      <c r="Y403"/>
      <c r="Z403">
        <v>1246266915</v>
      </c>
      <c r="AA403"/>
      <c r="AB403" t="s">
        <v>1186</v>
      </c>
      <c r="AC403">
        <v>102</v>
      </c>
      <c r="AD403">
        <v>4</v>
      </c>
      <c r="AE403" t="s">
        <v>15324</v>
      </c>
      <c r="AF403"/>
      <c r="AG403" s="23"/>
      <c r="AH403" s="265" t="str">
        <f>_xlfn.XLOOKUP(G403,Clientes!I:I,Clientes!F:F)</f>
        <v>INTERFERTIL - SAO FRANCISCO DO SUL</v>
      </c>
    </row>
    <row r="404" spans="1:34" x14ac:dyDescent="0.25">
      <c r="A404">
        <v>161</v>
      </c>
      <c r="B404" t="s">
        <v>145</v>
      </c>
      <c r="C404"/>
      <c r="D404" s="23">
        <v>83216.7</v>
      </c>
      <c r="E404">
        <v>10408</v>
      </c>
      <c r="F404">
        <v>11</v>
      </c>
      <c r="G404">
        <v>10492</v>
      </c>
      <c r="H404" t="s">
        <v>101</v>
      </c>
      <c r="I404" s="23">
        <v>83216.7</v>
      </c>
      <c r="J404" s="185">
        <v>46024</v>
      </c>
      <c r="K404" s="185">
        <v>46024</v>
      </c>
      <c r="L404" s="185">
        <v>46052</v>
      </c>
      <c r="M404" s="185">
        <v>46052</v>
      </c>
      <c r="N404"/>
      <c r="O404">
        <v>1010100</v>
      </c>
      <c r="P404" t="s">
        <v>29</v>
      </c>
      <c r="Q404">
        <v>200000100</v>
      </c>
      <c r="R404" t="s">
        <v>15322</v>
      </c>
      <c r="S404"/>
      <c r="T404" t="s">
        <v>15323</v>
      </c>
      <c r="U404" t="s">
        <v>1964</v>
      </c>
      <c r="V404" s="23">
        <v>0</v>
      </c>
      <c r="W404" s="23">
        <v>0</v>
      </c>
      <c r="X404" s="23">
        <v>0</v>
      </c>
      <c r="Y404"/>
      <c r="Z404">
        <v>1246258129</v>
      </c>
      <c r="AA404"/>
      <c r="AB404" t="s">
        <v>1186</v>
      </c>
      <c r="AC404">
        <v>102</v>
      </c>
      <c r="AD404">
        <v>4</v>
      </c>
      <c r="AE404" t="s">
        <v>15324</v>
      </c>
      <c r="AF404"/>
      <c r="AG404" s="23"/>
      <c r="AH404" s="265" t="str">
        <f>_xlfn.XLOOKUP(G404,Clientes!I:I,Clientes!F:F)</f>
        <v>GRUPO UNIFERTIL</v>
      </c>
    </row>
    <row r="405" spans="1:34" x14ac:dyDescent="0.25">
      <c r="A405">
        <v>161</v>
      </c>
      <c r="B405" t="s">
        <v>145</v>
      </c>
      <c r="C405"/>
      <c r="D405" s="23">
        <v>83268.5</v>
      </c>
      <c r="E405">
        <v>10420</v>
      </c>
      <c r="F405">
        <v>11</v>
      </c>
      <c r="G405">
        <v>214</v>
      </c>
      <c r="H405" t="s">
        <v>149</v>
      </c>
      <c r="I405" s="23">
        <v>83268.5</v>
      </c>
      <c r="J405" s="185">
        <v>46027</v>
      </c>
      <c r="K405" s="185">
        <v>46027</v>
      </c>
      <c r="L405" s="185">
        <v>46055</v>
      </c>
      <c r="M405" s="185">
        <v>46052</v>
      </c>
      <c r="N405"/>
      <c r="O405">
        <v>1010100</v>
      </c>
      <c r="P405" t="s">
        <v>29</v>
      </c>
      <c r="Q405">
        <v>200000100</v>
      </c>
      <c r="R405" t="s">
        <v>15322</v>
      </c>
      <c r="S405"/>
      <c r="T405" t="s">
        <v>15323</v>
      </c>
      <c r="U405" t="s">
        <v>1964</v>
      </c>
      <c r="V405" s="23">
        <v>0</v>
      </c>
      <c r="W405" s="23">
        <v>0</v>
      </c>
      <c r="X405" s="23">
        <v>0</v>
      </c>
      <c r="Y405"/>
      <c r="Z405">
        <v>1246258274</v>
      </c>
      <c r="AA405"/>
      <c r="AB405" t="s">
        <v>1186</v>
      </c>
      <c r="AC405">
        <v>102</v>
      </c>
      <c r="AD405">
        <v>4</v>
      </c>
      <c r="AE405" t="s">
        <v>15324</v>
      </c>
      <c r="AF405"/>
      <c r="AG405" s="23"/>
      <c r="AH405" s="265" t="str">
        <f>_xlfn.XLOOKUP(G405,Clientes!I:I,Clientes!F:F)</f>
        <v>GRUPO UNIFERTIL</v>
      </c>
    </row>
    <row r="406" spans="1:34" x14ac:dyDescent="0.25">
      <c r="A406">
        <v>161</v>
      </c>
      <c r="B406" t="s">
        <v>145</v>
      </c>
      <c r="C406"/>
      <c r="D406" s="23">
        <v>83393.100000000006</v>
      </c>
      <c r="E406">
        <v>11675</v>
      </c>
      <c r="F406">
        <v>11</v>
      </c>
      <c r="G406">
        <v>3142</v>
      </c>
      <c r="H406" t="s">
        <v>78</v>
      </c>
      <c r="I406" s="23">
        <v>83393.100000000006</v>
      </c>
      <c r="J406" s="185">
        <v>46183</v>
      </c>
      <c r="K406" s="185">
        <v>46183</v>
      </c>
      <c r="L406" s="185">
        <v>46211</v>
      </c>
      <c r="M406" s="185"/>
      <c r="N406"/>
      <c r="O406">
        <v>1010100</v>
      </c>
      <c r="P406" t="s">
        <v>29</v>
      </c>
      <c r="Q406">
        <v>200000100</v>
      </c>
      <c r="R406" t="s">
        <v>15322</v>
      </c>
      <c r="S406"/>
      <c r="T406" t="s">
        <v>15323</v>
      </c>
      <c r="U406" t="s">
        <v>6311</v>
      </c>
      <c r="V406" s="23">
        <v>0</v>
      </c>
      <c r="W406" s="23">
        <v>0</v>
      </c>
      <c r="X406" s="23">
        <v>0</v>
      </c>
      <c r="Y406"/>
      <c r="Z406">
        <v>1246279113</v>
      </c>
      <c r="AA406"/>
      <c r="AB406"/>
      <c r="AC406">
        <v>102</v>
      </c>
      <c r="AD406">
        <v>4</v>
      </c>
      <c r="AE406" t="s">
        <v>15324</v>
      </c>
      <c r="AF406"/>
      <c r="AG406" s="23"/>
      <c r="AH406" s="265" t="str">
        <f>_xlfn.XLOOKUP(G406,Clientes!I:I,Clientes!F:F)</f>
        <v>INTERFERTIL - SAO FRANCISCO DO SUL</v>
      </c>
    </row>
    <row r="407" spans="1:34" x14ac:dyDescent="0.25">
      <c r="A407">
        <v>161</v>
      </c>
      <c r="B407" t="s">
        <v>145</v>
      </c>
      <c r="C407"/>
      <c r="D407" s="23">
        <v>83460.100000000006</v>
      </c>
      <c r="E407">
        <v>10538</v>
      </c>
      <c r="F407">
        <v>11</v>
      </c>
      <c r="G407">
        <v>3142</v>
      </c>
      <c r="H407" t="s">
        <v>78</v>
      </c>
      <c r="I407" s="23">
        <v>83460.100000000006</v>
      </c>
      <c r="J407" s="185">
        <v>46043</v>
      </c>
      <c r="K407" s="185">
        <v>46043</v>
      </c>
      <c r="L407" s="185">
        <v>46071</v>
      </c>
      <c r="M407" s="185">
        <v>46071</v>
      </c>
      <c r="N407"/>
      <c r="O407">
        <v>1010100</v>
      </c>
      <c r="P407" t="s">
        <v>29</v>
      </c>
      <c r="Q407">
        <v>200000100</v>
      </c>
      <c r="R407" t="s">
        <v>15322</v>
      </c>
      <c r="S407"/>
      <c r="T407" t="s">
        <v>15323</v>
      </c>
      <c r="U407" t="s">
        <v>6311</v>
      </c>
      <c r="V407" s="23">
        <v>0</v>
      </c>
      <c r="W407" s="23">
        <v>0</v>
      </c>
      <c r="X407" s="23">
        <v>0</v>
      </c>
      <c r="Y407"/>
      <c r="Z407">
        <v>1246260334</v>
      </c>
      <c r="AA407"/>
      <c r="AB407" t="s">
        <v>1186</v>
      </c>
      <c r="AC407">
        <v>102</v>
      </c>
      <c r="AD407">
        <v>4</v>
      </c>
      <c r="AE407" t="s">
        <v>15324</v>
      </c>
      <c r="AF407"/>
      <c r="AG407" s="23"/>
      <c r="AH407" s="265" t="str">
        <f>_xlfn.XLOOKUP(G407,Clientes!I:I,Clientes!F:F)</f>
        <v>INTERFERTIL - SAO FRANCISCO DO SUL</v>
      </c>
    </row>
    <row r="408" spans="1:34" x14ac:dyDescent="0.25">
      <c r="A408">
        <v>161</v>
      </c>
      <c r="B408" t="s">
        <v>145</v>
      </c>
      <c r="C408"/>
      <c r="D408" s="23">
        <v>83475.7</v>
      </c>
      <c r="E408">
        <v>11760</v>
      </c>
      <c r="F408">
        <v>11</v>
      </c>
      <c r="G408">
        <v>214</v>
      </c>
      <c r="H408" t="s">
        <v>149</v>
      </c>
      <c r="I408" s="23">
        <v>83475.7</v>
      </c>
      <c r="J408" s="185">
        <v>46192</v>
      </c>
      <c r="K408" s="185">
        <v>46192</v>
      </c>
      <c r="L408" s="185">
        <v>46220</v>
      </c>
      <c r="M408" s="185"/>
      <c r="N408"/>
      <c r="O408">
        <v>1010100</v>
      </c>
      <c r="P408" t="s">
        <v>29</v>
      </c>
      <c r="Q408">
        <v>200000100</v>
      </c>
      <c r="R408" t="s">
        <v>15322</v>
      </c>
      <c r="S408"/>
      <c r="T408" t="s">
        <v>15323</v>
      </c>
      <c r="U408" t="s">
        <v>6311</v>
      </c>
      <c r="V408" s="23">
        <v>0</v>
      </c>
      <c r="W408" s="23">
        <v>0</v>
      </c>
      <c r="X408" s="23">
        <v>0</v>
      </c>
      <c r="Y408"/>
      <c r="Z408">
        <v>1246280241</v>
      </c>
      <c r="AA408"/>
      <c r="AB408"/>
      <c r="AC408">
        <v>102</v>
      </c>
      <c r="AD408">
        <v>4</v>
      </c>
      <c r="AE408" t="s">
        <v>15324</v>
      </c>
      <c r="AF408"/>
      <c r="AG408" s="23"/>
      <c r="AH408" s="265" t="str">
        <f>_xlfn.XLOOKUP(G408,Clientes!I:I,Clientes!F:F)</f>
        <v>GRUPO UNIFERTIL</v>
      </c>
    </row>
    <row r="409" spans="1:34" x14ac:dyDescent="0.25">
      <c r="A409">
        <v>161</v>
      </c>
      <c r="B409" t="s">
        <v>145</v>
      </c>
      <c r="C409"/>
      <c r="D409" s="23">
        <v>83895.3</v>
      </c>
      <c r="E409">
        <v>11400</v>
      </c>
      <c r="F409">
        <v>11</v>
      </c>
      <c r="G409">
        <v>3142</v>
      </c>
      <c r="H409" t="s">
        <v>78</v>
      </c>
      <c r="I409" s="23">
        <v>83895.3</v>
      </c>
      <c r="J409" s="185">
        <v>46156</v>
      </c>
      <c r="K409" s="185">
        <v>46156</v>
      </c>
      <c r="L409" s="185">
        <v>46184</v>
      </c>
      <c r="M409" s="185">
        <v>46184</v>
      </c>
      <c r="N409"/>
      <c r="O409">
        <v>1010100</v>
      </c>
      <c r="P409" t="s">
        <v>29</v>
      </c>
      <c r="Q409">
        <v>200000100</v>
      </c>
      <c r="R409" t="s">
        <v>15322</v>
      </c>
      <c r="S409"/>
      <c r="T409" t="s">
        <v>15323</v>
      </c>
      <c r="U409" t="s">
        <v>6311</v>
      </c>
      <c r="V409" s="23">
        <v>0</v>
      </c>
      <c r="W409" s="23">
        <v>0</v>
      </c>
      <c r="X409" s="23">
        <v>0</v>
      </c>
      <c r="Y409"/>
      <c r="Z409">
        <v>1246275268</v>
      </c>
      <c r="AA409"/>
      <c r="AB409" t="s">
        <v>1186</v>
      </c>
      <c r="AC409">
        <v>102</v>
      </c>
      <c r="AD409">
        <v>4</v>
      </c>
      <c r="AE409" t="s">
        <v>15324</v>
      </c>
      <c r="AF409"/>
      <c r="AG409" s="23"/>
      <c r="AH409" s="265" t="str">
        <f>_xlfn.XLOOKUP(G409,Clientes!I:I,Clientes!F:F)</f>
        <v>INTERFERTIL - SAO FRANCISCO DO SUL</v>
      </c>
    </row>
    <row r="410" spans="1:34" x14ac:dyDescent="0.25">
      <c r="A410">
        <v>161</v>
      </c>
      <c r="B410" t="s">
        <v>145</v>
      </c>
      <c r="C410"/>
      <c r="D410" s="23">
        <v>86385.46</v>
      </c>
      <c r="E410">
        <v>11416</v>
      </c>
      <c r="F410">
        <v>11</v>
      </c>
      <c r="G410">
        <v>1787</v>
      </c>
      <c r="H410" t="s">
        <v>57</v>
      </c>
      <c r="I410" s="23">
        <v>86385.46</v>
      </c>
      <c r="J410" s="185">
        <v>46157</v>
      </c>
      <c r="K410" s="185">
        <v>46157</v>
      </c>
      <c r="L410" s="185">
        <v>46247</v>
      </c>
      <c r="M410" s="185"/>
      <c r="N410"/>
      <c r="O410">
        <v>1010100</v>
      </c>
      <c r="P410" t="s">
        <v>29</v>
      </c>
      <c r="Q410">
        <v>200000100</v>
      </c>
      <c r="R410" t="s">
        <v>15322</v>
      </c>
      <c r="S410"/>
      <c r="T410" t="s">
        <v>15323</v>
      </c>
      <c r="U410" t="s">
        <v>1199</v>
      </c>
      <c r="V410" s="23">
        <v>0</v>
      </c>
      <c r="W410" s="23">
        <v>0</v>
      </c>
      <c r="X410" s="23">
        <v>0</v>
      </c>
      <c r="Y410"/>
      <c r="Z410">
        <v>1246275507</v>
      </c>
      <c r="AA410"/>
      <c r="AB410"/>
      <c r="AC410">
        <v>102</v>
      </c>
      <c r="AD410">
        <v>4</v>
      </c>
      <c r="AE410" t="s">
        <v>15324</v>
      </c>
      <c r="AF410"/>
      <c r="AG410" s="23"/>
      <c r="AH410" s="265" t="str">
        <f>_xlfn.XLOOKUP(G410,Clientes!I:I,Clientes!F:F)</f>
        <v>GRUPO MOSAIC FERTILIZANTES P K LTDA</v>
      </c>
    </row>
    <row r="411" spans="1:34" x14ac:dyDescent="0.25">
      <c r="A411">
        <v>161</v>
      </c>
      <c r="B411" t="s">
        <v>145</v>
      </c>
      <c r="C411"/>
      <c r="D411" s="23">
        <v>86601.42</v>
      </c>
      <c r="E411">
        <v>11508</v>
      </c>
      <c r="F411">
        <v>11</v>
      </c>
      <c r="G411">
        <v>3273</v>
      </c>
      <c r="H411" t="s">
        <v>79</v>
      </c>
      <c r="I411" s="23">
        <v>86601.42</v>
      </c>
      <c r="J411" s="185">
        <v>46168</v>
      </c>
      <c r="K411" s="185">
        <v>46168</v>
      </c>
      <c r="L411" s="185">
        <v>46196</v>
      </c>
      <c r="M411" s="185">
        <v>46192</v>
      </c>
      <c r="N411"/>
      <c r="O411">
        <v>1010100</v>
      </c>
      <c r="P411" t="s">
        <v>29</v>
      </c>
      <c r="Q411">
        <v>200000100</v>
      </c>
      <c r="R411" t="s">
        <v>15322</v>
      </c>
      <c r="S411"/>
      <c r="T411" t="s">
        <v>15323</v>
      </c>
      <c r="U411" t="s">
        <v>6311</v>
      </c>
      <c r="V411" s="23">
        <v>0</v>
      </c>
      <c r="W411" s="23">
        <v>0</v>
      </c>
      <c r="X411" s="23">
        <v>0</v>
      </c>
      <c r="Y411"/>
      <c r="Z411">
        <v>1246276989</v>
      </c>
      <c r="AA411"/>
      <c r="AB411" t="s">
        <v>1186</v>
      </c>
      <c r="AC411">
        <v>102</v>
      </c>
      <c r="AD411">
        <v>4</v>
      </c>
      <c r="AE411" t="s">
        <v>15324</v>
      </c>
      <c r="AF411"/>
      <c r="AG411" s="23"/>
      <c r="AH411" s="265" t="str">
        <f>_xlfn.XLOOKUP(G411,Clientes!I:I,Clientes!F:F)</f>
        <v>FERTIMAXI - CONCEICAO DO JACUIPE</v>
      </c>
    </row>
    <row r="412" spans="1:34" x14ac:dyDescent="0.25">
      <c r="A412">
        <v>40</v>
      </c>
      <c r="B412" t="s">
        <v>155</v>
      </c>
      <c r="C412"/>
      <c r="D412" s="23">
        <v>86689.1</v>
      </c>
      <c r="E412">
        <v>10744</v>
      </c>
      <c r="F412">
        <v>11</v>
      </c>
      <c r="G412">
        <v>11768</v>
      </c>
      <c r="H412" t="s">
        <v>274</v>
      </c>
      <c r="I412" s="23">
        <v>86689.1</v>
      </c>
      <c r="J412" s="185">
        <v>46076</v>
      </c>
      <c r="K412" s="185">
        <v>46076</v>
      </c>
      <c r="L412" s="185">
        <v>46158</v>
      </c>
      <c r="M412" s="185"/>
      <c r="N412"/>
      <c r="O412">
        <v>1010200</v>
      </c>
      <c r="P412" t="s">
        <v>113</v>
      </c>
      <c r="Q412">
        <v>200000100</v>
      </c>
      <c r="R412" t="s">
        <v>15322</v>
      </c>
      <c r="S412"/>
      <c r="T412" t="s">
        <v>15323</v>
      </c>
      <c r="U412" t="s">
        <v>1199</v>
      </c>
      <c r="V412" s="23">
        <v>0</v>
      </c>
      <c r="W412" s="23">
        <v>0</v>
      </c>
      <c r="X412" s="23">
        <v>0</v>
      </c>
      <c r="Y412"/>
      <c r="Z412">
        <v>1246264534</v>
      </c>
      <c r="AA412"/>
      <c r="AB412"/>
      <c r="AC412">
        <v>125</v>
      </c>
      <c r="AD412">
        <v>4</v>
      </c>
      <c r="AE412" t="s">
        <v>15324</v>
      </c>
      <c r="AF412" t="s">
        <v>15349</v>
      </c>
      <c r="AG412" s="23">
        <v>16670.98</v>
      </c>
      <c r="AH412" s="265" t="str">
        <f>_xlfn.XLOOKUP(G412,Clientes!I:I,Clientes!F:F)</f>
        <v>CERES PERU S.A</v>
      </c>
    </row>
    <row r="413" spans="1:34" x14ac:dyDescent="0.25">
      <c r="A413">
        <v>161</v>
      </c>
      <c r="B413" t="s">
        <v>145</v>
      </c>
      <c r="C413"/>
      <c r="D413" s="23">
        <v>90758.399999999994</v>
      </c>
      <c r="E413">
        <v>11219</v>
      </c>
      <c r="F413">
        <v>11</v>
      </c>
      <c r="G413">
        <v>2559</v>
      </c>
      <c r="H413" t="s">
        <v>451</v>
      </c>
      <c r="I413" s="23">
        <v>90758.399999999994</v>
      </c>
      <c r="J413" s="185">
        <v>46136</v>
      </c>
      <c r="K413" s="185">
        <v>46136</v>
      </c>
      <c r="L413" s="185">
        <v>46226</v>
      </c>
      <c r="M413" s="185"/>
      <c r="N413"/>
      <c r="O413">
        <v>1010100</v>
      </c>
      <c r="P413" t="s">
        <v>29</v>
      </c>
      <c r="Q413">
        <v>200000100</v>
      </c>
      <c r="R413" t="s">
        <v>15322</v>
      </c>
      <c r="S413"/>
      <c r="T413" t="s">
        <v>15323</v>
      </c>
      <c r="U413" t="s">
        <v>2073</v>
      </c>
      <c r="V413" s="23">
        <v>0</v>
      </c>
      <c r="W413" s="23">
        <v>0</v>
      </c>
      <c r="X413" s="23">
        <v>0</v>
      </c>
      <c r="Y413"/>
      <c r="Z413">
        <v>1246272595</v>
      </c>
      <c r="AA413"/>
      <c r="AB413"/>
      <c r="AC413">
        <v>102</v>
      </c>
      <c r="AD413">
        <v>4</v>
      </c>
      <c r="AE413" t="s">
        <v>15324</v>
      </c>
      <c r="AF413"/>
      <c r="AG413" s="23"/>
      <c r="AH413" s="265" t="str">
        <f>_xlfn.XLOOKUP(G413,Clientes!I:I,Clientes!F:F)</f>
        <v>GRUPO MOSAIC FERTILIZANTES DO BRASIL</v>
      </c>
    </row>
    <row r="414" spans="1:34" x14ac:dyDescent="0.25">
      <c r="A414">
        <v>161</v>
      </c>
      <c r="B414" t="s">
        <v>145</v>
      </c>
      <c r="C414"/>
      <c r="D414" s="23">
        <v>91500</v>
      </c>
      <c r="E414">
        <v>11412</v>
      </c>
      <c r="F414">
        <v>11</v>
      </c>
      <c r="G414">
        <v>7302</v>
      </c>
      <c r="H414" t="s">
        <v>93</v>
      </c>
      <c r="I414" s="23">
        <v>91500</v>
      </c>
      <c r="J414" s="185">
        <v>46157</v>
      </c>
      <c r="K414" s="185">
        <v>46157</v>
      </c>
      <c r="L414" s="185">
        <v>46247</v>
      </c>
      <c r="M414" s="185"/>
      <c r="N414"/>
      <c r="O414">
        <v>1010100</v>
      </c>
      <c r="P414" t="s">
        <v>29</v>
      </c>
      <c r="Q414">
        <v>200000100</v>
      </c>
      <c r="R414" t="s">
        <v>15322</v>
      </c>
      <c r="S414"/>
      <c r="T414" t="s">
        <v>15323</v>
      </c>
      <c r="U414" t="s">
        <v>4468</v>
      </c>
      <c r="V414" s="23">
        <v>0</v>
      </c>
      <c r="W414" s="23">
        <v>0</v>
      </c>
      <c r="X414" s="23">
        <v>0</v>
      </c>
      <c r="Y414"/>
      <c r="Z414">
        <v>1246275476</v>
      </c>
      <c r="AA414"/>
      <c r="AB414"/>
      <c r="AC414">
        <v>102</v>
      </c>
      <c r="AD414">
        <v>4</v>
      </c>
      <c r="AE414" t="s">
        <v>15324</v>
      </c>
      <c r="AF414"/>
      <c r="AG414" s="23"/>
      <c r="AH414" s="265" t="str">
        <f>_xlfn.XLOOKUP(G414,Clientes!I:I,Clientes!F:F)</f>
        <v>GRUPO MOSAIC FERTILIZANTES DO BRASIL</v>
      </c>
    </row>
    <row r="415" spans="1:34" x14ac:dyDescent="0.25">
      <c r="A415">
        <v>161</v>
      </c>
      <c r="B415" t="s">
        <v>145</v>
      </c>
      <c r="C415"/>
      <c r="D415" s="23">
        <v>91675</v>
      </c>
      <c r="E415">
        <v>2902</v>
      </c>
      <c r="F415">
        <v>13</v>
      </c>
      <c r="G415">
        <v>7662</v>
      </c>
      <c r="H415" t="s">
        <v>95</v>
      </c>
      <c r="I415" s="23">
        <v>91675</v>
      </c>
      <c r="J415" s="185">
        <v>46142</v>
      </c>
      <c r="K415" s="185">
        <v>46142</v>
      </c>
      <c r="L415" s="185">
        <v>46187</v>
      </c>
      <c r="M415" s="185">
        <v>46188</v>
      </c>
      <c r="N415"/>
      <c r="O415">
        <v>1010100</v>
      </c>
      <c r="P415" t="s">
        <v>29</v>
      </c>
      <c r="Q415">
        <v>200000100</v>
      </c>
      <c r="R415" t="s">
        <v>15322</v>
      </c>
      <c r="S415"/>
      <c r="T415" t="s">
        <v>15323</v>
      </c>
      <c r="U415" t="s">
        <v>6311</v>
      </c>
      <c r="V415" s="23">
        <v>0</v>
      </c>
      <c r="W415" s="23">
        <v>0</v>
      </c>
      <c r="X415" s="23">
        <v>0</v>
      </c>
      <c r="Y415"/>
      <c r="Z415">
        <v>1246273179</v>
      </c>
      <c r="AA415"/>
      <c r="AB415" t="s">
        <v>1186</v>
      </c>
      <c r="AC415">
        <v>102</v>
      </c>
      <c r="AD415">
        <v>4</v>
      </c>
      <c r="AE415" t="s">
        <v>15324</v>
      </c>
      <c r="AF415"/>
      <c r="AG415" s="23"/>
      <c r="AH415" s="265" t="str">
        <f>_xlfn.XLOOKUP(G415,Clientes!I:I,Clientes!F:F)</f>
        <v>BENTONIT UNIAO - CAMPINA GRANDE</v>
      </c>
    </row>
    <row r="416" spans="1:34" x14ac:dyDescent="0.25">
      <c r="A416">
        <v>161</v>
      </c>
      <c r="B416" t="s">
        <v>145</v>
      </c>
      <c r="C416"/>
      <c r="D416" s="23">
        <v>91675</v>
      </c>
      <c r="E416">
        <v>2902</v>
      </c>
      <c r="F416">
        <v>13</v>
      </c>
      <c r="G416">
        <v>7662</v>
      </c>
      <c r="H416" t="s">
        <v>95</v>
      </c>
      <c r="I416" s="23">
        <v>91675</v>
      </c>
      <c r="J416" s="185">
        <v>46142</v>
      </c>
      <c r="K416" s="185">
        <v>46142</v>
      </c>
      <c r="L416" s="185">
        <v>46202</v>
      </c>
      <c r="M416" s="185"/>
      <c r="N416"/>
      <c r="O416">
        <v>1010100</v>
      </c>
      <c r="P416" t="s">
        <v>29</v>
      </c>
      <c r="Q416">
        <v>200000100</v>
      </c>
      <c r="R416" t="s">
        <v>15322</v>
      </c>
      <c r="S416"/>
      <c r="T416" t="s">
        <v>15323</v>
      </c>
      <c r="U416" t="s">
        <v>6311</v>
      </c>
      <c r="V416" s="23">
        <v>0</v>
      </c>
      <c r="W416" s="23">
        <v>0</v>
      </c>
      <c r="X416" s="23">
        <v>0</v>
      </c>
      <c r="Y416"/>
      <c r="Z416">
        <v>1246273180</v>
      </c>
      <c r="AA416"/>
      <c r="AB416"/>
      <c r="AC416">
        <v>102</v>
      </c>
      <c r="AD416">
        <v>4</v>
      </c>
      <c r="AE416" t="s">
        <v>15324</v>
      </c>
      <c r="AF416"/>
      <c r="AG416" s="23"/>
      <c r="AH416" s="265" t="str">
        <f>_xlfn.XLOOKUP(G416,Clientes!I:I,Clientes!F:F)</f>
        <v>BENTONIT UNIAO - CAMPINA GRANDE</v>
      </c>
    </row>
    <row r="417" spans="1:34" x14ac:dyDescent="0.25">
      <c r="A417">
        <v>40</v>
      </c>
      <c r="B417" t="s">
        <v>155</v>
      </c>
      <c r="C417"/>
      <c r="D417" s="23">
        <v>91784.41</v>
      </c>
      <c r="E417">
        <v>11378</v>
      </c>
      <c r="F417">
        <v>11</v>
      </c>
      <c r="G417">
        <v>2696</v>
      </c>
      <c r="H417" t="s">
        <v>119</v>
      </c>
      <c r="I417" s="23">
        <v>91784.41</v>
      </c>
      <c r="J417" s="185">
        <v>46155</v>
      </c>
      <c r="K417" s="185">
        <v>46155</v>
      </c>
      <c r="L417" s="185">
        <v>46245</v>
      </c>
      <c r="M417" s="185"/>
      <c r="N417"/>
      <c r="O417">
        <v>1010200</v>
      </c>
      <c r="P417" t="s">
        <v>113</v>
      </c>
      <c r="Q417">
        <v>200000100</v>
      </c>
      <c r="R417" t="s">
        <v>15322</v>
      </c>
      <c r="S417"/>
      <c r="T417" t="s">
        <v>15323</v>
      </c>
      <c r="U417" t="s">
        <v>4502</v>
      </c>
      <c r="V417" s="23">
        <v>0</v>
      </c>
      <c r="W417" s="23">
        <v>0</v>
      </c>
      <c r="X417" s="23">
        <v>0</v>
      </c>
      <c r="Y417"/>
      <c r="Z417">
        <v>1246274791</v>
      </c>
      <c r="AA417"/>
      <c r="AB417"/>
      <c r="AC417">
        <v>125</v>
      </c>
      <c r="AD417">
        <v>4</v>
      </c>
      <c r="AE417" t="s">
        <v>15324</v>
      </c>
      <c r="AF417"/>
      <c r="AG417" s="23"/>
      <c r="AH417" s="265" t="str">
        <f>_xlfn.XLOOKUP(G417,Clientes!I:I,Clientes!F:F)</f>
        <v>MOSAIC FERTILIZANTES PARAGUAY S.R.L.</v>
      </c>
    </row>
    <row r="418" spans="1:34" x14ac:dyDescent="0.25">
      <c r="A418">
        <v>40</v>
      </c>
      <c r="B418" t="s">
        <v>155</v>
      </c>
      <c r="C418"/>
      <c r="D418" s="23">
        <v>92361.18</v>
      </c>
      <c r="E418">
        <v>11264</v>
      </c>
      <c r="F418">
        <v>11</v>
      </c>
      <c r="G418">
        <v>2925</v>
      </c>
      <c r="H418" t="s">
        <v>341</v>
      </c>
      <c r="I418" s="23">
        <v>92361.18</v>
      </c>
      <c r="J418" s="185">
        <v>46142</v>
      </c>
      <c r="K418" s="185">
        <v>46142</v>
      </c>
      <c r="L418" s="185">
        <v>46172</v>
      </c>
      <c r="M418" s="185">
        <v>46169</v>
      </c>
      <c r="N418"/>
      <c r="O418">
        <v>1010200</v>
      </c>
      <c r="P418" t="s">
        <v>113</v>
      </c>
      <c r="Q418">
        <v>200000100</v>
      </c>
      <c r="R418" t="s">
        <v>15322</v>
      </c>
      <c r="S418"/>
      <c r="T418" t="s">
        <v>15323</v>
      </c>
      <c r="U418" t="s">
        <v>1199</v>
      </c>
      <c r="V418" s="23">
        <v>0</v>
      </c>
      <c r="W418" s="23">
        <v>0</v>
      </c>
      <c r="X418" s="23">
        <v>0</v>
      </c>
      <c r="Y418"/>
      <c r="Z418">
        <v>1246273169</v>
      </c>
      <c r="AA418"/>
      <c r="AB418" t="s">
        <v>1199</v>
      </c>
      <c r="AC418">
        <v>125</v>
      </c>
      <c r="AD418">
        <v>4</v>
      </c>
      <c r="AE418" t="s">
        <v>15324</v>
      </c>
      <c r="AF418" t="s">
        <v>15356</v>
      </c>
      <c r="AG418" s="23">
        <v>18480</v>
      </c>
      <c r="AH418" s="265" t="str">
        <f>_xlfn.XLOOKUP(G418,Clientes!I:I,Clientes!F:F)</f>
        <v>COPEVAL - CHILE</v>
      </c>
    </row>
    <row r="419" spans="1:34" x14ac:dyDescent="0.25">
      <c r="A419">
        <v>161</v>
      </c>
      <c r="B419" t="s">
        <v>145</v>
      </c>
      <c r="C419"/>
      <c r="D419" s="23">
        <v>92887.01</v>
      </c>
      <c r="E419">
        <v>11415</v>
      </c>
      <c r="F419">
        <v>11</v>
      </c>
      <c r="G419">
        <v>456</v>
      </c>
      <c r="H419" t="s">
        <v>312</v>
      </c>
      <c r="I419" s="23">
        <v>92887.01</v>
      </c>
      <c r="J419" s="185">
        <v>46157</v>
      </c>
      <c r="K419" s="185">
        <v>46157</v>
      </c>
      <c r="L419" s="185">
        <v>46185</v>
      </c>
      <c r="M419" s="185">
        <v>46185</v>
      </c>
      <c r="N419"/>
      <c r="O419">
        <v>1010100</v>
      </c>
      <c r="P419" t="s">
        <v>29</v>
      </c>
      <c r="Q419">
        <v>200000100</v>
      </c>
      <c r="R419" t="s">
        <v>15322</v>
      </c>
      <c r="S419"/>
      <c r="T419" t="s">
        <v>15323</v>
      </c>
      <c r="U419" t="s">
        <v>5803</v>
      </c>
      <c r="V419" s="23">
        <v>0</v>
      </c>
      <c r="W419" s="23">
        <v>0</v>
      </c>
      <c r="X419" s="23">
        <v>0</v>
      </c>
      <c r="Y419"/>
      <c r="Z419">
        <v>1246275497</v>
      </c>
      <c r="AA419"/>
      <c r="AB419" t="s">
        <v>1199</v>
      </c>
      <c r="AC419">
        <v>102</v>
      </c>
      <c r="AD419">
        <v>4</v>
      </c>
      <c r="AE419" t="s">
        <v>15324</v>
      </c>
      <c r="AF419"/>
      <c r="AG419" s="23"/>
      <c r="AH419" s="265" t="str">
        <f>_xlfn.XLOOKUP(G419,Clientes!I:I,Clientes!F:F)</f>
        <v>GRUPO FERTIPAR FERTILIZANTES DO NORDESTE</v>
      </c>
    </row>
    <row r="420" spans="1:34" x14ac:dyDescent="0.25">
      <c r="A420">
        <v>161</v>
      </c>
      <c r="B420" t="s">
        <v>145</v>
      </c>
      <c r="C420"/>
      <c r="D420" s="23">
        <v>92903</v>
      </c>
      <c r="E420">
        <v>11413</v>
      </c>
      <c r="F420">
        <v>11</v>
      </c>
      <c r="G420">
        <v>6477</v>
      </c>
      <c r="H420" t="s">
        <v>87</v>
      </c>
      <c r="I420" s="23">
        <v>92903</v>
      </c>
      <c r="J420" s="185">
        <v>46157</v>
      </c>
      <c r="K420" s="185">
        <v>46157</v>
      </c>
      <c r="L420" s="185">
        <v>46247</v>
      </c>
      <c r="M420" s="185"/>
      <c r="N420"/>
      <c r="O420">
        <v>1010100</v>
      </c>
      <c r="P420" t="s">
        <v>29</v>
      </c>
      <c r="Q420">
        <v>200000100</v>
      </c>
      <c r="R420" t="s">
        <v>15322</v>
      </c>
      <c r="S420"/>
      <c r="T420" t="s">
        <v>15323</v>
      </c>
      <c r="U420" t="s">
        <v>4468</v>
      </c>
      <c r="V420" s="23">
        <v>0</v>
      </c>
      <c r="W420" s="23">
        <v>0</v>
      </c>
      <c r="X420" s="23">
        <v>0</v>
      </c>
      <c r="Y420"/>
      <c r="Z420">
        <v>1246275478</v>
      </c>
      <c r="AA420"/>
      <c r="AB420"/>
      <c r="AC420">
        <v>102</v>
      </c>
      <c r="AD420">
        <v>4</v>
      </c>
      <c r="AE420" t="s">
        <v>15324</v>
      </c>
      <c r="AF420"/>
      <c r="AG420" s="23"/>
      <c r="AH420" s="265" t="str">
        <f>_xlfn.XLOOKUP(G420,Clientes!I:I,Clientes!F:F)</f>
        <v>GRUPO MOSAIC FERTILIZANTES DO BRASIL</v>
      </c>
    </row>
    <row r="421" spans="1:34" x14ac:dyDescent="0.25">
      <c r="A421">
        <v>161</v>
      </c>
      <c r="B421" t="s">
        <v>145</v>
      </c>
      <c r="C421"/>
      <c r="D421" s="23">
        <v>92978.1</v>
      </c>
      <c r="E421">
        <v>10906</v>
      </c>
      <c r="F421">
        <v>11</v>
      </c>
      <c r="G421">
        <v>214</v>
      </c>
      <c r="H421" t="s">
        <v>149</v>
      </c>
      <c r="I421" s="23">
        <v>92978.1</v>
      </c>
      <c r="J421" s="185">
        <v>46098</v>
      </c>
      <c r="K421" s="185">
        <v>46098</v>
      </c>
      <c r="L421" s="185">
        <v>46126</v>
      </c>
      <c r="M421" s="185">
        <v>46122</v>
      </c>
      <c r="N421"/>
      <c r="O421">
        <v>1010100</v>
      </c>
      <c r="P421" t="s">
        <v>29</v>
      </c>
      <c r="Q421">
        <v>200000100</v>
      </c>
      <c r="R421" t="s">
        <v>15322</v>
      </c>
      <c r="S421"/>
      <c r="T421" t="s">
        <v>15323</v>
      </c>
      <c r="U421" t="s">
        <v>6311</v>
      </c>
      <c r="V421" s="23">
        <v>0</v>
      </c>
      <c r="W421" s="23">
        <v>0</v>
      </c>
      <c r="X421" s="23">
        <v>0</v>
      </c>
      <c r="Y421"/>
      <c r="Z421">
        <v>1246267981</v>
      </c>
      <c r="AA421"/>
      <c r="AB421" t="s">
        <v>1186</v>
      </c>
      <c r="AC421">
        <v>102</v>
      </c>
      <c r="AD421">
        <v>4</v>
      </c>
      <c r="AE421" t="s">
        <v>15324</v>
      </c>
      <c r="AF421"/>
      <c r="AG421" s="23"/>
      <c r="AH421" s="265" t="str">
        <f>_xlfn.XLOOKUP(G421,Clientes!I:I,Clientes!F:F)</f>
        <v>GRUPO UNIFERTIL</v>
      </c>
    </row>
    <row r="422" spans="1:34" x14ac:dyDescent="0.25">
      <c r="A422">
        <v>161</v>
      </c>
      <c r="B422" t="s">
        <v>145</v>
      </c>
      <c r="C422"/>
      <c r="D422" s="23">
        <v>93906.5</v>
      </c>
      <c r="E422">
        <v>11359</v>
      </c>
      <c r="F422">
        <v>11</v>
      </c>
      <c r="G422">
        <v>1953</v>
      </c>
      <c r="H422" t="s">
        <v>66</v>
      </c>
      <c r="I422" s="23">
        <v>93906.5</v>
      </c>
      <c r="J422" s="185">
        <v>46154</v>
      </c>
      <c r="K422" s="185">
        <v>46154</v>
      </c>
      <c r="L422" s="185">
        <v>46214</v>
      </c>
      <c r="M422" s="185"/>
      <c r="N422"/>
      <c r="O422">
        <v>1010100</v>
      </c>
      <c r="P422" t="s">
        <v>29</v>
      </c>
      <c r="Q422">
        <v>200000100</v>
      </c>
      <c r="R422" t="s">
        <v>15322</v>
      </c>
      <c r="S422"/>
      <c r="T422" t="s">
        <v>15323</v>
      </c>
      <c r="U422" t="s">
        <v>5803</v>
      </c>
      <c r="V422" s="23">
        <v>0</v>
      </c>
      <c r="W422" s="23">
        <v>0</v>
      </c>
      <c r="X422" s="23">
        <v>0</v>
      </c>
      <c r="Y422"/>
      <c r="Z422">
        <v>1246274539</v>
      </c>
      <c r="AA422"/>
      <c r="AB422"/>
      <c r="AC422">
        <v>102</v>
      </c>
      <c r="AD422">
        <v>4</v>
      </c>
      <c r="AE422" t="s">
        <v>15324</v>
      </c>
      <c r="AF422"/>
      <c r="AG422" s="23"/>
      <c r="AH422" s="265" t="str">
        <f>_xlfn.XLOOKUP(G422,Clientes!I:I,Clientes!F:F)</f>
        <v>GRUPO AMAGGI</v>
      </c>
    </row>
    <row r="423" spans="1:34" x14ac:dyDescent="0.25">
      <c r="A423">
        <v>161</v>
      </c>
      <c r="B423" t="s">
        <v>145</v>
      </c>
      <c r="C423"/>
      <c r="D423" s="23">
        <v>94005.19</v>
      </c>
      <c r="E423">
        <v>10623</v>
      </c>
      <c r="F423">
        <v>11</v>
      </c>
      <c r="G423">
        <v>17407</v>
      </c>
      <c r="H423" t="s">
        <v>11003</v>
      </c>
      <c r="I423" s="23">
        <v>94005.19</v>
      </c>
      <c r="J423" s="185">
        <v>46055</v>
      </c>
      <c r="K423" s="185">
        <v>46055</v>
      </c>
      <c r="L423" s="185">
        <v>46055</v>
      </c>
      <c r="M423" s="185">
        <v>46055</v>
      </c>
      <c r="N423"/>
      <c r="O423">
        <v>1010100</v>
      </c>
      <c r="P423" t="s">
        <v>29</v>
      </c>
      <c r="Q423">
        <v>200000200</v>
      </c>
      <c r="R423" t="s">
        <v>15377</v>
      </c>
      <c r="S423"/>
      <c r="T423" t="s">
        <v>15323</v>
      </c>
      <c r="U423" t="s">
        <v>4468</v>
      </c>
      <c r="V423" s="23">
        <v>0</v>
      </c>
      <c r="W423" s="23">
        <v>0</v>
      </c>
      <c r="X423" s="23">
        <v>0</v>
      </c>
      <c r="Y423"/>
      <c r="Z423">
        <v>1246262005</v>
      </c>
      <c r="AA423"/>
      <c r="AB423" t="s">
        <v>1199</v>
      </c>
      <c r="AC423">
        <v>18</v>
      </c>
      <c r="AD423">
        <v>4</v>
      </c>
      <c r="AE423" t="s">
        <v>15324</v>
      </c>
      <c r="AF423"/>
      <c r="AG423" s="23"/>
      <c r="AH423" s="265" t="str">
        <f>_xlfn.XLOOKUP(G423,Clientes!I:I,Clientes!F:F)</f>
        <v>PROCER</v>
      </c>
    </row>
    <row r="424" spans="1:34" x14ac:dyDescent="0.25">
      <c r="A424">
        <v>40</v>
      </c>
      <c r="B424" t="s">
        <v>155</v>
      </c>
      <c r="C424"/>
      <c r="D424" s="23">
        <v>94148.95</v>
      </c>
      <c r="E424">
        <v>11712</v>
      </c>
      <c r="F424">
        <v>11</v>
      </c>
      <c r="G424">
        <v>2696</v>
      </c>
      <c r="H424" t="s">
        <v>119</v>
      </c>
      <c r="I424" s="23">
        <v>94148.95</v>
      </c>
      <c r="J424" s="185">
        <v>46188</v>
      </c>
      <c r="K424" s="185">
        <v>46188</v>
      </c>
      <c r="L424" s="185">
        <v>46278</v>
      </c>
      <c r="M424" s="185"/>
      <c r="N424"/>
      <c r="O424">
        <v>1010200</v>
      </c>
      <c r="P424" t="s">
        <v>113</v>
      </c>
      <c r="Q424">
        <v>200000100</v>
      </c>
      <c r="R424" t="s">
        <v>15322</v>
      </c>
      <c r="S424"/>
      <c r="T424" t="s">
        <v>15323</v>
      </c>
      <c r="U424" t="s">
        <v>4502</v>
      </c>
      <c r="V424" s="23">
        <v>0</v>
      </c>
      <c r="W424" s="23">
        <v>0</v>
      </c>
      <c r="X424" s="23">
        <v>0</v>
      </c>
      <c r="Y424"/>
      <c r="Z424">
        <v>1246279520</v>
      </c>
      <c r="AA424"/>
      <c r="AB424"/>
      <c r="AC424">
        <v>102</v>
      </c>
      <c r="AD424">
        <v>4</v>
      </c>
      <c r="AE424" t="s">
        <v>15324</v>
      </c>
      <c r="AF424"/>
      <c r="AG424" s="23"/>
      <c r="AH424" s="265" t="str">
        <f>_xlfn.XLOOKUP(G424,Clientes!I:I,Clientes!F:F)</f>
        <v>MOSAIC FERTILIZANTES PARAGUAY S.R.L.</v>
      </c>
    </row>
    <row r="425" spans="1:34" x14ac:dyDescent="0.25">
      <c r="A425">
        <v>161</v>
      </c>
      <c r="B425" t="s">
        <v>145</v>
      </c>
      <c r="C425"/>
      <c r="D425" s="23">
        <v>94346</v>
      </c>
      <c r="E425">
        <v>11262</v>
      </c>
      <c r="F425">
        <v>11</v>
      </c>
      <c r="G425">
        <v>8413</v>
      </c>
      <c r="H425" t="s">
        <v>97</v>
      </c>
      <c r="I425" s="23">
        <v>94346</v>
      </c>
      <c r="J425" s="185">
        <v>46141</v>
      </c>
      <c r="K425" s="185">
        <v>46141</v>
      </c>
      <c r="L425" s="185">
        <v>46201</v>
      </c>
      <c r="M425" s="185"/>
      <c r="N425"/>
      <c r="O425">
        <v>1010100</v>
      </c>
      <c r="P425" t="s">
        <v>29</v>
      </c>
      <c r="Q425">
        <v>200000100</v>
      </c>
      <c r="R425" t="s">
        <v>15322</v>
      </c>
      <c r="S425"/>
      <c r="T425" t="s">
        <v>15323</v>
      </c>
      <c r="U425" t="s">
        <v>1530</v>
      </c>
      <c r="V425" s="23">
        <v>0</v>
      </c>
      <c r="W425" s="23">
        <v>0</v>
      </c>
      <c r="X425" s="23">
        <v>0</v>
      </c>
      <c r="Y425"/>
      <c r="Z425">
        <v>1246273107</v>
      </c>
      <c r="AA425"/>
      <c r="AB425"/>
      <c r="AC425">
        <v>102</v>
      </c>
      <c r="AD425">
        <v>4</v>
      </c>
      <c r="AE425" t="s">
        <v>15324</v>
      </c>
      <c r="AF425"/>
      <c r="AG425" s="23"/>
      <c r="AH425" s="265" t="str">
        <f>_xlfn.XLOOKUP(G425,Clientes!I:I,Clientes!F:F)</f>
        <v>GRUPO AMAGGI</v>
      </c>
    </row>
    <row r="426" spans="1:34" x14ac:dyDescent="0.25">
      <c r="A426">
        <v>40</v>
      </c>
      <c r="B426" t="s">
        <v>155</v>
      </c>
      <c r="C426"/>
      <c r="D426" s="23">
        <v>94619.53</v>
      </c>
      <c r="E426">
        <v>10630</v>
      </c>
      <c r="F426">
        <v>11</v>
      </c>
      <c r="G426">
        <v>2696</v>
      </c>
      <c r="H426" t="s">
        <v>119</v>
      </c>
      <c r="I426" s="23">
        <v>94619.53</v>
      </c>
      <c r="J426" s="185">
        <v>46056</v>
      </c>
      <c r="K426" s="185">
        <v>46056</v>
      </c>
      <c r="L426" s="185">
        <v>46116</v>
      </c>
      <c r="M426" s="185">
        <v>46121</v>
      </c>
      <c r="N426"/>
      <c r="O426">
        <v>1010200</v>
      </c>
      <c r="P426" t="s">
        <v>113</v>
      </c>
      <c r="Q426">
        <v>200000100</v>
      </c>
      <c r="R426" t="s">
        <v>15322</v>
      </c>
      <c r="S426"/>
      <c r="T426" t="s">
        <v>15323</v>
      </c>
      <c r="U426" t="s">
        <v>1199</v>
      </c>
      <c r="V426" s="23">
        <v>0</v>
      </c>
      <c r="W426" s="23">
        <v>0</v>
      </c>
      <c r="X426" s="23">
        <v>0</v>
      </c>
      <c r="Y426"/>
      <c r="Z426">
        <v>1246262122</v>
      </c>
      <c r="AA426"/>
      <c r="AB426" t="s">
        <v>1199</v>
      </c>
      <c r="AC426">
        <v>125</v>
      </c>
      <c r="AD426">
        <v>4</v>
      </c>
      <c r="AE426" t="s">
        <v>15324</v>
      </c>
      <c r="AF426" t="s">
        <v>15367</v>
      </c>
      <c r="AG426" s="23">
        <v>17995</v>
      </c>
      <c r="AH426" s="265" t="str">
        <f>_xlfn.XLOOKUP(G426,Clientes!I:I,Clientes!F:F)</f>
        <v>MOSAIC FERTILIZANTES PARAGUAY S.R.L.</v>
      </c>
    </row>
    <row r="427" spans="1:34" x14ac:dyDescent="0.25">
      <c r="A427">
        <v>161</v>
      </c>
      <c r="B427" t="s">
        <v>145</v>
      </c>
      <c r="C427"/>
      <c r="D427" s="23">
        <v>95091.8</v>
      </c>
      <c r="E427">
        <v>11623</v>
      </c>
      <c r="F427">
        <v>11</v>
      </c>
      <c r="G427">
        <v>97</v>
      </c>
      <c r="H427" t="s">
        <v>300</v>
      </c>
      <c r="I427" s="23">
        <v>95091.8</v>
      </c>
      <c r="J427" s="185">
        <v>46178</v>
      </c>
      <c r="K427" s="185">
        <v>46178</v>
      </c>
      <c r="L427" s="185">
        <v>46206</v>
      </c>
      <c r="M427" s="185"/>
      <c r="N427"/>
      <c r="O427">
        <v>1010100</v>
      </c>
      <c r="P427" t="s">
        <v>29</v>
      </c>
      <c r="Q427">
        <v>200000100</v>
      </c>
      <c r="R427" t="s">
        <v>15322</v>
      </c>
      <c r="S427"/>
      <c r="T427" t="s">
        <v>15323</v>
      </c>
      <c r="U427" t="s">
        <v>1964</v>
      </c>
      <c r="V427" s="23">
        <v>0</v>
      </c>
      <c r="W427" s="23">
        <v>0</v>
      </c>
      <c r="X427" s="23">
        <v>0</v>
      </c>
      <c r="Y427"/>
      <c r="Z427">
        <v>1246278416</v>
      </c>
      <c r="AA427"/>
      <c r="AB427"/>
      <c r="AC427">
        <v>102</v>
      </c>
      <c r="AD427">
        <v>4</v>
      </c>
      <c r="AE427" t="s">
        <v>15324</v>
      </c>
      <c r="AF427"/>
      <c r="AG427" s="23"/>
      <c r="AH427" s="265" t="str">
        <f>_xlfn.XLOOKUP(G427,Clientes!I:I,Clientes!F:F)</f>
        <v>FECOAGRO FEDERACAO DAS COOPERATIVAS</v>
      </c>
    </row>
    <row r="428" spans="1:34" x14ac:dyDescent="0.25">
      <c r="A428">
        <v>161</v>
      </c>
      <c r="B428" t="s">
        <v>145</v>
      </c>
      <c r="C428"/>
      <c r="D428" s="23">
        <v>95360</v>
      </c>
      <c r="E428">
        <v>11441</v>
      </c>
      <c r="F428">
        <v>11</v>
      </c>
      <c r="G428">
        <v>97</v>
      </c>
      <c r="H428" t="s">
        <v>300</v>
      </c>
      <c r="I428" s="23">
        <v>95360</v>
      </c>
      <c r="J428" s="185">
        <v>46161</v>
      </c>
      <c r="K428" s="185">
        <v>46161</v>
      </c>
      <c r="L428" s="185">
        <v>46189</v>
      </c>
      <c r="M428" s="185">
        <v>46189</v>
      </c>
      <c r="N428"/>
      <c r="O428">
        <v>1010100</v>
      </c>
      <c r="P428" t="s">
        <v>29</v>
      </c>
      <c r="Q428">
        <v>200000100</v>
      </c>
      <c r="R428" t="s">
        <v>15322</v>
      </c>
      <c r="S428"/>
      <c r="T428" t="s">
        <v>15323</v>
      </c>
      <c r="U428" t="s">
        <v>6311</v>
      </c>
      <c r="V428" s="23">
        <v>0</v>
      </c>
      <c r="W428" s="23">
        <v>0</v>
      </c>
      <c r="X428" s="23">
        <v>0</v>
      </c>
      <c r="Y428"/>
      <c r="Z428">
        <v>1246275790</v>
      </c>
      <c r="AA428"/>
      <c r="AB428" t="s">
        <v>1186</v>
      </c>
      <c r="AC428">
        <v>102</v>
      </c>
      <c r="AD428">
        <v>4</v>
      </c>
      <c r="AE428" t="s">
        <v>15324</v>
      </c>
      <c r="AF428"/>
      <c r="AG428" s="23"/>
      <c r="AH428" s="265" t="str">
        <f>_xlfn.XLOOKUP(G428,Clientes!I:I,Clientes!F:F)</f>
        <v>FECOAGRO FEDERACAO DAS COOPERATIVAS</v>
      </c>
    </row>
    <row r="429" spans="1:34" x14ac:dyDescent="0.25">
      <c r="A429">
        <v>161</v>
      </c>
      <c r="B429" t="s">
        <v>145</v>
      </c>
      <c r="C429"/>
      <c r="D429" s="23">
        <v>95449.4</v>
      </c>
      <c r="E429">
        <v>10499</v>
      </c>
      <c r="F429">
        <v>11</v>
      </c>
      <c r="G429">
        <v>97</v>
      </c>
      <c r="H429" t="s">
        <v>300</v>
      </c>
      <c r="I429" s="23">
        <v>95449.4</v>
      </c>
      <c r="J429" s="185">
        <v>46038</v>
      </c>
      <c r="K429" s="185">
        <v>46038</v>
      </c>
      <c r="L429" s="185">
        <v>46066</v>
      </c>
      <c r="M429" s="185">
        <v>46065</v>
      </c>
      <c r="N429"/>
      <c r="O429">
        <v>1010100</v>
      </c>
      <c r="P429" t="s">
        <v>29</v>
      </c>
      <c r="Q429">
        <v>200000100</v>
      </c>
      <c r="R429" t="s">
        <v>15322</v>
      </c>
      <c r="S429"/>
      <c r="T429" t="s">
        <v>15323</v>
      </c>
      <c r="U429" t="s">
        <v>6311</v>
      </c>
      <c r="V429" s="23">
        <v>0</v>
      </c>
      <c r="W429" s="23">
        <v>0</v>
      </c>
      <c r="X429" s="23">
        <v>0</v>
      </c>
      <c r="Y429"/>
      <c r="Z429">
        <v>1246259686</v>
      </c>
      <c r="AA429"/>
      <c r="AB429" t="s">
        <v>1186</v>
      </c>
      <c r="AC429">
        <v>102</v>
      </c>
      <c r="AD429">
        <v>4</v>
      </c>
      <c r="AE429" t="s">
        <v>15324</v>
      </c>
      <c r="AF429"/>
      <c r="AG429" s="23"/>
      <c r="AH429" s="265" t="str">
        <f>_xlfn.XLOOKUP(G429,Clientes!I:I,Clientes!F:F)</f>
        <v>FECOAGRO FEDERACAO DAS COOPERATIVAS</v>
      </c>
    </row>
    <row r="430" spans="1:34" x14ac:dyDescent="0.25">
      <c r="A430">
        <v>161</v>
      </c>
      <c r="B430" t="s">
        <v>145</v>
      </c>
      <c r="C430"/>
      <c r="D430" s="23">
        <v>95687.8</v>
      </c>
      <c r="E430">
        <v>11255</v>
      </c>
      <c r="F430">
        <v>11</v>
      </c>
      <c r="G430">
        <v>97</v>
      </c>
      <c r="H430" t="s">
        <v>300</v>
      </c>
      <c r="I430" s="23">
        <v>95687.8</v>
      </c>
      <c r="J430" s="185">
        <v>46141</v>
      </c>
      <c r="K430" s="185">
        <v>46141</v>
      </c>
      <c r="L430" s="185">
        <v>46169</v>
      </c>
      <c r="M430" s="185">
        <v>46169</v>
      </c>
      <c r="N430"/>
      <c r="O430">
        <v>1010100</v>
      </c>
      <c r="P430" t="s">
        <v>29</v>
      </c>
      <c r="Q430">
        <v>200000100</v>
      </c>
      <c r="R430" t="s">
        <v>15322</v>
      </c>
      <c r="S430"/>
      <c r="T430" t="s">
        <v>15323</v>
      </c>
      <c r="U430" t="s">
        <v>6311</v>
      </c>
      <c r="V430" s="23">
        <v>0</v>
      </c>
      <c r="W430" s="23">
        <v>0</v>
      </c>
      <c r="X430" s="23">
        <v>0</v>
      </c>
      <c r="Y430"/>
      <c r="Z430">
        <v>1246273059</v>
      </c>
      <c r="AA430"/>
      <c r="AB430" t="s">
        <v>1186</v>
      </c>
      <c r="AC430">
        <v>102</v>
      </c>
      <c r="AD430">
        <v>4</v>
      </c>
      <c r="AE430" t="s">
        <v>15324</v>
      </c>
      <c r="AF430"/>
      <c r="AG430" s="23"/>
      <c r="AH430" s="265" t="str">
        <f>_xlfn.XLOOKUP(G430,Clientes!I:I,Clientes!F:F)</f>
        <v>FECOAGRO FEDERACAO DAS COOPERATIVAS</v>
      </c>
    </row>
    <row r="431" spans="1:34" x14ac:dyDescent="0.25">
      <c r="A431">
        <v>161</v>
      </c>
      <c r="B431" t="s">
        <v>145</v>
      </c>
      <c r="C431"/>
      <c r="D431" s="23">
        <v>95687.8</v>
      </c>
      <c r="E431">
        <v>11703</v>
      </c>
      <c r="F431">
        <v>11</v>
      </c>
      <c r="G431">
        <v>97</v>
      </c>
      <c r="H431" t="s">
        <v>300</v>
      </c>
      <c r="I431" s="23">
        <v>95687.8</v>
      </c>
      <c r="J431" s="185">
        <v>46185</v>
      </c>
      <c r="K431" s="185">
        <v>46185</v>
      </c>
      <c r="L431" s="185">
        <v>46213</v>
      </c>
      <c r="M431" s="185"/>
      <c r="N431"/>
      <c r="O431">
        <v>1010100</v>
      </c>
      <c r="P431" t="s">
        <v>29</v>
      </c>
      <c r="Q431">
        <v>200000100</v>
      </c>
      <c r="R431" t="s">
        <v>15322</v>
      </c>
      <c r="S431"/>
      <c r="T431" t="s">
        <v>15323</v>
      </c>
      <c r="U431" t="s">
        <v>6311</v>
      </c>
      <c r="V431" s="23">
        <v>0</v>
      </c>
      <c r="W431" s="23">
        <v>0</v>
      </c>
      <c r="X431" s="23">
        <v>0</v>
      </c>
      <c r="Y431"/>
      <c r="Z431">
        <v>1246279396</v>
      </c>
      <c r="AA431"/>
      <c r="AB431"/>
      <c r="AC431">
        <v>102</v>
      </c>
      <c r="AD431">
        <v>4</v>
      </c>
      <c r="AE431" t="s">
        <v>15324</v>
      </c>
      <c r="AF431"/>
      <c r="AG431" s="23"/>
      <c r="AH431" s="265" t="str">
        <f>_xlfn.XLOOKUP(G431,Clientes!I:I,Clientes!F:F)</f>
        <v>FECOAGRO FEDERACAO DAS COOPERATIVAS</v>
      </c>
    </row>
    <row r="432" spans="1:34" x14ac:dyDescent="0.25">
      <c r="A432">
        <v>161</v>
      </c>
      <c r="B432" t="s">
        <v>145</v>
      </c>
      <c r="C432"/>
      <c r="D432" s="23">
        <v>95717.6</v>
      </c>
      <c r="E432">
        <v>11572</v>
      </c>
      <c r="F432">
        <v>11</v>
      </c>
      <c r="G432">
        <v>97</v>
      </c>
      <c r="H432" t="s">
        <v>300</v>
      </c>
      <c r="I432" s="23">
        <v>95717.6</v>
      </c>
      <c r="J432" s="185">
        <v>46174</v>
      </c>
      <c r="K432" s="185">
        <v>46174</v>
      </c>
      <c r="L432" s="185">
        <v>46202</v>
      </c>
      <c r="M432" s="185"/>
      <c r="N432"/>
      <c r="O432">
        <v>1010100</v>
      </c>
      <c r="P432" t="s">
        <v>29</v>
      </c>
      <c r="Q432">
        <v>200000100</v>
      </c>
      <c r="R432" t="s">
        <v>15322</v>
      </c>
      <c r="S432"/>
      <c r="T432" t="s">
        <v>15323</v>
      </c>
      <c r="U432" t="s">
        <v>4468</v>
      </c>
      <c r="V432" s="23">
        <v>0</v>
      </c>
      <c r="W432" s="23">
        <v>0</v>
      </c>
      <c r="X432" s="23">
        <v>0</v>
      </c>
      <c r="Y432"/>
      <c r="Z432">
        <v>1246277597</v>
      </c>
      <c r="AA432"/>
      <c r="AB432"/>
      <c r="AC432">
        <v>102</v>
      </c>
      <c r="AD432">
        <v>4</v>
      </c>
      <c r="AE432" t="s">
        <v>15324</v>
      </c>
      <c r="AF432"/>
      <c r="AG432" s="23"/>
      <c r="AH432" s="265" t="str">
        <f>_xlfn.XLOOKUP(G432,Clientes!I:I,Clientes!F:F)</f>
        <v>FECOAGRO FEDERACAO DAS COOPERATIVAS</v>
      </c>
    </row>
    <row r="433" spans="1:34" x14ac:dyDescent="0.25">
      <c r="A433">
        <v>161</v>
      </c>
      <c r="B433" t="s">
        <v>145</v>
      </c>
      <c r="C433"/>
      <c r="D433" s="23">
        <v>95807</v>
      </c>
      <c r="E433">
        <v>11417</v>
      </c>
      <c r="F433">
        <v>11</v>
      </c>
      <c r="G433">
        <v>97</v>
      </c>
      <c r="H433" t="s">
        <v>300</v>
      </c>
      <c r="I433" s="23">
        <v>95807</v>
      </c>
      <c r="J433" s="185">
        <v>46157</v>
      </c>
      <c r="K433" s="185">
        <v>46157</v>
      </c>
      <c r="L433" s="185">
        <v>46185</v>
      </c>
      <c r="M433" s="185">
        <v>46185</v>
      </c>
      <c r="N433"/>
      <c r="O433">
        <v>1010100</v>
      </c>
      <c r="P433" t="s">
        <v>29</v>
      </c>
      <c r="Q433">
        <v>200000100</v>
      </c>
      <c r="R433" t="s">
        <v>15322</v>
      </c>
      <c r="S433"/>
      <c r="T433" t="s">
        <v>15323</v>
      </c>
      <c r="U433" t="s">
        <v>6311</v>
      </c>
      <c r="V433" s="23">
        <v>0</v>
      </c>
      <c r="W433" s="23">
        <v>0</v>
      </c>
      <c r="X433" s="23">
        <v>0</v>
      </c>
      <c r="Y433"/>
      <c r="Z433">
        <v>1246275509</v>
      </c>
      <c r="AA433"/>
      <c r="AB433" t="s">
        <v>1186</v>
      </c>
      <c r="AC433">
        <v>102</v>
      </c>
      <c r="AD433">
        <v>4</v>
      </c>
      <c r="AE433" t="s">
        <v>15324</v>
      </c>
      <c r="AF433"/>
      <c r="AG433" s="23"/>
      <c r="AH433" s="265" t="str">
        <f>_xlfn.XLOOKUP(G433,Clientes!I:I,Clientes!F:F)</f>
        <v>FECOAGRO FEDERACAO DAS COOPERATIVAS</v>
      </c>
    </row>
    <row r="434" spans="1:34" x14ac:dyDescent="0.25">
      <c r="A434">
        <v>161</v>
      </c>
      <c r="B434" t="s">
        <v>145</v>
      </c>
      <c r="C434"/>
      <c r="D434" s="23">
        <v>95926.2</v>
      </c>
      <c r="E434">
        <v>11351</v>
      </c>
      <c r="F434">
        <v>11</v>
      </c>
      <c r="G434">
        <v>97</v>
      </c>
      <c r="H434" t="s">
        <v>300</v>
      </c>
      <c r="I434" s="23">
        <v>95926.2</v>
      </c>
      <c r="J434" s="185">
        <v>46153</v>
      </c>
      <c r="K434" s="185">
        <v>46153</v>
      </c>
      <c r="L434" s="185">
        <v>46181</v>
      </c>
      <c r="M434" s="185">
        <v>46181</v>
      </c>
      <c r="N434"/>
      <c r="O434">
        <v>1010100</v>
      </c>
      <c r="P434" t="s">
        <v>29</v>
      </c>
      <c r="Q434">
        <v>200000100</v>
      </c>
      <c r="R434" t="s">
        <v>15322</v>
      </c>
      <c r="S434"/>
      <c r="T434" t="s">
        <v>15323</v>
      </c>
      <c r="U434" t="s">
        <v>6311</v>
      </c>
      <c r="V434" s="23">
        <v>0</v>
      </c>
      <c r="W434" s="23">
        <v>0</v>
      </c>
      <c r="X434" s="23">
        <v>0</v>
      </c>
      <c r="Y434"/>
      <c r="Z434">
        <v>1246274444</v>
      </c>
      <c r="AA434"/>
      <c r="AB434" t="s">
        <v>1186</v>
      </c>
      <c r="AC434">
        <v>102</v>
      </c>
      <c r="AD434">
        <v>4</v>
      </c>
      <c r="AE434" t="s">
        <v>15324</v>
      </c>
      <c r="AF434"/>
      <c r="AG434" s="23"/>
      <c r="AH434" s="265" t="str">
        <f>_xlfn.XLOOKUP(G434,Clientes!I:I,Clientes!F:F)</f>
        <v>FECOAGRO FEDERACAO DAS COOPERATIVAS</v>
      </c>
    </row>
    <row r="435" spans="1:34" x14ac:dyDescent="0.25">
      <c r="A435">
        <v>161</v>
      </c>
      <c r="B435" t="s">
        <v>145</v>
      </c>
      <c r="C435"/>
      <c r="D435" s="23">
        <v>95985.8</v>
      </c>
      <c r="E435">
        <v>11495</v>
      </c>
      <c r="F435">
        <v>11</v>
      </c>
      <c r="G435">
        <v>97</v>
      </c>
      <c r="H435" t="s">
        <v>300</v>
      </c>
      <c r="I435" s="23">
        <v>95985.8</v>
      </c>
      <c r="J435" s="185">
        <v>46167</v>
      </c>
      <c r="K435" s="185">
        <v>46167</v>
      </c>
      <c r="L435" s="185">
        <v>46195</v>
      </c>
      <c r="M435" s="185">
        <v>46195</v>
      </c>
      <c r="N435"/>
      <c r="O435">
        <v>1010100</v>
      </c>
      <c r="P435" t="s">
        <v>29</v>
      </c>
      <c r="Q435">
        <v>200000100</v>
      </c>
      <c r="R435" t="s">
        <v>15322</v>
      </c>
      <c r="S435"/>
      <c r="T435" t="s">
        <v>15323</v>
      </c>
      <c r="U435" t="s">
        <v>6311</v>
      </c>
      <c r="V435" s="23">
        <v>0</v>
      </c>
      <c r="W435" s="23">
        <v>0</v>
      </c>
      <c r="X435" s="23">
        <v>0</v>
      </c>
      <c r="Y435"/>
      <c r="Z435">
        <v>1246276717</v>
      </c>
      <c r="AA435"/>
      <c r="AB435" t="s">
        <v>1186</v>
      </c>
      <c r="AC435">
        <v>102</v>
      </c>
      <c r="AD435">
        <v>4</v>
      </c>
      <c r="AE435" t="s">
        <v>15324</v>
      </c>
      <c r="AF435"/>
      <c r="AG435" s="23"/>
      <c r="AH435" s="265" t="str">
        <f>_xlfn.XLOOKUP(G435,Clientes!I:I,Clientes!F:F)</f>
        <v>FECOAGRO FEDERACAO DAS COOPERATIVAS</v>
      </c>
    </row>
    <row r="436" spans="1:34" x14ac:dyDescent="0.25">
      <c r="A436">
        <v>161</v>
      </c>
      <c r="B436" t="s">
        <v>145</v>
      </c>
      <c r="C436"/>
      <c r="D436" s="23">
        <v>96194.4</v>
      </c>
      <c r="E436">
        <v>11101</v>
      </c>
      <c r="F436">
        <v>11</v>
      </c>
      <c r="G436">
        <v>97</v>
      </c>
      <c r="H436" t="s">
        <v>300</v>
      </c>
      <c r="I436" s="23">
        <v>96194.4</v>
      </c>
      <c r="J436" s="185">
        <v>46122</v>
      </c>
      <c r="K436" s="185">
        <v>46122</v>
      </c>
      <c r="L436" s="185">
        <v>46150</v>
      </c>
      <c r="M436" s="185">
        <v>46150</v>
      </c>
      <c r="N436"/>
      <c r="O436">
        <v>1010100</v>
      </c>
      <c r="P436" t="s">
        <v>29</v>
      </c>
      <c r="Q436">
        <v>200000100</v>
      </c>
      <c r="R436" t="s">
        <v>15322</v>
      </c>
      <c r="S436"/>
      <c r="T436" t="s">
        <v>15323</v>
      </c>
      <c r="U436" t="s">
        <v>6311</v>
      </c>
      <c r="V436" s="23">
        <v>0</v>
      </c>
      <c r="W436" s="23">
        <v>0</v>
      </c>
      <c r="X436" s="23">
        <v>0</v>
      </c>
      <c r="Y436"/>
      <c r="Z436">
        <v>1246271092</v>
      </c>
      <c r="AA436"/>
      <c r="AB436" t="s">
        <v>1186</v>
      </c>
      <c r="AC436">
        <v>102</v>
      </c>
      <c r="AD436">
        <v>4</v>
      </c>
      <c r="AE436" t="s">
        <v>15324</v>
      </c>
      <c r="AF436"/>
      <c r="AG436" s="23"/>
      <c r="AH436" s="265" t="str">
        <f>_xlfn.XLOOKUP(G436,Clientes!I:I,Clientes!F:F)</f>
        <v>FECOAGRO FEDERACAO DAS COOPERATIVAS</v>
      </c>
    </row>
    <row r="437" spans="1:34" x14ac:dyDescent="0.25">
      <c r="A437">
        <v>161</v>
      </c>
      <c r="B437" t="s">
        <v>145</v>
      </c>
      <c r="C437"/>
      <c r="D437" s="23">
        <v>96686.49</v>
      </c>
      <c r="E437">
        <v>11532</v>
      </c>
      <c r="F437">
        <v>11</v>
      </c>
      <c r="G437">
        <v>14632</v>
      </c>
      <c r="H437" t="s">
        <v>399</v>
      </c>
      <c r="I437" s="23">
        <v>96686.49</v>
      </c>
      <c r="J437" s="185">
        <v>46170</v>
      </c>
      <c r="K437" s="185">
        <v>46170</v>
      </c>
      <c r="L437" s="185">
        <v>46220</v>
      </c>
      <c r="M437" s="185"/>
      <c r="N437"/>
      <c r="O437">
        <v>1010100</v>
      </c>
      <c r="P437" t="s">
        <v>29</v>
      </c>
      <c r="Q437">
        <v>200000100</v>
      </c>
      <c r="R437" t="s">
        <v>15322</v>
      </c>
      <c r="S437"/>
      <c r="T437" t="s">
        <v>15323</v>
      </c>
      <c r="U437" t="s">
        <v>6311</v>
      </c>
      <c r="V437" s="23">
        <v>0</v>
      </c>
      <c r="W437" s="23">
        <v>0</v>
      </c>
      <c r="X437" s="23">
        <v>0</v>
      </c>
      <c r="Y437"/>
      <c r="Z437">
        <v>1246277240</v>
      </c>
      <c r="AA437"/>
      <c r="AB437"/>
      <c r="AC437">
        <v>102</v>
      </c>
      <c r="AD437">
        <v>4</v>
      </c>
      <c r="AE437" t="s">
        <v>15324</v>
      </c>
      <c r="AF437"/>
      <c r="AG437" s="23"/>
      <c r="AH437" s="265" t="str">
        <f>_xlfn.XLOOKUP(G437,Clientes!I:I,Clientes!F:F)</f>
        <v>BIGFERTIL - CANDEIAS</v>
      </c>
    </row>
    <row r="438" spans="1:34" x14ac:dyDescent="0.25">
      <c r="A438">
        <v>161</v>
      </c>
      <c r="B438" t="s">
        <v>145</v>
      </c>
      <c r="C438"/>
      <c r="D438" s="23">
        <v>96686.49</v>
      </c>
      <c r="E438">
        <v>11532</v>
      </c>
      <c r="F438">
        <v>11</v>
      </c>
      <c r="G438">
        <v>14632</v>
      </c>
      <c r="H438" t="s">
        <v>399</v>
      </c>
      <c r="I438" s="23">
        <v>96686.49</v>
      </c>
      <c r="J438" s="185">
        <v>46170</v>
      </c>
      <c r="K438" s="185">
        <v>46170</v>
      </c>
      <c r="L438" s="185">
        <v>46240</v>
      </c>
      <c r="M438" s="185"/>
      <c r="N438"/>
      <c r="O438">
        <v>1010100</v>
      </c>
      <c r="P438" t="s">
        <v>29</v>
      </c>
      <c r="Q438">
        <v>200000100</v>
      </c>
      <c r="R438" t="s">
        <v>15322</v>
      </c>
      <c r="S438"/>
      <c r="T438" t="s">
        <v>15323</v>
      </c>
      <c r="U438" t="s">
        <v>6311</v>
      </c>
      <c r="V438" s="23">
        <v>0</v>
      </c>
      <c r="W438" s="23">
        <v>0</v>
      </c>
      <c r="X438" s="23">
        <v>0</v>
      </c>
      <c r="Y438"/>
      <c r="Z438">
        <v>1246277241</v>
      </c>
      <c r="AA438"/>
      <c r="AB438"/>
      <c r="AC438">
        <v>102</v>
      </c>
      <c r="AD438">
        <v>4</v>
      </c>
      <c r="AE438" t="s">
        <v>15324</v>
      </c>
      <c r="AF438"/>
      <c r="AG438" s="23"/>
      <c r="AH438" s="265" t="str">
        <f>_xlfn.XLOOKUP(G438,Clientes!I:I,Clientes!F:F)</f>
        <v>BIGFERTIL - CANDEIAS</v>
      </c>
    </row>
    <row r="439" spans="1:34" x14ac:dyDescent="0.25">
      <c r="A439">
        <v>161</v>
      </c>
      <c r="B439" t="s">
        <v>145</v>
      </c>
      <c r="C439"/>
      <c r="D439" s="23">
        <v>98301.6</v>
      </c>
      <c r="E439">
        <v>10974</v>
      </c>
      <c r="F439">
        <v>11</v>
      </c>
      <c r="G439">
        <v>33</v>
      </c>
      <c r="H439" t="s">
        <v>757</v>
      </c>
      <c r="I439" s="23">
        <v>98301.6</v>
      </c>
      <c r="J439" s="185">
        <v>46106</v>
      </c>
      <c r="K439" s="185">
        <v>46106</v>
      </c>
      <c r="L439" s="185">
        <v>46136</v>
      </c>
      <c r="M439" s="185">
        <v>46135</v>
      </c>
      <c r="N439"/>
      <c r="O439">
        <v>1010100</v>
      </c>
      <c r="P439" t="s">
        <v>29</v>
      </c>
      <c r="Q439">
        <v>200000100</v>
      </c>
      <c r="R439" t="s">
        <v>15322</v>
      </c>
      <c r="S439"/>
      <c r="T439" t="s">
        <v>15323</v>
      </c>
      <c r="U439" t="s">
        <v>5803</v>
      </c>
      <c r="V439" s="23">
        <v>0</v>
      </c>
      <c r="W439" s="23">
        <v>0</v>
      </c>
      <c r="X439" s="23">
        <v>0</v>
      </c>
      <c r="Y439"/>
      <c r="Z439">
        <v>1246268989</v>
      </c>
      <c r="AA439"/>
      <c r="AB439" t="s">
        <v>1199</v>
      </c>
      <c r="AC439">
        <v>102</v>
      </c>
      <c r="AD439">
        <v>4</v>
      </c>
      <c r="AE439" t="s">
        <v>15324</v>
      </c>
      <c r="AF439"/>
      <c r="AG439" s="23"/>
      <c r="AH439" s="265" t="str">
        <f>_xlfn.XLOOKUP(G439,Clientes!I:I,Clientes!F:F)</f>
        <v>GRUPO HERINGER</v>
      </c>
    </row>
    <row r="440" spans="1:34" x14ac:dyDescent="0.25">
      <c r="A440">
        <v>161</v>
      </c>
      <c r="B440" t="s">
        <v>145</v>
      </c>
      <c r="C440"/>
      <c r="D440" s="23">
        <v>98416.5</v>
      </c>
      <c r="E440">
        <v>11707</v>
      </c>
      <c r="F440">
        <v>11</v>
      </c>
      <c r="G440">
        <v>10492</v>
      </c>
      <c r="H440" t="s">
        <v>101</v>
      </c>
      <c r="I440" s="23">
        <v>98416.5</v>
      </c>
      <c r="J440" s="185">
        <v>46188</v>
      </c>
      <c r="K440" s="185">
        <v>46188</v>
      </c>
      <c r="L440" s="185">
        <v>46216</v>
      </c>
      <c r="M440" s="185"/>
      <c r="N440"/>
      <c r="O440">
        <v>1010100</v>
      </c>
      <c r="P440" t="s">
        <v>29</v>
      </c>
      <c r="Q440">
        <v>200000100</v>
      </c>
      <c r="R440" t="s">
        <v>15322</v>
      </c>
      <c r="S440"/>
      <c r="T440" t="s">
        <v>15323</v>
      </c>
      <c r="U440" t="s">
        <v>6311</v>
      </c>
      <c r="V440" s="23">
        <v>0</v>
      </c>
      <c r="W440" s="23">
        <v>0</v>
      </c>
      <c r="X440" s="23">
        <v>0</v>
      </c>
      <c r="Y440"/>
      <c r="Z440">
        <v>1246279489</v>
      </c>
      <c r="AA440"/>
      <c r="AB440"/>
      <c r="AC440">
        <v>102</v>
      </c>
      <c r="AD440">
        <v>4</v>
      </c>
      <c r="AE440" t="s">
        <v>15324</v>
      </c>
      <c r="AF440"/>
      <c r="AG440" s="23"/>
      <c r="AH440" s="265" t="str">
        <f>_xlfn.XLOOKUP(G440,Clientes!I:I,Clientes!F:F)</f>
        <v>GRUPO UNIFERTIL</v>
      </c>
    </row>
    <row r="441" spans="1:34" x14ac:dyDescent="0.25">
      <c r="A441">
        <v>161</v>
      </c>
      <c r="B441" t="s">
        <v>145</v>
      </c>
      <c r="C441"/>
      <c r="D441" s="23">
        <v>98465.600000000006</v>
      </c>
      <c r="E441">
        <v>10397</v>
      </c>
      <c r="F441">
        <v>11</v>
      </c>
      <c r="G441">
        <v>33</v>
      </c>
      <c r="H441" t="s">
        <v>757</v>
      </c>
      <c r="I441" s="23">
        <v>98465.600000000006</v>
      </c>
      <c r="J441" s="185">
        <v>46024</v>
      </c>
      <c r="K441" s="185">
        <v>46024</v>
      </c>
      <c r="L441" s="185">
        <v>46054</v>
      </c>
      <c r="M441" s="185">
        <v>46057</v>
      </c>
      <c r="N441"/>
      <c r="O441">
        <v>1010100</v>
      </c>
      <c r="P441" t="s">
        <v>29</v>
      </c>
      <c r="Q441">
        <v>200000100</v>
      </c>
      <c r="R441" t="s">
        <v>15322</v>
      </c>
      <c r="S441"/>
      <c r="T441" t="s">
        <v>15323</v>
      </c>
      <c r="U441" t="s">
        <v>1216</v>
      </c>
      <c r="V441" s="23">
        <v>0</v>
      </c>
      <c r="W441" s="23">
        <v>0</v>
      </c>
      <c r="X441" s="23">
        <v>0</v>
      </c>
      <c r="Y441"/>
      <c r="Z441">
        <v>1246258069</v>
      </c>
      <c r="AA441"/>
      <c r="AB441" t="s">
        <v>1199</v>
      </c>
      <c r="AC441">
        <v>102</v>
      </c>
      <c r="AD441">
        <v>4</v>
      </c>
      <c r="AE441" t="s">
        <v>15324</v>
      </c>
      <c r="AF441"/>
      <c r="AG441" s="23"/>
      <c r="AH441" s="265" t="str">
        <f>_xlfn.XLOOKUP(G441,Clientes!I:I,Clientes!F:F)</f>
        <v>GRUPO HERINGER</v>
      </c>
    </row>
    <row r="442" spans="1:34" x14ac:dyDescent="0.25">
      <c r="A442">
        <v>161</v>
      </c>
      <c r="B442" t="s">
        <v>145</v>
      </c>
      <c r="C442"/>
      <c r="D442" s="23">
        <v>98972.7</v>
      </c>
      <c r="E442">
        <v>11605</v>
      </c>
      <c r="F442">
        <v>11</v>
      </c>
      <c r="G442">
        <v>10492</v>
      </c>
      <c r="H442" t="s">
        <v>101</v>
      </c>
      <c r="I442" s="23">
        <v>98972.7</v>
      </c>
      <c r="J442" s="185">
        <v>46178</v>
      </c>
      <c r="K442" s="185">
        <v>46178</v>
      </c>
      <c r="L442" s="185">
        <v>46206</v>
      </c>
      <c r="M442" s="185"/>
      <c r="N442"/>
      <c r="O442">
        <v>1010100</v>
      </c>
      <c r="P442" t="s">
        <v>29</v>
      </c>
      <c r="Q442">
        <v>200000100</v>
      </c>
      <c r="R442" t="s">
        <v>15322</v>
      </c>
      <c r="S442"/>
      <c r="T442" t="s">
        <v>15323</v>
      </c>
      <c r="U442" t="s">
        <v>6311</v>
      </c>
      <c r="V442" s="23">
        <v>0</v>
      </c>
      <c r="W442" s="23">
        <v>0</v>
      </c>
      <c r="X442" s="23">
        <v>0</v>
      </c>
      <c r="Y442"/>
      <c r="Z442">
        <v>1246278309</v>
      </c>
      <c r="AA442"/>
      <c r="AB442"/>
      <c r="AC442">
        <v>102</v>
      </c>
      <c r="AD442">
        <v>4</v>
      </c>
      <c r="AE442" t="s">
        <v>15324</v>
      </c>
      <c r="AF442"/>
      <c r="AG442" s="23"/>
      <c r="AH442" s="265" t="str">
        <f>_xlfn.XLOOKUP(G442,Clientes!I:I,Clientes!F:F)</f>
        <v>GRUPO UNIFERTIL</v>
      </c>
    </row>
    <row r="443" spans="1:34" x14ac:dyDescent="0.25">
      <c r="A443">
        <v>161</v>
      </c>
      <c r="B443" t="s">
        <v>145</v>
      </c>
      <c r="C443"/>
      <c r="D443" s="23">
        <v>99003.6</v>
      </c>
      <c r="E443">
        <v>11729</v>
      </c>
      <c r="F443">
        <v>11</v>
      </c>
      <c r="G443">
        <v>214</v>
      </c>
      <c r="H443" t="s">
        <v>149</v>
      </c>
      <c r="I443" s="23">
        <v>99003.6</v>
      </c>
      <c r="J443" s="185">
        <v>46189</v>
      </c>
      <c r="K443" s="185">
        <v>46189</v>
      </c>
      <c r="L443" s="185">
        <v>46217</v>
      </c>
      <c r="M443" s="185"/>
      <c r="N443"/>
      <c r="O443">
        <v>1010100</v>
      </c>
      <c r="P443" t="s">
        <v>29</v>
      </c>
      <c r="Q443">
        <v>200000100</v>
      </c>
      <c r="R443" t="s">
        <v>15322</v>
      </c>
      <c r="S443"/>
      <c r="T443" t="s">
        <v>15323</v>
      </c>
      <c r="U443" t="s">
        <v>6311</v>
      </c>
      <c r="V443" s="23">
        <v>0</v>
      </c>
      <c r="W443" s="23">
        <v>0</v>
      </c>
      <c r="X443" s="23">
        <v>0</v>
      </c>
      <c r="Y443"/>
      <c r="Z443">
        <v>1246279725</v>
      </c>
      <c r="AA443"/>
      <c r="AB443"/>
      <c r="AC443">
        <v>102</v>
      </c>
      <c r="AD443">
        <v>4</v>
      </c>
      <c r="AE443" t="s">
        <v>15324</v>
      </c>
      <c r="AF443"/>
      <c r="AG443" s="23"/>
      <c r="AH443" s="265" t="str">
        <f>_xlfn.XLOOKUP(G443,Clientes!I:I,Clientes!F:F)</f>
        <v>GRUPO UNIFERTIL</v>
      </c>
    </row>
    <row r="444" spans="1:34" x14ac:dyDescent="0.25">
      <c r="A444">
        <v>161</v>
      </c>
      <c r="B444" t="s">
        <v>145</v>
      </c>
      <c r="C444"/>
      <c r="D444" s="23">
        <v>99023.2</v>
      </c>
      <c r="E444">
        <v>10579</v>
      </c>
      <c r="F444">
        <v>11</v>
      </c>
      <c r="G444">
        <v>33</v>
      </c>
      <c r="H444" t="s">
        <v>757</v>
      </c>
      <c r="I444" s="23">
        <v>99023.2</v>
      </c>
      <c r="J444" s="185">
        <v>46049</v>
      </c>
      <c r="K444" s="185">
        <v>46049</v>
      </c>
      <c r="L444" s="185">
        <v>46079</v>
      </c>
      <c r="M444" s="185">
        <v>46079</v>
      </c>
      <c r="N444"/>
      <c r="O444">
        <v>1010100</v>
      </c>
      <c r="P444" t="s">
        <v>29</v>
      </c>
      <c r="Q444">
        <v>200000100</v>
      </c>
      <c r="R444" t="s">
        <v>15322</v>
      </c>
      <c r="S444"/>
      <c r="T444" t="s">
        <v>15323</v>
      </c>
      <c r="U444" t="s">
        <v>2246</v>
      </c>
      <c r="V444" s="23">
        <v>0</v>
      </c>
      <c r="W444" s="23">
        <v>0</v>
      </c>
      <c r="X444" s="23">
        <v>0</v>
      </c>
      <c r="Y444"/>
      <c r="Z444">
        <v>1246261101</v>
      </c>
      <c r="AA444"/>
      <c r="AB444" t="s">
        <v>1199</v>
      </c>
      <c r="AC444">
        <v>102</v>
      </c>
      <c r="AD444">
        <v>4</v>
      </c>
      <c r="AE444" t="s">
        <v>15324</v>
      </c>
      <c r="AF444"/>
      <c r="AG444" s="23"/>
      <c r="AH444" s="265" t="str">
        <f>_xlfn.XLOOKUP(G444,Clientes!I:I,Clientes!F:F)</f>
        <v>GRUPO HERINGER</v>
      </c>
    </row>
    <row r="445" spans="1:34" x14ac:dyDescent="0.25">
      <c r="A445">
        <v>161</v>
      </c>
      <c r="B445" t="s">
        <v>145</v>
      </c>
      <c r="C445"/>
      <c r="D445" s="23">
        <v>99167.6</v>
      </c>
      <c r="E445">
        <v>11114</v>
      </c>
      <c r="F445">
        <v>11</v>
      </c>
      <c r="G445">
        <v>33</v>
      </c>
      <c r="H445" t="s">
        <v>757</v>
      </c>
      <c r="I445" s="23">
        <v>99167.6</v>
      </c>
      <c r="J445" s="185">
        <v>46125</v>
      </c>
      <c r="K445" s="185">
        <v>46125</v>
      </c>
      <c r="L445" s="185">
        <v>46155</v>
      </c>
      <c r="M445" s="185">
        <v>46155</v>
      </c>
      <c r="N445"/>
      <c r="O445">
        <v>1010100</v>
      </c>
      <c r="P445" t="s">
        <v>29</v>
      </c>
      <c r="Q445">
        <v>200000100</v>
      </c>
      <c r="R445" t="s">
        <v>15322</v>
      </c>
      <c r="S445"/>
      <c r="T445" t="s">
        <v>15323</v>
      </c>
      <c r="U445" t="s">
        <v>5803</v>
      </c>
      <c r="V445" s="23">
        <v>0</v>
      </c>
      <c r="W445" s="23">
        <v>0</v>
      </c>
      <c r="X445" s="23">
        <v>0</v>
      </c>
      <c r="Y445"/>
      <c r="Z445">
        <v>1246271248</v>
      </c>
      <c r="AA445"/>
      <c r="AB445" t="s">
        <v>1199</v>
      </c>
      <c r="AC445">
        <v>102</v>
      </c>
      <c r="AD445">
        <v>4</v>
      </c>
      <c r="AE445" t="s">
        <v>15324</v>
      </c>
      <c r="AF445"/>
      <c r="AG445" s="23"/>
      <c r="AH445" s="265" t="str">
        <f>_xlfn.XLOOKUP(G445,Clientes!I:I,Clientes!F:F)</f>
        <v>GRUPO HERINGER</v>
      </c>
    </row>
    <row r="446" spans="1:34" x14ac:dyDescent="0.25">
      <c r="A446">
        <v>161</v>
      </c>
      <c r="B446" t="s">
        <v>145</v>
      </c>
      <c r="C446"/>
      <c r="D446" s="23">
        <v>99189</v>
      </c>
      <c r="E446">
        <v>11490</v>
      </c>
      <c r="F446">
        <v>11</v>
      </c>
      <c r="G446">
        <v>214</v>
      </c>
      <c r="H446" t="s">
        <v>149</v>
      </c>
      <c r="I446" s="23">
        <v>99189</v>
      </c>
      <c r="J446" s="185">
        <v>46167</v>
      </c>
      <c r="K446" s="185">
        <v>46167</v>
      </c>
      <c r="L446" s="185">
        <v>46195</v>
      </c>
      <c r="M446" s="185">
        <v>46195</v>
      </c>
      <c r="N446"/>
      <c r="O446">
        <v>1010100</v>
      </c>
      <c r="P446" t="s">
        <v>29</v>
      </c>
      <c r="Q446">
        <v>200000100</v>
      </c>
      <c r="R446" t="s">
        <v>15322</v>
      </c>
      <c r="S446"/>
      <c r="T446" t="s">
        <v>15323</v>
      </c>
      <c r="U446" t="s">
        <v>6311</v>
      </c>
      <c r="V446" s="23">
        <v>0</v>
      </c>
      <c r="W446" s="23">
        <v>0</v>
      </c>
      <c r="X446" s="23">
        <v>0</v>
      </c>
      <c r="Y446"/>
      <c r="Z446">
        <v>1246276542</v>
      </c>
      <c r="AA446"/>
      <c r="AB446" t="s">
        <v>1186</v>
      </c>
      <c r="AC446">
        <v>102</v>
      </c>
      <c r="AD446">
        <v>4</v>
      </c>
      <c r="AE446" t="s">
        <v>15324</v>
      </c>
      <c r="AF446"/>
      <c r="AG446" s="23"/>
      <c r="AH446" s="265" t="str">
        <f>_xlfn.XLOOKUP(G446,Clientes!I:I,Clientes!F:F)</f>
        <v>GRUPO UNIFERTIL</v>
      </c>
    </row>
    <row r="447" spans="1:34" x14ac:dyDescent="0.25">
      <c r="A447">
        <v>161</v>
      </c>
      <c r="B447" t="s">
        <v>145</v>
      </c>
      <c r="C447"/>
      <c r="D447" s="23">
        <v>99281.7</v>
      </c>
      <c r="E447">
        <v>11156</v>
      </c>
      <c r="F447">
        <v>11</v>
      </c>
      <c r="G447">
        <v>214</v>
      </c>
      <c r="H447" t="s">
        <v>149</v>
      </c>
      <c r="I447" s="23">
        <v>99281.7</v>
      </c>
      <c r="J447" s="185">
        <v>46129</v>
      </c>
      <c r="K447" s="185">
        <v>46129</v>
      </c>
      <c r="L447" s="185">
        <v>46157</v>
      </c>
      <c r="M447" s="185">
        <v>46153</v>
      </c>
      <c r="N447"/>
      <c r="O447">
        <v>1010100</v>
      </c>
      <c r="P447" t="s">
        <v>29</v>
      </c>
      <c r="Q447">
        <v>200000100</v>
      </c>
      <c r="R447" t="s">
        <v>15322</v>
      </c>
      <c r="S447"/>
      <c r="T447" t="s">
        <v>15323</v>
      </c>
      <c r="U447" t="s">
        <v>6311</v>
      </c>
      <c r="V447" s="23">
        <v>0</v>
      </c>
      <c r="W447" s="23">
        <v>0</v>
      </c>
      <c r="X447" s="23">
        <v>0</v>
      </c>
      <c r="Y447"/>
      <c r="Z447">
        <v>1246271672</v>
      </c>
      <c r="AA447"/>
      <c r="AB447" t="s">
        <v>1186</v>
      </c>
      <c r="AC447">
        <v>102</v>
      </c>
      <c r="AD447">
        <v>4</v>
      </c>
      <c r="AE447" t="s">
        <v>15324</v>
      </c>
      <c r="AF447"/>
      <c r="AG447" s="23"/>
      <c r="AH447" s="265" t="str">
        <f>_xlfn.XLOOKUP(G447,Clientes!I:I,Clientes!F:F)</f>
        <v>GRUPO UNIFERTIL</v>
      </c>
    </row>
    <row r="448" spans="1:34" x14ac:dyDescent="0.25">
      <c r="A448">
        <v>161</v>
      </c>
      <c r="B448" t="s">
        <v>145</v>
      </c>
      <c r="C448"/>
      <c r="D448" s="23">
        <v>99467.1</v>
      </c>
      <c r="E448">
        <v>10642</v>
      </c>
      <c r="F448">
        <v>11</v>
      </c>
      <c r="G448">
        <v>214</v>
      </c>
      <c r="H448" t="s">
        <v>149</v>
      </c>
      <c r="I448" s="23">
        <v>99467.1</v>
      </c>
      <c r="J448" s="185">
        <v>46057</v>
      </c>
      <c r="K448" s="185">
        <v>46057</v>
      </c>
      <c r="L448" s="185">
        <v>46085</v>
      </c>
      <c r="M448" s="185">
        <v>46083</v>
      </c>
      <c r="N448"/>
      <c r="O448">
        <v>1010100</v>
      </c>
      <c r="P448" t="s">
        <v>29</v>
      </c>
      <c r="Q448">
        <v>200000100</v>
      </c>
      <c r="R448" t="s">
        <v>15322</v>
      </c>
      <c r="S448"/>
      <c r="T448" t="s">
        <v>15323</v>
      </c>
      <c r="U448" t="s">
        <v>6311</v>
      </c>
      <c r="V448" s="23">
        <v>0</v>
      </c>
      <c r="W448" s="23">
        <v>0</v>
      </c>
      <c r="X448" s="23">
        <v>0</v>
      </c>
      <c r="Y448"/>
      <c r="Z448">
        <v>1246262299</v>
      </c>
      <c r="AA448"/>
      <c r="AB448" t="s">
        <v>1186</v>
      </c>
      <c r="AC448">
        <v>102</v>
      </c>
      <c r="AD448">
        <v>4</v>
      </c>
      <c r="AE448" t="s">
        <v>15324</v>
      </c>
      <c r="AF448"/>
      <c r="AG448" s="23"/>
      <c r="AH448" s="265" t="str">
        <f>_xlfn.XLOOKUP(G448,Clientes!I:I,Clientes!F:F)</f>
        <v>GRUPO UNIFERTIL</v>
      </c>
    </row>
    <row r="449" spans="1:34" x14ac:dyDescent="0.25">
      <c r="A449">
        <v>161</v>
      </c>
      <c r="B449" t="s">
        <v>145</v>
      </c>
      <c r="C449"/>
      <c r="D449" s="23">
        <v>99528.9</v>
      </c>
      <c r="E449">
        <v>10501</v>
      </c>
      <c r="F449">
        <v>11</v>
      </c>
      <c r="G449">
        <v>10492</v>
      </c>
      <c r="H449" t="s">
        <v>101</v>
      </c>
      <c r="I449" s="23">
        <v>99528.9</v>
      </c>
      <c r="J449" s="185">
        <v>46038</v>
      </c>
      <c r="K449" s="185">
        <v>46038</v>
      </c>
      <c r="L449" s="185">
        <v>46066</v>
      </c>
      <c r="M449" s="185">
        <v>46063</v>
      </c>
      <c r="N449"/>
      <c r="O449">
        <v>1010100</v>
      </c>
      <c r="P449" t="s">
        <v>29</v>
      </c>
      <c r="Q449">
        <v>200000100</v>
      </c>
      <c r="R449" t="s">
        <v>15322</v>
      </c>
      <c r="S449"/>
      <c r="T449" t="s">
        <v>15323</v>
      </c>
      <c r="U449" t="s">
        <v>6311</v>
      </c>
      <c r="V449" s="23">
        <v>0</v>
      </c>
      <c r="W449" s="23">
        <v>0</v>
      </c>
      <c r="X449" s="23">
        <v>0</v>
      </c>
      <c r="Y449"/>
      <c r="Z449">
        <v>1246259712</v>
      </c>
      <c r="AA449"/>
      <c r="AB449" t="s">
        <v>1186</v>
      </c>
      <c r="AC449">
        <v>102</v>
      </c>
      <c r="AD449">
        <v>4</v>
      </c>
      <c r="AE449" t="s">
        <v>15324</v>
      </c>
      <c r="AF449"/>
      <c r="AG449" s="23"/>
      <c r="AH449" s="265" t="str">
        <f>_xlfn.XLOOKUP(G449,Clientes!I:I,Clientes!F:F)</f>
        <v>GRUPO UNIFERTIL</v>
      </c>
    </row>
    <row r="450" spans="1:34" x14ac:dyDescent="0.25">
      <c r="A450">
        <v>161</v>
      </c>
      <c r="B450" t="s">
        <v>145</v>
      </c>
      <c r="C450"/>
      <c r="D450" s="23">
        <v>99532</v>
      </c>
      <c r="E450">
        <v>10952</v>
      </c>
      <c r="F450">
        <v>11</v>
      </c>
      <c r="G450">
        <v>456</v>
      </c>
      <c r="H450" t="s">
        <v>312</v>
      </c>
      <c r="I450" s="23">
        <v>99532</v>
      </c>
      <c r="J450" s="185">
        <v>46101</v>
      </c>
      <c r="K450" s="185">
        <v>46101</v>
      </c>
      <c r="L450" s="185">
        <v>46129</v>
      </c>
      <c r="M450" s="185">
        <v>46114</v>
      </c>
      <c r="N450"/>
      <c r="O450">
        <v>1010100</v>
      </c>
      <c r="P450" t="s">
        <v>29</v>
      </c>
      <c r="Q450">
        <v>200000100</v>
      </c>
      <c r="R450" t="s">
        <v>15322</v>
      </c>
      <c r="S450"/>
      <c r="T450" t="s">
        <v>15323</v>
      </c>
      <c r="U450" t="s">
        <v>1530</v>
      </c>
      <c r="V450" s="23">
        <v>0</v>
      </c>
      <c r="W450" s="23">
        <v>0</v>
      </c>
      <c r="X450" s="23">
        <v>0</v>
      </c>
      <c r="Y450"/>
      <c r="Z450">
        <v>1246268583</v>
      </c>
      <c r="AA450"/>
      <c r="AB450" t="s">
        <v>1199</v>
      </c>
      <c r="AC450">
        <v>102</v>
      </c>
      <c r="AD450">
        <v>4</v>
      </c>
      <c r="AE450" t="s">
        <v>15324</v>
      </c>
      <c r="AF450"/>
      <c r="AG450" s="23"/>
      <c r="AH450" s="265" t="str">
        <f>_xlfn.XLOOKUP(G450,Clientes!I:I,Clientes!F:F)</f>
        <v>GRUPO FERTIPAR FERTILIZANTES DO NORDESTE</v>
      </c>
    </row>
    <row r="451" spans="1:34" x14ac:dyDescent="0.25">
      <c r="A451">
        <v>56</v>
      </c>
      <c r="B451" t="s">
        <v>146</v>
      </c>
      <c r="C451"/>
      <c r="D451" s="23">
        <v>99750</v>
      </c>
      <c r="E451">
        <v>10693</v>
      </c>
      <c r="F451">
        <v>11</v>
      </c>
      <c r="G451">
        <v>1936</v>
      </c>
      <c r="H451" t="s">
        <v>64</v>
      </c>
      <c r="I451" s="23">
        <v>99750</v>
      </c>
      <c r="J451" s="185">
        <v>46066</v>
      </c>
      <c r="K451" s="185">
        <v>46066</v>
      </c>
      <c r="L451" s="185">
        <v>46094</v>
      </c>
      <c r="M451" s="185">
        <v>46094</v>
      </c>
      <c r="N451"/>
      <c r="O451">
        <v>1010100</v>
      </c>
      <c r="P451" t="s">
        <v>29</v>
      </c>
      <c r="Q451">
        <v>200000100</v>
      </c>
      <c r="R451" t="s">
        <v>15322</v>
      </c>
      <c r="S451"/>
      <c r="T451" t="s">
        <v>15323</v>
      </c>
      <c r="U451" t="s">
        <v>4468</v>
      </c>
      <c r="V451" s="23">
        <v>0</v>
      </c>
      <c r="W451" s="23">
        <v>0</v>
      </c>
      <c r="X451" s="23">
        <v>0</v>
      </c>
      <c r="Y451"/>
      <c r="Z451">
        <v>1246263778</v>
      </c>
      <c r="AA451"/>
      <c r="AB451" t="s">
        <v>1199</v>
      </c>
      <c r="AC451">
        <v>102</v>
      </c>
      <c r="AD451">
        <v>4</v>
      </c>
      <c r="AE451" t="s">
        <v>15324</v>
      </c>
      <c r="AF451"/>
      <c r="AG451" s="23"/>
      <c r="AH451" s="265" t="str">
        <f>_xlfn.XLOOKUP(G451,Clientes!I:I,Clientes!F:F)</f>
        <v>GRUPO AGRO INDUSTRIAL SAO LUIZ LTDA</v>
      </c>
    </row>
    <row r="452" spans="1:34" x14ac:dyDescent="0.25">
      <c r="A452">
        <v>161</v>
      </c>
      <c r="B452" t="s">
        <v>145</v>
      </c>
      <c r="C452"/>
      <c r="D452" s="23">
        <v>99785</v>
      </c>
      <c r="E452">
        <v>2756</v>
      </c>
      <c r="F452">
        <v>13</v>
      </c>
      <c r="G452">
        <v>912</v>
      </c>
      <c r="H452" t="s">
        <v>217</v>
      </c>
      <c r="I452" s="23">
        <v>99785</v>
      </c>
      <c r="J452" s="185">
        <v>46073</v>
      </c>
      <c r="K452" s="185">
        <v>46073</v>
      </c>
      <c r="L452" s="185">
        <v>46101</v>
      </c>
      <c r="M452" s="185">
        <v>46101</v>
      </c>
      <c r="N452"/>
      <c r="O452">
        <v>1010100</v>
      </c>
      <c r="P452" t="s">
        <v>29</v>
      </c>
      <c r="Q452">
        <v>200000100</v>
      </c>
      <c r="R452" t="s">
        <v>15322</v>
      </c>
      <c r="S452"/>
      <c r="T452" t="s">
        <v>15323</v>
      </c>
      <c r="U452" t="s">
        <v>6311</v>
      </c>
      <c r="V452" s="23">
        <v>0</v>
      </c>
      <c r="W452" s="23">
        <v>0</v>
      </c>
      <c r="X452" s="23">
        <v>0</v>
      </c>
      <c r="Y452"/>
      <c r="Z452">
        <v>1246264221</v>
      </c>
      <c r="AA452"/>
      <c r="AB452" t="s">
        <v>1186</v>
      </c>
      <c r="AC452">
        <v>102</v>
      </c>
      <c r="AD452">
        <v>4</v>
      </c>
      <c r="AE452" t="s">
        <v>15324</v>
      </c>
      <c r="AF452"/>
      <c r="AG452" s="23"/>
      <c r="AH452" s="265" t="str">
        <f>_xlfn.XLOOKUP(G452,Clientes!I:I,Clientes!F:F)</f>
        <v>GRUPO FERTILIZE</v>
      </c>
    </row>
    <row r="453" spans="1:34" x14ac:dyDescent="0.25">
      <c r="A453">
        <v>161</v>
      </c>
      <c r="B453" t="s">
        <v>145</v>
      </c>
      <c r="C453"/>
      <c r="D453" s="23">
        <v>99785</v>
      </c>
      <c r="E453">
        <v>2756</v>
      </c>
      <c r="F453">
        <v>13</v>
      </c>
      <c r="G453">
        <v>912</v>
      </c>
      <c r="H453" t="s">
        <v>217</v>
      </c>
      <c r="I453" s="23">
        <v>99785</v>
      </c>
      <c r="J453" s="185">
        <v>46073</v>
      </c>
      <c r="K453" s="185">
        <v>46073</v>
      </c>
      <c r="L453" s="185">
        <v>46129</v>
      </c>
      <c r="M453" s="185">
        <v>46129</v>
      </c>
      <c r="N453"/>
      <c r="O453">
        <v>1010100</v>
      </c>
      <c r="P453" t="s">
        <v>29</v>
      </c>
      <c r="Q453">
        <v>200000100</v>
      </c>
      <c r="R453" t="s">
        <v>15322</v>
      </c>
      <c r="S453"/>
      <c r="T453" t="s">
        <v>15323</v>
      </c>
      <c r="U453" t="s">
        <v>6311</v>
      </c>
      <c r="V453" s="23">
        <v>0</v>
      </c>
      <c r="W453" s="23">
        <v>0</v>
      </c>
      <c r="X453" s="23">
        <v>0</v>
      </c>
      <c r="Y453"/>
      <c r="Z453">
        <v>1246264222</v>
      </c>
      <c r="AA453"/>
      <c r="AB453" t="s">
        <v>1186</v>
      </c>
      <c r="AC453">
        <v>102</v>
      </c>
      <c r="AD453">
        <v>4</v>
      </c>
      <c r="AE453" t="s">
        <v>15324</v>
      </c>
      <c r="AF453"/>
      <c r="AG453" s="23"/>
      <c r="AH453" s="265" t="str">
        <f>_xlfn.XLOOKUP(G453,Clientes!I:I,Clientes!F:F)</f>
        <v>GRUPO FERTILIZE</v>
      </c>
    </row>
    <row r="454" spans="1:34" x14ac:dyDescent="0.25">
      <c r="A454">
        <v>161</v>
      </c>
      <c r="B454" t="s">
        <v>145</v>
      </c>
      <c r="C454"/>
      <c r="D454" s="23">
        <v>100567.4</v>
      </c>
      <c r="E454">
        <v>10568</v>
      </c>
      <c r="F454">
        <v>11</v>
      </c>
      <c r="G454">
        <v>456</v>
      </c>
      <c r="H454" t="s">
        <v>312</v>
      </c>
      <c r="I454" s="23">
        <v>100567.4</v>
      </c>
      <c r="J454" s="185">
        <v>46045</v>
      </c>
      <c r="K454" s="185">
        <v>46045</v>
      </c>
      <c r="L454" s="185">
        <v>46073</v>
      </c>
      <c r="M454" s="185">
        <v>46072</v>
      </c>
      <c r="N454"/>
      <c r="O454">
        <v>1010100</v>
      </c>
      <c r="P454" t="s">
        <v>29</v>
      </c>
      <c r="Q454">
        <v>200000100</v>
      </c>
      <c r="R454" t="s">
        <v>15322</v>
      </c>
      <c r="S454"/>
      <c r="T454" t="s">
        <v>15323</v>
      </c>
      <c r="U454" t="s">
        <v>1964</v>
      </c>
      <c r="V454" s="23">
        <v>0</v>
      </c>
      <c r="W454" s="23">
        <v>0</v>
      </c>
      <c r="X454" s="23">
        <v>0</v>
      </c>
      <c r="Y454"/>
      <c r="Z454">
        <v>1246260798</v>
      </c>
      <c r="AA454"/>
      <c r="AB454" t="s">
        <v>1199</v>
      </c>
      <c r="AC454">
        <v>102</v>
      </c>
      <c r="AD454">
        <v>4</v>
      </c>
      <c r="AE454" t="s">
        <v>15324</v>
      </c>
      <c r="AF454"/>
      <c r="AG454" s="23"/>
      <c r="AH454" s="265" t="str">
        <f>_xlfn.XLOOKUP(G454,Clientes!I:I,Clientes!F:F)</f>
        <v>GRUPO FERTIPAR FERTILIZANTES DO NORDESTE</v>
      </c>
    </row>
    <row r="455" spans="1:34" x14ac:dyDescent="0.25">
      <c r="A455">
        <v>161</v>
      </c>
      <c r="B455" t="s">
        <v>145</v>
      </c>
      <c r="C455"/>
      <c r="D455" s="23">
        <v>101052</v>
      </c>
      <c r="E455">
        <v>11178</v>
      </c>
      <c r="F455">
        <v>11</v>
      </c>
      <c r="G455">
        <v>10434</v>
      </c>
      <c r="H455" t="s">
        <v>99</v>
      </c>
      <c r="I455" s="23">
        <v>101052</v>
      </c>
      <c r="J455" s="185">
        <v>46132</v>
      </c>
      <c r="K455" s="185">
        <v>46132</v>
      </c>
      <c r="L455" s="185">
        <v>46160</v>
      </c>
      <c r="M455" s="185">
        <v>46160</v>
      </c>
      <c r="N455"/>
      <c r="O455">
        <v>1010100</v>
      </c>
      <c r="P455" t="s">
        <v>29</v>
      </c>
      <c r="Q455">
        <v>200000100</v>
      </c>
      <c r="R455" t="s">
        <v>15322</v>
      </c>
      <c r="S455"/>
      <c r="T455" t="s">
        <v>15323</v>
      </c>
      <c r="U455" t="s">
        <v>4468</v>
      </c>
      <c r="V455" s="23">
        <v>0</v>
      </c>
      <c r="W455" s="23">
        <v>0</v>
      </c>
      <c r="X455" s="23">
        <v>0</v>
      </c>
      <c r="Y455"/>
      <c r="Z455">
        <v>1246271891</v>
      </c>
      <c r="AA455"/>
      <c r="AB455" t="s">
        <v>1199</v>
      </c>
      <c r="AC455">
        <v>102</v>
      </c>
      <c r="AD455">
        <v>4</v>
      </c>
      <c r="AE455" t="s">
        <v>15324</v>
      </c>
      <c r="AF455"/>
      <c r="AG455" s="23"/>
      <c r="AH455" s="265" t="str">
        <f>_xlfn.XLOOKUP(G455,Clientes!I:I,Clientes!F:F)</f>
        <v>GRUPO CIBRA</v>
      </c>
    </row>
    <row r="456" spans="1:34" x14ac:dyDescent="0.25">
      <c r="A456">
        <v>161</v>
      </c>
      <c r="B456" t="s">
        <v>145</v>
      </c>
      <c r="C456"/>
      <c r="D456" s="23">
        <v>101201.1</v>
      </c>
      <c r="E456">
        <v>11045</v>
      </c>
      <c r="F456">
        <v>11</v>
      </c>
      <c r="G456">
        <v>456</v>
      </c>
      <c r="H456" t="s">
        <v>312</v>
      </c>
      <c r="I456" s="23">
        <v>101201.1</v>
      </c>
      <c r="J456" s="185">
        <v>46114</v>
      </c>
      <c r="K456" s="185">
        <v>46114</v>
      </c>
      <c r="L456" s="185">
        <v>46142</v>
      </c>
      <c r="M456" s="185">
        <v>46136</v>
      </c>
      <c r="N456"/>
      <c r="O456">
        <v>1010100</v>
      </c>
      <c r="P456" t="s">
        <v>29</v>
      </c>
      <c r="Q456">
        <v>200000100</v>
      </c>
      <c r="R456" t="s">
        <v>15322</v>
      </c>
      <c r="S456"/>
      <c r="T456" t="s">
        <v>15323</v>
      </c>
      <c r="U456" t="s">
        <v>5803</v>
      </c>
      <c r="V456" s="23">
        <v>0</v>
      </c>
      <c r="W456" s="23">
        <v>0</v>
      </c>
      <c r="X456" s="23">
        <v>0</v>
      </c>
      <c r="Y456"/>
      <c r="Z456">
        <v>1246270168</v>
      </c>
      <c r="AA456"/>
      <c r="AB456" t="s">
        <v>1199</v>
      </c>
      <c r="AC456">
        <v>102</v>
      </c>
      <c r="AD456">
        <v>4</v>
      </c>
      <c r="AE456" t="s">
        <v>15324</v>
      </c>
      <c r="AF456"/>
      <c r="AG456" s="23"/>
      <c r="AH456" s="265" t="str">
        <f>_xlfn.XLOOKUP(G456,Clientes!I:I,Clientes!F:F)</f>
        <v>GRUPO FERTIPAR FERTILIZANTES DO NORDESTE</v>
      </c>
    </row>
    <row r="457" spans="1:34" x14ac:dyDescent="0.25">
      <c r="A457">
        <v>161</v>
      </c>
      <c r="B457" t="s">
        <v>145</v>
      </c>
      <c r="C457"/>
      <c r="D457" s="23">
        <v>101470.7</v>
      </c>
      <c r="E457">
        <v>11099</v>
      </c>
      <c r="F457">
        <v>11</v>
      </c>
      <c r="G457">
        <v>456</v>
      </c>
      <c r="H457" t="s">
        <v>312</v>
      </c>
      <c r="I457" s="23">
        <v>101470.7</v>
      </c>
      <c r="J457" s="185">
        <v>46122</v>
      </c>
      <c r="K457" s="185">
        <v>46122</v>
      </c>
      <c r="L457" s="185">
        <v>46150</v>
      </c>
      <c r="M457" s="185">
        <v>46136</v>
      </c>
      <c r="N457"/>
      <c r="O457">
        <v>1010100</v>
      </c>
      <c r="P457" t="s">
        <v>29</v>
      </c>
      <c r="Q457">
        <v>200000100</v>
      </c>
      <c r="R457" t="s">
        <v>15322</v>
      </c>
      <c r="S457"/>
      <c r="T457" t="s">
        <v>15323</v>
      </c>
      <c r="U457" t="s">
        <v>5803</v>
      </c>
      <c r="V457" s="23">
        <v>0</v>
      </c>
      <c r="W457" s="23">
        <v>0</v>
      </c>
      <c r="X457" s="23">
        <v>0</v>
      </c>
      <c r="Y457"/>
      <c r="Z457">
        <v>1246271057</v>
      </c>
      <c r="AA457"/>
      <c r="AB457" t="s">
        <v>1199</v>
      </c>
      <c r="AC457">
        <v>102</v>
      </c>
      <c r="AD457">
        <v>4</v>
      </c>
      <c r="AE457" t="s">
        <v>15324</v>
      </c>
      <c r="AF457"/>
      <c r="AG457" s="23"/>
      <c r="AH457" s="265" t="str">
        <f>_xlfn.XLOOKUP(G457,Clientes!I:I,Clientes!F:F)</f>
        <v>GRUPO FERTIPAR FERTILIZANTES DO NORDESTE</v>
      </c>
    </row>
    <row r="458" spans="1:34" x14ac:dyDescent="0.25">
      <c r="A458">
        <v>161</v>
      </c>
      <c r="B458" t="s">
        <v>145</v>
      </c>
      <c r="C458"/>
      <c r="D458" s="23">
        <v>101696.4</v>
      </c>
      <c r="E458">
        <v>11209</v>
      </c>
      <c r="F458">
        <v>11</v>
      </c>
      <c r="G458">
        <v>10434</v>
      </c>
      <c r="H458" t="s">
        <v>99</v>
      </c>
      <c r="I458" s="23">
        <v>101696.4</v>
      </c>
      <c r="J458" s="185">
        <v>46136</v>
      </c>
      <c r="K458" s="185">
        <v>46136</v>
      </c>
      <c r="L458" s="185">
        <v>46164</v>
      </c>
      <c r="M458" s="185">
        <v>46164</v>
      </c>
      <c r="N458"/>
      <c r="O458">
        <v>1010100</v>
      </c>
      <c r="P458" t="s">
        <v>29</v>
      </c>
      <c r="Q458">
        <v>200000100</v>
      </c>
      <c r="R458" t="s">
        <v>15322</v>
      </c>
      <c r="S458"/>
      <c r="T458" t="s">
        <v>15323</v>
      </c>
      <c r="U458" t="s">
        <v>4502</v>
      </c>
      <c r="V458" s="23">
        <v>0</v>
      </c>
      <c r="W458" s="23">
        <v>0</v>
      </c>
      <c r="X458" s="23">
        <v>0</v>
      </c>
      <c r="Y458"/>
      <c r="Z458">
        <v>1246272407</v>
      </c>
      <c r="AA458"/>
      <c r="AB458" t="s">
        <v>1199</v>
      </c>
      <c r="AC458">
        <v>102</v>
      </c>
      <c r="AD458">
        <v>4</v>
      </c>
      <c r="AE458" t="s">
        <v>15324</v>
      </c>
      <c r="AF458"/>
      <c r="AG458" s="23"/>
      <c r="AH458" s="265" t="str">
        <f>_xlfn.XLOOKUP(G458,Clientes!I:I,Clientes!F:F)</f>
        <v>GRUPO CIBRA</v>
      </c>
    </row>
    <row r="459" spans="1:34" x14ac:dyDescent="0.25">
      <c r="A459">
        <v>161</v>
      </c>
      <c r="B459" t="s">
        <v>145</v>
      </c>
      <c r="C459"/>
      <c r="D459" s="23">
        <v>102078</v>
      </c>
      <c r="E459">
        <v>11637</v>
      </c>
      <c r="F459">
        <v>11</v>
      </c>
      <c r="G459">
        <v>10434</v>
      </c>
      <c r="H459" t="s">
        <v>99</v>
      </c>
      <c r="I459" s="23">
        <v>102078</v>
      </c>
      <c r="J459" s="185">
        <v>46181</v>
      </c>
      <c r="K459" s="185">
        <v>46181</v>
      </c>
      <c r="L459" s="185">
        <v>46209</v>
      </c>
      <c r="M459" s="185"/>
      <c r="N459"/>
      <c r="O459">
        <v>1010100</v>
      </c>
      <c r="P459" t="s">
        <v>29</v>
      </c>
      <c r="Q459">
        <v>200000100</v>
      </c>
      <c r="R459" t="s">
        <v>15322</v>
      </c>
      <c r="S459"/>
      <c r="T459" t="s">
        <v>15323</v>
      </c>
      <c r="U459" t="s">
        <v>5803</v>
      </c>
      <c r="V459" s="23">
        <v>0</v>
      </c>
      <c r="W459" s="23">
        <v>0</v>
      </c>
      <c r="X459" s="23">
        <v>0</v>
      </c>
      <c r="Y459"/>
      <c r="Z459">
        <v>1246278529</v>
      </c>
      <c r="AA459"/>
      <c r="AB459"/>
      <c r="AC459">
        <v>102</v>
      </c>
      <c r="AD459">
        <v>4</v>
      </c>
      <c r="AE459" t="s">
        <v>15324</v>
      </c>
      <c r="AF459"/>
      <c r="AG459" s="23"/>
      <c r="AH459" s="265" t="str">
        <f>_xlfn.XLOOKUP(G459,Clientes!I:I,Clientes!F:F)</f>
        <v>GRUPO CIBRA</v>
      </c>
    </row>
    <row r="460" spans="1:34" x14ac:dyDescent="0.25">
      <c r="A460">
        <v>161</v>
      </c>
      <c r="B460" t="s">
        <v>145</v>
      </c>
      <c r="C460"/>
      <c r="D460" s="23">
        <v>103200.03</v>
      </c>
      <c r="E460">
        <v>11613</v>
      </c>
      <c r="F460">
        <v>11</v>
      </c>
      <c r="G460">
        <v>456</v>
      </c>
      <c r="H460" t="s">
        <v>312</v>
      </c>
      <c r="I460" s="23">
        <v>103200.03</v>
      </c>
      <c r="J460" s="185">
        <v>46178</v>
      </c>
      <c r="K460" s="185">
        <v>46178</v>
      </c>
      <c r="L460" s="185">
        <v>46206</v>
      </c>
      <c r="M460" s="185"/>
      <c r="N460"/>
      <c r="O460">
        <v>1010100</v>
      </c>
      <c r="P460" t="s">
        <v>29</v>
      </c>
      <c r="Q460">
        <v>200000100</v>
      </c>
      <c r="R460" t="s">
        <v>15322</v>
      </c>
      <c r="S460"/>
      <c r="T460" t="s">
        <v>15323</v>
      </c>
      <c r="U460" t="s">
        <v>1216</v>
      </c>
      <c r="V460" s="23">
        <v>0</v>
      </c>
      <c r="W460" s="23">
        <v>0</v>
      </c>
      <c r="X460" s="23">
        <v>0</v>
      </c>
      <c r="Y460"/>
      <c r="Z460">
        <v>1246278380</v>
      </c>
      <c r="AA460"/>
      <c r="AB460"/>
      <c r="AC460">
        <v>102</v>
      </c>
      <c r="AD460">
        <v>4</v>
      </c>
      <c r="AE460" t="s">
        <v>15324</v>
      </c>
      <c r="AF460"/>
      <c r="AG460" s="23"/>
      <c r="AH460" s="265" t="str">
        <f>_xlfn.XLOOKUP(G460,Clientes!I:I,Clientes!F:F)</f>
        <v>GRUPO FERTIPAR FERTILIZANTES DO NORDESTE</v>
      </c>
    </row>
    <row r="461" spans="1:34" x14ac:dyDescent="0.25">
      <c r="A461">
        <v>40</v>
      </c>
      <c r="B461" t="s">
        <v>155</v>
      </c>
      <c r="C461"/>
      <c r="D461" s="23">
        <v>103419.89</v>
      </c>
      <c r="E461">
        <v>2789</v>
      </c>
      <c r="F461">
        <v>13</v>
      </c>
      <c r="G461">
        <v>2346</v>
      </c>
      <c r="H461" t="s">
        <v>453</v>
      </c>
      <c r="I461" s="23">
        <v>103419.89</v>
      </c>
      <c r="J461" s="185">
        <v>46080</v>
      </c>
      <c r="K461" s="185">
        <v>46080</v>
      </c>
      <c r="L461" s="185">
        <v>46170</v>
      </c>
      <c r="M461" s="185">
        <v>46168</v>
      </c>
      <c r="N461"/>
      <c r="O461">
        <v>1010200</v>
      </c>
      <c r="P461" t="s">
        <v>113</v>
      </c>
      <c r="Q461">
        <v>200000100</v>
      </c>
      <c r="R461" t="s">
        <v>15322</v>
      </c>
      <c r="S461"/>
      <c r="T461" t="s">
        <v>15323</v>
      </c>
      <c r="U461" t="s">
        <v>1199</v>
      </c>
      <c r="V461" s="23">
        <v>0</v>
      </c>
      <c r="W461" s="23">
        <v>0</v>
      </c>
      <c r="X461" s="23">
        <v>0</v>
      </c>
      <c r="Y461"/>
      <c r="Z461">
        <v>1246265843</v>
      </c>
      <c r="AA461"/>
      <c r="AB461" t="s">
        <v>1199</v>
      </c>
      <c r="AC461">
        <v>125</v>
      </c>
      <c r="AD461">
        <v>4</v>
      </c>
      <c r="AE461" t="s">
        <v>15324</v>
      </c>
      <c r="AF461" t="s">
        <v>15351</v>
      </c>
      <c r="AG461" s="23">
        <v>20130</v>
      </c>
      <c r="AH461" s="265" t="str">
        <f>_xlfn.XLOOKUP(G461,Clientes!I:I,Clientes!F:F)</f>
        <v>TEPEYAC - MÉXICO</v>
      </c>
    </row>
    <row r="462" spans="1:34" x14ac:dyDescent="0.25">
      <c r="A462">
        <v>161</v>
      </c>
      <c r="B462" t="s">
        <v>145</v>
      </c>
      <c r="C462"/>
      <c r="D462" s="23">
        <v>103795.2</v>
      </c>
      <c r="E462">
        <v>10957</v>
      </c>
      <c r="F462">
        <v>11</v>
      </c>
      <c r="G462">
        <v>1787</v>
      </c>
      <c r="H462" t="s">
        <v>57</v>
      </c>
      <c r="I462" s="23">
        <v>103795.2</v>
      </c>
      <c r="J462" s="185">
        <v>46104</v>
      </c>
      <c r="K462" s="185">
        <v>46104</v>
      </c>
      <c r="L462" s="185">
        <v>46194</v>
      </c>
      <c r="M462" s="185">
        <v>46195</v>
      </c>
      <c r="N462"/>
      <c r="O462">
        <v>1010100</v>
      </c>
      <c r="P462" t="s">
        <v>29</v>
      </c>
      <c r="Q462">
        <v>200000100</v>
      </c>
      <c r="R462" t="s">
        <v>15322</v>
      </c>
      <c r="S462"/>
      <c r="T462" t="s">
        <v>15323</v>
      </c>
      <c r="U462" t="s">
        <v>2073</v>
      </c>
      <c r="V462" s="23">
        <v>0</v>
      </c>
      <c r="W462" s="23">
        <v>0</v>
      </c>
      <c r="X462" s="23">
        <v>0</v>
      </c>
      <c r="Y462"/>
      <c r="Z462">
        <v>1246268633</v>
      </c>
      <c r="AA462"/>
      <c r="AB462" t="s">
        <v>1199</v>
      </c>
      <c r="AC462">
        <v>102</v>
      </c>
      <c r="AD462">
        <v>4</v>
      </c>
      <c r="AE462" t="s">
        <v>15324</v>
      </c>
      <c r="AF462"/>
      <c r="AG462" s="23"/>
      <c r="AH462" s="265" t="str">
        <f>_xlfn.XLOOKUP(G462,Clientes!I:I,Clientes!F:F)</f>
        <v>GRUPO MOSAIC FERTILIZANTES P K LTDA</v>
      </c>
    </row>
    <row r="463" spans="1:34" x14ac:dyDescent="0.25">
      <c r="A463">
        <v>161</v>
      </c>
      <c r="B463" t="s">
        <v>145</v>
      </c>
      <c r="C463"/>
      <c r="D463" s="23">
        <v>104876.3</v>
      </c>
      <c r="E463">
        <v>11558</v>
      </c>
      <c r="F463">
        <v>11</v>
      </c>
      <c r="G463">
        <v>2011</v>
      </c>
      <c r="H463" t="s">
        <v>616</v>
      </c>
      <c r="I463" s="23">
        <v>104876.3</v>
      </c>
      <c r="J463" s="185">
        <v>46171</v>
      </c>
      <c r="K463" s="185">
        <v>46171</v>
      </c>
      <c r="L463" s="185">
        <v>46199</v>
      </c>
      <c r="M463" s="185"/>
      <c r="N463"/>
      <c r="O463">
        <v>1010100</v>
      </c>
      <c r="P463" t="s">
        <v>29</v>
      </c>
      <c r="Q463">
        <v>200000100</v>
      </c>
      <c r="R463" t="s">
        <v>15322</v>
      </c>
      <c r="S463"/>
      <c r="T463" t="s">
        <v>15323</v>
      </c>
      <c r="U463" t="s">
        <v>6311</v>
      </c>
      <c r="V463" s="23">
        <v>0</v>
      </c>
      <c r="W463" s="23">
        <v>0</v>
      </c>
      <c r="X463" s="23">
        <v>0</v>
      </c>
      <c r="Y463"/>
      <c r="Z463">
        <v>1246277476</v>
      </c>
      <c r="AA463"/>
      <c r="AB463"/>
      <c r="AC463">
        <v>102</v>
      </c>
      <c r="AD463">
        <v>4</v>
      </c>
      <c r="AE463" t="s">
        <v>15324</v>
      </c>
      <c r="AF463"/>
      <c r="AG463" s="23"/>
      <c r="AH463" s="265" t="str">
        <f>_xlfn.XLOOKUP(G463,Clientes!I:I,Clientes!F:F)</f>
        <v>FERTGROW S.A</v>
      </c>
    </row>
    <row r="464" spans="1:34" x14ac:dyDescent="0.25">
      <c r="A464">
        <v>161</v>
      </c>
      <c r="B464" t="s">
        <v>145</v>
      </c>
      <c r="C464"/>
      <c r="D464" s="23">
        <v>105017.5</v>
      </c>
      <c r="E464">
        <v>11519</v>
      </c>
      <c r="F464">
        <v>11</v>
      </c>
      <c r="G464">
        <v>2011</v>
      </c>
      <c r="H464" t="s">
        <v>616</v>
      </c>
      <c r="I464" s="23">
        <v>105017.5</v>
      </c>
      <c r="J464" s="185">
        <v>46169</v>
      </c>
      <c r="K464" s="185">
        <v>46169</v>
      </c>
      <c r="L464" s="185">
        <v>46197</v>
      </c>
      <c r="M464" s="185">
        <v>46197</v>
      </c>
      <c r="N464"/>
      <c r="O464">
        <v>1010100</v>
      </c>
      <c r="P464" t="s">
        <v>29</v>
      </c>
      <c r="Q464">
        <v>200000100</v>
      </c>
      <c r="R464" t="s">
        <v>15322</v>
      </c>
      <c r="S464"/>
      <c r="T464" t="s">
        <v>15323</v>
      </c>
      <c r="U464" t="s">
        <v>6311</v>
      </c>
      <c r="V464" s="23">
        <v>0</v>
      </c>
      <c r="W464" s="23">
        <v>0</v>
      </c>
      <c r="X464" s="23">
        <v>0</v>
      </c>
      <c r="Y464"/>
      <c r="Z464">
        <v>1246277105</v>
      </c>
      <c r="AA464"/>
      <c r="AB464" t="s">
        <v>1186</v>
      </c>
      <c r="AC464">
        <v>102</v>
      </c>
      <c r="AD464">
        <v>4</v>
      </c>
      <c r="AE464" t="s">
        <v>15324</v>
      </c>
      <c r="AF464"/>
      <c r="AG464" s="23"/>
      <c r="AH464" s="265" t="str">
        <f>_xlfn.XLOOKUP(G464,Clientes!I:I,Clientes!F:F)</f>
        <v>FERTGROW S.A</v>
      </c>
    </row>
    <row r="465" spans="1:34" x14ac:dyDescent="0.25">
      <c r="A465">
        <v>161</v>
      </c>
      <c r="B465" t="s">
        <v>145</v>
      </c>
      <c r="C465"/>
      <c r="D465" s="23">
        <v>105052.8</v>
      </c>
      <c r="E465">
        <v>11355</v>
      </c>
      <c r="F465">
        <v>11</v>
      </c>
      <c r="G465">
        <v>2011</v>
      </c>
      <c r="H465" t="s">
        <v>616</v>
      </c>
      <c r="I465" s="23">
        <v>105052.8</v>
      </c>
      <c r="J465" s="185">
        <v>46154</v>
      </c>
      <c r="K465" s="185">
        <v>46154</v>
      </c>
      <c r="L465" s="185">
        <v>46182</v>
      </c>
      <c r="M465" s="185">
        <v>46178</v>
      </c>
      <c r="N465"/>
      <c r="O465">
        <v>1010100</v>
      </c>
      <c r="P465" t="s">
        <v>29</v>
      </c>
      <c r="Q465">
        <v>200000100</v>
      </c>
      <c r="R465" t="s">
        <v>15322</v>
      </c>
      <c r="S465"/>
      <c r="T465" t="s">
        <v>15323</v>
      </c>
      <c r="U465" t="s">
        <v>6311</v>
      </c>
      <c r="V465" s="23">
        <v>0</v>
      </c>
      <c r="W465" s="23">
        <v>0</v>
      </c>
      <c r="X465" s="23">
        <v>0</v>
      </c>
      <c r="Y465"/>
      <c r="Z465">
        <v>1246274524</v>
      </c>
      <c r="AA465"/>
      <c r="AB465" t="s">
        <v>1186</v>
      </c>
      <c r="AC465">
        <v>102</v>
      </c>
      <c r="AD465">
        <v>4</v>
      </c>
      <c r="AE465" t="s">
        <v>15324</v>
      </c>
      <c r="AF465"/>
      <c r="AG465" s="23"/>
      <c r="AH465" s="265" t="str">
        <f>_xlfn.XLOOKUP(G465,Clientes!I:I,Clientes!F:F)</f>
        <v>FERTGROW S.A</v>
      </c>
    </row>
    <row r="466" spans="1:34" x14ac:dyDescent="0.25">
      <c r="A466">
        <v>161</v>
      </c>
      <c r="B466" t="s">
        <v>145</v>
      </c>
      <c r="C466"/>
      <c r="D466" s="23">
        <v>105088.1</v>
      </c>
      <c r="E466">
        <v>11486</v>
      </c>
      <c r="F466">
        <v>11</v>
      </c>
      <c r="G466">
        <v>2011</v>
      </c>
      <c r="H466" t="s">
        <v>616</v>
      </c>
      <c r="I466" s="23">
        <v>105088.1</v>
      </c>
      <c r="J466" s="185">
        <v>46167</v>
      </c>
      <c r="K466" s="185">
        <v>46167</v>
      </c>
      <c r="L466" s="185">
        <v>46195</v>
      </c>
      <c r="M466" s="185">
        <v>46192</v>
      </c>
      <c r="N466"/>
      <c r="O466">
        <v>1010100</v>
      </c>
      <c r="P466" t="s">
        <v>29</v>
      </c>
      <c r="Q466">
        <v>200000100</v>
      </c>
      <c r="R466" t="s">
        <v>15322</v>
      </c>
      <c r="S466"/>
      <c r="T466" t="s">
        <v>15323</v>
      </c>
      <c r="U466" t="s">
        <v>6311</v>
      </c>
      <c r="V466" s="23">
        <v>0</v>
      </c>
      <c r="W466" s="23">
        <v>0</v>
      </c>
      <c r="X466" s="23">
        <v>0</v>
      </c>
      <c r="Y466"/>
      <c r="Z466">
        <v>1246276488</v>
      </c>
      <c r="AA466"/>
      <c r="AB466" t="s">
        <v>1186</v>
      </c>
      <c r="AC466">
        <v>102</v>
      </c>
      <c r="AD466">
        <v>4</v>
      </c>
      <c r="AE466" t="s">
        <v>15324</v>
      </c>
      <c r="AF466"/>
      <c r="AG466" s="23"/>
      <c r="AH466" s="265" t="str">
        <f>_xlfn.XLOOKUP(G466,Clientes!I:I,Clientes!F:F)</f>
        <v>FERTGROW S.A</v>
      </c>
    </row>
    <row r="467" spans="1:34" x14ac:dyDescent="0.25">
      <c r="A467">
        <v>161</v>
      </c>
      <c r="B467" t="s">
        <v>145</v>
      </c>
      <c r="C467"/>
      <c r="D467" s="23">
        <v>105123.4</v>
      </c>
      <c r="E467">
        <v>11447</v>
      </c>
      <c r="F467">
        <v>11</v>
      </c>
      <c r="G467">
        <v>2011</v>
      </c>
      <c r="H467" t="s">
        <v>616</v>
      </c>
      <c r="I467" s="23">
        <v>105123.4</v>
      </c>
      <c r="J467" s="185">
        <v>46162</v>
      </c>
      <c r="K467" s="185">
        <v>46162</v>
      </c>
      <c r="L467" s="185">
        <v>46190</v>
      </c>
      <c r="M467" s="185">
        <v>46190</v>
      </c>
      <c r="N467"/>
      <c r="O467">
        <v>1010100</v>
      </c>
      <c r="P467" t="s">
        <v>29</v>
      </c>
      <c r="Q467">
        <v>200000100</v>
      </c>
      <c r="R467" t="s">
        <v>15322</v>
      </c>
      <c r="S467"/>
      <c r="T467" t="s">
        <v>15323</v>
      </c>
      <c r="U467" t="s">
        <v>6311</v>
      </c>
      <c r="V467" s="23">
        <v>0</v>
      </c>
      <c r="W467" s="23">
        <v>0</v>
      </c>
      <c r="X467" s="23">
        <v>0</v>
      </c>
      <c r="Y467"/>
      <c r="Z467">
        <v>1246275874</v>
      </c>
      <c r="AA467"/>
      <c r="AB467" t="s">
        <v>1186</v>
      </c>
      <c r="AC467">
        <v>102</v>
      </c>
      <c r="AD467">
        <v>4</v>
      </c>
      <c r="AE467" t="s">
        <v>15324</v>
      </c>
      <c r="AF467"/>
      <c r="AG467" s="23"/>
      <c r="AH467" s="265" t="str">
        <f>_xlfn.XLOOKUP(G467,Clientes!I:I,Clientes!F:F)</f>
        <v>FERTGROW S.A</v>
      </c>
    </row>
    <row r="468" spans="1:34" x14ac:dyDescent="0.25">
      <c r="A468">
        <v>161</v>
      </c>
      <c r="B468" t="s">
        <v>145</v>
      </c>
      <c r="C468"/>
      <c r="D468" s="23">
        <v>105229.3</v>
      </c>
      <c r="E468">
        <v>11628</v>
      </c>
      <c r="F468">
        <v>11</v>
      </c>
      <c r="G468">
        <v>2011</v>
      </c>
      <c r="H468" t="s">
        <v>616</v>
      </c>
      <c r="I468" s="23">
        <v>105229.3</v>
      </c>
      <c r="J468" s="185">
        <v>46179</v>
      </c>
      <c r="K468" s="185">
        <v>46179</v>
      </c>
      <c r="L468" s="185">
        <v>46207</v>
      </c>
      <c r="M468" s="185"/>
      <c r="N468"/>
      <c r="O468">
        <v>1010100</v>
      </c>
      <c r="P468" t="s">
        <v>29</v>
      </c>
      <c r="Q468">
        <v>200000100</v>
      </c>
      <c r="R468" t="s">
        <v>15322</v>
      </c>
      <c r="S468"/>
      <c r="T468" t="s">
        <v>15323</v>
      </c>
      <c r="U468" t="s">
        <v>5803</v>
      </c>
      <c r="V468" s="23">
        <v>0</v>
      </c>
      <c r="W468" s="23">
        <v>0</v>
      </c>
      <c r="X468" s="23">
        <v>0</v>
      </c>
      <c r="Y468"/>
      <c r="Z468">
        <v>1246278427</v>
      </c>
      <c r="AA468"/>
      <c r="AB468"/>
      <c r="AC468">
        <v>102</v>
      </c>
      <c r="AD468">
        <v>4</v>
      </c>
      <c r="AE468" t="s">
        <v>15324</v>
      </c>
      <c r="AF468"/>
      <c r="AG468" s="23"/>
      <c r="AH468" s="265" t="str">
        <f>_xlfn.XLOOKUP(G468,Clientes!I:I,Clientes!F:F)</f>
        <v>FERTGROW S.A</v>
      </c>
    </row>
    <row r="469" spans="1:34" x14ac:dyDescent="0.25">
      <c r="A469">
        <v>161</v>
      </c>
      <c r="B469" t="s">
        <v>145</v>
      </c>
      <c r="C469"/>
      <c r="D469" s="23">
        <v>105258</v>
      </c>
      <c r="E469">
        <v>11382</v>
      </c>
      <c r="F469">
        <v>11</v>
      </c>
      <c r="G469">
        <v>33</v>
      </c>
      <c r="H469" t="s">
        <v>757</v>
      </c>
      <c r="I469" s="23">
        <v>105258</v>
      </c>
      <c r="J469" s="185">
        <v>46155</v>
      </c>
      <c r="K469" s="185">
        <v>46155</v>
      </c>
      <c r="L469" s="185">
        <v>46185</v>
      </c>
      <c r="M469" s="185">
        <v>46183</v>
      </c>
      <c r="N469"/>
      <c r="O469">
        <v>1010100</v>
      </c>
      <c r="P469" t="s">
        <v>29</v>
      </c>
      <c r="Q469">
        <v>200000100</v>
      </c>
      <c r="R469" t="s">
        <v>15322</v>
      </c>
      <c r="S469"/>
      <c r="T469" t="s">
        <v>15323</v>
      </c>
      <c r="U469" t="s">
        <v>4502</v>
      </c>
      <c r="V469" s="23">
        <v>0</v>
      </c>
      <c r="W469" s="23">
        <v>0</v>
      </c>
      <c r="X469" s="23">
        <v>0</v>
      </c>
      <c r="Y469"/>
      <c r="Z469">
        <v>1246274858</v>
      </c>
      <c r="AA469"/>
      <c r="AB469" t="s">
        <v>1199</v>
      </c>
      <c r="AC469">
        <v>102</v>
      </c>
      <c r="AD469">
        <v>4</v>
      </c>
      <c r="AE469" t="s">
        <v>15324</v>
      </c>
      <c r="AF469"/>
      <c r="AG469" s="23"/>
      <c r="AH469" s="265" t="str">
        <f>_xlfn.XLOOKUP(G469,Clientes!I:I,Clientes!F:F)</f>
        <v>GRUPO HERINGER</v>
      </c>
    </row>
    <row r="470" spans="1:34" x14ac:dyDescent="0.25">
      <c r="A470">
        <v>161</v>
      </c>
      <c r="B470" t="s">
        <v>145</v>
      </c>
      <c r="C470"/>
      <c r="D470" s="23">
        <v>105264.6</v>
      </c>
      <c r="E470">
        <v>11410</v>
      </c>
      <c r="F470">
        <v>11</v>
      </c>
      <c r="G470">
        <v>2011</v>
      </c>
      <c r="H470" t="s">
        <v>616</v>
      </c>
      <c r="I470" s="23">
        <v>105264.6</v>
      </c>
      <c r="J470" s="185">
        <v>46157</v>
      </c>
      <c r="K470" s="185">
        <v>46157</v>
      </c>
      <c r="L470" s="185">
        <v>46185</v>
      </c>
      <c r="M470" s="185">
        <v>46185</v>
      </c>
      <c r="N470"/>
      <c r="O470">
        <v>1010100</v>
      </c>
      <c r="P470" t="s">
        <v>29</v>
      </c>
      <c r="Q470">
        <v>200000100</v>
      </c>
      <c r="R470" t="s">
        <v>15322</v>
      </c>
      <c r="S470"/>
      <c r="T470" t="s">
        <v>15323</v>
      </c>
      <c r="U470" t="s">
        <v>6311</v>
      </c>
      <c r="V470" s="23">
        <v>0</v>
      </c>
      <c r="W470" s="23">
        <v>0</v>
      </c>
      <c r="X470" s="23">
        <v>0</v>
      </c>
      <c r="Y470"/>
      <c r="Z470">
        <v>1246275452</v>
      </c>
      <c r="AA470"/>
      <c r="AB470" t="s">
        <v>1186</v>
      </c>
      <c r="AC470">
        <v>102</v>
      </c>
      <c r="AD470">
        <v>4</v>
      </c>
      <c r="AE470" t="s">
        <v>15324</v>
      </c>
      <c r="AF470"/>
      <c r="AG470" s="23"/>
      <c r="AH470" s="265" t="str">
        <f>_xlfn.XLOOKUP(G470,Clientes!I:I,Clientes!F:F)</f>
        <v>FERTGROW S.A</v>
      </c>
    </row>
    <row r="471" spans="1:34" x14ac:dyDescent="0.25">
      <c r="A471">
        <v>161</v>
      </c>
      <c r="B471" t="s">
        <v>145</v>
      </c>
      <c r="C471"/>
      <c r="D471" s="23">
        <v>105370.5</v>
      </c>
      <c r="E471">
        <v>11491</v>
      </c>
      <c r="F471">
        <v>11</v>
      </c>
      <c r="G471">
        <v>2011</v>
      </c>
      <c r="H471" t="s">
        <v>616</v>
      </c>
      <c r="I471" s="23">
        <v>105370.5</v>
      </c>
      <c r="J471" s="185">
        <v>46167</v>
      </c>
      <c r="K471" s="185">
        <v>46167</v>
      </c>
      <c r="L471" s="185">
        <v>46195</v>
      </c>
      <c r="M471" s="185">
        <v>46192</v>
      </c>
      <c r="N471"/>
      <c r="O471">
        <v>1010100</v>
      </c>
      <c r="P471" t="s">
        <v>29</v>
      </c>
      <c r="Q471">
        <v>200000100</v>
      </c>
      <c r="R471" t="s">
        <v>15322</v>
      </c>
      <c r="S471"/>
      <c r="T471" t="s">
        <v>15323</v>
      </c>
      <c r="U471" t="s">
        <v>6311</v>
      </c>
      <c r="V471" s="23">
        <v>0</v>
      </c>
      <c r="W471" s="23">
        <v>0</v>
      </c>
      <c r="X471" s="23">
        <v>0</v>
      </c>
      <c r="Y471"/>
      <c r="Z471">
        <v>1246276546</v>
      </c>
      <c r="AA471"/>
      <c r="AB471" t="s">
        <v>1186</v>
      </c>
      <c r="AC471">
        <v>102</v>
      </c>
      <c r="AD471">
        <v>4</v>
      </c>
      <c r="AE471" t="s">
        <v>15324</v>
      </c>
      <c r="AF471"/>
      <c r="AG471" s="23"/>
      <c r="AH471" s="265" t="str">
        <f>_xlfn.XLOOKUP(G471,Clientes!I:I,Clientes!F:F)</f>
        <v>FERTGROW S.A</v>
      </c>
    </row>
    <row r="472" spans="1:34" x14ac:dyDescent="0.25">
      <c r="A472">
        <v>161</v>
      </c>
      <c r="B472" t="s">
        <v>145</v>
      </c>
      <c r="C472"/>
      <c r="D472" s="23">
        <v>105370.5</v>
      </c>
      <c r="E472">
        <v>11541</v>
      </c>
      <c r="F472">
        <v>11</v>
      </c>
      <c r="G472">
        <v>2011</v>
      </c>
      <c r="H472" t="s">
        <v>616</v>
      </c>
      <c r="I472" s="23">
        <v>105370.5</v>
      </c>
      <c r="J472" s="185">
        <v>46170</v>
      </c>
      <c r="K472" s="185">
        <v>46170</v>
      </c>
      <c r="L472" s="185">
        <v>46198</v>
      </c>
      <c r="M472" s="185">
        <v>46197</v>
      </c>
      <c r="N472"/>
      <c r="O472">
        <v>1010100</v>
      </c>
      <c r="P472" t="s">
        <v>29</v>
      </c>
      <c r="Q472">
        <v>200000100</v>
      </c>
      <c r="R472" t="s">
        <v>15322</v>
      </c>
      <c r="S472"/>
      <c r="T472" t="s">
        <v>15323</v>
      </c>
      <c r="U472" t="s">
        <v>6311</v>
      </c>
      <c r="V472" s="23">
        <v>0</v>
      </c>
      <c r="W472" s="23">
        <v>0</v>
      </c>
      <c r="X472" s="23">
        <v>0</v>
      </c>
      <c r="Y472"/>
      <c r="Z472">
        <v>1246277319</v>
      </c>
      <c r="AA472"/>
      <c r="AB472" t="s">
        <v>1186</v>
      </c>
      <c r="AC472">
        <v>102</v>
      </c>
      <c r="AD472">
        <v>4</v>
      </c>
      <c r="AE472" t="s">
        <v>15324</v>
      </c>
      <c r="AF472"/>
      <c r="AG472" s="23"/>
      <c r="AH472" s="265" t="str">
        <f>_xlfn.XLOOKUP(G472,Clientes!I:I,Clientes!F:F)</f>
        <v>FERTGROW S.A</v>
      </c>
    </row>
    <row r="473" spans="1:34" x14ac:dyDescent="0.25">
      <c r="A473">
        <v>161</v>
      </c>
      <c r="B473" t="s">
        <v>145</v>
      </c>
      <c r="C473"/>
      <c r="D473" s="23">
        <v>105547</v>
      </c>
      <c r="E473">
        <v>11282</v>
      </c>
      <c r="F473">
        <v>11</v>
      </c>
      <c r="G473">
        <v>2011</v>
      </c>
      <c r="H473" t="s">
        <v>616</v>
      </c>
      <c r="I473" s="23">
        <v>105547</v>
      </c>
      <c r="J473" s="185">
        <v>46146</v>
      </c>
      <c r="K473" s="185">
        <v>46146</v>
      </c>
      <c r="L473" s="185">
        <v>46174</v>
      </c>
      <c r="M473" s="185">
        <v>46169</v>
      </c>
      <c r="N473"/>
      <c r="O473">
        <v>1010100</v>
      </c>
      <c r="P473" t="s">
        <v>29</v>
      </c>
      <c r="Q473">
        <v>200000100</v>
      </c>
      <c r="R473" t="s">
        <v>15322</v>
      </c>
      <c r="S473"/>
      <c r="T473" t="s">
        <v>15323</v>
      </c>
      <c r="U473" t="s">
        <v>6311</v>
      </c>
      <c r="V473" s="23">
        <v>0</v>
      </c>
      <c r="W473" s="23">
        <v>0</v>
      </c>
      <c r="X473" s="23">
        <v>0</v>
      </c>
      <c r="Y473"/>
      <c r="Z473">
        <v>1246273395</v>
      </c>
      <c r="AA473"/>
      <c r="AB473" t="s">
        <v>1186</v>
      </c>
      <c r="AC473">
        <v>102</v>
      </c>
      <c r="AD473">
        <v>4</v>
      </c>
      <c r="AE473" t="s">
        <v>15324</v>
      </c>
      <c r="AF473"/>
      <c r="AG473" s="23"/>
      <c r="AH473" s="265" t="str">
        <f>_xlfn.XLOOKUP(G473,Clientes!I:I,Clientes!F:F)</f>
        <v>FERTGROW S.A</v>
      </c>
    </row>
    <row r="474" spans="1:34" x14ac:dyDescent="0.25">
      <c r="A474">
        <v>161</v>
      </c>
      <c r="B474" t="s">
        <v>145</v>
      </c>
      <c r="C474"/>
      <c r="D474" s="23">
        <v>105547</v>
      </c>
      <c r="E474">
        <v>11622</v>
      </c>
      <c r="F474">
        <v>11</v>
      </c>
      <c r="G474">
        <v>2011</v>
      </c>
      <c r="H474" t="s">
        <v>616</v>
      </c>
      <c r="I474" s="23">
        <v>105547</v>
      </c>
      <c r="J474" s="185">
        <v>46178</v>
      </c>
      <c r="K474" s="185">
        <v>46178</v>
      </c>
      <c r="L474" s="185">
        <v>46206</v>
      </c>
      <c r="M474" s="185"/>
      <c r="N474"/>
      <c r="O474">
        <v>1010100</v>
      </c>
      <c r="P474" t="s">
        <v>29</v>
      </c>
      <c r="Q474">
        <v>200000100</v>
      </c>
      <c r="R474" t="s">
        <v>15322</v>
      </c>
      <c r="S474"/>
      <c r="T474" t="s">
        <v>15323</v>
      </c>
      <c r="U474" t="s">
        <v>6311</v>
      </c>
      <c r="V474" s="23">
        <v>0</v>
      </c>
      <c r="W474" s="23">
        <v>0</v>
      </c>
      <c r="X474" s="23">
        <v>0</v>
      </c>
      <c r="Y474"/>
      <c r="Z474">
        <v>1246278413</v>
      </c>
      <c r="AA474"/>
      <c r="AB474"/>
      <c r="AC474">
        <v>102</v>
      </c>
      <c r="AD474">
        <v>4</v>
      </c>
      <c r="AE474" t="s">
        <v>15324</v>
      </c>
      <c r="AF474"/>
      <c r="AG474" s="23"/>
      <c r="AH474" s="265" t="str">
        <f>_xlfn.XLOOKUP(G474,Clientes!I:I,Clientes!F:F)</f>
        <v>FERTGROW S.A</v>
      </c>
    </row>
    <row r="475" spans="1:34" x14ac:dyDescent="0.25">
      <c r="A475">
        <v>161</v>
      </c>
      <c r="B475" t="s">
        <v>145</v>
      </c>
      <c r="C475"/>
      <c r="D475" s="23">
        <v>105582.3</v>
      </c>
      <c r="E475">
        <v>11573</v>
      </c>
      <c r="F475">
        <v>11</v>
      </c>
      <c r="G475">
        <v>2011</v>
      </c>
      <c r="H475" t="s">
        <v>616</v>
      </c>
      <c r="I475" s="23">
        <v>105582.3</v>
      </c>
      <c r="J475" s="185">
        <v>46174</v>
      </c>
      <c r="K475" s="185">
        <v>46174</v>
      </c>
      <c r="L475" s="185">
        <v>46202</v>
      </c>
      <c r="M475" s="185"/>
      <c r="N475"/>
      <c r="O475">
        <v>1010100</v>
      </c>
      <c r="P475" t="s">
        <v>29</v>
      </c>
      <c r="Q475">
        <v>200000100</v>
      </c>
      <c r="R475" t="s">
        <v>15322</v>
      </c>
      <c r="S475"/>
      <c r="T475" t="s">
        <v>15323</v>
      </c>
      <c r="U475" t="s">
        <v>6311</v>
      </c>
      <c r="V475" s="23">
        <v>0</v>
      </c>
      <c r="W475" s="23">
        <v>0</v>
      </c>
      <c r="X475" s="23">
        <v>0</v>
      </c>
      <c r="Y475"/>
      <c r="Z475">
        <v>1246277600</v>
      </c>
      <c r="AA475"/>
      <c r="AB475"/>
      <c r="AC475">
        <v>102</v>
      </c>
      <c r="AD475">
        <v>4</v>
      </c>
      <c r="AE475" t="s">
        <v>15324</v>
      </c>
      <c r="AF475"/>
      <c r="AG475" s="23"/>
      <c r="AH475" s="265" t="str">
        <f>_xlfn.XLOOKUP(G475,Clientes!I:I,Clientes!F:F)</f>
        <v>FERTGROW S.A</v>
      </c>
    </row>
    <row r="476" spans="1:34" x14ac:dyDescent="0.25">
      <c r="A476">
        <v>161</v>
      </c>
      <c r="B476" t="s">
        <v>145</v>
      </c>
      <c r="C476"/>
      <c r="D476" s="23">
        <v>105617.60000000001</v>
      </c>
      <c r="E476">
        <v>11634</v>
      </c>
      <c r="F476">
        <v>11</v>
      </c>
      <c r="G476">
        <v>2011</v>
      </c>
      <c r="H476" t="s">
        <v>616</v>
      </c>
      <c r="I476" s="23">
        <v>105617.60000000001</v>
      </c>
      <c r="J476" s="185">
        <v>46181</v>
      </c>
      <c r="K476" s="185">
        <v>46181</v>
      </c>
      <c r="L476" s="185">
        <v>46209</v>
      </c>
      <c r="M476" s="185"/>
      <c r="N476"/>
      <c r="O476">
        <v>1010100</v>
      </c>
      <c r="P476" t="s">
        <v>29</v>
      </c>
      <c r="Q476">
        <v>200000100</v>
      </c>
      <c r="R476" t="s">
        <v>15322</v>
      </c>
      <c r="S476"/>
      <c r="T476" t="s">
        <v>15323</v>
      </c>
      <c r="U476" t="s">
        <v>6311</v>
      </c>
      <c r="V476" s="23">
        <v>0</v>
      </c>
      <c r="W476" s="23">
        <v>0</v>
      </c>
      <c r="X476" s="23">
        <v>0</v>
      </c>
      <c r="Y476"/>
      <c r="Z476">
        <v>1246278485</v>
      </c>
      <c r="AA476"/>
      <c r="AB476"/>
      <c r="AC476">
        <v>102</v>
      </c>
      <c r="AD476">
        <v>4</v>
      </c>
      <c r="AE476" t="s">
        <v>15324</v>
      </c>
      <c r="AF476"/>
      <c r="AG476" s="23"/>
      <c r="AH476" s="265" t="str">
        <f>_xlfn.XLOOKUP(G476,Clientes!I:I,Clientes!F:F)</f>
        <v>FERTGROW S.A</v>
      </c>
    </row>
    <row r="477" spans="1:34" x14ac:dyDescent="0.25">
      <c r="A477">
        <v>161</v>
      </c>
      <c r="B477" t="s">
        <v>145</v>
      </c>
      <c r="C477"/>
      <c r="D477" s="23">
        <v>105689.2</v>
      </c>
      <c r="E477">
        <v>11219</v>
      </c>
      <c r="F477">
        <v>11</v>
      </c>
      <c r="G477">
        <v>2559</v>
      </c>
      <c r="H477" t="s">
        <v>451</v>
      </c>
      <c r="I477" s="23">
        <v>105689.2</v>
      </c>
      <c r="J477" s="185">
        <v>46136</v>
      </c>
      <c r="K477" s="185">
        <v>46136</v>
      </c>
      <c r="L477" s="185">
        <v>46226</v>
      </c>
      <c r="M477" s="185">
        <v>46150</v>
      </c>
      <c r="N477"/>
      <c r="O477">
        <v>1010100</v>
      </c>
      <c r="P477" t="s">
        <v>29</v>
      </c>
      <c r="Q477">
        <v>200000100</v>
      </c>
      <c r="R477" t="s">
        <v>15322</v>
      </c>
      <c r="S477"/>
      <c r="T477" t="s">
        <v>15323</v>
      </c>
      <c r="U477" t="s">
        <v>2073</v>
      </c>
      <c r="V477" s="23">
        <v>0</v>
      </c>
      <c r="W477" s="23">
        <v>0</v>
      </c>
      <c r="X477" s="23">
        <v>0</v>
      </c>
      <c r="Y477"/>
      <c r="Z477">
        <v>1246274092</v>
      </c>
      <c r="AA477"/>
      <c r="AB477" t="s">
        <v>2073</v>
      </c>
      <c r="AC477">
        <v>102</v>
      </c>
      <c r="AD477">
        <v>4</v>
      </c>
      <c r="AE477" t="s">
        <v>15324</v>
      </c>
      <c r="AF477"/>
      <c r="AG477" s="23"/>
      <c r="AH477" s="265" t="str">
        <f>_xlfn.XLOOKUP(G477,Clientes!I:I,Clientes!F:F)</f>
        <v>GRUPO MOSAIC FERTILIZANTES DO BRASIL</v>
      </c>
    </row>
    <row r="478" spans="1:34" x14ac:dyDescent="0.25">
      <c r="A478">
        <v>161</v>
      </c>
      <c r="B478" t="s">
        <v>145</v>
      </c>
      <c r="C478"/>
      <c r="D478" s="23">
        <v>105829.4</v>
      </c>
      <c r="E478">
        <v>11121</v>
      </c>
      <c r="F478">
        <v>11</v>
      </c>
      <c r="G478">
        <v>2011</v>
      </c>
      <c r="H478" t="s">
        <v>616</v>
      </c>
      <c r="I478" s="23">
        <v>105829.4</v>
      </c>
      <c r="J478" s="185">
        <v>46126</v>
      </c>
      <c r="K478" s="185">
        <v>46126</v>
      </c>
      <c r="L478" s="185">
        <v>46154</v>
      </c>
      <c r="M478" s="185">
        <v>46148</v>
      </c>
      <c r="N478"/>
      <c r="O478">
        <v>1010100</v>
      </c>
      <c r="P478" t="s">
        <v>29</v>
      </c>
      <c r="Q478">
        <v>200000100</v>
      </c>
      <c r="R478" t="s">
        <v>15322</v>
      </c>
      <c r="S478"/>
      <c r="T478" t="s">
        <v>15323</v>
      </c>
      <c r="U478" t="s">
        <v>6311</v>
      </c>
      <c r="V478" s="23">
        <v>0</v>
      </c>
      <c r="W478" s="23">
        <v>0</v>
      </c>
      <c r="X478" s="23">
        <v>0</v>
      </c>
      <c r="Y478"/>
      <c r="Z478">
        <v>1246271331</v>
      </c>
      <c r="AA478"/>
      <c r="AB478" t="s">
        <v>1186</v>
      </c>
      <c r="AC478">
        <v>102</v>
      </c>
      <c r="AD478">
        <v>4</v>
      </c>
      <c r="AE478" t="s">
        <v>15324</v>
      </c>
      <c r="AF478"/>
      <c r="AG478" s="23"/>
      <c r="AH478" s="265" t="str">
        <f>_xlfn.XLOOKUP(G478,Clientes!I:I,Clientes!F:F)</f>
        <v>FERTGROW S.A</v>
      </c>
    </row>
    <row r="479" spans="1:34" x14ac:dyDescent="0.25">
      <c r="A479">
        <v>40</v>
      </c>
      <c r="B479" t="s">
        <v>155</v>
      </c>
      <c r="C479"/>
      <c r="D479" s="23">
        <v>106012.42</v>
      </c>
      <c r="E479">
        <v>11384</v>
      </c>
      <c r="F479">
        <v>11</v>
      </c>
      <c r="G479">
        <v>9295</v>
      </c>
      <c r="H479" t="s">
        <v>333</v>
      </c>
      <c r="I479" s="23">
        <v>106012.42</v>
      </c>
      <c r="J479" s="185">
        <v>46155</v>
      </c>
      <c r="K479" s="185">
        <v>46155</v>
      </c>
      <c r="L479" s="185">
        <v>46185</v>
      </c>
      <c r="M479" s="185">
        <v>46183</v>
      </c>
      <c r="N479"/>
      <c r="O479">
        <v>1010200</v>
      </c>
      <c r="P479" t="s">
        <v>113</v>
      </c>
      <c r="Q479">
        <v>200000100</v>
      </c>
      <c r="R479" t="s">
        <v>15322</v>
      </c>
      <c r="S479"/>
      <c r="T479" t="s">
        <v>15323</v>
      </c>
      <c r="U479" t="s">
        <v>1199</v>
      </c>
      <c r="V479" s="23">
        <v>0</v>
      </c>
      <c r="W479" s="23">
        <v>0</v>
      </c>
      <c r="X479" s="23">
        <v>0</v>
      </c>
      <c r="Y479"/>
      <c r="Z479">
        <v>1246274877</v>
      </c>
      <c r="AA479"/>
      <c r="AB479" t="s">
        <v>1199</v>
      </c>
      <c r="AC479">
        <v>125</v>
      </c>
      <c r="AD479">
        <v>4</v>
      </c>
      <c r="AE479" t="s">
        <v>15324</v>
      </c>
      <c r="AF479" t="s">
        <v>15634</v>
      </c>
      <c r="AG479" s="23">
        <v>21648</v>
      </c>
      <c r="AH479" s="265" t="str">
        <f>_xlfn.XLOOKUP(G479,Clientes!I:I,Clientes!F:F)</f>
        <v>TECNOMYL S.A. - PARAGUAY</v>
      </c>
    </row>
    <row r="480" spans="1:34" x14ac:dyDescent="0.25">
      <c r="A480">
        <v>161</v>
      </c>
      <c r="B480" t="s">
        <v>145</v>
      </c>
      <c r="C480"/>
      <c r="D480" s="23">
        <v>106570.7</v>
      </c>
      <c r="E480">
        <v>11036</v>
      </c>
      <c r="F480">
        <v>11</v>
      </c>
      <c r="G480">
        <v>2011</v>
      </c>
      <c r="H480" t="s">
        <v>616</v>
      </c>
      <c r="I480" s="23">
        <v>106570.7</v>
      </c>
      <c r="J480" s="185">
        <v>46114</v>
      </c>
      <c r="K480" s="185">
        <v>46114</v>
      </c>
      <c r="L480" s="185">
        <v>46142</v>
      </c>
      <c r="M480" s="185">
        <v>46141</v>
      </c>
      <c r="N480"/>
      <c r="O480">
        <v>1010100</v>
      </c>
      <c r="P480" t="s">
        <v>29</v>
      </c>
      <c r="Q480">
        <v>200000100</v>
      </c>
      <c r="R480" t="s">
        <v>15322</v>
      </c>
      <c r="S480"/>
      <c r="T480" t="s">
        <v>15323</v>
      </c>
      <c r="U480" t="s">
        <v>6311</v>
      </c>
      <c r="V480" s="23">
        <v>0</v>
      </c>
      <c r="W480" s="23">
        <v>0</v>
      </c>
      <c r="X480" s="23">
        <v>0</v>
      </c>
      <c r="Y480"/>
      <c r="Z480">
        <v>1246270108</v>
      </c>
      <c r="AA480"/>
      <c r="AB480" t="s">
        <v>1186</v>
      </c>
      <c r="AC480">
        <v>102</v>
      </c>
      <c r="AD480">
        <v>4</v>
      </c>
      <c r="AE480" t="s">
        <v>15324</v>
      </c>
      <c r="AF480"/>
      <c r="AG480" s="23"/>
      <c r="AH480" s="265" t="str">
        <f>_xlfn.XLOOKUP(G480,Clientes!I:I,Clientes!F:F)</f>
        <v>FERTGROW S.A</v>
      </c>
    </row>
    <row r="481" spans="1:34" x14ac:dyDescent="0.25">
      <c r="A481">
        <v>161</v>
      </c>
      <c r="B481" t="s">
        <v>145</v>
      </c>
      <c r="C481"/>
      <c r="D481" s="23">
        <v>107059.2</v>
      </c>
      <c r="E481">
        <v>10629</v>
      </c>
      <c r="F481">
        <v>11</v>
      </c>
      <c r="G481">
        <v>1787</v>
      </c>
      <c r="H481" t="s">
        <v>57</v>
      </c>
      <c r="I481" s="23">
        <v>107059.2</v>
      </c>
      <c r="J481" s="185">
        <v>46056</v>
      </c>
      <c r="K481" s="185">
        <v>46056</v>
      </c>
      <c r="L481" s="185">
        <v>46146</v>
      </c>
      <c r="M481" s="185">
        <v>46146</v>
      </c>
      <c r="N481"/>
      <c r="O481">
        <v>1010100</v>
      </c>
      <c r="P481" t="s">
        <v>29</v>
      </c>
      <c r="Q481">
        <v>200000100</v>
      </c>
      <c r="R481" t="s">
        <v>15322</v>
      </c>
      <c r="S481"/>
      <c r="T481" t="s">
        <v>15323</v>
      </c>
      <c r="U481" t="s">
        <v>4468</v>
      </c>
      <c r="V481" s="23">
        <v>0</v>
      </c>
      <c r="W481" s="23">
        <v>0</v>
      </c>
      <c r="X481" s="23">
        <v>0</v>
      </c>
      <c r="Y481"/>
      <c r="Z481">
        <v>1246262114</v>
      </c>
      <c r="AA481"/>
      <c r="AB481" t="s">
        <v>1199</v>
      </c>
      <c r="AC481">
        <v>102</v>
      </c>
      <c r="AD481">
        <v>4</v>
      </c>
      <c r="AE481" t="s">
        <v>15324</v>
      </c>
      <c r="AF481"/>
      <c r="AG481" s="23"/>
      <c r="AH481" s="265" t="str">
        <f>_xlfn.XLOOKUP(G481,Clientes!I:I,Clientes!F:F)</f>
        <v>GRUPO MOSAIC FERTILIZANTES P K LTDA</v>
      </c>
    </row>
    <row r="482" spans="1:34" x14ac:dyDescent="0.25">
      <c r="A482">
        <v>161</v>
      </c>
      <c r="B482" t="s">
        <v>145</v>
      </c>
      <c r="C482"/>
      <c r="D482" s="23">
        <v>107212.8</v>
      </c>
      <c r="E482">
        <v>10516</v>
      </c>
      <c r="F482">
        <v>11</v>
      </c>
      <c r="G482">
        <v>1787</v>
      </c>
      <c r="H482" t="s">
        <v>57</v>
      </c>
      <c r="I482" s="23">
        <v>107212.8</v>
      </c>
      <c r="J482" s="185">
        <v>46041</v>
      </c>
      <c r="K482" s="185">
        <v>46041</v>
      </c>
      <c r="L482" s="185">
        <v>46131</v>
      </c>
      <c r="M482" s="185">
        <v>46132</v>
      </c>
      <c r="N482"/>
      <c r="O482">
        <v>1010100</v>
      </c>
      <c r="P482" t="s">
        <v>29</v>
      </c>
      <c r="Q482">
        <v>200000100</v>
      </c>
      <c r="R482" t="s">
        <v>15322</v>
      </c>
      <c r="S482"/>
      <c r="T482" t="s">
        <v>15323</v>
      </c>
      <c r="U482" t="s">
        <v>1199</v>
      </c>
      <c r="V482" s="23">
        <v>0</v>
      </c>
      <c r="W482" s="23">
        <v>0</v>
      </c>
      <c r="X482" s="23">
        <v>0</v>
      </c>
      <c r="Y482"/>
      <c r="Z482">
        <v>1246259993</v>
      </c>
      <c r="AA482"/>
      <c r="AB482" t="s">
        <v>1199</v>
      </c>
      <c r="AC482">
        <v>102</v>
      </c>
      <c r="AD482">
        <v>4</v>
      </c>
      <c r="AE482" t="s">
        <v>15324</v>
      </c>
      <c r="AF482"/>
      <c r="AG482" s="23"/>
      <c r="AH482" s="265" t="str">
        <f>_xlfn.XLOOKUP(G482,Clientes!I:I,Clientes!F:F)</f>
        <v>GRUPO MOSAIC FERTILIZANTES P K LTDA</v>
      </c>
    </row>
    <row r="483" spans="1:34" x14ac:dyDescent="0.25">
      <c r="A483">
        <v>161</v>
      </c>
      <c r="B483" t="s">
        <v>145</v>
      </c>
      <c r="C483"/>
      <c r="D483" s="23">
        <v>107623.19</v>
      </c>
      <c r="E483">
        <v>11387</v>
      </c>
      <c r="F483">
        <v>11</v>
      </c>
      <c r="G483">
        <v>1787</v>
      </c>
      <c r="H483" t="s">
        <v>57</v>
      </c>
      <c r="I483" s="23">
        <v>107623.19</v>
      </c>
      <c r="J483" s="185">
        <v>46155</v>
      </c>
      <c r="K483" s="185">
        <v>46155</v>
      </c>
      <c r="L483" s="185">
        <v>46245</v>
      </c>
      <c r="M483" s="185"/>
      <c r="N483"/>
      <c r="O483">
        <v>1010100</v>
      </c>
      <c r="P483" t="s">
        <v>29</v>
      </c>
      <c r="Q483">
        <v>200000100</v>
      </c>
      <c r="R483" t="s">
        <v>15322</v>
      </c>
      <c r="S483"/>
      <c r="T483" t="s">
        <v>15323</v>
      </c>
      <c r="U483" t="s">
        <v>4468</v>
      </c>
      <c r="V483" s="23">
        <v>0</v>
      </c>
      <c r="W483" s="23">
        <v>0</v>
      </c>
      <c r="X483" s="23">
        <v>0</v>
      </c>
      <c r="Y483"/>
      <c r="Z483">
        <v>1246274937</v>
      </c>
      <c r="AA483"/>
      <c r="AB483"/>
      <c r="AC483">
        <v>102</v>
      </c>
      <c r="AD483">
        <v>4</v>
      </c>
      <c r="AE483" t="s">
        <v>15324</v>
      </c>
      <c r="AF483"/>
      <c r="AG483" s="23"/>
      <c r="AH483" s="265" t="str">
        <f>_xlfn.XLOOKUP(G483,Clientes!I:I,Clientes!F:F)</f>
        <v>GRUPO MOSAIC FERTILIZANTES P K LTDA</v>
      </c>
    </row>
    <row r="484" spans="1:34" x14ac:dyDescent="0.25">
      <c r="A484">
        <v>161</v>
      </c>
      <c r="B484" t="s">
        <v>145</v>
      </c>
      <c r="C484"/>
      <c r="D484" s="23">
        <v>108587.5</v>
      </c>
      <c r="E484">
        <v>10877</v>
      </c>
      <c r="F484">
        <v>11</v>
      </c>
      <c r="G484">
        <v>12972</v>
      </c>
      <c r="H484" t="s">
        <v>654</v>
      </c>
      <c r="I484" s="23">
        <v>108587.5</v>
      </c>
      <c r="J484" s="185">
        <v>46094</v>
      </c>
      <c r="K484" s="185">
        <v>46094</v>
      </c>
      <c r="L484" s="185">
        <v>46099</v>
      </c>
      <c r="M484" s="185">
        <v>46099</v>
      </c>
      <c r="N484"/>
      <c r="O484">
        <v>1010100</v>
      </c>
      <c r="P484" t="s">
        <v>29</v>
      </c>
      <c r="Q484">
        <v>10001200</v>
      </c>
      <c r="R484" t="s">
        <v>15379</v>
      </c>
      <c r="S484"/>
      <c r="T484" t="s">
        <v>15323</v>
      </c>
      <c r="U484" t="s">
        <v>6311</v>
      </c>
      <c r="V484" s="23">
        <v>0</v>
      </c>
      <c r="W484" s="23">
        <v>0</v>
      </c>
      <c r="X484" s="23">
        <v>0</v>
      </c>
      <c r="Y484"/>
      <c r="Z484">
        <v>1246267712</v>
      </c>
      <c r="AA484"/>
      <c r="AB484" t="s">
        <v>1186</v>
      </c>
      <c r="AC484">
        <v>102</v>
      </c>
      <c r="AD484">
        <v>4</v>
      </c>
      <c r="AE484" t="s">
        <v>15324</v>
      </c>
      <c r="AF484"/>
      <c r="AG484" s="23"/>
      <c r="AH484" s="265" t="str">
        <f>_xlfn.XLOOKUP(G484,Clientes!I:I,Clientes!F:F)</f>
        <v>INVICTA FERTILIZER - RIO GRANDE</v>
      </c>
    </row>
    <row r="485" spans="1:34" x14ac:dyDescent="0.25">
      <c r="A485">
        <v>161</v>
      </c>
      <c r="B485" t="s">
        <v>145</v>
      </c>
      <c r="C485"/>
      <c r="D485" s="23">
        <v>108864</v>
      </c>
      <c r="E485">
        <v>10688</v>
      </c>
      <c r="F485">
        <v>11</v>
      </c>
      <c r="G485">
        <v>1787</v>
      </c>
      <c r="H485" t="s">
        <v>57</v>
      </c>
      <c r="I485" s="23">
        <v>108864</v>
      </c>
      <c r="J485" s="185">
        <v>46066</v>
      </c>
      <c r="K485" s="185">
        <v>46066</v>
      </c>
      <c r="L485" s="185">
        <v>46156</v>
      </c>
      <c r="M485" s="185">
        <v>46156</v>
      </c>
      <c r="N485"/>
      <c r="O485">
        <v>1010100</v>
      </c>
      <c r="P485" t="s">
        <v>29</v>
      </c>
      <c r="Q485">
        <v>200000100</v>
      </c>
      <c r="R485" t="s">
        <v>15322</v>
      </c>
      <c r="S485"/>
      <c r="T485" t="s">
        <v>15323</v>
      </c>
      <c r="U485" t="s">
        <v>2246</v>
      </c>
      <c r="V485" s="23">
        <v>0</v>
      </c>
      <c r="W485" s="23">
        <v>0</v>
      </c>
      <c r="X485" s="23">
        <v>0</v>
      </c>
      <c r="Y485"/>
      <c r="Z485">
        <v>1246263600</v>
      </c>
      <c r="AA485"/>
      <c r="AB485" t="s">
        <v>1199</v>
      </c>
      <c r="AC485">
        <v>102</v>
      </c>
      <c r="AD485">
        <v>4</v>
      </c>
      <c r="AE485" t="s">
        <v>15324</v>
      </c>
      <c r="AF485"/>
      <c r="AG485" s="23"/>
      <c r="AH485" s="265" t="str">
        <f>_xlfn.XLOOKUP(G485,Clientes!I:I,Clientes!F:F)</f>
        <v>GRUPO MOSAIC FERTILIZANTES P K LTDA</v>
      </c>
    </row>
    <row r="486" spans="1:34" x14ac:dyDescent="0.25">
      <c r="A486">
        <v>161</v>
      </c>
      <c r="B486" t="s">
        <v>145</v>
      </c>
      <c r="C486"/>
      <c r="D486" s="23">
        <v>109094.39999999999</v>
      </c>
      <c r="E486">
        <v>11279</v>
      </c>
      <c r="F486">
        <v>11</v>
      </c>
      <c r="G486">
        <v>1787</v>
      </c>
      <c r="H486" t="s">
        <v>57</v>
      </c>
      <c r="I486" s="23">
        <v>109094.39999999999</v>
      </c>
      <c r="J486" s="185">
        <v>46146</v>
      </c>
      <c r="K486" s="185">
        <v>46146</v>
      </c>
      <c r="L486" s="185">
        <v>46236</v>
      </c>
      <c r="M486" s="185"/>
      <c r="N486"/>
      <c r="O486">
        <v>1010100</v>
      </c>
      <c r="P486" t="s">
        <v>29</v>
      </c>
      <c r="Q486">
        <v>200000100</v>
      </c>
      <c r="R486" t="s">
        <v>15322</v>
      </c>
      <c r="S486"/>
      <c r="T486" t="s">
        <v>15323</v>
      </c>
      <c r="U486" t="s">
        <v>2073</v>
      </c>
      <c r="V486" s="23">
        <v>0</v>
      </c>
      <c r="W486" s="23">
        <v>0</v>
      </c>
      <c r="X486" s="23">
        <v>0</v>
      </c>
      <c r="Y486"/>
      <c r="Z486">
        <v>1246273355</v>
      </c>
      <c r="AA486"/>
      <c r="AB486"/>
      <c r="AC486">
        <v>102</v>
      </c>
      <c r="AD486">
        <v>4</v>
      </c>
      <c r="AE486" t="s">
        <v>15324</v>
      </c>
      <c r="AF486"/>
      <c r="AG486" s="23"/>
      <c r="AH486" s="265" t="str">
        <f>_xlfn.XLOOKUP(G486,Clientes!I:I,Clientes!F:F)</f>
        <v>GRUPO MOSAIC FERTILIZANTES P K LTDA</v>
      </c>
    </row>
    <row r="487" spans="1:34" x14ac:dyDescent="0.25">
      <c r="A487">
        <v>161</v>
      </c>
      <c r="B487" t="s">
        <v>145</v>
      </c>
      <c r="C487"/>
      <c r="D487" s="23">
        <v>109250.91</v>
      </c>
      <c r="E487">
        <v>11555</v>
      </c>
      <c r="F487">
        <v>11</v>
      </c>
      <c r="G487">
        <v>1787</v>
      </c>
      <c r="H487" t="s">
        <v>57</v>
      </c>
      <c r="I487" s="23">
        <v>109250.91</v>
      </c>
      <c r="J487" s="185">
        <v>46171</v>
      </c>
      <c r="K487" s="185">
        <v>46171</v>
      </c>
      <c r="L487" s="185">
        <v>46261</v>
      </c>
      <c r="M487" s="185"/>
      <c r="N487"/>
      <c r="O487">
        <v>1010100</v>
      </c>
      <c r="P487" t="s">
        <v>29</v>
      </c>
      <c r="Q487">
        <v>200000100</v>
      </c>
      <c r="R487" t="s">
        <v>15322</v>
      </c>
      <c r="S487"/>
      <c r="T487" t="s">
        <v>15323</v>
      </c>
      <c r="U487" t="s">
        <v>2246</v>
      </c>
      <c r="V487" s="23">
        <v>0</v>
      </c>
      <c r="W487" s="23">
        <v>0</v>
      </c>
      <c r="X487" s="23">
        <v>0</v>
      </c>
      <c r="Y487"/>
      <c r="Z487">
        <v>1246277425</v>
      </c>
      <c r="AA487"/>
      <c r="AB487"/>
      <c r="AC487">
        <v>102</v>
      </c>
      <c r="AD487">
        <v>4</v>
      </c>
      <c r="AE487" t="s">
        <v>15324</v>
      </c>
      <c r="AF487"/>
      <c r="AG487" s="23"/>
      <c r="AH487" s="265" t="str">
        <f>_xlfn.XLOOKUP(G487,Clientes!I:I,Clientes!F:F)</f>
        <v>GRUPO MOSAIC FERTILIZANTES P K LTDA</v>
      </c>
    </row>
    <row r="488" spans="1:34" x14ac:dyDescent="0.25">
      <c r="A488">
        <v>161</v>
      </c>
      <c r="B488" t="s">
        <v>145</v>
      </c>
      <c r="C488"/>
      <c r="D488" s="23">
        <v>109444.68</v>
      </c>
      <c r="E488">
        <v>11453</v>
      </c>
      <c r="F488">
        <v>11</v>
      </c>
      <c r="G488">
        <v>1787</v>
      </c>
      <c r="H488" t="s">
        <v>57</v>
      </c>
      <c r="I488" s="23">
        <v>109444.68</v>
      </c>
      <c r="J488" s="185">
        <v>46162</v>
      </c>
      <c r="K488" s="185">
        <v>46162</v>
      </c>
      <c r="L488" s="185">
        <v>46252</v>
      </c>
      <c r="M488" s="185"/>
      <c r="N488"/>
      <c r="O488">
        <v>1010100</v>
      </c>
      <c r="P488" t="s">
        <v>29</v>
      </c>
      <c r="Q488">
        <v>200000100</v>
      </c>
      <c r="R488" t="s">
        <v>15322</v>
      </c>
      <c r="S488"/>
      <c r="T488" t="s">
        <v>15323</v>
      </c>
      <c r="U488" t="s">
        <v>1216</v>
      </c>
      <c r="V488" s="23">
        <v>0</v>
      </c>
      <c r="W488" s="23">
        <v>0</v>
      </c>
      <c r="X488" s="23">
        <v>0</v>
      </c>
      <c r="Y488"/>
      <c r="Z488">
        <v>1246275965</v>
      </c>
      <c r="AA488"/>
      <c r="AB488"/>
      <c r="AC488">
        <v>102</v>
      </c>
      <c r="AD488">
        <v>4</v>
      </c>
      <c r="AE488" t="s">
        <v>15324</v>
      </c>
      <c r="AF488"/>
      <c r="AG488" s="23"/>
      <c r="AH488" s="265" t="str">
        <f>_xlfn.XLOOKUP(G488,Clientes!I:I,Clientes!F:F)</f>
        <v>GRUPO MOSAIC FERTILIZANTES P K LTDA</v>
      </c>
    </row>
    <row r="489" spans="1:34" x14ac:dyDescent="0.25">
      <c r="A489">
        <v>161</v>
      </c>
      <c r="B489" t="s">
        <v>145</v>
      </c>
      <c r="C489"/>
      <c r="D489" s="23">
        <v>109765.2</v>
      </c>
      <c r="E489">
        <v>10398</v>
      </c>
      <c r="F489">
        <v>11</v>
      </c>
      <c r="G489">
        <v>1789</v>
      </c>
      <c r="H489" t="s">
        <v>61</v>
      </c>
      <c r="I489" s="23">
        <v>109765.2</v>
      </c>
      <c r="J489" s="185">
        <v>46024</v>
      </c>
      <c r="K489" s="185">
        <v>46024</v>
      </c>
      <c r="L489" s="185">
        <v>46084</v>
      </c>
      <c r="M489" s="185">
        <v>46028</v>
      </c>
      <c r="N489"/>
      <c r="O489">
        <v>1010100</v>
      </c>
      <c r="P489" t="s">
        <v>29</v>
      </c>
      <c r="Q489">
        <v>200000100</v>
      </c>
      <c r="R489" t="s">
        <v>15322</v>
      </c>
      <c r="S489"/>
      <c r="T489" t="s">
        <v>15323</v>
      </c>
      <c r="U489" t="s">
        <v>1199</v>
      </c>
      <c r="V489" s="23">
        <v>0</v>
      </c>
      <c r="W489" s="23">
        <v>0</v>
      </c>
      <c r="X489" s="23">
        <v>0</v>
      </c>
      <c r="Y489"/>
      <c r="Z489">
        <v>1246258082</v>
      </c>
      <c r="AA489"/>
      <c r="AB489" t="s">
        <v>1199</v>
      </c>
      <c r="AC489">
        <v>102</v>
      </c>
      <c r="AD489">
        <v>4</v>
      </c>
      <c r="AE489" t="s">
        <v>15324</v>
      </c>
      <c r="AF489"/>
      <c r="AG489" s="23"/>
      <c r="AH489" s="265" t="str">
        <f>_xlfn.XLOOKUP(G489,Clientes!I:I,Clientes!F:F)</f>
        <v>GRUPO MOSAIC FERTILIZANTES P K LTDA</v>
      </c>
    </row>
    <row r="490" spans="1:34" x14ac:dyDescent="0.25">
      <c r="A490">
        <v>161</v>
      </c>
      <c r="B490" t="s">
        <v>145</v>
      </c>
      <c r="C490"/>
      <c r="D490" s="23">
        <v>109862.39999999999</v>
      </c>
      <c r="E490">
        <v>11116</v>
      </c>
      <c r="F490">
        <v>11</v>
      </c>
      <c r="G490">
        <v>1787</v>
      </c>
      <c r="H490" t="s">
        <v>57</v>
      </c>
      <c r="I490" s="23">
        <v>109862.39999999999</v>
      </c>
      <c r="J490" s="185">
        <v>46126</v>
      </c>
      <c r="K490" s="185">
        <v>46126</v>
      </c>
      <c r="L490" s="185">
        <v>46216</v>
      </c>
      <c r="M490" s="185"/>
      <c r="N490"/>
      <c r="O490">
        <v>1010100</v>
      </c>
      <c r="P490" t="s">
        <v>29</v>
      </c>
      <c r="Q490">
        <v>200000100</v>
      </c>
      <c r="R490" t="s">
        <v>15322</v>
      </c>
      <c r="S490"/>
      <c r="T490" t="s">
        <v>15323</v>
      </c>
      <c r="U490" t="s">
        <v>2246</v>
      </c>
      <c r="V490" s="23">
        <v>0</v>
      </c>
      <c r="W490" s="23">
        <v>0</v>
      </c>
      <c r="X490" s="23">
        <v>0</v>
      </c>
      <c r="Y490"/>
      <c r="Z490">
        <v>1246271310</v>
      </c>
      <c r="AA490"/>
      <c r="AB490"/>
      <c r="AC490">
        <v>102</v>
      </c>
      <c r="AD490">
        <v>4</v>
      </c>
      <c r="AE490" t="s">
        <v>15324</v>
      </c>
      <c r="AF490"/>
      <c r="AG490" s="23"/>
      <c r="AH490" s="265" t="str">
        <f>_xlfn.XLOOKUP(G490,Clientes!I:I,Clientes!F:F)</f>
        <v>GRUPO MOSAIC FERTILIZANTES P K LTDA</v>
      </c>
    </row>
    <row r="491" spans="1:34" x14ac:dyDescent="0.25">
      <c r="A491">
        <v>161</v>
      </c>
      <c r="B491" t="s">
        <v>145</v>
      </c>
      <c r="C491"/>
      <c r="D491" s="23">
        <v>110131.2</v>
      </c>
      <c r="E491">
        <v>11192</v>
      </c>
      <c r="F491">
        <v>11</v>
      </c>
      <c r="G491">
        <v>1787</v>
      </c>
      <c r="H491" t="s">
        <v>57</v>
      </c>
      <c r="I491" s="23">
        <v>110131.2</v>
      </c>
      <c r="J491" s="185">
        <v>46134</v>
      </c>
      <c r="K491" s="185">
        <v>46134</v>
      </c>
      <c r="L491" s="185">
        <v>46224</v>
      </c>
      <c r="M491" s="185"/>
      <c r="N491"/>
      <c r="O491">
        <v>1010100</v>
      </c>
      <c r="P491" t="s">
        <v>29</v>
      </c>
      <c r="Q491">
        <v>200000100</v>
      </c>
      <c r="R491" t="s">
        <v>15322</v>
      </c>
      <c r="S491"/>
      <c r="T491" t="s">
        <v>15323</v>
      </c>
      <c r="U491" t="s">
        <v>4468</v>
      </c>
      <c r="V491" s="23">
        <v>0</v>
      </c>
      <c r="W491" s="23">
        <v>0</v>
      </c>
      <c r="X491" s="23">
        <v>0</v>
      </c>
      <c r="Y491"/>
      <c r="Z491">
        <v>1246272134</v>
      </c>
      <c r="AA491"/>
      <c r="AB491"/>
      <c r="AC491">
        <v>102</v>
      </c>
      <c r="AD491">
        <v>4</v>
      </c>
      <c r="AE491" t="s">
        <v>15324</v>
      </c>
      <c r="AF491"/>
      <c r="AG491" s="23"/>
      <c r="AH491" s="265" t="str">
        <f>_xlfn.XLOOKUP(G491,Clientes!I:I,Clientes!F:F)</f>
        <v>GRUPO MOSAIC FERTILIZANTES P K LTDA</v>
      </c>
    </row>
    <row r="492" spans="1:34" x14ac:dyDescent="0.25">
      <c r="A492">
        <v>161</v>
      </c>
      <c r="B492" t="s">
        <v>145</v>
      </c>
      <c r="C492"/>
      <c r="D492" s="23">
        <v>110246.39999999999</v>
      </c>
      <c r="E492">
        <v>11229</v>
      </c>
      <c r="F492">
        <v>11</v>
      </c>
      <c r="G492">
        <v>1787</v>
      </c>
      <c r="H492" t="s">
        <v>57</v>
      </c>
      <c r="I492" s="23">
        <v>110246.39999999999</v>
      </c>
      <c r="J492" s="185">
        <v>46139</v>
      </c>
      <c r="K492" s="185">
        <v>46139</v>
      </c>
      <c r="L492" s="185">
        <v>46229</v>
      </c>
      <c r="M492" s="185"/>
      <c r="N492"/>
      <c r="O492">
        <v>1010100</v>
      </c>
      <c r="P492" t="s">
        <v>29</v>
      </c>
      <c r="Q492">
        <v>200000100</v>
      </c>
      <c r="R492" t="s">
        <v>15322</v>
      </c>
      <c r="S492"/>
      <c r="T492" t="s">
        <v>15323</v>
      </c>
      <c r="U492" t="s">
        <v>5803</v>
      </c>
      <c r="V492" s="23">
        <v>0</v>
      </c>
      <c r="W492" s="23">
        <v>0</v>
      </c>
      <c r="X492" s="23">
        <v>0</v>
      </c>
      <c r="Y492"/>
      <c r="Z492">
        <v>1246272757</v>
      </c>
      <c r="AA492"/>
      <c r="AB492"/>
      <c r="AC492">
        <v>102</v>
      </c>
      <c r="AD492">
        <v>4</v>
      </c>
      <c r="AE492" t="s">
        <v>15324</v>
      </c>
      <c r="AF492"/>
      <c r="AG492" s="23"/>
      <c r="AH492" s="265" t="str">
        <f>_xlfn.XLOOKUP(G492,Clientes!I:I,Clientes!F:F)</f>
        <v>GRUPO MOSAIC FERTILIZANTES P K LTDA</v>
      </c>
    </row>
    <row r="493" spans="1:34" x14ac:dyDescent="0.25">
      <c r="A493">
        <v>161</v>
      </c>
      <c r="B493" t="s">
        <v>145</v>
      </c>
      <c r="C493"/>
      <c r="D493" s="23">
        <v>110476.8</v>
      </c>
      <c r="E493">
        <v>10573</v>
      </c>
      <c r="F493">
        <v>11</v>
      </c>
      <c r="G493">
        <v>1787</v>
      </c>
      <c r="H493" t="s">
        <v>57</v>
      </c>
      <c r="I493" s="23">
        <v>110476.8</v>
      </c>
      <c r="J493" s="185">
        <v>46048</v>
      </c>
      <c r="K493" s="185">
        <v>46048</v>
      </c>
      <c r="L493" s="185">
        <v>46138</v>
      </c>
      <c r="M493" s="185">
        <v>46139</v>
      </c>
      <c r="N493"/>
      <c r="O493">
        <v>1010100</v>
      </c>
      <c r="P493" t="s">
        <v>29</v>
      </c>
      <c r="Q493">
        <v>200000100</v>
      </c>
      <c r="R493" t="s">
        <v>15322</v>
      </c>
      <c r="S493"/>
      <c r="T493" t="s">
        <v>15323</v>
      </c>
      <c r="U493" t="s">
        <v>1199</v>
      </c>
      <c r="V493" s="23">
        <v>0</v>
      </c>
      <c r="W493" s="23">
        <v>0</v>
      </c>
      <c r="X493" s="23">
        <v>0</v>
      </c>
      <c r="Y493"/>
      <c r="Z493">
        <v>1246261043</v>
      </c>
      <c r="AA493"/>
      <c r="AB493" t="s">
        <v>1199</v>
      </c>
      <c r="AC493">
        <v>102</v>
      </c>
      <c r="AD493">
        <v>4</v>
      </c>
      <c r="AE493" t="s">
        <v>15324</v>
      </c>
      <c r="AF493"/>
      <c r="AG493" s="23"/>
      <c r="AH493" s="265" t="str">
        <f>_xlfn.XLOOKUP(G493,Clientes!I:I,Clientes!F:F)</f>
        <v>GRUPO MOSAIC FERTILIZANTES P K LTDA</v>
      </c>
    </row>
    <row r="494" spans="1:34" x14ac:dyDescent="0.25">
      <c r="A494">
        <v>161</v>
      </c>
      <c r="B494" t="s">
        <v>145</v>
      </c>
      <c r="C494"/>
      <c r="D494" s="23">
        <v>110592</v>
      </c>
      <c r="E494">
        <v>10989</v>
      </c>
      <c r="F494">
        <v>11</v>
      </c>
      <c r="G494">
        <v>1787</v>
      </c>
      <c r="H494" t="s">
        <v>57</v>
      </c>
      <c r="I494" s="23">
        <v>110592</v>
      </c>
      <c r="J494" s="185">
        <v>46108</v>
      </c>
      <c r="K494" s="185">
        <v>46108</v>
      </c>
      <c r="L494" s="185">
        <v>46198</v>
      </c>
      <c r="M494" s="185"/>
      <c r="N494"/>
      <c r="O494">
        <v>1010100</v>
      </c>
      <c r="P494" t="s">
        <v>29</v>
      </c>
      <c r="Q494">
        <v>200000100</v>
      </c>
      <c r="R494" t="s">
        <v>15322</v>
      </c>
      <c r="S494"/>
      <c r="T494" t="s">
        <v>15323</v>
      </c>
      <c r="U494" t="s">
        <v>1530</v>
      </c>
      <c r="V494" s="23">
        <v>0</v>
      </c>
      <c r="W494" s="23">
        <v>0</v>
      </c>
      <c r="X494" s="23">
        <v>0</v>
      </c>
      <c r="Y494"/>
      <c r="Z494">
        <v>1246269420</v>
      </c>
      <c r="AA494"/>
      <c r="AB494"/>
      <c r="AC494">
        <v>102</v>
      </c>
      <c r="AD494">
        <v>4</v>
      </c>
      <c r="AE494" t="s">
        <v>15324</v>
      </c>
      <c r="AF494"/>
      <c r="AG494" s="23"/>
      <c r="AH494" s="265" t="str">
        <f>_xlfn.XLOOKUP(G494,Clientes!I:I,Clientes!F:F)</f>
        <v>GRUPO MOSAIC FERTILIZANTES P K LTDA</v>
      </c>
    </row>
    <row r="495" spans="1:34" x14ac:dyDescent="0.25">
      <c r="A495">
        <v>161</v>
      </c>
      <c r="B495" t="s">
        <v>145</v>
      </c>
      <c r="C495"/>
      <c r="D495" s="23">
        <v>110915</v>
      </c>
      <c r="E495">
        <v>10495</v>
      </c>
      <c r="F495">
        <v>11</v>
      </c>
      <c r="G495">
        <v>97</v>
      </c>
      <c r="H495" t="s">
        <v>300</v>
      </c>
      <c r="I495" s="23">
        <v>110915</v>
      </c>
      <c r="J495" s="185">
        <v>46037</v>
      </c>
      <c r="K495" s="185">
        <v>46037</v>
      </c>
      <c r="L495" s="185">
        <v>46065</v>
      </c>
      <c r="M495" s="185">
        <v>46064</v>
      </c>
      <c r="N495"/>
      <c r="O495">
        <v>1010100</v>
      </c>
      <c r="P495" t="s">
        <v>29</v>
      </c>
      <c r="Q495">
        <v>200000100</v>
      </c>
      <c r="R495" t="s">
        <v>15322</v>
      </c>
      <c r="S495"/>
      <c r="T495" t="s">
        <v>15323</v>
      </c>
      <c r="U495" t="s">
        <v>6311</v>
      </c>
      <c r="V495" s="23">
        <v>0</v>
      </c>
      <c r="W495" s="23">
        <v>0</v>
      </c>
      <c r="X495" s="23">
        <v>0</v>
      </c>
      <c r="Y495"/>
      <c r="Z495">
        <v>1246259586</v>
      </c>
      <c r="AA495"/>
      <c r="AB495" t="s">
        <v>1186</v>
      </c>
      <c r="AC495">
        <v>102</v>
      </c>
      <c r="AD495">
        <v>4</v>
      </c>
      <c r="AE495" t="s">
        <v>15324</v>
      </c>
      <c r="AF495"/>
      <c r="AG495" s="23"/>
      <c r="AH495" s="265" t="str">
        <f>_xlfn.XLOOKUP(G495,Clientes!I:I,Clientes!F:F)</f>
        <v>FECOAGRO FEDERACAO DAS COOPERATIVAS</v>
      </c>
    </row>
    <row r="496" spans="1:34" x14ac:dyDescent="0.25">
      <c r="A496">
        <v>161</v>
      </c>
      <c r="B496" t="s">
        <v>145</v>
      </c>
      <c r="C496"/>
      <c r="D496" s="23">
        <v>110917.38</v>
      </c>
      <c r="E496">
        <v>11580</v>
      </c>
      <c r="F496">
        <v>11</v>
      </c>
      <c r="G496">
        <v>1787</v>
      </c>
      <c r="H496" t="s">
        <v>57</v>
      </c>
      <c r="I496" s="23">
        <v>110917.38</v>
      </c>
      <c r="J496" s="185">
        <v>46175</v>
      </c>
      <c r="K496" s="185">
        <v>46175</v>
      </c>
      <c r="L496" s="185">
        <v>46265</v>
      </c>
      <c r="M496" s="185"/>
      <c r="N496"/>
      <c r="O496">
        <v>1010100</v>
      </c>
      <c r="P496" t="s">
        <v>29</v>
      </c>
      <c r="Q496">
        <v>200000100</v>
      </c>
      <c r="R496" t="s">
        <v>15322</v>
      </c>
      <c r="S496"/>
      <c r="T496" t="s">
        <v>15323</v>
      </c>
      <c r="U496" t="s">
        <v>1216</v>
      </c>
      <c r="V496" s="23">
        <v>0</v>
      </c>
      <c r="W496" s="23">
        <v>0</v>
      </c>
      <c r="X496" s="23">
        <v>0</v>
      </c>
      <c r="Y496"/>
      <c r="Z496">
        <v>1246277840</v>
      </c>
      <c r="AA496"/>
      <c r="AB496"/>
      <c r="AC496">
        <v>102</v>
      </c>
      <c r="AD496">
        <v>4</v>
      </c>
      <c r="AE496" t="s">
        <v>15324</v>
      </c>
      <c r="AF496"/>
      <c r="AG496" s="23"/>
      <c r="AH496" s="265" t="str">
        <f>_xlfn.XLOOKUP(G496,Clientes!I:I,Clientes!F:F)</f>
        <v>GRUPO MOSAIC FERTILIZANTES P K LTDA</v>
      </c>
    </row>
    <row r="497" spans="1:34" x14ac:dyDescent="0.25">
      <c r="A497">
        <v>161</v>
      </c>
      <c r="B497" t="s">
        <v>145</v>
      </c>
      <c r="C497"/>
      <c r="D497" s="23">
        <v>110937.60000000001</v>
      </c>
      <c r="E497">
        <v>10936</v>
      </c>
      <c r="F497">
        <v>11</v>
      </c>
      <c r="G497">
        <v>1787</v>
      </c>
      <c r="H497" t="s">
        <v>57</v>
      </c>
      <c r="I497" s="23">
        <v>110937.60000000001</v>
      </c>
      <c r="J497" s="185">
        <v>46100</v>
      </c>
      <c r="K497" s="185">
        <v>46100</v>
      </c>
      <c r="L497" s="185">
        <v>46190</v>
      </c>
      <c r="M497" s="185">
        <v>46190</v>
      </c>
      <c r="N497"/>
      <c r="O497">
        <v>1010100</v>
      </c>
      <c r="P497" t="s">
        <v>29</v>
      </c>
      <c r="Q497">
        <v>200000100</v>
      </c>
      <c r="R497" t="s">
        <v>15322</v>
      </c>
      <c r="S497"/>
      <c r="T497" t="s">
        <v>15323</v>
      </c>
      <c r="U497" t="s">
        <v>1199</v>
      </c>
      <c r="V497" s="23">
        <v>0</v>
      </c>
      <c r="W497" s="23">
        <v>0</v>
      </c>
      <c r="X497" s="23">
        <v>0</v>
      </c>
      <c r="Y497"/>
      <c r="Z497">
        <v>1246268467</v>
      </c>
      <c r="AA497"/>
      <c r="AB497" t="s">
        <v>1199</v>
      </c>
      <c r="AC497">
        <v>102</v>
      </c>
      <c r="AD497">
        <v>4</v>
      </c>
      <c r="AE497" t="s">
        <v>15324</v>
      </c>
      <c r="AF497"/>
      <c r="AG497" s="23"/>
      <c r="AH497" s="265" t="str">
        <f>_xlfn.XLOOKUP(G497,Clientes!I:I,Clientes!F:F)</f>
        <v>GRUPO MOSAIC FERTILIZANTES P K LTDA</v>
      </c>
    </row>
    <row r="498" spans="1:34" x14ac:dyDescent="0.25">
      <c r="A498">
        <v>161</v>
      </c>
      <c r="B498" t="s">
        <v>145</v>
      </c>
      <c r="C498"/>
      <c r="D498" s="23">
        <v>111360</v>
      </c>
      <c r="E498">
        <v>10965</v>
      </c>
      <c r="F498">
        <v>11</v>
      </c>
      <c r="G498">
        <v>1787</v>
      </c>
      <c r="H498" t="s">
        <v>57</v>
      </c>
      <c r="I498" s="23">
        <v>111360</v>
      </c>
      <c r="J498" s="185">
        <v>46105</v>
      </c>
      <c r="K498" s="185">
        <v>46105</v>
      </c>
      <c r="L498" s="185">
        <v>46195</v>
      </c>
      <c r="M498" s="185">
        <v>46195</v>
      </c>
      <c r="N498"/>
      <c r="O498">
        <v>1010100</v>
      </c>
      <c r="P498" t="s">
        <v>29</v>
      </c>
      <c r="Q498">
        <v>200000100</v>
      </c>
      <c r="R498" t="s">
        <v>15322</v>
      </c>
      <c r="S498"/>
      <c r="T498" t="s">
        <v>15323</v>
      </c>
      <c r="U498" t="s">
        <v>2246</v>
      </c>
      <c r="V498" s="23">
        <v>0</v>
      </c>
      <c r="W498" s="23">
        <v>0</v>
      </c>
      <c r="X498" s="23">
        <v>0</v>
      </c>
      <c r="Y498"/>
      <c r="Z498">
        <v>1246268748</v>
      </c>
      <c r="AA498"/>
      <c r="AB498" t="s">
        <v>1199</v>
      </c>
      <c r="AC498">
        <v>102</v>
      </c>
      <c r="AD498">
        <v>4</v>
      </c>
      <c r="AE498" t="s">
        <v>15324</v>
      </c>
      <c r="AF498"/>
      <c r="AG498" s="23"/>
      <c r="AH498" s="265" t="str">
        <f>_xlfn.XLOOKUP(G498,Clientes!I:I,Clientes!F:F)</f>
        <v>GRUPO MOSAIC FERTILIZANTES P K LTDA</v>
      </c>
    </row>
    <row r="499" spans="1:34" x14ac:dyDescent="0.25">
      <c r="A499">
        <v>161</v>
      </c>
      <c r="B499" t="s">
        <v>145</v>
      </c>
      <c r="C499"/>
      <c r="D499" s="23">
        <v>111552</v>
      </c>
      <c r="E499">
        <v>11025</v>
      </c>
      <c r="F499">
        <v>11</v>
      </c>
      <c r="G499">
        <v>1787</v>
      </c>
      <c r="H499" t="s">
        <v>57</v>
      </c>
      <c r="I499" s="23">
        <v>111552</v>
      </c>
      <c r="J499" s="185">
        <v>46113</v>
      </c>
      <c r="K499" s="185">
        <v>46113</v>
      </c>
      <c r="L499" s="185">
        <v>46203</v>
      </c>
      <c r="M499" s="185"/>
      <c r="N499"/>
      <c r="O499">
        <v>1010100</v>
      </c>
      <c r="P499" t="s">
        <v>29</v>
      </c>
      <c r="Q499">
        <v>200000100</v>
      </c>
      <c r="R499" t="s">
        <v>15322</v>
      </c>
      <c r="S499"/>
      <c r="T499" t="s">
        <v>15323</v>
      </c>
      <c r="U499" t="s">
        <v>4502</v>
      </c>
      <c r="V499" s="23">
        <v>0</v>
      </c>
      <c r="W499" s="23">
        <v>0</v>
      </c>
      <c r="X499" s="23">
        <v>0</v>
      </c>
      <c r="Y499"/>
      <c r="Z499">
        <v>1246269890</v>
      </c>
      <c r="AA499"/>
      <c r="AB499"/>
      <c r="AC499">
        <v>102</v>
      </c>
      <c r="AD499">
        <v>4</v>
      </c>
      <c r="AE499" t="s">
        <v>15324</v>
      </c>
      <c r="AF499"/>
      <c r="AG499" s="23"/>
      <c r="AH499" s="265" t="str">
        <f>_xlfn.XLOOKUP(G499,Clientes!I:I,Clientes!F:F)</f>
        <v>GRUPO MOSAIC FERTILIZANTES P K LTDA</v>
      </c>
    </row>
    <row r="500" spans="1:34" x14ac:dyDescent="0.25">
      <c r="A500">
        <v>161</v>
      </c>
      <c r="B500" t="s">
        <v>145</v>
      </c>
      <c r="C500"/>
      <c r="D500" s="23">
        <v>111790</v>
      </c>
      <c r="E500">
        <v>11018</v>
      </c>
      <c r="F500">
        <v>11</v>
      </c>
      <c r="G500">
        <v>97</v>
      </c>
      <c r="H500" t="s">
        <v>300</v>
      </c>
      <c r="I500" s="23">
        <v>111790</v>
      </c>
      <c r="J500" s="185">
        <v>46112</v>
      </c>
      <c r="K500" s="185">
        <v>46112</v>
      </c>
      <c r="L500" s="185">
        <v>46140</v>
      </c>
      <c r="M500" s="185">
        <v>46140</v>
      </c>
      <c r="N500"/>
      <c r="O500">
        <v>1010100</v>
      </c>
      <c r="P500" t="s">
        <v>29</v>
      </c>
      <c r="Q500">
        <v>200000100</v>
      </c>
      <c r="R500" t="s">
        <v>15322</v>
      </c>
      <c r="S500"/>
      <c r="T500" t="s">
        <v>15323</v>
      </c>
      <c r="U500" t="s">
        <v>2246</v>
      </c>
      <c r="V500" s="23">
        <v>0</v>
      </c>
      <c r="W500" s="23">
        <v>0</v>
      </c>
      <c r="X500" s="23">
        <v>0</v>
      </c>
      <c r="Y500"/>
      <c r="Z500">
        <v>1246269794</v>
      </c>
      <c r="AA500"/>
      <c r="AB500" t="s">
        <v>1186</v>
      </c>
      <c r="AC500">
        <v>102</v>
      </c>
      <c r="AD500">
        <v>4</v>
      </c>
      <c r="AE500" t="s">
        <v>15324</v>
      </c>
      <c r="AF500"/>
      <c r="AG500" s="23"/>
      <c r="AH500" s="265" t="str">
        <f>_xlfn.XLOOKUP(G500,Clientes!I:I,Clientes!F:F)</f>
        <v>FECOAGRO FEDERACAO DAS COOPERATIVAS</v>
      </c>
    </row>
    <row r="501" spans="1:34" x14ac:dyDescent="0.25">
      <c r="A501">
        <v>161</v>
      </c>
      <c r="B501" t="s">
        <v>145</v>
      </c>
      <c r="C501"/>
      <c r="D501" s="23">
        <v>112000</v>
      </c>
      <c r="E501">
        <v>10587</v>
      </c>
      <c r="F501">
        <v>11</v>
      </c>
      <c r="G501">
        <v>7302</v>
      </c>
      <c r="H501" t="s">
        <v>93</v>
      </c>
      <c r="I501" s="23">
        <v>112000</v>
      </c>
      <c r="J501" s="185">
        <v>46049</v>
      </c>
      <c r="K501" s="185">
        <v>46049</v>
      </c>
      <c r="L501" s="185">
        <v>46139</v>
      </c>
      <c r="M501" s="185">
        <v>46139</v>
      </c>
      <c r="N501"/>
      <c r="O501">
        <v>1010100</v>
      </c>
      <c r="P501" t="s">
        <v>29</v>
      </c>
      <c r="Q501">
        <v>200000100</v>
      </c>
      <c r="R501" t="s">
        <v>15322</v>
      </c>
      <c r="S501"/>
      <c r="T501" t="s">
        <v>15323</v>
      </c>
      <c r="U501" t="s">
        <v>1964</v>
      </c>
      <c r="V501" s="23">
        <v>0</v>
      </c>
      <c r="W501" s="23">
        <v>0</v>
      </c>
      <c r="X501" s="23">
        <v>0</v>
      </c>
      <c r="Y501"/>
      <c r="Z501">
        <v>1246261232</v>
      </c>
      <c r="AA501"/>
      <c r="AB501" t="s">
        <v>1199</v>
      </c>
      <c r="AC501">
        <v>102</v>
      </c>
      <c r="AD501">
        <v>4</v>
      </c>
      <c r="AE501" t="s">
        <v>15324</v>
      </c>
      <c r="AF501"/>
      <c r="AG501" s="23"/>
      <c r="AH501" s="265" t="str">
        <f>_xlfn.XLOOKUP(G501,Clientes!I:I,Clientes!F:F)</f>
        <v>GRUPO MOSAIC FERTILIZANTES DO BRASIL</v>
      </c>
    </row>
    <row r="502" spans="1:34" x14ac:dyDescent="0.25">
      <c r="A502">
        <v>161</v>
      </c>
      <c r="B502" t="s">
        <v>145</v>
      </c>
      <c r="C502"/>
      <c r="D502" s="23">
        <v>112000</v>
      </c>
      <c r="E502">
        <v>11511</v>
      </c>
      <c r="F502">
        <v>11</v>
      </c>
      <c r="G502">
        <v>97</v>
      </c>
      <c r="H502" t="s">
        <v>300</v>
      </c>
      <c r="I502" s="23">
        <v>112000</v>
      </c>
      <c r="J502" s="185">
        <v>46168</v>
      </c>
      <c r="K502" s="185">
        <v>46168</v>
      </c>
      <c r="L502" s="185">
        <v>46196</v>
      </c>
      <c r="M502" s="185">
        <v>46196</v>
      </c>
      <c r="N502"/>
      <c r="O502">
        <v>1010100</v>
      </c>
      <c r="P502" t="s">
        <v>29</v>
      </c>
      <c r="Q502">
        <v>200000100</v>
      </c>
      <c r="R502" t="s">
        <v>15322</v>
      </c>
      <c r="S502"/>
      <c r="T502" t="s">
        <v>15323</v>
      </c>
      <c r="U502" t="s">
        <v>6311</v>
      </c>
      <c r="V502" s="23">
        <v>0</v>
      </c>
      <c r="W502" s="23">
        <v>0</v>
      </c>
      <c r="X502" s="23">
        <v>0</v>
      </c>
      <c r="Y502"/>
      <c r="Z502">
        <v>1246277002</v>
      </c>
      <c r="AA502"/>
      <c r="AB502" t="s">
        <v>1186</v>
      </c>
      <c r="AC502">
        <v>102</v>
      </c>
      <c r="AD502">
        <v>4</v>
      </c>
      <c r="AE502" t="s">
        <v>15324</v>
      </c>
      <c r="AF502"/>
      <c r="AG502" s="23"/>
      <c r="AH502" s="265" t="str">
        <f>_xlfn.XLOOKUP(G502,Clientes!I:I,Clientes!F:F)</f>
        <v>FECOAGRO FEDERACAO DAS COOPERATIVAS</v>
      </c>
    </row>
    <row r="503" spans="1:34" x14ac:dyDescent="0.25">
      <c r="A503">
        <v>161</v>
      </c>
      <c r="B503" t="s">
        <v>145</v>
      </c>
      <c r="C503"/>
      <c r="D503" s="23">
        <v>112204.8</v>
      </c>
      <c r="E503">
        <v>11002</v>
      </c>
      <c r="F503">
        <v>11</v>
      </c>
      <c r="G503">
        <v>1787</v>
      </c>
      <c r="H503" t="s">
        <v>57</v>
      </c>
      <c r="I503" s="23">
        <v>112204.8</v>
      </c>
      <c r="J503" s="185">
        <v>46111</v>
      </c>
      <c r="K503" s="185">
        <v>46111</v>
      </c>
      <c r="L503" s="185">
        <v>46201</v>
      </c>
      <c r="M503" s="185"/>
      <c r="N503"/>
      <c r="O503">
        <v>1010100</v>
      </c>
      <c r="P503" t="s">
        <v>29</v>
      </c>
      <c r="Q503">
        <v>200000100</v>
      </c>
      <c r="R503" t="s">
        <v>15322</v>
      </c>
      <c r="S503"/>
      <c r="T503" t="s">
        <v>15323</v>
      </c>
      <c r="U503" t="s">
        <v>4502</v>
      </c>
      <c r="V503" s="23">
        <v>0</v>
      </c>
      <c r="W503" s="23">
        <v>0</v>
      </c>
      <c r="X503" s="23">
        <v>0</v>
      </c>
      <c r="Y503"/>
      <c r="Z503">
        <v>1246269591</v>
      </c>
      <c r="AA503"/>
      <c r="AB503"/>
      <c r="AC503">
        <v>102</v>
      </c>
      <c r="AD503">
        <v>4</v>
      </c>
      <c r="AE503" t="s">
        <v>15324</v>
      </c>
      <c r="AF503"/>
      <c r="AG503" s="23"/>
      <c r="AH503" s="265" t="str">
        <f>_xlfn.XLOOKUP(G503,Clientes!I:I,Clientes!F:F)</f>
        <v>GRUPO MOSAIC FERTILIZANTES P K LTDA</v>
      </c>
    </row>
    <row r="504" spans="1:34" x14ac:dyDescent="0.25">
      <c r="A504">
        <v>161</v>
      </c>
      <c r="B504" t="s">
        <v>145</v>
      </c>
      <c r="C504"/>
      <c r="D504" s="23">
        <v>112358.39999999999</v>
      </c>
      <c r="E504">
        <v>11197</v>
      </c>
      <c r="F504">
        <v>11</v>
      </c>
      <c r="G504">
        <v>1787</v>
      </c>
      <c r="H504" t="s">
        <v>57</v>
      </c>
      <c r="I504" s="23">
        <v>112358.39999999999</v>
      </c>
      <c r="J504" s="185">
        <v>46135</v>
      </c>
      <c r="K504" s="185">
        <v>46135</v>
      </c>
      <c r="L504" s="185">
        <v>46225</v>
      </c>
      <c r="M504" s="185"/>
      <c r="N504"/>
      <c r="O504">
        <v>1010100</v>
      </c>
      <c r="P504" t="s">
        <v>29</v>
      </c>
      <c r="Q504">
        <v>200000100</v>
      </c>
      <c r="R504" t="s">
        <v>15322</v>
      </c>
      <c r="S504"/>
      <c r="T504" t="s">
        <v>15323</v>
      </c>
      <c r="U504" t="s">
        <v>4502</v>
      </c>
      <c r="V504" s="23">
        <v>0</v>
      </c>
      <c r="W504" s="23">
        <v>0</v>
      </c>
      <c r="X504" s="23">
        <v>0</v>
      </c>
      <c r="Y504"/>
      <c r="Z504">
        <v>1246272202</v>
      </c>
      <c r="AA504"/>
      <c r="AB504"/>
      <c r="AC504">
        <v>102</v>
      </c>
      <c r="AD504">
        <v>4</v>
      </c>
      <c r="AE504" t="s">
        <v>15324</v>
      </c>
      <c r="AF504"/>
      <c r="AG504" s="23"/>
      <c r="AH504" s="265" t="str">
        <f>_xlfn.XLOOKUP(G504,Clientes!I:I,Clientes!F:F)</f>
        <v>GRUPO MOSAIC FERTILIZANTES P K LTDA</v>
      </c>
    </row>
    <row r="505" spans="1:34" x14ac:dyDescent="0.25">
      <c r="A505">
        <v>161</v>
      </c>
      <c r="B505" t="s">
        <v>145</v>
      </c>
      <c r="C505"/>
      <c r="D505" s="23">
        <v>112588.8</v>
      </c>
      <c r="E505">
        <v>10714</v>
      </c>
      <c r="F505">
        <v>11</v>
      </c>
      <c r="G505">
        <v>1787</v>
      </c>
      <c r="H505" t="s">
        <v>57</v>
      </c>
      <c r="I505" s="23">
        <v>112588.8</v>
      </c>
      <c r="J505" s="185">
        <v>46071</v>
      </c>
      <c r="K505" s="185">
        <v>46071</v>
      </c>
      <c r="L505" s="185">
        <v>46161</v>
      </c>
      <c r="M505" s="185">
        <v>46161</v>
      </c>
      <c r="N505"/>
      <c r="O505">
        <v>1010100</v>
      </c>
      <c r="P505" t="s">
        <v>29</v>
      </c>
      <c r="Q505">
        <v>200000100</v>
      </c>
      <c r="R505" t="s">
        <v>15322</v>
      </c>
      <c r="S505"/>
      <c r="T505" t="s">
        <v>15323</v>
      </c>
      <c r="U505" t="s">
        <v>2073</v>
      </c>
      <c r="V505" s="23">
        <v>0</v>
      </c>
      <c r="W505" s="23">
        <v>0</v>
      </c>
      <c r="X505" s="23">
        <v>0</v>
      </c>
      <c r="Y505"/>
      <c r="Z505">
        <v>1246263994</v>
      </c>
      <c r="AA505"/>
      <c r="AB505" t="s">
        <v>1199</v>
      </c>
      <c r="AC505">
        <v>102</v>
      </c>
      <c r="AD505">
        <v>4</v>
      </c>
      <c r="AE505" t="s">
        <v>15324</v>
      </c>
      <c r="AF505"/>
      <c r="AG505" s="23"/>
      <c r="AH505" s="265" t="str">
        <f>_xlfn.XLOOKUP(G505,Clientes!I:I,Clientes!F:F)</f>
        <v>GRUPO MOSAIC FERTILIZANTES P K LTDA</v>
      </c>
    </row>
    <row r="506" spans="1:34" x14ac:dyDescent="0.25">
      <c r="A506">
        <v>161</v>
      </c>
      <c r="B506" t="s">
        <v>145</v>
      </c>
      <c r="C506"/>
      <c r="D506" s="23">
        <v>112800</v>
      </c>
      <c r="E506">
        <v>2961</v>
      </c>
      <c r="F506">
        <v>13</v>
      </c>
      <c r="G506">
        <v>7662</v>
      </c>
      <c r="H506" t="s">
        <v>95</v>
      </c>
      <c r="I506" s="23">
        <v>112800</v>
      </c>
      <c r="J506" s="185">
        <v>46167</v>
      </c>
      <c r="K506" s="185">
        <v>46167</v>
      </c>
      <c r="L506" s="185">
        <v>46212</v>
      </c>
      <c r="M506" s="185"/>
      <c r="N506"/>
      <c r="O506">
        <v>1010100</v>
      </c>
      <c r="P506" t="s">
        <v>29</v>
      </c>
      <c r="Q506">
        <v>200000100</v>
      </c>
      <c r="R506" t="s">
        <v>15322</v>
      </c>
      <c r="S506"/>
      <c r="T506" t="s">
        <v>15323</v>
      </c>
      <c r="U506" t="s">
        <v>6311</v>
      </c>
      <c r="V506" s="23">
        <v>0</v>
      </c>
      <c r="W506" s="23">
        <v>0</v>
      </c>
      <c r="X506" s="23">
        <v>0</v>
      </c>
      <c r="Y506"/>
      <c r="Z506">
        <v>1246276582</v>
      </c>
      <c r="AA506"/>
      <c r="AB506"/>
      <c r="AC506">
        <v>102</v>
      </c>
      <c r="AD506">
        <v>4</v>
      </c>
      <c r="AE506" t="s">
        <v>15324</v>
      </c>
      <c r="AF506"/>
      <c r="AG506" s="23"/>
      <c r="AH506" s="265" t="str">
        <f>_xlfn.XLOOKUP(G506,Clientes!I:I,Clientes!F:F)</f>
        <v>BENTONIT UNIAO - CAMPINA GRANDE</v>
      </c>
    </row>
    <row r="507" spans="1:34" x14ac:dyDescent="0.25">
      <c r="A507">
        <v>161</v>
      </c>
      <c r="B507" t="s">
        <v>145</v>
      </c>
      <c r="C507"/>
      <c r="D507" s="23">
        <v>112800</v>
      </c>
      <c r="E507">
        <v>2961</v>
      </c>
      <c r="F507">
        <v>13</v>
      </c>
      <c r="G507">
        <v>7662</v>
      </c>
      <c r="H507" t="s">
        <v>95</v>
      </c>
      <c r="I507" s="23">
        <v>112800</v>
      </c>
      <c r="J507" s="185">
        <v>46167</v>
      </c>
      <c r="K507" s="185">
        <v>46167</v>
      </c>
      <c r="L507" s="185">
        <v>46227</v>
      </c>
      <c r="M507" s="185"/>
      <c r="N507"/>
      <c r="O507">
        <v>1010100</v>
      </c>
      <c r="P507" t="s">
        <v>29</v>
      </c>
      <c r="Q507">
        <v>200000100</v>
      </c>
      <c r="R507" t="s">
        <v>15322</v>
      </c>
      <c r="S507"/>
      <c r="T507" t="s">
        <v>15323</v>
      </c>
      <c r="U507" t="s">
        <v>6311</v>
      </c>
      <c r="V507" s="23">
        <v>0</v>
      </c>
      <c r="W507" s="23">
        <v>0</v>
      </c>
      <c r="X507" s="23">
        <v>0</v>
      </c>
      <c r="Y507"/>
      <c r="Z507">
        <v>1246276583</v>
      </c>
      <c r="AA507"/>
      <c r="AB507"/>
      <c r="AC507">
        <v>102</v>
      </c>
      <c r="AD507">
        <v>4</v>
      </c>
      <c r="AE507" t="s">
        <v>15324</v>
      </c>
      <c r="AF507"/>
      <c r="AG507" s="23"/>
      <c r="AH507" s="265" t="str">
        <f>_xlfn.XLOOKUP(G507,Clientes!I:I,Clientes!F:F)</f>
        <v>BENTONIT UNIAO - CAMPINA GRANDE</v>
      </c>
    </row>
    <row r="508" spans="1:34" x14ac:dyDescent="0.25">
      <c r="A508">
        <v>161</v>
      </c>
      <c r="B508" t="s">
        <v>145</v>
      </c>
      <c r="C508"/>
      <c r="D508" s="23">
        <v>113048.7</v>
      </c>
      <c r="E508">
        <v>10557</v>
      </c>
      <c r="F508">
        <v>11</v>
      </c>
      <c r="G508">
        <v>1792</v>
      </c>
      <c r="H508" t="s">
        <v>697</v>
      </c>
      <c r="I508" s="23">
        <v>113048.7</v>
      </c>
      <c r="J508" s="185">
        <v>46045</v>
      </c>
      <c r="K508" s="185">
        <v>46045</v>
      </c>
      <c r="L508" s="185">
        <v>46135</v>
      </c>
      <c r="M508" s="185">
        <v>46105</v>
      </c>
      <c r="N508"/>
      <c r="O508">
        <v>1010100</v>
      </c>
      <c r="P508" t="s">
        <v>29</v>
      </c>
      <c r="Q508">
        <v>200000100</v>
      </c>
      <c r="R508" t="s">
        <v>15322</v>
      </c>
      <c r="S508"/>
      <c r="T508" t="s">
        <v>15323</v>
      </c>
      <c r="U508" t="s">
        <v>2246</v>
      </c>
      <c r="V508" s="23">
        <v>0</v>
      </c>
      <c r="W508" s="23">
        <v>0</v>
      </c>
      <c r="X508" s="23">
        <v>0</v>
      </c>
      <c r="Y508"/>
      <c r="Z508">
        <v>1246260599</v>
      </c>
      <c r="AA508"/>
      <c r="AB508" t="s">
        <v>1199</v>
      </c>
      <c r="AC508">
        <v>102</v>
      </c>
      <c r="AD508">
        <v>4</v>
      </c>
      <c r="AE508" t="s">
        <v>15324</v>
      </c>
      <c r="AF508"/>
      <c r="AG508" s="23"/>
      <c r="AH508" s="265" t="str">
        <f>_xlfn.XLOOKUP(G508,Clientes!I:I,Clientes!F:F)</f>
        <v>GRUPO MOSAIC FERTILIZANTES P K LTDA</v>
      </c>
    </row>
    <row r="509" spans="1:34" x14ac:dyDescent="0.25">
      <c r="A509">
        <v>161</v>
      </c>
      <c r="B509" t="s">
        <v>145</v>
      </c>
      <c r="C509"/>
      <c r="D509" s="23">
        <v>113356.8</v>
      </c>
      <c r="E509">
        <v>11014</v>
      </c>
      <c r="F509">
        <v>11</v>
      </c>
      <c r="G509">
        <v>1787</v>
      </c>
      <c r="H509" t="s">
        <v>57</v>
      </c>
      <c r="I509" s="23">
        <v>113356.8</v>
      </c>
      <c r="J509" s="185">
        <v>46112</v>
      </c>
      <c r="K509" s="185">
        <v>46112</v>
      </c>
      <c r="L509" s="185">
        <v>46202</v>
      </c>
      <c r="M509" s="185"/>
      <c r="N509"/>
      <c r="O509">
        <v>1010100</v>
      </c>
      <c r="P509" t="s">
        <v>29</v>
      </c>
      <c r="Q509">
        <v>200000100</v>
      </c>
      <c r="R509" t="s">
        <v>15322</v>
      </c>
      <c r="S509"/>
      <c r="T509" t="s">
        <v>15323</v>
      </c>
      <c r="U509" t="s">
        <v>4502</v>
      </c>
      <c r="V509" s="23">
        <v>0</v>
      </c>
      <c r="W509" s="23">
        <v>0</v>
      </c>
      <c r="X509" s="23">
        <v>0</v>
      </c>
      <c r="Y509"/>
      <c r="Z509">
        <v>1246269731</v>
      </c>
      <c r="AA509"/>
      <c r="AB509"/>
      <c r="AC509">
        <v>102</v>
      </c>
      <c r="AD509">
        <v>4</v>
      </c>
      <c r="AE509" t="s">
        <v>15324</v>
      </c>
      <c r="AF509"/>
      <c r="AG509" s="23"/>
      <c r="AH509" s="265" t="str">
        <f>_xlfn.XLOOKUP(G509,Clientes!I:I,Clientes!F:F)</f>
        <v>GRUPO MOSAIC FERTILIZANTES P K LTDA</v>
      </c>
    </row>
    <row r="510" spans="1:34" x14ac:dyDescent="0.25">
      <c r="A510">
        <v>161</v>
      </c>
      <c r="B510" t="s">
        <v>145</v>
      </c>
      <c r="C510"/>
      <c r="D510" s="23">
        <v>113590.8</v>
      </c>
      <c r="E510">
        <v>10537</v>
      </c>
      <c r="F510">
        <v>11</v>
      </c>
      <c r="G510">
        <v>1792</v>
      </c>
      <c r="H510" t="s">
        <v>697</v>
      </c>
      <c r="I510" s="23">
        <v>113590.8</v>
      </c>
      <c r="J510" s="185">
        <v>46043</v>
      </c>
      <c r="K510" s="185">
        <v>46043</v>
      </c>
      <c r="L510" s="185">
        <v>46133</v>
      </c>
      <c r="M510" s="185">
        <v>46104</v>
      </c>
      <c r="N510"/>
      <c r="O510">
        <v>1010100</v>
      </c>
      <c r="P510" t="s">
        <v>29</v>
      </c>
      <c r="Q510">
        <v>200000100</v>
      </c>
      <c r="R510" t="s">
        <v>15322</v>
      </c>
      <c r="S510"/>
      <c r="T510" t="s">
        <v>15323</v>
      </c>
      <c r="U510" t="s">
        <v>4468</v>
      </c>
      <c r="V510" s="23">
        <v>0</v>
      </c>
      <c r="W510" s="23">
        <v>0</v>
      </c>
      <c r="X510" s="23">
        <v>0</v>
      </c>
      <c r="Y510"/>
      <c r="Z510">
        <v>1246260314</v>
      </c>
      <c r="AA510"/>
      <c r="AB510" t="s">
        <v>1199</v>
      </c>
      <c r="AC510">
        <v>102</v>
      </c>
      <c r="AD510">
        <v>4</v>
      </c>
      <c r="AE510" t="s">
        <v>15324</v>
      </c>
      <c r="AF510"/>
      <c r="AG510" s="23"/>
      <c r="AH510" s="265" t="str">
        <f>_xlfn.XLOOKUP(G510,Clientes!I:I,Clientes!F:F)</f>
        <v>GRUPO MOSAIC FERTILIZANTES P K LTDA</v>
      </c>
    </row>
    <row r="511" spans="1:34" x14ac:dyDescent="0.25">
      <c r="A511">
        <v>161</v>
      </c>
      <c r="B511" t="s">
        <v>145</v>
      </c>
      <c r="C511"/>
      <c r="D511" s="23">
        <v>114048</v>
      </c>
      <c r="E511">
        <v>10914</v>
      </c>
      <c r="F511">
        <v>11</v>
      </c>
      <c r="G511">
        <v>1789</v>
      </c>
      <c r="H511" t="s">
        <v>61</v>
      </c>
      <c r="I511" s="23">
        <v>114048</v>
      </c>
      <c r="J511" s="185">
        <v>46098</v>
      </c>
      <c r="K511" s="185">
        <v>46098</v>
      </c>
      <c r="L511" s="185">
        <v>46188</v>
      </c>
      <c r="M511" s="185">
        <v>46188</v>
      </c>
      <c r="N511"/>
      <c r="O511">
        <v>1010100</v>
      </c>
      <c r="P511" t="s">
        <v>29</v>
      </c>
      <c r="Q511">
        <v>200000100</v>
      </c>
      <c r="R511" t="s">
        <v>15322</v>
      </c>
      <c r="S511"/>
      <c r="T511" t="s">
        <v>15323</v>
      </c>
      <c r="U511" t="s">
        <v>1964</v>
      </c>
      <c r="V511" s="23">
        <v>0</v>
      </c>
      <c r="W511" s="23">
        <v>0</v>
      </c>
      <c r="X511" s="23">
        <v>0</v>
      </c>
      <c r="Y511"/>
      <c r="Z511">
        <v>1246268138</v>
      </c>
      <c r="AA511"/>
      <c r="AB511" t="s">
        <v>1199</v>
      </c>
      <c r="AC511">
        <v>102</v>
      </c>
      <c r="AD511">
        <v>4</v>
      </c>
      <c r="AE511" t="s">
        <v>15324</v>
      </c>
      <c r="AF511"/>
      <c r="AG511" s="23"/>
      <c r="AH511" s="265" t="str">
        <f>_xlfn.XLOOKUP(G511,Clientes!I:I,Clientes!F:F)</f>
        <v>GRUPO MOSAIC FERTILIZANTES P K LTDA</v>
      </c>
    </row>
    <row r="512" spans="1:34" x14ac:dyDescent="0.25">
      <c r="A512">
        <v>161</v>
      </c>
      <c r="B512" t="s">
        <v>145</v>
      </c>
      <c r="C512"/>
      <c r="D512" s="23">
        <v>114086.39999999999</v>
      </c>
      <c r="E512">
        <v>10882</v>
      </c>
      <c r="F512">
        <v>11</v>
      </c>
      <c r="G512">
        <v>1787</v>
      </c>
      <c r="H512" t="s">
        <v>57</v>
      </c>
      <c r="I512" s="23">
        <v>114086.39999999999</v>
      </c>
      <c r="J512" s="185">
        <v>46094</v>
      </c>
      <c r="K512" s="185">
        <v>46094</v>
      </c>
      <c r="L512" s="185">
        <v>46184</v>
      </c>
      <c r="M512" s="185">
        <v>46184</v>
      </c>
      <c r="N512"/>
      <c r="O512">
        <v>1010100</v>
      </c>
      <c r="P512" t="s">
        <v>29</v>
      </c>
      <c r="Q512">
        <v>200000100</v>
      </c>
      <c r="R512" t="s">
        <v>15322</v>
      </c>
      <c r="S512"/>
      <c r="T512" t="s">
        <v>15323</v>
      </c>
      <c r="U512" t="s">
        <v>5803</v>
      </c>
      <c r="V512" s="23">
        <v>0</v>
      </c>
      <c r="W512" s="23">
        <v>0</v>
      </c>
      <c r="X512" s="23">
        <v>0</v>
      </c>
      <c r="Y512"/>
      <c r="Z512">
        <v>1246267743</v>
      </c>
      <c r="AA512"/>
      <c r="AB512" t="s">
        <v>1199</v>
      </c>
      <c r="AC512">
        <v>102</v>
      </c>
      <c r="AD512">
        <v>4</v>
      </c>
      <c r="AE512" t="s">
        <v>15324</v>
      </c>
      <c r="AF512"/>
      <c r="AG512" s="23"/>
      <c r="AH512" s="265" t="str">
        <f>_xlfn.XLOOKUP(G512,Clientes!I:I,Clientes!F:F)</f>
        <v>GRUPO MOSAIC FERTILIZANTES P K LTDA</v>
      </c>
    </row>
    <row r="513" spans="1:34" x14ac:dyDescent="0.25">
      <c r="A513">
        <v>161</v>
      </c>
      <c r="B513" t="s">
        <v>145</v>
      </c>
      <c r="C513"/>
      <c r="D513" s="23">
        <v>114201.60000000001</v>
      </c>
      <c r="E513">
        <v>10666</v>
      </c>
      <c r="F513">
        <v>11</v>
      </c>
      <c r="G513">
        <v>1787</v>
      </c>
      <c r="H513" t="s">
        <v>57</v>
      </c>
      <c r="I513" s="23">
        <v>114201.60000000001</v>
      </c>
      <c r="J513" s="185">
        <v>46062</v>
      </c>
      <c r="K513" s="185">
        <v>46062</v>
      </c>
      <c r="L513" s="185">
        <v>46152</v>
      </c>
      <c r="M513" s="185">
        <v>46153</v>
      </c>
      <c r="N513"/>
      <c r="O513">
        <v>1010100</v>
      </c>
      <c r="P513" t="s">
        <v>29</v>
      </c>
      <c r="Q513">
        <v>200000100</v>
      </c>
      <c r="R513" t="s">
        <v>15322</v>
      </c>
      <c r="S513"/>
      <c r="T513" t="s">
        <v>15323</v>
      </c>
      <c r="U513" t="s">
        <v>5803</v>
      </c>
      <c r="V513" s="23">
        <v>0</v>
      </c>
      <c r="W513" s="23">
        <v>0</v>
      </c>
      <c r="X513" s="23">
        <v>0</v>
      </c>
      <c r="Y513"/>
      <c r="Z513">
        <v>1246262790</v>
      </c>
      <c r="AA513"/>
      <c r="AB513" t="s">
        <v>1199</v>
      </c>
      <c r="AC513">
        <v>102</v>
      </c>
      <c r="AD513">
        <v>4</v>
      </c>
      <c r="AE513" t="s">
        <v>15324</v>
      </c>
      <c r="AF513"/>
      <c r="AG513" s="23"/>
      <c r="AH513" s="265" t="str">
        <f>_xlfn.XLOOKUP(G513,Clientes!I:I,Clientes!F:F)</f>
        <v>GRUPO MOSAIC FERTILIZANTES P K LTDA</v>
      </c>
    </row>
    <row r="514" spans="1:34" x14ac:dyDescent="0.25">
      <c r="A514">
        <v>161</v>
      </c>
      <c r="B514" t="s">
        <v>145</v>
      </c>
      <c r="C514"/>
      <c r="D514" s="23">
        <v>114240</v>
      </c>
      <c r="E514">
        <v>10493</v>
      </c>
      <c r="F514">
        <v>11</v>
      </c>
      <c r="G514">
        <v>1787</v>
      </c>
      <c r="H514" t="s">
        <v>57</v>
      </c>
      <c r="I514" s="23">
        <v>114240</v>
      </c>
      <c r="J514" s="185">
        <v>46037</v>
      </c>
      <c r="K514" s="185">
        <v>46037</v>
      </c>
      <c r="L514" s="185">
        <v>46127</v>
      </c>
      <c r="M514" s="185">
        <v>46127</v>
      </c>
      <c r="N514"/>
      <c r="O514">
        <v>1010100</v>
      </c>
      <c r="P514" t="s">
        <v>29</v>
      </c>
      <c r="Q514">
        <v>200000100</v>
      </c>
      <c r="R514" t="s">
        <v>15322</v>
      </c>
      <c r="S514"/>
      <c r="T514" t="s">
        <v>15323</v>
      </c>
      <c r="U514" t="s">
        <v>2246</v>
      </c>
      <c r="V514" s="23">
        <v>0</v>
      </c>
      <c r="W514" s="23">
        <v>0</v>
      </c>
      <c r="X514" s="23">
        <v>0</v>
      </c>
      <c r="Y514"/>
      <c r="Z514">
        <v>1246259553</v>
      </c>
      <c r="AA514"/>
      <c r="AB514" t="s">
        <v>2073</v>
      </c>
      <c r="AC514">
        <v>102</v>
      </c>
      <c r="AD514">
        <v>4</v>
      </c>
      <c r="AE514" t="s">
        <v>15324</v>
      </c>
      <c r="AF514"/>
      <c r="AG514" s="23"/>
      <c r="AH514" s="265" t="str">
        <f>_xlfn.XLOOKUP(G514,Clientes!I:I,Clientes!F:F)</f>
        <v>GRUPO MOSAIC FERTILIZANTES P K LTDA</v>
      </c>
    </row>
    <row r="515" spans="1:34" x14ac:dyDescent="0.25">
      <c r="A515">
        <v>161</v>
      </c>
      <c r="B515" t="s">
        <v>145</v>
      </c>
      <c r="C515"/>
      <c r="D515" s="23">
        <v>114341.4</v>
      </c>
      <c r="E515">
        <v>10596</v>
      </c>
      <c r="F515">
        <v>11</v>
      </c>
      <c r="G515">
        <v>1792</v>
      </c>
      <c r="H515" t="s">
        <v>697</v>
      </c>
      <c r="I515" s="23">
        <v>114341.4</v>
      </c>
      <c r="J515" s="185">
        <v>46050</v>
      </c>
      <c r="K515" s="185">
        <v>46050</v>
      </c>
      <c r="L515" s="185">
        <v>46140</v>
      </c>
      <c r="M515" s="185">
        <v>46111</v>
      </c>
      <c r="N515"/>
      <c r="O515">
        <v>1010100</v>
      </c>
      <c r="P515" t="s">
        <v>29</v>
      </c>
      <c r="Q515">
        <v>200000100</v>
      </c>
      <c r="R515" t="s">
        <v>15322</v>
      </c>
      <c r="S515"/>
      <c r="T515" t="s">
        <v>15323</v>
      </c>
      <c r="U515" t="s">
        <v>5803</v>
      </c>
      <c r="V515" s="23">
        <v>0</v>
      </c>
      <c r="W515" s="23">
        <v>0</v>
      </c>
      <c r="X515" s="23">
        <v>0</v>
      </c>
      <c r="Y515"/>
      <c r="Z515">
        <v>1246261487</v>
      </c>
      <c r="AA515"/>
      <c r="AB515" t="s">
        <v>1199</v>
      </c>
      <c r="AC515">
        <v>102</v>
      </c>
      <c r="AD515">
        <v>4</v>
      </c>
      <c r="AE515" t="s">
        <v>15324</v>
      </c>
      <c r="AF515"/>
      <c r="AG515" s="23"/>
      <c r="AH515" s="265" t="str">
        <f>_xlfn.XLOOKUP(G515,Clientes!I:I,Clientes!F:F)</f>
        <v>GRUPO MOSAIC FERTILIZANTES P K LTDA</v>
      </c>
    </row>
    <row r="516" spans="1:34" x14ac:dyDescent="0.25">
      <c r="A516">
        <v>161</v>
      </c>
      <c r="B516" t="s">
        <v>145</v>
      </c>
      <c r="C516"/>
      <c r="D516" s="23">
        <v>114393.60000000001</v>
      </c>
      <c r="E516">
        <v>10678</v>
      </c>
      <c r="F516">
        <v>11</v>
      </c>
      <c r="G516">
        <v>1787</v>
      </c>
      <c r="H516" t="s">
        <v>57</v>
      </c>
      <c r="I516" s="23">
        <v>114393.60000000001</v>
      </c>
      <c r="J516" s="185">
        <v>46064</v>
      </c>
      <c r="K516" s="185">
        <v>46064</v>
      </c>
      <c r="L516" s="185">
        <v>46154</v>
      </c>
      <c r="M516" s="185">
        <v>46154</v>
      </c>
      <c r="N516"/>
      <c r="O516">
        <v>1010100</v>
      </c>
      <c r="P516" t="s">
        <v>29</v>
      </c>
      <c r="Q516">
        <v>200000100</v>
      </c>
      <c r="R516" t="s">
        <v>15322</v>
      </c>
      <c r="S516"/>
      <c r="T516" t="s">
        <v>15323</v>
      </c>
      <c r="U516" t="s">
        <v>1964</v>
      </c>
      <c r="V516" s="23">
        <v>0</v>
      </c>
      <c r="W516" s="23">
        <v>0</v>
      </c>
      <c r="X516" s="23">
        <v>0</v>
      </c>
      <c r="Y516"/>
      <c r="Z516">
        <v>1246263371</v>
      </c>
      <c r="AA516"/>
      <c r="AB516" t="s">
        <v>1199</v>
      </c>
      <c r="AC516">
        <v>102</v>
      </c>
      <c r="AD516">
        <v>4</v>
      </c>
      <c r="AE516" t="s">
        <v>15324</v>
      </c>
      <c r="AF516"/>
      <c r="AG516" s="23"/>
      <c r="AH516" s="265" t="str">
        <f>_xlfn.XLOOKUP(G516,Clientes!I:I,Clientes!F:F)</f>
        <v>GRUPO MOSAIC FERTILIZANTES P K LTDA</v>
      </c>
    </row>
    <row r="517" spans="1:34" x14ac:dyDescent="0.25">
      <c r="A517">
        <v>161</v>
      </c>
      <c r="B517" t="s">
        <v>145</v>
      </c>
      <c r="C517"/>
      <c r="D517" s="23">
        <v>114432</v>
      </c>
      <c r="E517">
        <v>11079</v>
      </c>
      <c r="F517">
        <v>11</v>
      </c>
      <c r="G517">
        <v>1789</v>
      </c>
      <c r="H517" t="s">
        <v>61</v>
      </c>
      <c r="I517" s="23">
        <v>114432</v>
      </c>
      <c r="J517" s="185">
        <v>46121</v>
      </c>
      <c r="K517" s="185">
        <v>46121</v>
      </c>
      <c r="L517" s="185">
        <v>46211</v>
      </c>
      <c r="M517" s="185"/>
      <c r="N517"/>
      <c r="O517">
        <v>1010100</v>
      </c>
      <c r="P517" t="s">
        <v>29</v>
      </c>
      <c r="Q517">
        <v>200000100</v>
      </c>
      <c r="R517" t="s">
        <v>15322</v>
      </c>
      <c r="S517"/>
      <c r="T517" t="s">
        <v>15323</v>
      </c>
      <c r="U517" t="s">
        <v>1199</v>
      </c>
      <c r="V517" s="23">
        <v>0</v>
      </c>
      <c r="W517" s="23">
        <v>0</v>
      </c>
      <c r="X517" s="23">
        <v>0</v>
      </c>
      <c r="Y517"/>
      <c r="Z517">
        <v>1246270845</v>
      </c>
      <c r="AA517"/>
      <c r="AB517"/>
      <c r="AC517">
        <v>102</v>
      </c>
      <c r="AD517">
        <v>4</v>
      </c>
      <c r="AE517" t="s">
        <v>15324</v>
      </c>
      <c r="AF517"/>
      <c r="AG517" s="23"/>
      <c r="AH517" s="265" t="str">
        <f>_xlfn.XLOOKUP(G517,Clientes!I:I,Clientes!F:F)</f>
        <v>GRUPO MOSAIC FERTILIZANTES P K LTDA</v>
      </c>
    </row>
    <row r="518" spans="1:34" x14ac:dyDescent="0.25">
      <c r="A518">
        <v>161</v>
      </c>
      <c r="B518" t="s">
        <v>145</v>
      </c>
      <c r="C518"/>
      <c r="D518" s="23">
        <v>114470.39999999999</v>
      </c>
      <c r="E518">
        <v>10604</v>
      </c>
      <c r="F518">
        <v>11</v>
      </c>
      <c r="G518">
        <v>1787</v>
      </c>
      <c r="H518" t="s">
        <v>57</v>
      </c>
      <c r="I518" s="23">
        <v>114470.39999999999</v>
      </c>
      <c r="J518" s="185">
        <v>46051</v>
      </c>
      <c r="K518" s="185">
        <v>46051</v>
      </c>
      <c r="L518" s="185">
        <v>46141</v>
      </c>
      <c r="M518" s="185">
        <v>46141</v>
      </c>
      <c r="N518"/>
      <c r="O518">
        <v>1010100</v>
      </c>
      <c r="P518" t="s">
        <v>29</v>
      </c>
      <c r="Q518">
        <v>200000100</v>
      </c>
      <c r="R518" t="s">
        <v>15322</v>
      </c>
      <c r="S518"/>
      <c r="T518" t="s">
        <v>15323</v>
      </c>
      <c r="U518" t="s">
        <v>1199</v>
      </c>
      <c r="V518" s="23">
        <v>0</v>
      </c>
      <c r="W518" s="23">
        <v>0</v>
      </c>
      <c r="X518" s="23">
        <v>0</v>
      </c>
      <c r="Y518"/>
      <c r="Z518">
        <v>1246261586</v>
      </c>
      <c r="AA518"/>
      <c r="AB518" t="s">
        <v>1199</v>
      </c>
      <c r="AC518">
        <v>102</v>
      </c>
      <c r="AD518">
        <v>4</v>
      </c>
      <c r="AE518" t="s">
        <v>15324</v>
      </c>
      <c r="AF518"/>
      <c r="AG518" s="23"/>
      <c r="AH518" s="265" t="str">
        <f>_xlfn.XLOOKUP(G518,Clientes!I:I,Clientes!F:F)</f>
        <v>GRUPO MOSAIC FERTILIZANTES P K LTDA</v>
      </c>
    </row>
    <row r="519" spans="1:34" x14ac:dyDescent="0.25">
      <c r="A519">
        <v>161</v>
      </c>
      <c r="B519" t="s">
        <v>145</v>
      </c>
      <c r="C519"/>
      <c r="D519" s="23">
        <v>114470.39999999999</v>
      </c>
      <c r="E519">
        <v>11320</v>
      </c>
      <c r="F519">
        <v>11</v>
      </c>
      <c r="G519">
        <v>1789</v>
      </c>
      <c r="H519" t="s">
        <v>61</v>
      </c>
      <c r="I519" s="23">
        <v>114470.39999999999</v>
      </c>
      <c r="J519" s="185">
        <v>46149</v>
      </c>
      <c r="K519" s="185">
        <v>46149</v>
      </c>
      <c r="L519" s="185">
        <v>46239</v>
      </c>
      <c r="M519" s="185"/>
      <c r="N519"/>
      <c r="O519">
        <v>1010100</v>
      </c>
      <c r="P519" t="s">
        <v>29</v>
      </c>
      <c r="Q519">
        <v>200000100</v>
      </c>
      <c r="R519" t="s">
        <v>15322</v>
      </c>
      <c r="S519"/>
      <c r="T519" t="s">
        <v>15323</v>
      </c>
      <c r="U519" t="s">
        <v>1530</v>
      </c>
      <c r="V519" s="23">
        <v>0</v>
      </c>
      <c r="W519" s="23">
        <v>0</v>
      </c>
      <c r="X519" s="23">
        <v>0</v>
      </c>
      <c r="Y519"/>
      <c r="Z519">
        <v>1246273904</v>
      </c>
      <c r="AA519"/>
      <c r="AB519"/>
      <c r="AC519">
        <v>116</v>
      </c>
      <c r="AD519">
        <v>4</v>
      </c>
      <c r="AE519" t="s">
        <v>15324</v>
      </c>
      <c r="AF519"/>
      <c r="AG519" s="23"/>
      <c r="AH519" s="265" t="str">
        <f>_xlfn.XLOOKUP(G519,Clientes!I:I,Clientes!F:F)</f>
        <v>GRUPO MOSAIC FERTILIZANTES P K LTDA</v>
      </c>
    </row>
    <row r="520" spans="1:34" x14ac:dyDescent="0.25">
      <c r="A520">
        <v>161</v>
      </c>
      <c r="B520" t="s">
        <v>145</v>
      </c>
      <c r="C520"/>
      <c r="D520" s="23">
        <v>114470.39999999999</v>
      </c>
      <c r="E520">
        <v>10967</v>
      </c>
      <c r="F520">
        <v>11</v>
      </c>
      <c r="G520">
        <v>1789</v>
      </c>
      <c r="H520" t="s">
        <v>61</v>
      </c>
      <c r="I520" s="23">
        <v>114470.39999999999</v>
      </c>
      <c r="J520" s="185">
        <v>46105</v>
      </c>
      <c r="K520" s="185">
        <v>46105</v>
      </c>
      <c r="L520" s="185">
        <v>46195</v>
      </c>
      <c r="M520" s="185">
        <v>46195</v>
      </c>
      <c r="N520"/>
      <c r="O520">
        <v>1010100</v>
      </c>
      <c r="P520" t="s">
        <v>29</v>
      </c>
      <c r="Q520">
        <v>200000100</v>
      </c>
      <c r="R520" t="s">
        <v>15322</v>
      </c>
      <c r="S520"/>
      <c r="T520" t="s">
        <v>15323</v>
      </c>
      <c r="U520" t="s">
        <v>5803</v>
      </c>
      <c r="V520" s="23">
        <v>0</v>
      </c>
      <c r="W520" s="23">
        <v>0</v>
      </c>
      <c r="X520" s="23">
        <v>0</v>
      </c>
      <c r="Y520"/>
      <c r="Z520">
        <v>1246268819</v>
      </c>
      <c r="AA520"/>
      <c r="AB520" t="s">
        <v>1199</v>
      </c>
      <c r="AC520">
        <v>102</v>
      </c>
      <c r="AD520">
        <v>4</v>
      </c>
      <c r="AE520" t="s">
        <v>15324</v>
      </c>
      <c r="AF520"/>
      <c r="AG520" s="23"/>
      <c r="AH520" s="265" t="str">
        <f>_xlfn.XLOOKUP(G520,Clientes!I:I,Clientes!F:F)</f>
        <v>GRUPO MOSAIC FERTILIZANTES P K LTDA</v>
      </c>
    </row>
    <row r="521" spans="1:34" x14ac:dyDescent="0.25">
      <c r="A521">
        <v>161</v>
      </c>
      <c r="B521" t="s">
        <v>145</v>
      </c>
      <c r="C521"/>
      <c r="D521" s="23">
        <v>114662.39999999999</v>
      </c>
      <c r="E521">
        <v>10953</v>
      </c>
      <c r="F521">
        <v>11</v>
      </c>
      <c r="G521">
        <v>1787</v>
      </c>
      <c r="H521" t="s">
        <v>57</v>
      </c>
      <c r="I521" s="23">
        <v>114662.39999999999</v>
      </c>
      <c r="J521" s="185">
        <v>46101</v>
      </c>
      <c r="K521" s="185">
        <v>46101</v>
      </c>
      <c r="L521" s="185">
        <v>46191</v>
      </c>
      <c r="M521" s="185">
        <v>46191</v>
      </c>
      <c r="N521"/>
      <c r="O521">
        <v>1010100</v>
      </c>
      <c r="P521" t="s">
        <v>29</v>
      </c>
      <c r="Q521">
        <v>200000100</v>
      </c>
      <c r="R521" t="s">
        <v>15322</v>
      </c>
      <c r="S521"/>
      <c r="T521" t="s">
        <v>15323</v>
      </c>
      <c r="U521" t="s">
        <v>1199</v>
      </c>
      <c r="V521" s="23">
        <v>0</v>
      </c>
      <c r="W521" s="23">
        <v>0</v>
      </c>
      <c r="X521" s="23">
        <v>0</v>
      </c>
      <c r="Y521"/>
      <c r="Z521">
        <v>1246268585</v>
      </c>
      <c r="AA521"/>
      <c r="AB521" t="s">
        <v>1199</v>
      </c>
      <c r="AC521">
        <v>102</v>
      </c>
      <c r="AD521">
        <v>4</v>
      </c>
      <c r="AE521" t="s">
        <v>15324</v>
      </c>
      <c r="AF521"/>
      <c r="AG521" s="23"/>
      <c r="AH521" s="265" t="str">
        <f>_xlfn.XLOOKUP(G521,Clientes!I:I,Clientes!F:F)</f>
        <v>GRUPO MOSAIC FERTILIZANTES P K LTDA</v>
      </c>
    </row>
    <row r="522" spans="1:34" x14ac:dyDescent="0.25">
      <c r="A522">
        <v>161</v>
      </c>
      <c r="B522" t="s">
        <v>145</v>
      </c>
      <c r="C522"/>
      <c r="D522" s="23">
        <v>114662.39999999999</v>
      </c>
      <c r="E522">
        <v>11126</v>
      </c>
      <c r="F522">
        <v>11</v>
      </c>
      <c r="G522">
        <v>1789</v>
      </c>
      <c r="H522" t="s">
        <v>61</v>
      </c>
      <c r="I522" s="23">
        <v>114662.39999999999</v>
      </c>
      <c r="J522" s="185">
        <v>46127</v>
      </c>
      <c r="K522" s="185">
        <v>46127</v>
      </c>
      <c r="L522" s="185">
        <v>46217</v>
      </c>
      <c r="M522" s="185"/>
      <c r="N522"/>
      <c r="O522">
        <v>1010100</v>
      </c>
      <c r="P522" t="s">
        <v>29</v>
      </c>
      <c r="Q522">
        <v>200000100</v>
      </c>
      <c r="R522" t="s">
        <v>15322</v>
      </c>
      <c r="S522"/>
      <c r="T522" t="s">
        <v>15323</v>
      </c>
      <c r="U522" t="s">
        <v>1199</v>
      </c>
      <c r="V522" s="23">
        <v>0</v>
      </c>
      <c r="W522" s="23">
        <v>0</v>
      </c>
      <c r="X522" s="23">
        <v>0</v>
      </c>
      <c r="Y522"/>
      <c r="Z522">
        <v>1246271452</v>
      </c>
      <c r="AA522"/>
      <c r="AB522"/>
      <c r="AC522">
        <v>102</v>
      </c>
      <c r="AD522">
        <v>4</v>
      </c>
      <c r="AE522" t="s">
        <v>15324</v>
      </c>
      <c r="AF522"/>
      <c r="AG522" s="23"/>
      <c r="AH522" s="265" t="str">
        <f>_xlfn.XLOOKUP(G522,Clientes!I:I,Clientes!F:F)</f>
        <v>GRUPO MOSAIC FERTILIZANTES P K LTDA</v>
      </c>
    </row>
    <row r="523" spans="1:34" x14ac:dyDescent="0.25">
      <c r="A523">
        <v>161</v>
      </c>
      <c r="B523" t="s">
        <v>145</v>
      </c>
      <c r="C523"/>
      <c r="D523" s="23">
        <v>114676.64</v>
      </c>
      <c r="E523">
        <v>11512</v>
      </c>
      <c r="F523">
        <v>11</v>
      </c>
      <c r="G523">
        <v>1787</v>
      </c>
      <c r="H523" t="s">
        <v>57</v>
      </c>
      <c r="I523" s="23">
        <v>114676.64</v>
      </c>
      <c r="J523" s="185">
        <v>46168</v>
      </c>
      <c r="K523" s="185">
        <v>46168</v>
      </c>
      <c r="L523" s="185">
        <v>46258</v>
      </c>
      <c r="M523" s="185"/>
      <c r="N523"/>
      <c r="O523">
        <v>1010100</v>
      </c>
      <c r="P523" t="s">
        <v>29</v>
      </c>
      <c r="Q523">
        <v>200000100</v>
      </c>
      <c r="R523" t="s">
        <v>15322</v>
      </c>
      <c r="S523"/>
      <c r="T523" t="s">
        <v>15323</v>
      </c>
      <c r="U523" t="s">
        <v>4502</v>
      </c>
      <c r="V523" s="23">
        <v>0</v>
      </c>
      <c r="W523" s="23">
        <v>0</v>
      </c>
      <c r="X523" s="23">
        <v>0</v>
      </c>
      <c r="Y523"/>
      <c r="Z523">
        <v>1246277004</v>
      </c>
      <c r="AA523"/>
      <c r="AB523"/>
      <c r="AC523">
        <v>102</v>
      </c>
      <c r="AD523">
        <v>4</v>
      </c>
      <c r="AE523" t="s">
        <v>15324</v>
      </c>
      <c r="AF523"/>
      <c r="AG523" s="23"/>
      <c r="AH523" s="265" t="str">
        <f>_xlfn.XLOOKUP(G523,Clientes!I:I,Clientes!F:F)</f>
        <v>GRUPO MOSAIC FERTILIZANTES P K LTDA</v>
      </c>
    </row>
    <row r="524" spans="1:34" x14ac:dyDescent="0.25">
      <c r="A524">
        <v>161</v>
      </c>
      <c r="B524" t="s">
        <v>145</v>
      </c>
      <c r="C524"/>
      <c r="D524" s="23">
        <v>114700.8</v>
      </c>
      <c r="E524">
        <v>10462</v>
      </c>
      <c r="F524">
        <v>11</v>
      </c>
      <c r="G524">
        <v>1787</v>
      </c>
      <c r="H524" t="s">
        <v>57</v>
      </c>
      <c r="I524" s="23">
        <v>114700.8</v>
      </c>
      <c r="J524" s="185">
        <v>46034</v>
      </c>
      <c r="K524" s="185">
        <v>46034</v>
      </c>
      <c r="L524" s="185">
        <v>46124</v>
      </c>
      <c r="M524" s="185">
        <v>46125</v>
      </c>
      <c r="N524"/>
      <c r="O524">
        <v>1010100</v>
      </c>
      <c r="P524" t="s">
        <v>29</v>
      </c>
      <c r="Q524">
        <v>200000100</v>
      </c>
      <c r="R524" t="s">
        <v>15322</v>
      </c>
      <c r="S524"/>
      <c r="T524" t="s">
        <v>15323</v>
      </c>
      <c r="U524" t="s">
        <v>1530</v>
      </c>
      <c r="V524" s="23">
        <v>0</v>
      </c>
      <c r="W524" s="23">
        <v>0</v>
      </c>
      <c r="X524" s="23">
        <v>0</v>
      </c>
      <c r="Y524"/>
      <c r="Z524">
        <v>1246259163</v>
      </c>
      <c r="AA524"/>
      <c r="AB524" t="s">
        <v>2073</v>
      </c>
      <c r="AC524">
        <v>102</v>
      </c>
      <c r="AD524">
        <v>4</v>
      </c>
      <c r="AE524" t="s">
        <v>15324</v>
      </c>
      <c r="AF524"/>
      <c r="AG524" s="23"/>
      <c r="AH524" s="265" t="str">
        <f>_xlfn.XLOOKUP(G524,Clientes!I:I,Clientes!F:F)</f>
        <v>GRUPO MOSAIC FERTILIZANTES P K LTDA</v>
      </c>
    </row>
    <row r="525" spans="1:34" x14ac:dyDescent="0.25">
      <c r="A525">
        <v>161</v>
      </c>
      <c r="B525" t="s">
        <v>145</v>
      </c>
      <c r="C525"/>
      <c r="D525" s="23">
        <v>114739.2</v>
      </c>
      <c r="E525">
        <v>11105</v>
      </c>
      <c r="F525">
        <v>11</v>
      </c>
      <c r="G525">
        <v>1787</v>
      </c>
      <c r="H525" t="s">
        <v>57</v>
      </c>
      <c r="I525" s="23">
        <v>114739.2</v>
      </c>
      <c r="J525" s="185">
        <v>46125</v>
      </c>
      <c r="K525" s="185">
        <v>46125</v>
      </c>
      <c r="L525" s="185">
        <v>46215</v>
      </c>
      <c r="M525" s="185"/>
      <c r="N525"/>
      <c r="O525">
        <v>1010100</v>
      </c>
      <c r="P525" t="s">
        <v>29</v>
      </c>
      <c r="Q525">
        <v>200000100</v>
      </c>
      <c r="R525" t="s">
        <v>15322</v>
      </c>
      <c r="S525"/>
      <c r="T525" t="s">
        <v>15323</v>
      </c>
      <c r="U525" t="s">
        <v>4502</v>
      </c>
      <c r="V525" s="23">
        <v>0</v>
      </c>
      <c r="W525" s="23">
        <v>0</v>
      </c>
      <c r="X525" s="23">
        <v>0</v>
      </c>
      <c r="Y525"/>
      <c r="Z525">
        <v>1246271165</v>
      </c>
      <c r="AA525"/>
      <c r="AB525"/>
      <c r="AC525">
        <v>102</v>
      </c>
      <c r="AD525">
        <v>4</v>
      </c>
      <c r="AE525" t="s">
        <v>15324</v>
      </c>
      <c r="AF525"/>
      <c r="AG525" s="23"/>
      <c r="AH525" s="265" t="str">
        <f>_xlfn.XLOOKUP(G525,Clientes!I:I,Clientes!F:F)</f>
        <v>GRUPO MOSAIC FERTILIZANTES P K LTDA</v>
      </c>
    </row>
    <row r="526" spans="1:34" x14ac:dyDescent="0.25">
      <c r="A526">
        <v>161</v>
      </c>
      <c r="B526" t="s">
        <v>145</v>
      </c>
      <c r="C526"/>
      <c r="D526" s="23">
        <v>114969.60000000001</v>
      </c>
      <c r="E526">
        <v>10746</v>
      </c>
      <c r="F526">
        <v>11</v>
      </c>
      <c r="G526">
        <v>1787</v>
      </c>
      <c r="H526" t="s">
        <v>57</v>
      </c>
      <c r="I526" s="23">
        <v>114969.60000000001</v>
      </c>
      <c r="J526" s="185">
        <v>46076</v>
      </c>
      <c r="K526" s="185">
        <v>46076</v>
      </c>
      <c r="L526" s="185">
        <v>46166</v>
      </c>
      <c r="M526" s="185">
        <v>46167</v>
      </c>
      <c r="N526"/>
      <c r="O526">
        <v>1010100</v>
      </c>
      <c r="P526" t="s">
        <v>29</v>
      </c>
      <c r="Q526">
        <v>200000100</v>
      </c>
      <c r="R526" t="s">
        <v>15322</v>
      </c>
      <c r="S526"/>
      <c r="T526" t="s">
        <v>15323</v>
      </c>
      <c r="U526" t="s">
        <v>5803</v>
      </c>
      <c r="V526" s="23">
        <v>0</v>
      </c>
      <c r="W526" s="23">
        <v>0</v>
      </c>
      <c r="X526" s="23">
        <v>0</v>
      </c>
      <c r="Y526"/>
      <c r="Z526">
        <v>1246264543</v>
      </c>
      <c r="AA526"/>
      <c r="AB526" t="s">
        <v>1199</v>
      </c>
      <c r="AC526">
        <v>102</v>
      </c>
      <c r="AD526">
        <v>4</v>
      </c>
      <c r="AE526" t="s">
        <v>15324</v>
      </c>
      <c r="AF526"/>
      <c r="AG526" s="23"/>
      <c r="AH526" s="265" t="str">
        <f>_xlfn.XLOOKUP(G526,Clientes!I:I,Clientes!F:F)</f>
        <v>GRUPO MOSAIC FERTILIZANTES P K LTDA</v>
      </c>
    </row>
    <row r="527" spans="1:34" x14ac:dyDescent="0.25">
      <c r="A527">
        <v>161</v>
      </c>
      <c r="B527" t="s">
        <v>145</v>
      </c>
      <c r="C527"/>
      <c r="D527" s="23">
        <v>115046.39999999999</v>
      </c>
      <c r="E527">
        <v>10856</v>
      </c>
      <c r="F527">
        <v>11</v>
      </c>
      <c r="G527">
        <v>1787</v>
      </c>
      <c r="H527" t="s">
        <v>57</v>
      </c>
      <c r="I527" s="23">
        <v>115046.39999999999</v>
      </c>
      <c r="J527" s="185">
        <v>46091</v>
      </c>
      <c r="K527" s="185">
        <v>46091</v>
      </c>
      <c r="L527" s="185">
        <v>46181</v>
      </c>
      <c r="M527" s="185">
        <v>46181</v>
      </c>
      <c r="N527"/>
      <c r="O527">
        <v>1010100</v>
      </c>
      <c r="P527" t="s">
        <v>29</v>
      </c>
      <c r="Q527">
        <v>200000100</v>
      </c>
      <c r="R527" t="s">
        <v>15322</v>
      </c>
      <c r="S527"/>
      <c r="T527" t="s">
        <v>15323</v>
      </c>
      <c r="U527" t="s">
        <v>1530</v>
      </c>
      <c r="V527" s="23">
        <v>0</v>
      </c>
      <c r="W527" s="23">
        <v>0</v>
      </c>
      <c r="X527" s="23">
        <v>0</v>
      </c>
      <c r="Y527"/>
      <c r="Z527">
        <v>1246267207</v>
      </c>
      <c r="AA527"/>
      <c r="AB527" t="s">
        <v>1199</v>
      </c>
      <c r="AC527">
        <v>102</v>
      </c>
      <c r="AD527">
        <v>4</v>
      </c>
      <c r="AE527" t="s">
        <v>15324</v>
      </c>
      <c r="AF527"/>
      <c r="AG527" s="23"/>
      <c r="AH527" s="265" t="str">
        <f>_xlfn.XLOOKUP(G527,Clientes!I:I,Clientes!F:F)</f>
        <v>GRUPO MOSAIC FERTILIZANTES P K LTDA</v>
      </c>
    </row>
    <row r="528" spans="1:34" x14ac:dyDescent="0.25">
      <c r="A528">
        <v>161</v>
      </c>
      <c r="B528" t="s">
        <v>145</v>
      </c>
      <c r="C528"/>
      <c r="D528" s="23">
        <v>115123.2</v>
      </c>
      <c r="E528">
        <v>10992</v>
      </c>
      <c r="F528">
        <v>11</v>
      </c>
      <c r="G528">
        <v>1789</v>
      </c>
      <c r="H528" t="s">
        <v>61</v>
      </c>
      <c r="I528" s="23">
        <v>115123.2</v>
      </c>
      <c r="J528" s="185">
        <v>46108</v>
      </c>
      <c r="K528" s="185">
        <v>46108</v>
      </c>
      <c r="L528" s="185">
        <v>46198</v>
      </c>
      <c r="M528" s="185"/>
      <c r="N528"/>
      <c r="O528">
        <v>1010100</v>
      </c>
      <c r="P528" t="s">
        <v>29</v>
      </c>
      <c r="Q528">
        <v>200000100</v>
      </c>
      <c r="R528" t="s">
        <v>15322</v>
      </c>
      <c r="S528"/>
      <c r="T528" t="s">
        <v>15323</v>
      </c>
      <c r="U528" t="s">
        <v>5803</v>
      </c>
      <c r="V528" s="23">
        <v>0</v>
      </c>
      <c r="W528" s="23">
        <v>0</v>
      </c>
      <c r="X528" s="23">
        <v>0</v>
      </c>
      <c r="Y528"/>
      <c r="Z528">
        <v>1246269430</v>
      </c>
      <c r="AA528"/>
      <c r="AB528"/>
      <c r="AC528">
        <v>102</v>
      </c>
      <c r="AD528">
        <v>4</v>
      </c>
      <c r="AE528" t="s">
        <v>15324</v>
      </c>
      <c r="AF528"/>
      <c r="AG528" s="23"/>
      <c r="AH528" s="265" t="str">
        <f>_xlfn.XLOOKUP(G528,Clientes!I:I,Clientes!F:F)</f>
        <v>GRUPO MOSAIC FERTILIZANTES P K LTDA</v>
      </c>
    </row>
    <row r="529" spans="1:34" x14ac:dyDescent="0.25">
      <c r="A529">
        <v>161</v>
      </c>
      <c r="B529" t="s">
        <v>145</v>
      </c>
      <c r="C529"/>
      <c r="D529" s="23">
        <v>115276.8</v>
      </c>
      <c r="E529">
        <v>11296</v>
      </c>
      <c r="F529">
        <v>11</v>
      </c>
      <c r="G529">
        <v>1789</v>
      </c>
      <c r="H529" t="s">
        <v>61</v>
      </c>
      <c r="I529" s="23">
        <v>115276.8</v>
      </c>
      <c r="J529" s="185">
        <v>46147</v>
      </c>
      <c r="K529" s="185">
        <v>46147</v>
      </c>
      <c r="L529" s="185">
        <v>46237</v>
      </c>
      <c r="M529" s="185"/>
      <c r="N529"/>
      <c r="O529">
        <v>1010100</v>
      </c>
      <c r="P529" t="s">
        <v>29</v>
      </c>
      <c r="Q529">
        <v>200000100</v>
      </c>
      <c r="R529" t="s">
        <v>15322</v>
      </c>
      <c r="S529"/>
      <c r="T529" t="s">
        <v>15323</v>
      </c>
      <c r="U529" t="s">
        <v>5803</v>
      </c>
      <c r="V529" s="23">
        <v>0</v>
      </c>
      <c r="W529" s="23">
        <v>0</v>
      </c>
      <c r="X529" s="23">
        <v>0</v>
      </c>
      <c r="Y529"/>
      <c r="Z529">
        <v>1246273585</v>
      </c>
      <c r="AA529"/>
      <c r="AB529"/>
      <c r="AC529">
        <v>102</v>
      </c>
      <c r="AD529">
        <v>4</v>
      </c>
      <c r="AE529" t="s">
        <v>15324</v>
      </c>
      <c r="AF529"/>
      <c r="AG529" s="23"/>
      <c r="AH529" s="265" t="str">
        <f>_xlfn.XLOOKUP(G529,Clientes!I:I,Clientes!F:F)</f>
        <v>GRUPO MOSAIC FERTILIZANTES P K LTDA</v>
      </c>
    </row>
    <row r="530" spans="1:34" x14ac:dyDescent="0.25">
      <c r="A530">
        <v>161</v>
      </c>
      <c r="B530" t="s">
        <v>145</v>
      </c>
      <c r="C530"/>
      <c r="D530" s="23">
        <v>115296.72</v>
      </c>
      <c r="E530">
        <v>11567</v>
      </c>
      <c r="F530">
        <v>11</v>
      </c>
      <c r="G530">
        <v>1789</v>
      </c>
      <c r="H530" t="s">
        <v>61</v>
      </c>
      <c r="I530" s="23">
        <v>115296.72</v>
      </c>
      <c r="J530" s="185">
        <v>46174</v>
      </c>
      <c r="K530" s="185">
        <v>46174</v>
      </c>
      <c r="L530" s="185">
        <v>46264</v>
      </c>
      <c r="M530" s="185"/>
      <c r="N530"/>
      <c r="O530">
        <v>1010100</v>
      </c>
      <c r="P530" t="s">
        <v>29</v>
      </c>
      <c r="Q530">
        <v>200000100</v>
      </c>
      <c r="R530" t="s">
        <v>15322</v>
      </c>
      <c r="S530"/>
      <c r="T530" t="s">
        <v>15323</v>
      </c>
      <c r="U530" t="s">
        <v>5803</v>
      </c>
      <c r="V530" s="23">
        <v>0</v>
      </c>
      <c r="W530" s="23">
        <v>0</v>
      </c>
      <c r="X530" s="23">
        <v>0</v>
      </c>
      <c r="Y530"/>
      <c r="Z530">
        <v>1246277579</v>
      </c>
      <c r="AA530"/>
      <c r="AB530"/>
      <c r="AC530">
        <v>102</v>
      </c>
      <c r="AD530">
        <v>4</v>
      </c>
      <c r="AE530" t="s">
        <v>15324</v>
      </c>
      <c r="AF530"/>
      <c r="AG530" s="23"/>
      <c r="AH530" s="265" t="str">
        <f>_xlfn.XLOOKUP(G530,Clientes!I:I,Clientes!F:F)</f>
        <v>GRUPO MOSAIC FERTILIZANTES P K LTDA</v>
      </c>
    </row>
    <row r="531" spans="1:34" x14ac:dyDescent="0.25">
      <c r="A531">
        <v>161</v>
      </c>
      <c r="B531" t="s">
        <v>145</v>
      </c>
      <c r="C531"/>
      <c r="D531" s="23">
        <v>115314.82</v>
      </c>
      <c r="E531">
        <v>11341</v>
      </c>
      <c r="F531">
        <v>11</v>
      </c>
      <c r="G531">
        <v>1792</v>
      </c>
      <c r="H531" t="s">
        <v>697</v>
      </c>
      <c r="I531" s="23">
        <v>115314.82</v>
      </c>
      <c r="J531" s="185">
        <v>46153</v>
      </c>
      <c r="K531" s="185">
        <v>46153</v>
      </c>
      <c r="L531" s="185">
        <v>46243</v>
      </c>
      <c r="M531" s="185"/>
      <c r="N531"/>
      <c r="O531">
        <v>1010100</v>
      </c>
      <c r="P531" t="s">
        <v>29</v>
      </c>
      <c r="Q531">
        <v>200000100</v>
      </c>
      <c r="R531" t="s">
        <v>15322</v>
      </c>
      <c r="S531"/>
      <c r="T531" t="s">
        <v>15323</v>
      </c>
      <c r="U531" t="s">
        <v>1530</v>
      </c>
      <c r="V531" s="23">
        <v>0</v>
      </c>
      <c r="W531" s="23">
        <v>0</v>
      </c>
      <c r="X531" s="23">
        <v>0</v>
      </c>
      <c r="Y531"/>
      <c r="Z531">
        <v>1246274283</v>
      </c>
      <c r="AA531"/>
      <c r="AB531"/>
      <c r="AC531">
        <v>102</v>
      </c>
      <c r="AD531">
        <v>4</v>
      </c>
      <c r="AE531" t="s">
        <v>15324</v>
      </c>
      <c r="AF531"/>
      <c r="AG531" s="23"/>
      <c r="AH531" s="265" t="str">
        <f>_xlfn.XLOOKUP(G531,Clientes!I:I,Clientes!F:F)</f>
        <v>GRUPO MOSAIC FERTILIZANTES P K LTDA</v>
      </c>
    </row>
    <row r="532" spans="1:34" x14ac:dyDescent="0.25">
      <c r="A532">
        <v>161</v>
      </c>
      <c r="B532" t="s">
        <v>145</v>
      </c>
      <c r="C532"/>
      <c r="D532" s="23">
        <v>115315.2</v>
      </c>
      <c r="E532">
        <v>10768</v>
      </c>
      <c r="F532">
        <v>11</v>
      </c>
      <c r="G532">
        <v>1787</v>
      </c>
      <c r="H532" t="s">
        <v>57</v>
      </c>
      <c r="I532" s="23">
        <v>115315.2</v>
      </c>
      <c r="J532" s="185">
        <v>46078</v>
      </c>
      <c r="K532" s="185">
        <v>46078</v>
      </c>
      <c r="L532" s="185">
        <v>46168</v>
      </c>
      <c r="M532" s="185">
        <v>46168</v>
      </c>
      <c r="N532"/>
      <c r="O532">
        <v>1010100</v>
      </c>
      <c r="P532" t="s">
        <v>29</v>
      </c>
      <c r="Q532">
        <v>200000100</v>
      </c>
      <c r="R532" t="s">
        <v>15322</v>
      </c>
      <c r="S532"/>
      <c r="T532" t="s">
        <v>15323</v>
      </c>
      <c r="U532" t="s">
        <v>1199</v>
      </c>
      <c r="V532" s="23">
        <v>0</v>
      </c>
      <c r="W532" s="23">
        <v>0</v>
      </c>
      <c r="X532" s="23">
        <v>0</v>
      </c>
      <c r="Y532"/>
      <c r="Z532">
        <v>1246265189</v>
      </c>
      <c r="AA532"/>
      <c r="AB532" t="s">
        <v>1199</v>
      </c>
      <c r="AC532">
        <v>102</v>
      </c>
      <c r="AD532">
        <v>4</v>
      </c>
      <c r="AE532" t="s">
        <v>15324</v>
      </c>
      <c r="AF532"/>
      <c r="AG532" s="23"/>
      <c r="AH532" s="265" t="str">
        <f>_xlfn.XLOOKUP(G532,Clientes!I:I,Clientes!F:F)</f>
        <v>GRUPO MOSAIC FERTILIZANTES P K LTDA</v>
      </c>
    </row>
    <row r="533" spans="1:34" x14ac:dyDescent="0.25">
      <c r="A533">
        <v>161</v>
      </c>
      <c r="B533" t="s">
        <v>145</v>
      </c>
      <c r="C533"/>
      <c r="D533" s="23">
        <v>115353.60000000001</v>
      </c>
      <c r="E533">
        <v>10804</v>
      </c>
      <c r="F533">
        <v>11</v>
      </c>
      <c r="G533">
        <v>1789</v>
      </c>
      <c r="H533" t="s">
        <v>61</v>
      </c>
      <c r="I533" s="23">
        <v>115353.60000000001</v>
      </c>
      <c r="J533" s="185">
        <v>46084</v>
      </c>
      <c r="K533" s="185">
        <v>46084</v>
      </c>
      <c r="L533" s="185">
        <v>46174</v>
      </c>
      <c r="M533" s="185">
        <v>46174</v>
      </c>
      <c r="N533"/>
      <c r="O533">
        <v>1010100</v>
      </c>
      <c r="P533" t="s">
        <v>29</v>
      </c>
      <c r="Q533">
        <v>200000100</v>
      </c>
      <c r="R533" t="s">
        <v>15322</v>
      </c>
      <c r="S533"/>
      <c r="T533" t="s">
        <v>15323</v>
      </c>
      <c r="U533" t="s">
        <v>1964</v>
      </c>
      <c r="V533" s="23">
        <v>0</v>
      </c>
      <c r="W533" s="23">
        <v>0</v>
      </c>
      <c r="X533" s="23">
        <v>0</v>
      </c>
      <c r="Y533"/>
      <c r="Z533">
        <v>1246266246</v>
      </c>
      <c r="AA533"/>
      <c r="AB533" t="s">
        <v>1199</v>
      </c>
      <c r="AC533">
        <v>102</v>
      </c>
      <c r="AD533">
        <v>4</v>
      </c>
      <c r="AE533" t="s">
        <v>15324</v>
      </c>
      <c r="AF533"/>
      <c r="AG533" s="23"/>
      <c r="AH533" s="265" t="str">
        <f>_xlfn.XLOOKUP(G533,Clientes!I:I,Clientes!F:F)</f>
        <v>GRUPO MOSAIC FERTILIZANTES P K LTDA</v>
      </c>
    </row>
    <row r="534" spans="1:34" x14ac:dyDescent="0.25">
      <c r="A534">
        <v>161</v>
      </c>
      <c r="B534" t="s">
        <v>145</v>
      </c>
      <c r="C534"/>
      <c r="D534" s="23">
        <v>115392</v>
      </c>
      <c r="E534">
        <v>10791</v>
      </c>
      <c r="F534">
        <v>11</v>
      </c>
      <c r="G534">
        <v>1787</v>
      </c>
      <c r="H534" t="s">
        <v>57</v>
      </c>
      <c r="I534" s="23">
        <v>115392</v>
      </c>
      <c r="J534" s="185">
        <v>46083</v>
      </c>
      <c r="K534" s="185">
        <v>46083</v>
      </c>
      <c r="L534" s="185">
        <v>46173</v>
      </c>
      <c r="M534" s="185">
        <v>46174</v>
      </c>
      <c r="N534"/>
      <c r="O534">
        <v>1010100</v>
      </c>
      <c r="P534" t="s">
        <v>29</v>
      </c>
      <c r="Q534">
        <v>200000100</v>
      </c>
      <c r="R534" t="s">
        <v>15322</v>
      </c>
      <c r="S534"/>
      <c r="T534" t="s">
        <v>15323</v>
      </c>
      <c r="U534" t="s">
        <v>4502</v>
      </c>
      <c r="V534" s="23">
        <v>0</v>
      </c>
      <c r="W534" s="23">
        <v>0</v>
      </c>
      <c r="X534" s="23">
        <v>0</v>
      </c>
      <c r="Y534"/>
      <c r="Z534">
        <v>1246265885</v>
      </c>
      <c r="AA534"/>
      <c r="AB534" t="s">
        <v>1199</v>
      </c>
      <c r="AC534">
        <v>102</v>
      </c>
      <c r="AD534">
        <v>4</v>
      </c>
      <c r="AE534" t="s">
        <v>15324</v>
      </c>
      <c r="AF534"/>
      <c r="AG534" s="23"/>
      <c r="AH534" s="265" t="str">
        <f>_xlfn.XLOOKUP(G534,Clientes!I:I,Clientes!F:F)</f>
        <v>GRUPO MOSAIC FERTILIZANTES P K LTDA</v>
      </c>
    </row>
    <row r="535" spans="1:34" x14ac:dyDescent="0.25">
      <c r="A535">
        <v>161</v>
      </c>
      <c r="B535" t="s">
        <v>145</v>
      </c>
      <c r="C535"/>
      <c r="D535" s="23">
        <v>115468.8</v>
      </c>
      <c r="E535">
        <v>10811</v>
      </c>
      <c r="F535">
        <v>11</v>
      </c>
      <c r="G535">
        <v>1787</v>
      </c>
      <c r="H535" t="s">
        <v>57</v>
      </c>
      <c r="I535" s="23">
        <v>115468.8</v>
      </c>
      <c r="J535" s="185">
        <v>46085</v>
      </c>
      <c r="K535" s="185">
        <v>46085</v>
      </c>
      <c r="L535" s="185">
        <v>46175</v>
      </c>
      <c r="M535" s="185">
        <v>46175</v>
      </c>
      <c r="N535"/>
      <c r="O535">
        <v>1010100</v>
      </c>
      <c r="P535" t="s">
        <v>29</v>
      </c>
      <c r="Q535">
        <v>200000100</v>
      </c>
      <c r="R535" t="s">
        <v>15322</v>
      </c>
      <c r="S535"/>
      <c r="T535" t="s">
        <v>15323</v>
      </c>
      <c r="U535" t="s">
        <v>2246</v>
      </c>
      <c r="V535" s="23">
        <v>0</v>
      </c>
      <c r="W535" s="23">
        <v>0</v>
      </c>
      <c r="X535" s="23">
        <v>0</v>
      </c>
      <c r="Y535"/>
      <c r="Z535">
        <v>1246266348</v>
      </c>
      <c r="AA535"/>
      <c r="AB535" t="s">
        <v>1199</v>
      </c>
      <c r="AC535">
        <v>102</v>
      </c>
      <c r="AD535">
        <v>4</v>
      </c>
      <c r="AE535" t="s">
        <v>15324</v>
      </c>
      <c r="AF535"/>
      <c r="AG535" s="23"/>
      <c r="AH535" s="265" t="str">
        <f>_xlfn.XLOOKUP(G535,Clientes!I:I,Clientes!F:F)</f>
        <v>GRUPO MOSAIC FERTILIZANTES P K LTDA</v>
      </c>
    </row>
    <row r="536" spans="1:34" x14ac:dyDescent="0.25">
      <c r="A536">
        <v>161</v>
      </c>
      <c r="B536" t="s">
        <v>145</v>
      </c>
      <c r="C536"/>
      <c r="D536" s="23">
        <v>115468.8</v>
      </c>
      <c r="E536">
        <v>10873</v>
      </c>
      <c r="F536">
        <v>11</v>
      </c>
      <c r="G536">
        <v>1789</v>
      </c>
      <c r="H536" t="s">
        <v>61</v>
      </c>
      <c r="I536" s="23">
        <v>115468.8</v>
      </c>
      <c r="J536" s="185">
        <v>46093</v>
      </c>
      <c r="K536" s="185">
        <v>46093</v>
      </c>
      <c r="L536" s="185">
        <v>46183</v>
      </c>
      <c r="M536" s="185">
        <v>46183</v>
      </c>
      <c r="N536"/>
      <c r="O536">
        <v>1010100</v>
      </c>
      <c r="P536" t="s">
        <v>29</v>
      </c>
      <c r="Q536">
        <v>200000100</v>
      </c>
      <c r="R536" t="s">
        <v>15322</v>
      </c>
      <c r="S536"/>
      <c r="T536" t="s">
        <v>15323</v>
      </c>
      <c r="U536" t="s">
        <v>2246</v>
      </c>
      <c r="V536" s="23">
        <v>0</v>
      </c>
      <c r="W536" s="23">
        <v>0</v>
      </c>
      <c r="X536" s="23">
        <v>0</v>
      </c>
      <c r="Y536"/>
      <c r="Z536">
        <v>1246267594</v>
      </c>
      <c r="AA536"/>
      <c r="AB536" t="s">
        <v>1199</v>
      </c>
      <c r="AC536">
        <v>102</v>
      </c>
      <c r="AD536">
        <v>4</v>
      </c>
      <c r="AE536" t="s">
        <v>15324</v>
      </c>
      <c r="AF536"/>
      <c r="AG536" s="23"/>
      <c r="AH536" s="265" t="str">
        <f>_xlfn.XLOOKUP(G536,Clientes!I:I,Clientes!F:F)</f>
        <v>GRUPO MOSAIC FERTILIZANTES P K LTDA</v>
      </c>
    </row>
    <row r="537" spans="1:34" x14ac:dyDescent="0.25">
      <c r="A537">
        <v>161</v>
      </c>
      <c r="B537" t="s">
        <v>145</v>
      </c>
      <c r="C537"/>
      <c r="D537" s="23">
        <v>115507.2</v>
      </c>
      <c r="E537">
        <v>11017</v>
      </c>
      <c r="F537">
        <v>11</v>
      </c>
      <c r="G537">
        <v>1789</v>
      </c>
      <c r="H537" t="s">
        <v>61</v>
      </c>
      <c r="I537" s="23">
        <v>115507.2</v>
      </c>
      <c r="J537" s="185">
        <v>46112</v>
      </c>
      <c r="K537" s="185">
        <v>46112</v>
      </c>
      <c r="L537" s="185">
        <v>46202</v>
      </c>
      <c r="M537" s="185"/>
      <c r="N537"/>
      <c r="O537">
        <v>1010100</v>
      </c>
      <c r="P537" t="s">
        <v>29</v>
      </c>
      <c r="Q537">
        <v>200000100</v>
      </c>
      <c r="R537" t="s">
        <v>15322</v>
      </c>
      <c r="S537"/>
      <c r="T537" t="s">
        <v>15323</v>
      </c>
      <c r="U537" t="s">
        <v>5803</v>
      </c>
      <c r="V537" s="23">
        <v>0</v>
      </c>
      <c r="W537" s="23">
        <v>0</v>
      </c>
      <c r="X537" s="23">
        <v>0</v>
      </c>
      <c r="Y537"/>
      <c r="Z537">
        <v>1246269759</v>
      </c>
      <c r="AA537"/>
      <c r="AB537"/>
      <c r="AC537">
        <v>102</v>
      </c>
      <c r="AD537">
        <v>4</v>
      </c>
      <c r="AE537" t="s">
        <v>15324</v>
      </c>
      <c r="AF537"/>
      <c r="AG537" s="23"/>
      <c r="AH537" s="265" t="str">
        <f>_xlfn.XLOOKUP(G537,Clientes!I:I,Clientes!F:F)</f>
        <v>GRUPO MOSAIC FERTILIZANTES P K LTDA</v>
      </c>
    </row>
    <row r="538" spans="1:34" x14ac:dyDescent="0.25">
      <c r="A538">
        <v>161</v>
      </c>
      <c r="B538" t="s">
        <v>145</v>
      </c>
      <c r="C538"/>
      <c r="D538" s="23">
        <v>115509</v>
      </c>
      <c r="E538">
        <v>10653</v>
      </c>
      <c r="F538">
        <v>11</v>
      </c>
      <c r="G538">
        <v>1792</v>
      </c>
      <c r="H538" t="s">
        <v>697</v>
      </c>
      <c r="I538" s="23">
        <v>115509</v>
      </c>
      <c r="J538" s="185">
        <v>46059</v>
      </c>
      <c r="K538" s="185">
        <v>46059</v>
      </c>
      <c r="L538" s="185">
        <v>46149</v>
      </c>
      <c r="M538" s="185">
        <v>46119</v>
      </c>
      <c r="N538"/>
      <c r="O538">
        <v>1010100</v>
      </c>
      <c r="P538" t="s">
        <v>29</v>
      </c>
      <c r="Q538">
        <v>200000100</v>
      </c>
      <c r="R538" t="s">
        <v>15322</v>
      </c>
      <c r="S538"/>
      <c r="T538" t="s">
        <v>15323</v>
      </c>
      <c r="U538" t="s">
        <v>4468</v>
      </c>
      <c r="V538" s="23">
        <v>0</v>
      </c>
      <c r="W538" s="23">
        <v>0</v>
      </c>
      <c r="X538" s="23">
        <v>0</v>
      </c>
      <c r="Y538"/>
      <c r="Z538">
        <v>1246262616</v>
      </c>
      <c r="AA538"/>
      <c r="AB538" t="s">
        <v>1199</v>
      </c>
      <c r="AC538">
        <v>102</v>
      </c>
      <c r="AD538">
        <v>4</v>
      </c>
      <c r="AE538" t="s">
        <v>15324</v>
      </c>
      <c r="AF538"/>
      <c r="AG538" s="23"/>
      <c r="AH538" s="265" t="str">
        <f>_xlfn.XLOOKUP(G538,Clientes!I:I,Clientes!F:F)</f>
        <v>GRUPO MOSAIC FERTILIZANTES P K LTDA</v>
      </c>
    </row>
    <row r="539" spans="1:34" x14ac:dyDescent="0.25">
      <c r="A539">
        <v>161</v>
      </c>
      <c r="B539" t="s">
        <v>145</v>
      </c>
      <c r="C539"/>
      <c r="D539" s="23">
        <v>115584</v>
      </c>
      <c r="E539">
        <v>11224</v>
      </c>
      <c r="F539">
        <v>11</v>
      </c>
      <c r="G539">
        <v>1789</v>
      </c>
      <c r="H539" t="s">
        <v>61</v>
      </c>
      <c r="I539" s="23">
        <v>115584</v>
      </c>
      <c r="J539" s="185">
        <v>46139</v>
      </c>
      <c r="K539" s="185">
        <v>46139</v>
      </c>
      <c r="L539" s="185">
        <v>46229</v>
      </c>
      <c r="M539" s="185"/>
      <c r="N539"/>
      <c r="O539">
        <v>1010100</v>
      </c>
      <c r="P539" t="s">
        <v>29</v>
      </c>
      <c r="Q539">
        <v>200000100</v>
      </c>
      <c r="R539" t="s">
        <v>15322</v>
      </c>
      <c r="S539"/>
      <c r="T539" t="s">
        <v>15323</v>
      </c>
      <c r="U539" t="s">
        <v>4502</v>
      </c>
      <c r="V539" s="23">
        <v>0</v>
      </c>
      <c r="W539" s="23">
        <v>0</v>
      </c>
      <c r="X539" s="23">
        <v>0</v>
      </c>
      <c r="Y539"/>
      <c r="Z539">
        <v>1246272745</v>
      </c>
      <c r="AA539"/>
      <c r="AB539"/>
      <c r="AC539">
        <v>102</v>
      </c>
      <c r="AD539">
        <v>4</v>
      </c>
      <c r="AE539" t="s">
        <v>15324</v>
      </c>
      <c r="AF539"/>
      <c r="AG539" s="23"/>
      <c r="AH539" s="265" t="str">
        <f>_xlfn.XLOOKUP(G539,Clientes!I:I,Clientes!F:F)</f>
        <v>GRUPO MOSAIC FERTILIZANTES P K LTDA</v>
      </c>
    </row>
    <row r="540" spans="1:34" x14ac:dyDescent="0.25">
      <c r="A540">
        <v>161</v>
      </c>
      <c r="B540" t="s">
        <v>145</v>
      </c>
      <c r="C540"/>
      <c r="D540" s="23">
        <v>115634.1</v>
      </c>
      <c r="E540">
        <v>10708</v>
      </c>
      <c r="F540">
        <v>11</v>
      </c>
      <c r="G540">
        <v>1792</v>
      </c>
      <c r="H540" t="s">
        <v>697</v>
      </c>
      <c r="I540" s="23">
        <v>115634.1</v>
      </c>
      <c r="J540" s="185">
        <v>46071</v>
      </c>
      <c r="K540" s="185">
        <v>46071</v>
      </c>
      <c r="L540" s="185">
        <v>46161</v>
      </c>
      <c r="M540" s="185">
        <v>46132</v>
      </c>
      <c r="N540"/>
      <c r="O540">
        <v>1010100</v>
      </c>
      <c r="P540" t="s">
        <v>29</v>
      </c>
      <c r="Q540">
        <v>200000100</v>
      </c>
      <c r="R540" t="s">
        <v>15322</v>
      </c>
      <c r="S540"/>
      <c r="T540" t="s">
        <v>15323</v>
      </c>
      <c r="U540" t="s">
        <v>1964</v>
      </c>
      <c r="V540" s="23">
        <v>0</v>
      </c>
      <c r="W540" s="23">
        <v>0</v>
      </c>
      <c r="X540" s="23">
        <v>0</v>
      </c>
      <c r="Y540"/>
      <c r="Z540">
        <v>1246263885</v>
      </c>
      <c r="AA540"/>
      <c r="AB540" t="s">
        <v>1199</v>
      </c>
      <c r="AC540">
        <v>102</v>
      </c>
      <c r="AD540">
        <v>4</v>
      </c>
      <c r="AE540" t="s">
        <v>15324</v>
      </c>
      <c r="AF540"/>
      <c r="AG540" s="23"/>
      <c r="AH540" s="265" t="str">
        <f>_xlfn.XLOOKUP(G540,Clientes!I:I,Clientes!F:F)</f>
        <v>GRUPO MOSAIC FERTILIZANTES P K LTDA</v>
      </c>
    </row>
    <row r="541" spans="1:34" x14ac:dyDescent="0.25">
      <c r="A541">
        <v>161</v>
      </c>
      <c r="B541" t="s">
        <v>145</v>
      </c>
      <c r="C541"/>
      <c r="D541" s="23">
        <v>115675.8</v>
      </c>
      <c r="E541">
        <v>11288</v>
      </c>
      <c r="F541">
        <v>11</v>
      </c>
      <c r="G541">
        <v>1792</v>
      </c>
      <c r="H541" t="s">
        <v>697</v>
      </c>
      <c r="I541" s="23">
        <v>115675.8</v>
      </c>
      <c r="J541" s="185">
        <v>46146</v>
      </c>
      <c r="K541" s="185">
        <v>46146</v>
      </c>
      <c r="L541" s="185">
        <v>46236</v>
      </c>
      <c r="M541" s="185"/>
      <c r="N541"/>
      <c r="O541">
        <v>1010100</v>
      </c>
      <c r="P541" t="s">
        <v>29</v>
      </c>
      <c r="Q541">
        <v>200000100</v>
      </c>
      <c r="R541" t="s">
        <v>15322</v>
      </c>
      <c r="S541"/>
      <c r="T541" t="s">
        <v>15323</v>
      </c>
      <c r="U541" t="s">
        <v>4468</v>
      </c>
      <c r="V541" s="23">
        <v>0</v>
      </c>
      <c r="W541" s="23">
        <v>0</v>
      </c>
      <c r="X541" s="23">
        <v>0</v>
      </c>
      <c r="Y541"/>
      <c r="Z541">
        <v>1246273463</v>
      </c>
      <c r="AA541"/>
      <c r="AB541"/>
      <c r="AC541">
        <v>102</v>
      </c>
      <c r="AD541">
        <v>4</v>
      </c>
      <c r="AE541" t="s">
        <v>15324</v>
      </c>
      <c r="AF541"/>
      <c r="AG541" s="23"/>
      <c r="AH541" s="265" t="str">
        <f>_xlfn.XLOOKUP(G541,Clientes!I:I,Clientes!F:F)</f>
        <v>GRUPO MOSAIC FERTILIZANTES P K LTDA</v>
      </c>
    </row>
    <row r="542" spans="1:34" x14ac:dyDescent="0.25">
      <c r="A542">
        <v>161</v>
      </c>
      <c r="B542" t="s">
        <v>145</v>
      </c>
      <c r="C542"/>
      <c r="D542" s="23">
        <v>115737.60000000001</v>
      </c>
      <c r="E542">
        <v>10567</v>
      </c>
      <c r="F542">
        <v>11</v>
      </c>
      <c r="G542">
        <v>1787</v>
      </c>
      <c r="H542" t="s">
        <v>57</v>
      </c>
      <c r="I542" s="23">
        <v>115737.60000000001</v>
      </c>
      <c r="J542" s="185">
        <v>46045</v>
      </c>
      <c r="K542" s="185">
        <v>46045</v>
      </c>
      <c r="L542" s="185">
        <v>46136</v>
      </c>
      <c r="M542" s="185">
        <v>46135</v>
      </c>
      <c r="N542"/>
      <c r="O542">
        <v>1010100</v>
      </c>
      <c r="P542" t="s">
        <v>29</v>
      </c>
      <c r="Q542">
        <v>200000100</v>
      </c>
      <c r="R542" t="s">
        <v>15322</v>
      </c>
      <c r="S542"/>
      <c r="T542" t="s">
        <v>15323</v>
      </c>
      <c r="U542" t="s">
        <v>1199</v>
      </c>
      <c r="V542" s="23">
        <v>0</v>
      </c>
      <c r="W542" s="23">
        <v>0</v>
      </c>
      <c r="X542" s="23">
        <v>0</v>
      </c>
      <c r="Y542"/>
      <c r="Z542">
        <v>1246260793</v>
      </c>
      <c r="AA542"/>
      <c r="AB542" t="s">
        <v>1199</v>
      </c>
      <c r="AC542">
        <v>102</v>
      </c>
      <c r="AD542">
        <v>4</v>
      </c>
      <c r="AE542" t="s">
        <v>15324</v>
      </c>
      <c r="AF542"/>
      <c r="AG542" s="23"/>
      <c r="AH542" s="265" t="str">
        <f>_xlfn.XLOOKUP(G542,Clientes!I:I,Clientes!F:F)</f>
        <v>GRUPO MOSAIC FERTILIZANTES P K LTDA</v>
      </c>
    </row>
    <row r="543" spans="1:34" x14ac:dyDescent="0.25">
      <c r="A543">
        <v>161</v>
      </c>
      <c r="B543" t="s">
        <v>145</v>
      </c>
      <c r="C543"/>
      <c r="D543" s="23">
        <v>115814.39999999999</v>
      </c>
      <c r="E543">
        <v>11053</v>
      </c>
      <c r="F543">
        <v>11</v>
      </c>
      <c r="G543">
        <v>1789</v>
      </c>
      <c r="H543" t="s">
        <v>61</v>
      </c>
      <c r="I543" s="23">
        <v>115814.39999999999</v>
      </c>
      <c r="J543" s="185">
        <v>46118</v>
      </c>
      <c r="K543" s="185">
        <v>46118</v>
      </c>
      <c r="L543" s="185">
        <v>46208</v>
      </c>
      <c r="M543" s="185"/>
      <c r="N543"/>
      <c r="O543">
        <v>1010100</v>
      </c>
      <c r="P543" t="s">
        <v>29</v>
      </c>
      <c r="Q543">
        <v>200000100</v>
      </c>
      <c r="R543" t="s">
        <v>15322</v>
      </c>
      <c r="S543"/>
      <c r="T543" t="s">
        <v>15323</v>
      </c>
      <c r="U543" t="s">
        <v>1199</v>
      </c>
      <c r="V543" s="23">
        <v>0</v>
      </c>
      <c r="W543" s="23">
        <v>0</v>
      </c>
      <c r="X543" s="23">
        <v>0</v>
      </c>
      <c r="Y543"/>
      <c r="Z543">
        <v>1246270360</v>
      </c>
      <c r="AA543"/>
      <c r="AB543"/>
      <c r="AC543">
        <v>102</v>
      </c>
      <c r="AD543">
        <v>4</v>
      </c>
      <c r="AE543" t="s">
        <v>15324</v>
      </c>
      <c r="AF543"/>
      <c r="AG543" s="23"/>
      <c r="AH543" s="265" t="str">
        <f>_xlfn.XLOOKUP(G543,Clientes!I:I,Clientes!F:F)</f>
        <v>GRUPO MOSAIC FERTILIZANTES P K LTDA</v>
      </c>
    </row>
    <row r="544" spans="1:34" x14ac:dyDescent="0.25">
      <c r="A544">
        <v>161</v>
      </c>
      <c r="B544" t="s">
        <v>145</v>
      </c>
      <c r="C544"/>
      <c r="D544" s="23">
        <v>115839.29</v>
      </c>
      <c r="E544">
        <v>11428</v>
      </c>
      <c r="F544">
        <v>11</v>
      </c>
      <c r="G544">
        <v>1788</v>
      </c>
      <c r="H544" t="s">
        <v>59</v>
      </c>
      <c r="I544" s="23">
        <v>115839.29</v>
      </c>
      <c r="J544" s="185">
        <v>46160</v>
      </c>
      <c r="K544" s="185">
        <v>46160</v>
      </c>
      <c r="L544" s="185">
        <v>46250</v>
      </c>
      <c r="M544" s="185"/>
      <c r="N544"/>
      <c r="O544">
        <v>1010100</v>
      </c>
      <c r="P544" t="s">
        <v>29</v>
      </c>
      <c r="Q544">
        <v>200000100</v>
      </c>
      <c r="R544" t="s">
        <v>15322</v>
      </c>
      <c r="S544"/>
      <c r="T544" t="s">
        <v>15323</v>
      </c>
      <c r="U544" t="s">
        <v>4502</v>
      </c>
      <c r="V544" s="23">
        <v>0</v>
      </c>
      <c r="W544" s="23">
        <v>0</v>
      </c>
      <c r="X544" s="23">
        <v>0</v>
      </c>
      <c r="Y544"/>
      <c r="Z544">
        <v>1246275638</v>
      </c>
      <c r="AA544"/>
      <c r="AB544"/>
      <c r="AC544">
        <v>102</v>
      </c>
      <c r="AD544">
        <v>4</v>
      </c>
      <c r="AE544" t="s">
        <v>15324</v>
      </c>
      <c r="AF544"/>
      <c r="AG544" s="23"/>
      <c r="AH544" s="265" t="str">
        <f>_xlfn.XLOOKUP(G544,Clientes!I:I,Clientes!F:F)</f>
        <v>GRUPO MOSAIC FERTILIZANTES P K LTDA</v>
      </c>
    </row>
    <row r="545" spans="1:34" x14ac:dyDescent="0.25">
      <c r="A545">
        <v>161</v>
      </c>
      <c r="B545" t="s">
        <v>145</v>
      </c>
      <c r="C545"/>
      <c r="D545" s="23">
        <v>115842.6</v>
      </c>
      <c r="E545">
        <v>11125</v>
      </c>
      <c r="F545">
        <v>11</v>
      </c>
      <c r="G545">
        <v>1792</v>
      </c>
      <c r="H545" t="s">
        <v>697</v>
      </c>
      <c r="I545" s="23">
        <v>115842.6</v>
      </c>
      <c r="J545" s="185">
        <v>46127</v>
      </c>
      <c r="K545" s="185">
        <v>46127</v>
      </c>
      <c r="L545" s="185">
        <v>46217</v>
      </c>
      <c r="M545" s="185"/>
      <c r="N545"/>
      <c r="O545">
        <v>1010100</v>
      </c>
      <c r="P545" t="s">
        <v>29</v>
      </c>
      <c r="Q545">
        <v>200000100</v>
      </c>
      <c r="R545" t="s">
        <v>15322</v>
      </c>
      <c r="S545"/>
      <c r="T545" t="s">
        <v>15323</v>
      </c>
      <c r="U545" t="s">
        <v>2246</v>
      </c>
      <c r="V545" s="23">
        <v>0</v>
      </c>
      <c r="W545" s="23">
        <v>0</v>
      </c>
      <c r="X545" s="23">
        <v>0</v>
      </c>
      <c r="Y545"/>
      <c r="Z545">
        <v>1246271433</v>
      </c>
      <c r="AA545"/>
      <c r="AB545"/>
      <c r="AC545">
        <v>102</v>
      </c>
      <c r="AD545">
        <v>4</v>
      </c>
      <c r="AE545" t="s">
        <v>15324</v>
      </c>
      <c r="AF545"/>
      <c r="AG545" s="23"/>
      <c r="AH545" s="265" t="str">
        <f>_xlfn.XLOOKUP(G545,Clientes!I:I,Clientes!F:F)</f>
        <v>GRUPO MOSAIC FERTILIZANTES P K LTDA</v>
      </c>
    </row>
    <row r="546" spans="1:34" x14ac:dyDescent="0.25">
      <c r="A546">
        <v>161</v>
      </c>
      <c r="B546" t="s">
        <v>145</v>
      </c>
      <c r="C546"/>
      <c r="D546" s="23">
        <v>115852.8</v>
      </c>
      <c r="E546">
        <v>11072</v>
      </c>
      <c r="F546">
        <v>11</v>
      </c>
      <c r="G546">
        <v>1787</v>
      </c>
      <c r="H546" t="s">
        <v>57</v>
      </c>
      <c r="I546" s="23">
        <v>115852.8</v>
      </c>
      <c r="J546" s="185">
        <v>46120</v>
      </c>
      <c r="K546" s="185">
        <v>46120</v>
      </c>
      <c r="L546" s="185">
        <v>46210</v>
      </c>
      <c r="M546" s="185"/>
      <c r="N546"/>
      <c r="O546">
        <v>1010100</v>
      </c>
      <c r="P546" t="s">
        <v>29</v>
      </c>
      <c r="Q546">
        <v>200000100</v>
      </c>
      <c r="R546" t="s">
        <v>15322</v>
      </c>
      <c r="S546"/>
      <c r="T546" t="s">
        <v>15323</v>
      </c>
      <c r="U546" t="s">
        <v>1216</v>
      </c>
      <c r="V546" s="23">
        <v>0</v>
      </c>
      <c r="W546" s="23">
        <v>0</v>
      </c>
      <c r="X546" s="23">
        <v>0</v>
      </c>
      <c r="Y546"/>
      <c r="Z546">
        <v>1246270635</v>
      </c>
      <c r="AA546"/>
      <c r="AB546"/>
      <c r="AC546">
        <v>102</v>
      </c>
      <c r="AD546">
        <v>4</v>
      </c>
      <c r="AE546" t="s">
        <v>15324</v>
      </c>
      <c r="AF546"/>
      <c r="AG546" s="23"/>
      <c r="AH546" s="265" t="str">
        <f>_xlfn.XLOOKUP(G546,Clientes!I:I,Clientes!F:F)</f>
        <v>GRUPO MOSAIC FERTILIZANTES P K LTDA</v>
      </c>
    </row>
    <row r="547" spans="1:34" x14ac:dyDescent="0.25">
      <c r="A547">
        <v>161</v>
      </c>
      <c r="B547" t="s">
        <v>145</v>
      </c>
      <c r="C547"/>
      <c r="D547" s="23">
        <v>115891.2</v>
      </c>
      <c r="E547">
        <v>10652</v>
      </c>
      <c r="F547">
        <v>11</v>
      </c>
      <c r="G547">
        <v>1787</v>
      </c>
      <c r="H547" t="s">
        <v>57</v>
      </c>
      <c r="I547" s="23">
        <v>115891.2</v>
      </c>
      <c r="J547" s="185">
        <v>46059</v>
      </c>
      <c r="K547" s="185">
        <v>46059</v>
      </c>
      <c r="L547" s="185">
        <v>46149</v>
      </c>
      <c r="M547" s="185">
        <v>46149</v>
      </c>
      <c r="N547"/>
      <c r="O547">
        <v>1010100</v>
      </c>
      <c r="P547" t="s">
        <v>29</v>
      </c>
      <c r="Q547">
        <v>200000100</v>
      </c>
      <c r="R547" t="s">
        <v>15322</v>
      </c>
      <c r="S547"/>
      <c r="T547" t="s">
        <v>15323</v>
      </c>
      <c r="U547" t="s">
        <v>2246</v>
      </c>
      <c r="V547" s="23">
        <v>0</v>
      </c>
      <c r="W547" s="23">
        <v>0</v>
      </c>
      <c r="X547" s="23">
        <v>0</v>
      </c>
      <c r="Y547"/>
      <c r="Z547">
        <v>1246262540</v>
      </c>
      <c r="AA547"/>
      <c r="AB547" t="s">
        <v>1199</v>
      </c>
      <c r="AC547">
        <v>102</v>
      </c>
      <c r="AD547">
        <v>4</v>
      </c>
      <c r="AE547" t="s">
        <v>15324</v>
      </c>
      <c r="AF547"/>
      <c r="AG547" s="23"/>
      <c r="AH547" s="265" t="str">
        <f>_xlfn.XLOOKUP(G547,Clientes!I:I,Clientes!F:F)</f>
        <v>GRUPO MOSAIC FERTILIZANTES P K LTDA</v>
      </c>
    </row>
    <row r="548" spans="1:34" x14ac:dyDescent="0.25">
      <c r="A548">
        <v>161</v>
      </c>
      <c r="B548" t="s">
        <v>145</v>
      </c>
      <c r="C548"/>
      <c r="D548" s="23">
        <v>115968</v>
      </c>
      <c r="E548">
        <v>11043</v>
      </c>
      <c r="F548">
        <v>11</v>
      </c>
      <c r="G548">
        <v>1787</v>
      </c>
      <c r="H548" t="s">
        <v>57</v>
      </c>
      <c r="I548" s="23">
        <v>115968</v>
      </c>
      <c r="J548" s="185">
        <v>46114</v>
      </c>
      <c r="K548" s="185">
        <v>46114</v>
      </c>
      <c r="L548" s="185">
        <v>46204</v>
      </c>
      <c r="M548" s="185"/>
      <c r="N548"/>
      <c r="O548">
        <v>1010100</v>
      </c>
      <c r="P548" t="s">
        <v>29</v>
      </c>
      <c r="Q548">
        <v>200000100</v>
      </c>
      <c r="R548" t="s">
        <v>15322</v>
      </c>
      <c r="S548"/>
      <c r="T548" t="s">
        <v>15323</v>
      </c>
      <c r="U548" t="s">
        <v>4502</v>
      </c>
      <c r="V548" s="23">
        <v>0</v>
      </c>
      <c r="W548" s="23">
        <v>0</v>
      </c>
      <c r="X548" s="23">
        <v>0</v>
      </c>
      <c r="Y548"/>
      <c r="Z548">
        <v>1246270152</v>
      </c>
      <c r="AA548"/>
      <c r="AB548"/>
      <c r="AC548">
        <v>102</v>
      </c>
      <c r="AD548">
        <v>4</v>
      </c>
      <c r="AE548" t="s">
        <v>15324</v>
      </c>
      <c r="AF548"/>
      <c r="AG548" s="23"/>
      <c r="AH548" s="265" t="str">
        <f>_xlfn.XLOOKUP(G548,Clientes!I:I,Clientes!F:F)</f>
        <v>GRUPO MOSAIC FERTILIZANTES P K LTDA</v>
      </c>
    </row>
    <row r="549" spans="1:34" x14ac:dyDescent="0.25">
      <c r="A549">
        <v>161</v>
      </c>
      <c r="B549" t="s">
        <v>145</v>
      </c>
      <c r="C549"/>
      <c r="D549" s="23">
        <v>116006.39999999999</v>
      </c>
      <c r="E549">
        <v>10844</v>
      </c>
      <c r="F549">
        <v>11</v>
      </c>
      <c r="G549">
        <v>1787</v>
      </c>
      <c r="H549" t="s">
        <v>57</v>
      </c>
      <c r="I549" s="23">
        <v>116006.39999999999</v>
      </c>
      <c r="J549" s="185">
        <v>46090</v>
      </c>
      <c r="K549" s="185">
        <v>46090</v>
      </c>
      <c r="L549" s="185">
        <v>46180</v>
      </c>
      <c r="M549" s="185">
        <v>46181</v>
      </c>
      <c r="N549"/>
      <c r="O549">
        <v>1010100</v>
      </c>
      <c r="P549" t="s">
        <v>29</v>
      </c>
      <c r="Q549">
        <v>200000100</v>
      </c>
      <c r="R549" t="s">
        <v>15322</v>
      </c>
      <c r="S549"/>
      <c r="T549" t="s">
        <v>15323</v>
      </c>
      <c r="U549" t="s">
        <v>2246</v>
      </c>
      <c r="V549" s="23">
        <v>0</v>
      </c>
      <c r="W549" s="23">
        <v>0</v>
      </c>
      <c r="X549" s="23">
        <v>0</v>
      </c>
      <c r="Y549"/>
      <c r="Z549">
        <v>1246267015</v>
      </c>
      <c r="AA549"/>
      <c r="AB549" t="s">
        <v>1199</v>
      </c>
      <c r="AC549">
        <v>102</v>
      </c>
      <c r="AD549">
        <v>4</v>
      </c>
      <c r="AE549" t="s">
        <v>15324</v>
      </c>
      <c r="AF549"/>
      <c r="AG549" s="23"/>
      <c r="AH549" s="265" t="str">
        <f>_xlfn.XLOOKUP(G549,Clientes!I:I,Clientes!F:F)</f>
        <v>GRUPO MOSAIC FERTILIZANTES P K LTDA</v>
      </c>
    </row>
    <row r="550" spans="1:34" x14ac:dyDescent="0.25">
      <c r="A550">
        <v>161</v>
      </c>
      <c r="B550" t="s">
        <v>145</v>
      </c>
      <c r="C550"/>
      <c r="D550" s="23">
        <v>116044.8</v>
      </c>
      <c r="E550">
        <v>10945</v>
      </c>
      <c r="F550">
        <v>11</v>
      </c>
      <c r="G550">
        <v>1789</v>
      </c>
      <c r="H550" t="s">
        <v>61</v>
      </c>
      <c r="I550" s="23">
        <v>116044.8</v>
      </c>
      <c r="J550" s="185">
        <v>46101</v>
      </c>
      <c r="K550" s="185">
        <v>46101</v>
      </c>
      <c r="L550" s="185">
        <v>46191</v>
      </c>
      <c r="M550" s="185">
        <v>46191</v>
      </c>
      <c r="N550"/>
      <c r="O550">
        <v>1010100</v>
      </c>
      <c r="P550" t="s">
        <v>29</v>
      </c>
      <c r="Q550">
        <v>200000100</v>
      </c>
      <c r="R550" t="s">
        <v>15322</v>
      </c>
      <c r="S550"/>
      <c r="T550" t="s">
        <v>15323</v>
      </c>
      <c r="U550" t="s">
        <v>1530</v>
      </c>
      <c r="V550" s="23">
        <v>0</v>
      </c>
      <c r="W550" s="23">
        <v>0</v>
      </c>
      <c r="X550" s="23">
        <v>0</v>
      </c>
      <c r="Y550"/>
      <c r="Z550">
        <v>1246268551</v>
      </c>
      <c r="AA550"/>
      <c r="AB550" t="s">
        <v>1199</v>
      </c>
      <c r="AC550">
        <v>102</v>
      </c>
      <c r="AD550">
        <v>4</v>
      </c>
      <c r="AE550" t="s">
        <v>15324</v>
      </c>
      <c r="AF550"/>
      <c r="AG550" s="23"/>
      <c r="AH550" s="265" t="str">
        <f>_xlfn.XLOOKUP(G550,Clientes!I:I,Clientes!F:F)</f>
        <v>GRUPO MOSAIC FERTILIZANTES P K LTDA</v>
      </c>
    </row>
    <row r="551" spans="1:34" x14ac:dyDescent="0.25">
      <c r="A551">
        <v>161</v>
      </c>
      <c r="B551" t="s">
        <v>145</v>
      </c>
      <c r="C551"/>
      <c r="D551" s="23">
        <v>116044.8</v>
      </c>
      <c r="E551">
        <v>10889</v>
      </c>
      <c r="F551">
        <v>11</v>
      </c>
      <c r="G551">
        <v>1789</v>
      </c>
      <c r="H551" t="s">
        <v>61</v>
      </c>
      <c r="I551" s="23">
        <v>116044.8</v>
      </c>
      <c r="J551" s="185">
        <v>46097</v>
      </c>
      <c r="K551" s="185">
        <v>46097</v>
      </c>
      <c r="L551" s="185">
        <v>46187</v>
      </c>
      <c r="M551" s="185">
        <v>46188</v>
      </c>
      <c r="N551"/>
      <c r="O551">
        <v>1010100</v>
      </c>
      <c r="P551" t="s">
        <v>29</v>
      </c>
      <c r="Q551">
        <v>200000100</v>
      </c>
      <c r="R551" t="s">
        <v>15322</v>
      </c>
      <c r="S551"/>
      <c r="T551" t="s">
        <v>15323</v>
      </c>
      <c r="U551" t="s">
        <v>1964</v>
      </c>
      <c r="V551" s="23">
        <v>0</v>
      </c>
      <c r="W551" s="23">
        <v>0</v>
      </c>
      <c r="X551" s="23">
        <v>0</v>
      </c>
      <c r="Y551"/>
      <c r="Z551">
        <v>1246267816</v>
      </c>
      <c r="AA551"/>
      <c r="AB551" t="s">
        <v>1199</v>
      </c>
      <c r="AC551">
        <v>102</v>
      </c>
      <c r="AD551">
        <v>4</v>
      </c>
      <c r="AE551" t="s">
        <v>15324</v>
      </c>
      <c r="AF551"/>
      <c r="AG551" s="23"/>
      <c r="AH551" s="265" t="str">
        <f>_xlfn.XLOOKUP(G551,Clientes!I:I,Clientes!F:F)</f>
        <v>GRUPO MOSAIC FERTILIZANTES P K LTDA</v>
      </c>
    </row>
    <row r="552" spans="1:34" x14ac:dyDescent="0.25">
      <c r="A552">
        <v>161</v>
      </c>
      <c r="B552" t="s">
        <v>145</v>
      </c>
      <c r="C552"/>
      <c r="D552" s="23">
        <v>116051.1</v>
      </c>
      <c r="E552">
        <v>10476</v>
      </c>
      <c r="F552">
        <v>11</v>
      </c>
      <c r="G552">
        <v>1792</v>
      </c>
      <c r="H552" t="s">
        <v>697</v>
      </c>
      <c r="I552" s="23">
        <v>116051.1</v>
      </c>
      <c r="J552" s="185">
        <v>46035</v>
      </c>
      <c r="K552" s="185">
        <v>46035</v>
      </c>
      <c r="L552" s="185">
        <v>46125</v>
      </c>
      <c r="M552" s="185">
        <v>46097</v>
      </c>
      <c r="N552"/>
      <c r="O552">
        <v>1010100</v>
      </c>
      <c r="P552" t="s">
        <v>29</v>
      </c>
      <c r="Q552">
        <v>200000100</v>
      </c>
      <c r="R552" t="s">
        <v>15322</v>
      </c>
      <c r="S552"/>
      <c r="T552" t="s">
        <v>15323</v>
      </c>
      <c r="U552" t="s">
        <v>4468</v>
      </c>
      <c r="V552" s="23">
        <v>0</v>
      </c>
      <c r="W552" s="23">
        <v>0</v>
      </c>
      <c r="X552" s="23">
        <v>0</v>
      </c>
      <c r="Y552"/>
      <c r="Z552">
        <v>1246259371</v>
      </c>
      <c r="AA552"/>
      <c r="AB552" t="s">
        <v>1199</v>
      </c>
      <c r="AC552">
        <v>102</v>
      </c>
      <c r="AD552">
        <v>4</v>
      </c>
      <c r="AE552" t="s">
        <v>15324</v>
      </c>
      <c r="AF552"/>
      <c r="AG552" s="23"/>
      <c r="AH552" s="265" t="str">
        <f>_xlfn.XLOOKUP(G552,Clientes!I:I,Clientes!F:F)</f>
        <v>GRUPO MOSAIC FERTILIZANTES P K LTDA</v>
      </c>
    </row>
    <row r="553" spans="1:34" x14ac:dyDescent="0.25">
      <c r="A553">
        <v>161</v>
      </c>
      <c r="B553" t="s">
        <v>145</v>
      </c>
      <c r="C553"/>
      <c r="D553" s="23">
        <v>116092.8</v>
      </c>
      <c r="E553">
        <v>10876</v>
      </c>
      <c r="F553">
        <v>11</v>
      </c>
      <c r="G553">
        <v>1792</v>
      </c>
      <c r="H553" t="s">
        <v>697</v>
      </c>
      <c r="I553" s="23">
        <v>116092.8</v>
      </c>
      <c r="J553" s="185">
        <v>46094</v>
      </c>
      <c r="K553" s="185">
        <v>46094</v>
      </c>
      <c r="L553" s="185">
        <v>46184</v>
      </c>
      <c r="M553" s="185">
        <v>46184</v>
      </c>
      <c r="N553"/>
      <c r="O553">
        <v>1010100</v>
      </c>
      <c r="P553" t="s">
        <v>29</v>
      </c>
      <c r="Q553">
        <v>200000100</v>
      </c>
      <c r="R553" t="s">
        <v>15322</v>
      </c>
      <c r="S553"/>
      <c r="T553" t="s">
        <v>15323</v>
      </c>
      <c r="U553" t="s">
        <v>1964</v>
      </c>
      <c r="V553" s="23">
        <v>0</v>
      </c>
      <c r="W553" s="23">
        <v>0</v>
      </c>
      <c r="X553" s="23">
        <v>0</v>
      </c>
      <c r="Y553"/>
      <c r="Z553">
        <v>1246267659</v>
      </c>
      <c r="AA553"/>
      <c r="AB553" t="s">
        <v>1199</v>
      </c>
      <c r="AC553">
        <v>102</v>
      </c>
      <c r="AD553">
        <v>4</v>
      </c>
      <c r="AE553" t="s">
        <v>15324</v>
      </c>
      <c r="AF553"/>
      <c r="AG553" s="23"/>
      <c r="AH553" s="265" t="str">
        <f>_xlfn.XLOOKUP(G553,Clientes!I:I,Clientes!F:F)</f>
        <v>GRUPO MOSAIC FERTILIZANTES P K LTDA</v>
      </c>
    </row>
    <row r="554" spans="1:34" x14ac:dyDescent="0.25">
      <c r="A554">
        <v>161</v>
      </c>
      <c r="B554" t="s">
        <v>145</v>
      </c>
      <c r="C554"/>
      <c r="D554" s="23">
        <v>116121.60000000001</v>
      </c>
      <c r="E554">
        <v>11080</v>
      </c>
      <c r="F554">
        <v>11</v>
      </c>
      <c r="G554">
        <v>1787</v>
      </c>
      <c r="H554" t="s">
        <v>57</v>
      </c>
      <c r="I554" s="23">
        <v>116121.60000000001</v>
      </c>
      <c r="J554" s="185">
        <v>46121</v>
      </c>
      <c r="K554" s="185">
        <v>46121</v>
      </c>
      <c r="L554" s="185">
        <v>46211</v>
      </c>
      <c r="M554" s="185"/>
      <c r="N554"/>
      <c r="O554">
        <v>1010100</v>
      </c>
      <c r="P554" t="s">
        <v>29</v>
      </c>
      <c r="Q554">
        <v>200000100</v>
      </c>
      <c r="R554" t="s">
        <v>15322</v>
      </c>
      <c r="S554"/>
      <c r="T554" t="s">
        <v>15323</v>
      </c>
      <c r="U554" t="s">
        <v>5803</v>
      </c>
      <c r="V554" s="23">
        <v>0</v>
      </c>
      <c r="W554" s="23">
        <v>0</v>
      </c>
      <c r="X554" s="23">
        <v>0</v>
      </c>
      <c r="Y554"/>
      <c r="Z554">
        <v>1246270879</v>
      </c>
      <c r="AA554"/>
      <c r="AB554"/>
      <c r="AC554">
        <v>102</v>
      </c>
      <c r="AD554">
        <v>4</v>
      </c>
      <c r="AE554" t="s">
        <v>15324</v>
      </c>
      <c r="AF554"/>
      <c r="AG554" s="23"/>
      <c r="AH554" s="265" t="str">
        <f>_xlfn.XLOOKUP(G554,Clientes!I:I,Clientes!F:F)</f>
        <v>GRUPO MOSAIC FERTILIZANTES P K LTDA</v>
      </c>
    </row>
    <row r="555" spans="1:34" x14ac:dyDescent="0.25">
      <c r="A555">
        <v>161</v>
      </c>
      <c r="B555" t="s">
        <v>145</v>
      </c>
      <c r="C555"/>
      <c r="D555" s="23">
        <v>116134.5</v>
      </c>
      <c r="E555">
        <v>11092</v>
      </c>
      <c r="F555">
        <v>11</v>
      </c>
      <c r="G555">
        <v>1792</v>
      </c>
      <c r="H555" t="s">
        <v>697</v>
      </c>
      <c r="I555" s="23">
        <v>116134.5</v>
      </c>
      <c r="J555" s="185">
        <v>46122</v>
      </c>
      <c r="K555" s="185">
        <v>46122</v>
      </c>
      <c r="L555" s="185">
        <v>46212</v>
      </c>
      <c r="M555" s="185"/>
      <c r="N555"/>
      <c r="O555">
        <v>1010100</v>
      </c>
      <c r="P555" t="s">
        <v>29</v>
      </c>
      <c r="Q555">
        <v>200000100</v>
      </c>
      <c r="R555" t="s">
        <v>15322</v>
      </c>
      <c r="S555"/>
      <c r="T555" t="s">
        <v>15323</v>
      </c>
      <c r="U555" t="s">
        <v>2246</v>
      </c>
      <c r="V555" s="23">
        <v>0</v>
      </c>
      <c r="W555" s="23">
        <v>0</v>
      </c>
      <c r="X555" s="23">
        <v>0</v>
      </c>
      <c r="Y555"/>
      <c r="Z555">
        <v>1246271003</v>
      </c>
      <c r="AA555"/>
      <c r="AB555"/>
      <c r="AC555">
        <v>102</v>
      </c>
      <c r="AD555">
        <v>4</v>
      </c>
      <c r="AE555" t="s">
        <v>15324</v>
      </c>
      <c r="AF555"/>
      <c r="AG555" s="23"/>
      <c r="AH555" s="265" t="str">
        <f>_xlfn.XLOOKUP(G555,Clientes!I:I,Clientes!F:F)</f>
        <v>GRUPO MOSAIC FERTILIZANTES P K LTDA</v>
      </c>
    </row>
    <row r="556" spans="1:34" x14ac:dyDescent="0.25">
      <c r="A556">
        <v>40</v>
      </c>
      <c r="B556" t="s">
        <v>155</v>
      </c>
      <c r="C556"/>
      <c r="D556" s="23">
        <v>116211.91</v>
      </c>
      <c r="E556">
        <v>11599</v>
      </c>
      <c r="F556">
        <v>11</v>
      </c>
      <c r="G556">
        <v>2696</v>
      </c>
      <c r="H556" t="s">
        <v>119</v>
      </c>
      <c r="I556" s="23">
        <v>116211.91</v>
      </c>
      <c r="J556" s="185">
        <v>46178</v>
      </c>
      <c r="K556" s="185">
        <v>46178</v>
      </c>
      <c r="L556" s="185">
        <v>46268</v>
      </c>
      <c r="M556" s="185"/>
      <c r="N556"/>
      <c r="O556">
        <v>1010200</v>
      </c>
      <c r="P556" t="s">
        <v>113</v>
      </c>
      <c r="Q556">
        <v>200000100</v>
      </c>
      <c r="R556" t="s">
        <v>15322</v>
      </c>
      <c r="S556"/>
      <c r="T556" t="s">
        <v>15323</v>
      </c>
      <c r="U556" t="s">
        <v>2246</v>
      </c>
      <c r="V556" s="23">
        <v>0</v>
      </c>
      <c r="W556" s="23">
        <v>0</v>
      </c>
      <c r="X556" s="23">
        <v>0</v>
      </c>
      <c r="Y556"/>
      <c r="Z556">
        <v>1246278291</v>
      </c>
      <c r="AA556"/>
      <c r="AB556"/>
      <c r="AC556">
        <v>116</v>
      </c>
      <c r="AD556">
        <v>4</v>
      </c>
      <c r="AE556" t="s">
        <v>15324</v>
      </c>
      <c r="AF556"/>
      <c r="AG556" s="23"/>
      <c r="AH556" s="265" t="str">
        <f>_xlfn.XLOOKUP(G556,Clientes!I:I,Clientes!F:F)</f>
        <v>MOSAIC FERTILIZANTES PARAGUAY S.R.L.</v>
      </c>
    </row>
    <row r="557" spans="1:34" x14ac:dyDescent="0.25">
      <c r="A557">
        <v>161</v>
      </c>
      <c r="B557" t="s">
        <v>145</v>
      </c>
      <c r="C557"/>
      <c r="D557" s="23">
        <v>116275.2</v>
      </c>
      <c r="E557">
        <v>10550</v>
      </c>
      <c r="F557">
        <v>11</v>
      </c>
      <c r="G557">
        <v>1788</v>
      </c>
      <c r="H557" t="s">
        <v>59</v>
      </c>
      <c r="I557" s="23">
        <v>116275.2</v>
      </c>
      <c r="J557" s="185">
        <v>46044</v>
      </c>
      <c r="K557" s="185">
        <v>46044</v>
      </c>
      <c r="L557" s="185">
        <v>46134</v>
      </c>
      <c r="M557" s="185">
        <v>46134</v>
      </c>
      <c r="N557"/>
      <c r="O557">
        <v>1010100</v>
      </c>
      <c r="P557" t="s">
        <v>29</v>
      </c>
      <c r="Q557">
        <v>200000100</v>
      </c>
      <c r="R557" t="s">
        <v>15322</v>
      </c>
      <c r="S557"/>
      <c r="T557" t="s">
        <v>15323</v>
      </c>
      <c r="U557" t="s">
        <v>4468</v>
      </c>
      <c r="V557" s="23">
        <v>0</v>
      </c>
      <c r="W557" s="23">
        <v>0</v>
      </c>
      <c r="X557" s="23">
        <v>0</v>
      </c>
      <c r="Y557"/>
      <c r="Z557">
        <v>1246260461</v>
      </c>
      <c r="AA557"/>
      <c r="AB557" t="s">
        <v>1199</v>
      </c>
      <c r="AC557">
        <v>102</v>
      </c>
      <c r="AD557">
        <v>4</v>
      </c>
      <c r="AE557" t="s">
        <v>15324</v>
      </c>
      <c r="AF557"/>
      <c r="AG557" s="23"/>
      <c r="AH557" s="265" t="str">
        <f>_xlfn.XLOOKUP(G557,Clientes!I:I,Clientes!F:F)</f>
        <v>GRUPO MOSAIC FERTILIZANTES P K LTDA</v>
      </c>
    </row>
    <row r="558" spans="1:34" x14ac:dyDescent="0.25">
      <c r="A558">
        <v>161</v>
      </c>
      <c r="B558" t="s">
        <v>145</v>
      </c>
      <c r="C558"/>
      <c r="D558" s="23">
        <v>116313.60000000001</v>
      </c>
      <c r="E558">
        <v>10427</v>
      </c>
      <c r="F558">
        <v>11</v>
      </c>
      <c r="G558">
        <v>1787</v>
      </c>
      <c r="H558" t="s">
        <v>57</v>
      </c>
      <c r="I558" s="23">
        <v>116313.60000000001</v>
      </c>
      <c r="J558" s="185">
        <v>46028</v>
      </c>
      <c r="K558" s="185">
        <v>46028</v>
      </c>
      <c r="L558" s="185">
        <v>46118</v>
      </c>
      <c r="M558" s="185">
        <v>46118</v>
      </c>
      <c r="N558"/>
      <c r="O558">
        <v>1010100</v>
      </c>
      <c r="P558" t="s">
        <v>29</v>
      </c>
      <c r="Q558">
        <v>200000100</v>
      </c>
      <c r="R558" t="s">
        <v>15322</v>
      </c>
      <c r="S558"/>
      <c r="T558" t="s">
        <v>15323</v>
      </c>
      <c r="U558" t="s">
        <v>1216</v>
      </c>
      <c r="V558" s="23">
        <v>0</v>
      </c>
      <c r="W558" s="23">
        <v>0</v>
      </c>
      <c r="X558" s="23">
        <v>0</v>
      </c>
      <c r="Y558"/>
      <c r="Z558">
        <v>1246258384</v>
      </c>
      <c r="AA558"/>
      <c r="AB558" t="s">
        <v>1199</v>
      </c>
      <c r="AC558">
        <v>102</v>
      </c>
      <c r="AD558">
        <v>4</v>
      </c>
      <c r="AE558" t="s">
        <v>15324</v>
      </c>
      <c r="AF558"/>
      <c r="AG558" s="23"/>
      <c r="AH558" s="265" t="str">
        <f>_xlfn.XLOOKUP(G558,Clientes!I:I,Clientes!F:F)</f>
        <v>GRUPO MOSAIC FERTILIZANTES P K LTDA</v>
      </c>
    </row>
    <row r="559" spans="1:34" x14ac:dyDescent="0.25">
      <c r="A559">
        <v>161</v>
      </c>
      <c r="B559" t="s">
        <v>145</v>
      </c>
      <c r="C559"/>
      <c r="D559" s="23">
        <v>116343</v>
      </c>
      <c r="E559">
        <v>10846</v>
      </c>
      <c r="F559">
        <v>11</v>
      </c>
      <c r="G559">
        <v>1792</v>
      </c>
      <c r="H559" t="s">
        <v>697</v>
      </c>
      <c r="I559" s="23">
        <v>116343</v>
      </c>
      <c r="J559" s="185">
        <v>46090</v>
      </c>
      <c r="K559" s="185">
        <v>46090</v>
      </c>
      <c r="L559" s="185">
        <v>46180</v>
      </c>
      <c r="M559" s="185">
        <v>46181</v>
      </c>
      <c r="N559"/>
      <c r="O559">
        <v>1010100</v>
      </c>
      <c r="P559" t="s">
        <v>29</v>
      </c>
      <c r="Q559">
        <v>200000100</v>
      </c>
      <c r="R559" t="s">
        <v>15322</v>
      </c>
      <c r="S559"/>
      <c r="T559" t="s">
        <v>15323</v>
      </c>
      <c r="U559" t="s">
        <v>1964</v>
      </c>
      <c r="V559" s="23">
        <v>0</v>
      </c>
      <c r="W559" s="23">
        <v>0</v>
      </c>
      <c r="X559" s="23">
        <v>0</v>
      </c>
      <c r="Y559"/>
      <c r="Z559">
        <v>1246267070</v>
      </c>
      <c r="AA559"/>
      <c r="AB559" t="s">
        <v>1199</v>
      </c>
      <c r="AC559">
        <v>102</v>
      </c>
      <c r="AD559">
        <v>4</v>
      </c>
      <c r="AE559" t="s">
        <v>15324</v>
      </c>
      <c r="AF559"/>
      <c r="AG559" s="23"/>
      <c r="AH559" s="265" t="str">
        <f>_xlfn.XLOOKUP(G559,Clientes!I:I,Clientes!F:F)</f>
        <v>GRUPO MOSAIC FERTILIZANTES P K LTDA</v>
      </c>
    </row>
    <row r="560" spans="1:34" x14ac:dyDescent="0.25">
      <c r="A560">
        <v>161</v>
      </c>
      <c r="B560" t="s">
        <v>145</v>
      </c>
      <c r="C560"/>
      <c r="D560" s="23">
        <v>116343</v>
      </c>
      <c r="E560">
        <v>10918</v>
      </c>
      <c r="F560">
        <v>11</v>
      </c>
      <c r="G560">
        <v>1792</v>
      </c>
      <c r="H560" t="s">
        <v>697</v>
      </c>
      <c r="I560" s="23">
        <v>116343</v>
      </c>
      <c r="J560" s="185">
        <v>46099</v>
      </c>
      <c r="K560" s="185">
        <v>46099</v>
      </c>
      <c r="L560" s="185">
        <v>46189</v>
      </c>
      <c r="M560" s="185">
        <v>46189</v>
      </c>
      <c r="N560"/>
      <c r="O560">
        <v>1010100</v>
      </c>
      <c r="P560" t="s">
        <v>29</v>
      </c>
      <c r="Q560">
        <v>200000100</v>
      </c>
      <c r="R560" t="s">
        <v>15322</v>
      </c>
      <c r="S560"/>
      <c r="T560" t="s">
        <v>15323</v>
      </c>
      <c r="U560" t="s">
        <v>1964</v>
      </c>
      <c r="V560" s="23">
        <v>0</v>
      </c>
      <c r="W560" s="23">
        <v>0</v>
      </c>
      <c r="X560" s="23">
        <v>0</v>
      </c>
      <c r="Y560"/>
      <c r="Z560">
        <v>1246268258</v>
      </c>
      <c r="AA560"/>
      <c r="AB560" t="s">
        <v>1199</v>
      </c>
      <c r="AC560">
        <v>102</v>
      </c>
      <c r="AD560">
        <v>4</v>
      </c>
      <c r="AE560" t="s">
        <v>15324</v>
      </c>
      <c r="AF560"/>
      <c r="AG560" s="23"/>
      <c r="AH560" s="265" t="str">
        <f>_xlfn.XLOOKUP(G560,Clientes!I:I,Clientes!F:F)</f>
        <v>GRUPO MOSAIC FERTILIZANTES P K LTDA</v>
      </c>
    </row>
    <row r="561" spans="1:34" x14ac:dyDescent="0.25">
      <c r="A561">
        <v>161</v>
      </c>
      <c r="B561" t="s">
        <v>145</v>
      </c>
      <c r="C561"/>
      <c r="D561" s="23">
        <v>116551.5</v>
      </c>
      <c r="E561">
        <v>10432</v>
      </c>
      <c r="F561">
        <v>11</v>
      </c>
      <c r="G561">
        <v>1792</v>
      </c>
      <c r="H561" t="s">
        <v>697</v>
      </c>
      <c r="I561" s="23">
        <v>116551.5</v>
      </c>
      <c r="J561" s="185">
        <v>46028</v>
      </c>
      <c r="K561" s="185">
        <v>46028</v>
      </c>
      <c r="L561" s="185">
        <v>46118</v>
      </c>
      <c r="M561" s="185">
        <v>46090</v>
      </c>
      <c r="N561"/>
      <c r="O561">
        <v>1010100</v>
      </c>
      <c r="P561" t="s">
        <v>29</v>
      </c>
      <c r="Q561">
        <v>200000100</v>
      </c>
      <c r="R561" t="s">
        <v>15322</v>
      </c>
      <c r="S561"/>
      <c r="T561" t="s">
        <v>15323</v>
      </c>
      <c r="U561" t="s">
        <v>4468</v>
      </c>
      <c r="V561" s="23">
        <v>0</v>
      </c>
      <c r="W561" s="23">
        <v>0</v>
      </c>
      <c r="X561" s="23">
        <v>0</v>
      </c>
      <c r="Y561"/>
      <c r="Z561">
        <v>1246258508</v>
      </c>
      <c r="AA561"/>
      <c r="AB561" t="s">
        <v>2073</v>
      </c>
      <c r="AC561">
        <v>102</v>
      </c>
      <c r="AD561">
        <v>4</v>
      </c>
      <c r="AE561" t="s">
        <v>15324</v>
      </c>
      <c r="AF561"/>
      <c r="AG561" s="23"/>
      <c r="AH561" s="265" t="str">
        <f>_xlfn.XLOOKUP(G561,Clientes!I:I,Clientes!F:F)</f>
        <v>GRUPO MOSAIC FERTILIZANTES P K LTDA</v>
      </c>
    </row>
    <row r="562" spans="1:34" x14ac:dyDescent="0.25">
      <c r="A562">
        <v>161</v>
      </c>
      <c r="B562" t="s">
        <v>145</v>
      </c>
      <c r="C562"/>
      <c r="D562" s="23">
        <v>116676.6</v>
      </c>
      <c r="E562">
        <v>11211</v>
      </c>
      <c r="F562">
        <v>11</v>
      </c>
      <c r="G562">
        <v>1792</v>
      </c>
      <c r="H562" t="s">
        <v>697</v>
      </c>
      <c r="I562" s="23">
        <v>116676.6</v>
      </c>
      <c r="J562" s="185">
        <v>46136</v>
      </c>
      <c r="K562" s="185">
        <v>46136</v>
      </c>
      <c r="L562" s="185">
        <v>46226</v>
      </c>
      <c r="M562" s="185"/>
      <c r="N562"/>
      <c r="O562">
        <v>1010100</v>
      </c>
      <c r="P562" t="s">
        <v>29</v>
      </c>
      <c r="Q562">
        <v>200000100</v>
      </c>
      <c r="R562" t="s">
        <v>15322</v>
      </c>
      <c r="S562"/>
      <c r="T562" t="s">
        <v>15323</v>
      </c>
      <c r="U562" t="s">
        <v>1964</v>
      </c>
      <c r="V562" s="23">
        <v>0</v>
      </c>
      <c r="W562" s="23">
        <v>0</v>
      </c>
      <c r="X562" s="23">
        <v>0</v>
      </c>
      <c r="Y562"/>
      <c r="Z562">
        <v>1246272414</v>
      </c>
      <c r="AA562"/>
      <c r="AB562"/>
      <c r="AC562">
        <v>102</v>
      </c>
      <c r="AD562">
        <v>4</v>
      </c>
      <c r="AE562" t="s">
        <v>15324</v>
      </c>
      <c r="AF562"/>
      <c r="AG562" s="23"/>
      <c r="AH562" s="265" t="str">
        <f>_xlfn.XLOOKUP(G562,Clientes!I:I,Clientes!F:F)</f>
        <v>GRUPO MOSAIC FERTILIZANTES P K LTDA</v>
      </c>
    </row>
    <row r="563" spans="1:34" x14ac:dyDescent="0.25">
      <c r="A563">
        <v>161</v>
      </c>
      <c r="B563" t="s">
        <v>145</v>
      </c>
      <c r="C563"/>
      <c r="D563" s="23">
        <v>116710.39999999999</v>
      </c>
      <c r="E563">
        <v>10413</v>
      </c>
      <c r="F563">
        <v>11</v>
      </c>
      <c r="G563">
        <v>1788</v>
      </c>
      <c r="H563" t="s">
        <v>59</v>
      </c>
      <c r="I563" s="23">
        <v>116710.39999999999</v>
      </c>
      <c r="J563" s="185">
        <v>46024</v>
      </c>
      <c r="K563" s="185">
        <v>46024</v>
      </c>
      <c r="L563" s="185">
        <v>46084</v>
      </c>
      <c r="M563" s="185">
        <v>46084</v>
      </c>
      <c r="N563"/>
      <c r="O563">
        <v>1010100</v>
      </c>
      <c r="P563" t="s">
        <v>29</v>
      </c>
      <c r="Q563">
        <v>200000100</v>
      </c>
      <c r="R563" t="s">
        <v>15322</v>
      </c>
      <c r="S563"/>
      <c r="T563" t="s">
        <v>15323</v>
      </c>
      <c r="U563" t="s">
        <v>1199</v>
      </c>
      <c r="V563" s="23">
        <v>0</v>
      </c>
      <c r="W563" s="23">
        <v>0</v>
      </c>
      <c r="X563" s="23">
        <v>0</v>
      </c>
      <c r="Y563"/>
      <c r="Z563">
        <v>1246258186</v>
      </c>
      <c r="AA563"/>
      <c r="AB563" t="s">
        <v>1199</v>
      </c>
      <c r="AC563">
        <v>102</v>
      </c>
      <c r="AD563">
        <v>4</v>
      </c>
      <c r="AE563" t="s">
        <v>15324</v>
      </c>
      <c r="AF563"/>
      <c r="AG563" s="23"/>
      <c r="AH563" s="265" t="str">
        <f>_xlfn.XLOOKUP(G563,Clientes!I:I,Clientes!F:F)</f>
        <v>GRUPO MOSAIC FERTILIZANTES P K LTDA</v>
      </c>
    </row>
    <row r="564" spans="1:34" x14ac:dyDescent="0.25">
      <c r="A564">
        <v>161</v>
      </c>
      <c r="B564" t="s">
        <v>145</v>
      </c>
      <c r="C564"/>
      <c r="D564" s="23">
        <v>116718.3</v>
      </c>
      <c r="E564">
        <v>10682</v>
      </c>
      <c r="F564">
        <v>11</v>
      </c>
      <c r="G564">
        <v>1792</v>
      </c>
      <c r="H564" t="s">
        <v>697</v>
      </c>
      <c r="I564" s="23">
        <v>116718.3</v>
      </c>
      <c r="J564" s="185">
        <v>46065</v>
      </c>
      <c r="K564" s="185">
        <v>46065</v>
      </c>
      <c r="L564" s="185">
        <v>46155</v>
      </c>
      <c r="M564" s="185">
        <v>46125</v>
      </c>
      <c r="N564"/>
      <c r="O564">
        <v>1010100</v>
      </c>
      <c r="P564" t="s">
        <v>29</v>
      </c>
      <c r="Q564">
        <v>200000100</v>
      </c>
      <c r="R564" t="s">
        <v>15322</v>
      </c>
      <c r="S564"/>
      <c r="T564" t="s">
        <v>15323</v>
      </c>
      <c r="U564" t="s">
        <v>4468</v>
      </c>
      <c r="V564" s="23">
        <v>0</v>
      </c>
      <c r="W564" s="23">
        <v>0</v>
      </c>
      <c r="X564" s="23">
        <v>0</v>
      </c>
      <c r="Y564"/>
      <c r="Z564">
        <v>1246263483</v>
      </c>
      <c r="AA564"/>
      <c r="AB564" t="s">
        <v>2073</v>
      </c>
      <c r="AC564">
        <v>102</v>
      </c>
      <c r="AD564">
        <v>4</v>
      </c>
      <c r="AE564" t="s">
        <v>15324</v>
      </c>
      <c r="AF564"/>
      <c r="AG564" s="23"/>
      <c r="AH564" s="265" t="str">
        <f>_xlfn.XLOOKUP(G564,Clientes!I:I,Clientes!F:F)</f>
        <v>GRUPO MOSAIC FERTILIZANTES P K LTDA</v>
      </c>
    </row>
    <row r="565" spans="1:34" x14ac:dyDescent="0.25">
      <c r="A565">
        <v>40</v>
      </c>
      <c r="B565" t="s">
        <v>155</v>
      </c>
      <c r="C565"/>
      <c r="D565" s="23">
        <v>116719.31</v>
      </c>
      <c r="E565">
        <v>11551</v>
      </c>
      <c r="F565">
        <v>11</v>
      </c>
      <c r="G565">
        <v>2696</v>
      </c>
      <c r="H565" t="s">
        <v>119</v>
      </c>
      <c r="I565" s="23">
        <v>116719.31</v>
      </c>
      <c r="J565" s="185">
        <v>46171</v>
      </c>
      <c r="K565" s="185">
        <v>46171</v>
      </c>
      <c r="L565" s="185">
        <v>46261</v>
      </c>
      <c r="M565" s="185"/>
      <c r="N565"/>
      <c r="O565">
        <v>1010200</v>
      </c>
      <c r="P565" t="s">
        <v>113</v>
      </c>
      <c r="Q565">
        <v>200000100</v>
      </c>
      <c r="R565" t="s">
        <v>15322</v>
      </c>
      <c r="S565"/>
      <c r="T565" t="s">
        <v>15323</v>
      </c>
      <c r="U565" t="s">
        <v>2246</v>
      </c>
      <c r="V565" s="23">
        <v>0</v>
      </c>
      <c r="W565" s="23">
        <v>0</v>
      </c>
      <c r="X565" s="23">
        <v>0</v>
      </c>
      <c r="Y565"/>
      <c r="Z565">
        <v>1246277374</v>
      </c>
      <c r="AA565"/>
      <c r="AB565"/>
      <c r="AC565">
        <v>102</v>
      </c>
      <c r="AD565">
        <v>4</v>
      </c>
      <c r="AE565" t="s">
        <v>15324</v>
      </c>
      <c r="AF565"/>
      <c r="AG565" s="23"/>
      <c r="AH565" s="265" t="str">
        <f>_xlfn.XLOOKUP(G565,Clientes!I:I,Clientes!F:F)</f>
        <v>MOSAIC FERTILIZANTES PARAGUAY S.R.L.</v>
      </c>
    </row>
    <row r="566" spans="1:34" x14ac:dyDescent="0.25">
      <c r="A566">
        <v>161</v>
      </c>
      <c r="B566" t="s">
        <v>145</v>
      </c>
      <c r="C566"/>
      <c r="D566" s="23">
        <v>116760</v>
      </c>
      <c r="E566">
        <v>11049</v>
      </c>
      <c r="F566">
        <v>11</v>
      </c>
      <c r="G566">
        <v>1792</v>
      </c>
      <c r="H566" t="s">
        <v>697</v>
      </c>
      <c r="I566" s="23">
        <v>116760</v>
      </c>
      <c r="J566" s="185">
        <v>46114</v>
      </c>
      <c r="K566" s="185">
        <v>46114</v>
      </c>
      <c r="L566" s="185">
        <v>46204</v>
      </c>
      <c r="M566" s="185"/>
      <c r="N566"/>
      <c r="O566">
        <v>1010100</v>
      </c>
      <c r="P566" t="s">
        <v>29</v>
      </c>
      <c r="Q566">
        <v>200000100</v>
      </c>
      <c r="R566" t="s">
        <v>15322</v>
      </c>
      <c r="S566"/>
      <c r="T566" t="s">
        <v>15323</v>
      </c>
      <c r="U566" t="s">
        <v>4468</v>
      </c>
      <c r="V566" s="23">
        <v>0</v>
      </c>
      <c r="W566" s="23">
        <v>0</v>
      </c>
      <c r="X566" s="23">
        <v>0</v>
      </c>
      <c r="Y566"/>
      <c r="Z566">
        <v>1246270240</v>
      </c>
      <c r="AA566"/>
      <c r="AB566"/>
      <c r="AC566">
        <v>102</v>
      </c>
      <c r="AD566">
        <v>4</v>
      </c>
      <c r="AE566" t="s">
        <v>15324</v>
      </c>
      <c r="AF566"/>
      <c r="AG566" s="23"/>
      <c r="AH566" s="265" t="str">
        <f>_xlfn.XLOOKUP(G566,Clientes!I:I,Clientes!F:F)</f>
        <v>GRUPO MOSAIC FERTILIZANTES P K LTDA</v>
      </c>
    </row>
    <row r="567" spans="1:34" x14ac:dyDescent="0.25">
      <c r="A567">
        <v>161</v>
      </c>
      <c r="B567" t="s">
        <v>145</v>
      </c>
      <c r="C567"/>
      <c r="D567" s="23">
        <v>116851.2</v>
      </c>
      <c r="E567">
        <v>10645</v>
      </c>
      <c r="F567">
        <v>11</v>
      </c>
      <c r="G567">
        <v>1788</v>
      </c>
      <c r="H567" t="s">
        <v>59</v>
      </c>
      <c r="I567" s="23">
        <v>116851.2</v>
      </c>
      <c r="J567" s="185">
        <v>46058</v>
      </c>
      <c r="K567" s="185">
        <v>46058</v>
      </c>
      <c r="L567" s="185">
        <v>46148</v>
      </c>
      <c r="M567" s="185">
        <v>46118</v>
      </c>
      <c r="N567"/>
      <c r="O567">
        <v>1010100</v>
      </c>
      <c r="P567" t="s">
        <v>29</v>
      </c>
      <c r="Q567">
        <v>200000100</v>
      </c>
      <c r="R567" t="s">
        <v>15322</v>
      </c>
      <c r="S567"/>
      <c r="T567" t="s">
        <v>15323</v>
      </c>
      <c r="U567" t="s">
        <v>1530</v>
      </c>
      <c r="V567" s="23">
        <v>0</v>
      </c>
      <c r="W567" s="23">
        <v>0</v>
      </c>
      <c r="X567" s="23">
        <v>0</v>
      </c>
      <c r="Y567"/>
      <c r="Z567">
        <v>1246262366</v>
      </c>
      <c r="AA567"/>
      <c r="AB567" t="s">
        <v>1199</v>
      </c>
      <c r="AC567">
        <v>102</v>
      </c>
      <c r="AD567">
        <v>4</v>
      </c>
      <c r="AE567" t="s">
        <v>15324</v>
      </c>
      <c r="AF567"/>
      <c r="AG567" s="23"/>
      <c r="AH567" s="265" t="str">
        <f>_xlfn.XLOOKUP(G567,Clientes!I:I,Clientes!F:F)</f>
        <v>GRUPO MOSAIC FERTILIZANTES P K LTDA</v>
      </c>
    </row>
    <row r="568" spans="1:34" x14ac:dyDescent="0.25">
      <c r="A568">
        <v>161</v>
      </c>
      <c r="B568" t="s">
        <v>145</v>
      </c>
      <c r="C568"/>
      <c r="D568" s="23">
        <v>116889.60000000001</v>
      </c>
      <c r="E568">
        <v>11157</v>
      </c>
      <c r="F568">
        <v>11</v>
      </c>
      <c r="G568">
        <v>1787</v>
      </c>
      <c r="H568" t="s">
        <v>57</v>
      </c>
      <c r="I568" s="23">
        <v>116889.60000000001</v>
      </c>
      <c r="J568" s="185">
        <v>46129</v>
      </c>
      <c r="K568" s="185">
        <v>46129</v>
      </c>
      <c r="L568" s="185">
        <v>46219</v>
      </c>
      <c r="M568" s="185"/>
      <c r="N568"/>
      <c r="O568">
        <v>1010100</v>
      </c>
      <c r="P568" t="s">
        <v>29</v>
      </c>
      <c r="Q568">
        <v>200000100</v>
      </c>
      <c r="R568" t="s">
        <v>15322</v>
      </c>
      <c r="S568"/>
      <c r="T568" t="s">
        <v>15323</v>
      </c>
      <c r="U568" t="s">
        <v>1216</v>
      </c>
      <c r="V568" s="23">
        <v>0</v>
      </c>
      <c r="W568" s="23">
        <v>0</v>
      </c>
      <c r="X568" s="23">
        <v>0</v>
      </c>
      <c r="Y568"/>
      <c r="Z568">
        <v>1246271678</v>
      </c>
      <c r="AA568"/>
      <c r="AB568"/>
      <c r="AC568">
        <v>102</v>
      </c>
      <c r="AD568">
        <v>4</v>
      </c>
      <c r="AE568" t="s">
        <v>15324</v>
      </c>
      <c r="AF568"/>
      <c r="AG568" s="23"/>
      <c r="AH568" s="265" t="str">
        <f>_xlfn.XLOOKUP(G568,Clientes!I:I,Clientes!F:F)</f>
        <v>GRUPO MOSAIC FERTILIZANTES P K LTDA</v>
      </c>
    </row>
    <row r="569" spans="1:34" x14ac:dyDescent="0.25">
      <c r="A569">
        <v>161</v>
      </c>
      <c r="B569" t="s">
        <v>145</v>
      </c>
      <c r="C569"/>
      <c r="D569" s="23">
        <v>116889.60000000001</v>
      </c>
      <c r="E569">
        <v>11172</v>
      </c>
      <c r="F569">
        <v>11</v>
      </c>
      <c r="G569">
        <v>1787</v>
      </c>
      <c r="H569" t="s">
        <v>57</v>
      </c>
      <c r="I569" s="23">
        <v>116889.60000000001</v>
      </c>
      <c r="J569" s="185">
        <v>46132</v>
      </c>
      <c r="K569" s="185">
        <v>46132</v>
      </c>
      <c r="L569" s="185">
        <v>46222</v>
      </c>
      <c r="M569" s="185"/>
      <c r="N569"/>
      <c r="O569">
        <v>1010100</v>
      </c>
      <c r="P569" t="s">
        <v>29</v>
      </c>
      <c r="Q569">
        <v>200000100</v>
      </c>
      <c r="R569" t="s">
        <v>15322</v>
      </c>
      <c r="S569"/>
      <c r="T569" t="s">
        <v>15323</v>
      </c>
      <c r="U569" t="s">
        <v>4502</v>
      </c>
      <c r="V569" s="23">
        <v>0</v>
      </c>
      <c r="W569" s="23">
        <v>0</v>
      </c>
      <c r="X569" s="23">
        <v>0</v>
      </c>
      <c r="Y569"/>
      <c r="Z569">
        <v>1246271830</v>
      </c>
      <c r="AA569"/>
      <c r="AB569"/>
      <c r="AC569">
        <v>102</v>
      </c>
      <c r="AD569">
        <v>4</v>
      </c>
      <c r="AE569" t="s">
        <v>15324</v>
      </c>
      <c r="AF569"/>
      <c r="AG569" s="23"/>
      <c r="AH569" s="265" t="str">
        <f>_xlfn.XLOOKUP(G569,Clientes!I:I,Clientes!F:F)</f>
        <v>GRUPO MOSAIC FERTILIZANTES P K LTDA</v>
      </c>
    </row>
    <row r="570" spans="1:34" x14ac:dyDescent="0.25">
      <c r="A570">
        <v>161</v>
      </c>
      <c r="B570" t="s">
        <v>145</v>
      </c>
      <c r="C570"/>
      <c r="D570" s="23">
        <v>116928</v>
      </c>
      <c r="E570">
        <v>10899</v>
      </c>
      <c r="F570">
        <v>11</v>
      </c>
      <c r="G570">
        <v>1787</v>
      </c>
      <c r="H570" t="s">
        <v>57</v>
      </c>
      <c r="I570" s="23">
        <v>116928</v>
      </c>
      <c r="J570" s="185">
        <v>46097</v>
      </c>
      <c r="K570" s="185">
        <v>46097</v>
      </c>
      <c r="L570" s="185">
        <v>46187</v>
      </c>
      <c r="M570" s="185">
        <v>46188</v>
      </c>
      <c r="N570"/>
      <c r="O570">
        <v>1010100</v>
      </c>
      <c r="P570" t="s">
        <v>29</v>
      </c>
      <c r="Q570">
        <v>200000100</v>
      </c>
      <c r="R570" t="s">
        <v>15322</v>
      </c>
      <c r="S570"/>
      <c r="T570" t="s">
        <v>15323</v>
      </c>
      <c r="U570" t="s">
        <v>1216</v>
      </c>
      <c r="V570" s="23">
        <v>0</v>
      </c>
      <c r="W570" s="23">
        <v>0</v>
      </c>
      <c r="X570" s="23">
        <v>0</v>
      </c>
      <c r="Y570"/>
      <c r="Z570">
        <v>1246267948</v>
      </c>
      <c r="AA570"/>
      <c r="AB570" t="s">
        <v>1199</v>
      </c>
      <c r="AC570">
        <v>102</v>
      </c>
      <c r="AD570">
        <v>4</v>
      </c>
      <c r="AE570" t="s">
        <v>15324</v>
      </c>
      <c r="AF570"/>
      <c r="AG570" s="23"/>
      <c r="AH570" s="265" t="str">
        <f>_xlfn.XLOOKUP(G570,Clientes!I:I,Clientes!F:F)</f>
        <v>GRUPO MOSAIC FERTILIZANTES P K LTDA</v>
      </c>
    </row>
    <row r="571" spans="1:34" x14ac:dyDescent="0.25">
      <c r="A571">
        <v>161</v>
      </c>
      <c r="B571" t="s">
        <v>145</v>
      </c>
      <c r="C571"/>
      <c r="D571" s="23">
        <v>116928</v>
      </c>
      <c r="E571">
        <v>10870</v>
      </c>
      <c r="F571">
        <v>11</v>
      </c>
      <c r="G571">
        <v>1788</v>
      </c>
      <c r="H571" t="s">
        <v>59</v>
      </c>
      <c r="I571" s="23">
        <v>116928</v>
      </c>
      <c r="J571" s="185">
        <v>46093</v>
      </c>
      <c r="K571" s="185">
        <v>46093</v>
      </c>
      <c r="L571" s="185">
        <v>46183</v>
      </c>
      <c r="M571" s="185">
        <v>46183</v>
      </c>
      <c r="N571"/>
      <c r="O571">
        <v>1010100</v>
      </c>
      <c r="P571" t="s">
        <v>29</v>
      </c>
      <c r="Q571">
        <v>200000100</v>
      </c>
      <c r="R571" t="s">
        <v>15322</v>
      </c>
      <c r="S571"/>
      <c r="T571" t="s">
        <v>15323</v>
      </c>
      <c r="U571" t="s">
        <v>2246</v>
      </c>
      <c r="V571" s="23">
        <v>0</v>
      </c>
      <c r="W571" s="23">
        <v>0</v>
      </c>
      <c r="X571" s="23">
        <v>0</v>
      </c>
      <c r="Y571"/>
      <c r="Z571">
        <v>1246267567</v>
      </c>
      <c r="AA571"/>
      <c r="AB571" t="s">
        <v>1199</v>
      </c>
      <c r="AC571">
        <v>102</v>
      </c>
      <c r="AD571">
        <v>4</v>
      </c>
      <c r="AE571" t="s">
        <v>15324</v>
      </c>
      <c r="AF571"/>
      <c r="AG571" s="23"/>
      <c r="AH571" s="265" t="str">
        <f>_xlfn.XLOOKUP(G571,Clientes!I:I,Clientes!F:F)</f>
        <v>GRUPO MOSAIC FERTILIZANTES P K LTDA</v>
      </c>
    </row>
    <row r="572" spans="1:34" x14ac:dyDescent="0.25">
      <c r="A572">
        <v>161</v>
      </c>
      <c r="B572" t="s">
        <v>145</v>
      </c>
      <c r="C572"/>
      <c r="D572" s="23">
        <v>117001.95</v>
      </c>
      <c r="E572">
        <v>11583</v>
      </c>
      <c r="F572">
        <v>11</v>
      </c>
      <c r="G572">
        <v>1789</v>
      </c>
      <c r="H572" t="s">
        <v>61</v>
      </c>
      <c r="I572" s="23">
        <v>117001.95</v>
      </c>
      <c r="J572" s="185">
        <v>46175</v>
      </c>
      <c r="K572" s="185">
        <v>46175</v>
      </c>
      <c r="L572" s="185">
        <v>46265</v>
      </c>
      <c r="M572" s="185"/>
      <c r="N572"/>
      <c r="O572">
        <v>1010100</v>
      </c>
      <c r="P572" t="s">
        <v>29</v>
      </c>
      <c r="Q572">
        <v>200000100</v>
      </c>
      <c r="R572" t="s">
        <v>15322</v>
      </c>
      <c r="S572"/>
      <c r="T572" t="s">
        <v>15323</v>
      </c>
      <c r="U572" t="s">
        <v>4502</v>
      </c>
      <c r="V572" s="23">
        <v>0</v>
      </c>
      <c r="W572" s="23">
        <v>0</v>
      </c>
      <c r="X572" s="23">
        <v>0</v>
      </c>
      <c r="Y572"/>
      <c r="Z572">
        <v>1246277902</v>
      </c>
      <c r="AA572"/>
      <c r="AB572"/>
      <c r="AC572">
        <v>102</v>
      </c>
      <c r="AD572">
        <v>4</v>
      </c>
      <c r="AE572" t="s">
        <v>15324</v>
      </c>
      <c r="AF572"/>
      <c r="AG572" s="23"/>
      <c r="AH572" s="265" t="str">
        <f>_xlfn.XLOOKUP(G572,Clientes!I:I,Clientes!F:F)</f>
        <v>GRUPO MOSAIC FERTILIZANTES P K LTDA</v>
      </c>
    </row>
    <row r="573" spans="1:34" x14ac:dyDescent="0.25">
      <c r="A573">
        <v>161</v>
      </c>
      <c r="B573" t="s">
        <v>145</v>
      </c>
      <c r="C573"/>
      <c r="D573" s="23">
        <v>117051.9</v>
      </c>
      <c r="E573">
        <v>11015</v>
      </c>
      <c r="F573">
        <v>11</v>
      </c>
      <c r="G573">
        <v>1792</v>
      </c>
      <c r="H573" t="s">
        <v>697</v>
      </c>
      <c r="I573" s="23">
        <v>117051.9</v>
      </c>
      <c r="J573" s="185">
        <v>46112</v>
      </c>
      <c r="K573" s="185">
        <v>46112</v>
      </c>
      <c r="L573" s="185">
        <v>46202</v>
      </c>
      <c r="M573" s="185"/>
      <c r="N573"/>
      <c r="O573">
        <v>1010100</v>
      </c>
      <c r="P573" t="s">
        <v>29</v>
      </c>
      <c r="Q573">
        <v>200000100</v>
      </c>
      <c r="R573" t="s">
        <v>15322</v>
      </c>
      <c r="S573"/>
      <c r="T573" t="s">
        <v>15323</v>
      </c>
      <c r="U573" t="s">
        <v>4502</v>
      </c>
      <c r="V573" s="23">
        <v>0</v>
      </c>
      <c r="W573" s="23">
        <v>0</v>
      </c>
      <c r="X573" s="23">
        <v>0</v>
      </c>
      <c r="Y573"/>
      <c r="Z573">
        <v>1246269741</v>
      </c>
      <c r="AA573"/>
      <c r="AB573"/>
      <c r="AC573">
        <v>102</v>
      </c>
      <c r="AD573">
        <v>4</v>
      </c>
      <c r="AE573" t="s">
        <v>15324</v>
      </c>
      <c r="AF573"/>
      <c r="AG573" s="23"/>
      <c r="AH573" s="265" t="str">
        <f>_xlfn.XLOOKUP(G573,Clientes!I:I,Clientes!F:F)</f>
        <v>GRUPO MOSAIC FERTILIZANTES P K LTDA</v>
      </c>
    </row>
    <row r="574" spans="1:34" x14ac:dyDescent="0.25">
      <c r="A574">
        <v>161</v>
      </c>
      <c r="B574" t="s">
        <v>145</v>
      </c>
      <c r="C574"/>
      <c r="D574" s="23">
        <v>117120</v>
      </c>
      <c r="E574">
        <v>11060</v>
      </c>
      <c r="F574">
        <v>11</v>
      </c>
      <c r="G574">
        <v>1788</v>
      </c>
      <c r="H574" t="s">
        <v>59</v>
      </c>
      <c r="I574" s="23">
        <v>117120</v>
      </c>
      <c r="J574" s="185">
        <v>46118</v>
      </c>
      <c r="K574" s="185">
        <v>46118</v>
      </c>
      <c r="L574" s="185">
        <v>46208</v>
      </c>
      <c r="M574" s="185"/>
      <c r="N574"/>
      <c r="O574">
        <v>1010100</v>
      </c>
      <c r="P574" t="s">
        <v>29</v>
      </c>
      <c r="Q574">
        <v>200000100</v>
      </c>
      <c r="R574" t="s">
        <v>15322</v>
      </c>
      <c r="S574"/>
      <c r="T574" t="s">
        <v>15323</v>
      </c>
      <c r="U574" t="s">
        <v>5803</v>
      </c>
      <c r="V574" s="23">
        <v>0</v>
      </c>
      <c r="W574" s="23">
        <v>0</v>
      </c>
      <c r="X574" s="23">
        <v>0</v>
      </c>
      <c r="Y574"/>
      <c r="Z574">
        <v>1246270425</v>
      </c>
      <c r="AA574"/>
      <c r="AB574"/>
      <c r="AC574">
        <v>102</v>
      </c>
      <c r="AD574">
        <v>4</v>
      </c>
      <c r="AE574" t="s">
        <v>15324</v>
      </c>
      <c r="AF574"/>
      <c r="AG574" s="23"/>
      <c r="AH574" s="265" t="str">
        <f>_xlfn.XLOOKUP(G574,Clientes!I:I,Clientes!F:F)</f>
        <v>GRUPO MOSAIC FERTILIZANTES P K LTDA</v>
      </c>
    </row>
    <row r="575" spans="1:34" x14ac:dyDescent="0.25">
      <c r="A575">
        <v>161</v>
      </c>
      <c r="B575" t="s">
        <v>145</v>
      </c>
      <c r="C575"/>
      <c r="D575" s="23">
        <v>117260.4</v>
      </c>
      <c r="E575">
        <v>11066</v>
      </c>
      <c r="F575">
        <v>11</v>
      </c>
      <c r="G575">
        <v>1792</v>
      </c>
      <c r="H575" t="s">
        <v>697</v>
      </c>
      <c r="I575" s="23">
        <v>117260.4</v>
      </c>
      <c r="J575" s="185">
        <v>46119</v>
      </c>
      <c r="K575" s="185">
        <v>46119</v>
      </c>
      <c r="L575" s="185">
        <v>46209</v>
      </c>
      <c r="M575" s="185"/>
      <c r="N575"/>
      <c r="O575">
        <v>1010100</v>
      </c>
      <c r="P575" t="s">
        <v>29</v>
      </c>
      <c r="Q575">
        <v>200000100</v>
      </c>
      <c r="R575" t="s">
        <v>15322</v>
      </c>
      <c r="S575"/>
      <c r="T575" t="s">
        <v>15323</v>
      </c>
      <c r="U575" t="s">
        <v>5803</v>
      </c>
      <c r="V575" s="23">
        <v>0</v>
      </c>
      <c r="W575" s="23">
        <v>0</v>
      </c>
      <c r="X575" s="23">
        <v>0</v>
      </c>
      <c r="Y575"/>
      <c r="Z575">
        <v>1246270521</v>
      </c>
      <c r="AA575"/>
      <c r="AB575"/>
      <c r="AC575">
        <v>102</v>
      </c>
      <c r="AD575">
        <v>4</v>
      </c>
      <c r="AE575" t="s">
        <v>15324</v>
      </c>
      <c r="AF575"/>
      <c r="AG575" s="23"/>
      <c r="AH575" s="265" t="str">
        <f>_xlfn.XLOOKUP(G575,Clientes!I:I,Clientes!F:F)</f>
        <v>GRUPO MOSAIC FERTILIZANTES P K LTDA</v>
      </c>
    </row>
    <row r="576" spans="1:34" x14ac:dyDescent="0.25">
      <c r="A576">
        <v>161</v>
      </c>
      <c r="B576" t="s">
        <v>145</v>
      </c>
      <c r="C576"/>
      <c r="D576" s="23">
        <v>117311.99</v>
      </c>
      <c r="E576">
        <v>11493</v>
      </c>
      <c r="F576">
        <v>11</v>
      </c>
      <c r="G576">
        <v>1789</v>
      </c>
      <c r="H576" t="s">
        <v>61</v>
      </c>
      <c r="I576" s="23">
        <v>117311.99</v>
      </c>
      <c r="J576" s="185">
        <v>46167</v>
      </c>
      <c r="K576" s="185">
        <v>46167</v>
      </c>
      <c r="L576" s="185">
        <v>46257</v>
      </c>
      <c r="M576" s="185"/>
      <c r="N576"/>
      <c r="O576">
        <v>1010100</v>
      </c>
      <c r="P576" t="s">
        <v>29</v>
      </c>
      <c r="Q576">
        <v>200000100</v>
      </c>
      <c r="R576" t="s">
        <v>15322</v>
      </c>
      <c r="S576"/>
      <c r="T576" t="s">
        <v>15323</v>
      </c>
      <c r="U576" t="s">
        <v>2246</v>
      </c>
      <c r="V576" s="23">
        <v>0</v>
      </c>
      <c r="W576" s="23">
        <v>0</v>
      </c>
      <c r="X576" s="23">
        <v>0</v>
      </c>
      <c r="Y576"/>
      <c r="Z576">
        <v>1246276632</v>
      </c>
      <c r="AA576"/>
      <c r="AB576"/>
      <c r="AC576">
        <v>102</v>
      </c>
      <c r="AD576">
        <v>4</v>
      </c>
      <c r="AE576" t="s">
        <v>15324</v>
      </c>
      <c r="AF576"/>
      <c r="AG576" s="23"/>
      <c r="AH576" s="265" t="str">
        <f>_xlfn.XLOOKUP(G576,Clientes!I:I,Clientes!F:F)</f>
        <v>GRUPO MOSAIC FERTILIZANTES P K LTDA</v>
      </c>
    </row>
    <row r="577" spans="1:34" x14ac:dyDescent="0.25">
      <c r="A577">
        <v>161</v>
      </c>
      <c r="B577" t="s">
        <v>145</v>
      </c>
      <c r="C577"/>
      <c r="D577" s="23">
        <v>117360</v>
      </c>
      <c r="E577">
        <v>2812</v>
      </c>
      <c r="F577">
        <v>13</v>
      </c>
      <c r="G577">
        <v>215</v>
      </c>
      <c r="H577" t="s">
        <v>221</v>
      </c>
      <c r="I577" s="23">
        <v>117360</v>
      </c>
      <c r="J577" s="185">
        <v>46094</v>
      </c>
      <c r="K577" s="185">
        <v>46094</v>
      </c>
      <c r="L577" s="185">
        <v>46122</v>
      </c>
      <c r="M577" s="185">
        <v>46122</v>
      </c>
      <c r="N577"/>
      <c r="O577">
        <v>1010100</v>
      </c>
      <c r="P577" t="s">
        <v>29</v>
      </c>
      <c r="Q577">
        <v>200000100</v>
      </c>
      <c r="R577" t="s">
        <v>15322</v>
      </c>
      <c r="S577"/>
      <c r="T577" t="s">
        <v>15323</v>
      </c>
      <c r="U577" t="s">
        <v>6311</v>
      </c>
      <c r="V577" s="23">
        <v>0</v>
      </c>
      <c r="W577" s="23">
        <v>0</v>
      </c>
      <c r="X577" s="23">
        <v>0</v>
      </c>
      <c r="Y577"/>
      <c r="Z577">
        <v>1246267630</v>
      </c>
      <c r="AA577"/>
      <c r="AB577" t="s">
        <v>1186</v>
      </c>
      <c r="AC577">
        <v>102</v>
      </c>
      <c r="AD577">
        <v>4</v>
      </c>
      <c r="AE577" t="s">
        <v>15324</v>
      </c>
      <c r="AF577"/>
      <c r="AG577" s="23"/>
      <c r="AH577" s="265" t="str">
        <f>_xlfn.XLOOKUP(G577,Clientes!I:I,Clientes!F:F)</f>
        <v>GRUPO UNIFERTIL</v>
      </c>
    </row>
    <row r="578" spans="1:34" x14ac:dyDescent="0.25">
      <c r="A578">
        <v>161</v>
      </c>
      <c r="B578" t="s">
        <v>145</v>
      </c>
      <c r="C578"/>
      <c r="D578" s="23">
        <v>117467.01</v>
      </c>
      <c r="E578">
        <v>11433</v>
      </c>
      <c r="F578">
        <v>11</v>
      </c>
      <c r="G578">
        <v>1789</v>
      </c>
      <c r="H578" t="s">
        <v>61</v>
      </c>
      <c r="I578" s="23">
        <v>117467.01</v>
      </c>
      <c r="J578" s="185">
        <v>46160</v>
      </c>
      <c r="K578" s="185">
        <v>46160</v>
      </c>
      <c r="L578" s="185">
        <v>46250</v>
      </c>
      <c r="M578" s="185"/>
      <c r="N578"/>
      <c r="O578">
        <v>1010100</v>
      </c>
      <c r="P578" t="s">
        <v>29</v>
      </c>
      <c r="Q578">
        <v>200000100</v>
      </c>
      <c r="R578" t="s">
        <v>15322</v>
      </c>
      <c r="S578"/>
      <c r="T578" t="s">
        <v>15323</v>
      </c>
      <c r="U578" t="s">
        <v>4502</v>
      </c>
      <c r="V578" s="23">
        <v>0</v>
      </c>
      <c r="W578" s="23">
        <v>0</v>
      </c>
      <c r="X578" s="23">
        <v>0</v>
      </c>
      <c r="Y578"/>
      <c r="Z578">
        <v>1246275694</v>
      </c>
      <c r="AA578"/>
      <c r="AB578"/>
      <c r="AC578">
        <v>102</v>
      </c>
      <c r="AD578">
        <v>4</v>
      </c>
      <c r="AE578" t="s">
        <v>15324</v>
      </c>
      <c r="AF578"/>
      <c r="AG578" s="23"/>
      <c r="AH578" s="265" t="str">
        <f>_xlfn.XLOOKUP(G578,Clientes!I:I,Clientes!F:F)</f>
        <v>GRUPO MOSAIC FERTILIZANTES P K LTDA</v>
      </c>
    </row>
    <row r="579" spans="1:34" x14ac:dyDescent="0.25">
      <c r="A579">
        <v>161</v>
      </c>
      <c r="B579" t="s">
        <v>145</v>
      </c>
      <c r="C579"/>
      <c r="D579" s="23">
        <v>118009.58</v>
      </c>
      <c r="E579">
        <v>11526</v>
      </c>
      <c r="F579">
        <v>11</v>
      </c>
      <c r="G579">
        <v>1787</v>
      </c>
      <c r="H579" t="s">
        <v>57</v>
      </c>
      <c r="I579" s="23">
        <v>118009.58</v>
      </c>
      <c r="J579" s="185">
        <v>46169</v>
      </c>
      <c r="K579" s="185">
        <v>46169</v>
      </c>
      <c r="L579" s="185">
        <v>46259</v>
      </c>
      <c r="M579" s="185"/>
      <c r="N579"/>
      <c r="O579">
        <v>1010100</v>
      </c>
      <c r="P579" t="s">
        <v>29</v>
      </c>
      <c r="Q579">
        <v>200000100</v>
      </c>
      <c r="R579" t="s">
        <v>15322</v>
      </c>
      <c r="S579"/>
      <c r="T579" t="s">
        <v>15323</v>
      </c>
      <c r="U579" t="s">
        <v>5803</v>
      </c>
      <c r="V579" s="23">
        <v>0</v>
      </c>
      <c r="W579" s="23">
        <v>0</v>
      </c>
      <c r="X579" s="23">
        <v>0</v>
      </c>
      <c r="Y579"/>
      <c r="Z579">
        <v>1246277175</v>
      </c>
      <c r="AA579"/>
      <c r="AB579"/>
      <c r="AC579">
        <v>102</v>
      </c>
      <c r="AD579">
        <v>4</v>
      </c>
      <c r="AE579" t="s">
        <v>15324</v>
      </c>
      <c r="AF579"/>
      <c r="AG579" s="23"/>
      <c r="AH579" s="265" t="str">
        <f>_xlfn.XLOOKUP(G579,Clientes!I:I,Clientes!F:F)</f>
        <v>GRUPO MOSAIC FERTILIZANTES P K LTDA</v>
      </c>
    </row>
    <row r="580" spans="1:34" x14ac:dyDescent="0.25">
      <c r="A580">
        <v>161</v>
      </c>
      <c r="B580" t="s">
        <v>145</v>
      </c>
      <c r="C580"/>
      <c r="D580" s="23">
        <v>118009.58</v>
      </c>
      <c r="E580">
        <v>11478</v>
      </c>
      <c r="F580">
        <v>11</v>
      </c>
      <c r="G580">
        <v>1787</v>
      </c>
      <c r="H580" t="s">
        <v>57</v>
      </c>
      <c r="I580" s="23">
        <v>118009.58</v>
      </c>
      <c r="J580" s="185">
        <v>46164</v>
      </c>
      <c r="K580" s="185">
        <v>46164</v>
      </c>
      <c r="L580" s="185">
        <v>46254</v>
      </c>
      <c r="M580" s="185"/>
      <c r="N580"/>
      <c r="O580">
        <v>1010100</v>
      </c>
      <c r="P580" t="s">
        <v>29</v>
      </c>
      <c r="Q580">
        <v>200000100</v>
      </c>
      <c r="R580" t="s">
        <v>15322</v>
      </c>
      <c r="S580"/>
      <c r="T580" t="s">
        <v>15323</v>
      </c>
      <c r="U580" t="s">
        <v>4502</v>
      </c>
      <c r="V580" s="23">
        <v>0</v>
      </c>
      <c r="W580" s="23">
        <v>0</v>
      </c>
      <c r="X580" s="23">
        <v>0</v>
      </c>
      <c r="Y580"/>
      <c r="Z580">
        <v>1246276399</v>
      </c>
      <c r="AA580"/>
      <c r="AB580"/>
      <c r="AC580">
        <v>102</v>
      </c>
      <c r="AD580">
        <v>4</v>
      </c>
      <c r="AE580" t="s">
        <v>15324</v>
      </c>
      <c r="AF580"/>
      <c r="AG580" s="23"/>
      <c r="AH580" s="265" t="str">
        <f>_xlfn.XLOOKUP(G580,Clientes!I:I,Clientes!F:F)</f>
        <v>GRUPO MOSAIC FERTILIZANTES P K LTDA</v>
      </c>
    </row>
    <row r="581" spans="1:34" x14ac:dyDescent="0.25">
      <c r="A581">
        <v>161</v>
      </c>
      <c r="B581" t="s">
        <v>145</v>
      </c>
      <c r="C581"/>
      <c r="D581" s="23">
        <v>118092.47</v>
      </c>
      <c r="E581">
        <v>11561</v>
      </c>
      <c r="F581">
        <v>11</v>
      </c>
      <c r="G581">
        <v>1792</v>
      </c>
      <c r="H581" t="s">
        <v>697</v>
      </c>
      <c r="I581" s="23">
        <v>118092.47</v>
      </c>
      <c r="J581" s="185">
        <v>46171</v>
      </c>
      <c r="K581" s="185">
        <v>46171</v>
      </c>
      <c r="L581" s="185">
        <v>46261</v>
      </c>
      <c r="M581" s="185"/>
      <c r="N581"/>
      <c r="O581">
        <v>1010100</v>
      </c>
      <c r="P581" t="s">
        <v>29</v>
      </c>
      <c r="Q581">
        <v>200000100</v>
      </c>
      <c r="R581" t="s">
        <v>15322</v>
      </c>
      <c r="S581"/>
      <c r="T581" t="s">
        <v>15323</v>
      </c>
      <c r="U581" t="s">
        <v>5803</v>
      </c>
      <c r="V581" s="23">
        <v>0</v>
      </c>
      <c r="W581" s="23">
        <v>0</v>
      </c>
      <c r="X581" s="23">
        <v>0</v>
      </c>
      <c r="Y581"/>
      <c r="Z581">
        <v>1246277506</v>
      </c>
      <c r="AA581"/>
      <c r="AB581"/>
      <c r="AC581">
        <v>102</v>
      </c>
      <c r="AD581">
        <v>4</v>
      </c>
      <c r="AE581" t="s">
        <v>15324</v>
      </c>
      <c r="AF581"/>
      <c r="AG581" s="23"/>
      <c r="AH581" s="265" t="str">
        <f>_xlfn.XLOOKUP(G581,Clientes!I:I,Clientes!F:F)</f>
        <v>GRUPO MOSAIC FERTILIZANTES P K LTDA</v>
      </c>
    </row>
    <row r="582" spans="1:34" x14ac:dyDescent="0.25">
      <c r="A582">
        <v>161</v>
      </c>
      <c r="B582" t="s">
        <v>145</v>
      </c>
      <c r="C582"/>
      <c r="D582" s="23">
        <v>118302.9</v>
      </c>
      <c r="E582">
        <v>10803</v>
      </c>
      <c r="F582">
        <v>11</v>
      </c>
      <c r="G582">
        <v>1792</v>
      </c>
      <c r="H582" t="s">
        <v>697</v>
      </c>
      <c r="I582" s="23">
        <v>118302.9</v>
      </c>
      <c r="J582" s="185">
        <v>46084</v>
      </c>
      <c r="K582" s="185">
        <v>46084</v>
      </c>
      <c r="L582" s="185">
        <v>46174</v>
      </c>
      <c r="M582" s="185">
        <v>46174</v>
      </c>
      <c r="N582"/>
      <c r="O582">
        <v>1010100</v>
      </c>
      <c r="P582" t="s">
        <v>29</v>
      </c>
      <c r="Q582">
        <v>200000100</v>
      </c>
      <c r="R582" t="s">
        <v>15322</v>
      </c>
      <c r="S582"/>
      <c r="T582" t="s">
        <v>15323</v>
      </c>
      <c r="U582" t="s">
        <v>2246</v>
      </c>
      <c r="V582" s="23">
        <v>0</v>
      </c>
      <c r="W582" s="23">
        <v>0</v>
      </c>
      <c r="X582" s="23">
        <v>0</v>
      </c>
      <c r="Y582"/>
      <c r="Z582">
        <v>1246266107</v>
      </c>
      <c r="AA582"/>
      <c r="AB582" t="s">
        <v>1199</v>
      </c>
      <c r="AC582">
        <v>102</v>
      </c>
      <c r="AD582">
        <v>4</v>
      </c>
      <c r="AE582" t="s">
        <v>15324</v>
      </c>
      <c r="AF582"/>
      <c r="AG582" s="23"/>
      <c r="AH582" s="265" t="str">
        <f>_xlfn.XLOOKUP(G582,Clientes!I:I,Clientes!F:F)</f>
        <v>GRUPO MOSAIC FERTILIZANTES P K LTDA</v>
      </c>
    </row>
    <row r="583" spans="1:34" x14ac:dyDescent="0.25">
      <c r="A583">
        <v>161</v>
      </c>
      <c r="B583" t="s">
        <v>145</v>
      </c>
      <c r="C583"/>
      <c r="D583" s="23">
        <v>118480</v>
      </c>
      <c r="E583">
        <v>2660</v>
      </c>
      <c r="F583">
        <v>13</v>
      </c>
      <c r="G583">
        <v>3142</v>
      </c>
      <c r="H583" t="s">
        <v>78</v>
      </c>
      <c r="I583" s="23">
        <v>118480</v>
      </c>
      <c r="J583" s="185">
        <v>46034</v>
      </c>
      <c r="K583" s="185">
        <v>46034</v>
      </c>
      <c r="L583" s="185">
        <v>46062</v>
      </c>
      <c r="M583" s="185">
        <v>46062</v>
      </c>
      <c r="N583"/>
      <c r="O583">
        <v>1010100</v>
      </c>
      <c r="P583" t="s">
        <v>29</v>
      </c>
      <c r="Q583">
        <v>200000100</v>
      </c>
      <c r="R583" t="s">
        <v>15322</v>
      </c>
      <c r="S583"/>
      <c r="T583" t="s">
        <v>15323</v>
      </c>
      <c r="U583" t="s">
        <v>6311</v>
      </c>
      <c r="V583" s="23">
        <v>0</v>
      </c>
      <c r="W583" s="23">
        <v>0</v>
      </c>
      <c r="X583" s="23">
        <v>0</v>
      </c>
      <c r="Y583"/>
      <c r="Z583">
        <v>1246259160</v>
      </c>
      <c r="AA583"/>
      <c r="AB583" t="s">
        <v>1186</v>
      </c>
      <c r="AC583">
        <v>102</v>
      </c>
      <c r="AD583">
        <v>4</v>
      </c>
      <c r="AE583" t="s">
        <v>15324</v>
      </c>
      <c r="AF583"/>
      <c r="AG583" s="23"/>
      <c r="AH583" s="265" t="str">
        <f>_xlfn.XLOOKUP(G583,Clientes!I:I,Clientes!F:F)</f>
        <v>INTERFERTIL - SAO FRANCISCO DO SUL</v>
      </c>
    </row>
    <row r="584" spans="1:34" x14ac:dyDescent="0.25">
      <c r="A584">
        <v>161</v>
      </c>
      <c r="B584" t="s">
        <v>145</v>
      </c>
      <c r="C584"/>
      <c r="D584" s="23">
        <v>118553.1</v>
      </c>
      <c r="E584">
        <v>10776</v>
      </c>
      <c r="F584">
        <v>11</v>
      </c>
      <c r="G584">
        <v>1792</v>
      </c>
      <c r="H584" t="s">
        <v>697</v>
      </c>
      <c r="I584" s="23">
        <v>118553.1</v>
      </c>
      <c r="J584" s="185">
        <v>46079</v>
      </c>
      <c r="K584" s="185">
        <v>46079</v>
      </c>
      <c r="L584" s="185">
        <v>46169</v>
      </c>
      <c r="M584" s="185">
        <v>46169</v>
      </c>
      <c r="N584"/>
      <c r="O584">
        <v>1010100</v>
      </c>
      <c r="P584" t="s">
        <v>29</v>
      </c>
      <c r="Q584">
        <v>200000100</v>
      </c>
      <c r="R584" t="s">
        <v>15322</v>
      </c>
      <c r="S584"/>
      <c r="T584" t="s">
        <v>15323</v>
      </c>
      <c r="U584" t="s">
        <v>1964</v>
      </c>
      <c r="V584" s="23">
        <v>0</v>
      </c>
      <c r="W584" s="23">
        <v>0</v>
      </c>
      <c r="X584" s="23">
        <v>0</v>
      </c>
      <c r="Y584"/>
      <c r="Z584">
        <v>1246265418</v>
      </c>
      <c r="AA584"/>
      <c r="AB584" t="s">
        <v>1199</v>
      </c>
      <c r="AC584">
        <v>102</v>
      </c>
      <c r="AD584">
        <v>4</v>
      </c>
      <c r="AE584" t="s">
        <v>15324</v>
      </c>
      <c r="AF584"/>
      <c r="AG584" s="23"/>
      <c r="AH584" s="265" t="str">
        <f>_xlfn.XLOOKUP(G584,Clientes!I:I,Clientes!F:F)</f>
        <v>GRUPO MOSAIC FERTILIZANTES P K LTDA</v>
      </c>
    </row>
    <row r="585" spans="1:34" x14ac:dyDescent="0.25">
      <c r="A585">
        <v>161</v>
      </c>
      <c r="B585" t="s">
        <v>145</v>
      </c>
      <c r="C585"/>
      <c r="D585" s="23">
        <v>118681.67</v>
      </c>
      <c r="E585">
        <v>11404</v>
      </c>
      <c r="F585">
        <v>11</v>
      </c>
      <c r="G585">
        <v>1792</v>
      </c>
      <c r="H585" t="s">
        <v>697</v>
      </c>
      <c r="I585" s="23">
        <v>118681.67</v>
      </c>
      <c r="J585" s="185">
        <v>46157</v>
      </c>
      <c r="K585" s="185">
        <v>46157</v>
      </c>
      <c r="L585" s="185">
        <v>46247</v>
      </c>
      <c r="M585" s="185"/>
      <c r="N585"/>
      <c r="O585">
        <v>1010100</v>
      </c>
      <c r="P585" t="s">
        <v>29</v>
      </c>
      <c r="Q585">
        <v>200000100</v>
      </c>
      <c r="R585" t="s">
        <v>15322</v>
      </c>
      <c r="S585"/>
      <c r="T585" t="s">
        <v>15323</v>
      </c>
      <c r="U585" t="s">
        <v>5803</v>
      </c>
      <c r="V585" s="23">
        <v>0</v>
      </c>
      <c r="W585" s="23">
        <v>0</v>
      </c>
      <c r="X585" s="23">
        <v>0</v>
      </c>
      <c r="Y585"/>
      <c r="Z585">
        <v>1246275366</v>
      </c>
      <c r="AA585"/>
      <c r="AB585"/>
      <c r="AC585">
        <v>102</v>
      </c>
      <c r="AD585">
        <v>4</v>
      </c>
      <c r="AE585" t="s">
        <v>15324</v>
      </c>
      <c r="AF585"/>
      <c r="AG585" s="23"/>
      <c r="AH585" s="265" t="str">
        <f>_xlfn.XLOOKUP(G585,Clientes!I:I,Clientes!F:F)</f>
        <v>GRUPO MOSAIC FERTILIZANTES P K LTDA</v>
      </c>
    </row>
    <row r="586" spans="1:34" x14ac:dyDescent="0.25">
      <c r="A586">
        <v>161</v>
      </c>
      <c r="B586" t="s">
        <v>145</v>
      </c>
      <c r="C586"/>
      <c r="D586" s="23">
        <v>118707.18</v>
      </c>
      <c r="E586">
        <v>11489</v>
      </c>
      <c r="F586">
        <v>11</v>
      </c>
      <c r="G586">
        <v>1787</v>
      </c>
      <c r="H586" t="s">
        <v>57</v>
      </c>
      <c r="I586" s="23">
        <v>118707.18</v>
      </c>
      <c r="J586" s="185">
        <v>46167</v>
      </c>
      <c r="K586" s="185">
        <v>46167</v>
      </c>
      <c r="L586" s="185">
        <v>46257</v>
      </c>
      <c r="M586" s="185"/>
      <c r="N586"/>
      <c r="O586">
        <v>1010100</v>
      </c>
      <c r="P586" t="s">
        <v>29</v>
      </c>
      <c r="Q586">
        <v>200000100</v>
      </c>
      <c r="R586" t="s">
        <v>15322</v>
      </c>
      <c r="S586"/>
      <c r="T586" t="s">
        <v>15323</v>
      </c>
      <c r="U586" t="s">
        <v>5803</v>
      </c>
      <c r="V586" s="23">
        <v>0</v>
      </c>
      <c r="W586" s="23">
        <v>0</v>
      </c>
      <c r="X586" s="23">
        <v>0</v>
      </c>
      <c r="Y586"/>
      <c r="Z586">
        <v>1246276536</v>
      </c>
      <c r="AA586"/>
      <c r="AB586"/>
      <c r="AC586">
        <v>102</v>
      </c>
      <c r="AD586">
        <v>4</v>
      </c>
      <c r="AE586" t="s">
        <v>15324</v>
      </c>
      <c r="AF586"/>
      <c r="AG586" s="23"/>
      <c r="AH586" s="265" t="str">
        <f>_xlfn.XLOOKUP(G586,Clientes!I:I,Clientes!F:F)</f>
        <v>GRUPO MOSAIC FERTILIZANTES P K LTDA</v>
      </c>
    </row>
    <row r="587" spans="1:34" x14ac:dyDescent="0.25">
      <c r="A587">
        <v>40</v>
      </c>
      <c r="B587" t="s">
        <v>155</v>
      </c>
      <c r="C587"/>
      <c r="D587" s="23">
        <v>118833.22</v>
      </c>
      <c r="E587">
        <v>11641</v>
      </c>
      <c r="F587">
        <v>11</v>
      </c>
      <c r="G587">
        <v>2696</v>
      </c>
      <c r="H587" t="s">
        <v>119</v>
      </c>
      <c r="I587" s="23">
        <v>118833.22</v>
      </c>
      <c r="J587" s="185">
        <v>46181</v>
      </c>
      <c r="K587" s="185">
        <v>46181</v>
      </c>
      <c r="L587" s="185">
        <v>46271</v>
      </c>
      <c r="M587" s="185"/>
      <c r="N587"/>
      <c r="O587">
        <v>1010200</v>
      </c>
      <c r="P587" t="s">
        <v>113</v>
      </c>
      <c r="Q587">
        <v>200000100</v>
      </c>
      <c r="R587" t="s">
        <v>15322</v>
      </c>
      <c r="S587"/>
      <c r="T587" t="s">
        <v>15323</v>
      </c>
      <c r="U587" t="s">
        <v>4502</v>
      </c>
      <c r="V587" s="23">
        <v>0</v>
      </c>
      <c r="W587" s="23">
        <v>0</v>
      </c>
      <c r="X587" s="23">
        <v>0</v>
      </c>
      <c r="Y587"/>
      <c r="Z587">
        <v>1246278569</v>
      </c>
      <c r="AA587"/>
      <c r="AB587"/>
      <c r="AC587">
        <v>125</v>
      </c>
      <c r="AD587">
        <v>4</v>
      </c>
      <c r="AE587" t="s">
        <v>15324</v>
      </c>
      <c r="AF587"/>
      <c r="AG587" s="23"/>
      <c r="AH587" s="265" t="str">
        <f>_xlfn.XLOOKUP(G587,Clientes!I:I,Clientes!F:F)</f>
        <v>MOSAIC FERTILIZANTES PARAGUAY S.R.L.</v>
      </c>
    </row>
    <row r="588" spans="1:34" x14ac:dyDescent="0.25">
      <c r="A588">
        <v>161</v>
      </c>
      <c r="B588" t="s">
        <v>145</v>
      </c>
      <c r="C588"/>
      <c r="D588" s="23">
        <v>118845</v>
      </c>
      <c r="E588">
        <v>10975</v>
      </c>
      <c r="F588">
        <v>11</v>
      </c>
      <c r="G588">
        <v>1792</v>
      </c>
      <c r="H588" t="s">
        <v>697</v>
      </c>
      <c r="I588" s="23">
        <v>118845</v>
      </c>
      <c r="J588" s="185">
        <v>46106</v>
      </c>
      <c r="K588" s="185">
        <v>46106</v>
      </c>
      <c r="L588" s="185">
        <v>46196</v>
      </c>
      <c r="M588" s="185">
        <v>46196</v>
      </c>
      <c r="N588"/>
      <c r="O588">
        <v>1010100</v>
      </c>
      <c r="P588" t="s">
        <v>29</v>
      </c>
      <c r="Q588">
        <v>200000100</v>
      </c>
      <c r="R588" t="s">
        <v>15322</v>
      </c>
      <c r="S588"/>
      <c r="T588" t="s">
        <v>15323</v>
      </c>
      <c r="U588" t="s">
        <v>2246</v>
      </c>
      <c r="V588" s="23">
        <v>0</v>
      </c>
      <c r="W588" s="23">
        <v>0</v>
      </c>
      <c r="X588" s="23">
        <v>0</v>
      </c>
      <c r="Y588"/>
      <c r="Z588">
        <v>1246269004</v>
      </c>
      <c r="AA588"/>
      <c r="AB588" t="s">
        <v>1199</v>
      </c>
      <c r="AC588">
        <v>102</v>
      </c>
      <c r="AD588">
        <v>4</v>
      </c>
      <c r="AE588" t="s">
        <v>15324</v>
      </c>
      <c r="AF588"/>
      <c r="AG588" s="23"/>
      <c r="AH588" s="265" t="str">
        <f>_xlfn.XLOOKUP(G588,Clientes!I:I,Clientes!F:F)</f>
        <v>GRUPO MOSAIC FERTILIZANTES P K LTDA</v>
      </c>
    </row>
    <row r="589" spans="1:34" x14ac:dyDescent="0.25">
      <c r="A589">
        <v>161</v>
      </c>
      <c r="B589" t="s">
        <v>145</v>
      </c>
      <c r="C589"/>
      <c r="D589" s="23">
        <v>118892.1</v>
      </c>
      <c r="E589">
        <v>11472</v>
      </c>
      <c r="F589">
        <v>11</v>
      </c>
      <c r="G589">
        <v>1792</v>
      </c>
      <c r="H589" t="s">
        <v>697</v>
      </c>
      <c r="I589" s="23">
        <v>118892.1</v>
      </c>
      <c r="J589" s="185">
        <v>46164</v>
      </c>
      <c r="K589" s="185">
        <v>46164</v>
      </c>
      <c r="L589" s="185">
        <v>46254</v>
      </c>
      <c r="M589" s="185"/>
      <c r="N589"/>
      <c r="O589">
        <v>1010100</v>
      </c>
      <c r="P589" t="s">
        <v>29</v>
      </c>
      <c r="Q589">
        <v>200000100</v>
      </c>
      <c r="R589" t="s">
        <v>15322</v>
      </c>
      <c r="S589"/>
      <c r="T589" t="s">
        <v>15323</v>
      </c>
      <c r="U589" t="s">
        <v>1530</v>
      </c>
      <c r="V589" s="23">
        <v>0</v>
      </c>
      <c r="W589" s="23">
        <v>0</v>
      </c>
      <c r="X589" s="23">
        <v>0</v>
      </c>
      <c r="Y589"/>
      <c r="Z589">
        <v>1246276278</v>
      </c>
      <c r="AA589"/>
      <c r="AB589"/>
      <c r="AC589">
        <v>102</v>
      </c>
      <c r="AD589">
        <v>4</v>
      </c>
      <c r="AE589" t="s">
        <v>15324</v>
      </c>
      <c r="AF589"/>
      <c r="AG589" s="23"/>
      <c r="AH589" s="265" t="str">
        <f>_xlfn.XLOOKUP(G589,Clientes!I:I,Clientes!F:F)</f>
        <v>GRUPO MOSAIC FERTILIZANTES P K LTDA</v>
      </c>
    </row>
    <row r="590" spans="1:34" x14ac:dyDescent="0.25">
      <c r="A590">
        <v>40</v>
      </c>
      <c r="B590" t="s">
        <v>155</v>
      </c>
      <c r="C590"/>
      <c r="D590" s="23">
        <v>119098.19</v>
      </c>
      <c r="E590">
        <v>10797</v>
      </c>
      <c r="F590">
        <v>11</v>
      </c>
      <c r="G590">
        <v>2696</v>
      </c>
      <c r="H590" t="s">
        <v>119</v>
      </c>
      <c r="I590" s="23">
        <v>119098.19</v>
      </c>
      <c r="J590" s="185">
        <v>46083</v>
      </c>
      <c r="K590" s="185">
        <v>46083</v>
      </c>
      <c r="L590" s="185">
        <v>46143</v>
      </c>
      <c r="M590" s="185">
        <v>46136</v>
      </c>
      <c r="N590"/>
      <c r="O590">
        <v>1010200</v>
      </c>
      <c r="P590" t="s">
        <v>113</v>
      </c>
      <c r="Q590">
        <v>200000100</v>
      </c>
      <c r="R590" t="s">
        <v>15322</v>
      </c>
      <c r="S590"/>
      <c r="T590" t="s">
        <v>15323</v>
      </c>
      <c r="U590" t="s">
        <v>1199</v>
      </c>
      <c r="V590" s="23">
        <v>0</v>
      </c>
      <c r="W590" s="23">
        <v>0</v>
      </c>
      <c r="X590" s="23">
        <v>0</v>
      </c>
      <c r="Y590"/>
      <c r="Z590">
        <v>1246265986</v>
      </c>
      <c r="AA590"/>
      <c r="AB590" t="s">
        <v>1199</v>
      </c>
      <c r="AC590">
        <v>125</v>
      </c>
      <c r="AD590">
        <v>4</v>
      </c>
      <c r="AE590" t="s">
        <v>15324</v>
      </c>
      <c r="AF590" t="s">
        <v>15360</v>
      </c>
      <c r="AG590" s="23">
        <v>23130.799999999999</v>
      </c>
      <c r="AH590" s="265" t="str">
        <f>_xlfn.XLOOKUP(G590,Clientes!I:I,Clientes!F:F)</f>
        <v>MOSAIC FERTILIZANTES PARAGUAY S.R.L.</v>
      </c>
    </row>
    <row r="591" spans="1:34" x14ac:dyDescent="0.25">
      <c r="A591">
        <v>161</v>
      </c>
      <c r="B591" t="s">
        <v>145</v>
      </c>
      <c r="C591"/>
      <c r="D591" s="23">
        <v>120000</v>
      </c>
      <c r="E591">
        <v>2861</v>
      </c>
      <c r="F591">
        <v>13</v>
      </c>
      <c r="G591">
        <v>31</v>
      </c>
      <c r="H591" t="s">
        <v>261</v>
      </c>
      <c r="I591" s="23">
        <v>120000</v>
      </c>
      <c r="J591" s="185">
        <v>46113</v>
      </c>
      <c r="K591" s="185">
        <v>46113</v>
      </c>
      <c r="L591" s="185">
        <v>46141</v>
      </c>
      <c r="M591" s="185">
        <v>46141</v>
      </c>
      <c r="N591"/>
      <c r="O591">
        <v>1010100</v>
      </c>
      <c r="P591" t="s">
        <v>29</v>
      </c>
      <c r="Q591">
        <v>200000100</v>
      </c>
      <c r="R591" t="s">
        <v>15322</v>
      </c>
      <c r="S591"/>
      <c r="T591" t="s">
        <v>15323</v>
      </c>
      <c r="U591" t="s">
        <v>6311</v>
      </c>
      <c r="V591" s="23">
        <v>0</v>
      </c>
      <c r="W591" s="23">
        <v>0</v>
      </c>
      <c r="X591" s="23">
        <v>0</v>
      </c>
      <c r="Y591"/>
      <c r="Z591">
        <v>1246269899</v>
      </c>
      <c r="AA591"/>
      <c r="AB591" t="s">
        <v>1186</v>
      </c>
      <c r="AC591">
        <v>102</v>
      </c>
      <c r="AD591">
        <v>4</v>
      </c>
      <c r="AE591" t="s">
        <v>15324</v>
      </c>
      <c r="AF591"/>
      <c r="AG591" s="23"/>
      <c r="AH591" s="265" t="str">
        <f>_xlfn.XLOOKUP(G591,Clientes!I:I,Clientes!F:F)</f>
        <v>SUL GOIANA - GOIATUBA</v>
      </c>
    </row>
    <row r="592" spans="1:34" x14ac:dyDescent="0.25">
      <c r="A592">
        <v>161</v>
      </c>
      <c r="B592" t="s">
        <v>145</v>
      </c>
      <c r="C592"/>
      <c r="D592" s="23">
        <v>120170</v>
      </c>
      <c r="E592">
        <v>11569</v>
      </c>
      <c r="F592">
        <v>11</v>
      </c>
      <c r="G592">
        <v>6477</v>
      </c>
      <c r="H592" t="s">
        <v>87</v>
      </c>
      <c r="I592" s="23">
        <v>120170</v>
      </c>
      <c r="J592" s="185">
        <v>46174</v>
      </c>
      <c r="K592" s="185">
        <v>46174</v>
      </c>
      <c r="L592" s="185">
        <v>46264</v>
      </c>
      <c r="M592" s="185"/>
      <c r="N592"/>
      <c r="O592">
        <v>1010100</v>
      </c>
      <c r="P592" t="s">
        <v>29</v>
      </c>
      <c r="Q592">
        <v>200000100</v>
      </c>
      <c r="R592" t="s">
        <v>15322</v>
      </c>
      <c r="S592"/>
      <c r="T592" t="s">
        <v>15323</v>
      </c>
      <c r="U592" t="s">
        <v>4468</v>
      </c>
      <c r="V592" s="23">
        <v>0</v>
      </c>
      <c r="W592" s="23">
        <v>0</v>
      </c>
      <c r="X592" s="23">
        <v>0</v>
      </c>
      <c r="Y592"/>
      <c r="Z592">
        <v>1246277591</v>
      </c>
      <c r="AA592"/>
      <c r="AB592"/>
      <c r="AC592">
        <v>102</v>
      </c>
      <c r="AD592">
        <v>4</v>
      </c>
      <c r="AE592" t="s">
        <v>15324</v>
      </c>
      <c r="AF592"/>
      <c r="AG592" s="23"/>
      <c r="AH592" s="265" t="str">
        <f>_xlfn.XLOOKUP(G592,Clientes!I:I,Clientes!F:F)</f>
        <v>GRUPO MOSAIC FERTILIZANTES DO BRASIL</v>
      </c>
    </row>
    <row r="593" spans="1:34" x14ac:dyDescent="0.25">
      <c r="A593">
        <v>161</v>
      </c>
      <c r="B593" t="s">
        <v>145</v>
      </c>
      <c r="C593"/>
      <c r="D593" s="23">
        <v>120471.3</v>
      </c>
      <c r="E593">
        <v>11190</v>
      </c>
      <c r="F593">
        <v>11</v>
      </c>
      <c r="G593">
        <v>1792</v>
      </c>
      <c r="H593" t="s">
        <v>697</v>
      </c>
      <c r="I593" s="23">
        <v>120471.3</v>
      </c>
      <c r="J593" s="185">
        <v>46134</v>
      </c>
      <c r="K593" s="185">
        <v>46134</v>
      </c>
      <c r="L593" s="185">
        <v>46224</v>
      </c>
      <c r="M593" s="185"/>
      <c r="N593"/>
      <c r="O593">
        <v>1010100</v>
      </c>
      <c r="P593" t="s">
        <v>29</v>
      </c>
      <c r="Q593">
        <v>200000100</v>
      </c>
      <c r="R593" t="s">
        <v>15322</v>
      </c>
      <c r="S593"/>
      <c r="T593" t="s">
        <v>15323</v>
      </c>
      <c r="U593" t="s">
        <v>4502</v>
      </c>
      <c r="V593" s="23">
        <v>0</v>
      </c>
      <c r="W593" s="23">
        <v>0</v>
      </c>
      <c r="X593" s="23">
        <v>0</v>
      </c>
      <c r="Y593"/>
      <c r="Z593">
        <v>1246272043</v>
      </c>
      <c r="AA593"/>
      <c r="AB593"/>
      <c r="AC593">
        <v>102</v>
      </c>
      <c r="AD593">
        <v>4</v>
      </c>
      <c r="AE593" t="s">
        <v>15324</v>
      </c>
      <c r="AF593"/>
      <c r="AG593" s="23"/>
      <c r="AH593" s="265" t="str">
        <f>_xlfn.XLOOKUP(G593,Clientes!I:I,Clientes!F:F)</f>
        <v>GRUPO MOSAIC FERTILIZANTES P K LTDA</v>
      </c>
    </row>
    <row r="594" spans="1:34" x14ac:dyDescent="0.25">
      <c r="A594">
        <v>161</v>
      </c>
      <c r="B594" t="s">
        <v>145</v>
      </c>
      <c r="C594"/>
      <c r="D594" s="23">
        <v>120475</v>
      </c>
      <c r="E594">
        <v>11705</v>
      </c>
      <c r="F594">
        <v>11</v>
      </c>
      <c r="G594">
        <v>6477</v>
      </c>
      <c r="H594" t="s">
        <v>87</v>
      </c>
      <c r="I594" s="23">
        <v>120475</v>
      </c>
      <c r="J594" s="185">
        <v>46185</v>
      </c>
      <c r="K594" s="185">
        <v>46185</v>
      </c>
      <c r="L594" s="185">
        <v>46275</v>
      </c>
      <c r="M594" s="185"/>
      <c r="N594"/>
      <c r="O594">
        <v>1010100</v>
      </c>
      <c r="P594" t="s">
        <v>29</v>
      </c>
      <c r="Q594">
        <v>200000100</v>
      </c>
      <c r="R594" t="s">
        <v>15322</v>
      </c>
      <c r="S594"/>
      <c r="T594" t="s">
        <v>15323</v>
      </c>
      <c r="U594" t="s">
        <v>4502</v>
      </c>
      <c r="V594" s="23">
        <v>0</v>
      </c>
      <c r="W594" s="23">
        <v>0</v>
      </c>
      <c r="X594" s="23">
        <v>0</v>
      </c>
      <c r="Y594"/>
      <c r="Z594">
        <v>1246279407</v>
      </c>
      <c r="AA594"/>
      <c r="AB594"/>
      <c r="AC594">
        <v>102</v>
      </c>
      <c r="AD594">
        <v>4</v>
      </c>
      <c r="AE594" t="s">
        <v>15324</v>
      </c>
      <c r="AF594"/>
      <c r="AG594" s="23"/>
      <c r="AH594" s="265" t="str">
        <f>_xlfn.XLOOKUP(G594,Clientes!I:I,Clientes!F:F)</f>
        <v>GRUPO MOSAIC FERTILIZANTES DO BRASIL</v>
      </c>
    </row>
    <row r="595" spans="1:34" x14ac:dyDescent="0.25">
      <c r="A595">
        <v>161</v>
      </c>
      <c r="B595" t="s">
        <v>145</v>
      </c>
      <c r="C595"/>
      <c r="D595" s="23">
        <v>121852</v>
      </c>
      <c r="E595">
        <v>10994</v>
      </c>
      <c r="F595">
        <v>11</v>
      </c>
      <c r="G595">
        <v>6177</v>
      </c>
      <c r="H595" t="s">
        <v>633</v>
      </c>
      <c r="I595" s="23">
        <v>121852</v>
      </c>
      <c r="J595" s="185">
        <v>46108</v>
      </c>
      <c r="K595" s="185">
        <v>46108</v>
      </c>
      <c r="L595" s="185">
        <v>46168</v>
      </c>
      <c r="M595" s="185">
        <v>46168</v>
      </c>
      <c r="N595"/>
      <c r="O595">
        <v>1010100</v>
      </c>
      <c r="P595" t="s">
        <v>29</v>
      </c>
      <c r="Q595">
        <v>200000100</v>
      </c>
      <c r="R595" t="s">
        <v>15322</v>
      </c>
      <c r="S595"/>
      <c r="T595" t="s">
        <v>15323</v>
      </c>
      <c r="U595" t="s">
        <v>6311</v>
      </c>
      <c r="V595" s="23">
        <v>0</v>
      </c>
      <c r="W595" s="23">
        <v>0</v>
      </c>
      <c r="X595" s="23">
        <v>0</v>
      </c>
      <c r="Y595"/>
      <c r="Z595">
        <v>1246269467</v>
      </c>
      <c r="AA595"/>
      <c r="AB595" t="s">
        <v>1186</v>
      </c>
      <c r="AC595">
        <v>102</v>
      </c>
      <c r="AD595">
        <v>4</v>
      </c>
      <c r="AE595" t="s">
        <v>15324</v>
      </c>
      <c r="AF595"/>
      <c r="AG595" s="23"/>
      <c r="AH595" s="265" t="str">
        <f>_xlfn.XLOOKUP(G595,Clientes!I:I,Clientes!F:F)</f>
        <v>NUTRIENTES IND DE FERTILIZANTES LTDA</v>
      </c>
    </row>
    <row r="596" spans="1:34" x14ac:dyDescent="0.25">
      <c r="A596">
        <v>161</v>
      </c>
      <c r="B596" t="s">
        <v>145</v>
      </c>
      <c r="C596"/>
      <c r="D596" s="23">
        <v>121878</v>
      </c>
      <c r="E596">
        <v>11617</v>
      </c>
      <c r="F596">
        <v>11</v>
      </c>
      <c r="G596">
        <v>6477</v>
      </c>
      <c r="H596" t="s">
        <v>87</v>
      </c>
      <c r="I596" s="23">
        <v>121878</v>
      </c>
      <c r="J596" s="185">
        <v>46178</v>
      </c>
      <c r="K596" s="185">
        <v>46178</v>
      </c>
      <c r="L596" s="185">
        <v>46268</v>
      </c>
      <c r="M596" s="185"/>
      <c r="N596"/>
      <c r="O596">
        <v>1010100</v>
      </c>
      <c r="P596" t="s">
        <v>29</v>
      </c>
      <c r="Q596">
        <v>200000100</v>
      </c>
      <c r="R596" t="s">
        <v>15322</v>
      </c>
      <c r="S596"/>
      <c r="T596" t="s">
        <v>15323</v>
      </c>
      <c r="U596" t="s">
        <v>1216</v>
      </c>
      <c r="V596" s="23">
        <v>0</v>
      </c>
      <c r="W596" s="23">
        <v>0</v>
      </c>
      <c r="X596" s="23">
        <v>0</v>
      </c>
      <c r="Y596"/>
      <c r="Z596">
        <v>1246278399</v>
      </c>
      <c r="AA596"/>
      <c r="AB596"/>
      <c r="AC596">
        <v>102</v>
      </c>
      <c r="AD596">
        <v>4</v>
      </c>
      <c r="AE596" t="s">
        <v>15324</v>
      </c>
      <c r="AF596"/>
      <c r="AG596" s="23"/>
      <c r="AH596" s="265" t="str">
        <f>_xlfn.XLOOKUP(G596,Clientes!I:I,Clientes!F:F)</f>
        <v>GRUPO MOSAIC FERTILIZANTES DO BRASIL</v>
      </c>
    </row>
    <row r="597" spans="1:34" x14ac:dyDescent="0.25">
      <c r="A597">
        <v>161</v>
      </c>
      <c r="B597" t="s">
        <v>145</v>
      </c>
      <c r="C597"/>
      <c r="D597" s="23">
        <v>122000</v>
      </c>
      <c r="E597">
        <v>11762</v>
      </c>
      <c r="F597">
        <v>11</v>
      </c>
      <c r="G597">
        <v>6477</v>
      </c>
      <c r="H597" t="s">
        <v>87</v>
      </c>
      <c r="I597" s="23">
        <v>122000</v>
      </c>
      <c r="J597" s="185">
        <v>46192</v>
      </c>
      <c r="K597" s="185">
        <v>46192</v>
      </c>
      <c r="L597" s="185">
        <v>46282</v>
      </c>
      <c r="M597" s="185"/>
      <c r="N597"/>
      <c r="O597">
        <v>1010100</v>
      </c>
      <c r="P597" t="s">
        <v>29</v>
      </c>
      <c r="Q597">
        <v>200000100</v>
      </c>
      <c r="R597" t="s">
        <v>15322</v>
      </c>
      <c r="S597"/>
      <c r="T597" t="s">
        <v>15323</v>
      </c>
      <c r="U597" t="s">
        <v>1216</v>
      </c>
      <c r="V597" s="23">
        <v>0</v>
      </c>
      <c r="W597" s="23">
        <v>0</v>
      </c>
      <c r="X597" s="23">
        <v>0</v>
      </c>
      <c r="Y597"/>
      <c r="Z597">
        <v>1246280250</v>
      </c>
      <c r="AA597"/>
      <c r="AB597"/>
      <c r="AC597">
        <v>102</v>
      </c>
      <c r="AD597">
        <v>4</v>
      </c>
      <c r="AE597" t="s">
        <v>15324</v>
      </c>
      <c r="AF597"/>
      <c r="AG597" s="23"/>
      <c r="AH597" s="265" t="str">
        <f>_xlfn.XLOOKUP(G597,Clientes!I:I,Clientes!F:F)</f>
        <v>GRUPO MOSAIC FERTILIZANTES DO BRASIL</v>
      </c>
    </row>
    <row r="598" spans="1:34" x14ac:dyDescent="0.25">
      <c r="A598">
        <v>161</v>
      </c>
      <c r="B598" t="s">
        <v>145</v>
      </c>
      <c r="C598"/>
      <c r="D598" s="23">
        <v>122099.76</v>
      </c>
      <c r="E598">
        <v>11744</v>
      </c>
      <c r="F598">
        <v>11</v>
      </c>
      <c r="G598">
        <v>1792</v>
      </c>
      <c r="H598" t="s">
        <v>697</v>
      </c>
      <c r="I598" s="23">
        <v>122099.76</v>
      </c>
      <c r="J598" s="185">
        <v>46191</v>
      </c>
      <c r="K598" s="185">
        <v>46191</v>
      </c>
      <c r="L598" s="185">
        <v>46281</v>
      </c>
      <c r="M598" s="185"/>
      <c r="N598"/>
      <c r="O598">
        <v>1010100</v>
      </c>
      <c r="P598" t="s">
        <v>29</v>
      </c>
      <c r="Q598">
        <v>200000100</v>
      </c>
      <c r="R598" t="s">
        <v>15322</v>
      </c>
      <c r="S598"/>
      <c r="T598" t="s">
        <v>15323</v>
      </c>
      <c r="U598" t="s">
        <v>1530</v>
      </c>
      <c r="V598" s="23">
        <v>0</v>
      </c>
      <c r="W598" s="23">
        <v>0</v>
      </c>
      <c r="X598" s="23">
        <v>0</v>
      </c>
      <c r="Y598"/>
      <c r="Z598">
        <v>1246280065</v>
      </c>
      <c r="AA598"/>
      <c r="AB598"/>
      <c r="AC598">
        <v>102</v>
      </c>
      <c r="AD598">
        <v>4</v>
      </c>
      <c r="AE598" t="s">
        <v>15324</v>
      </c>
      <c r="AF598"/>
      <c r="AG598" s="23"/>
      <c r="AH598" s="265" t="str">
        <f>_xlfn.XLOOKUP(G598,Clientes!I:I,Clientes!F:F)</f>
        <v>GRUPO MOSAIC FERTILIZANTES P K LTDA</v>
      </c>
    </row>
    <row r="599" spans="1:34" x14ac:dyDescent="0.25">
      <c r="A599">
        <v>161</v>
      </c>
      <c r="B599" t="s">
        <v>145</v>
      </c>
      <c r="C599"/>
      <c r="D599" s="23">
        <v>122180</v>
      </c>
      <c r="E599">
        <v>11247</v>
      </c>
      <c r="F599">
        <v>11</v>
      </c>
      <c r="G599">
        <v>6177</v>
      </c>
      <c r="H599" t="s">
        <v>633</v>
      </c>
      <c r="I599" s="23">
        <v>122180</v>
      </c>
      <c r="J599" s="185">
        <v>46140</v>
      </c>
      <c r="K599" s="185">
        <v>46140</v>
      </c>
      <c r="L599" s="185">
        <v>46200</v>
      </c>
      <c r="M599" s="185"/>
      <c r="N599"/>
      <c r="O599">
        <v>1010100</v>
      </c>
      <c r="P599" t="s">
        <v>29</v>
      </c>
      <c r="Q599">
        <v>200000100</v>
      </c>
      <c r="R599" t="s">
        <v>15322</v>
      </c>
      <c r="S599"/>
      <c r="T599" t="s">
        <v>15323</v>
      </c>
      <c r="U599" t="s">
        <v>6311</v>
      </c>
      <c r="V599" s="23">
        <v>0</v>
      </c>
      <c r="W599" s="23">
        <v>0</v>
      </c>
      <c r="X599" s="23">
        <v>0</v>
      </c>
      <c r="Y599"/>
      <c r="Z599">
        <v>1246273001</v>
      </c>
      <c r="AA599"/>
      <c r="AB599"/>
      <c r="AC599">
        <v>102</v>
      </c>
      <c r="AD599">
        <v>4</v>
      </c>
      <c r="AE599" t="s">
        <v>15324</v>
      </c>
      <c r="AF599"/>
      <c r="AG599" s="23"/>
      <c r="AH599" s="265" t="str">
        <f>_xlfn.XLOOKUP(G599,Clientes!I:I,Clientes!F:F)</f>
        <v>NUTRIENTES IND DE FERTILIZANTES LTDA</v>
      </c>
    </row>
    <row r="600" spans="1:34" x14ac:dyDescent="0.25">
      <c r="A600">
        <v>161</v>
      </c>
      <c r="B600" t="s">
        <v>145</v>
      </c>
      <c r="C600"/>
      <c r="D600" s="23">
        <v>122419.89</v>
      </c>
      <c r="E600">
        <v>11689</v>
      </c>
      <c r="F600">
        <v>11</v>
      </c>
      <c r="G600">
        <v>1787</v>
      </c>
      <c r="H600" t="s">
        <v>57</v>
      </c>
      <c r="I600" s="23">
        <v>122419.89</v>
      </c>
      <c r="J600" s="185">
        <v>46185</v>
      </c>
      <c r="K600" s="185">
        <v>46185</v>
      </c>
      <c r="L600" s="185">
        <v>46275</v>
      </c>
      <c r="M600" s="185"/>
      <c r="N600"/>
      <c r="O600">
        <v>1010100</v>
      </c>
      <c r="P600" t="s">
        <v>29</v>
      </c>
      <c r="Q600">
        <v>200000100</v>
      </c>
      <c r="R600" t="s">
        <v>15322</v>
      </c>
      <c r="S600"/>
      <c r="T600" t="s">
        <v>15323</v>
      </c>
      <c r="U600" t="s">
        <v>4502</v>
      </c>
      <c r="V600" s="23">
        <v>0</v>
      </c>
      <c r="W600" s="23">
        <v>0</v>
      </c>
      <c r="X600" s="23">
        <v>0</v>
      </c>
      <c r="Y600"/>
      <c r="Z600">
        <v>1246279330</v>
      </c>
      <c r="AA600"/>
      <c r="AB600"/>
      <c r="AC600">
        <v>102</v>
      </c>
      <c r="AD600">
        <v>4</v>
      </c>
      <c r="AE600" t="s">
        <v>15324</v>
      </c>
      <c r="AF600"/>
      <c r="AG600" s="23"/>
      <c r="AH600" s="265" t="str">
        <f>_xlfn.XLOOKUP(G600,Clientes!I:I,Clientes!F:F)</f>
        <v>GRUPO MOSAIC FERTILIZANTES P K LTDA</v>
      </c>
    </row>
    <row r="601" spans="1:34" x14ac:dyDescent="0.25">
      <c r="A601">
        <v>161</v>
      </c>
      <c r="B601" t="s">
        <v>145</v>
      </c>
      <c r="C601"/>
      <c r="D601" s="23">
        <v>122871.78</v>
      </c>
      <c r="E601">
        <v>11657</v>
      </c>
      <c r="F601">
        <v>11</v>
      </c>
      <c r="G601">
        <v>1787</v>
      </c>
      <c r="H601" t="s">
        <v>57</v>
      </c>
      <c r="I601" s="23">
        <v>122871.78</v>
      </c>
      <c r="J601" s="185">
        <v>46182</v>
      </c>
      <c r="K601" s="185">
        <v>46182</v>
      </c>
      <c r="L601" s="185">
        <v>46272</v>
      </c>
      <c r="M601" s="185"/>
      <c r="N601"/>
      <c r="O601">
        <v>1010100</v>
      </c>
      <c r="P601" t="s">
        <v>29</v>
      </c>
      <c r="Q601">
        <v>200000100</v>
      </c>
      <c r="R601" t="s">
        <v>15322</v>
      </c>
      <c r="S601"/>
      <c r="T601" t="s">
        <v>15323</v>
      </c>
      <c r="U601" t="s">
        <v>2246</v>
      </c>
      <c r="V601" s="23">
        <v>0</v>
      </c>
      <c r="W601" s="23">
        <v>0</v>
      </c>
      <c r="X601" s="23">
        <v>0</v>
      </c>
      <c r="Y601"/>
      <c r="Z601">
        <v>1246278729</v>
      </c>
      <c r="AA601"/>
      <c r="AB601"/>
      <c r="AC601">
        <v>102</v>
      </c>
      <c r="AD601">
        <v>4</v>
      </c>
      <c r="AE601" t="s">
        <v>15324</v>
      </c>
      <c r="AF601"/>
      <c r="AG601" s="23"/>
      <c r="AH601" s="265" t="str">
        <f>_xlfn.XLOOKUP(G601,Clientes!I:I,Clientes!F:F)</f>
        <v>GRUPO MOSAIC FERTILIZANTES P K LTDA</v>
      </c>
    </row>
    <row r="602" spans="1:34" x14ac:dyDescent="0.25">
      <c r="A602">
        <v>161</v>
      </c>
      <c r="B602" t="s">
        <v>145</v>
      </c>
      <c r="C602"/>
      <c r="D602" s="23">
        <v>122912.86</v>
      </c>
      <c r="E602">
        <v>11730</v>
      </c>
      <c r="F602">
        <v>11</v>
      </c>
      <c r="G602">
        <v>1787</v>
      </c>
      <c r="H602" t="s">
        <v>57</v>
      </c>
      <c r="I602" s="23">
        <v>122912.86</v>
      </c>
      <c r="J602" s="185">
        <v>46189</v>
      </c>
      <c r="K602" s="185">
        <v>46189</v>
      </c>
      <c r="L602" s="185">
        <v>46279</v>
      </c>
      <c r="M602" s="185"/>
      <c r="N602"/>
      <c r="O602">
        <v>1010100</v>
      </c>
      <c r="P602" t="s">
        <v>29</v>
      </c>
      <c r="Q602">
        <v>200000100</v>
      </c>
      <c r="R602" t="s">
        <v>15322</v>
      </c>
      <c r="S602"/>
      <c r="T602" t="s">
        <v>15323</v>
      </c>
      <c r="U602" t="s">
        <v>5803</v>
      </c>
      <c r="V602" s="23">
        <v>0</v>
      </c>
      <c r="W602" s="23">
        <v>0</v>
      </c>
      <c r="X602" s="23">
        <v>0</v>
      </c>
      <c r="Y602"/>
      <c r="Z602">
        <v>1246279732</v>
      </c>
      <c r="AA602"/>
      <c r="AB602"/>
      <c r="AC602">
        <v>102</v>
      </c>
      <c r="AD602">
        <v>4</v>
      </c>
      <c r="AE602" t="s">
        <v>15324</v>
      </c>
      <c r="AF602"/>
      <c r="AG602" s="23"/>
      <c r="AH602" s="265" t="str">
        <f>_xlfn.XLOOKUP(G602,Clientes!I:I,Clientes!F:F)</f>
        <v>GRUPO MOSAIC FERTILIZANTES P K LTDA</v>
      </c>
    </row>
    <row r="603" spans="1:34" x14ac:dyDescent="0.25">
      <c r="A603">
        <v>161</v>
      </c>
      <c r="B603" t="s">
        <v>145</v>
      </c>
      <c r="C603"/>
      <c r="D603" s="23">
        <v>122918</v>
      </c>
      <c r="E603">
        <v>10751</v>
      </c>
      <c r="F603">
        <v>11</v>
      </c>
      <c r="G603">
        <v>6177</v>
      </c>
      <c r="H603" t="s">
        <v>633</v>
      </c>
      <c r="I603" s="23">
        <v>122918</v>
      </c>
      <c r="J603" s="185">
        <v>46076</v>
      </c>
      <c r="K603" s="185">
        <v>46076</v>
      </c>
      <c r="L603" s="185">
        <v>46136</v>
      </c>
      <c r="M603" s="185">
        <v>46136</v>
      </c>
      <c r="N603"/>
      <c r="O603">
        <v>1010100</v>
      </c>
      <c r="P603" t="s">
        <v>29</v>
      </c>
      <c r="Q603">
        <v>200000100</v>
      </c>
      <c r="R603" t="s">
        <v>15322</v>
      </c>
      <c r="S603"/>
      <c r="T603" t="s">
        <v>15323</v>
      </c>
      <c r="U603" t="s">
        <v>6311</v>
      </c>
      <c r="V603" s="23">
        <v>0</v>
      </c>
      <c r="W603" s="23">
        <v>0</v>
      </c>
      <c r="X603" s="23">
        <v>0</v>
      </c>
      <c r="Y603"/>
      <c r="Z603">
        <v>1246264685</v>
      </c>
      <c r="AA603"/>
      <c r="AB603" t="s">
        <v>1186</v>
      </c>
      <c r="AC603">
        <v>102</v>
      </c>
      <c r="AD603">
        <v>4</v>
      </c>
      <c r="AE603" t="s">
        <v>15324</v>
      </c>
      <c r="AF603"/>
      <c r="AG603" s="23"/>
      <c r="AH603" s="265" t="str">
        <f>_xlfn.XLOOKUP(G603,Clientes!I:I,Clientes!F:F)</f>
        <v>NUTRIENTES IND DE FERTILIZANTES LTDA</v>
      </c>
    </row>
    <row r="604" spans="1:34" x14ac:dyDescent="0.25">
      <c r="A604">
        <v>161</v>
      </c>
      <c r="B604" t="s">
        <v>145</v>
      </c>
      <c r="C604"/>
      <c r="D604" s="23">
        <v>123036.1</v>
      </c>
      <c r="E604">
        <v>11736</v>
      </c>
      <c r="F604">
        <v>11</v>
      </c>
      <c r="G604">
        <v>1789</v>
      </c>
      <c r="H604" t="s">
        <v>61</v>
      </c>
      <c r="I604" s="23">
        <v>123036.1</v>
      </c>
      <c r="J604" s="185">
        <v>46190</v>
      </c>
      <c r="K604" s="185">
        <v>46190</v>
      </c>
      <c r="L604" s="185">
        <v>46280</v>
      </c>
      <c r="M604" s="185"/>
      <c r="N604"/>
      <c r="O604">
        <v>1010100</v>
      </c>
      <c r="P604" t="s">
        <v>29</v>
      </c>
      <c r="Q604">
        <v>200000100</v>
      </c>
      <c r="R604" t="s">
        <v>15322</v>
      </c>
      <c r="S604"/>
      <c r="T604" t="s">
        <v>15323</v>
      </c>
      <c r="U604" t="s">
        <v>1530</v>
      </c>
      <c r="V604" s="23">
        <v>0</v>
      </c>
      <c r="W604" s="23">
        <v>0</v>
      </c>
      <c r="X604" s="23">
        <v>0</v>
      </c>
      <c r="Y604"/>
      <c r="Z604">
        <v>1246279861</v>
      </c>
      <c r="AA604"/>
      <c r="AB604"/>
      <c r="AC604">
        <v>102</v>
      </c>
      <c r="AD604">
        <v>4</v>
      </c>
      <c r="AE604" t="s">
        <v>15324</v>
      </c>
      <c r="AF604"/>
      <c r="AG604" s="23"/>
      <c r="AH604" s="265" t="str">
        <f>_xlfn.XLOOKUP(G604,Clientes!I:I,Clientes!F:F)</f>
        <v>GRUPO MOSAIC FERTILIZANTES P K LTDA</v>
      </c>
    </row>
    <row r="605" spans="1:34" x14ac:dyDescent="0.25">
      <c r="A605">
        <v>161</v>
      </c>
      <c r="B605" t="s">
        <v>145</v>
      </c>
      <c r="C605"/>
      <c r="D605" s="23">
        <v>123661.14</v>
      </c>
      <c r="E605">
        <v>11766</v>
      </c>
      <c r="F605">
        <v>11</v>
      </c>
      <c r="G605">
        <v>1792</v>
      </c>
      <c r="H605" t="s">
        <v>697</v>
      </c>
      <c r="I605" s="23">
        <v>123661.14</v>
      </c>
      <c r="J605" s="185">
        <v>46192</v>
      </c>
      <c r="K605" s="185">
        <v>46192</v>
      </c>
      <c r="L605" s="185">
        <v>46282</v>
      </c>
      <c r="M605" s="185"/>
      <c r="N605"/>
      <c r="O605">
        <v>1010100</v>
      </c>
      <c r="P605" t="s">
        <v>29</v>
      </c>
      <c r="Q605">
        <v>200000100</v>
      </c>
      <c r="R605" t="s">
        <v>15322</v>
      </c>
      <c r="S605"/>
      <c r="T605" t="s">
        <v>15323</v>
      </c>
      <c r="U605" t="s">
        <v>1216</v>
      </c>
      <c r="V605" s="23">
        <v>0</v>
      </c>
      <c r="W605" s="23">
        <v>0</v>
      </c>
      <c r="X605" s="23">
        <v>0</v>
      </c>
      <c r="Y605"/>
      <c r="Z605">
        <v>1246280265</v>
      </c>
      <c r="AA605"/>
      <c r="AB605"/>
      <c r="AC605">
        <v>102</v>
      </c>
      <c r="AD605">
        <v>4</v>
      </c>
      <c r="AE605" t="s">
        <v>15324</v>
      </c>
      <c r="AF605"/>
      <c r="AG605" s="23"/>
      <c r="AH605" s="265" t="str">
        <f>_xlfn.XLOOKUP(G605,Clientes!I:I,Clientes!F:F)</f>
        <v>GRUPO MOSAIC FERTILIZANTES P K LTDA</v>
      </c>
    </row>
    <row r="606" spans="1:34" x14ac:dyDescent="0.25">
      <c r="A606">
        <v>161</v>
      </c>
      <c r="B606" t="s">
        <v>145</v>
      </c>
      <c r="C606"/>
      <c r="D606" s="23">
        <v>123762.6</v>
      </c>
      <c r="E606">
        <v>10536</v>
      </c>
      <c r="F606">
        <v>11</v>
      </c>
      <c r="G606">
        <v>6177</v>
      </c>
      <c r="H606" t="s">
        <v>633</v>
      </c>
      <c r="I606" s="23">
        <v>123762.6</v>
      </c>
      <c r="J606" s="185">
        <v>46043</v>
      </c>
      <c r="K606" s="185">
        <v>46043</v>
      </c>
      <c r="L606" s="185">
        <v>46103</v>
      </c>
      <c r="M606" s="185">
        <v>46104</v>
      </c>
      <c r="N606"/>
      <c r="O606">
        <v>1010100</v>
      </c>
      <c r="P606" t="s">
        <v>29</v>
      </c>
      <c r="Q606">
        <v>200000100</v>
      </c>
      <c r="R606" t="s">
        <v>15322</v>
      </c>
      <c r="S606"/>
      <c r="T606" t="s">
        <v>15323</v>
      </c>
      <c r="U606" t="s">
        <v>1530</v>
      </c>
      <c r="V606" s="23">
        <v>0</v>
      </c>
      <c r="W606" s="23">
        <v>0</v>
      </c>
      <c r="X606" s="23">
        <v>0</v>
      </c>
      <c r="Y606"/>
      <c r="Z606">
        <v>1246260305</v>
      </c>
      <c r="AA606"/>
      <c r="AB606" t="s">
        <v>1186</v>
      </c>
      <c r="AC606">
        <v>102</v>
      </c>
      <c r="AD606">
        <v>4</v>
      </c>
      <c r="AE606" t="s">
        <v>15324</v>
      </c>
      <c r="AF606"/>
      <c r="AG606" s="23"/>
      <c r="AH606" s="265" t="str">
        <f>_xlfn.XLOOKUP(G606,Clientes!I:I,Clientes!F:F)</f>
        <v>NUTRIENTES IND DE FERTILIZANTES LTDA</v>
      </c>
    </row>
    <row r="607" spans="1:34" x14ac:dyDescent="0.25">
      <c r="A607">
        <v>161</v>
      </c>
      <c r="B607" t="s">
        <v>145</v>
      </c>
      <c r="C607"/>
      <c r="D607" s="23">
        <v>123980.95</v>
      </c>
      <c r="E607">
        <v>11708</v>
      </c>
      <c r="F607">
        <v>11</v>
      </c>
      <c r="G607">
        <v>1789</v>
      </c>
      <c r="H607" t="s">
        <v>61</v>
      </c>
      <c r="I607" s="23">
        <v>123980.95</v>
      </c>
      <c r="J607" s="185">
        <v>46188</v>
      </c>
      <c r="K607" s="185">
        <v>46188</v>
      </c>
      <c r="L607" s="185">
        <v>46278</v>
      </c>
      <c r="M607" s="185"/>
      <c r="N607"/>
      <c r="O607">
        <v>1010100</v>
      </c>
      <c r="P607" t="s">
        <v>29</v>
      </c>
      <c r="Q607">
        <v>200000100</v>
      </c>
      <c r="R607" t="s">
        <v>15322</v>
      </c>
      <c r="S607"/>
      <c r="T607" t="s">
        <v>15323</v>
      </c>
      <c r="U607" t="s">
        <v>4502</v>
      </c>
      <c r="V607" s="23">
        <v>0</v>
      </c>
      <c r="W607" s="23">
        <v>0</v>
      </c>
      <c r="X607" s="23">
        <v>0</v>
      </c>
      <c r="Y607"/>
      <c r="Z607">
        <v>1246279506</v>
      </c>
      <c r="AA607"/>
      <c r="AB607"/>
      <c r="AC607">
        <v>102</v>
      </c>
      <c r="AD607">
        <v>4</v>
      </c>
      <c r="AE607" t="s">
        <v>15324</v>
      </c>
      <c r="AF607"/>
      <c r="AG607" s="23"/>
      <c r="AH607" s="265" t="str">
        <f>_xlfn.XLOOKUP(G607,Clientes!I:I,Clientes!F:F)</f>
        <v>GRUPO MOSAIC FERTILIZANTES P K LTDA</v>
      </c>
    </row>
    <row r="608" spans="1:34" x14ac:dyDescent="0.25">
      <c r="A608">
        <v>161</v>
      </c>
      <c r="B608" t="s">
        <v>145</v>
      </c>
      <c r="C608"/>
      <c r="D608" s="23">
        <v>124227.43</v>
      </c>
      <c r="E608">
        <v>11765</v>
      </c>
      <c r="F608">
        <v>11</v>
      </c>
      <c r="G608">
        <v>1788</v>
      </c>
      <c r="H608" t="s">
        <v>59</v>
      </c>
      <c r="I608" s="23">
        <v>124227.43</v>
      </c>
      <c r="J608" s="185">
        <v>46192</v>
      </c>
      <c r="K608" s="185">
        <v>46192</v>
      </c>
      <c r="L608" s="185">
        <v>46282</v>
      </c>
      <c r="M608" s="185"/>
      <c r="N608"/>
      <c r="O608">
        <v>1010100</v>
      </c>
      <c r="P608" t="s">
        <v>29</v>
      </c>
      <c r="Q608">
        <v>200000100</v>
      </c>
      <c r="R608" t="s">
        <v>15322</v>
      </c>
      <c r="S608"/>
      <c r="T608" t="s">
        <v>15323</v>
      </c>
      <c r="U608" t="s">
        <v>4502</v>
      </c>
      <c r="V608" s="23">
        <v>0</v>
      </c>
      <c r="W608" s="23">
        <v>0</v>
      </c>
      <c r="X608" s="23">
        <v>0</v>
      </c>
      <c r="Y608"/>
      <c r="Z608">
        <v>1246280252</v>
      </c>
      <c r="AA608"/>
      <c r="AB608"/>
      <c r="AC608">
        <v>102</v>
      </c>
      <c r="AD608">
        <v>4</v>
      </c>
      <c r="AE608" t="s">
        <v>15324</v>
      </c>
      <c r="AF608"/>
      <c r="AG608" s="23"/>
      <c r="AH608" s="265" t="str">
        <f>_xlfn.XLOOKUP(G608,Clientes!I:I,Clientes!F:F)</f>
        <v>GRUPO MOSAIC FERTILIZANTES P K LTDA</v>
      </c>
    </row>
    <row r="609" spans="1:34" x14ac:dyDescent="0.25">
      <c r="A609">
        <v>161</v>
      </c>
      <c r="B609" t="s">
        <v>145</v>
      </c>
      <c r="C609"/>
      <c r="D609" s="23">
        <v>125133.29</v>
      </c>
      <c r="E609">
        <v>11610</v>
      </c>
      <c r="F609">
        <v>11</v>
      </c>
      <c r="G609">
        <v>1792</v>
      </c>
      <c r="H609" t="s">
        <v>697</v>
      </c>
      <c r="I609" s="23">
        <v>125133.29</v>
      </c>
      <c r="J609" s="185">
        <v>46178</v>
      </c>
      <c r="K609" s="185">
        <v>46178</v>
      </c>
      <c r="L609" s="185">
        <v>46268</v>
      </c>
      <c r="M609" s="185"/>
      <c r="N609"/>
      <c r="O609">
        <v>1010100</v>
      </c>
      <c r="P609" t="s">
        <v>29</v>
      </c>
      <c r="Q609">
        <v>200000100</v>
      </c>
      <c r="R609" t="s">
        <v>15322</v>
      </c>
      <c r="S609"/>
      <c r="T609" t="s">
        <v>15323</v>
      </c>
      <c r="U609" t="s">
        <v>4502</v>
      </c>
      <c r="V609" s="23">
        <v>0</v>
      </c>
      <c r="W609" s="23">
        <v>0</v>
      </c>
      <c r="X609" s="23">
        <v>0</v>
      </c>
      <c r="Y609"/>
      <c r="Z609">
        <v>1246278374</v>
      </c>
      <c r="AA609"/>
      <c r="AB609"/>
      <c r="AC609">
        <v>102</v>
      </c>
      <c r="AD609">
        <v>4</v>
      </c>
      <c r="AE609" t="s">
        <v>15324</v>
      </c>
      <c r="AF609"/>
      <c r="AG609" s="23"/>
      <c r="AH609" s="265" t="str">
        <f>_xlfn.XLOOKUP(G609,Clientes!I:I,Clientes!F:F)</f>
        <v>GRUPO MOSAIC FERTILIZANTES P K LTDA</v>
      </c>
    </row>
    <row r="610" spans="1:34" x14ac:dyDescent="0.25">
      <c r="A610">
        <v>161</v>
      </c>
      <c r="B610" t="s">
        <v>145</v>
      </c>
      <c r="C610"/>
      <c r="D610" s="23">
        <v>125295.53</v>
      </c>
      <c r="E610">
        <v>11604</v>
      </c>
      <c r="F610">
        <v>11</v>
      </c>
      <c r="G610">
        <v>1787</v>
      </c>
      <c r="H610" t="s">
        <v>57</v>
      </c>
      <c r="I610" s="23">
        <v>125295.53</v>
      </c>
      <c r="J610" s="185">
        <v>46178</v>
      </c>
      <c r="K610" s="185">
        <v>46178</v>
      </c>
      <c r="L610" s="185">
        <v>46268</v>
      </c>
      <c r="M610" s="185"/>
      <c r="N610"/>
      <c r="O610">
        <v>1010100</v>
      </c>
      <c r="P610" t="s">
        <v>29</v>
      </c>
      <c r="Q610">
        <v>200000100</v>
      </c>
      <c r="R610" t="s">
        <v>15322</v>
      </c>
      <c r="S610"/>
      <c r="T610" t="s">
        <v>15323</v>
      </c>
      <c r="U610" t="s">
        <v>4502</v>
      </c>
      <c r="V610" s="23">
        <v>0</v>
      </c>
      <c r="W610" s="23">
        <v>0</v>
      </c>
      <c r="X610" s="23">
        <v>0</v>
      </c>
      <c r="Y610"/>
      <c r="Z610">
        <v>1246278306</v>
      </c>
      <c r="AA610"/>
      <c r="AB610"/>
      <c r="AC610">
        <v>102</v>
      </c>
      <c r="AD610">
        <v>4</v>
      </c>
      <c r="AE610" t="s">
        <v>15324</v>
      </c>
      <c r="AF610"/>
      <c r="AG610" s="23"/>
      <c r="AH610" s="265" t="str">
        <f>_xlfn.XLOOKUP(G610,Clientes!I:I,Clientes!F:F)</f>
        <v>GRUPO MOSAIC FERTILIZANTES P K LTDA</v>
      </c>
    </row>
    <row r="611" spans="1:34" x14ac:dyDescent="0.25">
      <c r="A611">
        <v>161</v>
      </c>
      <c r="B611" t="s">
        <v>145</v>
      </c>
      <c r="C611"/>
      <c r="D611" s="23">
        <v>127140.78</v>
      </c>
      <c r="E611">
        <v>11665</v>
      </c>
      <c r="F611">
        <v>11</v>
      </c>
      <c r="G611">
        <v>1792</v>
      </c>
      <c r="H611" t="s">
        <v>697</v>
      </c>
      <c r="I611" s="23">
        <v>127140.78</v>
      </c>
      <c r="J611" s="185">
        <v>46183</v>
      </c>
      <c r="K611" s="185">
        <v>46183</v>
      </c>
      <c r="L611" s="185">
        <v>46273</v>
      </c>
      <c r="M611" s="185"/>
      <c r="N611"/>
      <c r="O611">
        <v>1010100</v>
      </c>
      <c r="P611" t="s">
        <v>29</v>
      </c>
      <c r="Q611">
        <v>200000100</v>
      </c>
      <c r="R611" t="s">
        <v>15322</v>
      </c>
      <c r="S611"/>
      <c r="T611" t="s">
        <v>15323</v>
      </c>
      <c r="U611" t="s">
        <v>4502</v>
      </c>
      <c r="V611" s="23">
        <v>0</v>
      </c>
      <c r="W611" s="23">
        <v>0</v>
      </c>
      <c r="X611" s="23">
        <v>0</v>
      </c>
      <c r="Y611"/>
      <c r="Z611">
        <v>1246278949</v>
      </c>
      <c r="AA611"/>
      <c r="AB611"/>
      <c r="AC611">
        <v>102</v>
      </c>
      <c r="AD611">
        <v>4</v>
      </c>
      <c r="AE611" t="s">
        <v>15324</v>
      </c>
      <c r="AF611"/>
      <c r="AG611" s="23"/>
      <c r="AH611" s="265" t="str">
        <f>_xlfn.XLOOKUP(G611,Clientes!I:I,Clientes!F:F)</f>
        <v>GRUPO MOSAIC FERTILIZANTES P K LTDA</v>
      </c>
    </row>
    <row r="612" spans="1:34" x14ac:dyDescent="0.25">
      <c r="A612">
        <v>40</v>
      </c>
      <c r="B612" t="s">
        <v>155</v>
      </c>
      <c r="C612"/>
      <c r="D612" s="23">
        <v>127980.15</v>
      </c>
      <c r="E612">
        <v>11372</v>
      </c>
      <c r="F612">
        <v>11</v>
      </c>
      <c r="G612">
        <v>9295</v>
      </c>
      <c r="H612" t="s">
        <v>333</v>
      </c>
      <c r="I612" s="23">
        <v>127980.15</v>
      </c>
      <c r="J612" s="185">
        <v>46154</v>
      </c>
      <c r="K612" s="185">
        <v>46154</v>
      </c>
      <c r="L612" s="185">
        <v>46184</v>
      </c>
      <c r="M612" s="185">
        <v>46183</v>
      </c>
      <c r="N612"/>
      <c r="O612">
        <v>1010200</v>
      </c>
      <c r="P612" t="s">
        <v>113</v>
      </c>
      <c r="Q612">
        <v>200000100</v>
      </c>
      <c r="R612" t="s">
        <v>15322</v>
      </c>
      <c r="S612"/>
      <c r="T612" t="s">
        <v>15323</v>
      </c>
      <c r="U612" t="s">
        <v>1199</v>
      </c>
      <c r="V612" s="23">
        <v>0</v>
      </c>
      <c r="W612" s="23">
        <v>0</v>
      </c>
      <c r="X612" s="23">
        <v>0</v>
      </c>
      <c r="Y612"/>
      <c r="Z612">
        <v>1246274654</v>
      </c>
      <c r="AA612"/>
      <c r="AB612" t="s">
        <v>1199</v>
      </c>
      <c r="AC612">
        <v>125</v>
      </c>
      <c r="AD612">
        <v>4</v>
      </c>
      <c r="AE612" t="s">
        <v>15324</v>
      </c>
      <c r="AF612" t="s">
        <v>15635</v>
      </c>
      <c r="AG612" s="23">
        <v>26136</v>
      </c>
      <c r="AH612" s="265" t="str">
        <f>_xlfn.XLOOKUP(G612,Clientes!I:I,Clientes!F:F)</f>
        <v>TECNOMYL S.A. - PARAGUAY</v>
      </c>
    </row>
    <row r="613" spans="1:34" x14ac:dyDescent="0.25">
      <c r="A613">
        <v>40</v>
      </c>
      <c r="B613" t="s">
        <v>155</v>
      </c>
      <c r="C613"/>
      <c r="D613" s="23">
        <v>127990.57</v>
      </c>
      <c r="E613">
        <v>11388</v>
      </c>
      <c r="F613">
        <v>11</v>
      </c>
      <c r="G613">
        <v>9295</v>
      </c>
      <c r="H613" t="s">
        <v>333</v>
      </c>
      <c r="I613" s="23">
        <v>127990.57</v>
      </c>
      <c r="J613" s="185">
        <v>46155</v>
      </c>
      <c r="K613" s="185">
        <v>46155</v>
      </c>
      <c r="L613" s="185">
        <v>46185</v>
      </c>
      <c r="M613" s="185">
        <v>46183</v>
      </c>
      <c r="N613"/>
      <c r="O613">
        <v>1010200</v>
      </c>
      <c r="P613" t="s">
        <v>113</v>
      </c>
      <c r="Q613">
        <v>200000100</v>
      </c>
      <c r="R613" t="s">
        <v>15322</v>
      </c>
      <c r="S613"/>
      <c r="T613" t="s">
        <v>15323</v>
      </c>
      <c r="U613" t="s">
        <v>1199</v>
      </c>
      <c r="V613" s="23">
        <v>0</v>
      </c>
      <c r="W613" s="23">
        <v>0</v>
      </c>
      <c r="X613" s="23">
        <v>0</v>
      </c>
      <c r="Y613"/>
      <c r="Z613">
        <v>1246274944</v>
      </c>
      <c r="AA613"/>
      <c r="AB613" t="s">
        <v>1199</v>
      </c>
      <c r="AC613">
        <v>125</v>
      </c>
      <c r="AD613">
        <v>4</v>
      </c>
      <c r="AE613" t="s">
        <v>15324</v>
      </c>
      <c r="AF613" t="s">
        <v>15636</v>
      </c>
      <c r="AG613" s="23">
        <v>26136</v>
      </c>
      <c r="AH613" s="265" t="str">
        <f>_xlfn.XLOOKUP(G613,Clientes!I:I,Clientes!F:F)</f>
        <v>TECNOMYL S.A. - PARAGUAY</v>
      </c>
    </row>
    <row r="614" spans="1:34" x14ac:dyDescent="0.25">
      <c r="A614">
        <v>40</v>
      </c>
      <c r="B614" t="s">
        <v>155</v>
      </c>
      <c r="C614"/>
      <c r="D614" s="23">
        <v>127990.59</v>
      </c>
      <c r="E614">
        <v>11389</v>
      </c>
      <c r="F614">
        <v>11</v>
      </c>
      <c r="G614">
        <v>9295</v>
      </c>
      <c r="H614" t="s">
        <v>333</v>
      </c>
      <c r="I614" s="23">
        <v>127990.59</v>
      </c>
      <c r="J614" s="185">
        <v>46155</v>
      </c>
      <c r="K614" s="185">
        <v>46155</v>
      </c>
      <c r="L614" s="185">
        <v>46185</v>
      </c>
      <c r="M614" s="185">
        <v>46183</v>
      </c>
      <c r="N614"/>
      <c r="O614">
        <v>1010200</v>
      </c>
      <c r="P614" t="s">
        <v>113</v>
      </c>
      <c r="Q614">
        <v>200000100</v>
      </c>
      <c r="R614" t="s">
        <v>15322</v>
      </c>
      <c r="S614"/>
      <c r="T614" t="s">
        <v>15323</v>
      </c>
      <c r="U614" t="s">
        <v>1199</v>
      </c>
      <c r="V614" s="23">
        <v>0</v>
      </c>
      <c r="W614" s="23">
        <v>0</v>
      </c>
      <c r="X614" s="23">
        <v>0</v>
      </c>
      <c r="Y614"/>
      <c r="Z614">
        <v>1246274949</v>
      </c>
      <c r="AA614"/>
      <c r="AB614" t="s">
        <v>1199</v>
      </c>
      <c r="AC614">
        <v>125</v>
      </c>
      <c r="AD614">
        <v>4</v>
      </c>
      <c r="AE614" t="s">
        <v>15324</v>
      </c>
      <c r="AF614" t="s">
        <v>15637</v>
      </c>
      <c r="AG614" s="23">
        <v>26136</v>
      </c>
      <c r="AH614" s="265" t="str">
        <f>_xlfn.XLOOKUP(G614,Clientes!I:I,Clientes!F:F)</f>
        <v>TECNOMYL S.A. - PARAGUAY</v>
      </c>
    </row>
    <row r="615" spans="1:34" x14ac:dyDescent="0.25">
      <c r="A615">
        <v>56</v>
      </c>
      <c r="B615" t="s">
        <v>146</v>
      </c>
      <c r="C615"/>
      <c r="D615" s="23">
        <v>129924</v>
      </c>
      <c r="E615">
        <v>10510</v>
      </c>
      <c r="F615">
        <v>11</v>
      </c>
      <c r="G615">
        <v>7302</v>
      </c>
      <c r="H615" t="s">
        <v>93</v>
      </c>
      <c r="I615" s="23">
        <v>129924</v>
      </c>
      <c r="J615" s="185">
        <v>46038</v>
      </c>
      <c r="K615" s="185">
        <v>46038</v>
      </c>
      <c r="L615" s="185">
        <v>46128</v>
      </c>
      <c r="M615" s="185">
        <v>46128</v>
      </c>
      <c r="N615"/>
      <c r="O615">
        <v>1010100</v>
      </c>
      <c r="P615" t="s">
        <v>29</v>
      </c>
      <c r="Q615">
        <v>200000100</v>
      </c>
      <c r="R615" t="s">
        <v>15322</v>
      </c>
      <c r="S615"/>
      <c r="T615" t="s">
        <v>15323</v>
      </c>
      <c r="U615" t="s">
        <v>4468</v>
      </c>
      <c r="V615" s="23">
        <v>0</v>
      </c>
      <c r="W615" s="23">
        <v>0</v>
      </c>
      <c r="X615" s="23">
        <v>0</v>
      </c>
      <c r="Y615"/>
      <c r="Z615">
        <v>1246259804</v>
      </c>
      <c r="AA615"/>
      <c r="AB615" t="s">
        <v>2073</v>
      </c>
      <c r="AC615">
        <v>102</v>
      </c>
      <c r="AD615">
        <v>4</v>
      </c>
      <c r="AE615" t="s">
        <v>15324</v>
      </c>
      <c r="AF615"/>
      <c r="AG615" s="23"/>
      <c r="AH615" s="265" t="str">
        <f>_xlfn.XLOOKUP(G615,Clientes!I:I,Clientes!F:F)</f>
        <v>GRUPO MOSAIC FERTILIZANTES DO BRASIL</v>
      </c>
    </row>
    <row r="616" spans="1:34" x14ac:dyDescent="0.25">
      <c r="A616">
        <v>56</v>
      </c>
      <c r="B616" t="s">
        <v>146</v>
      </c>
      <c r="C616"/>
      <c r="D616" s="23">
        <v>129924</v>
      </c>
      <c r="E616">
        <v>10941</v>
      </c>
      <c r="F616">
        <v>11</v>
      </c>
      <c r="G616">
        <v>7302</v>
      </c>
      <c r="H616" t="s">
        <v>93</v>
      </c>
      <c r="I616" s="23">
        <v>129924</v>
      </c>
      <c r="J616" s="185">
        <v>46101</v>
      </c>
      <c r="K616" s="185">
        <v>46101</v>
      </c>
      <c r="L616" s="185">
        <v>46191</v>
      </c>
      <c r="M616" s="185">
        <v>46191</v>
      </c>
      <c r="N616"/>
      <c r="O616">
        <v>1010100</v>
      </c>
      <c r="P616" t="s">
        <v>29</v>
      </c>
      <c r="Q616">
        <v>200000100</v>
      </c>
      <c r="R616" t="s">
        <v>15322</v>
      </c>
      <c r="S616"/>
      <c r="T616" t="s">
        <v>15323</v>
      </c>
      <c r="U616" t="s">
        <v>4502</v>
      </c>
      <c r="V616" s="23">
        <v>0</v>
      </c>
      <c r="W616" s="23">
        <v>0</v>
      </c>
      <c r="X616" s="23">
        <v>0</v>
      </c>
      <c r="Y616"/>
      <c r="Z616">
        <v>1246268530</v>
      </c>
      <c r="AA616"/>
      <c r="AB616" t="s">
        <v>1199</v>
      </c>
      <c r="AC616">
        <v>102</v>
      </c>
      <c r="AD616">
        <v>4</v>
      </c>
      <c r="AE616" t="s">
        <v>15324</v>
      </c>
      <c r="AF616"/>
      <c r="AG616" s="23"/>
      <c r="AH616" s="265" t="str">
        <f>_xlfn.XLOOKUP(G616,Clientes!I:I,Clientes!F:F)</f>
        <v>GRUPO MOSAIC FERTILIZANTES DO BRASIL</v>
      </c>
    </row>
    <row r="617" spans="1:34" x14ac:dyDescent="0.25">
      <c r="A617">
        <v>161</v>
      </c>
      <c r="B617" t="s">
        <v>145</v>
      </c>
      <c r="C617"/>
      <c r="D617" s="23">
        <v>130041.81</v>
      </c>
      <c r="E617">
        <v>11449</v>
      </c>
      <c r="F617">
        <v>11</v>
      </c>
      <c r="G617">
        <v>456</v>
      </c>
      <c r="H617" t="s">
        <v>312</v>
      </c>
      <c r="I617" s="23">
        <v>130041.81</v>
      </c>
      <c r="J617" s="185">
        <v>46162</v>
      </c>
      <c r="K617" s="185">
        <v>46162</v>
      </c>
      <c r="L617" s="185">
        <v>46190</v>
      </c>
      <c r="M617" s="185">
        <v>46190</v>
      </c>
      <c r="N617"/>
      <c r="O617">
        <v>1010100</v>
      </c>
      <c r="P617" t="s">
        <v>29</v>
      </c>
      <c r="Q617">
        <v>200000100</v>
      </c>
      <c r="R617" t="s">
        <v>15322</v>
      </c>
      <c r="S617"/>
      <c r="T617" t="s">
        <v>15323</v>
      </c>
      <c r="U617" t="s">
        <v>4502</v>
      </c>
      <c r="V617" s="23">
        <v>0</v>
      </c>
      <c r="W617" s="23">
        <v>0</v>
      </c>
      <c r="X617" s="23">
        <v>0</v>
      </c>
      <c r="Y617"/>
      <c r="Z617">
        <v>1246275916</v>
      </c>
      <c r="AA617"/>
      <c r="AB617" t="s">
        <v>1199</v>
      </c>
      <c r="AC617">
        <v>102</v>
      </c>
      <c r="AD617">
        <v>4</v>
      </c>
      <c r="AE617" t="s">
        <v>15324</v>
      </c>
      <c r="AF617"/>
      <c r="AG617" s="23"/>
      <c r="AH617" s="265" t="str">
        <f>_xlfn.XLOOKUP(G617,Clientes!I:I,Clientes!F:F)</f>
        <v>GRUPO FERTIPAR FERTILIZANTES DO NORDESTE</v>
      </c>
    </row>
    <row r="618" spans="1:34" x14ac:dyDescent="0.25">
      <c r="A618">
        <v>40</v>
      </c>
      <c r="B618" t="s">
        <v>155</v>
      </c>
      <c r="C618"/>
      <c r="D618" s="23">
        <v>130127.06</v>
      </c>
      <c r="E618">
        <v>11090</v>
      </c>
      <c r="F618">
        <v>11</v>
      </c>
      <c r="G618">
        <v>9295</v>
      </c>
      <c r="H618" t="s">
        <v>333</v>
      </c>
      <c r="I618" s="23">
        <v>130127.06</v>
      </c>
      <c r="J618" s="185">
        <v>46122</v>
      </c>
      <c r="K618" s="185">
        <v>46122</v>
      </c>
      <c r="L618" s="185">
        <v>46152</v>
      </c>
      <c r="M618" s="185">
        <v>46153</v>
      </c>
      <c r="N618"/>
      <c r="O618">
        <v>1010200</v>
      </c>
      <c r="P618" t="s">
        <v>113</v>
      </c>
      <c r="Q618">
        <v>200000100</v>
      </c>
      <c r="R618" t="s">
        <v>15322</v>
      </c>
      <c r="S618"/>
      <c r="T618" t="s">
        <v>15323</v>
      </c>
      <c r="U618" t="s">
        <v>1199</v>
      </c>
      <c r="V618" s="23">
        <v>0</v>
      </c>
      <c r="W618" s="23">
        <v>0</v>
      </c>
      <c r="X618" s="23">
        <v>0</v>
      </c>
      <c r="Y618"/>
      <c r="Z618">
        <v>1246270982</v>
      </c>
      <c r="AA618"/>
      <c r="AB618" t="s">
        <v>1199</v>
      </c>
      <c r="AC618">
        <v>125</v>
      </c>
      <c r="AD618">
        <v>4</v>
      </c>
      <c r="AE618" t="s">
        <v>15324</v>
      </c>
      <c r="AF618" t="s">
        <v>15344</v>
      </c>
      <c r="AG618" s="23">
        <v>25608</v>
      </c>
      <c r="AH618" s="265" t="str">
        <f>_xlfn.XLOOKUP(G618,Clientes!I:I,Clientes!F:F)</f>
        <v>TECNOMYL S.A. - PARAGUAY</v>
      </c>
    </row>
    <row r="619" spans="1:34" x14ac:dyDescent="0.25">
      <c r="A619">
        <v>40</v>
      </c>
      <c r="B619" t="s">
        <v>155</v>
      </c>
      <c r="C619"/>
      <c r="D619" s="23">
        <v>130865.56</v>
      </c>
      <c r="E619">
        <v>11467</v>
      </c>
      <c r="F619">
        <v>11</v>
      </c>
      <c r="G619">
        <v>9295</v>
      </c>
      <c r="H619" t="s">
        <v>333</v>
      </c>
      <c r="I619" s="23">
        <v>130865.56</v>
      </c>
      <c r="J619" s="185">
        <v>46164</v>
      </c>
      <c r="K619" s="185">
        <v>46164</v>
      </c>
      <c r="L619" s="185">
        <v>46194</v>
      </c>
      <c r="M619" s="185">
        <v>46183</v>
      </c>
      <c r="N619"/>
      <c r="O619">
        <v>1010200</v>
      </c>
      <c r="P619" t="s">
        <v>113</v>
      </c>
      <c r="Q619">
        <v>200000100</v>
      </c>
      <c r="R619" t="s">
        <v>15322</v>
      </c>
      <c r="S619"/>
      <c r="T619" t="s">
        <v>15323</v>
      </c>
      <c r="U619" t="s">
        <v>1199</v>
      </c>
      <c r="V619" s="23">
        <v>0</v>
      </c>
      <c r="W619" s="23">
        <v>0</v>
      </c>
      <c r="X619" s="23">
        <v>0</v>
      </c>
      <c r="Y619"/>
      <c r="Z619">
        <v>1246276225</v>
      </c>
      <c r="AA619"/>
      <c r="AB619" t="s">
        <v>1199</v>
      </c>
      <c r="AC619">
        <v>125</v>
      </c>
      <c r="AD619">
        <v>4</v>
      </c>
      <c r="AE619" t="s">
        <v>15324</v>
      </c>
      <c r="AF619" t="s">
        <v>15638</v>
      </c>
      <c r="AG619" s="23">
        <v>26136</v>
      </c>
      <c r="AH619" s="265" t="str">
        <f>_xlfn.XLOOKUP(G619,Clientes!I:I,Clientes!F:F)</f>
        <v>TECNOMYL S.A. - PARAGUAY</v>
      </c>
    </row>
    <row r="620" spans="1:34" x14ac:dyDescent="0.25">
      <c r="A620">
        <v>40</v>
      </c>
      <c r="B620" t="s">
        <v>155</v>
      </c>
      <c r="C620"/>
      <c r="D620" s="23">
        <v>130865.56</v>
      </c>
      <c r="E620">
        <v>11474</v>
      </c>
      <c r="F620">
        <v>11</v>
      </c>
      <c r="G620">
        <v>9295</v>
      </c>
      <c r="H620" t="s">
        <v>333</v>
      </c>
      <c r="I620" s="23">
        <v>130865.56</v>
      </c>
      <c r="J620" s="185">
        <v>46164</v>
      </c>
      <c r="K620" s="185">
        <v>46164</v>
      </c>
      <c r="L620" s="185">
        <v>46194</v>
      </c>
      <c r="M620" s="185">
        <v>46183</v>
      </c>
      <c r="N620"/>
      <c r="O620">
        <v>1010200</v>
      </c>
      <c r="P620" t="s">
        <v>113</v>
      </c>
      <c r="Q620">
        <v>200000100</v>
      </c>
      <c r="R620" t="s">
        <v>15322</v>
      </c>
      <c r="S620"/>
      <c r="T620" t="s">
        <v>15323</v>
      </c>
      <c r="U620" t="s">
        <v>1199</v>
      </c>
      <c r="V620" s="23">
        <v>0</v>
      </c>
      <c r="W620" s="23">
        <v>0</v>
      </c>
      <c r="X620" s="23">
        <v>0</v>
      </c>
      <c r="Y620"/>
      <c r="Z620">
        <v>1246276295</v>
      </c>
      <c r="AA620"/>
      <c r="AB620" t="s">
        <v>1199</v>
      </c>
      <c r="AC620">
        <v>125</v>
      </c>
      <c r="AD620">
        <v>4</v>
      </c>
      <c r="AE620" t="s">
        <v>15324</v>
      </c>
      <c r="AF620"/>
      <c r="AG620" s="23"/>
      <c r="AH620" s="265" t="str">
        <f>_xlfn.XLOOKUP(G620,Clientes!I:I,Clientes!F:F)</f>
        <v>TECNOMYL S.A. - PARAGUAY</v>
      </c>
    </row>
    <row r="621" spans="1:34" x14ac:dyDescent="0.25">
      <c r="A621">
        <v>161</v>
      </c>
      <c r="B621" t="s">
        <v>145</v>
      </c>
      <c r="C621"/>
      <c r="D621" s="23">
        <v>130971.6</v>
      </c>
      <c r="E621">
        <v>10648</v>
      </c>
      <c r="F621">
        <v>11</v>
      </c>
      <c r="G621">
        <v>12629</v>
      </c>
      <c r="H621" t="s">
        <v>109</v>
      </c>
      <c r="I621" s="23">
        <v>130971.6</v>
      </c>
      <c r="J621" s="185">
        <v>46058</v>
      </c>
      <c r="K621" s="185">
        <v>46058</v>
      </c>
      <c r="L621" s="185">
        <v>46088</v>
      </c>
      <c r="M621" s="185">
        <v>46090</v>
      </c>
      <c r="N621"/>
      <c r="O621">
        <v>1010100</v>
      </c>
      <c r="P621" t="s">
        <v>29</v>
      </c>
      <c r="Q621">
        <v>200000100</v>
      </c>
      <c r="R621" t="s">
        <v>15322</v>
      </c>
      <c r="S621"/>
      <c r="T621" t="s">
        <v>15323</v>
      </c>
      <c r="U621" t="s">
        <v>2073</v>
      </c>
      <c r="V621" s="23">
        <v>0</v>
      </c>
      <c r="W621" s="23">
        <v>0</v>
      </c>
      <c r="X621" s="23">
        <v>0</v>
      </c>
      <c r="Y621"/>
      <c r="Z621">
        <v>1246262448</v>
      </c>
      <c r="AA621"/>
      <c r="AB621" t="s">
        <v>2073</v>
      </c>
      <c r="AC621">
        <v>102</v>
      </c>
      <c r="AD621">
        <v>4</v>
      </c>
      <c r="AE621" t="s">
        <v>15324</v>
      </c>
      <c r="AF621"/>
      <c r="AG621" s="23"/>
      <c r="AH621" s="265" t="str">
        <f>_xlfn.XLOOKUP(G621,Clientes!I:I,Clientes!F:F)</f>
        <v>EUROCHEM SERRA DO SALITRE</v>
      </c>
    </row>
    <row r="622" spans="1:34" x14ac:dyDescent="0.25">
      <c r="A622">
        <v>40</v>
      </c>
      <c r="B622" t="s">
        <v>155</v>
      </c>
      <c r="C622"/>
      <c r="D622" s="23">
        <v>131282.87</v>
      </c>
      <c r="E622">
        <v>11311</v>
      </c>
      <c r="F622">
        <v>11</v>
      </c>
      <c r="G622">
        <v>5882</v>
      </c>
      <c r="H622" t="s">
        <v>162</v>
      </c>
      <c r="I622" s="23">
        <v>131282.87</v>
      </c>
      <c r="J622" s="185">
        <v>46148</v>
      </c>
      <c r="K622" s="185">
        <v>46148</v>
      </c>
      <c r="L622" s="185">
        <v>46238</v>
      </c>
      <c r="M622" s="185"/>
      <c r="N622"/>
      <c r="O622">
        <v>1010200</v>
      </c>
      <c r="P622" t="s">
        <v>113</v>
      </c>
      <c r="Q622">
        <v>200000100</v>
      </c>
      <c r="R622" t="s">
        <v>15322</v>
      </c>
      <c r="S622"/>
      <c r="T622" t="s">
        <v>15323</v>
      </c>
      <c r="U622" t="s">
        <v>1199</v>
      </c>
      <c r="V622" s="23">
        <v>0</v>
      </c>
      <c r="W622" s="23">
        <v>0</v>
      </c>
      <c r="X622" s="23">
        <v>0</v>
      </c>
      <c r="Y622"/>
      <c r="Z622">
        <v>1246273745</v>
      </c>
      <c r="AA622"/>
      <c r="AB622"/>
      <c r="AC622">
        <v>125</v>
      </c>
      <c r="AD622">
        <v>4</v>
      </c>
      <c r="AE622" t="s">
        <v>15324</v>
      </c>
      <c r="AF622"/>
      <c r="AG622" s="23"/>
      <c r="AH622" s="265" t="str">
        <f>_xlfn.XLOOKUP(G622,Clientes!I:I,Clientes!F:F)</f>
        <v>ABOPAR - PARAGUAY</v>
      </c>
    </row>
    <row r="623" spans="1:34" x14ac:dyDescent="0.25">
      <c r="A623">
        <v>40</v>
      </c>
      <c r="B623" t="s">
        <v>155</v>
      </c>
      <c r="C623"/>
      <c r="D623" s="23">
        <v>131960.06</v>
      </c>
      <c r="E623">
        <v>11185</v>
      </c>
      <c r="F623">
        <v>11</v>
      </c>
      <c r="G623">
        <v>2656</v>
      </c>
      <c r="H623" t="s">
        <v>118</v>
      </c>
      <c r="I623" s="23">
        <v>131960.06</v>
      </c>
      <c r="J623" s="185">
        <v>46132</v>
      </c>
      <c r="K623" s="185">
        <v>46132</v>
      </c>
      <c r="L623" s="185">
        <v>46162</v>
      </c>
      <c r="M623" s="185">
        <v>46169</v>
      </c>
      <c r="N623"/>
      <c r="O623">
        <v>1010200</v>
      </c>
      <c r="P623" t="s">
        <v>113</v>
      </c>
      <c r="Q623">
        <v>200000100</v>
      </c>
      <c r="R623" t="s">
        <v>15322</v>
      </c>
      <c r="S623"/>
      <c r="T623" t="s">
        <v>15323</v>
      </c>
      <c r="U623" t="s">
        <v>1199</v>
      </c>
      <c r="V623" s="23">
        <v>0</v>
      </c>
      <c r="W623" s="23">
        <v>0</v>
      </c>
      <c r="X623" s="23">
        <v>0</v>
      </c>
      <c r="Y623"/>
      <c r="Z623">
        <v>1246271948</v>
      </c>
      <c r="AA623"/>
      <c r="AB623" t="s">
        <v>1199</v>
      </c>
      <c r="AC623">
        <v>125</v>
      </c>
      <c r="AD623">
        <v>4</v>
      </c>
      <c r="AE623" t="s">
        <v>15324</v>
      </c>
      <c r="AF623" t="s">
        <v>15345</v>
      </c>
      <c r="AG623" s="23">
        <v>26557.200000000001</v>
      </c>
      <c r="AH623" s="265" t="str">
        <f>_xlfn.XLOOKUP(G623,Clientes!I:I,Clientes!F:F)</f>
        <v>ISUSA - URUGUAI</v>
      </c>
    </row>
    <row r="624" spans="1:34" x14ac:dyDescent="0.25">
      <c r="A624">
        <v>40</v>
      </c>
      <c r="B624" t="s">
        <v>155</v>
      </c>
      <c r="C624"/>
      <c r="D624" s="23">
        <v>132178.28</v>
      </c>
      <c r="E624">
        <v>10864</v>
      </c>
      <c r="F624">
        <v>11</v>
      </c>
      <c r="G624">
        <v>9295</v>
      </c>
      <c r="H624" t="s">
        <v>333</v>
      </c>
      <c r="I624" s="23">
        <v>132178.28</v>
      </c>
      <c r="J624" s="185">
        <v>46092</v>
      </c>
      <c r="K624" s="185">
        <v>46092</v>
      </c>
      <c r="L624" s="185">
        <v>46122</v>
      </c>
      <c r="M624" s="185">
        <v>46119</v>
      </c>
      <c r="N624"/>
      <c r="O624">
        <v>1010200</v>
      </c>
      <c r="P624" t="s">
        <v>113</v>
      </c>
      <c r="Q624">
        <v>200000100</v>
      </c>
      <c r="R624" t="s">
        <v>15322</v>
      </c>
      <c r="S624"/>
      <c r="T624" t="s">
        <v>15323</v>
      </c>
      <c r="U624" t="s">
        <v>1199</v>
      </c>
      <c r="V624" s="23">
        <v>0</v>
      </c>
      <c r="W624" s="23">
        <v>0</v>
      </c>
      <c r="X624" s="23">
        <v>0</v>
      </c>
      <c r="Y624"/>
      <c r="Z624">
        <v>1246267425</v>
      </c>
      <c r="AA624"/>
      <c r="AB624" t="s">
        <v>1199</v>
      </c>
      <c r="AC624">
        <v>125</v>
      </c>
      <c r="AD624">
        <v>4</v>
      </c>
      <c r="AE624" t="s">
        <v>15324</v>
      </c>
      <c r="AF624" t="s">
        <v>15373</v>
      </c>
      <c r="AG624" s="23">
        <v>25608</v>
      </c>
      <c r="AH624" s="265" t="str">
        <f>_xlfn.XLOOKUP(G624,Clientes!I:I,Clientes!F:F)</f>
        <v>TECNOMYL S.A. - PARAGUAY</v>
      </c>
    </row>
    <row r="625" spans="1:34" x14ac:dyDescent="0.25">
      <c r="A625">
        <v>40</v>
      </c>
      <c r="B625" t="s">
        <v>155</v>
      </c>
      <c r="C625"/>
      <c r="D625" s="23">
        <v>132185.95000000001</v>
      </c>
      <c r="E625">
        <v>11071</v>
      </c>
      <c r="F625">
        <v>11</v>
      </c>
      <c r="G625">
        <v>9295</v>
      </c>
      <c r="H625" t="s">
        <v>333</v>
      </c>
      <c r="I625" s="23">
        <v>132185.95000000001</v>
      </c>
      <c r="J625" s="185">
        <v>46120</v>
      </c>
      <c r="K625" s="185">
        <v>46120</v>
      </c>
      <c r="L625" s="185">
        <v>46150</v>
      </c>
      <c r="M625" s="185">
        <v>46148</v>
      </c>
      <c r="N625"/>
      <c r="O625">
        <v>1010200</v>
      </c>
      <c r="P625" t="s">
        <v>113</v>
      </c>
      <c r="Q625">
        <v>200000100</v>
      </c>
      <c r="R625" t="s">
        <v>15322</v>
      </c>
      <c r="S625"/>
      <c r="T625" t="s">
        <v>15323</v>
      </c>
      <c r="U625" t="s">
        <v>1199</v>
      </c>
      <c r="V625" s="23">
        <v>0</v>
      </c>
      <c r="W625" s="23">
        <v>0</v>
      </c>
      <c r="X625" s="23">
        <v>0</v>
      </c>
      <c r="Y625"/>
      <c r="Z625">
        <v>1246270621</v>
      </c>
      <c r="AA625"/>
      <c r="AB625" t="s">
        <v>1199</v>
      </c>
      <c r="AC625">
        <v>125</v>
      </c>
      <c r="AD625">
        <v>4</v>
      </c>
      <c r="AE625" t="s">
        <v>15324</v>
      </c>
      <c r="AF625" t="s">
        <v>15370</v>
      </c>
      <c r="AG625" s="23">
        <v>25608</v>
      </c>
      <c r="AH625" s="265" t="str">
        <f>_xlfn.XLOOKUP(G625,Clientes!I:I,Clientes!F:F)</f>
        <v>TECNOMYL S.A. - PARAGUAY</v>
      </c>
    </row>
    <row r="626" spans="1:34" x14ac:dyDescent="0.25">
      <c r="A626">
        <v>40</v>
      </c>
      <c r="B626" t="s">
        <v>155</v>
      </c>
      <c r="C626"/>
      <c r="D626" s="23">
        <v>132309.32999999999</v>
      </c>
      <c r="E626">
        <v>3002</v>
      </c>
      <c r="F626">
        <v>13</v>
      </c>
      <c r="G626">
        <v>2651</v>
      </c>
      <c r="H626" t="s">
        <v>116</v>
      </c>
      <c r="I626" s="23">
        <v>132309.32999999999</v>
      </c>
      <c r="J626" s="185">
        <v>46181</v>
      </c>
      <c r="K626" s="185">
        <v>46181</v>
      </c>
      <c r="L626" s="185">
        <v>46181</v>
      </c>
      <c r="M626" s="185">
        <v>46181</v>
      </c>
      <c r="N626"/>
      <c r="O626">
        <v>1010200</v>
      </c>
      <c r="P626" t="s">
        <v>113</v>
      </c>
      <c r="Q626">
        <v>200000100</v>
      </c>
      <c r="R626" t="s">
        <v>15322</v>
      </c>
      <c r="S626"/>
      <c r="T626" t="s">
        <v>15323</v>
      </c>
      <c r="U626" t="s">
        <v>1199</v>
      </c>
      <c r="V626" s="23">
        <v>0</v>
      </c>
      <c r="W626" s="23">
        <v>0</v>
      </c>
      <c r="X626" s="23">
        <v>0</v>
      </c>
      <c r="Y626"/>
      <c r="Z626">
        <v>1246278532</v>
      </c>
      <c r="AA626"/>
      <c r="AB626" t="s">
        <v>1199</v>
      </c>
      <c r="AC626">
        <v>18</v>
      </c>
      <c r="AD626">
        <v>4</v>
      </c>
      <c r="AE626" t="s">
        <v>15324</v>
      </c>
      <c r="AF626" t="s">
        <v>15639</v>
      </c>
      <c r="AG626" s="23">
        <v>51645</v>
      </c>
      <c r="AH626" s="265" t="str">
        <f>_xlfn.XLOOKUP(G626,Clientes!I:I,Clientes!F:F)</f>
        <v>AGROBROKERS - COLÔMBIA</v>
      </c>
    </row>
    <row r="627" spans="1:34" x14ac:dyDescent="0.25">
      <c r="A627">
        <v>40</v>
      </c>
      <c r="B627" t="s">
        <v>155</v>
      </c>
      <c r="C627"/>
      <c r="D627" s="23">
        <v>132309.32999999999</v>
      </c>
      <c r="E627">
        <v>3002</v>
      </c>
      <c r="F627">
        <v>13</v>
      </c>
      <c r="G627">
        <v>2651</v>
      </c>
      <c r="H627" t="s">
        <v>116</v>
      </c>
      <c r="I627" s="23">
        <v>132309.32999999999</v>
      </c>
      <c r="J627" s="185">
        <v>46181</v>
      </c>
      <c r="K627" s="185">
        <v>46181</v>
      </c>
      <c r="L627" s="185">
        <v>46241</v>
      </c>
      <c r="M627" s="185"/>
      <c r="N627"/>
      <c r="O627">
        <v>1010200</v>
      </c>
      <c r="P627" t="s">
        <v>113</v>
      </c>
      <c r="Q627">
        <v>200000100</v>
      </c>
      <c r="R627" t="s">
        <v>15322</v>
      </c>
      <c r="S627"/>
      <c r="T627" t="s">
        <v>15323</v>
      </c>
      <c r="U627" t="s">
        <v>1964</v>
      </c>
      <c r="V627" s="23">
        <v>0</v>
      </c>
      <c r="W627" s="23">
        <v>0</v>
      </c>
      <c r="X627" s="23">
        <v>0</v>
      </c>
      <c r="Y627"/>
      <c r="Z627">
        <v>1246278533</v>
      </c>
      <c r="AA627"/>
      <c r="AB627"/>
      <c r="AC627">
        <v>102</v>
      </c>
      <c r="AD627">
        <v>4</v>
      </c>
      <c r="AE627" t="s">
        <v>15324</v>
      </c>
      <c r="AF627"/>
      <c r="AG627" s="23"/>
      <c r="AH627" s="265" t="str">
        <f>_xlfn.XLOOKUP(G627,Clientes!I:I,Clientes!F:F)</f>
        <v>AGROBROKERS - COLÔMBIA</v>
      </c>
    </row>
    <row r="628" spans="1:34" x14ac:dyDescent="0.25">
      <c r="A628">
        <v>40</v>
      </c>
      <c r="B628" t="s">
        <v>155</v>
      </c>
      <c r="C628"/>
      <c r="D628" s="23">
        <v>132339.60999999999</v>
      </c>
      <c r="E628">
        <v>11745</v>
      </c>
      <c r="F628">
        <v>11</v>
      </c>
      <c r="G628">
        <v>9295</v>
      </c>
      <c r="H628" t="s">
        <v>333</v>
      </c>
      <c r="I628" s="23">
        <v>132339.60999999999</v>
      </c>
      <c r="J628" s="185">
        <v>46191</v>
      </c>
      <c r="K628" s="185">
        <v>46191</v>
      </c>
      <c r="L628" s="185">
        <v>46221</v>
      </c>
      <c r="M628" s="185"/>
      <c r="N628"/>
      <c r="O628">
        <v>1010200</v>
      </c>
      <c r="P628" t="s">
        <v>113</v>
      </c>
      <c r="Q628">
        <v>200000100</v>
      </c>
      <c r="R628" t="s">
        <v>15322</v>
      </c>
      <c r="S628"/>
      <c r="T628" t="s">
        <v>15323</v>
      </c>
      <c r="U628" t="s">
        <v>1530</v>
      </c>
      <c r="V628" s="23">
        <v>0</v>
      </c>
      <c r="W628" s="23">
        <v>0</v>
      </c>
      <c r="X628" s="23">
        <v>0</v>
      </c>
      <c r="Y628"/>
      <c r="Z628">
        <v>1246280075</v>
      </c>
      <c r="AA628"/>
      <c r="AB628"/>
      <c r="AC628">
        <v>125</v>
      </c>
      <c r="AD628">
        <v>4</v>
      </c>
      <c r="AE628" t="s">
        <v>15324</v>
      </c>
      <c r="AF628"/>
      <c r="AG628" s="23"/>
      <c r="AH628" s="265" t="str">
        <f>_xlfn.XLOOKUP(G628,Clientes!I:I,Clientes!F:F)</f>
        <v>TECNOMYL S.A. - PARAGUAY</v>
      </c>
    </row>
    <row r="629" spans="1:34" x14ac:dyDescent="0.25">
      <c r="A629">
        <v>40</v>
      </c>
      <c r="B629" t="s">
        <v>155</v>
      </c>
      <c r="C629"/>
      <c r="D629" s="23">
        <v>132702.97</v>
      </c>
      <c r="E629">
        <v>11743</v>
      </c>
      <c r="F629">
        <v>11</v>
      </c>
      <c r="G629">
        <v>9295</v>
      </c>
      <c r="H629" t="s">
        <v>333</v>
      </c>
      <c r="I629" s="23">
        <v>132702.97</v>
      </c>
      <c r="J629" s="185">
        <v>46190</v>
      </c>
      <c r="K629" s="185">
        <v>46190</v>
      </c>
      <c r="L629" s="185">
        <v>46220</v>
      </c>
      <c r="M629" s="185"/>
      <c r="N629"/>
      <c r="O629">
        <v>1010200</v>
      </c>
      <c r="P629" t="s">
        <v>113</v>
      </c>
      <c r="Q629">
        <v>200000100</v>
      </c>
      <c r="R629" t="s">
        <v>15322</v>
      </c>
      <c r="S629"/>
      <c r="T629" t="s">
        <v>15323</v>
      </c>
      <c r="U629" t="s">
        <v>5803</v>
      </c>
      <c r="V629" s="23">
        <v>0</v>
      </c>
      <c r="W629" s="23">
        <v>0</v>
      </c>
      <c r="X629" s="23">
        <v>0</v>
      </c>
      <c r="Y629"/>
      <c r="Z629">
        <v>1246279968</v>
      </c>
      <c r="AA629"/>
      <c r="AB629"/>
      <c r="AC629">
        <v>125</v>
      </c>
      <c r="AD629">
        <v>4</v>
      </c>
      <c r="AE629" t="s">
        <v>15324</v>
      </c>
      <c r="AF629"/>
      <c r="AG629" s="23"/>
      <c r="AH629" s="265" t="str">
        <f>_xlfn.XLOOKUP(G629,Clientes!I:I,Clientes!F:F)</f>
        <v>TECNOMYL S.A. - PARAGUAY</v>
      </c>
    </row>
    <row r="630" spans="1:34" x14ac:dyDescent="0.25">
      <c r="A630">
        <v>40</v>
      </c>
      <c r="B630" t="s">
        <v>155</v>
      </c>
      <c r="C630"/>
      <c r="D630" s="23">
        <v>132778.81</v>
      </c>
      <c r="E630">
        <v>11462</v>
      </c>
      <c r="F630">
        <v>11</v>
      </c>
      <c r="G630">
        <v>13329</v>
      </c>
      <c r="H630" t="s">
        <v>346</v>
      </c>
      <c r="I630" s="23">
        <v>132778.81</v>
      </c>
      <c r="J630" s="185">
        <v>46163</v>
      </c>
      <c r="K630" s="185">
        <v>46163</v>
      </c>
      <c r="L630" s="185">
        <v>46193</v>
      </c>
      <c r="M630" s="185">
        <v>46163</v>
      </c>
      <c r="N630"/>
      <c r="O630">
        <v>1010200</v>
      </c>
      <c r="P630" t="s">
        <v>113</v>
      </c>
      <c r="Q630">
        <v>200000100</v>
      </c>
      <c r="R630" t="s">
        <v>15322</v>
      </c>
      <c r="S630"/>
      <c r="T630" t="s">
        <v>15323</v>
      </c>
      <c r="U630" t="s">
        <v>1199</v>
      </c>
      <c r="V630" s="23">
        <v>0</v>
      </c>
      <c r="W630" s="23">
        <v>0</v>
      </c>
      <c r="X630" s="23">
        <v>0</v>
      </c>
      <c r="Y630"/>
      <c r="Z630">
        <v>1246276064</v>
      </c>
      <c r="AA630"/>
      <c r="AB630" t="s">
        <v>1199</v>
      </c>
      <c r="AC630">
        <v>18</v>
      </c>
      <c r="AD630">
        <v>4</v>
      </c>
      <c r="AE630" t="s">
        <v>15324</v>
      </c>
      <c r="AF630" t="s">
        <v>15477</v>
      </c>
      <c r="AG630" s="23">
        <v>26400</v>
      </c>
      <c r="AH630" s="265" t="str">
        <f>_xlfn.XLOOKUP(G630,Clientes!I:I,Clientes!F:F)</f>
        <v>CARGILL PARAGUAI</v>
      </c>
    </row>
    <row r="631" spans="1:34" x14ac:dyDescent="0.25">
      <c r="A631">
        <v>161</v>
      </c>
      <c r="B631" t="s">
        <v>145</v>
      </c>
      <c r="C631"/>
      <c r="D631" s="23">
        <v>133334.43</v>
      </c>
      <c r="E631">
        <v>10971</v>
      </c>
      <c r="F631">
        <v>11</v>
      </c>
      <c r="G631">
        <v>903</v>
      </c>
      <c r="H631" t="s">
        <v>47</v>
      </c>
      <c r="I631" s="23">
        <v>133334.43</v>
      </c>
      <c r="J631" s="185">
        <v>46106</v>
      </c>
      <c r="K631" s="185">
        <v>46106</v>
      </c>
      <c r="L631" s="185">
        <v>46146</v>
      </c>
      <c r="M631" s="185">
        <v>46146</v>
      </c>
      <c r="N631"/>
      <c r="O631">
        <v>1010100</v>
      </c>
      <c r="P631" t="s">
        <v>29</v>
      </c>
      <c r="Q631">
        <v>200000100</v>
      </c>
      <c r="R631" t="s">
        <v>15322</v>
      </c>
      <c r="S631"/>
      <c r="T631" t="s">
        <v>15323</v>
      </c>
      <c r="U631" t="s">
        <v>1530</v>
      </c>
      <c r="V631" s="23">
        <v>0</v>
      </c>
      <c r="W631" s="23">
        <v>0</v>
      </c>
      <c r="X631" s="23">
        <v>0</v>
      </c>
      <c r="Y631"/>
      <c r="Z631">
        <v>1246268951</v>
      </c>
      <c r="AA631"/>
      <c r="AB631" t="s">
        <v>1199</v>
      </c>
      <c r="AC631">
        <v>102</v>
      </c>
      <c r="AD631">
        <v>4</v>
      </c>
      <c r="AE631" t="s">
        <v>15324</v>
      </c>
      <c r="AF631"/>
      <c r="AG631" s="23"/>
      <c r="AH631" s="265" t="str">
        <f>_xlfn.XLOOKUP(G631,Clientes!I:I,Clientes!F:F)</f>
        <v>GRUPO YARA</v>
      </c>
    </row>
    <row r="632" spans="1:34" x14ac:dyDescent="0.25">
      <c r="A632">
        <v>40</v>
      </c>
      <c r="B632" t="s">
        <v>155</v>
      </c>
      <c r="C632"/>
      <c r="D632" s="23">
        <v>133551.97</v>
      </c>
      <c r="E632">
        <v>11439</v>
      </c>
      <c r="F632">
        <v>11</v>
      </c>
      <c r="G632">
        <v>5882</v>
      </c>
      <c r="H632" t="s">
        <v>162</v>
      </c>
      <c r="I632" s="23">
        <v>133551.97</v>
      </c>
      <c r="J632" s="185">
        <v>46161</v>
      </c>
      <c r="K632" s="185">
        <v>46161</v>
      </c>
      <c r="L632" s="185">
        <v>46191</v>
      </c>
      <c r="M632" s="185"/>
      <c r="N632"/>
      <c r="O632">
        <v>1010200</v>
      </c>
      <c r="P632" t="s">
        <v>113</v>
      </c>
      <c r="Q632">
        <v>200000100</v>
      </c>
      <c r="R632" t="s">
        <v>15322</v>
      </c>
      <c r="S632"/>
      <c r="T632" t="s">
        <v>15323</v>
      </c>
      <c r="U632" t="s">
        <v>1199</v>
      </c>
      <c r="V632" s="23">
        <v>0</v>
      </c>
      <c r="W632" s="23">
        <v>0</v>
      </c>
      <c r="X632" s="23">
        <v>0</v>
      </c>
      <c r="Y632"/>
      <c r="Z632">
        <v>1246275785</v>
      </c>
      <c r="AA632"/>
      <c r="AB632"/>
      <c r="AC632">
        <v>102</v>
      </c>
      <c r="AD632">
        <v>4</v>
      </c>
      <c r="AE632" t="s">
        <v>15324</v>
      </c>
      <c r="AF632" t="s">
        <v>15640</v>
      </c>
      <c r="AG632" s="23">
        <v>26664</v>
      </c>
      <c r="AH632" s="265" t="str">
        <f>_xlfn.XLOOKUP(G632,Clientes!I:I,Clientes!F:F)</f>
        <v>ABOPAR - PARAGUAY</v>
      </c>
    </row>
    <row r="633" spans="1:34" x14ac:dyDescent="0.25">
      <c r="A633">
        <v>40</v>
      </c>
      <c r="B633" t="s">
        <v>155</v>
      </c>
      <c r="C633"/>
      <c r="D633" s="23">
        <v>133756.12</v>
      </c>
      <c r="E633">
        <v>11522</v>
      </c>
      <c r="F633">
        <v>11</v>
      </c>
      <c r="G633">
        <v>15543</v>
      </c>
      <c r="H633" t="s">
        <v>716</v>
      </c>
      <c r="I633" s="23">
        <v>133756.12</v>
      </c>
      <c r="J633" s="185">
        <v>46169</v>
      </c>
      <c r="K633" s="185">
        <v>46169</v>
      </c>
      <c r="L633" s="185">
        <v>46259</v>
      </c>
      <c r="M633" s="185"/>
      <c r="N633"/>
      <c r="O633">
        <v>1010200</v>
      </c>
      <c r="P633" t="s">
        <v>113</v>
      </c>
      <c r="Q633">
        <v>200000100</v>
      </c>
      <c r="R633" t="s">
        <v>15322</v>
      </c>
      <c r="S633"/>
      <c r="T633" t="s">
        <v>15323</v>
      </c>
      <c r="U633" t="s">
        <v>1216</v>
      </c>
      <c r="V633" s="23">
        <v>0</v>
      </c>
      <c r="W633" s="23">
        <v>0</v>
      </c>
      <c r="X633" s="23">
        <v>0</v>
      </c>
      <c r="Y633"/>
      <c r="Z633">
        <v>1246277124</v>
      </c>
      <c r="AA633"/>
      <c r="AB633"/>
      <c r="AC633">
        <v>125</v>
      </c>
      <c r="AD633">
        <v>4</v>
      </c>
      <c r="AE633" t="s">
        <v>15324</v>
      </c>
      <c r="AF633"/>
      <c r="AG633" s="23"/>
      <c r="AH633" s="265" t="str">
        <f>_xlfn.XLOOKUP(G633,Clientes!I:I,Clientes!F:F)</f>
        <v>GOTLAND EQUADOR (SOLINAG)</v>
      </c>
    </row>
    <row r="634" spans="1:34" x14ac:dyDescent="0.25">
      <c r="A634">
        <v>161</v>
      </c>
      <c r="B634" t="s">
        <v>145</v>
      </c>
      <c r="C634"/>
      <c r="D634" s="23">
        <v>134144.70000000001</v>
      </c>
      <c r="E634">
        <v>11425</v>
      </c>
      <c r="F634">
        <v>11</v>
      </c>
      <c r="G634">
        <v>903</v>
      </c>
      <c r="H634" t="s">
        <v>47</v>
      </c>
      <c r="I634" s="23">
        <v>134144.70000000001</v>
      </c>
      <c r="J634" s="185">
        <v>46160</v>
      </c>
      <c r="K634" s="185">
        <v>46160</v>
      </c>
      <c r="L634" s="185">
        <v>46200</v>
      </c>
      <c r="M634" s="185"/>
      <c r="N634"/>
      <c r="O634">
        <v>1010100</v>
      </c>
      <c r="P634" t="s">
        <v>29</v>
      </c>
      <c r="Q634">
        <v>200000100</v>
      </c>
      <c r="R634" t="s">
        <v>15322</v>
      </c>
      <c r="S634"/>
      <c r="T634" t="s">
        <v>15323</v>
      </c>
      <c r="U634" t="s">
        <v>4502</v>
      </c>
      <c r="V634" s="23">
        <v>0</v>
      </c>
      <c r="W634" s="23">
        <v>0</v>
      </c>
      <c r="X634" s="23">
        <v>0</v>
      </c>
      <c r="Y634"/>
      <c r="Z634">
        <v>1246275599</v>
      </c>
      <c r="AA634"/>
      <c r="AB634"/>
      <c r="AC634">
        <v>102</v>
      </c>
      <c r="AD634">
        <v>4</v>
      </c>
      <c r="AE634" t="s">
        <v>15324</v>
      </c>
      <c r="AF634"/>
      <c r="AG634" s="23"/>
      <c r="AH634" s="265" t="str">
        <f>_xlfn.XLOOKUP(G634,Clientes!I:I,Clientes!F:F)</f>
        <v>GRUPO YARA</v>
      </c>
    </row>
    <row r="635" spans="1:34" x14ac:dyDescent="0.25">
      <c r="A635">
        <v>161</v>
      </c>
      <c r="B635" t="s">
        <v>145</v>
      </c>
      <c r="C635"/>
      <c r="D635" s="23">
        <v>134324.76</v>
      </c>
      <c r="E635">
        <v>10830</v>
      </c>
      <c r="F635">
        <v>11</v>
      </c>
      <c r="G635">
        <v>903</v>
      </c>
      <c r="H635" t="s">
        <v>47</v>
      </c>
      <c r="I635" s="23">
        <v>134324.76</v>
      </c>
      <c r="J635" s="185">
        <v>46087</v>
      </c>
      <c r="K635" s="185">
        <v>46087</v>
      </c>
      <c r="L635" s="185">
        <v>46127</v>
      </c>
      <c r="M635" s="185">
        <v>46127</v>
      </c>
      <c r="N635"/>
      <c r="O635">
        <v>1010100</v>
      </c>
      <c r="P635" t="s">
        <v>29</v>
      </c>
      <c r="Q635">
        <v>200000100</v>
      </c>
      <c r="R635" t="s">
        <v>15322</v>
      </c>
      <c r="S635"/>
      <c r="T635" t="s">
        <v>15323</v>
      </c>
      <c r="U635" t="s">
        <v>2246</v>
      </c>
      <c r="V635" s="23">
        <v>0</v>
      </c>
      <c r="W635" s="23">
        <v>0</v>
      </c>
      <c r="X635" s="23">
        <v>0</v>
      </c>
      <c r="Y635"/>
      <c r="Z635">
        <v>1246266872</v>
      </c>
      <c r="AA635"/>
      <c r="AB635" t="s">
        <v>2073</v>
      </c>
      <c r="AC635">
        <v>102</v>
      </c>
      <c r="AD635">
        <v>4</v>
      </c>
      <c r="AE635" t="s">
        <v>15324</v>
      </c>
      <c r="AF635"/>
      <c r="AG635" s="23"/>
      <c r="AH635" s="265" t="str">
        <f>_xlfn.XLOOKUP(G635,Clientes!I:I,Clientes!F:F)</f>
        <v>GRUPO YARA</v>
      </c>
    </row>
    <row r="636" spans="1:34" x14ac:dyDescent="0.25">
      <c r="A636">
        <v>161</v>
      </c>
      <c r="B636" t="s">
        <v>145</v>
      </c>
      <c r="C636"/>
      <c r="D636" s="23">
        <v>134414.79</v>
      </c>
      <c r="E636">
        <v>10755</v>
      </c>
      <c r="F636">
        <v>11</v>
      </c>
      <c r="G636">
        <v>903</v>
      </c>
      <c r="H636" t="s">
        <v>47</v>
      </c>
      <c r="I636" s="23">
        <v>134414.79</v>
      </c>
      <c r="J636" s="185">
        <v>46077</v>
      </c>
      <c r="K636" s="185">
        <v>46077</v>
      </c>
      <c r="L636" s="185">
        <v>46117</v>
      </c>
      <c r="M636" s="185">
        <v>46118</v>
      </c>
      <c r="N636"/>
      <c r="O636">
        <v>1010100</v>
      </c>
      <c r="P636" t="s">
        <v>29</v>
      </c>
      <c r="Q636">
        <v>200000100</v>
      </c>
      <c r="R636" t="s">
        <v>15322</v>
      </c>
      <c r="S636"/>
      <c r="T636" t="s">
        <v>15323</v>
      </c>
      <c r="U636" t="s">
        <v>2246</v>
      </c>
      <c r="V636" s="23">
        <v>0</v>
      </c>
      <c r="W636" s="23">
        <v>0</v>
      </c>
      <c r="X636" s="23">
        <v>0</v>
      </c>
      <c r="Y636"/>
      <c r="Z636">
        <v>1246264770</v>
      </c>
      <c r="AA636"/>
      <c r="AB636" t="s">
        <v>1199</v>
      </c>
      <c r="AC636">
        <v>102</v>
      </c>
      <c r="AD636">
        <v>4</v>
      </c>
      <c r="AE636" t="s">
        <v>15324</v>
      </c>
      <c r="AF636"/>
      <c r="AG636" s="23"/>
      <c r="AH636" s="265" t="str">
        <f>_xlfn.XLOOKUP(G636,Clientes!I:I,Clientes!F:F)</f>
        <v>GRUPO YARA</v>
      </c>
    </row>
    <row r="637" spans="1:34" x14ac:dyDescent="0.25">
      <c r="A637">
        <v>161</v>
      </c>
      <c r="B637" t="s">
        <v>145</v>
      </c>
      <c r="C637"/>
      <c r="D637" s="23">
        <v>134504.82</v>
      </c>
      <c r="E637">
        <v>11098</v>
      </c>
      <c r="F637">
        <v>11</v>
      </c>
      <c r="G637">
        <v>903</v>
      </c>
      <c r="H637" t="s">
        <v>47</v>
      </c>
      <c r="I637" s="23">
        <v>134504.82</v>
      </c>
      <c r="J637" s="185">
        <v>46122</v>
      </c>
      <c r="K637" s="185">
        <v>46122</v>
      </c>
      <c r="L637" s="185">
        <v>46162</v>
      </c>
      <c r="M637" s="185">
        <v>46162</v>
      </c>
      <c r="N637"/>
      <c r="O637">
        <v>1010100</v>
      </c>
      <c r="P637" t="s">
        <v>29</v>
      </c>
      <c r="Q637">
        <v>200000100</v>
      </c>
      <c r="R637" t="s">
        <v>15322</v>
      </c>
      <c r="S637"/>
      <c r="T637" t="s">
        <v>15323</v>
      </c>
      <c r="U637" t="s">
        <v>1964</v>
      </c>
      <c r="V637" s="23">
        <v>0</v>
      </c>
      <c r="W637" s="23">
        <v>0</v>
      </c>
      <c r="X637" s="23">
        <v>0</v>
      </c>
      <c r="Y637"/>
      <c r="Z637">
        <v>1246271047</v>
      </c>
      <c r="AA637"/>
      <c r="AB637" t="s">
        <v>1199</v>
      </c>
      <c r="AC637">
        <v>102</v>
      </c>
      <c r="AD637">
        <v>4</v>
      </c>
      <c r="AE637" t="s">
        <v>15324</v>
      </c>
      <c r="AF637"/>
      <c r="AG637" s="23"/>
      <c r="AH637" s="265" t="str">
        <f>_xlfn.XLOOKUP(G637,Clientes!I:I,Clientes!F:F)</f>
        <v>GRUPO YARA</v>
      </c>
    </row>
    <row r="638" spans="1:34" x14ac:dyDescent="0.25">
      <c r="A638">
        <v>161</v>
      </c>
      <c r="B638" t="s">
        <v>145</v>
      </c>
      <c r="C638"/>
      <c r="D638" s="23">
        <v>134594.85</v>
      </c>
      <c r="E638">
        <v>11034</v>
      </c>
      <c r="F638">
        <v>11</v>
      </c>
      <c r="G638">
        <v>903</v>
      </c>
      <c r="H638" t="s">
        <v>47</v>
      </c>
      <c r="I638" s="23">
        <v>134594.85</v>
      </c>
      <c r="J638" s="185">
        <v>46114</v>
      </c>
      <c r="K638" s="185">
        <v>46114</v>
      </c>
      <c r="L638" s="185">
        <v>46154</v>
      </c>
      <c r="M638" s="185">
        <v>46154</v>
      </c>
      <c r="N638"/>
      <c r="O638">
        <v>1010100</v>
      </c>
      <c r="P638" t="s">
        <v>29</v>
      </c>
      <c r="Q638">
        <v>200000100</v>
      </c>
      <c r="R638" t="s">
        <v>15322</v>
      </c>
      <c r="S638"/>
      <c r="T638" t="s">
        <v>15323</v>
      </c>
      <c r="U638" t="s">
        <v>1530</v>
      </c>
      <c r="V638" s="23">
        <v>0</v>
      </c>
      <c r="W638" s="23">
        <v>0</v>
      </c>
      <c r="X638" s="23">
        <v>0</v>
      </c>
      <c r="Y638"/>
      <c r="Z638">
        <v>1246270087</v>
      </c>
      <c r="AA638"/>
      <c r="AB638" t="s">
        <v>1199</v>
      </c>
      <c r="AC638">
        <v>102</v>
      </c>
      <c r="AD638">
        <v>4</v>
      </c>
      <c r="AE638" t="s">
        <v>15324</v>
      </c>
      <c r="AF638"/>
      <c r="AG638" s="23"/>
      <c r="AH638" s="265" t="str">
        <f>_xlfn.XLOOKUP(G638,Clientes!I:I,Clientes!F:F)</f>
        <v>GRUPO YARA</v>
      </c>
    </row>
    <row r="639" spans="1:34" x14ac:dyDescent="0.25">
      <c r="A639">
        <v>161</v>
      </c>
      <c r="B639" t="s">
        <v>145</v>
      </c>
      <c r="C639"/>
      <c r="D639" s="23">
        <v>134594.85</v>
      </c>
      <c r="E639">
        <v>11754</v>
      </c>
      <c r="F639">
        <v>11</v>
      </c>
      <c r="G639">
        <v>903</v>
      </c>
      <c r="H639" t="s">
        <v>47</v>
      </c>
      <c r="I639" s="23">
        <v>134594.85</v>
      </c>
      <c r="J639" s="185">
        <v>46191</v>
      </c>
      <c r="K639" s="185">
        <v>46191</v>
      </c>
      <c r="L639" s="185">
        <v>46231</v>
      </c>
      <c r="M639" s="185"/>
      <c r="N639"/>
      <c r="O639">
        <v>1010100</v>
      </c>
      <c r="P639" t="s">
        <v>29</v>
      </c>
      <c r="Q639">
        <v>200000100</v>
      </c>
      <c r="R639" t="s">
        <v>15322</v>
      </c>
      <c r="S639"/>
      <c r="T639" t="s">
        <v>15323</v>
      </c>
      <c r="U639" t="s">
        <v>4502</v>
      </c>
      <c r="V639" s="23">
        <v>0</v>
      </c>
      <c r="W639" s="23">
        <v>0</v>
      </c>
      <c r="X639" s="23">
        <v>0</v>
      </c>
      <c r="Y639"/>
      <c r="Z639">
        <v>1246280145</v>
      </c>
      <c r="AA639"/>
      <c r="AB639"/>
      <c r="AC639">
        <v>102</v>
      </c>
      <c r="AD639">
        <v>4</v>
      </c>
      <c r="AE639" t="s">
        <v>15324</v>
      </c>
      <c r="AF639"/>
      <c r="AG639" s="23"/>
      <c r="AH639" s="265" t="str">
        <f>_xlfn.XLOOKUP(G639,Clientes!I:I,Clientes!F:F)</f>
        <v>GRUPO YARA</v>
      </c>
    </row>
    <row r="640" spans="1:34" x14ac:dyDescent="0.25">
      <c r="A640">
        <v>161</v>
      </c>
      <c r="B640" t="s">
        <v>145</v>
      </c>
      <c r="C640"/>
      <c r="D640" s="23">
        <v>134684.88</v>
      </c>
      <c r="E640">
        <v>10458</v>
      </c>
      <c r="F640">
        <v>11</v>
      </c>
      <c r="G640">
        <v>903</v>
      </c>
      <c r="H640" t="s">
        <v>47</v>
      </c>
      <c r="I640" s="23">
        <v>134684.88</v>
      </c>
      <c r="J640" s="185">
        <v>46034</v>
      </c>
      <c r="K640" s="185">
        <v>46034</v>
      </c>
      <c r="L640" s="185">
        <v>46074</v>
      </c>
      <c r="M640" s="185">
        <v>46076</v>
      </c>
      <c r="N640"/>
      <c r="O640">
        <v>1010100</v>
      </c>
      <c r="P640" t="s">
        <v>29</v>
      </c>
      <c r="Q640">
        <v>200000100</v>
      </c>
      <c r="R640" t="s">
        <v>15322</v>
      </c>
      <c r="S640"/>
      <c r="T640" t="s">
        <v>15323</v>
      </c>
      <c r="U640" t="s">
        <v>4468</v>
      </c>
      <c r="V640" s="23">
        <v>0</v>
      </c>
      <c r="W640" s="23">
        <v>0</v>
      </c>
      <c r="X640" s="23">
        <v>0</v>
      </c>
      <c r="Y640"/>
      <c r="Z640">
        <v>1246259136</v>
      </c>
      <c r="AA640"/>
      <c r="AB640" t="s">
        <v>1199</v>
      </c>
      <c r="AC640">
        <v>102</v>
      </c>
      <c r="AD640">
        <v>4</v>
      </c>
      <c r="AE640" t="s">
        <v>15324</v>
      </c>
      <c r="AF640"/>
      <c r="AG640" s="23"/>
      <c r="AH640" s="265" t="str">
        <f>_xlfn.XLOOKUP(G640,Clientes!I:I,Clientes!F:F)</f>
        <v>GRUPO YARA</v>
      </c>
    </row>
    <row r="641" spans="1:34" x14ac:dyDescent="0.25">
      <c r="A641">
        <v>161</v>
      </c>
      <c r="B641" t="s">
        <v>145</v>
      </c>
      <c r="C641"/>
      <c r="D641" s="23">
        <v>134774.91</v>
      </c>
      <c r="E641">
        <v>11266</v>
      </c>
      <c r="F641">
        <v>11</v>
      </c>
      <c r="G641">
        <v>903</v>
      </c>
      <c r="H641" t="s">
        <v>47</v>
      </c>
      <c r="I641" s="23">
        <v>134774.91</v>
      </c>
      <c r="J641" s="185">
        <v>46142</v>
      </c>
      <c r="K641" s="185">
        <v>46142</v>
      </c>
      <c r="L641" s="185">
        <v>46182</v>
      </c>
      <c r="M641" s="185">
        <v>46182</v>
      </c>
      <c r="N641"/>
      <c r="O641">
        <v>1010100</v>
      </c>
      <c r="P641" t="s">
        <v>29</v>
      </c>
      <c r="Q641">
        <v>200000100</v>
      </c>
      <c r="R641" t="s">
        <v>15322</v>
      </c>
      <c r="S641"/>
      <c r="T641" t="s">
        <v>15323</v>
      </c>
      <c r="U641" t="s">
        <v>4502</v>
      </c>
      <c r="V641" s="23">
        <v>0</v>
      </c>
      <c r="W641" s="23">
        <v>0</v>
      </c>
      <c r="X641" s="23">
        <v>0</v>
      </c>
      <c r="Y641"/>
      <c r="Z641">
        <v>1246273177</v>
      </c>
      <c r="AA641"/>
      <c r="AB641" t="s">
        <v>1199</v>
      </c>
      <c r="AC641">
        <v>102</v>
      </c>
      <c r="AD641">
        <v>4</v>
      </c>
      <c r="AE641" t="s">
        <v>15324</v>
      </c>
      <c r="AF641"/>
      <c r="AG641" s="23"/>
      <c r="AH641" s="265" t="str">
        <f>_xlfn.XLOOKUP(G641,Clientes!I:I,Clientes!F:F)</f>
        <v>GRUPO YARA</v>
      </c>
    </row>
    <row r="642" spans="1:34" x14ac:dyDescent="0.25">
      <c r="A642">
        <v>161</v>
      </c>
      <c r="B642" t="s">
        <v>145</v>
      </c>
      <c r="C642"/>
      <c r="D642" s="23">
        <v>134864.94</v>
      </c>
      <c r="E642">
        <v>10792</v>
      </c>
      <c r="F642">
        <v>11</v>
      </c>
      <c r="G642">
        <v>903</v>
      </c>
      <c r="H642" t="s">
        <v>47</v>
      </c>
      <c r="I642" s="23">
        <v>134864.94</v>
      </c>
      <c r="J642" s="185">
        <v>46083</v>
      </c>
      <c r="K642" s="185">
        <v>46083</v>
      </c>
      <c r="L642" s="185">
        <v>46123</v>
      </c>
      <c r="M642" s="185">
        <v>46125</v>
      </c>
      <c r="N642"/>
      <c r="O642">
        <v>1010100</v>
      </c>
      <c r="P642" t="s">
        <v>29</v>
      </c>
      <c r="Q642">
        <v>200000100</v>
      </c>
      <c r="R642" t="s">
        <v>15322</v>
      </c>
      <c r="S642"/>
      <c r="T642" t="s">
        <v>15323</v>
      </c>
      <c r="U642" t="s">
        <v>1964</v>
      </c>
      <c r="V642" s="23">
        <v>0</v>
      </c>
      <c r="W642" s="23">
        <v>0</v>
      </c>
      <c r="X642" s="23">
        <v>0</v>
      </c>
      <c r="Y642"/>
      <c r="Z642">
        <v>1246265910</v>
      </c>
      <c r="AA642"/>
      <c r="AB642" t="s">
        <v>2073</v>
      </c>
      <c r="AC642">
        <v>102</v>
      </c>
      <c r="AD642">
        <v>4</v>
      </c>
      <c r="AE642" t="s">
        <v>15324</v>
      </c>
      <c r="AF642"/>
      <c r="AG642" s="23"/>
      <c r="AH642" s="265" t="str">
        <f>_xlfn.XLOOKUP(G642,Clientes!I:I,Clientes!F:F)</f>
        <v>GRUPO YARA</v>
      </c>
    </row>
    <row r="643" spans="1:34" x14ac:dyDescent="0.25">
      <c r="A643">
        <v>161</v>
      </c>
      <c r="B643" t="s">
        <v>145</v>
      </c>
      <c r="C643"/>
      <c r="D643" s="23">
        <v>134864.94</v>
      </c>
      <c r="E643">
        <v>10990</v>
      </c>
      <c r="F643">
        <v>11</v>
      </c>
      <c r="G643">
        <v>903</v>
      </c>
      <c r="H643" t="s">
        <v>47</v>
      </c>
      <c r="I643" s="23">
        <v>134864.94</v>
      </c>
      <c r="J643" s="185">
        <v>46108</v>
      </c>
      <c r="K643" s="185">
        <v>46108</v>
      </c>
      <c r="L643" s="185">
        <v>46148</v>
      </c>
      <c r="M643" s="185">
        <v>46148</v>
      </c>
      <c r="N643"/>
      <c r="O643">
        <v>1010100</v>
      </c>
      <c r="P643" t="s">
        <v>29</v>
      </c>
      <c r="Q643">
        <v>200000100</v>
      </c>
      <c r="R643" t="s">
        <v>15322</v>
      </c>
      <c r="S643"/>
      <c r="T643" t="s">
        <v>15323</v>
      </c>
      <c r="U643" t="s">
        <v>4502</v>
      </c>
      <c r="V643" s="23">
        <v>0</v>
      </c>
      <c r="W643" s="23">
        <v>0</v>
      </c>
      <c r="X643" s="23">
        <v>0</v>
      </c>
      <c r="Y643"/>
      <c r="Z643">
        <v>1246269425</v>
      </c>
      <c r="AA643"/>
      <c r="AB643" t="s">
        <v>1199</v>
      </c>
      <c r="AC643">
        <v>102</v>
      </c>
      <c r="AD643">
        <v>4</v>
      </c>
      <c r="AE643" t="s">
        <v>15324</v>
      </c>
      <c r="AF643"/>
      <c r="AG643" s="23"/>
      <c r="AH643" s="265" t="str">
        <f>_xlfn.XLOOKUP(G643,Clientes!I:I,Clientes!F:F)</f>
        <v>GRUPO YARA</v>
      </c>
    </row>
    <row r="644" spans="1:34" x14ac:dyDescent="0.25">
      <c r="A644">
        <v>161</v>
      </c>
      <c r="B644" t="s">
        <v>145</v>
      </c>
      <c r="C644"/>
      <c r="D644" s="23">
        <v>134864.94</v>
      </c>
      <c r="E644">
        <v>11515</v>
      </c>
      <c r="F644">
        <v>11</v>
      </c>
      <c r="G644">
        <v>903</v>
      </c>
      <c r="H644" t="s">
        <v>47</v>
      </c>
      <c r="I644" s="23">
        <v>134864.94</v>
      </c>
      <c r="J644" s="185">
        <v>46169</v>
      </c>
      <c r="K644" s="185">
        <v>46169</v>
      </c>
      <c r="L644" s="185">
        <v>46209</v>
      </c>
      <c r="M644" s="185"/>
      <c r="N644"/>
      <c r="O644">
        <v>1010100</v>
      </c>
      <c r="P644" t="s">
        <v>29</v>
      </c>
      <c r="Q644">
        <v>200000100</v>
      </c>
      <c r="R644" t="s">
        <v>15322</v>
      </c>
      <c r="S644"/>
      <c r="T644" t="s">
        <v>15323</v>
      </c>
      <c r="U644" t="s">
        <v>4502</v>
      </c>
      <c r="V644" s="23">
        <v>0</v>
      </c>
      <c r="W644" s="23">
        <v>0</v>
      </c>
      <c r="X644" s="23">
        <v>0</v>
      </c>
      <c r="Y644"/>
      <c r="Z644">
        <v>1246277080</v>
      </c>
      <c r="AA644"/>
      <c r="AB644"/>
      <c r="AC644">
        <v>102</v>
      </c>
      <c r="AD644">
        <v>4</v>
      </c>
      <c r="AE644" t="s">
        <v>15324</v>
      </c>
      <c r="AF644"/>
      <c r="AG644" s="23"/>
      <c r="AH644" s="265" t="str">
        <f>_xlfn.XLOOKUP(G644,Clientes!I:I,Clientes!F:F)</f>
        <v>GRUPO YARA</v>
      </c>
    </row>
    <row r="645" spans="1:34" x14ac:dyDescent="0.25">
      <c r="A645">
        <v>161</v>
      </c>
      <c r="B645" t="s">
        <v>145</v>
      </c>
      <c r="C645"/>
      <c r="D645" s="23">
        <v>134954.97</v>
      </c>
      <c r="E645">
        <v>11345</v>
      </c>
      <c r="F645">
        <v>11</v>
      </c>
      <c r="G645">
        <v>903</v>
      </c>
      <c r="H645" t="s">
        <v>47</v>
      </c>
      <c r="I645" s="23">
        <v>134954.97</v>
      </c>
      <c r="J645" s="185">
        <v>46153</v>
      </c>
      <c r="K645" s="185">
        <v>46153</v>
      </c>
      <c r="L645" s="185">
        <v>46193</v>
      </c>
      <c r="M645" s="185">
        <v>46195</v>
      </c>
      <c r="N645"/>
      <c r="O645">
        <v>1010100</v>
      </c>
      <c r="P645" t="s">
        <v>29</v>
      </c>
      <c r="Q645">
        <v>200000100</v>
      </c>
      <c r="R645" t="s">
        <v>15322</v>
      </c>
      <c r="S645"/>
      <c r="T645" t="s">
        <v>15323</v>
      </c>
      <c r="U645" t="s">
        <v>1530</v>
      </c>
      <c r="V645" s="23">
        <v>0</v>
      </c>
      <c r="W645" s="23">
        <v>0</v>
      </c>
      <c r="X645" s="23">
        <v>0</v>
      </c>
      <c r="Y645"/>
      <c r="Z645">
        <v>1246274309</v>
      </c>
      <c r="AA645"/>
      <c r="AB645" t="s">
        <v>1199</v>
      </c>
      <c r="AC645">
        <v>102</v>
      </c>
      <c r="AD645">
        <v>4</v>
      </c>
      <c r="AE645" t="s">
        <v>15324</v>
      </c>
      <c r="AF645"/>
      <c r="AG645" s="23"/>
      <c r="AH645" s="265" t="str">
        <f>_xlfn.XLOOKUP(G645,Clientes!I:I,Clientes!F:F)</f>
        <v>GRUPO YARA</v>
      </c>
    </row>
    <row r="646" spans="1:34" x14ac:dyDescent="0.25">
      <c r="A646">
        <v>161</v>
      </c>
      <c r="B646" t="s">
        <v>145</v>
      </c>
      <c r="C646"/>
      <c r="D646" s="23">
        <v>134954.97</v>
      </c>
      <c r="E646">
        <v>10610</v>
      </c>
      <c r="F646">
        <v>11</v>
      </c>
      <c r="G646">
        <v>903</v>
      </c>
      <c r="H646" t="s">
        <v>47</v>
      </c>
      <c r="I646" s="23">
        <v>134954.97</v>
      </c>
      <c r="J646" s="185">
        <v>46052</v>
      </c>
      <c r="K646" s="185">
        <v>46052</v>
      </c>
      <c r="L646" s="185">
        <v>46092</v>
      </c>
      <c r="M646" s="185">
        <v>46092</v>
      </c>
      <c r="N646"/>
      <c r="O646">
        <v>1010100</v>
      </c>
      <c r="P646" t="s">
        <v>29</v>
      </c>
      <c r="Q646">
        <v>200000100</v>
      </c>
      <c r="R646" t="s">
        <v>15322</v>
      </c>
      <c r="S646"/>
      <c r="T646" t="s">
        <v>15323</v>
      </c>
      <c r="U646" t="s">
        <v>1964</v>
      </c>
      <c r="V646" s="23">
        <v>0</v>
      </c>
      <c r="W646" s="23">
        <v>0</v>
      </c>
      <c r="X646" s="23">
        <v>0</v>
      </c>
      <c r="Y646"/>
      <c r="Z646">
        <v>1246261696</v>
      </c>
      <c r="AA646"/>
      <c r="AB646" t="s">
        <v>1199</v>
      </c>
      <c r="AC646">
        <v>102</v>
      </c>
      <c r="AD646">
        <v>4</v>
      </c>
      <c r="AE646" t="s">
        <v>15324</v>
      </c>
      <c r="AF646"/>
      <c r="AG646" s="23"/>
      <c r="AH646" s="265" t="str">
        <f>_xlfn.XLOOKUP(G646,Clientes!I:I,Clientes!F:F)</f>
        <v>GRUPO YARA</v>
      </c>
    </row>
    <row r="647" spans="1:34" x14ac:dyDescent="0.25">
      <c r="A647">
        <v>161</v>
      </c>
      <c r="B647" t="s">
        <v>145</v>
      </c>
      <c r="C647"/>
      <c r="D647" s="23">
        <v>135045</v>
      </c>
      <c r="E647">
        <v>10654</v>
      </c>
      <c r="F647">
        <v>11</v>
      </c>
      <c r="G647">
        <v>903</v>
      </c>
      <c r="H647" t="s">
        <v>47</v>
      </c>
      <c r="I647" s="23">
        <v>135045</v>
      </c>
      <c r="J647" s="185">
        <v>46059</v>
      </c>
      <c r="K647" s="185">
        <v>46059</v>
      </c>
      <c r="L647" s="185">
        <v>46099</v>
      </c>
      <c r="M647" s="185">
        <v>46099</v>
      </c>
      <c r="N647"/>
      <c r="O647">
        <v>1010100</v>
      </c>
      <c r="P647" t="s">
        <v>29</v>
      </c>
      <c r="Q647">
        <v>200000100</v>
      </c>
      <c r="R647" t="s">
        <v>15322</v>
      </c>
      <c r="S647"/>
      <c r="T647" t="s">
        <v>15323</v>
      </c>
      <c r="U647" t="s">
        <v>5803</v>
      </c>
      <c r="V647" s="23">
        <v>0</v>
      </c>
      <c r="W647" s="23">
        <v>0</v>
      </c>
      <c r="X647" s="23">
        <v>0</v>
      </c>
      <c r="Y647"/>
      <c r="Z647">
        <v>1246262620</v>
      </c>
      <c r="AA647"/>
      <c r="AB647" t="s">
        <v>1199</v>
      </c>
      <c r="AC647">
        <v>102</v>
      </c>
      <c r="AD647">
        <v>4</v>
      </c>
      <c r="AE647" t="s">
        <v>15324</v>
      </c>
      <c r="AF647"/>
      <c r="AG647" s="23"/>
      <c r="AH647" s="265" t="str">
        <f>_xlfn.XLOOKUP(G647,Clientes!I:I,Clientes!F:F)</f>
        <v>GRUPO YARA</v>
      </c>
    </row>
    <row r="648" spans="1:34" x14ac:dyDescent="0.25">
      <c r="A648">
        <v>161</v>
      </c>
      <c r="B648" t="s">
        <v>145</v>
      </c>
      <c r="C648"/>
      <c r="D648" s="23">
        <v>135135.03</v>
      </c>
      <c r="E648">
        <v>11199</v>
      </c>
      <c r="F648">
        <v>11</v>
      </c>
      <c r="G648">
        <v>903</v>
      </c>
      <c r="H648" t="s">
        <v>47</v>
      </c>
      <c r="I648" s="23">
        <v>135135.03</v>
      </c>
      <c r="J648" s="185">
        <v>46135</v>
      </c>
      <c r="K648" s="185">
        <v>46135</v>
      </c>
      <c r="L648" s="185">
        <v>46175</v>
      </c>
      <c r="M648" s="185">
        <v>46175</v>
      </c>
      <c r="N648"/>
      <c r="O648">
        <v>1010100</v>
      </c>
      <c r="P648" t="s">
        <v>29</v>
      </c>
      <c r="Q648">
        <v>200000100</v>
      </c>
      <c r="R648" t="s">
        <v>15322</v>
      </c>
      <c r="S648"/>
      <c r="T648" t="s">
        <v>15323</v>
      </c>
      <c r="U648" t="s">
        <v>5803</v>
      </c>
      <c r="V648" s="23">
        <v>0</v>
      </c>
      <c r="W648" s="23">
        <v>0</v>
      </c>
      <c r="X648" s="23">
        <v>0</v>
      </c>
      <c r="Y648"/>
      <c r="Z648">
        <v>1246272230</v>
      </c>
      <c r="AA648"/>
      <c r="AB648" t="s">
        <v>1199</v>
      </c>
      <c r="AC648">
        <v>102</v>
      </c>
      <c r="AD648">
        <v>4</v>
      </c>
      <c r="AE648" t="s">
        <v>15324</v>
      </c>
      <c r="AF648"/>
      <c r="AG648" s="23"/>
      <c r="AH648" s="265" t="str">
        <f>_xlfn.XLOOKUP(G648,Clientes!I:I,Clientes!F:F)</f>
        <v>GRUPO YARA</v>
      </c>
    </row>
    <row r="649" spans="1:34" x14ac:dyDescent="0.25">
      <c r="A649">
        <v>161</v>
      </c>
      <c r="B649" t="s">
        <v>145</v>
      </c>
      <c r="C649"/>
      <c r="D649" s="23">
        <v>135405.12</v>
      </c>
      <c r="E649">
        <v>11479</v>
      </c>
      <c r="F649">
        <v>11</v>
      </c>
      <c r="G649">
        <v>903</v>
      </c>
      <c r="H649" t="s">
        <v>47</v>
      </c>
      <c r="I649" s="23">
        <v>135405.12</v>
      </c>
      <c r="J649" s="185">
        <v>46164</v>
      </c>
      <c r="K649" s="185">
        <v>46164</v>
      </c>
      <c r="L649" s="185">
        <v>46204</v>
      </c>
      <c r="M649" s="185"/>
      <c r="N649"/>
      <c r="O649">
        <v>1010100</v>
      </c>
      <c r="P649" t="s">
        <v>29</v>
      </c>
      <c r="Q649">
        <v>200000100</v>
      </c>
      <c r="R649" t="s">
        <v>15322</v>
      </c>
      <c r="S649"/>
      <c r="T649" t="s">
        <v>15323</v>
      </c>
      <c r="U649" t="s">
        <v>1530</v>
      </c>
      <c r="V649" s="23">
        <v>0</v>
      </c>
      <c r="W649" s="23">
        <v>0</v>
      </c>
      <c r="X649" s="23">
        <v>0</v>
      </c>
      <c r="Y649"/>
      <c r="Z649">
        <v>1246276406</v>
      </c>
      <c r="AA649"/>
      <c r="AB649"/>
      <c r="AC649">
        <v>102</v>
      </c>
      <c r="AD649">
        <v>4</v>
      </c>
      <c r="AE649" t="s">
        <v>15324</v>
      </c>
      <c r="AF649"/>
      <c r="AG649" s="23"/>
      <c r="AH649" s="265" t="str">
        <f>_xlfn.XLOOKUP(G649,Clientes!I:I,Clientes!F:F)</f>
        <v>GRUPO YARA</v>
      </c>
    </row>
    <row r="650" spans="1:34" x14ac:dyDescent="0.25">
      <c r="A650">
        <v>40</v>
      </c>
      <c r="B650" t="s">
        <v>155</v>
      </c>
      <c r="C650"/>
      <c r="D650" s="23">
        <v>135462.9</v>
      </c>
      <c r="E650">
        <v>10681</v>
      </c>
      <c r="F650">
        <v>11</v>
      </c>
      <c r="G650">
        <v>13329</v>
      </c>
      <c r="H650" t="s">
        <v>346</v>
      </c>
      <c r="I650" s="23">
        <v>135462.9</v>
      </c>
      <c r="J650" s="185">
        <v>46065</v>
      </c>
      <c r="K650" s="185">
        <v>46065</v>
      </c>
      <c r="L650" s="185">
        <v>46095</v>
      </c>
      <c r="M650" s="185">
        <v>46085</v>
      </c>
      <c r="N650"/>
      <c r="O650">
        <v>1010200</v>
      </c>
      <c r="P650" t="s">
        <v>113</v>
      </c>
      <c r="Q650">
        <v>200000100</v>
      </c>
      <c r="R650" t="s">
        <v>15322</v>
      </c>
      <c r="S650"/>
      <c r="T650" t="s">
        <v>15323</v>
      </c>
      <c r="U650" t="s">
        <v>1199</v>
      </c>
      <c r="V650" s="23">
        <v>0</v>
      </c>
      <c r="W650" s="23">
        <v>0</v>
      </c>
      <c r="X650" s="23">
        <v>0</v>
      </c>
      <c r="Y650"/>
      <c r="Z650">
        <v>1246263482</v>
      </c>
      <c r="AA650"/>
      <c r="AB650" t="s">
        <v>1199</v>
      </c>
      <c r="AC650">
        <v>125</v>
      </c>
      <c r="AD650">
        <v>4</v>
      </c>
      <c r="AE650" t="s">
        <v>15324</v>
      </c>
      <c r="AF650" t="s">
        <v>15357</v>
      </c>
      <c r="AG650" s="23">
        <v>26136</v>
      </c>
      <c r="AH650" s="265" t="str">
        <f>_xlfn.XLOOKUP(G650,Clientes!I:I,Clientes!F:F)</f>
        <v>CARGILL PARAGUAI</v>
      </c>
    </row>
    <row r="651" spans="1:34" x14ac:dyDescent="0.25">
      <c r="A651">
        <v>161</v>
      </c>
      <c r="B651" t="s">
        <v>145</v>
      </c>
      <c r="C651"/>
      <c r="D651" s="23">
        <v>135495.15</v>
      </c>
      <c r="E651">
        <v>10401</v>
      </c>
      <c r="F651">
        <v>11</v>
      </c>
      <c r="G651">
        <v>903</v>
      </c>
      <c r="H651" t="s">
        <v>47</v>
      </c>
      <c r="I651" s="23">
        <v>135495.15</v>
      </c>
      <c r="J651" s="185">
        <v>46024</v>
      </c>
      <c r="K651" s="185">
        <v>46024</v>
      </c>
      <c r="L651" s="185">
        <v>46064</v>
      </c>
      <c r="M651" s="185">
        <v>46064</v>
      </c>
      <c r="N651"/>
      <c r="O651">
        <v>1010100</v>
      </c>
      <c r="P651" t="s">
        <v>29</v>
      </c>
      <c r="Q651">
        <v>200000100</v>
      </c>
      <c r="R651" t="s">
        <v>15322</v>
      </c>
      <c r="S651"/>
      <c r="T651" t="s">
        <v>15323</v>
      </c>
      <c r="U651" t="s">
        <v>5803</v>
      </c>
      <c r="V651" s="23">
        <v>0</v>
      </c>
      <c r="W651" s="23">
        <v>0</v>
      </c>
      <c r="X651" s="23">
        <v>0</v>
      </c>
      <c r="Y651"/>
      <c r="Z651">
        <v>1246258100</v>
      </c>
      <c r="AA651"/>
      <c r="AB651" t="s">
        <v>1199</v>
      </c>
      <c r="AC651">
        <v>102</v>
      </c>
      <c r="AD651">
        <v>4</v>
      </c>
      <c r="AE651" t="s">
        <v>15324</v>
      </c>
      <c r="AF651"/>
      <c r="AG651" s="23"/>
      <c r="AH651" s="265" t="str">
        <f>_xlfn.XLOOKUP(G651,Clientes!I:I,Clientes!F:F)</f>
        <v>GRUPO YARA</v>
      </c>
    </row>
    <row r="652" spans="1:34" x14ac:dyDescent="0.25">
      <c r="A652">
        <v>161</v>
      </c>
      <c r="B652" t="s">
        <v>145</v>
      </c>
      <c r="C652"/>
      <c r="D652" s="23">
        <v>135585.18</v>
      </c>
      <c r="E652">
        <v>11676</v>
      </c>
      <c r="F652">
        <v>11</v>
      </c>
      <c r="G652">
        <v>903</v>
      </c>
      <c r="H652" t="s">
        <v>47</v>
      </c>
      <c r="I652" s="23">
        <v>135585.18</v>
      </c>
      <c r="J652" s="185">
        <v>46184</v>
      </c>
      <c r="K652" s="185">
        <v>46184</v>
      </c>
      <c r="L652" s="185">
        <v>46224</v>
      </c>
      <c r="M652" s="185"/>
      <c r="N652"/>
      <c r="O652">
        <v>1010100</v>
      </c>
      <c r="P652" t="s">
        <v>29</v>
      </c>
      <c r="Q652">
        <v>200000100</v>
      </c>
      <c r="R652" t="s">
        <v>15322</v>
      </c>
      <c r="S652"/>
      <c r="T652" t="s">
        <v>15323</v>
      </c>
      <c r="U652" t="s">
        <v>1530</v>
      </c>
      <c r="V652" s="23">
        <v>0</v>
      </c>
      <c r="W652" s="23">
        <v>0</v>
      </c>
      <c r="X652" s="23">
        <v>0</v>
      </c>
      <c r="Y652"/>
      <c r="Z652">
        <v>1246279165</v>
      </c>
      <c r="AA652"/>
      <c r="AB652"/>
      <c r="AC652">
        <v>102</v>
      </c>
      <c r="AD652">
        <v>4</v>
      </c>
      <c r="AE652" t="s">
        <v>15324</v>
      </c>
      <c r="AF652"/>
      <c r="AG652" s="23"/>
      <c r="AH652" s="265" t="str">
        <f>_xlfn.XLOOKUP(G652,Clientes!I:I,Clientes!F:F)</f>
        <v>GRUPO YARA</v>
      </c>
    </row>
    <row r="653" spans="1:34" x14ac:dyDescent="0.25">
      <c r="A653">
        <v>161</v>
      </c>
      <c r="B653" t="s">
        <v>145</v>
      </c>
      <c r="C653"/>
      <c r="D653" s="23">
        <v>135585.18</v>
      </c>
      <c r="E653">
        <v>11292</v>
      </c>
      <c r="F653">
        <v>11</v>
      </c>
      <c r="G653">
        <v>903</v>
      </c>
      <c r="H653" t="s">
        <v>47</v>
      </c>
      <c r="I653" s="23">
        <v>135585.18</v>
      </c>
      <c r="J653" s="185">
        <v>46146</v>
      </c>
      <c r="K653" s="185">
        <v>46146</v>
      </c>
      <c r="L653" s="185">
        <v>46186</v>
      </c>
      <c r="M653" s="185">
        <v>46188</v>
      </c>
      <c r="N653"/>
      <c r="O653">
        <v>1010100</v>
      </c>
      <c r="P653" t="s">
        <v>29</v>
      </c>
      <c r="Q653">
        <v>200000100</v>
      </c>
      <c r="R653" t="s">
        <v>15322</v>
      </c>
      <c r="S653"/>
      <c r="T653" t="s">
        <v>15323</v>
      </c>
      <c r="U653" t="s">
        <v>5803</v>
      </c>
      <c r="V653" s="23">
        <v>0</v>
      </c>
      <c r="W653" s="23">
        <v>0</v>
      </c>
      <c r="X653" s="23">
        <v>0</v>
      </c>
      <c r="Y653"/>
      <c r="Z653">
        <v>1246273493</v>
      </c>
      <c r="AA653"/>
      <c r="AB653" t="s">
        <v>1199</v>
      </c>
      <c r="AC653">
        <v>102</v>
      </c>
      <c r="AD653">
        <v>4</v>
      </c>
      <c r="AE653" t="s">
        <v>15324</v>
      </c>
      <c r="AF653"/>
      <c r="AG653" s="23"/>
      <c r="AH653" s="265" t="str">
        <f>_xlfn.XLOOKUP(G653,Clientes!I:I,Clientes!F:F)</f>
        <v>GRUPO YARA</v>
      </c>
    </row>
    <row r="654" spans="1:34" x14ac:dyDescent="0.25">
      <c r="A654">
        <v>161</v>
      </c>
      <c r="B654" t="s">
        <v>145</v>
      </c>
      <c r="C654"/>
      <c r="D654" s="23">
        <v>135765.24</v>
      </c>
      <c r="E654">
        <v>10890</v>
      </c>
      <c r="F654">
        <v>11</v>
      </c>
      <c r="G654">
        <v>903</v>
      </c>
      <c r="H654" t="s">
        <v>47</v>
      </c>
      <c r="I654" s="23">
        <v>135765.24</v>
      </c>
      <c r="J654" s="185">
        <v>46097</v>
      </c>
      <c r="K654" s="185">
        <v>46097</v>
      </c>
      <c r="L654" s="185">
        <v>46137</v>
      </c>
      <c r="M654" s="185">
        <v>46139</v>
      </c>
      <c r="N654"/>
      <c r="O654">
        <v>1010100</v>
      </c>
      <c r="P654" t="s">
        <v>29</v>
      </c>
      <c r="Q654">
        <v>200000100</v>
      </c>
      <c r="R654" t="s">
        <v>15322</v>
      </c>
      <c r="S654"/>
      <c r="T654" t="s">
        <v>15323</v>
      </c>
      <c r="U654" t="s">
        <v>1530</v>
      </c>
      <c r="V654" s="23">
        <v>0</v>
      </c>
      <c r="W654" s="23">
        <v>0</v>
      </c>
      <c r="X654" s="23">
        <v>0</v>
      </c>
      <c r="Y654"/>
      <c r="Z654">
        <v>1246267822</v>
      </c>
      <c r="AA654"/>
      <c r="AB654" t="s">
        <v>1199</v>
      </c>
      <c r="AC654">
        <v>102</v>
      </c>
      <c r="AD654">
        <v>4</v>
      </c>
      <c r="AE654" t="s">
        <v>15324</v>
      </c>
      <c r="AF654"/>
      <c r="AG654" s="23"/>
      <c r="AH654" s="265" t="str">
        <f>_xlfn.XLOOKUP(G654,Clientes!I:I,Clientes!F:F)</f>
        <v>GRUPO YARA</v>
      </c>
    </row>
    <row r="655" spans="1:34" x14ac:dyDescent="0.25">
      <c r="A655">
        <v>40</v>
      </c>
      <c r="B655" t="s">
        <v>155</v>
      </c>
      <c r="C655"/>
      <c r="D655" s="23">
        <v>135781.79</v>
      </c>
      <c r="E655">
        <v>11727</v>
      </c>
      <c r="F655">
        <v>11</v>
      </c>
      <c r="G655">
        <v>13329</v>
      </c>
      <c r="H655" t="s">
        <v>346</v>
      </c>
      <c r="I655" s="23">
        <v>135781.79</v>
      </c>
      <c r="J655" s="185">
        <v>46189</v>
      </c>
      <c r="K655" s="185">
        <v>46189</v>
      </c>
      <c r="L655" s="185">
        <v>46219</v>
      </c>
      <c r="M655" s="185">
        <v>46190</v>
      </c>
      <c r="N655"/>
      <c r="O655">
        <v>1010200</v>
      </c>
      <c r="P655" t="s">
        <v>113</v>
      </c>
      <c r="Q655">
        <v>200000100</v>
      </c>
      <c r="R655" t="s">
        <v>15322</v>
      </c>
      <c r="S655"/>
      <c r="T655" t="s">
        <v>15323</v>
      </c>
      <c r="U655" t="s">
        <v>1199</v>
      </c>
      <c r="V655" s="23">
        <v>0</v>
      </c>
      <c r="W655" s="23">
        <v>0</v>
      </c>
      <c r="X655" s="23">
        <v>0</v>
      </c>
      <c r="Y655"/>
      <c r="Z655">
        <v>1246279706</v>
      </c>
      <c r="AA655"/>
      <c r="AB655" t="s">
        <v>1199</v>
      </c>
      <c r="AC655">
        <v>125</v>
      </c>
      <c r="AD655">
        <v>4</v>
      </c>
      <c r="AE655" t="s">
        <v>15324</v>
      </c>
      <c r="AF655" t="s">
        <v>15641</v>
      </c>
      <c r="AG655" s="23">
        <v>26928</v>
      </c>
      <c r="AH655" s="265" t="str">
        <f>_xlfn.XLOOKUP(G655,Clientes!I:I,Clientes!F:F)</f>
        <v>CARGILL PARAGUAI</v>
      </c>
    </row>
    <row r="656" spans="1:34" x14ac:dyDescent="0.25">
      <c r="A656">
        <v>161</v>
      </c>
      <c r="B656" t="s">
        <v>145</v>
      </c>
      <c r="C656"/>
      <c r="D656" s="23">
        <v>135855.26999999999</v>
      </c>
      <c r="E656">
        <v>10519</v>
      </c>
      <c r="F656">
        <v>11</v>
      </c>
      <c r="G656">
        <v>903</v>
      </c>
      <c r="H656" t="s">
        <v>47</v>
      </c>
      <c r="I656" s="23">
        <v>135855.26999999999</v>
      </c>
      <c r="J656" s="185">
        <v>46042</v>
      </c>
      <c r="K656" s="185">
        <v>46042</v>
      </c>
      <c r="L656" s="185">
        <v>46082</v>
      </c>
      <c r="M656" s="185">
        <v>46083</v>
      </c>
      <c r="N656"/>
      <c r="O656">
        <v>1010100</v>
      </c>
      <c r="P656" t="s">
        <v>29</v>
      </c>
      <c r="Q656">
        <v>200000100</v>
      </c>
      <c r="R656" t="s">
        <v>15322</v>
      </c>
      <c r="S656"/>
      <c r="T656" t="s">
        <v>15323</v>
      </c>
      <c r="U656" t="s">
        <v>1964</v>
      </c>
      <c r="V656" s="23">
        <v>0</v>
      </c>
      <c r="W656" s="23">
        <v>0</v>
      </c>
      <c r="X656" s="23">
        <v>0</v>
      </c>
      <c r="Y656"/>
      <c r="Z656">
        <v>1246260068</v>
      </c>
      <c r="AA656"/>
      <c r="AB656" t="s">
        <v>1199</v>
      </c>
      <c r="AC656">
        <v>102</v>
      </c>
      <c r="AD656">
        <v>4</v>
      </c>
      <c r="AE656" t="s">
        <v>15324</v>
      </c>
      <c r="AF656"/>
      <c r="AG656" s="23"/>
      <c r="AH656" s="265" t="str">
        <f>_xlfn.XLOOKUP(G656,Clientes!I:I,Clientes!F:F)</f>
        <v>GRUPO YARA</v>
      </c>
    </row>
    <row r="657" spans="1:34" x14ac:dyDescent="0.25">
      <c r="A657">
        <v>56</v>
      </c>
      <c r="B657" t="s">
        <v>146</v>
      </c>
      <c r="C657"/>
      <c r="D657" s="23">
        <v>135916.6</v>
      </c>
      <c r="E657">
        <v>10552</v>
      </c>
      <c r="F657">
        <v>11</v>
      </c>
      <c r="G657">
        <v>17224</v>
      </c>
      <c r="H657" t="s">
        <v>694</v>
      </c>
      <c r="I657" s="23">
        <v>135916.6</v>
      </c>
      <c r="J657" s="185">
        <v>46044</v>
      </c>
      <c r="K657" s="185">
        <v>46044</v>
      </c>
      <c r="L657" s="185">
        <v>46121</v>
      </c>
      <c r="M657" s="185">
        <v>46050</v>
      </c>
      <c r="N657"/>
      <c r="O657">
        <v>1010100</v>
      </c>
      <c r="P657" t="s">
        <v>29</v>
      </c>
      <c r="Q657">
        <v>200000100</v>
      </c>
      <c r="R657" t="s">
        <v>15322</v>
      </c>
      <c r="S657"/>
      <c r="T657" t="s">
        <v>15323</v>
      </c>
      <c r="U657" t="s">
        <v>1199</v>
      </c>
      <c r="V657" s="23">
        <v>0</v>
      </c>
      <c r="W657" s="23">
        <v>0</v>
      </c>
      <c r="X657" s="23">
        <v>0</v>
      </c>
      <c r="Y657"/>
      <c r="Z657">
        <v>1246260507</v>
      </c>
      <c r="AA657"/>
      <c r="AB657" t="s">
        <v>1199</v>
      </c>
      <c r="AC657">
        <v>102</v>
      </c>
      <c r="AD657">
        <v>4</v>
      </c>
      <c r="AE657" t="s">
        <v>15324</v>
      </c>
      <c r="AF657"/>
      <c r="AG657" s="23"/>
      <c r="AH657" s="265" t="str">
        <f>_xlfn.XLOOKUP(G657,Clientes!I:I,Clientes!F:F)</f>
        <v>INTERBULK</v>
      </c>
    </row>
    <row r="658" spans="1:34" x14ac:dyDescent="0.25">
      <c r="A658">
        <v>161</v>
      </c>
      <c r="B658" t="s">
        <v>145</v>
      </c>
      <c r="C658"/>
      <c r="D658" s="23">
        <v>136035.32999999999</v>
      </c>
      <c r="E658">
        <v>11606</v>
      </c>
      <c r="F658">
        <v>11</v>
      </c>
      <c r="G658">
        <v>903</v>
      </c>
      <c r="H658" t="s">
        <v>47</v>
      </c>
      <c r="I658" s="23">
        <v>136035.32999999999</v>
      </c>
      <c r="J658" s="185">
        <v>46178</v>
      </c>
      <c r="K658" s="185">
        <v>46178</v>
      </c>
      <c r="L658" s="185">
        <v>46218</v>
      </c>
      <c r="M658" s="185"/>
      <c r="N658"/>
      <c r="O658">
        <v>1010100</v>
      </c>
      <c r="P658" t="s">
        <v>29</v>
      </c>
      <c r="Q658">
        <v>200000100</v>
      </c>
      <c r="R658" t="s">
        <v>15322</v>
      </c>
      <c r="S658"/>
      <c r="T658" t="s">
        <v>15323</v>
      </c>
      <c r="U658" t="s">
        <v>1964</v>
      </c>
      <c r="V658" s="23">
        <v>0</v>
      </c>
      <c r="W658" s="23">
        <v>0</v>
      </c>
      <c r="X658" s="23">
        <v>0</v>
      </c>
      <c r="Y658"/>
      <c r="Z658">
        <v>1246278330</v>
      </c>
      <c r="AA658"/>
      <c r="AB658"/>
      <c r="AC658">
        <v>102</v>
      </c>
      <c r="AD658">
        <v>4</v>
      </c>
      <c r="AE658" t="s">
        <v>15324</v>
      </c>
      <c r="AF658"/>
      <c r="AG658" s="23"/>
      <c r="AH658" s="265" t="str">
        <f>_xlfn.XLOOKUP(G658,Clientes!I:I,Clientes!F:F)</f>
        <v>GRUPO YARA</v>
      </c>
    </row>
    <row r="659" spans="1:34" x14ac:dyDescent="0.25">
      <c r="A659">
        <v>161</v>
      </c>
      <c r="B659" t="s">
        <v>145</v>
      </c>
      <c r="C659"/>
      <c r="D659" s="23">
        <v>137256</v>
      </c>
      <c r="E659">
        <v>10917</v>
      </c>
      <c r="F659">
        <v>11</v>
      </c>
      <c r="G659">
        <v>12741</v>
      </c>
      <c r="H659" t="s">
        <v>276</v>
      </c>
      <c r="I659" s="23">
        <v>137256</v>
      </c>
      <c r="J659" s="185">
        <v>46099</v>
      </c>
      <c r="K659" s="185">
        <v>46099</v>
      </c>
      <c r="L659" s="185">
        <v>46167</v>
      </c>
      <c r="M659" s="185">
        <v>46167</v>
      </c>
      <c r="N659"/>
      <c r="O659">
        <v>1010100</v>
      </c>
      <c r="P659" t="s">
        <v>29</v>
      </c>
      <c r="Q659">
        <v>200000100</v>
      </c>
      <c r="R659" t="s">
        <v>15322</v>
      </c>
      <c r="S659"/>
      <c r="T659" t="s">
        <v>15323</v>
      </c>
      <c r="U659" t="s">
        <v>6311</v>
      </c>
      <c r="V659" s="23">
        <v>0</v>
      </c>
      <c r="W659" s="23">
        <v>0</v>
      </c>
      <c r="X659" s="23">
        <v>0</v>
      </c>
      <c r="Y659"/>
      <c r="Z659">
        <v>1246268240</v>
      </c>
      <c r="AA659"/>
      <c r="AB659" t="s">
        <v>1186</v>
      </c>
      <c r="AC659">
        <v>102</v>
      </c>
      <c r="AD659">
        <v>4</v>
      </c>
      <c r="AE659" t="s">
        <v>15324</v>
      </c>
      <c r="AF659"/>
      <c r="AG659" s="23"/>
      <c r="AH659" s="265" t="str">
        <f>_xlfn.XLOOKUP(G659,Clientes!I:I,Clientes!F:F)</f>
        <v>GRUPO HINOVE</v>
      </c>
    </row>
    <row r="660" spans="1:34" x14ac:dyDescent="0.25">
      <c r="A660">
        <v>40</v>
      </c>
      <c r="B660" t="s">
        <v>155</v>
      </c>
      <c r="C660"/>
      <c r="D660" s="23">
        <v>137716.91</v>
      </c>
      <c r="E660">
        <v>11050</v>
      </c>
      <c r="F660">
        <v>11</v>
      </c>
      <c r="G660">
        <v>15508</v>
      </c>
      <c r="H660" t="s">
        <v>484</v>
      </c>
      <c r="I660" s="23">
        <v>137716.91</v>
      </c>
      <c r="J660" s="185">
        <v>46118</v>
      </c>
      <c r="K660" s="185">
        <v>46118</v>
      </c>
      <c r="L660" s="185">
        <v>46148</v>
      </c>
      <c r="M660" s="185">
        <v>46147</v>
      </c>
      <c r="N660"/>
      <c r="O660">
        <v>1010200</v>
      </c>
      <c r="P660" t="s">
        <v>113</v>
      </c>
      <c r="Q660">
        <v>200000100</v>
      </c>
      <c r="R660" t="s">
        <v>15322</v>
      </c>
      <c r="S660"/>
      <c r="T660" t="s">
        <v>15323</v>
      </c>
      <c r="U660" t="s">
        <v>1199</v>
      </c>
      <c r="V660" s="23">
        <v>0</v>
      </c>
      <c r="W660" s="23">
        <v>0</v>
      </c>
      <c r="X660" s="23">
        <v>0</v>
      </c>
      <c r="Y660"/>
      <c r="Z660">
        <v>1246270312</v>
      </c>
      <c r="AA660"/>
      <c r="AB660" t="s">
        <v>1199</v>
      </c>
      <c r="AC660">
        <v>125</v>
      </c>
      <c r="AD660">
        <v>4</v>
      </c>
      <c r="AE660" t="s">
        <v>15324</v>
      </c>
      <c r="AF660" t="s">
        <v>15375</v>
      </c>
      <c r="AG660" s="23">
        <v>26664</v>
      </c>
      <c r="AH660" s="265" t="str">
        <f>_xlfn.XLOOKUP(G660,Clientes!I:I,Clientes!F:F)</f>
        <v>SOMAX - PARAGUAI</v>
      </c>
    </row>
    <row r="661" spans="1:34" x14ac:dyDescent="0.25">
      <c r="A661">
        <v>161</v>
      </c>
      <c r="B661" t="s">
        <v>145</v>
      </c>
      <c r="C661"/>
      <c r="D661" s="23">
        <v>137835.93</v>
      </c>
      <c r="E661">
        <v>10700</v>
      </c>
      <c r="F661">
        <v>11</v>
      </c>
      <c r="G661">
        <v>903</v>
      </c>
      <c r="H661" t="s">
        <v>47</v>
      </c>
      <c r="I661" s="23">
        <v>137835.93</v>
      </c>
      <c r="J661" s="185">
        <v>46069</v>
      </c>
      <c r="K661" s="185">
        <v>46069</v>
      </c>
      <c r="L661" s="185">
        <v>46109</v>
      </c>
      <c r="M661" s="185">
        <v>46111</v>
      </c>
      <c r="N661"/>
      <c r="O661">
        <v>1010100</v>
      </c>
      <c r="P661" t="s">
        <v>29</v>
      </c>
      <c r="Q661">
        <v>200000100</v>
      </c>
      <c r="R661" t="s">
        <v>15322</v>
      </c>
      <c r="S661"/>
      <c r="T661" t="s">
        <v>15323</v>
      </c>
      <c r="U661" t="s">
        <v>5803</v>
      </c>
      <c r="V661" s="23">
        <v>0</v>
      </c>
      <c r="W661" s="23">
        <v>0</v>
      </c>
      <c r="X661" s="23">
        <v>0</v>
      </c>
      <c r="Y661"/>
      <c r="Z661">
        <v>1246263798</v>
      </c>
      <c r="AA661"/>
      <c r="AB661" t="s">
        <v>1199</v>
      </c>
      <c r="AC661">
        <v>102</v>
      </c>
      <c r="AD661">
        <v>4</v>
      </c>
      <c r="AE661" t="s">
        <v>15324</v>
      </c>
      <c r="AF661"/>
      <c r="AG661" s="23"/>
      <c r="AH661" s="265" t="str">
        <f>_xlfn.XLOOKUP(G661,Clientes!I:I,Clientes!F:F)</f>
        <v>GRUPO YARA</v>
      </c>
    </row>
    <row r="662" spans="1:34" x14ac:dyDescent="0.25">
      <c r="A662">
        <v>161</v>
      </c>
      <c r="B662" t="s">
        <v>145</v>
      </c>
      <c r="C662"/>
      <c r="D662" s="23">
        <v>139006.32</v>
      </c>
      <c r="E662">
        <v>10581</v>
      </c>
      <c r="F662">
        <v>11</v>
      </c>
      <c r="G662">
        <v>903</v>
      </c>
      <c r="H662" t="s">
        <v>47</v>
      </c>
      <c r="I662" s="23">
        <v>139006.32</v>
      </c>
      <c r="J662" s="185">
        <v>46049</v>
      </c>
      <c r="K662" s="185">
        <v>46049</v>
      </c>
      <c r="L662" s="185">
        <v>46089</v>
      </c>
      <c r="M662" s="185">
        <v>46090</v>
      </c>
      <c r="N662"/>
      <c r="O662">
        <v>1010100</v>
      </c>
      <c r="P662" t="s">
        <v>29</v>
      </c>
      <c r="Q662">
        <v>200000100</v>
      </c>
      <c r="R662" t="s">
        <v>15322</v>
      </c>
      <c r="S662"/>
      <c r="T662" t="s">
        <v>15323</v>
      </c>
      <c r="U662" t="s">
        <v>1964</v>
      </c>
      <c r="V662" s="23">
        <v>0</v>
      </c>
      <c r="W662" s="23">
        <v>0</v>
      </c>
      <c r="X662" s="23">
        <v>0</v>
      </c>
      <c r="Y662"/>
      <c r="Z662">
        <v>1246261124</v>
      </c>
      <c r="AA662"/>
      <c r="AB662" t="s">
        <v>2073</v>
      </c>
      <c r="AC662">
        <v>102</v>
      </c>
      <c r="AD662">
        <v>4</v>
      </c>
      <c r="AE662" t="s">
        <v>15324</v>
      </c>
      <c r="AF662"/>
      <c r="AG662" s="23"/>
      <c r="AH662" s="265" t="str">
        <f>_xlfn.XLOOKUP(G662,Clientes!I:I,Clientes!F:F)</f>
        <v>GRUPO YARA</v>
      </c>
    </row>
    <row r="663" spans="1:34" x14ac:dyDescent="0.25">
      <c r="A663">
        <v>56</v>
      </c>
      <c r="B663" t="s">
        <v>146</v>
      </c>
      <c r="C663"/>
      <c r="D663" s="23">
        <v>141108</v>
      </c>
      <c r="E663">
        <v>2797</v>
      </c>
      <c r="F663">
        <v>13</v>
      </c>
      <c r="G663">
        <v>7745</v>
      </c>
      <c r="H663" t="s">
        <v>320</v>
      </c>
      <c r="I663" s="23">
        <v>141108</v>
      </c>
      <c r="J663" s="185">
        <v>46086</v>
      </c>
      <c r="K663" s="185">
        <v>46086</v>
      </c>
      <c r="L663" s="185">
        <v>46121</v>
      </c>
      <c r="M663" s="185">
        <v>46125</v>
      </c>
      <c r="N663"/>
      <c r="O663">
        <v>1010100</v>
      </c>
      <c r="P663" t="s">
        <v>29</v>
      </c>
      <c r="Q663">
        <v>200000100</v>
      </c>
      <c r="R663" t="s">
        <v>15322</v>
      </c>
      <c r="S663"/>
      <c r="T663" t="s">
        <v>15323</v>
      </c>
      <c r="U663" t="s">
        <v>1964</v>
      </c>
      <c r="V663" s="23">
        <v>0</v>
      </c>
      <c r="W663" s="23">
        <v>0</v>
      </c>
      <c r="X663" s="23">
        <v>0</v>
      </c>
      <c r="Y663"/>
      <c r="Z663">
        <v>1246266794</v>
      </c>
      <c r="AA663"/>
      <c r="AB663" t="s">
        <v>2073</v>
      </c>
      <c r="AC663">
        <v>103</v>
      </c>
      <c r="AD663">
        <v>4</v>
      </c>
      <c r="AE663" t="s">
        <v>15324</v>
      </c>
      <c r="AF663"/>
      <c r="AG663" s="23"/>
      <c r="AH663" s="265" t="str">
        <f>_xlfn.XLOOKUP(G663,Clientes!I:I,Clientes!F:F)</f>
        <v>GRUPO LOUIS DREYFUS</v>
      </c>
    </row>
    <row r="664" spans="1:34" x14ac:dyDescent="0.25">
      <c r="A664">
        <v>40</v>
      </c>
      <c r="B664" t="s">
        <v>155</v>
      </c>
      <c r="C664"/>
      <c r="D664" s="23">
        <v>143222.74</v>
      </c>
      <c r="E664">
        <v>11529</v>
      </c>
      <c r="F664">
        <v>11</v>
      </c>
      <c r="G664">
        <v>2645</v>
      </c>
      <c r="H664" t="s">
        <v>342</v>
      </c>
      <c r="I664" s="23">
        <v>143222.74</v>
      </c>
      <c r="J664" s="185">
        <v>46170</v>
      </c>
      <c r="K664" s="185">
        <v>46170</v>
      </c>
      <c r="L664" s="185">
        <v>46200</v>
      </c>
      <c r="M664" s="185"/>
      <c r="N664"/>
      <c r="O664">
        <v>1010200</v>
      </c>
      <c r="P664" t="s">
        <v>113</v>
      </c>
      <c r="Q664">
        <v>200000100</v>
      </c>
      <c r="R664" t="s">
        <v>15322</v>
      </c>
      <c r="S664"/>
      <c r="T664" t="s">
        <v>15323</v>
      </c>
      <c r="U664" t="s">
        <v>1216</v>
      </c>
      <c r="V664" s="23">
        <v>0</v>
      </c>
      <c r="W664" s="23">
        <v>0</v>
      </c>
      <c r="X664" s="23">
        <v>0</v>
      </c>
      <c r="Y664"/>
      <c r="Z664">
        <v>1246277225</v>
      </c>
      <c r="AA664"/>
      <c r="AB664"/>
      <c r="AC664">
        <v>125</v>
      </c>
      <c r="AD664">
        <v>4</v>
      </c>
      <c r="AE664" t="s">
        <v>15324</v>
      </c>
      <c r="AF664"/>
      <c r="AG664" s="23"/>
      <c r="AH664" s="265" t="str">
        <f>_xlfn.XLOOKUP(G664,Clientes!I:I,Clientes!F:F)</f>
        <v>ANAGRA - CHILE</v>
      </c>
    </row>
    <row r="665" spans="1:34" x14ac:dyDescent="0.25">
      <c r="A665">
        <v>161</v>
      </c>
      <c r="B665" t="s">
        <v>145</v>
      </c>
      <c r="C665"/>
      <c r="D665" s="23">
        <v>143868</v>
      </c>
      <c r="E665">
        <v>10867</v>
      </c>
      <c r="F665">
        <v>11</v>
      </c>
      <c r="G665">
        <v>11724</v>
      </c>
      <c r="H665" t="s">
        <v>107</v>
      </c>
      <c r="I665" s="23">
        <v>143868</v>
      </c>
      <c r="J665" s="185">
        <v>46092</v>
      </c>
      <c r="K665" s="185">
        <v>46092</v>
      </c>
      <c r="L665" s="185">
        <v>46167</v>
      </c>
      <c r="M665" s="185">
        <v>46167</v>
      </c>
      <c r="N665"/>
      <c r="O665">
        <v>1010100</v>
      </c>
      <c r="P665" t="s">
        <v>29</v>
      </c>
      <c r="Q665">
        <v>200000100</v>
      </c>
      <c r="R665" t="s">
        <v>15322</v>
      </c>
      <c r="S665"/>
      <c r="T665" t="s">
        <v>15323</v>
      </c>
      <c r="U665" t="s">
        <v>6311</v>
      </c>
      <c r="V665" s="23">
        <v>0</v>
      </c>
      <c r="W665" s="23">
        <v>0</v>
      </c>
      <c r="X665" s="23">
        <v>0</v>
      </c>
      <c r="Y665"/>
      <c r="Z665">
        <v>1246267487</v>
      </c>
      <c r="AA665"/>
      <c r="AB665" t="s">
        <v>1186</v>
      </c>
      <c r="AC665">
        <v>102</v>
      </c>
      <c r="AD665">
        <v>4</v>
      </c>
      <c r="AE665" t="s">
        <v>15324</v>
      </c>
      <c r="AF665"/>
      <c r="AG665" s="23"/>
      <c r="AH665" s="265" t="str">
        <f>_xlfn.XLOOKUP(G665,Clientes!I:I,Clientes!F:F)</f>
        <v>GRUPO HINOVE</v>
      </c>
    </row>
    <row r="666" spans="1:34" x14ac:dyDescent="0.25">
      <c r="A666">
        <v>40</v>
      </c>
      <c r="B666" t="s">
        <v>155</v>
      </c>
      <c r="C666"/>
      <c r="D666" s="23">
        <v>145895</v>
      </c>
      <c r="E666">
        <v>10850</v>
      </c>
      <c r="F666">
        <v>11</v>
      </c>
      <c r="G666">
        <v>2656</v>
      </c>
      <c r="H666" t="s">
        <v>118</v>
      </c>
      <c r="I666" s="23">
        <v>145895</v>
      </c>
      <c r="J666" s="185">
        <v>46090</v>
      </c>
      <c r="K666" s="185">
        <v>46090</v>
      </c>
      <c r="L666" s="185">
        <v>46120</v>
      </c>
      <c r="M666" s="185">
        <v>46120</v>
      </c>
      <c r="N666"/>
      <c r="O666">
        <v>1010200</v>
      </c>
      <c r="P666" t="s">
        <v>113</v>
      </c>
      <c r="Q666">
        <v>200000100</v>
      </c>
      <c r="R666" t="s">
        <v>15322</v>
      </c>
      <c r="S666"/>
      <c r="T666" t="s">
        <v>15323</v>
      </c>
      <c r="U666" t="s">
        <v>1199</v>
      </c>
      <c r="V666" s="23">
        <v>0</v>
      </c>
      <c r="W666" s="23">
        <v>0</v>
      </c>
      <c r="X666" s="23">
        <v>0</v>
      </c>
      <c r="Y666"/>
      <c r="Z666">
        <v>1246267103</v>
      </c>
      <c r="AA666"/>
      <c r="AB666" t="s">
        <v>1199</v>
      </c>
      <c r="AC666">
        <v>125</v>
      </c>
      <c r="AD666">
        <v>4</v>
      </c>
      <c r="AE666" t="s">
        <v>15324</v>
      </c>
      <c r="AF666" t="s">
        <v>15365</v>
      </c>
      <c r="AG666" s="23">
        <v>27594</v>
      </c>
      <c r="AH666" s="265" t="str">
        <f>_xlfn.XLOOKUP(G666,Clientes!I:I,Clientes!F:F)</f>
        <v>ISUSA - URUGUAI</v>
      </c>
    </row>
    <row r="667" spans="1:34" x14ac:dyDescent="0.25">
      <c r="A667">
        <v>40</v>
      </c>
      <c r="B667" t="s">
        <v>155</v>
      </c>
      <c r="C667"/>
      <c r="D667" s="23">
        <v>146607.17000000001</v>
      </c>
      <c r="E667">
        <v>11368</v>
      </c>
      <c r="F667">
        <v>11</v>
      </c>
      <c r="G667">
        <v>2287</v>
      </c>
      <c r="H667" t="s">
        <v>114</v>
      </c>
      <c r="I667" s="23">
        <v>146607.17000000001</v>
      </c>
      <c r="J667" s="185">
        <v>46154</v>
      </c>
      <c r="K667" s="185">
        <v>46154</v>
      </c>
      <c r="L667" s="185">
        <v>46184</v>
      </c>
      <c r="M667" s="185">
        <v>46196</v>
      </c>
      <c r="N667"/>
      <c r="O667">
        <v>1010200</v>
      </c>
      <c r="P667" t="s">
        <v>113</v>
      </c>
      <c r="Q667">
        <v>200000100</v>
      </c>
      <c r="R667" t="s">
        <v>15322</v>
      </c>
      <c r="S667"/>
      <c r="T667" t="s">
        <v>15323</v>
      </c>
      <c r="U667" t="s">
        <v>1199</v>
      </c>
      <c r="V667" s="23">
        <v>0</v>
      </c>
      <c r="W667" s="23">
        <v>0</v>
      </c>
      <c r="X667" s="23">
        <v>0</v>
      </c>
      <c r="Y667"/>
      <c r="Z667">
        <v>1246274601</v>
      </c>
      <c r="AA667"/>
      <c r="AB667" t="s">
        <v>1199</v>
      </c>
      <c r="AC667">
        <v>125</v>
      </c>
      <c r="AD667">
        <v>4</v>
      </c>
      <c r="AE667" t="s">
        <v>15324</v>
      </c>
      <c r="AF667" t="s">
        <v>15475</v>
      </c>
      <c r="AG667" s="23">
        <v>29940</v>
      </c>
      <c r="AH667" s="265" t="str">
        <f>_xlfn.XLOOKUP(G667,Clientes!I:I,Clientes!F:F)</f>
        <v>BUNGE PARAGUAY S.A</v>
      </c>
    </row>
    <row r="668" spans="1:34" x14ac:dyDescent="0.25">
      <c r="A668">
        <v>161</v>
      </c>
      <c r="B668" t="s">
        <v>145</v>
      </c>
      <c r="C668"/>
      <c r="D668" s="23">
        <v>148143.1</v>
      </c>
      <c r="E668">
        <v>10832</v>
      </c>
      <c r="F668">
        <v>11</v>
      </c>
      <c r="G668">
        <v>1159</v>
      </c>
      <c r="H668" t="s">
        <v>50</v>
      </c>
      <c r="I668" s="23">
        <v>148143.1</v>
      </c>
      <c r="J668" s="185">
        <v>46087</v>
      </c>
      <c r="K668" s="185">
        <v>46087</v>
      </c>
      <c r="L668" s="185">
        <v>46127</v>
      </c>
      <c r="M668" s="185">
        <v>46127</v>
      </c>
      <c r="N668"/>
      <c r="O668">
        <v>1010100</v>
      </c>
      <c r="P668" t="s">
        <v>29</v>
      </c>
      <c r="Q668">
        <v>200000100</v>
      </c>
      <c r="R668" t="s">
        <v>15322</v>
      </c>
      <c r="S668"/>
      <c r="T668" t="s">
        <v>15323</v>
      </c>
      <c r="U668" t="s">
        <v>1216</v>
      </c>
      <c r="V668" s="23">
        <v>0</v>
      </c>
      <c r="W668" s="23">
        <v>0</v>
      </c>
      <c r="X668" s="23">
        <v>0</v>
      </c>
      <c r="Y668"/>
      <c r="Z668">
        <v>1246266884</v>
      </c>
      <c r="AA668"/>
      <c r="AB668" t="s">
        <v>2073</v>
      </c>
      <c r="AC668">
        <v>102</v>
      </c>
      <c r="AD668">
        <v>4</v>
      </c>
      <c r="AE668" t="s">
        <v>15324</v>
      </c>
      <c r="AF668"/>
      <c r="AG668" s="23"/>
      <c r="AH668" s="265" t="str">
        <f>_xlfn.XLOOKUP(G668,Clientes!I:I,Clientes!F:F)</f>
        <v>GRUPO YARA</v>
      </c>
    </row>
    <row r="669" spans="1:34" x14ac:dyDescent="0.25">
      <c r="A669">
        <v>40</v>
      </c>
      <c r="B669" t="s">
        <v>155</v>
      </c>
      <c r="C669"/>
      <c r="D669" s="23">
        <v>148168.94</v>
      </c>
      <c r="E669">
        <v>11578</v>
      </c>
      <c r="F669">
        <v>11</v>
      </c>
      <c r="G669">
        <v>6370</v>
      </c>
      <c r="H669" t="s">
        <v>264</v>
      </c>
      <c r="I669" s="23">
        <v>148168.94</v>
      </c>
      <c r="J669" s="185">
        <v>46175</v>
      </c>
      <c r="K669" s="185">
        <v>46175</v>
      </c>
      <c r="L669" s="185">
        <v>46205</v>
      </c>
      <c r="M669" s="185"/>
      <c r="N669"/>
      <c r="O669">
        <v>1010200</v>
      </c>
      <c r="P669" t="s">
        <v>113</v>
      </c>
      <c r="Q669">
        <v>200000100</v>
      </c>
      <c r="R669" t="s">
        <v>15322</v>
      </c>
      <c r="S669"/>
      <c r="T669" t="s">
        <v>15323</v>
      </c>
      <c r="U669" t="s">
        <v>1199</v>
      </c>
      <c r="V669" s="23">
        <v>0</v>
      </c>
      <c r="W669" s="23">
        <v>0</v>
      </c>
      <c r="X669" s="23">
        <v>0</v>
      </c>
      <c r="Y669"/>
      <c r="Z669">
        <v>1246277816</v>
      </c>
      <c r="AA669"/>
      <c r="AB669"/>
      <c r="AC669">
        <v>125</v>
      </c>
      <c r="AD669">
        <v>4</v>
      </c>
      <c r="AE669" t="s">
        <v>15324</v>
      </c>
      <c r="AF669" t="s">
        <v>15642</v>
      </c>
      <c r="AG669" s="23">
        <v>29458.799999999999</v>
      </c>
      <c r="AH669" s="265" t="str">
        <f>_xlfn.XLOOKUP(G669,Clientes!I:I,Clientes!F:F)</f>
        <v>YTL S.A. - PARAGUAI</v>
      </c>
    </row>
    <row r="670" spans="1:34" x14ac:dyDescent="0.25">
      <c r="A670">
        <v>40</v>
      </c>
      <c r="B670" t="s">
        <v>155</v>
      </c>
      <c r="C670"/>
      <c r="D670" s="23">
        <v>148197.62</v>
      </c>
      <c r="E670">
        <v>11298</v>
      </c>
      <c r="F670">
        <v>11</v>
      </c>
      <c r="G670">
        <v>2287</v>
      </c>
      <c r="H670" t="s">
        <v>114</v>
      </c>
      <c r="I670" s="23">
        <v>148197.62</v>
      </c>
      <c r="J670" s="185">
        <v>46147</v>
      </c>
      <c r="K670" s="185">
        <v>46147</v>
      </c>
      <c r="L670" s="185">
        <v>46177</v>
      </c>
      <c r="M670" s="185">
        <v>46196</v>
      </c>
      <c r="N670"/>
      <c r="O670">
        <v>1010200</v>
      </c>
      <c r="P670" t="s">
        <v>113</v>
      </c>
      <c r="Q670">
        <v>200000100</v>
      </c>
      <c r="R670" t="s">
        <v>15322</v>
      </c>
      <c r="S670"/>
      <c r="T670" t="s">
        <v>15323</v>
      </c>
      <c r="U670" t="s">
        <v>1199</v>
      </c>
      <c r="V670" s="23">
        <v>0</v>
      </c>
      <c r="W670" s="23">
        <v>0</v>
      </c>
      <c r="X670" s="23">
        <v>0</v>
      </c>
      <c r="Y670"/>
      <c r="Z670">
        <v>1246273592</v>
      </c>
      <c r="AA670"/>
      <c r="AB670" t="s">
        <v>1199</v>
      </c>
      <c r="AC670">
        <v>125</v>
      </c>
      <c r="AD670">
        <v>4</v>
      </c>
      <c r="AE670" t="s">
        <v>15324</v>
      </c>
      <c r="AF670" t="s">
        <v>15472</v>
      </c>
      <c r="AG670" s="23">
        <v>29890</v>
      </c>
      <c r="AH670" s="265" t="str">
        <f>_xlfn.XLOOKUP(G670,Clientes!I:I,Clientes!F:F)</f>
        <v>BUNGE PARAGUAY S.A</v>
      </c>
    </row>
    <row r="671" spans="1:34" x14ac:dyDescent="0.25">
      <c r="A671">
        <v>161</v>
      </c>
      <c r="B671" t="s">
        <v>145</v>
      </c>
      <c r="C671"/>
      <c r="D671" s="23">
        <v>149246.39999999999</v>
      </c>
      <c r="E671">
        <v>10893</v>
      </c>
      <c r="F671">
        <v>11</v>
      </c>
      <c r="G671">
        <v>1159</v>
      </c>
      <c r="H671" t="s">
        <v>50</v>
      </c>
      <c r="I671" s="23">
        <v>149246.39999999999</v>
      </c>
      <c r="J671" s="185">
        <v>46097</v>
      </c>
      <c r="K671" s="185">
        <v>46097</v>
      </c>
      <c r="L671" s="185">
        <v>46137</v>
      </c>
      <c r="M671" s="185">
        <v>46139</v>
      </c>
      <c r="N671"/>
      <c r="O671">
        <v>1010100</v>
      </c>
      <c r="P671" t="s">
        <v>29</v>
      </c>
      <c r="Q671">
        <v>200000100</v>
      </c>
      <c r="R671" t="s">
        <v>15322</v>
      </c>
      <c r="S671"/>
      <c r="T671" t="s">
        <v>15323</v>
      </c>
      <c r="U671" t="s">
        <v>1964</v>
      </c>
      <c r="V671" s="23">
        <v>0</v>
      </c>
      <c r="W671" s="23">
        <v>0</v>
      </c>
      <c r="X671" s="23">
        <v>0</v>
      </c>
      <c r="Y671"/>
      <c r="Z671">
        <v>1246267833</v>
      </c>
      <c r="AA671"/>
      <c r="AB671" t="s">
        <v>1199</v>
      </c>
      <c r="AC671">
        <v>102</v>
      </c>
      <c r="AD671">
        <v>4</v>
      </c>
      <c r="AE671" t="s">
        <v>15324</v>
      </c>
      <c r="AF671"/>
      <c r="AG671" s="23"/>
      <c r="AH671" s="265" t="str">
        <f>_xlfn.XLOOKUP(G671,Clientes!I:I,Clientes!F:F)</f>
        <v>GRUPO YARA</v>
      </c>
    </row>
    <row r="672" spans="1:34" x14ac:dyDescent="0.25">
      <c r="A672">
        <v>40</v>
      </c>
      <c r="B672" t="s">
        <v>155</v>
      </c>
      <c r="C672"/>
      <c r="D672" s="23">
        <v>149433.42000000001</v>
      </c>
      <c r="E672">
        <v>10796</v>
      </c>
      <c r="F672">
        <v>11</v>
      </c>
      <c r="G672">
        <v>6370</v>
      </c>
      <c r="H672" t="s">
        <v>264</v>
      </c>
      <c r="I672" s="23">
        <v>149433.42000000001</v>
      </c>
      <c r="J672" s="185">
        <v>46083</v>
      </c>
      <c r="K672" s="185">
        <v>46083</v>
      </c>
      <c r="L672" s="185">
        <v>46113</v>
      </c>
      <c r="M672" s="185">
        <v>46139</v>
      </c>
      <c r="N672"/>
      <c r="O672">
        <v>1010200</v>
      </c>
      <c r="P672" t="s">
        <v>113</v>
      </c>
      <c r="Q672">
        <v>200000100</v>
      </c>
      <c r="R672" t="s">
        <v>15322</v>
      </c>
      <c r="S672"/>
      <c r="T672" t="s">
        <v>15323</v>
      </c>
      <c r="U672" t="s">
        <v>1199</v>
      </c>
      <c r="V672" s="23">
        <v>0</v>
      </c>
      <c r="W672" s="23">
        <v>0</v>
      </c>
      <c r="X672" s="23">
        <v>0</v>
      </c>
      <c r="Y672"/>
      <c r="Z672">
        <v>1246265943</v>
      </c>
      <c r="AA672"/>
      <c r="AB672" t="s">
        <v>1199</v>
      </c>
      <c r="AC672">
        <v>125</v>
      </c>
      <c r="AD672">
        <v>4</v>
      </c>
      <c r="AE672" t="s">
        <v>15324</v>
      </c>
      <c r="AF672" t="s">
        <v>15372</v>
      </c>
      <c r="AG672" s="23">
        <v>29022.400000000001</v>
      </c>
      <c r="AH672" s="265" t="str">
        <f>_xlfn.XLOOKUP(G672,Clientes!I:I,Clientes!F:F)</f>
        <v>YTL S.A. - PARAGUAI</v>
      </c>
    </row>
    <row r="673" spans="1:34" x14ac:dyDescent="0.25">
      <c r="A673">
        <v>40</v>
      </c>
      <c r="B673" t="s">
        <v>155</v>
      </c>
      <c r="C673"/>
      <c r="D673" s="23">
        <v>149613.57</v>
      </c>
      <c r="E673">
        <v>11183</v>
      </c>
      <c r="F673">
        <v>11</v>
      </c>
      <c r="G673">
        <v>2287</v>
      </c>
      <c r="H673" t="s">
        <v>114</v>
      </c>
      <c r="I673" s="23">
        <v>149613.57</v>
      </c>
      <c r="J673" s="185">
        <v>46132</v>
      </c>
      <c r="K673" s="185">
        <v>46132</v>
      </c>
      <c r="L673" s="185">
        <v>46162</v>
      </c>
      <c r="M673" s="185">
        <v>46142</v>
      </c>
      <c r="N673"/>
      <c r="O673">
        <v>1010200</v>
      </c>
      <c r="P673" t="s">
        <v>113</v>
      </c>
      <c r="Q673">
        <v>200000100</v>
      </c>
      <c r="R673" t="s">
        <v>15322</v>
      </c>
      <c r="S673"/>
      <c r="T673" t="s">
        <v>15323</v>
      </c>
      <c r="U673" t="s">
        <v>1199</v>
      </c>
      <c r="V673" s="23">
        <v>0</v>
      </c>
      <c r="W673" s="23">
        <v>0</v>
      </c>
      <c r="X673" s="23">
        <v>0</v>
      </c>
      <c r="Y673"/>
      <c r="Z673">
        <v>1246271939</v>
      </c>
      <c r="AA673"/>
      <c r="AB673" t="s">
        <v>1199</v>
      </c>
      <c r="AC673">
        <v>125</v>
      </c>
      <c r="AD673">
        <v>4</v>
      </c>
      <c r="AE673" t="s">
        <v>15324</v>
      </c>
      <c r="AF673" t="s">
        <v>15359</v>
      </c>
      <c r="AG673" s="23">
        <v>30110</v>
      </c>
      <c r="AH673" s="265" t="str">
        <f>_xlfn.XLOOKUP(G673,Clientes!I:I,Clientes!F:F)</f>
        <v>BUNGE PARAGUAY S.A</v>
      </c>
    </row>
    <row r="674" spans="1:34" x14ac:dyDescent="0.25">
      <c r="A674">
        <v>56</v>
      </c>
      <c r="B674" t="s">
        <v>146</v>
      </c>
      <c r="C674"/>
      <c r="D674" s="23">
        <v>149900</v>
      </c>
      <c r="E674">
        <v>2695</v>
      </c>
      <c r="F674">
        <v>13</v>
      </c>
      <c r="G674">
        <v>1936</v>
      </c>
      <c r="H674" t="s">
        <v>64</v>
      </c>
      <c r="I674" s="23">
        <v>149900</v>
      </c>
      <c r="J674" s="185">
        <v>46045</v>
      </c>
      <c r="K674" s="185">
        <v>46045</v>
      </c>
      <c r="L674" s="185">
        <v>46073</v>
      </c>
      <c r="M674" s="185">
        <v>46073</v>
      </c>
      <c r="N674"/>
      <c r="O674">
        <v>1010100</v>
      </c>
      <c r="P674" t="s">
        <v>29</v>
      </c>
      <c r="Q674">
        <v>200000100</v>
      </c>
      <c r="R674" t="s">
        <v>15322</v>
      </c>
      <c r="S674"/>
      <c r="T674" t="s">
        <v>15323</v>
      </c>
      <c r="U674" t="s">
        <v>1964</v>
      </c>
      <c r="V674" s="23">
        <v>0</v>
      </c>
      <c r="W674" s="23">
        <v>0</v>
      </c>
      <c r="X674" s="23">
        <v>0</v>
      </c>
      <c r="Y674"/>
      <c r="Z674">
        <v>1246260578</v>
      </c>
      <c r="AA674"/>
      <c r="AB674" t="s">
        <v>1199</v>
      </c>
      <c r="AC674">
        <v>103</v>
      </c>
      <c r="AD674">
        <v>4</v>
      </c>
      <c r="AE674" t="s">
        <v>15324</v>
      </c>
      <c r="AF674"/>
      <c r="AG674" s="23"/>
      <c r="AH674" s="265" t="str">
        <f>_xlfn.XLOOKUP(G674,Clientes!I:I,Clientes!F:F)</f>
        <v>GRUPO AGRO INDUSTRIAL SAO LUIZ LTDA</v>
      </c>
    </row>
    <row r="675" spans="1:34" x14ac:dyDescent="0.25">
      <c r="A675">
        <v>161</v>
      </c>
      <c r="B675" t="s">
        <v>145</v>
      </c>
      <c r="C675"/>
      <c r="D675" s="23">
        <v>150024</v>
      </c>
      <c r="E675">
        <v>11010</v>
      </c>
      <c r="F675">
        <v>11</v>
      </c>
      <c r="G675">
        <v>201</v>
      </c>
      <c r="H675" t="s">
        <v>288</v>
      </c>
      <c r="I675" s="23">
        <v>150024</v>
      </c>
      <c r="J675" s="185">
        <v>46111</v>
      </c>
      <c r="K675" s="185">
        <v>46111</v>
      </c>
      <c r="L675" s="185">
        <v>46139</v>
      </c>
      <c r="M675" s="185">
        <v>46139</v>
      </c>
      <c r="N675"/>
      <c r="O675">
        <v>1010100</v>
      </c>
      <c r="P675" t="s">
        <v>29</v>
      </c>
      <c r="Q675">
        <v>200000100</v>
      </c>
      <c r="R675" t="s">
        <v>15322</v>
      </c>
      <c r="S675"/>
      <c r="T675" t="s">
        <v>15323</v>
      </c>
      <c r="U675" t="s">
        <v>6311</v>
      </c>
      <c r="V675" s="23">
        <v>0</v>
      </c>
      <c r="W675" s="23">
        <v>0</v>
      </c>
      <c r="X675" s="23">
        <v>0</v>
      </c>
      <c r="Y675"/>
      <c r="Z675">
        <v>1246269649</v>
      </c>
      <c r="AA675"/>
      <c r="AB675" t="s">
        <v>1186</v>
      </c>
      <c r="AC675">
        <v>102</v>
      </c>
      <c r="AD675">
        <v>4</v>
      </c>
      <c r="AE675" t="s">
        <v>15324</v>
      </c>
      <c r="AF675"/>
      <c r="AG675" s="23"/>
      <c r="AH675" s="265" t="str">
        <f>_xlfn.XLOOKUP(G675,Clientes!I:I,Clientes!F:F)</f>
        <v>GRUPO JOSAPAR</v>
      </c>
    </row>
    <row r="676" spans="1:34" x14ac:dyDescent="0.25">
      <c r="A676">
        <v>40</v>
      </c>
      <c r="B676" t="s">
        <v>155</v>
      </c>
      <c r="C676"/>
      <c r="D676" s="23">
        <v>150064.82999999999</v>
      </c>
      <c r="E676">
        <v>11261</v>
      </c>
      <c r="F676">
        <v>11</v>
      </c>
      <c r="G676">
        <v>2287</v>
      </c>
      <c r="H676" t="s">
        <v>114</v>
      </c>
      <c r="I676" s="23">
        <v>150064.82999999999</v>
      </c>
      <c r="J676" s="185">
        <v>46141</v>
      </c>
      <c r="K676" s="185">
        <v>46141</v>
      </c>
      <c r="L676" s="185">
        <v>46171</v>
      </c>
      <c r="M676" s="185">
        <v>46196</v>
      </c>
      <c r="N676"/>
      <c r="O676">
        <v>1010200</v>
      </c>
      <c r="P676" t="s">
        <v>113</v>
      </c>
      <c r="Q676">
        <v>200000100</v>
      </c>
      <c r="R676" t="s">
        <v>15322</v>
      </c>
      <c r="S676"/>
      <c r="T676" t="s">
        <v>15323</v>
      </c>
      <c r="U676" t="s">
        <v>1199</v>
      </c>
      <c r="V676" s="23">
        <v>0</v>
      </c>
      <c r="W676" s="23">
        <v>0</v>
      </c>
      <c r="X676" s="23">
        <v>0</v>
      </c>
      <c r="Y676"/>
      <c r="Z676">
        <v>1246273103</v>
      </c>
      <c r="AA676"/>
      <c r="AB676" t="s">
        <v>1199</v>
      </c>
      <c r="AC676">
        <v>125</v>
      </c>
      <c r="AD676">
        <v>4</v>
      </c>
      <c r="AE676" t="s">
        <v>15324</v>
      </c>
      <c r="AF676" t="s">
        <v>15341</v>
      </c>
      <c r="AG676" s="23">
        <v>30090</v>
      </c>
      <c r="AH676" s="265" t="str">
        <f>_xlfn.XLOOKUP(G676,Clientes!I:I,Clientes!F:F)</f>
        <v>BUNGE PARAGUAY S.A</v>
      </c>
    </row>
    <row r="677" spans="1:34" x14ac:dyDescent="0.25">
      <c r="A677">
        <v>40</v>
      </c>
      <c r="B677" t="s">
        <v>155</v>
      </c>
      <c r="C677"/>
      <c r="D677" s="23">
        <v>150177.51</v>
      </c>
      <c r="E677">
        <v>10598</v>
      </c>
      <c r="F677">
        <v>11</v>
      </c>
      <c r="G677">
        <v>6370</v>
      </c>
      <c r="H677" t="s">
        <v>264</v>
      </c>
      <c r="I677" s="23">
        <v>150177.51</v>
      </c>
      <c r="J677" s="185">
        <v>46051</v>
      </c>
      <c r="K677" s="185">
        <v>46051</v>
      </c>
      <c r="L677" s="185">
        <v>46081</v>
      </c>
      <c r="M677" s="185">
        <v>46098</v>
      </c>
      <c r="N677"/>
      <c r="O677">
        <v>1010200</v>
      </c>
      <c r="P677" t="s">
        <v>113</v>
      </c>
      <c r="Q677">
        <v>200000100</v>
      </c>
      <c r="R677" t="s">
        <v>15322</v>
      </c>
      <c r="S677"/>
      <c r="T677" t="s">
        <v>15323</v>
      </c>
      <c r="U677" t="s">
        <v>1199</v>
      </c>
      <c r="V677" s="23">
        <v>0</v>
      </c>
      <c r="W677" s="23">
        <v>0</v>
      </c>
      <c r="X677" s="23">
        <v>0</v>
      </c>
      <c r="Y677"/>
      <c r="Z677">
        <v>1246261544</v>
      </c>
      <c r="AA677"/>
      <c r="AB677" t="s">
        <v>1199</v>
      </c>
      <c r="AC677">
        <v>125</v>
      </c>
      <c r="AD677">
        <v>4</v>
      </c>
      <c r="AE677" t="s">
        <v>15324</v>
      </c>
      <c r="AF677" t="s">
        <v>15361</v>
      </c>
      <c r="AG677" s="23">
        <v>28973.9</v>
      </c>
      <c r="AH677" s="265" t="str">
        <f>_xlfn.XLOOKUP(G677,Clientes!I:I,Clientes!F:F)</f>
        <v>YTL S.A. - PARAGUAI</v>
      </c>
    </row>
    <row r="678" spans="1:34" x14ac:dyDescent="0.25">
      <c r="A678">
        <v>40</v>
      </c>
      <c r="B678" t="s">
        <v>155</v>
      </c>
      <c r="C678"/>
      <c r="D678" s="23">
        <v>150414.18</v>
      </c>
      <c r="E678">
        <v>11520</v>
      </c>
      <c r="F678">
        <v>11</v>
      </c>
      <c r="G678">
        <v>2287</v>
      </c>
      <c r="H678" t="s">
        <v>114</v>
      </c>
      <c r="I678" s="23">
        <v>150414.18</v>
      </c>
      <c r="J678" s="185">
        <v>46169</v>
      </c>
      <c r="K678" s="185">
        <v>46169</v>
      </c>
      <c r="L678" s="185">
        <v>46199</v>
      </c>
      <c r="M678" s="185">
        <v>46196</v>
      </c>
      <c r="N678"/>
      <c r="O678">
        <v>1010200</v>
      </c>
      <c r="P678" t="s">
        <v>113</v>
      </c>
      <c r="Q678">
        <v>200000100</v>
      </c>
      <c r="R678" t="s">
        <v>15322</v>
      </c>
      <c r="S678"/>
      <c r="T678" t="s">
        <v>15323</v>
      </c>
      <c r="U678" t="s">
        <v>1199</v>
      </c>
      <c r="V678" s="23">
        <v>0</v>
      </c>
      <c r="W678" s="23">
        <v>0</v>
      </c>
      <c r="X678" s="23">
        <v>0</v>
      </c>
      <c r="Y678"/>
      <c r="Z678">
        <v>1246277109</v>
      </c>
      <c r="AA678"/>
      <c r="AB678" t="s">
        <v>1199</v>
      </c>
      <c r="AC678">
        <v>125</v>
      </c>
      <c r="AD678">
        <v>4</v>
      </c>
      <c r="AE678" t="s">
        <v>15324</v>
      </c>
      <c r="AF678" t="s">
        <v>15643</v>
      </c>
      <c r="AG678" s="23">
        <v>29960</v>
      </c>
      <c r="AH678" s="265" t="str">
        <f>_xlfn.XLOOKUP(G678,Clientes!I:I,Clientes!F:F)</f>
        <v>BUNGE PARAGUAY S.A</v>
      </c>
    </row>
    <row r="679" spans="1:34" x14ac:dyDescent="0.25">
      <c r="A679">
        <v>40</v>
      </c>
      <c r="B679" t="s">
        <v>155</v>
      </c>
      <c r="C679"/>
      <c r="D679" s="23">
        <v>150461.94</v>
      </c>
      <c r="E679">
        <v>11591</v>
      </c>
      <c r="F679">
        <v>11</v>
      </c>
      <c r="G679">
        <v>2287</v>
      </c>
      <c r="H679" t="s">
        <v>114</v>
      </c>
      <c r="I679" s="23">
        <v>150461.94</v>
      </c>
      <c r="J679" s="185">
        <v>46176</v>
      </c>
      <c r="K679" s="185">
        <v>46176</v>
      </c>
      <c r="L679" s="185">
        <v>46206</v>
      </c>
      <c r="M679" s="185">
        <v>46196</v>
      </c>
      <c r="N679"/>
      <c r="O679">
        <v>1010200</v>
      </c>
      <c r="P679" t="s">
        <v>113</v>
      </c>
      <c r="Q679">
        <v>200000100</v>
      </c>
      <c r="R679" t="s">
        <v>15322</v>
      </c>
      <c r="S679"/>
      <c r="T679" t="s">
        <v>15323</v>
      </c>
      <c r="U679" t="s">
        <v>1199</v>
      </c>
      <c r="V679" s="23">
        <v>0</v>
      </c>
      <c r="W679" s="23">
        <v>0</v>
      </c>
      <c r="X679" s="23">
        <v>0</v>
      </c>
      <c r="Y679"/>
      <c r="Z679">
        <v>1246278083</v>
      </c>
      <c r="AA679"/>
      <c r="AB679" t="s">
        <v>1199</v>
      </c>
      <c r="AC679">
        <v>125</v>
      </c>
      <c r="AD679">
        <v>4</v>
      </c>
      <c r="AE679" t="s">
        <v>15324</v>
      </c>
      <c r="AF679" t="s">
        <v>15644</v>
      </c>
      <c r="AG679" s="23">
        <v>30000</v>
      </c>
      <c r="AH679" s="265" t="str">
        <f>_xlfn.XLOOKUP(G679,Clientes!I:I,Clientes!F:F)</f>
        <v>BUNGE PARAGUAY S.A</v>
      </c>
    </row>
    <row r="680" spans="1:34" x14ac:dyDescent="0.25">
      <c r="A680">
        <v>161</v>
      </c>
      <c r="B680" t="s">
        <v>145</v>
      </c>
      <c r="C680"/>
      <c r="D680" s="23">
        <v>150519.6</v>
      </c>
      <c r="E680">
        <v>10900</v>
      </c>
      <c r="F680">
        <v>11</v>
      </c>
      <c r="G680">
        <v>12629</v>
      </c>
      <c r="H680" t="s">
        <v>109</v>
      </c>
      <c r="I680" s="23">
        <v>150519.6</v>
      </c>
      <c r="J680" s="185">
        <v>46097</v>
      </c>
      <c r="K680" s="185">
        <v>46097</v>
      </c>
      <c r="L680" s="185">
        <v>46127</v>
      </c>
      <c r="M680" s="185">
        <v>46127</v>
      </c>
      <c r="N680"/>
      <c r="O680">
        <v>1010100</v>
      </c>
      <c r="P680" t="s">
        <v>29</v>
      </c>
      <c r="Q680">
        <v>200000100</v>
      </c>
      <c r="R680" t="s">
        <v>15322</v>
      </c>
      <c r="S680"/>
      <c r="T680" t="s">
        <v>15323</v>
      </c>
      <c r="U680" t="s">
        <v>5803</v>
      </c>
      <c r="V680" s="23">
        <v>0</v>
      </c>
      <c r="W680" s="23">
        <v>0</v>
      </c>
      <c r="X680" s="23">
        <v>0</v>
      </c>
      <c r="Y680"/>
      <c r="Z680">
        <v>1246267963</v>
      </c>
      <c r="AA680"/>
      <c r="AB680" t="s">
        <v>2073</v>
      </c>
      <c r="AC680">
        <v>102</v>
      </c>
      <c r="AD680">
        <v>4</v>
      </c>
      <c r="AE680" t="s">
        <v>15324</v>
      </c>
      <c r="AF680"/>
      <c r="AG680" s="23"/>
      <c r="AH680" s="265" t="str">
        <f>_xlfn.XLOOKUP(G680,Clientes!I:I,Clientes!F:F)</f>
        <v>EUROCHEM SERRA DO SALITRE</v>
      </c>
    </row>
    <row r="681" spans="1:34" x14ac:dyDescent="0.25">
      <c r="A681">
        <v>161</v>
      </c>
      <c r="B681" t="s">
        <v>145</v>
      </c>
      <c r="C681"/>
      <c r="D681" s="23">
        <v>150851.20000000001</v>
      </c>
      <c r="E681">
        <v>10875</v>
      </c>
      <c r="F681">
        <v>11</v>
      </c>
      <c r="G681">
        <v>1159</v>
      </c>
      <c r="H681" t="s">
        <v>50</v>
      </c>
      <c r="I681" s="23">
        <v>150851.20000000001</v>
      </c>
      <c r="J681" s="185">
        <v>46094</v>
      </c>
      <c r="K681" s="185">
        <v>46094</v>
      </c>
      <c r="L681" s="185">
        <v>46134</v>
      </c>
      <c r="M681" s="185">
        <v>46134</v>
      </c>
      <c r="N681"/>
      <c r="O681">
        <v>1010100</v>
      </c>
      <c r="P681" t="s">
        <v>29</v>
      </c>
      <c r="Q681">
        <v>200000100</v>
      </c>
      <c r="R681" t="s">
        <v>15322</v>
      </c>
      <c r="S681"/>
      <c r="T681" t="s">
        <v>15323</v>
      </c>
      <c r="U681" t="s">
        <v>2246</v>
      </c>
      <c r="V681" s="23">
        <v>0</v>
      </c>
      <c r="W681" s="23">
        <v>0</v>
      </c>
      <c r="X681" s="23">
        <v>0</v>
      </c>
      <c r="Y681"/>
      <c r="Z681">
        <v>1246267633</v>
      </c>
      <c r="AA681"/>
      <c r="AB681" t="s">
        <v>1199</v>
      </c>
      <c r="AC681">
        <v>102</v>
      </c>
      <c r="AD681">
        <v>4</v>
      </c>
      <c r="AE681" t="s">
        <v>15324</v>
      </c>
      <c r="AF681"/>
      <c r="AG681" s="23"/>
      <c r="AH681" s="265" t="str">
        <f>_xlfn.XLOOKUP(G681,Clientes!I:I,Clientes!F:F)</f>
        <v>GRUPO YARA</v>
      </c>
    </row>
    <row r="682" spans="1:34" x14ac:dyDescent="0.25">
      <c r="A682">
        <v>161</v>
      </c>
      <c r="B682" t="s">
        <v>145</v>
      </c>
      <c r="C682"/>
      <c r="D682" s="23">
        <v>151152.1</v>
      </c>
      <c r="E682">
        <v>10855</v>
      </c>
      <c r="F682">
        <v>11</v>
      </c>
      <c r="G682">
        <v>1159</v>
      </c>
      <c r="H682" t="s">
        <v>50</v>
      </c>
      <c r="I682" s="23">
        <v>151152.1</v>
      </c>
      <c r="J682" s="185">
        <v>46091</v>
      </c>
      <c r="K682" s="185">
        <v>46091</v>
      </c>
      <c r="L682" s="185">
        <v>46131</v>
      </c>
      <c r="M682" s="185">
        <v>46132</v>
      </c>
      <c r="N682"/>
      <c r="O682">
        <v>1010100</v>
      </c>
      <c r="P682" t="s">
        <v>29</v>
      </c>
      <c r="Q682">
        <v>200000100</v>
      </c>
      <c r="R682" t="s">
        <v>15322</v>
      </c>
      <c r="S682"/>
      <c r="T682" t="s">
        <v>15323</v>
      </c>
      <c r="U682" t="s">
        <v>1199</v>
      </c>
      <c r="V682" s="23">
        <v>0</v>
      </c>
      <c r="W682" s="23">
        <v>0</v>
      </c>
      <c r="X682" s="23">
        <v>0</v>
      </c>
      <c r="Y682"/>
      <c r="Z682">
        <v>1246267195</v>
      </c>
      <c r="AA682"/>
      <c r="AB682" t="s">
        <v>1199</v>
      </c>
      <c r="AC682">
        <v>102</v>
      </c>
      <c r="AD682">
        <v>4</v>
      </c>
      <c r="AE682" t="s">
        <v>15324</v>
      </c>
      <c r="AF682"/>
      <c r="AG682" s="23"/>
      <c r="AH682" s="265" t="str">
        <f>_xlfn.XLOOKUP(G682,Clientes!I:I,Clientes!F:F)</f>
        <v>GRUPO YARA</v>
      </c>
    </row>
    <row r="683" spans="1:34" x14ac:dyDescent="0.25">
      <c r="A683">
        <v>40</v>
      </c>
      <c r="B683" t="s">
        <v>155</v>
      </c>
      <c r="C683"/>
      <c r="D683" s="23">
        <v>151690.72</v>
      </c>
      <c r="E683">
        <v>11429</v>
      </c>
      <c r="F683">
        <v>11</v>
      </c>
      <c r="G683">
        <v>2287</v>
      </c>
      <c r="H683" t="s">
        <v>114</v>
      </c>
      <c r="I683" s="23">
        <v>151690.72</v>
      </c>
      <c r="J683" s="185">
        <v>46160</v>
      </c>
      <c r="K683" s="185">
        <v>46160</v>
      </c>
      <c r="L683" s="185">
        <v>46190</v>
      </c>
      <c r="M683" s="185">
        <v>46196</v>
      </c>
      <c r="N683"/>
      <c r="O683">
        <v>1010200</v>
      </c>
      <c r="P683" t="s">
        <v>113</v>
      </c>
      <c r="Q683">
        <v>200000100</v>
      </c>
      <c r="R683" t="s">
        <v>15322</v>
      </c>
      <c r="S683"/>
      <c r="T683" t="s">
        <v>15323</v>
      </c>
      <c r="U683" t="s">
        <v>1199</v>
      </c>
      <c r="V683" s="23">
        <v>0</v>
      </c>
      <c r="W683" s="23">
        <v>0</v>
      </c>
      <c r="X683" s="23">
        <v>0</v>
      </c>
      <c r="Y683"/>
      <c r="Z683">
        <v>1246275642</v>
      </c>
      <c r="AA683"/>
      <c r="AB683" t="s">
        <v>1199</v>
      </c>
      <c r="AC683">
        <v>125</v>
      </c>
      <c r="AD683">
        <v>4</v>
      </c>
      <c r="AE683" t="s">
        <v>15324</v>
      </c>
      <c r="AF683" t="s">
        <v>15476</v>
      </c>
      <c r="AG683" s="23">
        <v>29950</v>
      </c>
      <c r="AH683" s="265" t="str">
        <f>_xlfn.XLOOKUP(G683,Clientes!I:I,Clientes!F:F)</f>
        <v>BUNGE PARAGUAY S.A</v>
      </c>
    </row>
    <row r="684" spans="1:34" x14ac:dyDescent="0.25">
      <c r="A684">
        <v>161</v>
      </c>
      <c r="B684" t="s">
        <v>145</v>
      </c>
      <c r="C684"/>
      <c r="D684" s="23">
        <v>151877.1</v>
      </c>
      <c r="E684">
        <v>11334</v>
      </c>
      <c r="F684">
        <v>11</v>
      </c>
      <c r="G684">
        <v>12629</v>
      </c>
      <c r="H684" t="s">
        <v>109</v>
      </c>
      <c r="I684" s="23">
        <v>151877.1</v>
      </c>
      <c r="J684" s="185">
        <v>46150</v>
      </c>
      <c r="K684" s="185">
        <v>46150</v>
      </c>
      <c r="L684" s="185">
        <v>46210</v>
      </c>
      <c r="M684" s="185">
        <v>46195</v>
      </c>
      <c r="N684"/>
      <c r="O684">
        <v>1010100</v>
      </c>
      <c r="P684" t="s">
        <v>29</v>
      </c>
      <c r="Q684">
        <v>200000100</v>
      </c>
      <c r="R684" t="s">
        <v>15322</v>
      </c>
      <c r="S684"/>
      <c r="T684" t="s">
        <v>15323</v>
      </c>
      <c r="U684" t="s">
        <v>1199</v>
      </c>
      <c r="V684" s="23">
        <v>0</v>
      </c>
      <c r="W684" s="23">
        <v>0</v>
      </c>
      <c r="X684" s="23">
        <v>0</v>
      </c>
      <c r="Y684"/>
      <c r="Z684">
        <v>1246274160</v>
      </c>
      <c r="AA684"/>
      <c r="AB684" t="s">
        <v>1199</v>
      </c>
      <c r="AC684">
        <v>102</v>
      </c>
      <c r="AD684">
        <v>4</v>
      </c>
      <c r="AE684" t="s">
        <v>15324</v>
      </c>
      <c r="AF684"/>
      <c r="AG684" s="23"/>
      <c r="AH684" s="265" t="str">
        <f>_xlfn.XLOOKUP(G684,Clientes!I:I,Clientes!F:F)</f>
        <v>EUROCHEM SERRA DO SALITRE</v>
      </c>
    </row>
    <row r="685" spans="1:34" x14ac:dyDescent="0.25">
      <c r="A685">
        <v>40</v>
      </c>
      <c r="B685" t="s">
        <v>155</v>
      </c>
      <c r="C685"/>
      <c r="D685" s="23">
        <v>151926.89000000001</v>
      </c>
      <c r="E685">
        <v>11758</v>
      </c>
      <c r="F685">
        <v>11</v>
      </c>
      <c r="G685">
        <v>6370</v>
      </c>
      <c r="H685" t="s">
        <v>264</v>
      </c>
      <c r="I685" s="23">
        <v>151926.89000000001</v>
      </c>
      <c r="J685" s="185">
        <v>46192</v>
      </c>
      <c r="K685" s="185">
        <v>46192</v>
      </c>
      <c r="L685" s="185">
        <v>46222</v>
      </c>
      <c r="M685" s="185"/>
      <c r="N685"/>
      <c r="O685">
        <v>1010200</v>
      </c>
      <c r="P685" t="s">
        <v>113</v>
      </c>
      <c r="Q685">
        <v>200000100</v>
      </c>
      <c r="R685" t="s">
        <v>15322</v>
      </c>
      <c r="S685"/>
      <c r="T685" t="s">
        <v>15323</v>
      </c>
      <c r="U685" t="s">
        <v>1199</v>
      </c>
      <c r="V685" s="23">
        <v>0</v>
      </c>
      <c r="W685" s="23">
        <v>0</v>
      </c>
      <c r="X685" s="23">
        <v>0</v>
      </c>
      <c r="Y685"/>
      <c r="Z685">
        <v>1246280227</v>
      </c>
      <c r="AA685"/>
      <c r="AB685"/>
      <c r="AC685">
        <v>102</v>
      </c>
      <c r="AD685">
        <v>4</v>
      </c>
      <c r="AE685" t="s">
        <v>15324</v>
      </c>
      <c r="AF685" t="s">
        <v>15645</v>
      </c>
      <c r="AG685" s="23">
        <v>29439.200000000001</v>
      </c>
      <c r="AH685" s="265" t="str">
        <f>_xlfn.XLOOKUP(G685,Clientes!I:I,Clientes!F:F)</f>
        <v>YTL S.A. - PARAGUAI</v>
      </c>
    </row>
    <row r="686" spans="1:34" x14ac:dyDescent="0.25">
      <c r="A686">
        <v>40</v>
      </c>
      <c r="B686" t="s">
        <v>155</v>
      </c>
      <c r="C686"/>
      <c r="D686" s="23">
        <v>151987.66</v>
      </c>
      <c r="E686">
        <v>11086</v>
      </c>
      <c r="F686">
        <v>11</v>
      </c>
      <c r="G686">
        <v>2287</v>
      </c>
      <c r="H686" t="s">
        <v>114</v>
      </c>
      <c r="I686" s="23">
        <v>151987.66</v>
      </c>
      <c r="J686" s="185">
        <v>46122</v>
      </c>
      <c r="K686" s="185">
        <v>46122</v>
      </c>
      <c r="L686" s="185">
        <v>46152</v>
      </c>
      <c r="M686" s="185">
        <v>46142</v>
      </c>
      <c r="N686"/>
      <c r="O686">
        <v>1010200</v>
      </c>
      <c r="P686" t="s">
        <v>113</v>
      </c>
      <c r="Q686">
        <v>200000100</v>
      </c>
      <c r="R686" t="s">
        <v>15322</v>
      </c>
      <c r="S686"/>
      <c r="T686" t="s">
        <v>15323</v>
      </c>
      <c r="U686" t="s">
        <v>1199</v>
      </c>
      <c r="V686" s="23">
        <v>0</v>
      </c>
      <c r="W686" s="23">
        <v>0</v>
      </c>
      <c r="X686" s="23">
        <v>0</v>
      </c>
      <c r="Y686"/>
      <c r="Z686">
        <v>1246270954</v>
      </c>
      <c r="AA686"/>
      <c r="AB686" t="s">
        <v>1199</v>
      </c>
      <c r="AC686">
        <v>125</v>
      </c>
      <c r="AD686">
        <v>4</v>
      </c>
      <c r="AE686" t="s">
        <v>15324</v>
      </c>
      <c r="AF686" t="s">
        <v>15364</v>
      </c>
      <c r="AG686" s="23">
        <v>29910</v>
      </c>
      <c r="AH686" s="265" t="str">
        <f>_xlfn.XLOOKUP(G686,Clientes!I:I,Clientes!F:F)</f>
        <v>BUNGE PARAGUAY S.A</v>
      </c>
    </row>
    <row r="687" spans="1:34" x14ac:dyDescent="0.25">
      <c r="A687">
        <v>161</v>
      </c>
      <c r="B687" t="s">
        <v>145</v>
      </c>
      <c r="C687"/>
      <c r="D687" s="23">
        <v>152148.6</v>
      </c>
      <c r="E687">
        <v>10770</v>
      </c>
      <c r="F687">
        <v>11</v>
      </c>
      <c r="G687">
        <v>12629</v>
      </c>
      <c r="H687" t="s">
        <v>109</v>
      </c>
      <c r="I687" s="23">
        <v>152148.6</v>
      </c>
      <c r="J687" s="185">
        <v>46078</v>
      </c>
      <c r="K687" s="185">
        <v>46078</v>
      </c>
      <c r="L687" s="185">
        <v>46108</v>
      </c>
      <c r="M687" s="185">
        <v>46108</v>
      </c>
      <c r="N687"/>
      <c r="O687">
        <v>1010100</v>
      </c>
      <c r="P687" t="s">
        <v>29</v>
      </c>
      <c r="Q687">
        <v>200000100</v>
      </c>
      <c r="R687" t="s">
        <v>15322</v>
      </c>
      <c r="S687"/>
      <c r="T687" t="s">
        <v>15323</v>
      </c>
      <c r="U687" t="s">
        <v>5803</v>
      </c>
      <c r="V687" s="23">
        <v>0</v>
      </c>
      <c r="W687" s="23">
        <v>0</v>
      </c>
      <c r="X687" s="23">
        <v>0</v>
      </c>
      <c r="Y687"/>
      <c r="Z687">
        <v>1246265220</v>
      </c>
      <c r="AA687"/>
      <c r="AB687" t="s">
        <v>1199</v>
      </c>
      <c r="AC687">
        <v>102</v>
      </c>
      <c r="AD687">
        <v>4</v>
      </c>
      <c r="AE687" t="s">
        <v>15324</v>
      </c>
      <c r="AF687"/>
      <c r="AG687" s="23"/>
      <c r="AH687" s="265" t="str">
        <f>_xlfn.XLOOKUP(G687,Clientes!I:I,Clientes!F:F)</f>
        <v>EUROCHEM SERRA DO SALITRE</v>
      </c>
    </row>
    <row r="688" spans="1:34" x14ac:dyDescent="0.25">
      <c r="A688">
        <v>161</v>
      </c>
      <c r="B688" t="s">
        <v>145</v>
      </c>
      <c r="C688"/>
      <c r="D688" s="23">
        <v>152155.1</v>
      </c>
      <c r="E688">
        <v>10784</v>
      </c>
      <c r="F688">
        <v>11</v>
      </c>
      <c r="G688">
        <v>1159</v>
      </c>
      <c r="H688" t="s">
        <v>50</v>
      </c>
      <c r="I688" s="23">
        <v>152155.1</v>
      </c>
      <c r="J688" s="185">
        <v>46080</v>
      </c>
      <c r="K688" s="185">
        <v>46080</v>
      </c>
      <c r="L688" s="185">
        <v>46120</v>
      </c>
      <c r="M688" s="185">
        <v>46120</v>
      </c>
      <c r="N688"/>
      <c r="O688">
        <v>1010100</v>
      </c>
      <c r="P688" t="s">
        <v>29</v>
      </c>
      <c r="Q688">
        <v>200000100</v>
      </c>
      <c r="R688" t="s">
        <v>15322</v>
      </c>
      <c r="S688"/>
      <c r="T688" t="s">
        <v>15323</v>
      </c>
      <c r="U688" t="s">
        <v>2246</v>
      </c>
      <c r="V688" s="23">
        <v>0</v>
      </c>
      <c r="W688" s="23">
        <v>0</v>
      </c>
      <c r="X688" s="23">
        <v>0</v>
      </c>
      <c r="Y688"/>
      <c r="Z688">
        <v>1246265729</v>
      </c>
      <c r="AA688"/>
      <c r="AB688" t="s">
        <v>1199</v>
      </c>
      <c r="AC688">
        <v>102</v>
      </c>
      <c r="AD688">
        <v>4</v>
      </c>
      <c r="AE688" t="s">
        <v>15324</v>
      </c>
      <c r="AF688"/>
      <c r="AG688" s="23"/>
      <c r="AH688" s="265" t="str">
        <f>_xlfn.XLOOKUP(G688,Clientes!I:I,Clientes!F:F)</f>
        <v>GRUPO YARA</v>
      </c>
    </row>
    <row r="689" spans="1:34" x14ac:dyDescent="0.25">
      <c r="A689">
        <v>161</v>
      </c>
      <c r="B689" t="s">
        <v>145</v>
      </c>
      <c r="C689"/>
      <c r="D689" s="23">
        <v>152158.14000000001</v>
      </c>
      <c r="E689">
        <v>10978</v>
      </c>
      <c r="F689">
        <v>11</v>
      </c>
      <c r="G689">
        <v>15904</v>
      </c>
      <c r="H689" t="s">
        <v>754</v>
      </c>
      <c r="I689" s="23">
        <v>152158.14000000001</v>
      </c>
      <c r="J689" s="185">
        <v>46106</v>
      </c>
      <c r="K689" s="185">
        <v>46106</v>
      </c>
      <c r="L689" s="185">
        <v>46196</v>
      </c>
      <c r="M689" s="185">
        <v>46196</v>
      </c>
      <c r="N689"/>
      <c r="O689">
        <v>1010100</v>
      </c>
      <c r="P689" t="s">
        <v>29</v>
      </c>
      <c r="Q689">
        <v>200000200</v>
      </c>
      <c r="R689" t="s">
        <v>15377</v>
      </c>
      <c r="S689"/>
      <c r="T689" t="s">
        <v>15323</v>
      </c>
      <c r="U689" t="s">
        <v>6311</v>
      </c>
      <c r="V689" s="23">
        <v>0</v>
      </c>
      <c r="W689" s="23">
        <v>0</v>
      </c>
      <c r="X689" s="23">
        <v>0</v>
      </c>
      <c r="Y689"/>
      <c r="Z689">
        <v>1246269114</v>
      </c>
      <c r="AA689"/>
      <c r="AB689" t="s">
        <v>1186</v>
      </c>
      <c r="AC689">
        <v>102</v>
      </c>
      <c r="AD689">
        <v>4</v>
      </c>
      <c r="AE689" t="s">
        <v>15324</v>
      </c>
      <c r="AF689"/>
      <c r="AG689" s="23"/>
      <c r="AH689" s="265" t="str">
        <f>_xlfn.XLOOKUP(G689,Clientes!I:I,Clientes!F:F)</f>
        <v>ADUFÉRTIL - CAMPEVO</v>
      </c>
    </row>
    <row r="690" spans="1:34" x14ac:dyDescent="0.25">
      <c r="A690">
        <v>161</v>
      </c>
      <c r="B690" t="s">
        <v>145</v>
      </c>
      <c r="C690"/>
      <c r="D690" s="23">
        <v>152185.74</v>
      </c>
      <c r="E690">
        <v>10968</v>
      </c>
      <c r="F690">
        <v>11</v>
      </c>
      <c r="G690">
        <v>15908</v>
      </c>
      <c r="H690" t="s">
        <v>748</v>
      </c>
      <c r="I690" s="23">
        <v>152185.74</v>
      </c>
      <c r="J690" s="185">
        <v>46105</v>
      </c>
      <c r="K690" s="185">
        <v>46105</v>
      </c>
      <c r="L690" s="185">
        <v>46195</v>
      </c>
      <c r="M690" s="185">
        <v>46192</v>
      </c>
      <c r="N690"/>
      <c r="O690">
        <v>1010100</v>
      </c>
      <c r="P690" t="s">
        <v>29</v>
      </c>
      <c r="Q690">
        <v>200000200</v>
      </c>
      <c r="R690" t="s">
        <v>15377</v>
      </c>
      <c r="S690"/>
      <c r="T690" t="s">
        <v>15323</v>
      </c>
      <c r="U690" t="s">
        <v>6311</v>
      </c>
      <c r="V690" s="23">
        <v>0</v>
      </c>
      <c r="W690" s="23">
        <v>0</v>
      </c>
      <c r="X690" s="23">
        <v>0</v>
      </c>
      <c r="Y690"/>
      <c r="Z690">
        <v>1246268845</v>
      </c>
      <c r="AA690"/>
      <c r="AB690" t="s">
        <v>1186</v>
      </c>
      <c r="AC690">
        <v>102</v>
      </c>
      <c r="AD690">
        <v>4</v>
      </c>
      <c r="AE690" t="s">
        <v>15324</v>
      </c>
      <c r="AF690"/>
      <c r="AG690" s="23"/>
      <c r="AH690" s="265" t="str">
        <f>_xlfn.XLOOKUP(G690,Clientes!I:I,Clientes!F:F)</f>
        <v>ADUFÉRTIL - CAMPEVO</v>
      </c>
    </row>
    <row r="691" spans="1:34" x14ac:dyDescent="0.25">
      <c r="A691">
        <v>40</v>
      </c>
      <c r="B691" t="s">
        <v>155</v>
      </c>
      <c r="C691"/>
      <c r="D691" s="23">
        <v>152321.99</v>
      </c>
      <c r="E691">
        <v>11738</v>
      </c>
      <c r="F691">
        <v>11</v>
      </c>
      <c r="G691">
        <v>2287</v>
      </c>
      <c r="H691" t="s">
        <v>114</v>
      </c>
      <c r="I691" s="23">
        <v>152321.99</v>
      </c>
      <c r="J691" s="185">
        <v>46190</v>
      </c>
      <c r="K691" s="185">
        <v>46190</v>
      </c>
      <c r="L691" s="185">
        <v>46220</v>
      </c>
      <c r="M691" s="185"/>
      <c r="N691"/>
      <c r="O691">
        <v>1010200</v>
      </c>
      <c r="P691" t="s">
        <v>113</v>
      </c>
      <c r="Q691">
        <v>200000100</v>
      </c>
      <c r="R691" t="s">
        <v>15322</v>
      </c>
      <c r="S691"/>
      <c r="T691" t="s">
        <v>15323</v>
      </c>
      <c r="U691" t="s">
        <v>1199</v>
      </c>
      <c r="V691" s="23">
        <v>0</v>
      </c>
      <c r="W691" s="23">
        <v>0</v>
      </c>
      <c r="X691" s="23">
        <v>0</v>
      </c>
      <c r="Y691"/>
      <c r="Z691">
        <v>1246279865</v>
      </c>
      <c r="AA691"/>
      <c r="AB691"/>
      <c r="AC691">
        <v>125</v>
      </c>
      <c r="AD691">
        <v>4</v>
      </c>
      <c r="AE691" t="s">
        <v>15324</v>
      </c>
      <c r="AF691" t="s">
        <v>15646</v>
      </c>
      <c r="AG691" s="23">
        <v>30000</v>
      </c>
      <c r="AH691" s="265" t="str">
        <f>_xlfn.XLOOKUP(G691,Clientes!I:I,Clientes!F:F)</f>
        <v>BUNGE PARAGUAY S.A</v>
      </c>
    </row>
    <row r="692" spans="1:34" x14ac:dyDescent="0.25">
      <c r="A692">
        <v>40</v>
      </c>
      <c r="B692" t="s">
        <v>155</v>
      </c>
      <c r="C692"/>
      <c r="D692" s="23">
        <v>152582.35</v>
      </c>
      <c r="E692">
        <v>10650</v>
      </c>
      <c r="F692">
        <v>11</v>
      </c>
      <c r="G692">
        <v>6370</v>
      </c>
      <c r="H692" t="s">
        <v>264</v>
      </c>
      <c r="I692" s="23">
        <v>152582.35</v>
      </c>
      <c r="J692" s="185">
        <v>46059</v>
      </c>
      <c r="K692" s="185">
        <v>46059</v>
      </c>
      <c r="L692" s="185">
        <v>46089</v>
      </c>
      <c r="M692" s="185">
        <v>46098</v>
      </c>
      <c r="N692"/>
      <c r="O692">
        <v>1010200</v>
      </c>
      <c r="P692" t="s">
        <v>113</v>
      </c>
      <c r="Q692">
        <v>200000100</v>
      </c>
      <c r="R692" t="s">
        <v>15322</v>
      </c>
      <c r="S692"/>
      <c r="T692" t="s">
        <v>15323</v>
      </c>
      <c r="U692" t="s">
        <v>1199</v>
      </c>
      <c r="V692" s="23">
        <v>0</v>
      </c>
      <c r="W692" s="23">
        <v>0</v>
      </c>
      <c r="X692" s="23">
        <v>0</v>
      </c>
      <c r="Y692"/>
      <c r="Z692">
        <v>1246262521</v>
      </c>
      <c r="AA692"/>
      <c r="AB692" t="s">
        <v>1199</v>
      </c>
      <c r="AC692">
        <v>125</v>
      </c>
      <c r="AD692">
        <v>4</v>
      </c>
      <c r="AE692" t="s">
        <v>15324</v>
      </c>
      <c r="AF692" t="s">
        <v>15369</v>
      </c>
      <c r="AG692" s="23">
        <v>29022.400000000001</v>
      </c>
      <c r="AH692" s="265" t="str">
        <f>_xlfn.XLOOKUP(G692,Clientes!I:I,Clientes!F:F)</f>
        <v>YTL S.A. - PARAGUAI</v>
      </c>
    </row>
    <row r="693" spans="1:34" x14ac:dyDescent="0.25">
      <c r="A693">
        <v>161</v>
      </c>
      <c r="B693" t="s">
        <v>145</v>
      </c>
      <c r="C693"/>
      <c r="D693" s="23">
        <v>152800.20000000001</v>
      </c>
      <c r="E693">
        <v>10530</v>
      </c>
      <c r="F693">
        <v>11</v>
      </c>
      <c r="G693">
        <v>12629</v>
      </c>
      <c r="H693" t="s">
        <v>109</v>
      </c>
      <c r="I693" s="23">
        <v>152800.20000000001</v>
      </c>
      <c r="J693" s="185">
        <v>46042</v>
      </c>
      <c r="K693" s="185">
        <v>46042</v>
      </c>
      <c r="L693" s="185">
        <v>46072</v>
      </c>
      <c r="M693" s="185">
        <v>46072</v>
      </c>
      <c r="N693"/>
      <c r="O693">
        <v>1010100</v>
      </c>
      <c r="P693" t="s">
        <v>29</v>
      </c>
      <c r="Q693">
        <v>200000100</v>
      </c>
      <c r="R693" t="s">
        <v>15322</v>
      </c>
      <c r="S693"/>
      <c r="T693" t="s">
        <v>15323</v>
      </c>
      <c r="U693" t="s">
        <v>4468</v>
      </c>
      <c r="V693" s="23">
        <v>0</v>
      </c>
      <c r="W693" s="23">
        <v>0</v>
      </c>
      <c r="X693" s="23">
        <v>0</v>
      </c>
      <c r="Y693"/>
      <c r="Z693">
        <v>1246260168</v>
      </c>
      <c r="AA693"/>
      <c r="AB693" t="s">
        <v>1199</v>
      </c>
      <c r="AC693">
        <v>102</v>
      </c>
      <c r="AD693">
        <v>4</v>
      </c>
      <c r="AE693" t="s">
        <v>15324</v>
      </c>
      <c r="AF693"/>
      <c r="AG693" s="23"/>
      <c r="AH693" s="265" t="str">
        <f>_xlfn.XLOOKUP(G693,Clientes!I:I,Clientes!F:F)</f>
        <v>EUROCHEM SERRA DO SALITRE</v>
      </c>
    </row>
    <row r="694" spans="1:34" x14ac:dyDescent="0.25">
      <c r="A694">
        <v>161</v>
      </c>
      <c r="B694" t="s">
        <v>145</v>
      </c>
      <c r="C694"/>
      <c r="D694" s="23">
        <v>153451.79999999999</v>
      </c>
      <c r="E694">
        <v>11059</v>
      </c>
      <c r="F694">
        <v>11</v>
      </c>
      <c r="G694">
        <v>12629</v>
      </c>
      <c r="H694" t="s">
        <v>109</v>
      </c>
      <c r="I694" s="23">
        <v>153451.79999999999</v>
      </c>
      <c r="J694" s="185">
        <v>46118</v>
      </c>
      <c r="K694" s="185">
        <v>46118</v>
      </c>
      <c r="L694" s="185">
        <v>46178</v>
      </c>
      <c r="M694" s="185">
        <v>46163</v>
      </c>
      <c r="N694"/>
      <c r="O694">
        <v>1010100</v>
      </c>
      <c r="P694" t="s">
        <v>29</v>
      </c>
      <c r="Q694">
        <v>200000100</v>
      </c>
      <c r="R694" t="s">
        <v>15322</v>
      </c>
      <c r="S694"/>
      <c r="T694" t="s">
        <v>15323</v>
      </c>
      <c r="U694" t="s">
        <v>1199</v>
      </c>
      <c r="V694" s="23">
        <v>0</v>
      </c>
      <c r="W694" s="23">
        <v>0</v>
      </c>
      <c r="X694" s="23">
        <v>0</v>
      </c>
      <c r="Y694"/>
      <c r="Z694">
        <v>1246270416</v>
      </c>
      <c r="AA694"/>
      <c r="AB694" t="s">
        <v>1199</v>
      </c>
      <c r="AC694">
        <v>102</v>
      </c>
      <c r="AD694">
        <v>4</v>
      </c>
      <c r="AE694" t="s">
        <v>15324</v>
      </c>
      <c r="AF694"/>
      <c r="AG694" s="23"/>
      <c r="AH694" s="265" t="str">
        <f>_xlfn.XLOOKUP(G694,Clientes!I:I,Clientes!F:F)</f>
        <v>EUROCHEM SERRA DO SALITRE</v>
      </c>
    </row>
    <row r="695" spans="1:34" x14ac:dyDescent="0.25">
      <c r="A695">
        <v>161</v>
      </c>
      <c r="B695" t="s">
        <v>145</v>
      </c>
      <c r="C695"/>
      <c r="D695" s="23">
        <v>153506.1</v>
      </c>
      <c r="E695">
        <v>10948</v>
      </c>
      <c r="F695">
        <v>11</v>
      </c>
      <c r="G695">
        <v>12629</v>
      </c>
      <c r="H695" t="s">
        <v>109</v>
      </c>
      <c r="I695" s="23">
        <v>153506.1</v>
      </c>
      <c r="J695" s="185">
        <v>46101</v>
      </c>
      <c r="K695" s="185">
        <v>46101</v>
      </c>
      <c r="L695" s="185">
        <v>46131</v>
      </c>
      <c r="M695" s="185">
        <v>46146</v>
      </c>
      <c r="N695"/>
      <c r="O695">
        <v>1010100</v>
      </c>
      <c r="P695" t="s">
        <v>29</v>
      </c>
      <c r="Q695">
        <v>200000100</v>
      </c>
      <c r="R695" t="s">
        <v>15322</v>
      </c>
      <c r="S695"/>
      <c r="T695" t="s">
        <v>15323</v>
      </c>
      <c r="U695" t="s">
        <v>5803</v>
      </c>
      <c r="V695" s="23">
        <v>0</v>
      </c>
      <c r="W695" s="23">
        <v>0</v>
      </c>
      <c r="X695" s="23">
        <v>0</v>
      </c>
      <c r="Y695"/>
      <c r="Z695">
        <v>1246268563</v>
      </c>
      <c r="AA695"/>
      <c r="AB695" t="s">
        <v>1199</v>
      </c>
      <c r="AC695">
        <v>102</v>
      </c>
      <c r="AD695">
        <v>4</v>
      </c>
      <c r="AE695" t="s">
        <v>15324</v>
      </c>
      <c r="AF695"/>
      <c r="AG695" s="23"/>
      <c r="AH695" s="265" t="str">
        <f>_xlfn.XLOOKUP(G695,Clientes!I:I,Clientes!F:F)</f>
        <v>EUROCHEM SERRA DO SALITRE</v>
      </c>
    </row>
    <row r="696" spans="1:34" x14ac:dyDescent="0.25">
      <c r="A696">
        <v>40</v>
      </c>
      <c r="B696" t="s">
        <v>155</v>
      </c>
      <c r="C696"/>
      <c r="D696" s="23">
        <v>153585.79</v>
      </c>
      <c r="E696">
        <v>11677</v>
      </c>
      <c r="F696">
        <v>11</v>
      </c>
      <c r="G696">
        <v>6370</v>
      </c>
      <c r="H696" t="s">
        <v>264</v>
      </c>
      <c r="I696" s="23">
        <v>153585.79</v>
      </c>
      <c r="J696" s="185">
        <v>46184</v>
      </c>
      <c r="K696" s="185">
        <v>46184</v>
      </c>
      <c r="L696" s="185">
        <v>46214</v>
      </c>
      <c r="M696" s="185"/>
      <c r="N696"/>
      <c r="O696">
        <v>1010200</v>
      </c>
      <c r="P696" t="s">
        <v>113</v>
      </c>
      <c r="Q696">
        <v>200000100</v>
      </c>
      <c r="R696" t="s">
        <v>15322</v>
      </c>
      <c r="S696"/>
      <c r="T696" t="s">
        <v>15323</v>
      </c>
      <c r="U696" t="s">
        <v>1199</v>
      </c>
      <c r="V696" s="23">
        <v>0</v>
      </c>
      <c r="W696" s="23">
        <v>0</v>
      </c>
      <c r="X696" s="23">
        <v>0</v>
      </c>
      <c r="Y696"/>
      <c r="Z696">
        <v>1246279180</v>
      </c>
      <c r="AA696"/>
      <c r="AB696"/>
      <c r="AC696">
        <v>125</v>
      </c>
      <c r="AD696">
        <v>4</v>
      </c>
      <c r="AE696" t="s">
        <v>15324</v>
      </c>
      <c r="AF696" t="s">
        <v>15647</v>
      </c>
      <c r="AG696" s="23">
        <v>29674.400000000001</v>
      </c>
      <c r="AH696" s="265" t="str">
        <f>_xlfn.XLOOKUP(G696,Clientes!I:I,Clientes!F:F)</f>
        <v>YTL S.A. - PARAGUAI</v>
      </c>
    </row>
    <row r="697" spans="1:34" x14ac:dyDescent="0.25">
      <c r="A697">
        <v>161</v>
      </c>
      <c r="B697" t="s">
        <v>145</v>
      </c>
      <c r="C697"/>
      <c r="D697" s="23">
        <v>153614.70000000001</v>
      </c>
      <c r="E697">
        <v>10434</v>
      </c>
      <c r="F697">
        <v>11</v>
      </c>
      <c r="G697">
        <v>12629</v>
      </c>
      <c r="H697" t="s">
        <v>109</v>
      </c>
      <c r="I697" s="23">
        <v>153614.70000000001</v>
      </c>
      <c r="J697" s="185">
        <v>46028</v>
      </c>
      <c r="K697" s="185">
        <v>46028</v>
      </c>
      <c r="L697" s="185">
        <v>46058</v>
      </c>
      <c r="M697" s="185">
        <v>46063</v>
      </c>
      <c r="N697"/>
      <c r="O697">
        <v>1010100</v>
      </c>
      <c r="P697" t="s">
        <v>29</v>
      </c>
      <c r="Q697">
        <v>200000100</v>
      </c>
      <c r="R697" t="s">
        <v>15322</v>
      </c>
      <c r="S697"/>
      <c r="T697" t="s">
        <v>15323</v>
      </c>
      <c r="U697" t="s">
        <v>1964</v>
      </c>
      <c r="V697" s="23">
        <v>0</v>
      </c>
      <c r="W697" s="23">
        <v>0</v>
      </c>
      <c r="X697" s="23">
        <v>0</v>
      </c>
      <c r="Y697"/>
      <c r="Z697">
        <v>1246258537</v>
      </c>
      <c r="AA697"/>
      <c r="AB697" t="s">
        <v>1199</v>
      </c>
      <c r="AC697">
        <v>102</v>
      </c>
      <c r="AD697">
        <v>4</v>
      </c>
      <c r="AE697" t="s">
        <v>15324</v>
      </c>
      <c r="AF697"/>
      <c r="AG697" s="23"/>
      <c r="AH697" s="265" t="str">
        <f>_xlfn.XLOOKUP(G697,Clientes!I:I,Clientes!F:F)</f>
        <v>EUROCHEM SERRA DO SALITRE</v>
      </c>
    </row>
    <row r="698" spans="1:34" x14ac:dyDescent="0.25">
      <c r="A698">
        <v>161</v>
      </c>
      <c r="B698" t="s">
        <v>145</v>
      </c>
      <c r="C698"/>
      <c r="D698" s="23">
        <v>153659.6</v>
      </c>
      <c r="E698">
        <v>10810</v>
      </c>
      <c r="F698">
        <v>11</v>
      </c>
      <c r="G698">
        <v>1159</v>
      </c>
      <c r="H698" t="s">
        <v>50</v>
      </c>
      <c r="I698" s="23">
        <v>153659.6</v>
      </c>
      <c r="J698" s="185">
        <v>46085</v>
      </c>
      <c r="K698" s="185">
        <v>46085</v>
      </c>
      <c r="L698" s="185">
        <v>46125</v>
      </c>
      <c r="M698" s="185">
        <v>46125</v>
      </c>
      <c r="N698"/>
      <c r="O698">
        <v>1010100</v>
      </c>
      <c r="P698" t="s">
        <v>29</v>
      </c>
      <c r="Q698">
        <v>200000100</v>
      </c>
      <c r="R698" t="s">
        <v>15322</v>
      </c>
      <c r="S698"/>
      <c r="T698" t="s">
        <v>15323</v>
      </c>
      <c r="U698" t="s">
        <v>1530</v>
      </c>
      <c r="V698" s="23">
        <v>0</v>
      </c>
      <c r="W698" s="23">
        <v>0</v>
      </c>
      <c r="X698" s="23">
        <v>0</v>
      </c>
      <c r="Y698"/>
      <c r="Z698">
        <v>1246266347</v>
      </c>
      <c r="AA698"/>
      <c r="AB698" t="s">
        <v>2073</v>
      </c>
      <c r="AC698">
        <v>102</v>
      </c>
      <c r="AD698">
        <v>4</v>
      </c>
      <c r="AE698" t="s">
        <v>15324</v>
      </c>
      <c r="AF698"/>
      <c r="AG698" s="23"/>
      <c r="AH698" s="265" t="str">
        <f>_xlfn.XLOOKUP(G698,Clientes!I:I,Clientes!F:F)</f>
        <v>GRUPO YARA</v>
      </c>
    </row>
    <row r="699" spans="1:34" x14ac:dyDescent="0.25">
      <c r="A699">
        <v>40</v>
      </c>
      <c r="B699" t="s">
        <v>155</v>
      </c>
      <c r="C699"/>
      <c r="D699" s="23">
        <v>155118.66</v>
      </c>
      <c r="E699">
        <v>11655</v>
      </c>
      <c r="F699">
        <v>11</v>
      </c>
      <c r="G699">
        <v>2287</v>
      </c>
      <c r="H699" t="s">
        <v>114</v>
      </c>
      <c r="I699" s="23">
        <v>155118.66</v>
      </c>
      <c r="J699" s="185">
        <v>46182</v>
      </c>
      <c r="K699" s="185">
        <v>46182</v>
      </c>
      <c r="L699" s="185">
        <v>46212</v>
      </c>
      <c r="M699" s="185"/>
      <c r="N699"/>
      <c r="O699">
        <v>1010200</v>
      </c>
      <c r="P699" t="s">
        <v>113</v>
      </c>
      <c r="Q699">
        <v>200000100</v>
      </c>
      <c r="R699" t="s">
        <v>15322</v>
      </c>
      <c r="S699"/>
      <c r="T699" t="s">
        <v>15323</v>
      </c>
      <c r="U699" t="s">
        <v>1199</v>
      </c>
      <c r="V699" s="23">
        <v>0</v>
      </c>
      <c r="W699" s="23">
        <v>0</v>
      </c>
      <c r="X699" s="23">
        <v>0</v>
      </c>
      <c r="Y699"/>
      <c r="Z699">
        <v>1246278696</v>
      </c>
      <c r="AA699"/>
      <c r="AB699"/>
      <c r="AC699">
        <v>125</v>
      </c>
      <c r="AD699">
        <v>4</v>
      </c>
      <c r="AE699" t="s">
        <v>15324</v>
      </c>
      <c r="AF699" t="s">
        <v>15648</v>
      </c>
      <c r="AG699" s="23">
        <v>30010</v>
      </c>
      <c r="AH699" s="265" t="str">
        <f>_xlfn.XLOOKUP(G699,Clientes!I:I,Clientes!F:F)</f>
        <v>BUNGE PARAGUAY S.A</v>
      </c>
    </row>
    <row r="700" spans="1:34" x14ac:dyDescent="0.25">
      <c r="A700">
        <v>40</v>
      </c>
      <c r="B700" t="s">
        <v>155</v>
      </c>
      <c r="C700"/>
      <c r="D700" s="23">
        <v>155798.04999999999</v>
      </c>
      <c r="E700">
        <v>10607</v>
      </c>
      <c r="F700">
        <v>11</v>
      </c>
      <c r="G700">
        <v>2287</v>
      </c>
      <c r="H700" t="s">
        <v>114</v>
      </c>
      <c r="I700" s="23">
        <v>155798.04999999999</v>
      </c>
      <c r="J700" s="185">
        <v>46052</v>
      </c>
      <c r="K700" s="185">
        <v>46052</v>
      </c>
      <c r="L700" s="185">
        <v>46082</v>
      </c>
      <c r="M700" s="185">
        <v>46097</v>
      </c>
      <c r="N700"/>
      <c r="O700">
        <v>1010200</v>
      </c>
      <c r="P700" t="s">
        <v>113</v>
      </c>
      <c r="Q700">
        <v>200000100</v>
      </c>
      <c r="R700" t="s">
        <v>15322</v>
      </c>
      <c r="S700"/>
      <c r="T700" t="s">
        <v>15323</v>
      </c>
      <c r="U700" t="s">
        <v>1199</v>
      </c>
      <c r="V700" s="23">
        <v>0</v>
      </c>
      <c r="W700" s="23">
        <v>0</v>
      </c>
      <c r="X700" s="23">
        <v>0</v>
      </c>
      <c r="Y700"/>
      <c r="Z700">
        <v>1246261664</v>
      </c>
      <c r="AA700"/>
      <c r="AB700" t="s">
        <v>1199</v>
      </c>
      <c r="AC700">
        <v>125</v>
      </c>
      <c r="AD700">
        <v>4</v>
      </c>
      <c r="AE700" t="s">
        <v>15324</v>
      </c>
      <c r="AF700" t="s">
        <v>15374</v>
      </c>
      <c r="AG700" s="23">
        <v>29990</v>
      </c>
      <c r="AH700" s="265" t="str">
        <f>_xlfn.XLOOKUP(G700,Clientes!I:I,Clientes!F:F)</f>
        <v>BUNGE PARAGUAY S.A</v>
      </c>
    </row>
    <row r="701" spans="1:34" x14ac:dyDescent="0.25">
      <c r="A701">
        <v>161</v>
      </c>
      <c r="B701" t="s">
        <v>145</v>
      </c>
      <c r="C701"/>
      <c r="D701" s="23">
        <v>156655.5</v>
      </c>
      <c r="E701">
        <v>10586</v>
      </c>
      <c r="F701">
        <v>11</v>
      </c>
      <c r="G701">
        <v>12629</v>
      </c>
      <c r="H701" t="s">
        <v>109</v>
      </c>
      <c r="I701" s="23">
        <v>156655.5</v>
      </c>
      <c r="J701" s="185">
        <v>46049</v>
      </c>
      <c r="K701" s="185">
        <v>46049</v>
      </c>
      <c r="L701" s="185">
        <v>46079</v>
      </c>
      <c r="M701" s="185">
        <v>46079</v>
      </c>
      <c r="N701"/>
      <c r="O701">
        <v>1010100</v>
      </c>
      <c r="P701" t="s">
        <v>29</v>
      </c>
      <c r="Q701">
        <v>200000100</v>
      </c>
      <c r="R701" t="s">
        <v>15322</v>
      </c>
      <c r="S701"/>
      <c r="T701" t="s">
        <v>15323</v>
      </c>
      <c r="U701" t="s">
        <v>1199</v>
      </c>
      <c r="V701" s="23">
        <v>0</v>
      </c>
      <c r="W701" s="23">
        <v>0</v>
      </c>
      <c r="X701" s="23">
        <v>0</v>
      </c>
      <c r="Y701"/>
      <c r="Z701">
        <v>1246261176</v>
      </c>
      <c r="AA701"/>
      <c r="AB701" t="s">
        <v>1199</v>
      </c>
      <c r="AC701">
        <v>102</v>
      </c>
      <c r="AD701">
        <v>4</v>
      </c>
      <c r="AE701" t="s">
        <v>15324</v>
      </c>
      <c r="AF701"/>
      <c r="AG701" s="23"/>
      <c r="AH701" s="265" t="str">
        <f>_xlfn.XLOOKUP(G701,Clientes!I:I,Clientes!F:F)</f>
        <v>EUROCHEM SERRA DO SALITRE</v>
      </c>
    </row>
    <row r="702" spans="1:34" x14ac:dyDescent="0.25">
      <c r="A702">
        <v>40</v>
      </c>
      <c r="B702" t="s">
        <v>155</v>
      </c>
      <c r="C702"/>
      <c r="D702" s="23">
        <v>157149.47</v>
      </c>
      <c r="E702">
        <v>11137</v>
      </c>
      <c r="F702">
        <v>11</v>
      </c>
      <c r="G702">
        <v>2652</v>
      </c>
      <c r="H702" t="s">
        <v>117</v>
      </c>
      <c r="I702" s="23">
        <v>157149.47</v>
      </c>
      <c r="J702" s="185">
        <v>46128</v>
      </c>
      <c r="K702" s="185">
        <v>46128</v>
      </c>
      <c r="L702" s="185">
        <v>46158</v>
      </c>
      <c r="M702" s="185">
        <v>46160</v>
      </c>
      <c r="N702"/>
      <c r="O702">
        <v>1010200</v>
      </c>
      <c r="P702" t="s">
        <v>113</v>
      </c>
      <c r="Q702">
        <v>200000100</v>
      </c>
      <c r="R702" t="s">
        <v>15322</v>
      </c>
      <c r="S702"/>
      <c r="T702" t="s">
        <v>15323</v>
      </c>
      <c r="U702" t="s">
        <v>1199</v>
      </c>
      <c r="V702" s="23">
        <v>0</v>
      </c>
      <c r="W702" s="23">
        <v>0</v>
      </c>
      <c r="X702" s="23">
        <v>0</v>
      </c>
      <c r="Y702"/>
      <c r="Z702">
        <v>1246271559</v>
      </c>
      <c r="AA702"/>
      <c r="AB702" t="s">
        <v>1199</v>
      </c>
      <c r="AC702">
        <v>125</v>
      </c>
      <c r="AD702">
        <v>4</v>
      </c>
      <c r="AE702" t="s">
        <v>15324</v>
      </c>
      <c r="AF702" t="s">
        <v>15338</v>
      </c>
      <c r="AG702" s="23">
        <v>31479</v>
      </c>
      <c r="AH702" s="265" t="str">
        <f>_xlfn.XLOOKUP(G702,Clientes!I:I,Clientes!F:F)</f>
        <v>FERTIMAX PARAGUAY</v>
      </c>
    </row>
    <row r="703" spans="1:34" x14ac:dyDescent="0.25">
      <c r="A703">
        <v>40</v>
      </c>
      <c r="B703" t="s">
        <v>155</v>
      </c>
      <c r="C703"/>
      <c r="D703" s="23">
        <v>157259.64000000001</v>
      </c>
      <c r="E703">
        <v>10457</v>
      </c>
      <c r="F703">
        <v>11</v>
      </c>
      <c r="G703">
        <v>6370</v>
      </c>
      <c r="H703" t="s">
        <v>264</v>
      </c>
      <c r="I703" s="23">
        <v>157259.64000000001</v>
      </c>
      <c r="J703" s="185">
        <v>46034</v>
      </c>
      <c r="K703" s="185">
        <v>46034</v>
      </c>
      <c r="L703" s="185">
        <v>46064</v>
      </c>
      <c r="M703" s="185">
        <v>46080</v>
      </c>
      <c r="N703"/>
      <c r="O703">
        <v>1010200</v>
      </c>
      <c r="P703" t="s">
        <v>113</v>
      </c>
      <c r="Q703">
        <v>200000100</v>
      </c>
      <c r="R703" t="s">
        <v>15322</v>
      </c>
      <c r="S703"/>
      <c r="T703" t="s">
        <v>15323</v>
      </c>
      <c r="U703" t="s">
        <v>1199</v>
      </c>
      <c r="V703" s="23">
        <v>0</v>
      </c>
      <c r="W703" s="23">
        <v>0</v>
      </c>
      <c r="X703" s="23">
        <v>0</v>
      </c>
      <c r="Y703"/>
      <c r="Z703">
        <v>1246259135</v>
      </c>
      <c r="AA703"/>
      <c r="AB703" t="s">
        <v>1199</v>
      </c>
      <c r="AC703">
        <v>125</v>
      </c>
      <c r="AD703">
        <v>4</v>
      </c>
      <c r="AE703" t="s">
        <v>15324</v>
      </c>
      <c r="AF703" t="s">
        <v>15335</v>
      </c>
      <c r="AG703" s="23">
        <v>29284.3</v>
      </c>
      <c r="AH703" s="265" t="str">
        <f>_xlfn.XLOOKUP(G703,Clientes!I:I,Clientes!F:F)</f>
        <v>YTL S.A. - PARAGUAI</v>
      </c>
    </row>
    <row r="704" spans="1:34" x14ac:dyDescent="0.25">
      <c r="A704">
        <v>161</v>
      </c>
      <c r="B704" t="s">
        <v>145</v>
      </c>
      <c r="C704"/>
      <c r="D704" s="23">
        <v>157472</v>
      </c>
      <c r="E704">
        <v>10484</v>
      </c>
      <c r="F704">
        <v>11</v>
      </c>
      <c r="G704">
        <v>7302</v>
      </c>
      <c r="H704" t="s">
        <v>93</v>
      </c>
      <c r="I704" s="23">
        <v>157472</v>
      </c>
      <c r="J704" s="185">
        <v>46036</v>
      </c>
      <c r="K704" s="185">
        <v>46036</v>
      </c>
      <c r="L704" s="185">
        <v>46126</v>
      </c>
      <c r="M704" s="185">
        <v>46126</v>
      </c>
      <c r="N704"/>
      <c r="O704">
        <v>1010100</v>
      </c>
      <c r="P704" t="s">
        <v>29</v>
      </c>
      <c r="Q704">
        <v>200000100</v>
      </c>
      <c r="R704" t="s">
        <v>15322</v>
      </c>
      <c r="S704"/>
      <c r="T704" t="s">
        <v>15323</v>
      </c>
      <c r="U704" t="s">
        <v>1215</v>
      </c>
      <c r="V704" s="23">
        <v>0</v>
      </c>
      <c r="W704" s="23">
        <v>0</v>
      </c>
      <c r="X704" s="23">
        <v>0</v>
      </c>
      <c r="Y704"/>
      <c r="Z704">
        <v>1246259446</v>
      </c>
      <c r="AA704"/>
      <c r="AB704" t="s">
        <v>2073</v>
      </c>
      <c r="AC704">
        <v>102</v>
      </c>
      <c r="AD704">
        <v>4</v>
      </c>
      <c r="AE704" t="s">
        <v>15324</v>
      </c>
      <c r="AF704"/>
      <c r="AG704" s="23"/>
      <c r="AH704" s="265" t="str">
        <f>_xlfn.XLOOKUP(G704,Clientes!I:I,Clientes!F:F)</f>
        <v>GRUPO MOSAIC FERTILIZANTES DO BRASIL</v>
      </c>
    </row>
    <row r="705" spans="1:34" x14ac:dyDescent="0.25">
      <c r="A705">
        <v>40</v>
      </c>
      <c r="B705" t="s">
        <v>155</v>
      </c>
      <c r="C705"/>
      <c r="D705" s="23">
        <v>157582.04</v>
      </c>
      <c r="E705">
        <v>11347</v>
      </c>
      <c r="F705">
        <v>11</v>
      </c>
      <c r="G705">
        <v>2652</v>
      </c>
      <c r="H705" t="s">
        <v>117</v>
      </c>
      <c r="I705" s="23">
        <v>157582.04</v>
      </c>
      <c r="J705" s="185">
        <v>46153</v>
      </c>
      <c r="K705" s="185">
        <v>46153</v>
      </c>
      <c r="L705" s="185">
        <v>46183</v>
      </c>
      <c r="M705" s="185">
        <v>46182</v>
      </c>
      <c r="N705"/>
      <c r="O705">
        <v>1010200</v>
      </c>
      <c r="P705" t="s">
        <v>113</v>
      </c>
      <c r="Q705">
        <v>200000100</v>
      </c>
      <c r="R705" t="s">
        <v>15322</v>
      </c>
      <c r="S705"/>
      <c r="T705" t="s">
        <v>15323</v>
      </c>
      <c r="U705" t="s">
        <v>1199</v>
      </c>
      <c r="V705" s="23">
        <v>0</v>
      </c>
      <c r="W705" s="23">
        <v>0</v>
      </c>
      <c r="X705" s="23">
        <v>0</v>
      </c>
      <c r="Y705"/>
      <c r="Z705">
        <v>1246274325</v>
      </c>
      <c r="AA705"/>
      <c r="AB705" t="s">
        <v>1199</v>
      </c>
      <c r="AC705">
        <v>125</v>
      </c>
      <c r="AD705">
        <v>4</v>
      </c>
      <c r="AE705" t="s">
        <v>15324</v>
      </c>
      <c r="AF705" t="s">
        <v>15474</v>
      </c>
      <c r="AG705" s="23">
        <v>32164.2</v>
      </c>
      <c r="AH705" s="265" t="str">
        <f>_xlfn.XLOOKUP(G705,Clientes!I:I,Clientes!F:F)</f>
        <v>FERTIMAX PARAGUAY</v>
      </c>
    </row>
    <row r="706" spans="1:34" x14ac:dyDescent="0.25">
      <c r="A706">
        <v>40</v>
      </c>
      <c r="B706" t="s">
        <v>155</v>
      </c>
      <c r="C706"/>
      <c r="D706" s="23">
        <v>157607.13</v>
      </c>
      <c r="E706">
        <v>10909</v>
      </c>
      <c r="F706">
        <v>11</v>
      </c>
      <c r="G706">
        <v>2287</v>
      </c>
      <c r="H706" t="s">
        <v>114</v>
      </c>
      <c r="I706" s="23">
        <v>157607.13</v>
      </c>
      <c r="J706" s="185">
        <v>46098</v>
      </c>
      <c r="K706" s="185">
        <v>46098</v>
      </c>
      <c r="L706" s="185">
        <v>46128</v>
      </c>
      <c r="M706" s="185">
        <v>46142</v>
      </c>
      <c r="N706"/>
      <c r="O706">
        <v>1010200</v>
      </c>
      <c r="P706" t="s">
        <v>113</v>
      </c>
      <c r="Q706">
        <v>200000100</v>
      </c>
      <c r="R706" t="s">
        <v>15322</v>
      </c>
      <c r="S706"/>
      <c r="T706" t="s">
        <v>15323</v>
      </c>
      <c r="U706" t="s">
        <v>1199</v>
      </c>
      <c r="V706" s="23">
        <v>0</v>
      </c>
      <c r="W706" s="23">
        <v>0</v>
      </c>
      <c r="X706" s="23">
        <v>0</v>
      </c>
      <c r="Y706"/>
      <c r="Z706">
        <v>1246268026</v>
      </c>
      <c r="AA706"/>
      <c r="AB706" t="s">
        <v>1199</v>
      </c>
      <c r="AC706">
        <v>125</v>
      </c>
      <c r="AD706">
        <v>4</v>
      </c>
      <c r="AE706" t="s">
        <v>15324</v>
      </c>
      <c r="AF706" t="s">
        <v>15371</v>
      </c>
      <c r="AG706" s="23">
        <v>29940</v>
      </c>
      <c r="AH706" s="265" t="str">
        <f>_xlfn.XLOOKUP(G706,Clientes!I:I,Clientes!F:F)</f>
        <v>BUNGE PARAGUAY S.A</v>
      </c>
    </row>
    <row r="707" spans="1:34" x14ac:dyDescent="0.25">
      <c r="A707">
        <v>161</v>
      </c>
      <c r="B707" t="s">
        <v>145</v>
      </c>
      <c r="C707"/>
      <c r="D707" s="23">
        <v>158950.20000000001</v>
      </c>
      <c r="E707">
        <v>11289</v>
      </c>
      <c r="F707">
        <v>11</v>
      </c>
      <c r="G707">
        <v>3232</v>
      </c>
      <c r="H707" t="s">
        <v>153</v>
      </c>
      <c r="I707" s="23">
        <v>158950.20000000001</v>
      </c>
      <c r="J707" s="185">
        <v>46146</v>
      </c>
      <c r="K707" s="185">
        <v>46146</v>
      </c>
      <c r="L707" s="185">
        <v>46206</v>
      </c>
      <c r="M707" s="185"/>
      <c r="N707"/>
      <c r="O707">
        <v>1010100</v>
      </c>
      <c r="P707" t="s">
        <v>29</v>
      </c>
      <c r="Q707">
        <v>200000100</v>
      </c>
      <c r="R707" t="s">
        <v>15322</v>
      </c>
      <c r="S707"/>
      <c r="T707" t="s">
        <v>15323</v>
      </c>
      <c r="U707" t="s">
        <v>5803</v>
      </c>
      <c r="V707" s="23">
        <v>0</v>
      </c>
      <c r="W707" s="23">
        <v>0</v>
      </c>
      <c r="X707" s="23">
        <v>0</v>
      </c>
      <c r="Y707"/>
      <c r="Z707">
        <v>1246273469</v>
      </c>
      <c r="AA707"/>
      <c r="AB707"/>
      <c r="AC707">
        <v>102</v>
      </c>
      <c r="AD707">
        <v>4</v>
      </c>
      <c r="AE707" t="s">
        <v>15324</v>
      </c>
      <c r="AF707"/>
      <c r="AG707" s="23"/>
      <c r="AH707" s="265" t="str">
        <f>_xlfn.XLOOKUP(G707,Clientes!I:I,Clientes!F:F)</f>
        <v>GRUPO FERTILIZ TOCANTINS</v>
      </c>
    </row>
    <row r="708" spans="1:34" x14ac:dyDescent="0.25">
      <c r="A708">
        <v>161</v>
      </c>
      <c r="B708" t="s">
        <v>145</v>
      </c>
      <c r="C708"/>
      <c r="D708" s="23">
        <v>158966.43</v>
      </c>
      <c r="E708">
        <v>10412</v>
      </c>
      <c r="F708">
        <v>11</v>
      </c>
      <c r="G708">
        <v>1159</v>
      </c>
      <c r="H708" t="s">
        <v>50</v>
      </c>
      <c r="I708" s="23">
        <v>158966.43</v>
      </c>
      <c r="J708" s="185">
        <v>46024</v>
      </c>
      <c r="K708" s="185">
        <v>46024</v>
      </c>
      <c r="L708" s="185">
        <v>46064</v>
      </c>
      <c r="M708" s="185">
        <v>46064</v>
      </c>
      <c r="N708"/>
      <c r="O708">
        <v>1010100</v>
      </c>
      <c r="P708" t="s">
        <v>29</v>
      </c>
      <c r="Q708">
        <v>200000100</v>
      </c>
      <c r="R708" t="s">
        <v>15322</v>
      </c>
      <c r="S708"/>
      <c r="T708" t="s">
        <v>15323</v>
      </c>
      <c r="U708" t="s">
        <v>4468</v>
      </c>
      <c r="V708" s="23">
        <v>0</v>
      </c>
      <c r="W708" s="23">
        <v>0</v>
      </c>
      <c r="X708" s="23">
        <v>0</v>
      </c>
      <c r="Y708"/>
      <c r="Z708">
        <v>1246258184</v>
      </c>
      <c r="AA708"/>
      <c r="AB708" t="s">
        <v>1199</v>
      </c>
      <c r="AC708">
        <v>102</v>
      </c>
      <c r="AD708">
        <v>4</v>
      </c>
      <c r="AE708" t="s">
        <v>15324</v>
      </c>
      <c r="AF708"/>
      <c r="AG708" s="23"/>
      <c r="AH708" s="265" t="str">
        <f>_xlfn.XLOOKUP(G708,Clientes!I:I,Clientes!F:F)</f>
        <v>GRUPO YARA</v>
      </c>
    </row>
    <row r="709" spans="1:34" x14ac:dyDescent="0.25">
      <c r="A709">
        <v>40</v>
      </c>
      <c r="B709" t="s">
        <v>155</v>
      </c>
      <c r="C709"/>
      <c r="D709" s="23">
        <v>160315.84</v>
      </c>
      <c r="E709">
        <v>10410</v>
      </c>
      <c r="F709">
        <v>11</v>
      </c>
      <c r="G709">
        <v>6370</v>
      </c>
      <c r="H709" t="s">
        <v>264</v>
      </c>
      <c r="I709" s="23">
        <v>160315.84</v>
      </c>
      <c r="J709" s="185">
        <v>46024</v>
      </c>
      <c r="K709" s="185">
        <v>46024</v>
      </c>
      <c r="L709" s="185">
        <v>46054</v>
      </c>
      <c r="M709" s="185">
        <v>46080</v>
      </c>
      <c r="N709"/>
      <c r="O709">
        <v>1010200</v>
      </c>
      <c r="P709" t="s">
        <v>113</v>
      </c>
      <c r="Q709">
        <v>200000100</v>
      </c>
      <c r="R709" t="s">
        <v>15322</v>
      </c>
      <c r="S709"/>
      <c r="T709" t="s">
        <v>15323</v>
      </c>
      <c r="U709" t="s">
        <v>1199</v>
      </c>
      <c r="V709" s="23">
        <v>0</v>
      </c>
      <c r="W709" s="23">
        <v>0</v>
      </c>
      <c r="X709" s="23">
        <v>0</v>
      </c>
      <c r="Y709"/>
      <c r="Z709">
        <v>1246258154</v>
      </c>
      <c r="AA709"/>
      <c r="AB709" t="s">
        <v>1199</v>
      </c>
      <c r="AC709">
        <v>125</v>
      </c>
      <c r="AD709">
        <v>4</v>
      </c>
      <c r="AE709" t="s">
        <v>15324</v>
      </c>
      <c r="AF709" t="s">
        <v>15334</v>
      </c>
      <c r="AG709" s="23">
        <v>29138.799999999999</v>
      </c>
      <c r="AH709" s="265" t="str">
        <f>_xlfn.XLOOKUP(G709,Clientes!I:I,Clientes!F:F)</f>
        <v>YTL S.A. - PARAGUAI</v>
      </c>
    </row>
    <row r="710" spans="1:34" x14ac:dyDescent="0.25">
      <c r="A710">
        <v>40</v>
      </c>
      <c r="B710" t="s">
        <v>155</v>
      </c>
      <c r="C710"/>
      <c r="D710" s="23">
        <v>161121.25</v>
      </c>
      <c r="E710">
        <v>11700</v>
      </c>
      <c r="F710">
        <v>11</v>
      </c>
      <c r="G710">
        <v>2656</v>
      </c>
      <c r="H710" t="s">
        <v>118</v>
      </c>
      <c r="I710" s="23">
        <v>161121.25</v>
      </c>
      <c r="J710" s="185">
        <v>46185</v>
      </c>
      <c r="K710" s="185">
        <v>46185</v>
      </c>
      <c r="L710" s="185">
        <v>46215</v>
      </c>
      <c r="M710" s="185"/>
      <c r="N710"/>
      <c r="O710">
        <v>1010200</v>
      </c>
      <c r="P710" t="s">
        <v>113</v>
      </c>
      <c r="Q710">
        <v>200000100</v>
      </c>
      <c r="R710" t="s">
        <v>15322</v>
      </c>
      <c r="S710"/>
      <c r="T710" t="s">
        <v>15323</v>
      </c>
      <c r="U710" t="s">
        <v>1530</v>
      </c>
      <c r="V710" s="23">
        <v>0</v>
      </c>
      <c r="W710" s="23">
        <v>0</v>
      </c>
      <c r="X710" s="23">
        <v>0</v>
      </c>
      <c r="Y710"/>
      <c r="Z710">
        <v>1246279391</v>
      </c>
      <c r="AA710"/>
      <c r="AB710"/>
      <c r="AC710">
        <v>102</v>
      </c>
      <c r="AD710">
        <v>4</v>
      </c>
      <c r="AE710" t="s">
        <v>15324</v>
      </c>
      <c r="AF710"/>
      <c r="AG710" s="23"/>
      <c r="AH710" s="265" t="str">
        <f>_xlfn.XLOOKUP(G710,Clientes!I:I,Clientes!F:F)</f>
        <v>ISUSA - URUGUAI</v>
      </c>
    </row>
    <row r="711" spans="1:34" x14ac:dyDescent="0.25">
      <c r="A711">
        <v>161</v>
      </c>
      <c r="B711" t="s">
        <v>145</v>
      </c>
      <c r="C711"/>
      <c r="D711" s="23">
        <v>161488.20000000001</v>
      </c>
      <c r="E711">
        <v>11452</v>
      </c>
      <c r="F711">
        <v>11</v>
      </c>
      <c r="G711">
        <v>12629</v>
      </c>
      <c r="H711" t="s">
        <v>109</v>
      </c>
      <c r="I711" s="23">
        <v>161488.20000000001</v>
      </c>
      <c r="J711" s="185">
        <v>46162</v>
      </c>
      <c r="K711" s="185">
        <v>46162</v>
      </c>
      <c r="L711" s="185">
        <v>46222</v>
      </c>
      <c r="M711" s="185"/>
      <c r="N711"/>
      <c r="O711">
        <v>1010100</v>
      </c>
      <c r="P711" t="s">
        <v>29</v>
      </c>
      <c r="Q711">
        <v>200000100</v>
      </c>
      <c r="R711" t="s">
        <v>15322</v>
      </c>
      <c r="S711"/>
      <c r="T711" t="s">
        <v>15323</v>
      </c>
      <c r="U711" t="s">
        <v>5803</v>
      </c>
      <c r="V711" s="23">
        <v>0</v>
      </c>
      <c r="W711" s="23">
        <v>0</v>
      </c>
      <c r="X711" s="23">
        <v>0</v>
      </c>
      <c r="Y711"/>
      <c r="Z711">
        <v>1246275947</v>
      </c>
      <c r="AA711"/>
      <c r="AB711"/>
      <c r="AC711">
        <v>102</v>
      </c>
      <c r="AD711">
        <v>4</v>
      </c>
      <c r="AE711" t="s">
        <v>15324</v>
      </c>
      <c r="AF711"/>
      <c r="AG711" s="23"/>
      <c r="AH711" s="265" t="str">
        <f>_xlfn.XLOOKUP(G711,Clientes!I:I,Clientes!F:F)</f>
        <v>EUROCHEM SERRA DO SALITRE</v>
      </c>
    </row>
    <row r="712" spans="1:34" x14ac:dyDescent="0.25">
      <c r="A712">
        <v>161</v>
      </c>
      <c r="B712" t="s">
        <v>145</v>
      </c>
      <c r="C712"/>
      <c r="D712" s="23">
        <v>162031.20000000001</v>
      </c>
      <c r="E712">
        <v>11184</v>
      </c>
      <c r="F712">
        <v>11</v>
      </c>
      <c r="G712">
        <v>12629</v>
      </c>
      <c r="H712" t="s">
        <v>109</v>
      </c>
      <c r="I712" s="23">
        <v>162031.20000000001</v>
      </c>
      <c r="J712" s="185">
        <v>46132</v>
      </c>
      <c r="K712" s="185">
        <v>46132</v>
      </c>
      <c r="L712" s="185">
        <v>46192</v>
      </c>
      <c r="M712" s="185">
        <v>46178</v>
      </c>
      <c r="N712"/>
      <c r="O712">
        <v>1010100</v>
      </c>
      <c r="P712" t="s">
        <v>29</v>
      </c>
      <c r="Q712">
        <v>200000100</v>
      </c>
      <c r="R712" t="s">
        <v>15322</v>
      </c>
      <c r="S712"/>
      <c r="T712" t="s">
        <v>15323</v>
      </c>
      <c r="U712" t="s">
        <v>1199</v>
      </c>
      <c r="V712" s="23">
        <v>0</v>
      </c>
      <c r="W712" s="23">
        <v>0</v>
      </c>
      <c r="X712" s="23">
        <v>0</v>
      </c>
      <c r="Y712"/>
      <c r="Z712">
        <v>1246271940</v>
      </c>
      <c r="AA712"/>
      <c r="AB712" t="s">
        <v>1199</v>
      </c>
      <c r="AC712">
        <v>102</v>
      </c>
      <c r="AD712">
        <v>4</v>
      </c>
      <c r="AE712" t="s">
        <v>15324</v>
      </c>
      <c r="AF712"/>
      <c r="AG712" s="23"/>
      <c r="AH712" s="265" t="str">
        <f>_xlfn.XLOOKUP(G712,Clientes!I:I,Clientes!F:F)</f>
        <v>EUROCHEM SERRA DO SALITRE</v>
      </c>
    </row>
    <row r="713" spans="1:34" x14ac:dyDescent="0.25">
      <c r="A713">
        <v>161</v>
      </c>
      <c r="B713" t="s">
        <v>145</v>
      </c>
      <c r="C713"/>
      <c r="D713" s="23">
        <v>162357</v>
      </c>
      <c r="E713">
        <v>11028</v>
      </c>
      <c r="F713">
        <v>11</v>
      </c>
      <c r="G713">
        <v>12629</v>
      </c>
      <c r="H713" t="s">
        <v>109</v>
      </c>
      <c r="I713" s="23">
        <v>162357</v>
      </c>
      <c r="J713" s="185">
        <v>46113</v>
      </c>
      <c r="K713" s="185">
        <v>46113</v>
      </c>
      <c r="L713" s="185">
        <v>46173</v>
      </c>
      <c r="M713" s="185">
        <v>46160</v>
      </c>
      <c r="N713"/>
      <c r="O713">
        <v>1010100</v>
      </c>
      <c r="P713" t="s">
        <v>29</v>
      </c>
      <c r="Q713">
        <v>200000100</v>
      </c>
      <c r="R713" t="s">
        <v>15322</v>
      </c>
      <c r="S713"/>
      <c r="T713" t="s">
        <v>15323</v>
      </c>
      <c r="U713" t="s">
        <v>1199</v>
      </c>
      <c r="V713" s="23">
        <v>0</v>
      </c>
      <c r="W713" s="23">
        <v>0</v>
      </c>
      <c r="X713" s="23">
        <v>0</v>
      </c>
      <c r="Y713"/>
      <c r="Z713">
        <v>1246269970</v>
      </c>
      <c r="AA713"/>
      <c r="AB713" t="s">
        <v>1199</v>
      </c>
      <c r="AC713">
        <v>102</v>
      </c>
      <c r="AD713">
        <v>4</v>
      </c>
      <c r="AE713" t="s">
        <v>15324</v>
      </c>
      <c r="AF713"/>
      <c r="AG713" s="23"/>
      <c r="AH713" s="265" t="str">
        <f>_xlfn.XLOOKUP(G713,Clientes!I:I,Clientes!F:F)</f>
        <v>EUROCHEM SERRA DO SALITRE</v>
      </c>
    </row>
    <row r="714" spans="1:34" x14ac:dyDescent="0.25">
      <c r="A714">
        <v>161</v>
      </c>
      <c r="B714" t="s">
        <v>145</v>
      </c>
      <c r="C714"/>
      <c r="D714" s="23">
        <v>162357</v>
      </c>
      <c r="E714">
        <v>10815</v>
      </c>
      <c r="F714">
        <v>11</v>
      </c>
      <c r="G714">
        <v>12629</v>
      </c>
      <c r="H714" t="s">
        <v>109</v>
      </c>
      <c r="I714" s="23">
        <v>162357</v>
      </c>
      <c r="J714" s="185">
        <v>46085</v>
      </c>
      <c r="K714" s="185">
        <v>46085</v>
      </c>
      <c r="L714" s="185">
        <v>46115</v>
      </c>
      <c r="M714" s="185">
        <v>46118</v>
      </c>
      <c r="N714"/>
      <c r="O714">
        <v>1010100</v>
      </c>
      <c r="P714" t="s">
        <v>29</v>
      </c>
      <c r="Q714">
        <v>200000100</v>
      </c>
      <c r="R714" t="s">
        <v>15322</v>
      </c>
      <c r="S714"/>
      <c r="T714" t="s">
        <v>15323</v>
      </c>
      <c r="U714" t="s">
        <v>2246</v>
      </c>
      <c r="V714" s="23">
        <v>0</v>
      </c>
      <c r="W714" s="23">
        <v>0</v>
      </c>
      <c r="X714" s="23">
        <v>0</v>
      </c>
      <c r="Y714"/>
      <c r="Z714">
        <v>1246266378</v>
      </c>
      <c r="AA714"/>
      <c r="AB714" t="s">
        <v>1199</v>
      </c>
      <c r="AC714">
        <v>102</v>
      </c>
      <c r="AD714">
        <v>4</v>
      </c>
      <c r="AE714" t="s">
        <v>15324</v>
      </c>
      <c r="AF714"/>
      <c r="AG714" s="23"/>
      <c r="AH714" s="265" t="str">
        <f>_xlfn.XLOOKUP(G714,Clientes!I:I,Clientes!F:F)</f>
        <v>EUROCHEM SERRA DO SALITRE</v>
      </c>
    </row>
    <row r="715" spans="1:34" x14ac:dyDescent="0.25">
      <c r="A715">
        <v>161</v>
      </c>
      <c r="B715" t="s">
        <v>145</v>
      </c>
      <c r="C715"/>
      <c r="D715" s="23">
        <v>162465.60000000001</v>
      </c>
      <c r="E715">
        <v>10987</v>
      </c>
      <c r="F715">
        <v>11</v>
      </c>
      <c r="G715">
        <v>12629</v>
      </c>
      <c r="H715" t="s">
        <v>109</v>
      </c>
      <c r="I715" s="23">
        <v>162465.60000000001</v>
      </c>
      <c r="J715" s="185">
        <v>46108</v>
      </c>
      <c r="K715" s="185">
        <v>46108</v>
      </c>
      <c r="L715" s="185">
        <v>46168</v>
      </c>
      <c r="M715" s="185">
        <v>46154</v>
      </c>
      <c r="N715"/>
      <c r="O715">
        <v>1010100</v>
      </c>
      <c r="P715" t="s">
        <v>29</v>
      </c>
      <c r="Q715">
        <v>200000100</v>
      </c>
      <c r="R715" t="s">
        <v>15322</v>
      </c>
      <c r="S715"/>
      <c r="T715" t="s">
        <v>15323</v>
      </c>
      <c r="U715" t="s">
        <v>1199</v>
      </c>
      <c r="V715" s="23">
        <v>0</v>
      </c>
      <c r="W715" s="23">
        <v>0</v>
      </c>
      <c r="X715" s="23">
        <v>0</v>
      </c>
      <c r="Y715"/>
      <c r="Z715">
        <v>1246269412</v>
      </c>
      <c r="AA715"/>
      <c r="AB715" t="s">
        <v>1199</v>
      </c>
      <c r="AC715">
        <v>102</v>
      </c>
      <c r="AD715">
        <v>4</v>
      </c>
      <c r="AE715" t="s">
        <v>15324</v>
      </c>
      <c r="AF715"/>
      <c r="AG715" s="23"/>
      <c r="AH715" s="265" t="str">
        <f>_xlfn.XLOOKUP(G715,Clientes!I:I,Clientes!F:F)</f>
        <v>EUROCHEM SERRA DO SALITRE</v>
      </c>
    </row>
    <row r="716" spans="1:34" x14ac:dyDescent="0.25">
      <c r="A716">
        <v>161</v>
      </c>
      <c r="B716" t="s">
        <v>145</v>
      </c>
      <c r="C716"/>
      <c r="D716" s="23">
        <v>162791.4</v>
      </c>
      <c r="E716">
        <v>10843</v>
      </c>
      <c r="F716">
        <v>11</v>
      </c>
      <c r="G716">
        <v>12629</v>
      </c>
      <c r="H716" t="s">
        <v>109</v>
      </c>
      <c r="I716" s="23">
        <v>162791.4</v>
      </c>
      <c r="J716" s="185">
        <v>46090</v>
      </c>
      <c r="K716" s="185">
        <v>46090</v>
      </c>
      <c r="L716" s="185">
        <v>46120</v>
      </c>
      <c r="M716" s="185">
        <v>46120</v>
      </c>
      <c r="N716"/>
      <c r="O716">
        <v>1010100</v>
      </c>
      <c r="P716" t="s">
        <v>29</v>
      </c>
      <c r="Q716">
        <v>200000100</v>
      </c>
      <c r="R716" t="s">
        <v>15322</v>
      </c>
      <c r="S716"/>
      <c r="T716" t="s">
        <v>15323</v>
      </c>
      <c r="U716" t="s">
        <v>5803</v>
      </c>
      <c r="V716" s="23">
        <v>0</v>
      </c>
      <c r="W716" s="23">
        <v>0</v>
      </c>
      <c r="X716" s="23">
        <v>0</v>
      </c>
      <c r="Y716"/>
      <c r="Z716">
        <v>1246267013</v>
      </c>
      <c r="AA716"/>
      <c r="AB716" t="s">
        <v>1199</v>
      </c>
      <c r="AC716">
        <v>102</v>
      </c>
      <c r="AD716">
        <v>4</v>
      </c>
      <c r="AE716" t="s">
        <v>15324</v>
      </c>
      <c r="AF716"/>
      <c r="AG716" s="23"/>
      <c r="AH716" s="265" t="str">
        <f>_xlfn.XLOOKUP(G716,Clientes!I:I,Clientes!F:F)</f>
        <v>EUROCHEM SERRA DO SALITRE</v>
      </c>
    </row>
    <row r="717" spans="1:34" x14ac:dyDescent="0.25">
      <c r="A717">
        <v>161</v>
      </c>
      <c r="B717" t="s">
        <v>145</v>
      </c>
      <c r="C717"/>
      <c r="D717" s="23">
        <v>162900</v>
      </c>
      <c r="E717">
        <v>10675</v>
      </c>
      <c r="F717">
        <v>11</v>
      </c>
      <c r="G717">
        <v>12629</v>
      </c>
      <c r="H717" t="s">
        <v>109</v>
      </c>
      <c r="I717" s="23">
        <v>162900</v>
      </c>
      <c r="J717" s="185">
        <v>46064</v>
      </c>
      <c r="K717" s="185">
        <v>46064</v>
      </c>
      <c r="L717" s="185">
        <v>46094</v>
      </c>
      <c r="M717" s="185">
        <v>46094</v>
      </c>
      <c r="N717"/>
      <c r="O717">
        <v>1010100</v>
      </c>
      <c r="P717" t="s">
        <v>29</v>
      </c>
      <c r="Q717">
        <v>200000100</v>
      </c>
      <c r="R717" t="s">
        <v>15322</v>
      </c>
      <c r="S717"/>
      <c r="T717" t="s">
        <v>15323</v>
      </c>
      <c r="U717" t="s">
        <v>1964</v>
      </c>
      <c r="V717" s="23">
        <v>0</v>
      </c>
      <c r="W717" s="23">
        <v>0</v>
      </c>
      <c r="X717" s="23">
        <v>0</v>
      </c>
      <c r="Y717"/>
      <c r="Z717">
        <v>1246263289</v>
      </c>
      <c r="AA717"/>
      <c r="AB717" t="s">
        <v>1199</v>
      </c>
      <c r="AC717">
        <v>102</v>
      </c>
      <c r="AD717">
        <v>4</v>
      </c>
      <c r="AE717" t="s">
        <v>15324</v>
      </c>
      <c r="AF717"/>
      <c r="AG717" s="23"/>
      <c r="AH717" s="265" t="str">
        <f>_xlfn.XLOOKUP(G717,Clientes!I:I,Clientes!F:F)</f>
        <v>EUROCHEM SERRA DO SALITRE</v>
      </c>
    </row>
    <row r="718" spans="1:34" x14ac:dyDescent="0.25">
      <c r="A718">
        <v>161</v>
      </c>
      <c r="B718" t="s">
        <v>145</v>
      </c>
      <c r="C718"/>
      <c r="D718" s="23">
        <v>163171.5</v>
      </c>
      <c r="E718">
        <v>10710</v>
      </c>
      <c r="F718">
        <v>11</v>
      </c>
      <c r="G718">
        <v>12629</v>
      </c>
      <c r="H718" t="s">
        <v>109</v>
      </c>
      <c r="I718" s="23">
        <v>163171.5</v>
      </c>
      <c r="J718" s="185">
        <v>46071</v>
      </c>
      <c r="K718" s="185">
        <v>46071</v>
      </c>
      <c r="L718" s="185">
        <v>46101</v>
      </c>
      <c r="M718" s="185">
        <v>46101</v>
      </c>
      <c r="N718"/>
      <c r="O718">
        <v>1010100</v>
      </c>
      <c r="P718" t="s">
        <v>29</v>
      </c>
      <c r="Q718">
        <v>200000100</v>
      </c>
      <c r="R718" t="s">
        <v>15322</v>
      </c>
      <c r="S718"/>
      <c r="T718" t="s">
        <v>15323</v>
      </c>
      <c r="U718" t="s">
        <v>5803</v>
      </c>
      <c r="V718" s="23">
        <v>0</v>
      </c>
      <c r="W718" s="23">
        <v>0</v>
      </c>
      <c r="X718" s="23">
        <v>0</v>
      </c>
      <c r="Y718"/>
      <c r="Z718">
        <v>1246263905</v>
      </c>
      <c r="AA718"/>
      <c r="AB718" t="s">
        <v>1199</v>
      </c>
      <c r="AC718">
        <v>102</v>
      </c>
      <c r="AD718">
        <v>4</v>
      </c>
      <c r="AE718" t="s">
        <v>15324</v>
      </c>
      <c r="AF718"/>
      <c r="AG718" s="23"/>
      <c r="AH718" s="265" t="str">
        <f>_xlfn.XLOOKUP(G718,Clientes!I:I,Clientes!F:F)</f>
        <v>EUROCHEM SERRA DO SALITRE</v>
      </c>
    </row>
    <row r="719" spans="1:34" x14ac:dyDescent="0.25">
      <c r="A719">
        <v>40</v>
      </c>
      <c r="B719" t="s">
        <v>155</v>
      </c>
      <c r="C719"/>
      <c r="D719" s="23">
        <v>164297.04999999999</v>
      </c>
      <c r="E719">
        <v>2948</v>
      </c>
      <c r="F719">
        <v>13</v>
      </c>
      <c r="G719">
        <v>12031</v>
      </c>
      <c r="H719" t="s">
        <v>296</v>
      </c>
      <c r="I719" s="23">
        <v>164297.04999999999</v>
      </c>
      <c r="J719" s="185">
        <v>46160</v>
      </c>
      <c r="K719" s="185">
        <v>46160</v>
      </c>
      <c r="L719" s="185">
        <v>46220</v>
      </c>
      <c r="M719" s="185"/>
      <c r="N719"/>
      <c r="O719">
        <v>1010200</v>
      </c>
      <c r="P719" t="s">
        <v>113</v>
      </c>
      <c r="Q719">
        <v>200000100</v>
      </c>
      <c r="R719" t="s">
        <v>15322</v>
      </c>
      <c r="S719"/>
      <c r="T719" t="s">
        <v>15323</v>
      </c>
      <c r="U719" t="s">
        <v>1964</v>
      </c>
      <c r="V719" s="23">
        <v>0</v>
      </c>
      <c r="W719" s="23">
        <v>0</v>
      </c>
      <c r="X719" s="23">
        <v>0</v>
      </c>
      <c r="Y719"/>
      <c r="Z719">
        <v>1246275610</v>
      </c>
      <c r="AA719"/>
      <c r="AB719"/>
      <c r="AC719">
        <v>102</v>
      </c>
      <c r="AD719">
        <v>4</v>
      </c>
      <c r="AE719" t="s">
        <v>15324</v>
      </c>
      <c r="AF719"/>
      <c r="AG719" s="23"/>
      <c r="AH719" s="265" t="str">
        <f>_xlfn.XLOOKUP(G719,Clientes!I:I,Clientes!F:F)</f>
        <v>EVOAGRO NUTRICION S.A.S - COLOMBIA</v>
      </c>
    </row>
    <row r="720" spans="1:34" x14ac:dyDescent="0.25">
      <c r="A720">
        <v>40</v>
      </c>
      <c r="B720" t="s">
        <v>155</v>
      </c>
      <c r="C720"/>
      <c r="D720" s="23">
        <v>164619.41</v>
      </c>
      <c r="E720">
        <v>10620</v>
      </c>
      <c r="F720">
        <v>11</v>
      </c>
      <c r="G720">
        <v>2652</v>
      </c>
      <c r="H720" t="s">
        <v>117</v>
      </c>
      <c r="I720" s="23">
        <v>164619.41</v>
      </c>
      <c r="J720" s="185">
        <v>46055</v>
      </c>
      <c r="K720" s="185">
        <v>46055</v>
      </c>
      <c r="L720" s="185">
        <v>46085</v>
      </c>
      <c r="M720" s="185">
        <v>46072</v>
      </c>
      <c r="N720"/>
      <c r="O720">
        <v>1010200</v>
      </c>
      <c r="P720" t="s">
        <v>113</v>
      </c>
      <c r="Q720">
        <v>200000100</v>
      </c>
      <c r="R720" t="s">
        <v>15322</v>
      </c>
      <c r="S720"/>
      <c r="T720" t="s">
        <v>15323</v>
      </c>
      <c r="U720" t="s">
        <v>1199</v>
      </c>
      <c r="V720" s="23">
        <v>0</v>
      </c>
      <c r="W720" s="23">
        <v>0</v>
      </c>
      <c r="X720" s="23">
        <v>0</v>
      </c>
      <c r="Y720"/>
      <c r="Z720">
        <v>1246261873</v>
      </c>
      <c r="AA720"/>
      <c r="AB720" t="s">
        <v>1199</v>
      </c>
      <c r="AC720">
        <v>125</v>
      </c>
      <c r="AD720">
        <v>4</v>
      </c>
      <c r="AE720" t="s">
        <v>15324</v>
      </c>
      <c r="AF720" t="s">
        <v>15362</v>
      </c>
      <c r="AG720" s="23">
        <v>31479</v>
      </c>
      <c r="AH720" s="265" t="str">
        <f>_xlfn.XLOOKUP(G720,Clientes!I:I,Clientes!F:F)</f>
        <v>FERTIMAX PARAGUAY</v>
      </c>
    </row>
    <row r="721" spans="1:34" x14ac:dyDescent="0.25">
      <c r="A721">
        <v>161</v>
      </c>
      <c r="B721" t="s">
        <v>145</v>
      </c>
      <c r="C721"/>
      <c r="D721" s="23">
        <v>165291.70000000001</v>
      </c>
      <c r="E721">
        <v>11316</v>
      </c>
      <c r="F721">
        <v>11</v>
      </c>
      <c r="G721">
        <v>2225</v>
      </c>
      <c r="H721" t="s">
        <v>727</v>
      </c>
      <c r="I721" s="23">
        <v>165291.70000000001</v>
      </c>
      <c r="J721" s="185">
        <v>46148</v>
      </c>
      <c r="K721" s="185">
        <v>46148</v>
      </c>
      <c r="L721" s="185">
        <v>46176</v>
      </c>
      <c r="M721" s="185">
        <v>46178</v>
      </c>
      <c r="N721"/>
      <c r="O721">
        <v>1010100</v>
      </c>
      <c r="P721" t="s">
        <v>29</v>
      </c>
      <c r="Q721">
        <v>200000100</v>
      </c>
      <c r="R721" t="s">
        <v>15322</v>
      </c>
      <c r="S721"/>
      <c r="T721" t="s">
        <v>15323</v>
      </c>
      <c r="U721" t="s">
        <v>1530</v>
      </c>
      <c r="V721" s="23">
        <v>0</v>
      </c>
      <c r="W721" s="23">
        <v>0</v>
      </c>
      <c r="X721" s="23">
        <v>0</v>
      </c>
      <c r="Y721"/>
      <c r="Z721">
        <v>1246273862</v>
      </c>
      <c r="AA721"/>
      <c r="AB721" t="s">
        <v>1199</v>
      </c>
      <c r="AC721">
        <v>102</v>
      </c>
      <c r="AD721">
        <v>4</v>
      </c>
      <c r="AE721" t="s">
        <v>15324</v>
      </c>
      <c r="AF721"/>
      <c r="AG721" s="23"/>
      <c r="AH721" s="265" t="str">
        <f>_xlfn.XLOOKUP(G721,Clientes!I:I,Clientes!F:F)</f>
        <v>ITAFOS - ARRAIAS/TO</v>
      </c>
    </row>
    <row r="722" spans="1:34" x14ac:dyDescent="0.25">
      <c r="A722">
        <v>40</v>
      </c>
      <c r="B722" t="s">
        <v>155</v>
      </c>
      <c r="C722"/>
      <c r="D722" s="23">
        <v>165659.17000000001</v>
      </c>
      <c r="E722">
        <v>10404</v>
      </c>
      <c r="F722">
        <v>11</v>
      </c>
      <c r="G722">
        <v>2287</v>
      </c>
      <c r="H722" t="s">
        <v>114</v>
      </c>
      <c r="I722" s="23">
        <v>165659.17000000001</v>
      </c>
      <c r="J722" s="185">
        <v>46024</v>
      </c>
      <c r="K722" s="185">
        <v>46024</v>
      </c>
      <c r="L722" s="185">
        <v>46054</v>
      </c>
      <c r="M722" s="185">
        <v>46038</v>
      </c>
      <c r="N722"/>
      <c r="O722">
        <v>1010200</v>
      </c>
      <c r="P722" t="s">
        <v>113</v>
      </c>
      <c r="Q722">
        <v>200000100</v>
      </c>
      <c r="R722" t="s">
        <v>15322</v>
      </c>
      <c r="S722"/>
      <c r="T722" t="s">
        <v>15323</v>
      </c>
      <c r="U722" t="s">
        <v>1199</v>
      </c>
      <c r="V722" s="23">
        <v>0</v>
      </c>
      <c r="W722" s="23">
        <v>0</v>
      </c>
      <c r="X722" s="23">
        <v>0</v>
      </c>
      <c r="Y722"/>
      <c r="Z722">
        <v>1246258122</v>
      </c>
      <c r="AA722"/>
      <c r="AB722" t="s">
        <v>1199</v>
      </c>
      <c r="AC722">
        <v>125</v>
      </c>
      <c r="AD722">
        <v>4</v>
      </c>
      <c r="AE722" t="s">
        <v>15324</v>
      </c>
      <c r="AF722" t="s">
        <v>15327</v>
      </c>
      <c r="AG722" s="23">
        <v>30110</v>
      </c>
      <c r="AH722" s="265" t="str">
        <f>_xlfn.XLOOKUP(G722,Clientes!I:I,Clientes!F:F)</f>
        <v>BUNGE PARAGUAY S.A</v>
      </c>
    </row>
    <row r="723" spans="1:34" x14ac:dyDescent="0.25">
      <c r="A723">
        <v>40</v>
      </c>
      <c r="B723" t="s">
        <v>155</v>
      </c>
      <c r="C723"/>
      <c r="D723" s="23">
        <v>166161.39000000001</v>
      </c>
      <c r="E723">
        <v>11691</v>
      </c>
      <c r="F723">
        <v>11</v>
      </c>
      <c r="G723">
        <v>2652</v>
      </c>
      <c r="H723" t="s">
        <v>117</v>
      </c>
      <c r="I723" s="23">
        <v>166161.39000000001</v>
      </c>
      <c r="J723" s="185">
        <v>46185</v>
      </c>
      <c r="K723" s="185">
        <v>46185</v>
      </c>
      <c r="L723" s="185">
        <v>46215</v>
      </c>
      <c r="M723" s="185"/>
      <c r="N723"/>
      <c r="O723">
        <v>1010200</v>
      </c>
      <c r="P723" t="s">
        <v>113</v>
      </c>
      <c r="Q723">
        <v>200000100</v>
      </c>
      <c r="R723" t="s">
        <v>15322</v>
      </c>
      <c r="S723"/>
      <c r="T723" t="s">
        <v>15323</v>
      </c>
      <c r="U723" t="s">
        <v>1530</v>
      </c>
      <c r="V723" s="23">
        <v>0</v>
      </c>
      <c r="W723" s="23">
        <v>0</v>
      </c>
      <c r="X723" s="23">
        <v>0</v>
      </c>
      <c r="Y723"/>
      <c r="Z723">
        <v>1246279339</v>
      </c>
      <c r="AA723"/>
      <c r="AB723"/>
      <c r="AC723">
        <v>102</v>
      </c>
      <c r="AD723">
        <v>4</v>
      </c>
      <c r="AE723" t="s">
        <v>15324</v>
      </c>
      <c r="AF723"/>
      <c r="AG723" s="23"/>
      <c r="AH723" s="265" t="str">
        <f>_xlfn.XLOOKUP(G723,Clientes!I:I,Clientes!F:F)</f>
        <v>FERTIMAX PARAGUAY</v>
      </c>
    </row>
    <row r="724" spans="1:34" x14ac:dyDescent="0.25">
      <c r="A724">
        <v>161</v>
      </c>
      <c r="B724" t="s">
        <v>145</v>
      </c>
      <c r="C724"/>
      <c r="D724" s="23">
        <v>166320</v>
      </c>
      <c r="E724">
        <v>10673</v>
      </c>
      <c r="F724">
        <v>11</v>
      </c>
      <c r="G724">
        <v>6477</v>
      </c>
      <c r="H724" t="s">
        <v>87</v>
      </c>
      <c r="I724" s="23">
        <v>166320</v>
      </c>
      <c r="J724" s="185">
        <v>46063</v>
      </c>
      <c r="K724" s="185">
        <v>46063</v>
      </c>
      <c r="L724" s="185">
        <v>46153</v>
      </c>
      <c r="M724" s="185">
        <v>46153</v>
      </c>
      <c r="N724"/>
      <c r="O724">
        <v>1010100</v>
      </c>
      <c r="P724" t="s">
        <v>29</v>
      </c>
      <c r="Q724">
        <v>200000100</v>
      </c>
      <c r="R724" t="s">
        <v>15322</v>
      </c>
      <c r="S724"/>
      <c r="T724" t="s">
        <v>15323</v>
      </c>
      <c r="U724" t="s">
        <v>1964</v>
      </c>
      <c r="V724" s="23">
        <v>0</v>
      </c>
      <c r="W724" s="23">
        <v>0</v>
      </c>
      <c r="X724" s="23">
        <v>0</v>
      </c>
      <c r="Y724"/>
      <c r="Z724">
        <v>1246263184</v>
      </c>
      <c r="AA724"/>
      <c r="AB724" t="s">
        <v>1199</v>
      </c>
      <c r="AC724">
        <v>102</v>
      </c>
      <c r="AD724">
        <v>4</v>
      </c>
      <c r="AE724" t="s">
        <v>15324</v>
      </c>
      <c r="AF724"/>
      <c r="AG724" s="23"/>
      <c r="AH724" s="265" t="str">
        <f>_xlfn.XLOOKUP(G724,Clientes!I:I,Clientes!F:F)</f>
        <v>GRUPO MOSAIC FERTILIZANTES DO BRASIL</v>
      </c>
    </row>
    <row r="725" spans="1:34" x14ac:dyDescent="0.25">
      <c r="A725">
        <v>161</v>
      </c>
      <c r="B725" t="s">
        <v>145</v>
      </c>
      <c r="C725"/>
      <c r="D725" s="23">
        <v>166320</v>
      </c>
      <c r="E725">
        <v>10672</v>
      </c>
      <c r="F725">
        <v>11</v>
      </c>
      <c r="G725">
        <v>7302</v>
      </c>
      <c r="H725" t="s">
        <v>93</v>
      </c>
      <c r="I725" s="23">
        <v>166320</v>
      </c>
      <c r="J725" s="185">
        <v>46063</v>
      </c>
      <c r="K725" s="185">
        <v>46063</v>
      </c>
      <c r="L725" s="185">
        <v>46153</v>
      </c>
      <c r="M725" s="185">
        <v>46153</v>
      </c>
      <c r="N725"/>
      <c r="O725">
        <v>1010100</v>
      </c>
      <c r="P725" t="s">
        <v>29</v>
      </c>
      <c r="Q725">
        <v>200000100</v>
      </c>
      <c r="R725" t="s">
        <v>15322</v>
      </c>
      <c r="S725"/>
      <c r="T725" t="s">
        <v>15323</v>
      </c>
      <c r="U725" t="s">
        <v>1964</v>
      </c>
      <c r="V725" s="23">
        <v>0</v>
      </c>
      <c r="W725" s="23">
        <v>0</v>
      </c>
      <c r="X725" s="23">
        <v>0</v>
      </c>
      <c r="Y725"/>
      <c r="Z725">
        <v>1246263181</v>
      </c>
      <c r="AA725"/>
      <c r="AB725" t="s">
        <v>1199</v>
      </c>
      <c r="AC725">
        <v>102</v>
      </c>
      <c r="AD725">
        <v>4</v>
      </c>
      <c r="AE725" t="s">
        <v>15324</v>
      </c>
      <c r="AF725"/>
      <c r="AG725" s="23"/>
      <c r="AH725" s="265" t="str">
        <f>_xlfn.XLOOKUP(G725,Clientes!I:I,Clientes!F:F)</f>
        <v>GRUPO MOSAIC FERTILIZANTES DO BRASIL</v>
      </c>
    </row>
    <row r="726" spans="1:34" x14ac:dyDescent="0.25">
      <c r="A726">
        <v>161</v>
      </c>
      <c r="B726" t="s">
        <v>145</v>
      </c>
      <c r="C726"/>
      <c r="D726" s="23">
        <v>167048</v>
      </c>
      <c r="E726">
        <v>10532</v>
      </c>
      <c r="F726">
        <v>11</v>
      </c>
      <c r="G726">
        <v>7302</v>
      </c>
      <c r="H726" t="s">
        <v>93</v>
      </c>
      <c r="I726" s="23">
        <v>167048</v>
      </c>
      <c r="J726" s="185">
        <v>46042</v>
      </c>
      <c r="K726" s="185">
        <v>46042</v>
      </c>
      <c r="L726" s="185">
        <v>46132</v>
      </c>
      <c r="M726" s="185">
        <v>46132</v>
      </c>
      <c r="N726"/>
      <c r="O726">
        <v>1010100</v>
      </c>
      <c r="P726" t="s">
        <v>29</v>
      </c>
      <c r="Q726">
        <v>200000100</v>
      </c>
      <c r="R726" t="s">
        <v>15322</v>
      </c>
      <c r="S726"/>
      <c r="T726" t="s">
        <v>15323</v>
      </c>
      <c r="U726" t="s">
        <v>5803</v>
      </c>
      <c r="V726" s="23">
        <v>0</v>
      </c>
      <c r="W726" s="23">
        <v>0</v>
      </c>
      <c r="X726" s="23">
        <v>0</v>
      </c>
      <c r="Y726"/>
      <c r="Z726">
        <v>1246260176</v>
      </c>
      <c r="AA726"/>
      <c r="AB726" t="s">
        <v>1199</v>
      </c>
      <c r="AC726">
        <v>102</v>
      </c>
      <c r="AD726">
        <v>4</v>
      </c>
      <c r="AE726" t="s">
        <v>15324</v>
      </c>
      <c r="AF726"/>
      <c r="AG726" s="23"/>
      <c r="AH726" s="265" t="str">
        <f>_xlfn.XLOOKUP(G726,Clientes!I:I,Clientes!F:F)</f>
        <v>GRUPO MOSAIC FERTILIZANTES DO BRASIL</v>
      </c>
    </row>
    <row r="727" spans="1:34" x14ac:dyDescent="0.25">
      <c r="A727">
        <v>161</v>
      </c>
      <c r="B727" t="s">
        <v>145</v>
      </c>
      <c r="C727"/>
      <c r="D727" s="23">
        <v>167048</v>
      </c>
      <c r="E727">
        <v>10533</v>
      </c>
      <c r="F727">
        <v>11</v>
      </c>
      <c r="G727">
        <v>6477</v>
      </c>
      <c r="H727" t="s">
        <v>87</v>
      </c>
      <c r="I727" s="23">
        <v>167048</v>
      </c>
      <c r="J727" s="185">
        <v>46042</v>
      </c>
      <c r="K727" s="185">
        <v>46042</v>
      </c>
      <c r="L727" s="185">
        <v>46132</v>
      </c>
      <c r="M727" s="185">
        <v>46132</v>
      </c>
      <c r="N727"/>
      <c r="O727">
        <v>1010100</v>
      </c>
      <c r="P727" t="s">
        <v>29</v>
      </c>
      <c r="Q727">
        <v>200000100</v>
      </c>
      <c r="R727" t="s">
        <v>15322</v>
      </c>
      <c r="S727"/>
      <c r="T727" t="s">
        <v>15323</v>
      </c>
      <c r="U727" t="s">
        <v>5803</v>
      </c>
      <c r="V727" s="23">
        <v>0</v>
      </c>
      <c r="W727" s="23">
        <v>0</v>
      </c>
      <c r="X727" s="23">
        <v>0</v>
      </c>
      <c r="Y727"/>
      <c r="Z727">
        <v>1246260177</v>
      </c>
      <c r="AA727"/>
      <c r="AB727" t="s">
        <v>1199</v>
      </c>
      <c r="AC727">
        <v>102</v>
      </c>
      <c r="AD727">
        <v>4</v>
      </c>
      <c r="AE727" t="s">
        <v>15324</v>
      </c>
      <c r="AF727"/>
      <c r="AG727" s="23"/>
      <c r="AH727" s="265" t="str">
        <f>_xlfn.XLOOKUP(G727,Clientes!I:I,Clientes!F:F)</f>
        <v>GRUPO MOSAIC FERTILIZANTES DO BRASIL</v>
      </c>
    </row>
    <row r="728" spans="1:34" x14ac:dyDescent="0.25">
      <c r="A728">
        <v>56</v>
      </c>
      <c r="B728" t="s">
        <v>146</v>
      </c>
      <c r="C728"/>
      <c r="D728" s="23">
        <v>167211.9</v>
      </c>
      <c r="E728">
        <v>11335</v>
      </c>
      <c r="F728">
        <v>11</v>
      </c>
      <c r="G728">
        <v>7479</v>
      </c>
      <c r="H728" t="s">
        <v>714</v>
      </c>
      <c r="I728" s="23">
        <v>167211.9</v>
      </c>
      <c r="J728" s="185">
        <v>46150</v>
      </c>
      <c r="K728" s="185">
        <v>46150</v>
      </c>
      <c r="L728" s="185">
        <v>46240</v>
      </c>
      <c r="M728" s="185"/>
      <c r="N728"/>
      <c r="O728">
        <v>1010100</v>
      </c>
      <c r="P728" t="s">
        <v>29</v>
      </c>
      <c r="Q728">
        <v>200000100</v>
      </c>
      <c r="R728" t="s">
        <v>15322</v>
      </c>
      <c r="S728"/>
      <c r="T728" t="s">
        <v>15323</v>
      </c>
      <c r="U728" t="s">
        <v>5803</v>
      </c>
      <c r="V728" s="23">
        <v>0</v>
      </c>
      <c r="W728" s="23">
        <v>0</v>
      </c>
      <c r="X728" s="23">
        <v>0</v>
      </c>
      <c r="Y728"/>
      <c r="Z728">
        <v>1246274162</v>
      </c>
      <c r="AA728"/>
      <c r="AB728"/>
      <c r="AC728">
        <v>102</v>
      </c>
      <c r="AD728">
        <v>4</v>
      </c>
      <c r="AE728" t="s">
        <v>15324</v>
      </c>
      <c r="AF728"/>
      <c r="AG728" s="23"/>
      <c r="AH728" s="265" t="str">
        <f>_xlfn.XLOOKUP(G728,Clientes!I:I,Clientes!F:F)</f>
        <v>GRUPO MOSAIC FERTILIZANTES DO BRASIL</v>
      </c>
    </row>
    <row r="729" spans="1:34" x14ac:dyDescent="0.25">
      <c r="A729">
        <v>161</v>
      </c>
      <c r="B729" t="s">
        <v>145</v>
      </c>
      <c r="C729"/>
      <c r="D729" s="23">
        <v>167720</v>
      </c>
      <c r="E729">
        <v>10625</v>
      </c>
      <c r="F729">
        <v>11</v>
      </c>
      <c r="G729">
        <v>6477</v>
      </c>
      <c r="H729" t="s">
        <v>87</v>
      </c>
      <c r="I729" s="23">
        <v>167720</v>
      </c>
      <c r="J729" s="185">
        <v>46055</v>
      </c>
      <c r="K729" s="185">
        <v>46055</v>
      </c>
      <c r="L729" s="185">
        <v>46145</v>
      </c>
      <c r="M729" s="185">
        <v>46146</v>
      </c>
      <c r="N729"/>
      <c r="O729">
        <v>1010100</v>
      </c>
      <c r="P729" t="s">
        <v>29</v>
      </c>
      <c r="Q729">
        <v>200000100</v>
      </c>
      <c r="R729" t="s">
        <v>15322</v>
      </c>
      <c r="S729"/>
      <c r="T729" t="s">
        <v>15323</v>
      </c>
      <c r="U729" t="s">
        <v>1964</v>
      </c>
      <c r="V729" s="23">
        <v>0</v>
      </c>
      <c r="W729" s="23">
        <v>0</v>
      </c>
      <c r="X729" s="23">
        <v>0</v>
      </c>
      <c r="Y729"/>
      <c r="Z729">
        <v>1246262010</v>
      </c>
      <c r="AA729"/>
      <c r="AB729" t="s">
        <v>1199</v>
      </c>
      <c r="AC729">
        <v>102</v>
      </c>
      <c r="AD729">
        <v>4</v>
      </c>
      <c r="AE729" t="s">
        <v>15324</v>
      </c>
      <c r="AF729"/>
      <c r="AG729" s="23"/>
      <c r="AH729" s="265" t="str">
        <f>_xlfn.XLOOKUP(G729,Clientes!I:I,Clientes!F:F)</f>
        <v>GRUPO MOSAIC FERTILIZANTES DO BRASIL</v>
      </c>
    </row>
    <row r="730" spans="1:34" x14ac:dyDescent="0.25">
      <c r="A730">
        <v>161</v>
      </c>
      <c r="B730" t="s">
        <v>145</v>
      </c>
      <c r="C730"/>
      <c r="D730" s="23">
        <v>167720</v>
      </c>
      <c r="E730">
        <v>10622</v>
      </c>
      <c r="F730">
        <v>11</v>
      </c>
      <c r="G730">
        <v>7302</v>
      </c>
      <c r="H730" t="s">
        <v>93</v>
      </c>
      <c r="I730" s="23">
        <v>167720</v>
      </c>
      <c r="J730" s="185">
        <v>46055</v>
      </c>
      <c r="K730" s="185">
        <v>46055</v>
      </c>
      <c r="L730" s="185">
        <v>46145</v>
      </c>
      <c r="M730" s="185">
        <v>46146</v>
      </c>
      <c r="N730"/>
      <c r="O730">
        <v>1010100</v>
      </c>
      <c r="P730" t="s">
        <v>29</v>
      </c>
      <c r="Q730">
        <v>200000100</v>
      </c>
      <c r="R730" t="s">
        <v>15322</v>
      </c>
      <c r="S730"/>
      <c r="T730" t="s">
        <v>15323</v>
      </c>
      <c r="U730" t="s">
        <v>1964</v>
      </c>
      <c r="V730" s="23">
        <v>0</v>
      </c>
      <c r="W730" s="23">
        <v>0</v>
      </c>
      <c r="X730" s="23">
        <v>0</v>
      </c>
      <c r="Y730"/>
      <c r="Z730">
        <v>1246262004</v>
      </c>
      <c r="AA730"/>
      <c r="AB730" t="s">
        <v>1199</v>
      </c>
      <c r="AC730">
        <v>102</v>
      </c>
      <c r="AD730">
        <v>4</v>
      </c>
      <c r="AE730" t="s">
        <v>15324</v>
      </c>
      <c r="AF730"/>
      <c r="AG730" s="23"/>
      <c r="AH730" s="265" t="str">
        <f>_xlfn.XLOOKUP(G730,Clientes!I:I,Clientes!F:F)</f>
        <v>GRUPO MOSAIC FERTILIZANTES DO BRASIL</v>
      </c>
    </row>
    <row r="731" spans="1:34" x14ac:dyDescent="0.25">
      <c r="A731">
        <v>161</v>
      </c>
      <c r="B731" t="s">
        <v>145</v>
      </c>
      <c r="C731"/>
      <c r="D731" s="23">
        <v>168000</v>
      </c>
      <c r="E731">
        <v>10483</v>
      </c>
      <c r="F731">
        <v>11</v>
      </c>
      <c r="G731">
        <v>6477</v>
      </c>
      <c r="H731" t="s">
        <v>87</v>
      </c>
      <c r="I731" s="23">
        <v>168000</v>
      </c>
      <c r="J731" s="185">
        <v>46036</v>
      </c>
      <c r="K731" s="185">
        <v>46036</v>
      </c>
      <c r="L731" s="185">
        <v>46126</v>
      </c>
      <c r="M731" s="185">
        <v>46126</v>
      </c>
      <c r="N731"/>
      <c r="O731">
        <v>1010100</v>
      </c>
      <c r="P731" t="s">
        <v>29</v>
      </c>
      <c r="Q731">
        <v>200000100</v>
      </c>
      <c r="R731" t="s">
        <v>15322</v>
      </c>
      <c r="S731"/>
      <c r="T731" t="s">
        <v>15323</v>
      </c>
      <c r="U731" t="s">
        <v>1964</v>
      </c>
      <c r="V731" s="23">
        <v>0</v>
      </c>
      <c r="W731" s="23">
        <v>0</v>
      </c>
      <c r="X731" s="23">
        <v>0</v>
      </c>
      <c r="Y731"/>
      <c r="Z731">
        <v>1246259444</v>
      </c>
      <c r="AA731"/>
      <c r="AB731" t="s">
        <v>2073</v>
      </c>
      <c r="AC731">
        <v>102</v>
      </c>
      <c r="AD731">
        <v>4</v>
      </c>
      <c r="AE731" t="s">
        <v>15324</v>
      </c>
      <c r="AF731"/>
      <c r="AG731" s="23"/>
      <c r="AH731" s="265" t="str">
        <f>_xlfn.XLOOKUP(G731,Clientes!I:I,Clientes!F:F)</f>
        <v>GRUPO MOSAIC FERTILIZANTES DO BRASIL</v>
      </c>
    </row>
    <row r="732" spans="1:34" x14ac:dyDescent="0.25">
      <c r="A732">
        <v>161</v>
      </c>
      <c r="B732" t="s">
        <v>145</v>
      </c>
      <c r="C732"/>
      <c r="D732" s="23">
        <v>168333.2</v>
      </c>
      <c r="E732">
        <v>11445</v>
      </c>
      <c r="F732">
        <v>11</v>
      </c>
      <c r="G732">
        <v>2225</v>
      </c>
      <c r="H732" t="s">
        <v>727</v>
      </c>
      <c r="I732" s="23">
        <v>168333.2</v>
      </c>
      <c r="J732" s="185">
        <v>46161</v>
      </c>
      <c r="K732" s="185">
        <v>46161</v>
      </c>
      <c r="L732" s="185">
        <v>46189</v>
      </c>
      <c r="M732" s="185">
        <v>46192</v>
      </c>
      <c r="N732"/>
      <c r="O732">
        <v>1010100</v>
      </c>
      <c r="P732" t="s">
        <v>29</v>
      </c>
      <c r="Q732">
        <v>200000100</v>
      </c>
      <c r="R732" t="s">
        <v>15322</v>
      </c>
      <c r="S732"/>
      <c r="T732" t="s">
        <v>15323</v>
      </c>
      <c r="U732" t="s">
        <v>6311</v>
      </c>
      <c r="V732" s="23">
        <v>0</v>
      </c>
      <c r="W732" s="23">
        <v>0</v>
      </c>
      <c r="X732" s="23">
        <v>0</v>
      </c>
      <c r="Y732"/>
      <c r="Z732">
        <v>1246275826</v>
      </c>
      <c r="AA732"/>
      <c r="AB732" t="s">
        <v>1199</v>
      </c>
      <c r="AC732">
        <v>102</v>
      </c>
      <c r="AD732">
        <v>4</v>
      </c>
      <c r="AE732" t="s">
        <v>15324</v>
      </c>
      <c r="AF732"/>
      <c r="AG732" s="23"/>
      <c r="AH732" s="265" t="str">
        <f>_xlfn.XLOOKUP(G732,Clientes!I:I,Clientes!F:F)</f>
        <v>ITAFOS - ARRAIAS/TO</v>
      </c>
    </row>
    <row r="733" spans="1:34" x14ac:dyDescent="0.25">
      <c r="A733">
        <v>161</v>
      </c>
      <c r="B733" t="s">
        <v>145</v>
      </c>
      <c r="C733"/>
      <c r="D733" s="23">
        <v>169176.4</v>
      </c>
      <c r="E733">
        <v>11268</v>
      </c>
      <c r="F733">
        <v>11</v>
      </c>
      <c r="G733">
        <v>5300</v>
      </c>
      <c r="H733" t="s">
        <v>25</v>
      </c>
      <c r="I733" s="23">
        <v>169176.4</v>
      </c>
      <c r="J733" s="185">
        <v>46142</v>
      </c>
      <c r="K733" s="185">
        <v>46142</v>
      </c>
      <c r="L733" s="185">
        <v>46174</v>
      </c>
      <c r="M733" s="185">
        <v>46174</v>
      </c>
      <c r="N733"/>
      <c r="O733">
        <v>1010100</v>
      </c>
      <c r="P733" t="s">
        <v>29</v>
      </c>
      <c r="Q733">
        <v>200000100</v>
      </c>
      <c r="R733" t="s">
        <v>15322</v>
      </c>
      <c r="S733"/>
      <c r="T733" t="s">
        <v>15323</v>
      </c>
      <c r="U733" t="s">
        <v>1199</v>
      </c>
      <c r="V733" s="23">
        <v>0</v>
      </c>
      <c r="W733" s="23">
        <v>0</v>
      </c>
      <c r="X733" s="23">
        <v>0</v>
      </c>
      <c r="Y733"/>
      <c r="Z733">
        <v>1246273181</v>
      </c>
      <c r="AA733"/>
      <c r="AB733" t="s">
        <v>1199</v>
      </c>
      <c r="AC733">
        <v>102</v>
      </c>
      <c r="AD733">
        <v>4</v>
      </c>
      <c r="AE733" t="s">
        <v>15324</v>
      </c>
      <c r="AF733"/>
      <c r="AG733" s="23"/>
      <c r="AH733" s="265" t="str">
        <f>_xlfn.XLOOKUP(G733,Clientes!I:I,Clientes!F:F)</f>
        <v>FOSNOR - LUIS EDUARDO MAGALHAES</v>
      </c>
    </row>
    <row r="734" spans="1:34" x14ac:dyDescent="0.25">
      <c r="A734">
        <v>161</v>
      </c>
      <c r="B734" t="s">
        <v>145</v>
      </c>
      <c r="C734"/>
      <c r="D734" s="23">
        <v>169206.9</v>
      </c>
      <c r="E734">
        <v>11091</v>
      </c>
      <c r="F734">
        <v>11</v>
      </c>
      <c r="G734">
        <v>3232</v>
      </c>
      <c r="H734" t="s">
        <v>153</v>
      </c>
      <c r="I734" s="23">
        <v>169206.9</v>
      </c>
      <c r="J734" s="185">
        <v>46122</v>
      </c>
      <c r="K734" s="185">
        <v>46122</v>
      </c>
      <c r="L734" s="185">
        <v>46182</v>
      </c>
      <c r="M734" s="185">
        <v>46182</v>
      </c>
      <c r="N734"/>
      <c r="O734">
        <v>1010100</v>
      </c>
      <c r="P734" t="s">
        <v>29</v>
      </c>
      <c r="Q734">
        <v>200000100</v>
      </c>
      <c r="R734" t="s">
        <v>15322</v>
      </c>
      <c r="S734"/>
      <c r="T734" t="s">
        <v>15323</v>
      </c>
      <c r="U734" t="s">
        <v>2246</v>
      </c>
      <c r="V734" s="23">
        <v>0</v>
      </c>
      <c r="W734" s="23">
        <v>0</v>
      </c>
      <c r="X734" s="23">
        <v>0</v>
      </c>
      <c r="Y734"/>
      <c r="Z734">
        <v>1246270989</v>
      </c>
      <c r="AA734"/>
      <c r="AB734" t="s">
        <v>1199</v>
      </c>
      <c r="AC734">
        <v>102</v>
      </c>
      <c r="AD734">
        <v>4</v>
      </c>
      <c r="AE734" t="s">
        <v>15324</v>
      </c>
      <c r="AF734"/>
      <c r="AG734" s="23"/>
      <c r="AH734" s="265" t="str">
        <f>_xlfn.XLOOKUP(G734,Clientes!I:I,Clientes!F:F)</f>
        <v>GRUPO FERTILIZ TOCANTINS</v>
      </c>
    </row>
    <row r="735" spans="1:34" x14ac:dyDescent="0.25">
      <c r="A735">
        <v>161</v>
      </c>
      <c r="B735" t="s">
        <v>145</v>
      </c>
      <c r="C735"/>
      <c r="D735" s="23">
        <v>169290.6</v>
      </c>
      <c r="E735">
        <v>10997</v>
      </c>
      <c r="F735">
        <v>11</v>
      </c>
      <c r="G735">
        <v>3232</v>
      </c>
      <c r="H735" t="s">
        <v>153</v>
      </c>
      <c r="I735" s="23">
        <v>169290.6</v>
      </c>
      <c r="J735" s="185">
        <v>46108</v>
      </c>
      <c r="K735" s="185">
        <v>46108</v>
      </c>
      <c r="L735" s="185">
        <v>46138</v>
      </c>
      <c r="M735" s="185">
        <v>46139</v>
      </c>
      <c r="N735"/>
      <c r="O735">
        <v>1010100</v>
      </c>
      <c r="P735" t="s">
        <v>29</v>
      </c>
      <c r="Q735">
        <v>200000100</v>
      </c>
      <c r="R735" t="s">
        <v>15322</v>
      </c>
      <c r="S735"/>
      <c r="T735" t="s">
        <v>15323</v>
      </c>
      <c r="U735" t="s">
        <v>5803</v>
      </c>
      <c r="V735" s="23">
        <v>0</v>
      </c>
      <c r="W735" s="23">
        <v>0</v>
      </c>
      <c r="X735" s="23">
        <v>0</v>
      </c>
      <c r="Y735"/>
      <c r="Z735">
        <v>1246269505</v>
      </c>
      <c r="AA735"/>
      <c r="AB735" t="s">
        <v>1199</v>
      </c>
      <c r="AC735">
        <v>102</v>
      </c>
      <c r="AD735">
        <v>4</v>
      </c>
      <c r="AE735" t="s">
        <v>15324</v>
      </c>
      <c r="AF735"/>
      <c r="AG735" s="23"/>
      <c r="AH735" s="265" t="str">
        <f>_xlfn.XLOOKUP(G735,Clientes!I:I,Clientes!F:F)</f>
        <v>GRUPO FERTILIZ TOCANTINS</v>
      </c>
    </row>
    <row r="736" spans="1:34" x14ac:dyDescent="0.25">
      <c r="A736">
        <v>161</v>
      </c>
      <c r="B736" t="s">
        <v>145</v>
      </c>
      <c r="C736"/>
      <c r="D736" s="23">
        <v>169573.6</v>
      </c>
      <c r="E736">
        <v>10802</v>
      </c>
      <c r="F736">
        <v>11</v>
      </c>
      <c r="G736">
        <v>3232</v>
      </c>
      <c r="H736" t="s">
        <v>153</v>
      </c>
      <c r="I736" s="23">
        <v>169573.6</v>
      </c>
      <c r="J736" s="185">
        <v>46084</v>
      </c>
      <c r="K736" s="185">
        <v>46084</v>
      </c>
      <c r="L736" s="185">
        <v>46114</v>
      </c>
      <c r="M736" s="185">
        <v>46126</v>
      </c>
      <c r="N736"/>
      <c r="O736">
        <v>1010100</v>
      </c>
      <c r="P736" t="s">
        <v>29</v>
      </c>
      <c r="Q736">
        <v>200000100</v>
      </c>
      <c r="R736" t="s">
        <v>15322</v>
      </c>
      <c r="S736"/>
      <c r="T736" t="s">
        <v>15323</v>
      </c>
      <c r="U736" t="s">
        <v>2246</v>
      </c>
      <c r="V736" s="23">
        <v>0</v>
      </c>
      <c r="W736" s="23">
        <v>0</v>
      </c>
      <c r="X736" s="23">
        <v>0</v>
      </c>
      <c r="Y736"/>
      <c r="Z736">
        <v>1246266098</v>
      </c>
      <c r="AA736"/>
      <c r="AB736" t="s">
        <v>2073</v>
      </c>
      <c r="AC736">
        <v>102</v>
      </c>
      <c r="AD736">
        <v>4</v>
      </c>
      <c r="AE736" t="s">
        <v>15324</v>
      </c>
      <c r="AF736"/>
      <c r="AG736" s="23"/>
      <c r="AH736" s="265" t="str">
        <f>_xlfn.XLOOKUP(G736,Clientes!I:I,Clientes!F:F)</f>
        <v>GRUPO FERTILIZ TOCANTINS</v>
      </c>
    </row>
    <row r="737" spans="1:34" x14ac:dyDescent="0.25">
      <c r="A737">
        <v>161</v>
      </c>
      <c r="B737" t="s">
        <v>145</v>
      </c>
      <c r="C737"/>
      <c r="D737" s="23">
        <v>170388.1</v>
      </c>
      <c r="E737">
        <v>11463</v>
      </c>
      <c r="F737">
        <v>11</v>
      </c>
      <c r="G737">
        <v>5300</v>
      </c>
      <c r="H737" t="s">
        <v>25</v>
      </c>
      <c r="I737" s="23">
        <v>170388.1</v>
      </c>
      <c r="J737" s="185">
        <v>46163</v>
      </c>
      <c r="K737" s="185">
        <v>46163</v>
      </c>
      <c r="L737" s="185">
        <v>46191</v>
      </c>
      <c r="M737" s="185">
        <v>46195</v>
      </c>
      <c r="N737"/>
      <c r="O737">
        <v>1010100</v>
      </c>
      <c r="P737" t="s">
        <v>29</v>
      </c>
      <c r="Q737">
        <v>200000100</v>
      </c>
      <c r="R737" t="s">
        <v>15322</v>
      </c>
      <c r="S737"/>
      <c r="T737" t="s">
        <v>15323</v>
      </c>
      <c r="U737" t="s">
        <v>1199</v>
      </c>
      <c r="V737" s="23">
        <v>0</v>
      </c>
      <c r="W737" s="23">
        <v>0</v>
      </c>
      <c r="X737" s="23">
        <v>0</v>
      </c>
      <c r="Y737"/>
      <c r="Z737">
        <v>1246276132</v>
      </c>
      <c r="AA737"/>
      <c r="AB737" t="s">
        <v>1199</v>
      </c>
      <c r="AC737">
        <v>102</v>
      </c>
      <c r="AD737">
        <v>4</v>
      </c>
      <c r="AE737" t="s">
        <v>15324</v>
      </c>
      <c r="AF737"/>
      <c r="AG737" s="23"/>
      <c r="AH737" s="265" t="str">
        <f>_xlfn.XLOOKUP(G737,Clientes!I:I,Clientes!F:F)</f>
        <v>FOSNOR - LUIS EDUARDO MAGALHAES</v>
      </c>
    </row>
    <row r="738" spans="1:34" x14ac:dyDescent="0.25">
      <c r="A738">
        <v>161</v>
      </c>
      <c r="B738" t="s">
        <v>145</v>
      </c>
      <c r="C738"/>
      <c r="D738" s="23">
        <v>170582.1</v>
      </c>
      <c r="E738">
        <v>11044</v>
      </c>
      <c r="F738">
        <v>11</v>
      </c>
      <c r="G738">
        <v>3232</v>
      </c>
      <c r="H738" t="s">
        <v>153</v>
      </c>
      <c r="I738" s="23">
        <v>170582.1</v>
      </c>
      <c r="J738" s="185">
        <v>46114</v>
      </c>
      <c r="K738" s="185">
        <v>46114</v>
      </c>
      <c r="L738" s="185">
        <v>46174</v>
      </c>
      <c r="M738" s="185">
        <v>46174</v>
      </c>
      <c r="N738"/>
      <c r="O738">
        <v>1010100</v>
      </c>
      <c r="P738" t="s">
        <v>29</v>
      </c>
      <c r="Q738">
        <v>200000100</v>
      </c>
      <c r="R738" t="s">
        <v>15322</v>
      </c>
      <c r="S738"/>
      <c r="T738" t="s">
        <v>15323</v>
      </c>
      <c r="U738" t="s">
        <v>5803</v>
      </c>
      <c r="V738" s="23">
        <v>0</v>
      </c>
      <c r="W738" s="23">
        <v>0</v>
      </c>
      <c r="X738" s="23">
        <v>0</v>
      </c>
      <c r="Y738"/>
      <c r="Z738">
        <v>1246270155</v>
      </c>
      <c r="AA738"/>
      <c r="AB738" t="s">
        <v>1199</v>
      </c>
      <c r="AC738">
        <v>102</v>
      </c>
      <c r="AD738">
        <v>4</v>
      </c>
      <c r="AE738" t="s">
        <v>15324</v>
      </c>
      <c r="AF738"/>
      <c r="AG738" s="23"/>
      <c r="AH738" s="265" t="str">
        <f>_xlfn.XLOOKUP(G738,Clientes!I:I,Clientes!F:F)</f>
        <v>GRUPO FERTILIZ TOCANTINS</v>
      </c>
    </row>
    <row r="739" spans="1:34" x14ac:dyDescent="0.25">
      <c r="A739">
        <v>40</v>
      </c>
      <c r="B739" t="s">
        <v>155</v>
      </c>
      <c r="C739"/>
      <c r="D739" s="23">
        <v>170648.3</v>
      </c>
      <c r="E739">
        <v>11057</v>
      </c>
      <c r="F739">
        <v>11</v>
      </c>
      <c r="G739">
        <v>13330</v>
      </c>
      <c r="H739" t="s">
        <v>579</v>
      </c>
      <c r="I739" s="23">
        <v>170648.3</v>
      </c>
      <c r="J739" s="185">
        <v>46118</v>
      </c>
      <c r="K739" s="185">
        <v>46118</v>
      </c>
      <c r="L739" s="185">
        <v>46148</v>
      </c>
      <c r="M739" s="185">
        <v>46118</v>
      </c>
      <c r="N739"/>
      <c r="O739">
        <v>1010200</v>
      </c>
      <c r="P739" t="s">
        <v>113</v>
      </c>
      <c r="Q739">
        <v>200000100</v>
      </c>
      <c r="R739" t="s">
        <v>15322</v>
      </c>
      <c r="S739"/>
      <c r="T739" t="s">
        <v>15323</v>
      </c>
      <c r="U739" t="s">
        <v>1199</v>
      </c>
      <c r="V739" s="23">
        <v>0</v>
      </c>
      <c r="W739" s="23">
        <v>0</v>
      </c>
      <c r="X739" s="23">
        <v>0</v>
      </c>
      <c r="Y739"/>
      <c r="Z739">
        <v>1246270402</v>
      </c>
      <c r="AA739"/>
      <c r="AB739" t="s">
        <v>1199</v>
      </c>
      <c r="AC739">
        <v>18</v>
      </c>
      <c r="AD739">
        <v>4</v>
      </c>
      <c r="AE739" t="s">
        <v>15324</v>
      </c>
      <c r="AF739" t="s">
        <v>15355</v>
      </c>
      <c r="AG739" s="23">
        <v>33040</v>
      </c>
      <c r="AH739" s="265" t="str">
        <f>_xlfn.XLOOKUP(G739,Clientes!I:I,Clientes!F:F)</f>
        <v>ORGANITEC - PARAGUAY</v>
      </c>
    </row>
    <row r="740" spans="1:34" x14ac:dyDescent="0.25">
      <c r="A740">
        <v>161</v>
      </c>
      <c r="B740" t="s">
        <v>145</v>
      </c>
      <c r="C740"/>
      <c r="D740" s="23">
        <v>171254.1</v>
      </c>
      <c r="E740">
        <v>10704</v>
      </c>
      <c r="F740">
        <v>11</v>
      </c>
      <c r="G740">
        <v>11724</v>
      </c>
      <c r="H740" t="s">
        <v>107</v>
      </c>
      <c r="I740" s="23">
        <v>171254.1</v>
      </c>
      <c r="J740" s="185">
        <v>46069</v>
      </c>
      <c r="K740" s="185">
        <v>46069</v>
      </c>
      <c r="L740" s="185">
        <v>46137</v>
      </c>
      <c r="M740" s="185">
        <v>46139</v>
      </c>
      <c r="N740"/>
      <c r="O740">
        <v>1010100</v>
      </c>
      <c r="P740" t="s">
        <v>29</v>
      </c>
      <c r="Q740">
        <v>200000100</v>
      </c>
      <c r="R740" t="s">
        <v>15322</v>
      </c>
      <c r="S740"/>
      <c r="T740" t="s">
        <v>15323</v>
      </c>
      <c r="U740" t="s">
        <v>6311</v>
      </c>
      <c r="V740" s="23">
        <v>0</v>
      </c>
      <c r="W740" s="23">
        <v>0</v>
      </c>
      <c r="X740" s="23">
        <v>0</v>
      </c>
      <c r="Y740"/>
      <c r="Z740">
        <v>1246263820</v>
      </c>
      <c r="AA740"/>
      <c r="AB740" t="s">
        <v>1186</v>
      </c>
      <c r="AC740">
        <v>102</v>
      </c>
      <c r="AD740">
        <v>4</v>
      </c>
      <c r="AE740" t="s">
        <v>15324</v>
      </c>
      <c r="AF740"/>
      <c r="AG740" s="23"/>
      <c r="AH740" s="265" t="str">
        <f>_xlfn.XLOOKUP(G740,Clientes!I:I,Clientes!F:F)</f>
        <v>GRUPO HINOVE</v>
      </c>
    </row>
    <row r="741" spans="1:34" x14ac:dyDescent="0.25">
      <c r="A741">
        <v>161</v>
      </c>
      <c r="B741" t="s">
        <v>145</v>
      </c>
      <c r="C741"/>
      <c r="D741" s="23">
        <v>171346.5</v>
      </c>
      <c r="E741">
        <v>10606</v>
      </c>
      <c r="F741">
        <v>11</v>
      </c>
      <c r="G741">
        <v>5300</v>
      </c>
      <c r="H741" t="s">
        <v>25</v>
      </c>
      <c r="I741" s="23">
        <v>171346.5</v>
      </c>
      <c r="J741" s="185">
        <v>46052</v>
      </c>
      <c r="K741" s="185">
        <v>46052</v>
      </c>
      <c r="L741" s="185">
        <v>46083</v>
      </c>
      <c r="M741" s="185">
        <v>46083</v>
      </c>
      <c r="N741"/>
      <c r="O741">
        <v>1010100</v>
      </c>
      <c r="P741" t="s">
        <v>29</v>
      </c>
      <c r="Q741">
        <v>200000100</v>
      </c>
      <c r="R741" t="s">
        <v>15322</v>
      </c>
      <c r="S741"/>
      <c r="T741" t="s">
        <v>15323</v>
      </c>
      <c r="U741" t="s">
        <v>1199</v>
      </c>
      <c r="V741" s="23">
        <v>0</v>
      </c>
      <c r="W741" s="23">
        <v>0</v>
      </c>
      <c r="X741" s="23">
        <v>0</v>
      </c>
      <c r="Y741"/>
      <c r="Z741">
        <v>1246261656</v>
      </c>
      <c r="AA741"/>
      <c r="AB741" t="s">
        <v>1199</v>
      </c>
      <c r="AC741">
        <v>102</v>
      </c>
      <c r="AD741">
        <v>4</v>
      </c>
      <c r="AE741" t="s">
        <v>15324</v>
      </c>
      <c r="AF741"/>
      <c r="AG741" s="23"/>
      <c r="AH741" s="265" t="str">
        <f>_xlfn.XLOOKUP(G741,Clientes!I:I,Clientes!F:F)</f>
        <v>FOSNOR - LUIS EDUARDO MAGALHAES</v>
      </c>
    </row>
    <row r="742" spans="1:34" x14ac:dyDescent="0.25">
      <c r="A742">
        <v>161</v>
      </c>
      <c r="B742" t="s">
        <v>145</v>
      </c>
      <c r="C742"/>
      <c r="D742" s="23">
        <v>171522</v>
      </c>
      <c r="E742">
        <v>10554</v>
      </c>
      <c r="F742">
        <v>11</v>
      </c>
      <c r="G742">
        <v>5300</v>
      </c>
      <c r="H742" t="s">
        <v>25</v>
      </c>
      <c r="I742" s="23">
        <v>171522</v>
      </c>
      <c r="J742" s="185">
        <v>46045</v>
      </c>
      <c r="K742" s="185">
        <v>46045</v>
      </c>
      <c r="L742" s="185">
        <v>46073</v>
      </c>
      <c r="M742" s="185">
        <v>46076</v>
      </c>
      <c r="N742"/>
      <c r="O742">
        <v>1010100</v>
      </c>
      <c r="P742" t="s">
        <v>29</v>
      </c>
      <c r="Q742">
        <v>200000100</v>
      </c>
      <c r="R742" t="s">
        <v>15322</v>
      </c>
      <c r="S742"/>
      <c r="T742" t="s">
        <v>15323</v>
      </c>
      <c r="U742" t="s">
        <v>1964</v>
      </c>
      <c r="V742" s="23">
        <v>0</v>
      </c>
      <c r="W742" s="23">
        <v>0</v>
      </c>
      <c r="X742" s="23">
        <v>0</v>
      </c>
      <c r="Y742"/>
      <c r="Z742">
        <v>1246260580</v>
      </c>
      <c r="AA742"/>
      <c r="AB742" t="s">
        <v>1199</v>
      </c>
      <c r="AC742">
        <v>102</v>
      </c>
      <c r="AD742">
        <v>4</v>
      </c>
      <c r="AE742" t="s">
        <v>15324</v>
      </c>
      <c r="AF742"/>
      <c r="AG742" s="23"/>
      <c r="AH742" s="265" t="str">
        <f>_xlfn.XLOOKUP(G742,Clientes!I:I,Clientes!F:F)</f>
        <v>FOSNOR - LUIS EDUARDO MAGALHAES</v>
      </c>
    </row>
    <row r="743" spans="1:34" x14ac:dyDescent="0.25">
      <c r="A743">
        <v>161</v>
      </c>
      <c r="B743" t="s">
        <v>145</v>
      </c>
      <c r="C743"/>
      <c r="D743" s="23">
        <v>171957.9</v>
      </c>
      <c r="E743">
        <v>11589</v>
      </c>
      <c r="F743">
        <v>11</v>
      </c>
      <c r="G743">
        <v>12629</v>
      </c>
      <c r="H743" t="s">
        <v>109</v>
      </c>
      <c r="I743" s="23">
        <v>171957.9</v>
      </c>
      <c r="J743" s="185">
        <v>46176</v>
      </c>
      <c r="K743" s="185">
        <v>46176</v>
      </c>
      <c r="L743" s="185">
        <v>46236</v>
      </c>
      <c r="M743" s="185"/>
      <c r="N743"/>
      <c r="O743">
        <v>1010100</v>
      </c>
      <c r="P743" t="s">
        <v>29</v>
      </c>
      <c r="Q743">
        <v>200000100</v>
      </c>
      <c r="R743" t="s">
        <v>15322</v>
      </c>
      <c r="S743"/>
      <c r="T743" t="s">
        <v>15323</v>
      </c>
      <c r="U743" t="s">
        <v>4502</v>
      </c>
      <c r="V743" s="23">
        <v>0</v>
      </c>
      <c r="W743" s="23">
        <v>0</v>
      </c>
      <c r="X743" s="23">
        <v>0</v>
      </c>
      <c r="Y743"/>
      <c r="Z743">
        <v>1246278080</v>
      </c>
      <c r="AA743"/>
      <c r="AB743"/>
      <c r="AC743">
        <v>102</v>
      </c>
      <c r="AD743">
        <v>4</v>
      </c>
      <c r="AE743" t="s">
        <v>15324</v>
      </c>
      <c r="AF743"/>
      <c r="AG743" s="23"/>
      <c r="AH743" s="265" t="str">
        <f>_xlfn.XLOOKUP(G743,Clientes!I:I,Clientes!F:F)</f>
        <v>EUROCHEM SERRA DO SALITRE</v>
      </c>
    </row>
    <row r="744" spans="1:34" x14ac:dyDescent="0.25">
      <c r="A744">
        <v>161</v>
      </c>
      <c r="B744" t="s">
        <v>145</v>
      </c>
      <c r="C744"/>
      <c r="D744" s="23">
        <v>172107</v>
      </c>
      <c r="E744">
        <v>10402</v>
      </c>
      <c r="F744">
        <v>11</v>
      </c>
      <c r="G744">
        <v>5300</v>
      </c>
      <c r="H744" t="s">
        <v>25</v>
      </c>
      <c r="I744" s="23">
        <v>172107</v>
      </c>
      <c r="J744" s="185">
        <v>46024</v>
      </c>
      <c r="K744" s="185">
        <v>46024</v>
      </c>
      <c r="L744" s="185">
        <v>46052</v>
      </c>
      <c r="M744" s="185">
        <v>46055</v>
      </c>
      <c r="N744"/>
      <c r="O744">
        <v>1010100</v>
      </c>
      <c r="P744" t="s">
        <v>29</v>
      </c>
      <c r="Q744">
        <v>200000100</v>
      </c>
      <c r="R744" t="s">
        <v>15322</v>
      </c>
      <c r="S744"/>
      <c r="T744" t="s">
        <v>15323</v>
      </c>
      <c r="U744" t="s">
        <v>1199</v>
      </c>
      <c r="V744" s="23">
        <v>0</v>
      </c>
      <c r="W744" s="23">
        <v>0</v>
      </c>
      <c r="X744" s="23">
        <v>0</v>
      </c>
      <c r="Y744"/>
      <c r="Z744">
        <v>1246258116</v>
      </c>
      <c r="AA744"/>
      <c r="AB744" t="s">
        <v>1199</v>
      </c>
      <c r="AC744">
        <v>102</v>
      </c>
      <c r="AD744">
        <v>4</v>
      </c>
      <c r="AE744" t="s">
        <v>15324</v>
      </c>
      <c r="AF744"/>
      <c r="AG744" s="23"/>
      <c r="AH744" s="265" t="str">
        <f>_xlfn.XLOOKUP(G744,Clientes!I:I,Clientes!F:F)</f>
        <v>FOSNOR - LUIS EDUARDO MAGALHAES</v>
      </c>
    </row>
    <row r="745" spans="1:34" x14ac:dyDescent="0.25">
      <c r="A745">
        <v>161</v>
      </c>
      <c r="B745" t="s">
        <v>145</v>
      </c>
      <c r="C745"/>
      <c r="D745" s="23">
        <v>172186.5</v>
      </c>
      <c r="E745">
        <v>11385</v>
      </c>
      <c r="F745">
        <v>11</v>
      </c>
      <c r="G745">
        <v>3232</v>
      </c>
      <c r="H745" t="s">
        <v>153</v>
      </c>
      <c r="I745" s="23">
        <v>172186.5</v>
      </c>
      <c r="J745" s="185">
        <v>46155</v>
      </c>
      <c r="K745" s="185">
        <v>46155</v>
      </c>
      <c r="L745" s="185">
        <v>46215</v>
      </c>
      <c r="M745" s="185"/>
      <c r="N745"/>
      <c r="O745">
        <v>1010100</v>
      </c>
      <c r="P745" t="s">
        <v>29</v>
      </c>
      <c r="Q745">
        <v>200000100</v>
      </c>
      <c r="R745" t="s">
        <v>15322</v>
      </c>
      <c r="S745"/>
      <c r="T745" t="s">
        <v>15323</v>
      </c>
      <c r="U745" t="s">
        <v>1530</v>
      </c>
      <c r="V745" s="23">
        <v>0</v>
      </c>
      <c r="W745" s="23">
        <v>0</v>
      </c>
      <c r="X745" s="23">
        <v>0</v>
      </c>
      <c r="Y745"/>
      <c r="Z745">
        <v>1246274879</v>
      </c>
      <c r="AA745"/>
      <c r="AB745"/>
      <c r="AC745">
        <v>102</v>
      </c>
      <c r="AD745">
        <v>4</v>
      </c>
      <c r="AE745" t="s">
        <v>15324</v>
      </c>
      <c r="AF745"/>
      <c r="AG745" s="23"/>
      <c r="AH745" s="265" t="str">
        <f>_xlfn.XLOOKUP(G745,Clientes!I:I,Clientes!F:F)</f>
        <v>GRUPO FERTILIZ TOCANTINS</v>
      </c>
    </row>
    <row r="746" spans="1:34" x14ac:dyDescent="0.25">
      <c r="A746">
        <v>161</v>
      </c>
      <c r="B746" t="s">
        <v>145</v>
      </c>
      <c r="C746"/>
      <c r="D746" s="23">
        <v>172292.2</v>
      </c>
      <c r="E746">
        <v>11699</v>
      </c>
      <c r="F746">
        <v>11</v>
      </c>
      <c r="G746">
        <v>5300</v>
      </c>
      <c r="H746" t="s">
        <v>25</v>
      </c>
      <c r="I746" s="23">
        <v>172292.2</v>
      </c>
      <c r="J746" s="185">
        <v>46185</v>
      </c>
      <c r="K746" s="185">
        <v>46185</v>
      </c>
      <c r="L746" s="185">
        <v>46213</v>
      </c>
      <c r="M746" s="185"/>
      <c r="N746"/>
      <c r="O746">
        <v>1010100</v>
      </c>
      <c r="P746" t="s">
        <v>29</v>
      </c>
      <c r="Q746">
        <v>200000100</v>
      </c>
      <c r="R746" t="s">
        <v>15322</v>
      </c>
      <c r="S746"/>
      <c r="T746" t="s">
        <v>15323</v>
      </c>
      <c r="U746" t="s">
        <v>2246</v>
      </c>
      <c r="V746" s="23">
        <v>0</v>
      </c>
      <c r="W746" s="23">
        <v>0</v>
      </c>
      <c r="X746" s="23">
        <v>0</v>
      </c>
      <c r="Y746"/>
      <c r="Z746">
        <v>1246279383</v>
      </c>
      <c r="AA746"/>
      <c r="AB746"/>
      <c r="AC746">
        <v>102</v>
      </c>
      <c r="AD746">
        <v>4</v>
      </c>
      <c r="AE746" t="s">
        <v>15324</v>
      </c>
      <c r="AF746"/>
      <c r="AG746" s="23"/>
      <c r="AH746" s="265" t="str">
        <f>_xlfn.XLOOKUP(G746,Clientes!I:I,Clientes!F:F)</f>
        <v>FOSNOR - LUIS EDUARDO MAGALHAES</v>
      </c>
    </row>
    <row r="747" spans="1:34" x14ac:dyDescent="0.25">
      <c r="A747">
        <v>161</v>
      </c>
      <c r="B747" t="s">
        <v>145</v>
      </c>
      <c r="C747"/>
      <c r="D747" s="23">
        <v>172575</v>
      </c>
      <c r="E747">
        <v>10741</v>
      </c>
      <c r="F747">
        <v>11</v>
      </c>
      <c r="G747">
        <v>5300</v>
      </c>
      <c r="H747" t="s">
        <v>25</v>
      </c>
      <c r="I747" s="23">
        <v>172575</v>
      </c>
      <c r="J747" s="185">
        <v>46076</v>
      </c>
      <c r="K747" s="185">
        <v>46076</v>
      </c>
      <c r="L747" s="185">
        <v>46104</v>
      </c>
      <c r="M747" s="185">
        <v>46104</v>
      </c>
      <c r="N747"/>
      <c r="O747">
        <v>1010100</v>
      </c>
      <c r="P747" t="s">
        <v>29</v>
      </c>
      <c r="Q747">
        <v>200000100</v>
      </c>
      <c r="R747" t="s">
        <v>15322</v>
      </c>
      <c r="S747"/>
      <c r="T747" t="s">
        <v>15323</v>
      </c>
      <c r="U747" t="s">
        <v>4502</v>
      </c>
      <c r="V747" s="23">
        <v>0</v>
      </c>
      <c r="W747" s="23">
        <v>0</v>
      </c>
      <c r="X747" s="23">
        <v>0</v>
      </c>
      <c r="Y747"/>
      <c r="Z747">
        <v>1246264521</v>
      </c>
      <c r="AA747"/>
      <c r="AB747" t="s">
        <v>1199</v>
      </c>
      <c r="AC747">
        <v>102</v>
      </c>
      <c r="AD747">
        <v>4</v>
      </c>
      <c r="AE747" t="s">
        <v>15324</v>
      </c>
      <c r="AF747"/>
      <c r="AG747" s="23"/>
      <c r="AH747" s="265" t="str">
        <f>_xlfn.XLOOKUP(G747,Clientes!I:I,Clientes!F:F)</f>
        <v>FOSNOR - LUIS EDUARDO MAGALHAES</v>
      </c>
    </row>
    <row r="748" spans="1:34" x14ac:dyDescent="0.25">
      <c r="A748">
        <v>40</v>
      </c>
      <c r="B748" t="s">
        <v>155</v>
      </c>
      <c r="C748"/>
      <c r="D748" s="23">
        <v>172806.77</v>
      </c>
      <c r="E748">
        <v>11193</v>
      </c>
      <c r="F748">
        <v>11</v>
      </c>
      <c r="G748">
        <v>6370</v>
      </c>
      <c r="H748" t="s">
        <v>264</v>
      </c>
      <c r="I748" s="23">
        <v>172806.77</v>
      </c>
      <c r="J748" s="185">
        <v>46134</v>
      </c>
      <c r="K748" s="185">
        <v>46134</v>
      </c>
      <c r="L748" s="185">
        <v>46164</v>
      </c>
      <c r="M748" s="185">
        <v>46168</v>
      </c>
      <c r="N748"/>
      <c r="O748">
        <v>1010200</v>
      </c>
      <c r="P748" t="s">
        <v>113</v>
      </c>
      <c r="Q748">
        <v>200000100</v>
      </c>
      <c r="R748" t="s">
        <v>15322</v>
      </c>
      <c r="S748"/>
      <c r="T748" t="s">
        <v>15323</v>
      </c>
      <c r="U748" t="s">
        <v>1199</v>
      </c>
      <c r="V748" s="23">
        <v>0</v>
      </c>
      <c r="W748" s="23">
        <v>0</v>
      </c>
      <c r="X748" s="23">
        <v>0</v>
      </c>
      <c r="Y748"/>
      <c r="Z748">
        <v>1246272162</v>
      </c>
      <c r="AA748"/>
      <c r="AB748" t="s">
        <v>1199</v>
      </c>
      <c r="AC748">
        <v>125</v>
      </c>
      <c r="AD748">
        <v>4</v>
      </c>
      <c r="AE748" t="s">
        <v>15324</v>
      </c>
      <c r="AF748" t="s">
        <v>15353</v>
      </c>
      <c r="AG748" s="23">
        <v>34673.699999999997</v>
      </c>
      <c r="AH748" s="265" t="str">
        <f>_xlfn.XLOOKUP(G748,Clientes!I:I,Clientes!F:F)</f>
        <v>YTL S.A. - PARAGUAI</v>
      </c>
    </row>
    <row r="749" spans="1:34" x14ac:dyDescent="0.25">
      <c r="A749">
        <v>161</v>
      </c>
      <c r="B749" t="s">
        <v>145</v>
      </c>
      <c r="C749"/>
      <c r="D749" s="23">
        <v>173101.5</v>
      </c>
      <c r="E749">
        <v>10502</v>
      </c>
      <c r="F749">
        <v>11</v>
      </c>
      <c r="G749">
        <v>5300</v>
      </c>
      <c r="H749" t="s">
        <v>25</v>
      </c>
      <c r="I749" s="23">
        <v>173101.5</v>
      </c>
      <c r="J749" s="185">
        <v>46038</v>
      </c>
      <c r="K749" s="185">
        <v>46038</v>
      </c>
      <c r="L749" s="185">
        <v>46066</v>
      </c>
      <c r="M749" s="185">
        <v>46066</v>
      </c>
      <c r="N749"/>
      <c r="O749">
        <v>1010100</v>
      </c>
      <c r="P749" t="s">
        <v>29</v>
      </c>
      <c r="Q749">
        <v>200000100</v>
      </c>
      <c r="R749" t="s">
        <v>15322</v>
      </c>
      <c r="S749"/>
      <c r="T749" t="s">
        <v>15323</v>
      </c>
      <c r="U749" t="s">
        <v>1530</v>
      </c>
      <c r="V749" s="23">
        <v>0</v>
      </c>
      <c r="W749" s="23">
        <v>0</v>
      </c>
      <c r="X749" s="23">
        <v>0</v>
      </c>
      <c r="Y749"/>
      <c r="Z749">
        <v>1246259716</v>
      </c>
      <c r="AA749"/>
      <c r="AB749" t="s">
        <v>1199</v>
      </c>
      <c r="AC749">
        <v>102</v>
      </c>
      <c r="AD749">
        <v>4</v>
      </c>
      <c r="AE749" t="s">
        <v>15324</v>
      </c>
      <c r="AF749"/>
      <c r="AG749" s="23"/>
      <c r="AH749" s="265" t="str">
        <f>_xlfn.XLOOKUP(G749,Clientes!I:I,Clientes!F:F)</f>
        <v>FOSNOR - LUIS EDUARDO MAGALHAES</v>
      </c>
    </row>
    <row r="750" spans="1:34" x14ac:dyDescent="0.25">
      <c r="A750">
        <v>161</v>
      </c>
      <c r="B750" t="s">
        <v>145</v>
      </c>
      <c r="C750"/>
      <c r="D750" s="23">
        <v>173157.7</v>
      </c>
      <c r="E750">
        <v>11104</v>
      </c>
      <c r="F750">
        <v>11</v>
      </c>
      <c r="G750">
        <v>5300</v>
      </c>
      <c r="H750" t="s">
        <v>25</v>
      </c>
      <c r="I750" s="23">
        <v>173157.7</v>
      </c>
      <c r="J750" s="185">
        <v>46125</v>
      </c>
      <c r="K750" s="185">
        <v>46125</v>
      </c>
      <c r="L750" s="185">
        <v>46153</v>
      </c>
      <c r="M750" s="185">
        <v>46153</v>
      </c>
      <c r="N750"/>
      <c r="O750">
        <v>1010100</v>
      </c>
      <c r="P750" t="s">
        <v>29</v>
      </c>
      <c r="Q750">
        <v>200000100</v>
      </c>
      <c r="R750" t="s">
        <v>15322</v>
      </c>
      <c r="S750"/>
      <c r="T750" t="s">
        <v>15323</v>
      </c>
      <c r="U750" t="s">
        <v>2246</v>
      </c>
      <c r="V750" s="23">
        <v>0</v>
      </c>
      <c r="W750" s="23">
        <v>0</v>
      </c>
      <c r="X750" s="23">
        <v>0</v>
      </c>
      <c r="Y750"/>
      <c r="Z750">
        <v>1246271143</v>
      </c>
      <c r="AA750"/>
      <c r="AB750" t="s">
        <v>1199</v>
      </c>
      <c r="AC750">
        <v>102</v>
      </c>
      <c r="AD750">
        <v>4</v>
      </c>
      <c r="AE750" t="s">
        <v>15324</v>
      </c>
      <c r="AF750"/>
      <c r="AG750" s="23"/>
      <c r="AH750" s="265" t="str">
        <f>_xlfn.XLOOKUP(G750,Clientes!I:I,Clientes!F:F)</f>
        <v>FOSNOR - LUIS EDUARDO MAGALHAES</v>
      </c>
    </row>
    <row r="751" spans="1:34" x14ac:dyDescent="0.25">
      <c r="A751">
        <v>161</v>
      </c>
      <c r="B751" t="s">
        <v>145</v>
      </c>
      <c r="C751"/>
      <c r="D751" s="23">
        <v>173569.5</v>
      </c>
      <c r="E751">
        <v>10443</v>
      </c>
      <c r="F751">
        <v>11</v>
      </c>
      <c r="G751">
        <v>5300</v>
      </c>
      <c r="H751" t="s">
        <v>25</v>
      </c>
      <c r="I751" s="23">
        <v>173569.5</v>
      </c>
      <c r="J751" s="185">
        <v>46030</v>
      </c>
      <c r="K751" s="185">
        <v>46030</v>
      </c>
      <c r="L751" s="185">
        <v>46058</v>
      </c>
      <c r="M751" s="185">
        <v>46062</v>
      </c>
      <c r="N751"/>
      <c r="O751">
        <v>1010100</v>
      </c>
      <c r="P751" t="s">
        <v>29</v>
      </c>
      <c r="Q751">
        <v>200000100</v>
      </c>
      <c r="R751" t="s">
        <v>15322</v>
      </c>
      <c r="S751"/>
      <c r="T751" t="s">
        <v>15323</v>
      </c>
      <c r="U751" t="s">
        <v>1964</v>
      </c>
      <c r="V751" s="23">
        <v>0</v>
      </c>
      <c r="W751" s="23">
        <v>0</v>
      </c>
      <c r="X751" s="23">
        <v>0</v>
      </c>
      <c r="Y751"/>
      <c r="Z751">
        <v>1246258777</v>
      </c>
      <c r="AA751"/>
      <c r="AB751" t="s">
        <v>1199</v>
      </c>
      <c r="AC751">
        <v>102</v>
      </c>
      <c r="AD751">
        <v>4</v>
      </c>
      <c r="AE751" t="s">
        <v>15324</v>
      </c>
      <c r="AF751"/>
      <c r="AG751" s="23"/>
      <c r="AH751" s="265" t="str">
        <f>_xlfn.XLOOKUP(G751,Clientes!I:I,Clientes!F:F)</f>
        <v>FOSNOR - LUIS EDUARDO MAGALHAES</v>
      </c>
    </row>
    <row r="752" spans="1:34" x14ac:dyDescent="0.25">
      <c r="A752">
        <v>161</v>
      </c>
      <c r="B752" t="s">
        <v>145</v>
      </c>
      <c r="C752"/>
      <c r="D752" s="23">
        <v>173685.5</v>
      </c>
      <c r="E752">
        <v>11501</v>
      </c>
      <c r="F752">
        <v>11</v>
      </c>
      <c r="G752">
        <v>12629</v>
      </c>
      <c r="H752" t="s">
        <v>109</v>
      </c>
      <c r="I752" s="23">
        <v>173685.5</v>
      </c>
      <c r="J752" s="185">
        <v>46168</v>
      </c>
      <c r="K752" s="185">
        <v>46168</v>
      </c>
      <c r="L752" s="185">
        <v>46228</v>
      </c>
      <c r="M752" s="185"/>
      <c r="N752"/>
      <c r="O752">
        <v>1010100</v>
      </c>
      <c r="P752" t="s">
        <v>29</v>
      </c>
      <c r="Q752">
        <v>200000100</v>
      </c>
      <c r="R752" t="s">
        <v>15322</v>
      </c>
      <c r="S752"/>
      <c r="T752" t="s">
        <v>15323</v>
      </c>
      <c r="U752" t="s">
        <v>1216</v>
      </c>
      <c r="V752" s="23">
        <v>0</v>
      </c>
      <c r="W752" s="23">
        <v>0</v>
      </c>
      <c r="X752" s="23">
        <v>0</v>
      </c>
      <c r="Y752"/>
      <c r="Z752">
        <v>1246276919</v>
      </c>
      <c r="AA752"/>
      <c r="AB752"/>
      <c r="AC752">
        <v>102</v>
      </c>
      <c r="AD752">
        <v>4</v>
      </c>
      <c r="AE752" t="s">
        <v>15324</v>
      </c>
      <c r="AF752"/>
      <c r="AG752" s="23"/>
      <c r="AH752" s="265" t="str">
        <f>_xlfn.XLOOKUP(G752,Clientes!I:I,Clientes!F:F)</f>
        <v>EUROCHEM SERRA DO SALITRE</v>
      </c>
    </row>
    <row r="753" spans="1:34" x14ac:dyDescent="0.25">
      <c r="A753">
        <v>161</v>
      </c>
      <c r="B753" t="s">
        <v>145</v>
      </c>
      <c r="C753"/>
      <c r="D753" s="23">
        <v>174023.2</v>
      </c>
      <c r="E753">
        <v>11286</v>
      </c>
      <c r="F753">
        <v>11</v>
      </c>
      <c r="G753">
        <v>5300</v>
      </c>
      <c r="H753" t="s">
        <v>25</v>
      </c>
      <c r="I753" s="23">
        <v>174023.2</v>
      </c>
      <c r="J753" s="185">
        <v>46146</v>
      </c>
      <c r="K753" s="185">
        <v>46146</v>
      </c>
      <c r="L753" s="185">
        <v>46174</v>
      </c>
      <c r="M753" s="185">
        <v>46174</v>
      </c>
      <c r="N753"/>
      <c r="O753">
        <v>1010100</v>
      </c>
      <c r="P753" t="s">
        <v>29</v>
      </c>
      <c r="Q753">
        <v>200000100</v>
      </c>
      <c r="R753" t="s">
        <v>15322</v>
      </c>
      <c r="S753"/>
      <c r="T753" t="s">
        <v>15323</v>
      </c>
      <c r="U753" t="s">
        <v>4468</v>
      </c>
      <c r="V753" s="23">
        <v>0</v>
      </c>
      <c r="W753" s="23">
        <v>0</v>
      </c>
      <c r="X753" s="23">
        <v>0</v>
      </c>
      <c r="Y753"/>
      <c r="Z753">
        <v>1246273400</v>
      </c>
      <c r="AA753"/>
      <c r="AB753" t="s">
        <v>1199</v>
      </c>
      <c r="AC753">
        <v>102</v>
      </c>
      <c r="AD753">
        <v>4</v>
      </c>
      <c r="AE753" t="s">
        <v>15324</v>
      </c>
      <c r="AF753"/>
      <c r="AG753" s="23"/>
      <c r="AH753" s="265" t="str">
        <f>_xlfn.XLOOKUP(G753,Clientes!I:I,Clientes!F:F)</f>
        <v>FOSNOR - LUIS EDUARDO MAGALHAES</v>
      </c>
    </row>
    <row r="754" spans="1:34" x14ac:dyDescent="0.25">
      <c r="A754">
        <v>161</v>
      </c>
      <c r="B754" t="s">
        <v>145</v>
      </c>
      <c r="C754"/>
      <c r="D754" s="23">
        <v>174023.2</v>
      </c>
      <c r="E754">
        <v>11651</v>
      </c>
      <c r="F754">
        <v>11</v>
      </c>
      <c r="G754">
        <v>5300</v>
      </c>
      <c r="H754" t="s">
        <v>25</v>
      </c>
      <c r="I754" s="23">
        <v>174023.2</v>
      </c>
      <c r="J754" s="185">
        <v>46182</v>
      </c>
      <c r="K754" s="185">
        <v>46182</v>
      </c>
      <c r="L754" s="185">
        <v>46210</v>
      </c>
      <c r="M754" s="185"/>
      <c r="N754"/>
      <c r="O754">
        <v>1010100</v>
      </c>
      <c r="P754" t="s">
        <v>29</v>
      </c>
      <c r="Q754">
        <v>200000100</v>
      </c>
      <c r="R754" t="s">
        <v>15322</v>
      </c>
      <c r="S754"/>
      <c r="T754" t="s">
        <v>15323</v>
      </c>
      <c r="U754" t="s">
        <v>4502</v>
      </c>
      <c r="V754" s="23">
        <v>0</v>
      </c>
      <c r="W754" s="23">
        <v>0</v>
      </c>
      <c r="X754" s="23">
        <v>0</v>
      </c>
      <c r="Y754"/>
      <c r="Z754">
        <v>1246278685</v>
      </c>
      <c r="AA754"/>
      <c r="AB754"/>
      <c r="AC754">
        <v>102</v>
      </c>
      <c r="AD754">
        <v>4</v>
      </c>
      <c r="AE754" t="s">
        <v>15324</v>
      </c>
      <c r="AF754"/>
      <c r="AG754" s="23"/>
      <c r="AH754" s="265" t="str">
        <f>_xlfn.XLOOKUP(G754,Clientes!I:I,Clientes!F:F)</f>
        <v>FOSNOR - LUIS EDUARDO MAGALHAES</v>
      </c>
    </row>
    <row r="755" spans="1:34" x14ac:dyDescent="0.25">
      <c r="A755">
        <v>161</v>
      </c>
      <c r="B755" t="s">
        <v>145</v>
      </c>
      <c r="C755"/>
      <c r="D755" s="23">
        <v>174271.5</v>
      </c>
      <c r="E755">
        <v>10680</v>
      </c>
      <c r="F755">
        <v>11</v>
      </c>
      <c r="G755">
        <v>5300</v>
      </c>
      <c r="H755" t="s">
        <v>25</v>
      </c>
      <c r="I755" s="23">
        <v>174271.5</v>
      </c>
      <c r="J755" s="185">
        <v>46065</v>
      </c>
      <c r="K755" s="185">
        <v>46065</v>
      </c>
      <c r="L755" s="185">
        <v>46093</v>
      </c>
      <c r="M755" s="185">
        <v>46097</v>
      </c>
      <c r="N755"/>
      <c r="O755">
        <v>1010100</v>
      </c>
      <c r="P755" t="s">
        <v>29</v>
      </c>
      <c r="Q755">
        <v>200000100</v>
      </c>
      <c r="R755" t="s">
        <v>15322</v>
      </c>
      <c r="S755"/>
      <c r="T755" t="s">
        <v>15323</v>
      </c>
      <c r="U755" t="s">
        <v>5803</v>
      </c>
      <c r="V755" s="23">
        <v>0</v>
      </c>
      <c r="W755" s="23">
        <v>0</v>
      </c>
      <c r="X755" s="23">
        <v>0</v>
      </c>
      <c r="Y755"/>
      <c r="Z755">
        <v>1246263450</v>
      </c>
      <c r="AA755"/>
      <c r="AB755" t="s">
        <v>1199</v>
      </c>
      <c r="AC755">
        <v>102</v>
      </c>
      <c r="AD755">
        <v>4</v>
      </c>
      <c r="AE755" t="s">
        <v>15324</v>
      </c>
      <c r="AF755"/>
      <c r="AG755" s="23"/>
      <c r="AH755" s="265" t="str">
        <f>_xlfn.XLOOKUP(G755,Clientes!I:I,Clientes!F:F)</f>
        <v>FOSNOR - LUIS EDUARDO MAGALHAES</v>
      </c>
    </row>
    <row r="756" spans="1:34" x14ac:dyDescent="0.25">
      <c r="A756">
        <v>161</v>
      </c>
      <c r="B756" t="s">
        <v>145</v>
      </c>
      <c r="C756"/>
      <c r="D756" s="23">
        <v>174484.8</v>
      </c>
      <c r="E756">
        <v>11624</v>
      </c>
      <c r="F756">
        <v>11</v>
      </c>
      <c r="G756">
        <v>5300</v>
      </c>
      <c r="H756" t="s">
        <v>25</v>
      </c>
      <c r="I756" s="23">
        <v>174484.8</v>
      </c>
      <c r="J756" s="185">
        <v>46178</v>
      </c>
      <c r="K756" s="185">
        <v>46178</v>
      </c>
      <c r="L756" s="185">
        <v>46206</v>
      </c>
      <c r="M756" s="185"/>
      <c r="N756"/>
      <c r="O756">
        <v>1010100</v>
      </c>
      <c r="P756" t="s">
        <v>29</v>
      </c>
      <c r="Q756">
        <v>200000100</v>
      </c>
      <c r="R756" t="s">
        <v>15322</v>
      </c>
      <c r="S756"/>
      <c r="T756" t="s">
        <v>15323</v>
      </c>
      <c r="U756" t="s">
        <v>5803</v>
      </c>
      <c r="V756" s="23">
        <v>0</v>
      </c>
      <c r="W756" s="23">
        <v>0</v>
      </c>
      <c r="X756" s="23">
        <v>0</v>
      </c>
      <c r="Y756"/>
      <c r="Z756">
        <v>1246278418</v>
      </c>
      <c r="AA756"/>
      <c r="AB756"/>
      <c r="AC756">
        <v>102</v>
      </c>
      <c r="AD756">
        <v>4</v>
      </c>
      <c r="AE756" t="s">
        <v>15324</v>
      </c>
      <c r="AF756"/>
      <c r="AG756" s="23"/>
      <c r="AH756" s="265" t="str">
        <f>_xlfn.XLOOKUP(G756,Clientes!I:I,Clientes!F:F)</f>
        <v>FOSNOR - LUIS EDUARDO MAGALHAES</v>
      </c>
    </row>
    <row r="757" spans="1:34" x14ac:dyDescent="0.25">
      <c r="A757">
        <v>161</v>
      </c>
      <c r="B757" t="s">
        <v>145</v>
      </c>
      <c r="C757"/>
      <c r="D757" s="23">
        <v>174501</v>
      </c>
      <c r="E757">
        <v>11673</v>
      </c>
      <c r="F757">
        <v>11</v>
      </c>
      <c r="G757">
        <v>7097</v>
      </c>
      <c r="H757" t="s">
        <v>91</v>
      </c>
      <c r="I757" s="23">
        <v>174501</v>
      </c>
      <c r="J757" s="185">
        <v>46183</v>
      </c>
      <c r="K757" s="185">
        <v>46183</v>
      </c>
      <c r="L757" s="185">
        <v>46273</v>
      </c>
      <c r="M757" s="185"/>
      <c r="N757"/>
      <c r="O757">
        <v>1010100</v>
      </c>
      <c r="P757" t="s">
        <v>29</v>
      </c>
      <c r="Q757">
        <v>200000100</v>
      </c>
      <c r="R757" t="s">
        <v>15322</v>
      </c>
      <c r="S757"/>
      <c r="T757" t="s">
        <v>15323</v>
      </c>
      <c r="U757" t="s">
        <v>2246</v>
      </c>
      <c r="V757" s="23">
        <v>0</v>
      </c>
      <c r="W757" s="23">
        <v>0</v>
      </c>
      <c r="X757" s="23">
        <v>0</v>
      </c>
      <c r="Y757"/>
      <c r="Z757">
        <v>1246279050</v>
      </c>
      <c r="AA757"/>
      <c r="AB757"/>
      <c r="AC757">
        <v>116</v>
      </c>
      <c r="AD757">
        <v>4</v>
      </c>
      <c r="AE757" t="s">
        <v>15324</v>
      </c>
      <c r="AF757"/>
      <c r="AG757" s="23"/>
      <c r="AH757" s="265" t="str">
        <f>_xlfn.XLOOKUP(G757,Clientes!I:I,Clientes!F:F)</f>
        <v>GRUPO MOSAIC FERTILIZANTES DO BRASIL</v>
      </c>
    </row>
    <row r="758" spans="1:34" x14ac:dyDescent="0.25">
      <c r="A758">
        <v>161</v>
      </c>
      <c r="B758" t="s">
        <v>145</v>
      </c>
      <c r="C758"/>
      <c r="D758" s="23">
        <v>174542.5</v>
      </c>
      <c r="E758">
        <v>11309</v>
      </c>
      <c r="F758">
        <v>11</v>
      </c>
      <c r="G758">
        <v>5300</v>
      </c>
      <c r="H758" t="s">
        <v>25</v>
      </c>
      <c r="I758" s="23">
        <v>174542.5</v>
      </c>
      <c r="J758" s="185">
        <v>46148</v>
      </c>
      <c r="K758" s="185">
        <v>46148</v>
      </c>
      <c r="L758" s="185">
        <v>46176</v>
      </c>
      <c r="M758" s="185">
        <v>46181</v>
      </c>
      <c r="N758"/>
      <c r="O758">
        <v>1010100</v>
      </c>
      <c r="P758" t="s">
        <v>29</v>
      </c>
      <c r="Q758">
        <v>200000100</v>
      </c>
      <c r="R758" t="s">
        <v>15322</v>
      </c>
      <c r="S758"/>
      <c r="T758" t="s">
        <v>15323</v>
      </c>
      <c r="U758" t="s">
        <v>1199</v>
      </c>
      <c r="V758" s="23">
        <v>0</v>
      </c>
      <c r="W758" s="23">
        <v>0</v>
      </c>
      <c r="X758" s="23">
        <v>0</v>
      </c>
      <c r="Y758"/>
      <c r="Z758">
        <v>1246273743</v>
      </c>
      <c r="AA758"/>
      <c r="AB758" t="s">
        <v>1199</v>
      </c>
      <c r="AC758">
        <v>102</v>
      </c>
      <c r="AD758">
        <v>4</v>
      </c>
      <c r="AE758" t="s">
        <v>15324</v>
      </c>
      <c r="AF758"/>
      <c r="AG758" s="23"/>
      <c r="AH758" s="265" t="str">
        <f>_xlfn.XLOOKUP(G758,Clientes!I:I,Clientes!F:F)</f>
        <v>FOSNOR - LUIS EDUARDO MAGALHAES</v>
      </c>
    </row>
    <row r="759" spans="1:34" x14ac:dyDescent="0.25">
      <c r="A759">
        <v>161</v>
      </c>
      <c r="B759" t="s">
        <v>145</v>
      </c>
      <c r="C759"/>
      <c r="D759" s="23">
        <v>174739.5</v>
      </c>
      <c r="E759">
        <v>10701</v>
      </c>
      <c r="F759">
        <v>11</v>
      </c>
      <c r="G759">
        <v>5300</v>
      </c>
      <c r="H759" t="s">
        <v>25</v>
      </c>
      <c r="I759" s="23">
        <v>174739.5</v>
      </c>
      <c r="J759" s="185">
        <v>46069</v>
      </c>
      <c r="K759" s="185">
        <v>46069</v>
      </c>
      <c r="L759" s="185">
        <v>46097</v>
      </c>
      <c r="M759" s="185">
        <v>46097</v>
      </c>
      <c r="N759"/>
      <c r="O759">
        <v>1010100</v>
      </c>
      <c r="P759" t="s">
        <v>29</v>
      </c>
      <c r="Q759">
        <v>200000100</v>
      </c>
      <c r="R759" t="s">
        <v>15322</v>
      </c>
      <c r="S759"/>
      <c r="T759" t="s">
        <v>15323</v>
      </c>
      <c r="U759" t="s">
        <v>1964</v>
      </c>
      <c r="V759" s="23">
        <v>0</v>
      </c>
      <c r="W759" s="23">
        <v>0</v>
      </c>
      <c r="X759" s="23">
        <v>0</v>
      </c>
      <c r="Y759"/>
      <c r="Z759">
        <v>1246263799</v>
      </c>
      <c r="AA759"/>
      <c r="AB759" t="s">
        <v>1199</v>
      </c>
      <c r="AC759">
        <v>102</v>
      </c>
      <c r="AD759">
        <v>4</v>
      </c>
      <c r="AE759" t="s">
        <v>15324</v>
      </c>
      <c r="AF759"/>
      <c r="AG759" s="23"/>
      <c r="AH759" s="265" t="str">
        <f>_xlfn.XLOOKUP(G759,Clientes!I:I,Clientes!F:F)</f>
        <v>FOSNOR - LUIS EDUARDO MAGALHAES</v>
      </c>
    </row>
    <row r="760" spans="1:34" x14ac:dyDescent="0.25">
      <c r="A760">
        <v>161</v>
      </c>
      <c r="B760" t="s">
        <v>145</v>
      </c>
      <c r="C760"/>
      <c r="D760" s="23">
        <v>175004.1</v>
      </c>
      <c r="E760">
        <v>11048</v>
      </c>
      <c r="F760">
        <v>11</v>
      </c>
      <c r="G760">
        <v>5300</v>
      </c>
      <c r="H760" t="s">
        <v>25</v>
      </c>
      <c r="I760" s="23">
        <v>175004.1</v>
      </c>
      <c r="J760" s="185">
        <v>46114</v>
      </c>
      <c r="K760" s="185">
        <v>46114</v>
      </c>
      <c r="L760" s="185">
        <v>46142</v>
      </c>
      <c r="M760" s="185">
        <v>46146</v>
      </c>
      <c r="N760"/>
      <c r="O760">
        <v>1010100</v>
      </c>
      <c r="P760" t="s">
        <v>29</v>
      </c>
      <c r="Q760">
        <v>200000100</v>
      </c>
      <c r="R760" t="s">
        <v>15322</v>
      </c>
      <c r="S760"/>
      <c r="T760" t="s">
        <v>15323</v>
      </c>
      <c r="U760" t="s">
        <v>4502</v>
      </c>
      <c r="V760" s="23">
        <v>0</v>
      </c>
      <c r="W760" s="23">
        <v>0</v>
      </c>
      <c r="X760" s="23">
        <v>0</v>
      </c>
      <c r="Y760"/>
      <c r="Z760">
        <v>1246270198</v>
      </c>
      <c r="AA760"/>
      <c r="AB760" t="s">
        <v>1199</v>
      </c>
      <c r="AC760">
        <v>102</v>
      </c>
      <c r="AD760">
        <v>4</v>
      </c>
      <c r="AE760" t="s">
        <v>15324</v>
      </c>
      <c r="AF760"/>
      <c r="AG760" s="23"/>
      <c r="AH760" s="265" t="str">
        <f>_xlfn.XLOOKUP(G760,Clientes!I:I,Clientes!F:F)</f>
        <v>FOSNOR - LUIS EDUARDO MAGALHAES</v>
      </c>
    </row>
    <row r="761" spans="1:34" x14ac:dyDescent="0.25">
      <c r="A761">
        <v>40</v>
      </c>
      <c r="B761" t="s">
        <v>155</v>
      </c>
      <c r="C761"/>
      <c r="D761" s="23">
        <v>175275.24</v>
      </c>
      <c r="E761">
        <v>11191</v>
      </c>
      <c r="F761">
        <v>11</v>
      </c>
      <c r="G761">
        <v>2680</v>
      </c>
      <c r="H761" t="s">
        <v>313</v>
      </c>
      <c r="I761" s="23">
        <v>175275.24</v>
      </c>
      <c r="J761" s="185">
        <v>46134</v>
      </c>
      <c r="K761" s="185">
        <v>46134</v>
      </c>
      <c r="L761" s="185">
        <v>46194</v>
      </c>
      <c r="M761" s="185"/>
      <c r="N761"/>
      <c r="O761">
        <v>1010200</v>
      </c>
      <c r="P761" t="s">
        <v>113</v>
      </c>
      <c r="Q761">
        <v>200000100</v>
      </c>
      <c r="R761" t="s">
        <v>15322</v>
      </c>
      <c r="S761"/>
      <c r="T761" t="s">
        <v>15323</v>
      </c>
      <c r="U761" t="s">
        <v>1199</v>
      </c>
      <c r="V761" s="23">
        <v>0</v>
      </c>
      <c r="W761" s="23">
        <v>0</v>
      </c>
      <c r="X761" s="23">
        <v>0</v>
      </c>
      <c r="Y761"/>
      <c r="Z761">
        <v>1246272069</v>
      </c>
      <c r="AA761"/>
      <c r="AB761"/>
      <c r="AC761">
        <v>125</v>
      </c>
      <c r="AD761">
        <v>4</v>
      </c>
      <c r="AE761" t="s">
        <v>15324</v>
      </c>
      <c r="AF761" t="s">
        <v>15354</v>
      </c>
      <c r="AG761" s="23">
        <v>35169</v>
      </c>
      <c r="AH761" s="265" t="str">
        <f>_xlfn.XLOOKUP(G761,Clientes!I:I,Clientes!F:F)</f>
        <v>FERMAGRI S.A - EQUADOR</v>
      </c>
    </row>
    <row r="762" spans="1:34" x14ac:dyDescent="0.25">
      <c r="A762">
        <v>161</v>
      </c>
      <c r="B762" t="s">
        <v>145</v>
      </c>
      <c r="C762"/>
      <c r="D762" s="23">
        <v>175465.7</v>
      </c>
      <c r="E762">
        <v>11007</v>
      </c>
      <c r="F762">
        <v>11</v>
      </c>
      <c r="G762">
        <v>5300</v>
      </c>
      <c r="H762" t="s">
        <v>25</v>
      </c>
      <c r="I762" s="23">
        <v>175465.7</v>
      </c>
      <c r="J762" s="185">
        <v>46111</v>
      </c>
      <c r="K762" s="185">
        <v>46111</v>
      </c>
      <c r="L762" s="185">
        <v>46139</v>
      </c>
      <c r="M762" s="185">
        <v>46139</v>
      </c>
      <c r="N762"/>
      <c r="O762">
        <v>1010100</v>
      </c>
      <c r="P762" t="s">
        <v>29</v>
      </c>
      <c r="Q762">
        <v>200000100</v>
      </c>
      <c r="R762" t="s">
        <v>15322</v>
      </c>
      <c r="S762"/>
      <c r="T762" t="s">
        <v>15323</v>
      </c>
      <c r="U762" t="s">
        <v>4502</v>
      </c>
      <c r="V762" s="23">
        <v>0</v>
      </c>
      <c r="W762" s="23">
        <v>0</v>
      </c>
      <c r="X762" s="23">
        <v>0</v>
      </c>
      <c r="Y762"/>
      <c r="Z762">
        <v>1246269610</v>
      </c>
      <c r="AA762"/>
      <c r="AB762" t="s">
        <v>1199</v>
      </c>
      <c r="AC762">
        <v>102</v>
      </c>
      <c r="AD762">
        <v>4</v>
      </c>
      <c r="AE762" t="s">
        <v>15324</v>
      </c>
      <c r="AF762"/>
      <c r="AG762" s="23"/>
      <c r="AH762" s="265" t="str">
        <f>_xlfn.XLOOKUP(G762,Clientes!I:I,Clientes!F:F)</f>
        <v>FOSNOR - LUIS EDUARDO MAGALHAES</v>
      </c>
    </row>
    <row r="763" spans="1:34" x14ac:dyDescent="0.25">
      <c r="A763">
        <v>161</v>
      </c>
      <c r="B763" t="s">
        <v>145</v>
      </c>
      <c r="C763"/>
      <c r="D763" s="23">
        <v>175523.4</v>
      </c>
      <c r="E763">
        <v>10859</v>
      </c>
      <c r="F763">
        <v>11</v>
      </c>
      <c r="G763">
        <v>5300</v>
      </c>
      <c r="H763" t="s">
        <v>25</v>
      </c>
      <c r="I763" s="23">
        <v>175523.4</v>
      </c>
      <c r="J763" s="185">
        <v>46091</v>
      </c>
      <c r="K763" s="185">
        <v>46091</v>
      </c>
      <c r="L763" s="185">
        <v>46119</v>
      </c>
      <c r="M763" s="185">
        <v>46125</v>
      </c>
      <c r="N763"/>
      <c r="O763">
        <v>1010100</v>
      </c>
      <c r="P763" t="s">
        <v>29</v>
      </c>
      <c r="Q763">
        <v>200000100</v>
      </c>
      <c r="R763" t="s">
        <v>15322</v>
      </c>
      <c r="S763"/>
      <c r="T763" t="s">
        <v>15323</v>
      </c>
      <c r="U763" t="s">
        <v>5803</v>
      </c>
      <c r="V763" s="23">
        <v>0</v>
      </c>
      <c r="W763" s="23">
        <v>0</v>
      </c>
      <c r="X763" s="23">
        <v>0</v>
      </c>
      <c r="Y763"/>
      <c r="Z763">
        <v>1246267243</v>
      </c>
      <c r="AA763"/>
      <c r="AB763" t="s">
        <v>2073</v>
      </c>
      <c r="AC763">
        <v>102</v>
      </c>
      <c r="AD763">
        <v>4</v>
      </c>
      <c r="AE763" t="s">
        <v>15324</v>
      </c>
      <c r="AF763"/>
      <c r="AG763" s="23"/>
      <c r="AH763" s="265" t="str">
        <f>_xlfn.XLOOKUP(G763,Clientes!I:I,Clientes!F:F)</f>
        <v>FOSNOR - LUIS EDUARDO MAGALHAES</v>
      </c>
    </row>
    <row r="764" spans="1:34" x14ac:dyDescent="0.25">
      <c r="A764">
        <v>161</v>
      </c>
      <c r="B764" t="s">
        <v>145</v>
      </c>
      <c r="C764"/>
      <c r="D764" s="23">
        <v>176331.2</v>
      </c>
      <c r="E764">
        <v>11469</v>
      </c>
      <c r="F764">
        <v>11</v>
      </c>
      <c r="G764">
        <v>5300</v>
      </c>
      <c r="H764" t="s">
        <v>25</v>
      </c>
      <c r="I764" s="23">
        <v>176331.2</v>
      </c>
      <c r="J764" s="185">
        <v>46164</v>
      </c>
      <c r="K764" s="185">
        <v>46164</v>
      </c>
      <c r="L764" s="185">
        <v>46192</v>
      </c>
      <c r="M764" s="185">
        <v>46195</v>
      </c>
      <c r="N764"/>
      <c r="O764">
        <v>1010100</v>
      </c>
      <c r="P764" t="s">
        <v>29</v>
      </c>
      <c r="Q764">
        <v>200000100</v>
      </c>
      <c r="R764" t="s">
        <v>15322</v>
      </c>
      <c r="S764"/>
      <c r="T764" t="s">
        <v>15323</v>
      </c>
      <c r="U764" t="s">
        <v>5803</v>
      </c>
      <c r="V764" s="23">
        <v>0</v>
      </c>
      <c r="W764" s="23">
        <v>0</v>
      </c>
      <c r="X764" s="23">
        <v>0</v>
      </c>
      <c r="Y764"/>
      <c r="Z764">
        <v>1246276241</v>
      </c>
      <c r="AA764"/>
      <c r="AB764" t="s">
        <v>1199</v>
      </c>
      <c r="AC764">
        <v>102</v>
      </c>
      <c r="AD764">
        <v>4</v>
      </c>
      <c r="AE764" t="s">
        <v>15324</v>
      </c>
      <c r="AF764"/>
      <c r="AG764" s="23"/>
      <c r="AH764" s="265" t="str">
        <f>_xlfn.XLOOKUP(G764,Clientes!I:I,Clientes!F:F)</f>
        <v>FOSNOR - LUIS EDUARDO MAGALHAES</v>
      </c>
    </row>
    <row r="765" spans="1:34" x14ac:dyDescent="0.25">
      <c r="A765">
        <v>161</v>
      </c>
      <c r="B765" t="s">
        <v>145</v>
      </c>
      <c r="C765"/>
      <c r="D765" s="23">
        <v>176750</v>
      </c>
      <c r="E765">
        <v>2712</v>
      </c>
      <c r="F765">
        <v>13</v>
      </c>
      <c r="G765">
        <v>5209</v>
      </c>
      <c r="H765" t="s">
        <v>83</v>
      </c>
      <c r="I765" s="23">
        <v>176750</v>
      </c>
      <c r="J765" s="185">
        <v>46055</v>
      </c>
      <c r="K765" s="185">
        <v>46055</v>
      </c>
      <c r="L765" s="185">
        <v>46083</v>
      </c>
      <c r="M765" s="185">
        <v>46083</v>
      </c>
      <c r="N765"/>
      <c r="O765">
        <v>1010100</v>
      </c>
      <c r="P765" t="s">
        <v>29</v>
      </c>
      <c r="Q765">
        <v>200000100</v>
      </c>
      <c r="R765" t="s">
        <v>15322</v>
      </c>
      <c r="S765"/>
      <c r="T765" t="s">
        <v>15323</v>
      </c>
      <c r="U765" t="s">
        <v>6311</v>
      </c>
      <c r="V765" s="23">
        <v>0</v>
      </c>
      <c r="W765" s="23">
        <v>0</v>
      </c>
      <c r="X765" s="23">
        <v>0</v>
      </c>
      <c r="Y765"/>
      <c r="Z765">
        <v>1246261877</v>
      </c>
      <c r="AA765"/>
      <c r="AB765" t="s">
        <v>1186</v>
      </c>
      <c r="AC765">
        <v>102</v>
      </c>
      <c r="AD765">
        <v>4</v>
      </c>
      <c r="AE765" t="s">
        <v>15324</v>
      </c>
      <c r="AF765"/>
      <c r="AG765" s="23"/>
      <c r="AH765" s="265" t="str">
        <f>_xlfn.XLOOKUP(G765,Clientes!I:I,Clientes!F:F)</f>
        <v>NUTRISOYA - CATALÃO</v>
      </c>
    </row>
    <row r="766" spans="1:34" x14ac:dyDescent="0.25">
      <c r="A766">
        <v>40</v>
      </c>
      <c r="B766" t="s">
        <v>155</v>
      </c>
      <c r="C766"/>
      <c r="D766" s="23">
        <v>177202.68</v>
      </c>
      <c r="E766">
        <v>11042</v>
      </c>
      <c r="F766">
        <v>11</v>
      </c>
      <c r="G766">
        <v>6370</v>
      </c>
      <c r="H766" t="s">
        <v>264</v>
      </c>
      <c r="I766" s="23">
        <v>177202.68</v>
      </c>
      <c r="J766" s="185">
        <v>46114</v>
      </c>
      <c r="K766" s="185">
        <v>46114</v>
      </c>
      <c r="L766" s="185">
        <v>46144</v>
      </c>
      <c r="M766" s="185">
        <v>46168</v>
      </c>
      <c r="N766"/>
      <c r="O766">
        <v>1010200</v>
      </c>
      <c r="P766" t="s">
        <v>113</v>
      </c>
      <c r="Q766">
        <v>200000100</v>
      </c>
      <c r="R766" t="s">
        <v>15322</v>
      </c>
      <c r="S766"/>
      <c r="T766" t="s">
        <v>15323</v>
      </c>
      <c r="U766" t="s">
        <v>1199</v>
      </c>
      <c r="V766" s="23">
        <v>0</v>
      </c>
      <c r="W766" s="23">
        <v>0</v>
      </c>
      <c r="X766" s="23">
        <v>0</v>
      </c>
      <c r="Y766"/>
      <c r="Z766">
        <v>1246270149</v>
      </c>
      <c r="AA766"/>
      <c r="AB766" t="s">
        <v>1199</v>
      </c>
      <c r="AC766">
        <v>125</v>
      </c>
      <c r="AD766">
        <v>4</v>
      </c>
      <c r="AE766" t="s">
        <v>15324</v>
      </c>
      <c r="AF766" t="s">
        <v>15350</v>
      </c>
      <c r="AG766" s="23">
        <v>34341.599999999999</v>
      </c>
      <c r="AH766" s="265" t="str">
        <f>_xlfn.XLOOKUP(G766,Clientes!I:I,Clientes!F:F)</f>
        <v>YTL S.A. - PARAGUAI</v>
      </c>
    </row>
    <row r="767" spans="1:34" x14ac:dyDescent="0.25">
      <c r="A767">
        <v>161</v>
      </c>
      <c r="B767" t="s">
        <v>145</v>
      </c>
      <c r="C767"/>
      <c r="D767" s="23">
        <v>177522.26</v>
      </c>
      <c r="E767">
        <v>10973</v>
      </c>
      <c r="F767">
        <v>11</v>
      </c>
      <c r="G767">
        <v>15905</v>
      </c>
      <c r="H767" t="s">
        <v>750</v>
      </c>
      <c r="I767" s="23">
        <v>177522.26</v>
      </c>
      <c r="J767" s="185">
        <v>46106</v>
      </c>
      <c r="K767" s="185">
        <v>46106</v>
      </c>
      <c r="L767" s="185">
        <v>46196</v>
      </c>
      <c r="M767" s="185">
        <v>46196</v>
      </c>
      <c r="N767"/>
      <c r="O767">
        <v>1010100</v>
      </c>
      <c r="P767" t="s">
        <v>29</v>
      </c>
      <c r="Q767">
        <v>200000200</v>
      </c>
      <c r="R767" t="s">
        <v>15377</v>
      </c>
      <c r="S767"/>
      <c r="T767" t="s">
        <v>15323</v>
      </c>
      <c r="U767" t="s">
        <v>6311</v>
      </c>
      <c r="V767" s="23">
        <v>0</v>
      </c>
      <c r="W767" s="23">
        <v>0</v>
      </c>
      <c r="X767" s="23">
        <v>0</v>
      </c>
      <c r="Y767"/>
      <c r="Z767">
        <v>1246268967</v>
      </c>
      <c r="AA767"/>
      <c r="AB767" t="s">
        <v>1186</v>
      </c>
      <c r="AC767">
        <v>102</v>
      </c>
      <c r="AD767">
        <v>4</v>
      </c>
      <c r="AE767" t="s">
        <v>15324</v>
      </c>
      <c r="AF767"/>
      <c r="AG767" s="23"/>
      <c r="AH767" s="265" t="str">
        <f>_xlfn.XLOOKUP(G767,Clientes!I:I,Clientes!F:F)</f>
        <v>ADUFÉRTIL - CAMPEVO</v>
      </c>
    </row>
    <row r="768" spans="1:34" x14ac:dyDescent="0.25">
      <c r="A768">
        <v>161</v>
      </c>
      <c r="B768" t="s">
        <v>145</v>
      </c>
      <c r="C768"/>
      <c r="D768" s="23">
        <v>177977.8</v>
      </c>
      <c r="E768">
        <v>10795</v>
      </c>
      <c r="F768">
        <v>11</v>
      </c>
      <c r="G768">
        <v>7097</v>
      </c>
      <c r="H768" t="s">
        <v>91</v>
      </c>
      <c r="I768" s="23">
        <v>177977.8</v>
      </c>
      <c r="J768" s="185">
        <v>46083</v>
      </c>
      <c r="K768" s="185">
        <v>46083</v>
      </c>
      <c r="L768" s="185">
        <v>46173</v>
      </c>
      <c r="M768" s="185">
        <v>46146</v>
      </c>
      <c r="N768"/>
      <c r="O768">
        <v>1010100</v>
      </c>
      <c r="P768" t="s">
        <v>29</v>
      </c>
      <c r="Q768">
        <v>200000100</v>
      </c>
      <c r="R768" t="s">
        <v>15322</v>
      </c>
      <c r="S768"/>
      <c r="T768" t="s">
        <v>15323</v>
      </c>
      <c r="U768" t="s">
        <v>1964</v>
      </c>
      <c r="V768" s="23">
        <v>0</v>
      </c>
      <c r="W768" s="23">
        <v>0</v>
      </c>
      <c r="X768" s="23">
        <v>0</v>
      </c>
      <c r="Y768"/>
      <c r="Z768">
        <v>1246265921</v>
      </c>
      <c r="AA768"/>
      <c r="AB768" t="s">
        <v>1199</v>
      </c>
      <c r="AC768">
        <v>102</v>
      </c>
      <c r="AD768">
        <v>4</v>
      </c>
      <c r="AE768" t="s">
        <v>15324</v>
      </c>
      <c r="AF768"/>
      <c r="AG768" s="23"/>
      <c r="AH768" s="265" t="str">
        <f>_xlfn.XLOOKUP(G768,Clientes!I:I,Clientes!F:F)</f>
        <v>GRUPO MOSAIC FERTILIZANTES DO BRASIL</v>
      </c>
    </row>
    <row r="769" spans="1:34" x14ac:dyDescent="0.25">
      <c r="A769">
        <v>161</v>
      </c>
      <c r="B769" t="s">
        <v>145</v>
      </c>
      <c r="C769"/>
      <c r="D769" s="23">
        <v>178263.6</v>
      </c>
      <c r="E769">
        <v>10715</v>
      </c>
      <c r="F769">
        <v>11</v>
      </c>
      <c r="G769">
        <v>3232</v>
      </c>
      <c r="H769" t="s">
        <v>153</v>
      </c>
      <c r="I769" s="23">
        <v>178263.6</v>
      </c>
      <c r="J769" s="185">
        <v>46071</v>
      </c>
      <c r="K769" s="185">
        <v>46071</v>
      </c>
      <c r="L769" s="185">
        <v>46101</v>
      </c>
      <c r="M769" s="185">
        <v>46105</v>
      </c>
      <c r="N769"/>
      <c r="O769">
        <v>1010100</v>
      </c>
      <c r="P769" t="s">
        <v>29</v>
      </c>
      <c r="Q769">
        <v>200000100</v>
      </c>
      <c r="R769" t="s">
        <v>15322</v>
      </c>
      <c r="S769"/>
      <c r="T769" t="s">
        <v>15323</v>
      </c>
      <c r="U769" t="s">
        <v>1964</v>
      </c>
      <c r="V769" s="23">
        <v>0</v>
      </c>
      <c r="W769" s="23">
        <v>0</v>
      </c>
      <c r="X769" s="23">
        <v>0</v>
      </c>
      <c r="Y769"/>
      <c r="Z769">
        <v>1246264002</v>
      </c>
      <c r="AA769"/>
      <c r="AB769" t="s">
        <v>1199</v>
      </c>
      <c r="AC769">
        <v>102</v>
      </c>
      <c r="AD769">
        <v>4</v>
      </c>
      <c r="AE769" t="s">
        <v>15324</v>
      </c>
      <c r="AF769"/>
      <c r="AG769" s="23"/>
      <c r="AH769" s="265" t="str">
        <f>_xlfn.XLOOKUP(G769,Clientes!I:I,Clientes!F:F)</f>
        <v>GRUPO FERTILIZ TOCANTINS</v>
      </c>
    </row>
    <row r="770" spans="1:34" x14ac:dyDescent="0.25">
      <c r="A770">
        <v>161</v>
      </c>
      <c r="B770" t="s">
        <v>145</v>
      </c>
      <c r="C770"/>
      <c r="D770" s="23">
        <v>178382.8</v>
      </c>
      <c r="E770">
        <v>10446</v>
      </c>
      <c r="F770">
        <v>11</v>
      </c>
      <c r="G770">
        <v>3232</v>
      </c>
      <c r="H770" t="s">
        <v>153</v>
      </c>
      <c r="I770" s="23">
        <v>178382.8</v>
      </c>
      <c r="J770" s="185">
        <v>46030</v>
      </c>
      <c r="K770" s="185">
        <v>46030</v>
      </c>
      <c r="L770" s="185">
        <v>46060</v>
      </c>
      <c r="M770" s="185">
        <v>46076</v>
      </c>
      <c r="N770"/>
      <c r="O770">
        <v>1010100</v>
      </c>
      <c r="P770" t="s">
        <v>29</v>
      </c>
      <c r="Q770">
        <v>200000100</v>
      </c>
      <c r="R770" t="s">
        <v>15322</v>
      </c>
      <c r="S770"/>
      <c r="T770" t="s">
        <v>15323</v>
      </c>
      <c r="U770" t="s">
        <v>1964</v>
      </c>
      <c r="V770" s="23">
        <v>0</v>
      </c>
      <c r="W770" s="23">
        <v>0</v>
      </c>
      <c r="X770" s="23">
        <v>0</v>
      </c>
      <c r="Y770"/>
      <c r="Z770">
        <v>1246258952</v>
      </c>
      <c r="AA770"/>
      <c r="AB770" t="s">
        <v>1199</v>
      </c>
      <c r="AC770">
        <v>102</v>
      </c>
      <c r="AD770">
        <v>4</v>
      </c>
      <c r="AE770" t="s">
        <v>15324</v>
      </c>
      <c r="AF770"/>
      <c r="AG770" s="23"/>
      <c r="AH770" s="265" t="str">
        <f>_xlfn.XLOOKUP(G770,Clientes!I:I,Clientes!F:F)</f>
        <v>GRUPO FERTILIZ TOCANTINS</v>
      </c>
    </row>
    <row r="771" spans="1:34" x14ac:dyDescent="0.25">
      <c r="A771">
        <v>161</v>
      </c>
      <c r="B771" t="s">
        <v>145</v>
      </c>
      <c r="C771"/>
      <c r="D771" s="23">
        <v>178561.9</v>
      </c>
      <c r="E771">
        <v>11082</v>
      </c>
      <c r="F771">
        <v>11</v>
      </c>
      <c r="G771">
        <v>11724</v>
      </c>
      <c r="H771" t="s">
        <v>107</v>
      </c>
      <c r="I771" s="23">
        <v>178561.9</v>
      </c>
      <c r="J771" s="185">
        <v>46121</v>
      </c>
      <c r="K771" s="185">
        <v>46121</v>
      </c>
      <c r="L771" s="185">
        <v>46183</v>
      </c>
      <c r="M771" s="185">
        <v>46183</v>
      </c>
      <c r="N771"/>
      <c r="O771">
        <v>1010100</v>
      </c>
      <c r="P771" t="s">
        <v>29</v>
      </c>
      <c r="Q771">
        <v>200000100</v>
      </c>
      <c r="R771" t="s">
        <v>15322</v>
      </c>
      <c r="S771"/>
      <c r="T771" t="s">
        <v>15323</v>
      </c>
      <c r="U771" t="s">
        <v>6311</v>
      </c>
      <c r="V771" s="23">
        <v>0</v>
      </c>
      <c r="W771" s="23">
        <v>0</v>
      </c>
      <c r="X771" s="23">
        <v>0</v>
      </c>
      <c r="Y771"/>
      <c r="Z771">
        <v>1246270926</v>
      </c>
      <c r="AA771"/>
      <c r="AB771" t="s">
        <v>1186</v>
      </c>
      <c r="AC771">
        <v>102</v>
      </c>
      <c r="AD771">
        <v>4</v>
      </c>
      <c r="AE771" t="s">
        <v>15324</v>
      </c>
      <c r="AF771"/>
      <c r="AG771" s="23"/>
      <c r="AH771" s="265" t="str">
        <f>_xlfn.XLOOKUP(G771,Clientes!I:I,Clientes!F:F)</f>
        <v>GRUPO HINOVE</v>
      </c>
    </row>
    <row r="772" spans="1:34" x14ac:dyDescent="0.25">
      <c r="A772">
        <v>161</v>
      </c>
      <c r="B772" t="s">
        <v>145</v>
      </c>
      <c r="C772"/>
      <c r="D772" s="23">
        <v>179396</v>
      </c>
      <c r="E772">
        <v>10635</v>
      </c>
      <c r="F772">
        <v>11</v>
      </c>
      <c r="G772">
        <v>3232</v>
      </c>
      <c r="H772" t="s">
        <v>153</v>
      </c>
      <c r="I772" s="23">
        <v>179396</v>
      </c>
      <c r="J772" s="185">
        <v>46056</v>
      </c>
      <c r="K772" s="185">
        <v>46056</v>
      </c>
      <c r="L772" s="185">
        <v>46086</v>
      </c>
      <c r="M772" s="185">
        <v>46105</v>
      </c>
      <c r="N772"/>
      <c r="O772">
        <v>1010100</v>
      </c>
      <c r="P772" t="s">
        <v>29</v>
      </c>
      <c r="Q772">
        <v>200000100</v>
      </c>
      <c r="R772" t="s">
        <v>15322</v>
      </c>
      <c r="S772"/>
      <c r="T772" t="s">
        <v>15323</v>
      </c>
      <c r="U772" t="s">
        <v>4468</v>
      </c>
      <c r="V772" s="23">
        <v>0</v>
      </c>
      <c r="W772" s="23">
        <v>0</v>
      </c>
      <c r="X772" s="23">
        <v>0</v>
      </c>
      <c r="Y772"/>
      <c r="Z772">
        <v>1246262195</v>
      </c>
      <c r="AA772"/>
      <c r="AB772" t="s">
        <v>1199</v>
      </c>
      <c r="AC772">
        <v>102</v>
      </c>
      <c r="AD772">
        <v>4</v>
      </c>
      <c r="AE772" t="s">
        <v>15324</v>
      </c>
      <c r="AF772"/>
      <c r="AG772" s="23"/>
      <c r="AH772" s="265" t="str">
        <f>_xlfn.XLOOKUP(G772,Clientes!I:I,Clientes!F:F)</f>
        <v>GRUPO FERTILIZ TOCANTINS</v>
      </c>
    </row>
    <row r="773" spans="1:34" x14ac:dyDescent="0.25">
      <c r="A773">
        <v>161</v>
      </c>
      <c r="B773" t="s">
        <v>145</v>
      </c>
      <c r="C773"/>
      <c r="D773" s="23">
        <v>179396</v>
      </c>
      <c r="E773">
        <v>10549</v>
      </c>
      <c r="F773">
        <v>11</v>
      </c>
      <c r="G773">
        <v>3232</v>
      </c>
      <c r="H773" t="s">
        <v>153</v>
      </c>
      <c r="I773" s="23">
        <v>179396</v>
      </c>
      <c r="J773" s="185">
        <v>46044</v>
      </c>
      <c r="K773" s="185">
        <v>46044</v>
      </c>
      <c r="L773" s="185">
        <v>46074</v>
      </c>
      <c r="M773" s="185">
        <v>46078</v>
      </c>
      <c r="N773"/>
      <c r="O773">
        <v>1010100</v>
      </c>
      <c r="P773" t="s">
        <v>29</v>
      </c>
      <c r="Q773">
        <v>200000100</v>
      </c>
      <c r="R773" t="s">
        <v>15322</v>
      </c>
      <c r="S773"/>
      <c r="T773" t="s">
        <v>15323</v>
      </c>
      <c r="U773" t="s">
        <v>2246</v>
      </c>
      <c r="V773" s="23">
        <v>0</v>
      </c>
      <c r="W773" s="23">
        <v>0</v>
      </c>
      <c r="X773" s="23">
        <v>0</v>
      </c>
      <c r="Y773"/>
      <c r="Z773">
        <v>1246260454</v>
      </c>
      <c r="AA773"/>
      <c r="AB773" t="s">
        <v>1199</v>
      </c>
      <c r="AC773">
        <v>102</v>
      </c>
      <c r="AD773">
        <v>4</v>
      </c>
      <c r="AE773" t="s">
        <v>15324</v>
      </c>
      <c r="AF773"/>
      <c r="AG773" s="23"/>
      <c r="AH773" s="265" t="str">
        <f>_xlfn.XLOOKUP(G773,Clientes!I:I,Clientes!F:F)</f>
        <v>GRUPO FERTILIZ TOCANTINS</v>
      </c>
    </row>
    <row r="774" spans="1:34" x14ac:dyDescent="0.25">
      <c r="A774">
        <v>161</v>
      </c>
      <c r="B774" t="s">
        <v>145</v>
      </c>
      <c r="C774"/>
      <c r="D774" s="23">
        <v>179580.2</v>
      </c>
      <c r="E774">
        <v>10628</v>
      </c>
      <c r="F774">
        <v>11</v>
      </c>
      <c r="G774">
        <v>11724</v>
      </c>
      <c r="H774" t="s">
        <v>107</v>
      </c>
      <c r="I774" s="23">
        <v>179580.2</v>
      </c>
      <c r="J774" s="185">
        <v>46056</v>
      </c>
      <c r="K774" s="185">
        <v>46056</v>
      </c>
      <c r="L774" s="185">
        <v>46122</v>
      </c>
      <c r="M774" s="185">
        <v>46122</v>
      </c>
      <c r="N774"/>
      <c r="O774">
        <v>1010100</v>
      </c>
      <c r="P774" t="s">
        <v>29</v>
      </c>
      <c r="Q774">
        <v>200000100</v>
      </c>
      <c r="R774" t="s">
        <v>15322</v>
      </c>
      <c r="S774"/>
      <c r="T774" t="s">
        <v>15323</v>
      </c>
      <c r="U774" t="s">
        <v>6311</v>
      </c>
      <c r="V774" s="23">
        <v>0</v>
      </c>
      <c r="W774" s="23">
        <v>0</v>
      </c>
      <c r="X774" s="23">
        <v>0</v>
      </c>
      <c r="Y774"/>
      <c r="Z774">
        <v>1246262079</v>
      </c>
      <c r="AA774"/>
      <c r="AB774" t="s">
        <v>2073</v>
      </c>
      <c r="AC774">
        <v>102</v>
      </c>
      <c r="AD774">
        <v>4</v>
      </c>
      <c r="AE774" t="s">
        <v>15324</v>
      </c>
      <c r="AF774"/>
      <c r="AG774" s="23"/>
      <c r="AH774" s="265" t="str">
        <f>_xlfn.XLOOKUP(G774,Clientes!I:I,Clientes!F:F)</f>
        <v>GRUPO HINOVE</v>
      </c>
    </row>
    <row r="775" spans="1:34" x14ac:dyDescent="0.25">
      <c r="A775">
        <v>161</v>
      </c>
      <c r="B775" t="s">
        <v>145</v>
      </c>
      <c r="C775"/>
      <c r="D775" s="23">
        <v>179634.4</v>
      </c>
      <c r="E775">
        <v>10613</v>
      </c>
      <c r="F775">
        <v>11</v>
      </c>
      <c r="G775">
        <v>2133</v>
      </c>
      <c r="H775" t="s">
        <v>260</v>
      </c>
      <c r="I775" s="23">
        <v>179634.4</v>
      </c>
      <c r="J775" s="185">
        <v>46052</v>
      </c>
      <c r="K775" s="185">
        <v>46052</v>
      </c>
      <c r="L775" s="185">
        <v>46080</v>
      </c>
      <c r="M775" s="185">
        <v>46080</v>
      </c>
      <c r="N775"/>
      <c r="O775">
        <v>1010100</v>
      </c>
      <c r="P775" t="s">
        <v>29</v>
      </c>
      <c r="Q775">
        <v>200000100</v>
      </c>
      <c r="R775" t="s">
        <v>15322</v>
      </c>
      <c r="S775"/>
      <c r="T775" t="s">
        <v>15323</v>
      </c>
      <c r="U775" t="s">
        <v>5803</v>
      </c>
      <c r="V775" s="23">
        <v>0</v>
      </c>
      <c r="W775" s="23">
        <v>0</v>
      </c>
      <c r="X775" s="23">
        <v>0</v>
      </c>
      <c r="Y775"/>
      <c r="Z775">
        <v>1246261737</v>
      </c>
      <c r="AA775"/>
      <c r="AB775" t="s">
        <v>1199</v>
      </c>
      <c r="AC775">
        <v>102</v>
      </c>
      <c r="AD775">
        <v>4</v>
      </c>
      <c r="AE775" t="s">
        <v>15324</v>
      </c>
      <c r="AF775"/>
      <c r="AG775" s="23"/>
      <c r="AH775" s="265" t="str">
        <f>_xlfn.XLOOKUP(G775,Clientes!I:I,Clientes!F:F)</f>
        <v>GRUPO FERTIPAR FERTILIZANTES PARANA</v>
      </c>
    </row>
    <row r="776" spans="1:34" x14ac:dyDescent="0.25">
      <c r="A776">
        <v>161</v>
      </c>
      <c r="B776" t="s">
        <v>145</v>
      </c>
      <c r="C776"/>
      <c r="D776" s="23">
        <v>179879.7</v>
      </c>
      <c r="E776">
        <v>10467</v>
      </c>
      <c r="F776">
        <v>11</v>
      </c>
      <c r="G776">
        <v>11724</v>
      </c>
      <c r="H776" t="s">
        <v>107</v>
      </c>
      <c r="I776" s="23">
        <v>179879.7</v>
      </c>
      <c r="J776" s="185">
        <v>46034</v>
      </c>
      <c r="K776" s="185">
        <v>46034</v>
      </c>
      <c r="L776" s="185">
        <v>46106</v>
      </c>
      <c r="M776" s="185">
        <v>46106</v>
      </c>
      <c r="N776"/>
      <c r="O776">
        <v>1010100</v>
      </c>
      <c r="P776" t="s">
        <v>29</v>
      </c>
      <c r="Q776">
        <v>200000100</v>
      </c>
      <c r="R776" t="s">
        <v>15322</v>
      </c>
      <c r="S776"/>
      <c r="T776" t="s">
        <v>15323</v>
      </c>
      <c r="U776" t="s">
        <v>6311</v>
      </c>
      <c r="V776" s="23">
        <v>0</v>
      </c>
      <c r="W776" s="23">
        <v>0</v>
      </c>
      <c r="X776" s="23">
        <v>0</v>
      </c>
      <c r="Y776"/>
      <c r="Z776">
        <v>1246259207</v>
      </c>
      <c r="AA776"/>
      <c r="AB776" t="s">
        <v>1186</v>
      </c>
      <c r="AC776">
        <v>102</v>
      </c>
      <c r="AD776">
        <v>4</v>
      </c>
      <c r="AE776" t="s">
        <v>15324</v>
      </c>
      <c r="AF776"/>
      <c r="AG776" s="23"/>
      <c r="AH776" s="265" t="str">
        <f>_xlfn.XLOOKUP(G776,Clientes!I:I,Clientes!F:F)</f>
        <v>GRUPO HINOVE</v>
      </c>
    </row>
    <row r="777" spans="1:34" x14ac:dyDescent="0.25">
      <c r="A777">
        <v>40</v>
      </c>
      <c r="B777" t="s">
        <v>155</v>
      </c>
      <c r="C777"/>
      <c r="D777" s="23">
        <v>180350.34</v>
      </c>
      <c r="E777">
        <v>10933</v>
      </c>
      <c r="F777">
        <v>11</v>
      </c>
      <c r="G777">
        <v>6370</v>
      </c>
      <c r="H777" t="s">
        <v>264</v>
      </c>
      <c r="I777" s="23">
        <v>180350.34</v>
      </c>
      <c r="J777" s="185">
        <v>46100</v>
      </c>
      <c r="K777" s="185">
        <v>46100</v>
      </c>
      <c r="L777" s="185">
        <v>46130</v>
      </c>
      <c r="M777" s="185">
        <v>46139</v>
      </c>
      <c r="N777"/>
      <c r="O777">
        <v>1010200</v>
      </c>
      <c r="P777" t="s">
        <v>113</v>
      </c>
      <c r="Q777">
        <v>200000100</v>
      </c>
      <c r="R777" t="s">
        <v>15322</v>
      </c>
      <c r="S777"/>
      <c r="T777" t="s">
        <v>15323</v>
      </c>
      <c r="U777" t="s">
        <v>1199</v>
      </c>
      <c r="V777" s="23">
        <v>0</v>
      </c>
      <c r="W777" s="23">
        <v>0</v>
      </c>
      <c r="X777" s="23">
        <v>0</v>
      </c>
      <c r="Y777"/>
      <c r="Z777">
        <v>1246268448</v>
      </c>
      <c r="AA777"/>
      <c r="AB777" t="s">
        <v>1199</v>
      </c>
      <c r="AC777">
        <v>125</v>
      </c>
      <c r="AD777">
        <v>4</v>
      </c>
      <c r="AE777" t="s">
        <v>15324</v>
      </c>
      <c r="AF777" t="s">
        <v>15376</v>
      </c>
      <c r="AG777" s="23">
        <v>34612.199999999997</v>
      </c>
      <c r="AH777" s="265" t="str">
        <f>_xlfn.XLOOKUP(G777,Clientes!I:I,Clientes!F:F)</f>
        <v>YTL S.A. - PARAGUAI</v>
      </c>
    </row>
    <row r="778" spans="1:34" x14ac:dyDescent="0.25">
      <c r="A778">
        <v>161</v>
      </c>
      <c r="B778" t="s">
        <v>145</v>
      </c>
      <c r="C778"/>
      <c r="D778" s="23">
        <v>180359.2</v>
      </c>
      <c r="E778">
        <v>11612</v>
      </c>
      <c r="F778">
        <v>11</v>
      </c>
      <c r="G778">
        <v>2133</v>
      </c>
      <c r="H778" t="s">
        <v>260</v>
      </c>
      <c r="I778" s="23">
        <v>180359.2</v>
      </c>
      <c r="J778" s="185">
        <v>46178</v>
      </c>
      <c r="K778" s="185">
        <v>46178</v>
      </c>
      <c r="L778" s="185">
        <v>46206</v>
      </c>
      <c r="M778" s="185"/>
      <c r="N778"/>
      <c r="O778">
        <v>1010100</v>
      </c>
      <c r="P778" t="s">
        <v>29</v>
      </c>
      <c r="Q778">
        <v>200000100</v>
      </c>
      <c r="R778" t="s">
        <v>15322</v>
      </c>
      <c r="S778"/>
      <c r="T778" t="s">
        <v>15323</v>
      </c>
      <c r="U778" t="s">
        <v>4502</v>
      </c>
      <c r="V778" s="23">
        <v>0</v>
      </c>
      <c r="W778" s="23">
        <v>0</v>
      </c>
      <c r="X778" s="23">
        <v>0</v>
      </c>
      <c r="Y778"/>
      <c r="Z778">
        <v>1246278378</v>
      </c>
      <c r="AA778"/>
      <c r="AB778"/>
      <c r="AC778">
        <v>102</v>
      </c>
      <c r="AD778">
        <v>4</v>
      </c>
      <c r="AE778" t="s">
        <v>15324</v>
      </c>
      <c r="AF778"/>
      <c r="AG778" s="23"/>
      <c r="AH778" s="265" t="str">
        <f>_xlfn.XLOOKUP(G778,Clientes!I:I,Clientes!F:F)</f>
        <v>GRUPO FERTIPAR FERTILIZANTES PARANA</v>
      </c>
    </row>
    <row r="779" spans="1:34" x14ac:dyDescent="0.25">
      <c r="A779">
        <v>161</v>
      </c>
      <c r="B779" t="s">
        <v>145</v>
      </c>
      <c r="C779"/>
      <c r="D779" s="23">
        <v>180596</v>
      </c>
      <c r="E779">
        <v>11548</v>
      </c>
      <c r="F779">
        <v>11</v>
      </c>
      <c r="G779">
        <v>3232</v>
      </c>
      <c r="H779" t="s">
        <v>153</v>
      </c>
      <c r="I779" s="23">
        <v>180596</v>
      </c>
      <c r="J779" s="185">
        <v>46171</v>
      </c>
      <c r="K779" s="185">
        <v>46171</v>
      </c>
      <c r="L779" s="185">
        <v>46231</v>
      </c>
      <c r="M779" s="185"/>
      <c r="N779"/>
      <c r="O779">
        <v>1010100</v>
      </c>
      <c r="P779" t="s">
        <v>29</v>
      </c>
      <c r="Q779">
        <v>200000100</v>
      </c>
      <c r="R779" t="s">
        <v>15322</v>
      </c>
      <c r="S779"/>
      <c r="T779" t="s">
        <v>15323</v>
      </c>
      <c r="U779" t="s">
        <v>4502</v>
      </c>
      <c r="V779" s="23">
        <v>0</v>
      </c>
      <c r="W779" s="23">
        <v>0</v>
      </c>
      <c r="X779" s="23">
        <v>0</v>
      </c>
      <c r="Y779"/>
      <c r="Z779">
        <v>1246277369</v>
      </c>
      <c r="AA779"/>
      <c r="AB779"/>
      <c r="AC779">
        <v>102</v>
      </c>
      <c r="AD779">
        <v>4</v>
      </c>
      <c r="AE779" t="s">
        <v>15324</v>
      </c>
      <c r="AF779"/>
      <c r="AG779" s="23"/>
      <c r="AH779" s="265" t="str">
        <f>_xlfn.XLOOKUP(G779,Clientes!I:I,Clientes!F:F)</f>
        <v>GRUPO FERTILIZ TOCANTINS</v>
      </c>
    </row>
    <row r="780" spans="1:34" x14ac:dyDescent="0.25">
      <c r="A780">
        <v>40</v>
      </c>
      <c r="B780" t="s">
        <v>155</v>
      </c>
      <c r="C780"/>
      <c r="D780" s="23">
        <v>180607.46</v>
      </c>
      <c r="E780">
        <v>10898</v>
      </c>
      <c r="F780">
        <v>11</v>
      </c>
      <c r="G780">
        <v>6370</v>
      </c>
      <c r="H780" t="s">
        <v>264</v>
      </c>
      <c r="I780" s="23">
        <v>180607.46</v>
      </c>
      <c r="J780" s="185">
        <v>46097</v>
      </c>
      <c r="K780" s="185">
        <v>46097</v>
      </c>
      <c r="L780" s="185">
        <v>46127</v>
      </c>
      <c r="M780" s="185">
        <v>46139</v>
      </c>
      <c r="N780"/>
      <c r="O780">
        <v>1010200</v>
      </c>
      <c r="P780" t="s">
        <v>113</v>
      </c>
      <c r="Q780">
        <v>200000100</v>
      </c>
      <c r="R780" t="s">
        <v>15322</v>
      </c>
      <c r="S780"/>
      <c r="T780" t="s">
        <v>15323</v>
      </c>
      <c r="U780" t="s">
        <v>1199</v>
      </c>
      <c r="V780" s="23">
        <v>0</v>
      </c>
      <c r="W780" s="23">
        <v>0</v>
      </c>
      <c r="X780" s="23">
        <v>0</v>
      </c>
      <c r="Y780"/>
      <c r="Z780">
        <v>1246267940</v>
      </c>
      <c r="AA780"/>
      <c r="AB780" t="s">
        <v>1199</v>
      </c>
      <c r="AC780">
        <v>125</v>
      </c>
      <c r="AD780">
        <v>4</v>
      </c>
      <c r="AE780" t="s">
        <v>15324</v>
      </c>
      <c r="AF780" t="s">
        <v>15368</v>
      </c>
      <c r="AG780" s="23">
        <v>34378.5</v>
      </c>
      <c r="AH780" s="265" t="str">
        <f>_xlfn.XLOOKUP(G780,Clientes!I:I,Clientes!F:F)</f>
        <v>YTL S.A. - PARAGUAI</v>
      </c>
    </row>
    <row r="781" spans="1:34" x14ac:dyDescent="0.25">
      <c r="A781">
        <v>161</v>
      </c>
      <c r="B781" t="s">
        <v>145</v>
      </c>
      <c r="C781"/>
      <c r="D781" s="23">
        <v>180898</v>
      </c>
      <c r="E781">
        <v>11694</v>
      </c>
      <c r="F781">
        <v>11</v>
      </c>
      <c r="G781">
        <v>3232</v>
      </c>
      <c r="H781" t="s">
        <v>153</v>
      </c>
      <c r="I781" s="23">
        <v>180898</v>
      </c>
      <c r="J781" s="185">
        <v>46185</v>
      </c>
      <c r="K781" s="185">
        <v>46185</v>
      </c>
      <c r="L781" s="185">
        <v>46245</v>
      </c>
      <c r="M781" s="185"/>
      <c r="N781"/>
      <c r="O781">
        <v>1010100</v>
      </c>
      <c r="P781" t="s">
        <v>29</v>
      </c>
      <c r="Q781">
        <v>200000100</v>
      </c>
      <c r="R781" t="s">
        <v>15322</v>
      </c>
      <c r="S781"/>
      <c r="T781" t="s">
        <v>15323</v>
      </c>
      <c r="U781" t="s">
        <v>4502</v>
      </c>
      <c r="V781" s="23">
        <v>0</v>
      </c>
      <c r="W781" s="23">
        <v>0</v>
      </c>
      <c r="X781" s="23">
        <v>0</v>
      </c>
      <c r="Y781"/>
      <c r="Z781">
        <v>1246279367</v>
      </c>
      <c r="AA781"/>
      <c r="AB781"/>
      <c r="AC781">
        <v>102</v>
      </c>
      <c r="AD781">
        <v>4</v>
      </c>
      <c r="AE781" t="s">
        <v>15324</v>
      </c>
      <c r="AF781"/>
      <c r="AG781" s="23"/>
      <c r="AH781" s="265" t="str">
        <f>_xlfn.XLOOKUP(G781,Clientes!I:I,Clientes!F:F)</f>
        <v>GRUPO FERTILIZ TOCANTINS</v>
      </c>
    </row>
    <row r="782" spans="1:34" x14ac:dyDescent="0.25">
      <c r="A782">
        <v>161</v>
      </c>
      <c r="B782" t="s">
        <v>145</v>
      </c>
      <c r="C782"/>
      <c r="D782" s="23">
        <v>181079.2</v>
      </c>
      <c r="E782">
        <v>11625</v>
      </c>
      <c r="F782">
        <v>11</v>
      </c>
      <c r="G782">
        <v>3232</v>
      </c>
      <c r="H782" t="s">
        <v>153</v>
      </c>
      <c r="I782" s="23">
        <v>181079.2</v>
      </c>
      <c r="J782" s="185">
        <v>46178</v>
      </c>
      <c r="K782" s="185">
        <v>46178</v>
      </c>
      <c r="L782" s="185">
        <v>46238</v>
      </c>
      <c r="M782" s="185"/>
      <c r="N782"/>
      <c r="O782">
        <v>1010100</v>
      </c>
      <c r="P782" t="s">
        <v>29</v>
      </c>
      <c r="Q782">
        <v>200000100</v>
      </c>
      <c r="R782" t="s">
        <v>15322</v>
      </c>
      <c r="S782"/>
      <c r="T782" t="s">
        <v>15323</v>
      </c>
      <c r="U782" t="s">
        <v>4502</v>
      </c>
      <c r="V782" s="23">
        <v>0</v>
      </c>
      <c r="W782" s="23">
        <v>0</v>
      </c>
      <c r="X782" s="23">
        <v>0</v>
      </c>
      <c r="Y782"/>
      <c r="Z782">
        <v>1246278422</v>
      </c>
      <c r="AA782"/>
      <c r="AB782"/>
      <c r="AC782">
        <v>102</v>
      </c>
      <c r="AD782">
        <v>4</v>
      </c>
      <c r="AE782" t="s">
        <v>15324</v>
      </c>
      <c r="AF782"/>
      <c r="AG782" s="23"/>
      <c r="AH782" s="265" t="str">
        <f>_xlfn.XLOOKUP(G782,Clientes!I:I,Clientes!F:F)</f>
        <v>GRUPO FERTILIZ TOCANTINS</v>
      </c>
    </row>
    <row r="783" spans="1:34" x14ac:dyDescent="0.25">
      <c r="A783">
        <v>161</v>
      </c>
      <c r="B783" t="s">
        <v>145</v>
      </c>
      <c r="C783"/>
      <c r="D783" s="23">
        <v>181231</v>
      </c>
      <c r="E783">
        <v>11276</v>
      </c>
      <c r="F783">
        <v>11</v>
      </c>
      <c r="G783">
        <v>7302</v>
      </c>
      <c r="H783" t="s">
        <v>93</v>
      </c>
      <c r="I783" s="23">
        <v>181231</v>
      </c>
      <c r="J783" s="185">
        <v>46142</v>
      </c>
      <c r="K783" s="185">
        <v>46142</v>
      </c>
      <c r="L783" s="185">
        <v>46232</v>
      </c>
      <c r="M783" s="185"/>
      <c r="N783"/>
      <c r="O783">
        <v>1010100</v>
      </c>
      <c r="P783" t="s">
        <v>29</v>
      </c>
      <c r="Q783">
        <v>200000100</v>
      </c>
      <c r="R783" t="s">
        <v>15322</v>
      </c>
      <c r="S783"/>
      <c r="T783" t="s">
        <v>15323</v>
      </c>
      <c r="U783" t="s">
        <v>5803</v>
      </c>
      <c r="V783" s="23">
        <v>0</v>
      </c>
      <c r="W783" s="23">
        <v>0</v>
      </c>
      <c r="X783" s="23">
        <v>0</v>
      </c>
      <c r="Y783"/>
      <c r="Z783">
        <v>1246273299</v>
      </c>
      <c r="AA783"/>
      <c r="AB783"/>
      <c r="AC783">
        <v>102</v>
      </c>
      <c r="AD783">
        <v>4</v>
      </c>
      <c r="AE783" t="s">
        <v>15324</v>
      </c>
      <c r="AF783"/>
      <c r="AG783" s="23"/>
      <c r="AH783" s="265" t="str">
        <f>_xlfn.XLOOKUP(G783,Clientes!I:I,Clientes!F:F)</f>
        <v>GRUPO MOSAIC FERTILIZANTES DO BRASIL</v>
      </c>
    </row>
    <row r="784" spans="1:34" x14ac:dyDescent="0.25">
      <c r="A784">
        <v>161</v>
      </c>
      <c r="B784" t="s">
        <v>145</v>
      </c>
      <c r="C784"/>
      <c r="D784" s="23">
        <v>181963</v>
      </c>
      <c r="E784">
        <v>11674</v>
      </c>
      <c r="F784">
        <v>11</v>
      </c>
      <c r="G784">
        <v>6477</v>
      </c>
      <c r="H784" t="s">
        <v>87</v>
      </c>
      <c r="I784" s="23">
        <v>181963</v>
      </c>
      <c r="J784" s="185">
        <v>46183</v>
      </c>
      <c r="K784" s="185">
        <v>46183</v>
      </c>
      <c r="L784" s="185">
        <v>46273</v>
      </c>
      <c r="M784" s="185"/>
      <c r="N784"/>
      <c r="O784">
        <v>1010100</v>
      </c>
      <c r="P784" t="s">
        <v>29</v>
      </c>
      <c r="Q784">
        <v>200000100</v>
      </c>
      <c r="R784" t="s">
        <v>15322</v>
      </c>
      <c r="S784"/>
      <c r="T784" t="s">
        <v>15323</v>
      </c>
      <c r="U784" t="s">
        <v>5803</v>
      </c>
      <c r="V784" s="23">
        <v>0</v>
      </c>
      <c r="W784" s="23">
        <v>0</v>
      </c>
      <c r="X784" s="23">
        <v>0</v>
      </c>
      <c r="Y784"/>
      <c r="Z784">
        <v>1246279053</v>
      </c>
      <c r="AA784"/>
      <c r="AB784"/>
      <c r="AC784">
        <v>102</v>
      </c>
      <c r="AD784">
        <v>4</v>
      </c>
      <c r="AE784" t="s">
        <v>15324</v>
      </c>
      <c r="AF784"/>
      <c r="AG784" s="23"/>
      <c r="AH784" s="265" t="str">
        <f>_xlfn.XLOOKUP(G784,Clientes!I:I,Clientes!F:F)</f>
        <v>GRUPO MOSAIC FERTILIZANTES DO BRASIL</v>
      </c>
    </row>
    <row r="785" spans="1:34" x14ac:dyDescent="0.25">
      <c r="A785">
        <v>40</v>
      </c>
      <c r="B785" t="s">
        <v>155</v>
      </c>
      <c r="C785"/>
      <c r="D785" s="23">
        <v>182132.1</v>
      </c>
      <c r="E785">
        <v>10489</v>
      </c>
      <c r="F785">
        <v>11</v>
      </c>
      <c r="G785">
        <v>13330</v>
      </c>
      <c r="H785" t="s">
        <v>579</v>
      </c>
      <c r="I785" s="23">
        <v>182132.1</v>
      </c>
      <c r="J785" s="185">
        <v>46036</v>
      </c>
      <c r="K785" s="185">
        <v>46036</v>
      </c>
      <c r="L785" s="185">
        <v>46066</v>
      </c>
      <c r="M785" s="185">
        <v>46066</v>
      </c>
      <c r="N785"/>
      <c r="O785">
        <v>1010200</v>
      </c>
      <c r="P785" t="s">
        <v>113</v>
      </c>
      <c r="Q785">
        <v>200000100</v>
      </c>
      <c r="R785" t="s">
        <v>15322</v>
      </c>
      <c r="S785"/>
      <c r="T785" t="s">
        <v>15323</v>
      </c>
      <c r="U785" t="s">
        <v>1199</v>
      </c>
      <c r="V785" s="23">
        <v>0</v>
      </c>
      <c r="W785" s="23">
        <v>0</v>
      </c>
      <c r="X785" s="23">
        <v>0</v>
      </c>
      <c r="Y785"/>
      <c r="Z785">
        <v>1246259480</v>
      </c>
      <c r="AA785"/>
      <c r="AB785" t="s">
        <v>1199</v>
      </c>
      <c r="AC785">
        <v>18</v>
      </c>
      <c r="AD785">
        <v>4</v>
      </c>
      <c r="AE785" t="s">
        <v>15324</v>
      </c>
      <c r="AF785" t="s">
        <v>15329</v>
      </c>
      <c r="AG785" s="23">
        <v>34412.400000000001</v>
      </c>
      <c r="AH785" s="265" t="str">
        <f>_xlfn.XLOOKUP(G785,Clientes!I:I,Clientes!F:F)</f>
        <v>ORGANITEC - PARAGUAY</v>
      </c>
    </row>
    <row r="786" spans="1:34" x14ac:dyDescent="0.25">
      <c r="A786">
        <v>161</v>
      </c>
      <c r="B786" t="s">
        <v>145</v>
      </c>
      <c r="C786"/>
      <c r="D786" s="23">
        <v>182408</v>
      </c>
      <c r="E786">
        <v>11656</v>
      </c>
      <c r="F786">
        <v>11</v>
      </c>
      <c r="G786">
        <v>3232</v>
      </c>
      <c r="H786" t="s">
        <v>153</v>
      </c>
      <c r="I786" s="23">
        <v>182408</v>
      </c>
      <c r="J786" s="185">
        <v>46182</v>
      </c>
      <c r="K786" s="185">
        <v>46182</v>
      </c>
      <c r="L786" s="185">
        <v>46242</v>
      </c>
      <c r="M786" s="185"/>
      <c r="N786"/>
      <c r="O786">
        <v>1010100</v>
      </c>
      <c r="P786" t="s">
        <v>29</v>
      </c>
      <c r="Q786">
        <v>200000100</v>
      </c>
      <c r="R786" t="s">
        <v>15322</v>
      </c>
      <c r="S786"/>
      <c r="T786" t="s">
        <v>15323</v>
      </c>
      <c r="U786" t="s">
        <v>1530</v>
      </c>
      <c r="V786" s="23">
        <v>0</v>
      </c>
      <c r="W786" s="23">
        <v>0</v>
      </c>
      <c r="X786" s="23">
        <v>0</v>
      </c>
      <c r="Y786"/>
      <c r="Z786">
        <v>1246278725</v>
      </c>
      <c r="AA786"/>
      <c r="AB786"/>
      <c r="AC786">
        <v>102</v>
      </c>
      <c r="AD786">
        <v>4</v>
      </c>
      <c r="AE786" t="s">
        <v>15324</v>
      </c>
      <c r="AF786"/>
      <c r="AG786" s="23"/>
      <c r="AH786" s="265" t="str">
        <f>_xlfn.XLOOKUP(G786,Clientes!I:I,Clientes!F:F)</f>
        <v>GRUPO FERTILIZ TOCANTINS</v>
      </c>
    </row>
    <row r="787" spans="1:34" x14ac:dyDescent="0.25">
      <c r="A787">
        <v>161</v>
      </c>
      <c r="B787" t="s">
        <v>145</v>
      </c>
      <c r="C787"/>
      <c r="D787" s="23">
        <v>183427</v>
      </c>
      <c r="E787">
        <v>11314</v>
      </c>
      <c r="F787">
        <v>11</v>
      </c>
      <c r="G787">
        <v>6477</v>
      </c>
      <c r="H787" t="s">
        <v>87</v>
      </c>
      <c r="I787" s="23">
        <v>183427</v>
      </c>
      <c r="J787" s="185">
        <v>46148</v>
      </c>
      <c r="K787" s="185">
        <v>46148</v>
      </c>
      <c r="L787" s="185">
        <v>46238</v>
      </c>
      <c r="M787" s="185"/>
      <c r="N787"/>
      <c r="O787">
        <v>1010100</v>
      </c>
      <c r="P787" t="s">
        <v>29</v>
      </c>
      <c r="Q787">
        <v>200000100</v>
      </c>
      <c r="R787" t="s">
        <v>15322</v>
      </c>
      <c r="S787"/>
      <c r="T787" t="s">
        <v>15323</v>
      </c>
      <c r="U787" t="s">
        <v>1530</v>
      </c>
      <c r="V787" s="23">
        <v>0</v>
      </c>
      <c r="W787" s="23">
        <v>0</v>
      </c>
      <c r="X787" s="23">
        <v>0</v>
      </c>
      <c r="Y787"/>
      <c r="Z787">
        <v>1246273826</v>
      </c>
      <c r="AA787"/>
      <c r="AB787"/>
      <c r="AC787">
        <v>102</v>
      </c>
      <c r="AD787">
        <v>4</v>
      </c>
      <c r="AE787" t="s">
        <v>15324</v>
      </c>
      <c r="AF787"/>
      <c r="AG787" s="23"/>
      <c r="AH787" s="265" t="str">
        <f>_xlfn.XLOOKUP(G787,Clientes!I:I,Clientes!F:F)</f>
        <v>GRUPO MOSAIC FERTILIZANTES DO BRASIL</v>
      </c>
    </row>
    <row r="788" spans="1:34" x14ac:dyDescent="0.25">
      <c r="A788">
        <v>161</v>
      </c>
      <c r="B788" t="s">
        <v>145</v>
      </c>
      <c r="C788"/>
      <c r="D788" s="23">
        <v>183804.3</v>
      </c>
      <c r="E788">
        <v>11741</v>
      </c>
      <c r="F788">
        <v>11</v>
      </c>
      <c r="G788">
        <v>12629</v>
      </c>
      <c r="H788" t="s">
        <v>109</v>
      </c>
      <c r="I788" s="23">
        <v>183804.3</v>
      </c>
      <c r="J788" s="185">
        <v>46190</v>
      </c>
      <c r="K788" s="185">
        <v>46190</v>
      </c>
      <c r="L788" s="185">
        <v>46250</v>
      </c>
      <c r="M788" s="185"/>
      <c r="N788"/>
      <c r="O788">
        <v>1010100</v>
      </c>
      <c r="P788" t="s">
        <v>29</v>
      </c>
      <c r="Q788">
        <v>200000100</v>
      </c>
      <c r="R788" t="s">
        <v>15322</v>
      </c>
      <c r="S788"/>
      <c r="T788" t="s">
        <v>15323</v>
      </c>
      <c r="U788" t="s">
        <v>1530</v>
      </c>
      <c r="V788" s="23">
        <v>0</v>
      </c>
      <c r="W788" s="23">
        <v>0</v>
      </c>
      <c r="X788" s="23">
        <v>0</v>
      </c>
      <c r="Y788"/>
      <c r="Z788">
        <v>1246279897</v>
      </c>
      <c r="AA788"/>
      <c r="AB788"/>
      <c r="AC788">
        <v>102</v>
      </c>
      <c r="AD788">
        <v>4</v>
      </c>
      <c r="AE788" t="s">
        <v>15324</v>
      </c>
      <c r="AF788"/>
      <c r="AG788" s="23"/>
      <c r="AH788" s="265" t="str">
        <f>_xlfn.XLOOKUP(G788,Clientes!I:I,Clientes!F:F)</f>
        <v>EUROCHEM SERRA DO SALITRE</v>
      </c>
    </row>
    <row r="789" spans="1:34" x14ac:dyDescent="0.25">
      <c r="A789">
        <v>161</v>
      </c>
      <c r="B789" t="s">
        <v>145</v>
      </c>
      <c r="C789"/>
      <c r="D789" s="23">
        <v>184525</v>
      </c>
      <c r="E789">
        <v>11440</v>
      </c>
      <c r="F789">
        <v>11</v>
      </c>
      <c r="G789">
        <v>6477</v>
      </c>
      <c r="H789" t="s">
        <v>87</v>
      </c>
      <c r="I789" s="23">
        <v>184525</v>
      </c>
      <c r="J789" s="185">
        <v>46161</v>
      </c>
      <c r="K789" s="185">
        <v>46161</v>
      </c>
      <c r="L789" s="185">
        <v>46251</v>
      </c>
      <c r="M789" s="185"/>
      <c r="N789"/>
      <c r="O789">
        <v>1010100</v>
      </c>
      <c r="P789" t="s">
        <v>29</v>
      </c>
      <c r="Q789">
        <v>200000100</v>
      </c>
      <c r="R789" t="s">
        <v>15322</v>
      </c>
      <c r="S789"/>
      <c r="T789" t="s">
        <v>15323</v>
      </c>
      <c r="U789" t="s">
        <v>1530</v>
      </c>
      <c r="V789" s="23">
        <v>0</v>
      </c>
      <c r="W789" s="23">
        <v>0</v>
      </c>
      <c r="X789" s="23">
        <v>0</v>
      </c>
      <c r="Y789"/>
      <c r="Z789">
        <v>1246275783</v>
      </c>
      <c r="AA789"/>
      <c r="AB789"/>
      <c r="AC789">
        <v>116</v>
      </c>
      <c r="AD789">
        <v>4</v>
      </c>
      <c r="AE789" t="s">
        <v>15324</v>
      </c>
      <c r="AF789"/>
      <c r="AG789" s="23"/>
      <c r="AH789" s="265" t="str">
        <f>_xlfn.XLOOKUP(G789,Clientes!I:I,Clientes!F:F)</f>
        <v>GRUPO MOSAIC FERTILIZANTES DO BRASIL</v>
      </c>
    </row>
    <row r="790" spans="1:34" x14ac:dyDescent="0.25">
      <c r="A790">
        <v>161</v>
      </c>
      <c r="B790" t="s">
        <v>145</v>
      </c>
      <c r="C790"/>
      <c r="D790" s="23">
        <v>185040</v>
      </c>
      <c r="E790">
        <v>2835</v>
      </c>
      <c r="F790">
        <v>13</v>
      </c>
      <c r="G790">
        <v>10207</v>
      </c>
      <c r="H790" t="s">
        <v>229</v>
      </c>
      <c r="I790" s="23">
        <v>185040</v>
      </c>
      <c r="J790" s="185">
        <v>46105</v>
      </c>
      <c r="K790" s="185">
        <v>46105</v>
      </c>
      <c r="L790" s="185">
        <v>46225</v>
      </c>
      <c r="M790" s="185">
        <v>46112</v>
      </c>
      <c r="N790" t="s">
        <v>15378</v>
      </c>
      <c r="O790">
        <v>1010100</v>
      </c>
      <c r="P790" t="s">
        <v>29</v>
      </c>
      <c r="Q790">
        <v>200000100</v>
      </c>
      <c r="R790" t="s">
        <v>15322</v>
      </c>
      <c r="S790"/>
      <c r="T790" t="s">
        <v>15323</v>
      </c>
      <c r="U790" t="s">
        <v>2073</v>
      </c>
      <c r="V790" s="23">
        <v>0</v>
      </c>
      <c r="W790" s="23">
        <v>0</v>
      </c>
      <c r="X790" s="23">
        <v>0</v>
      </c>
      <c r="Y790"/>
      <c r="Z790">
        <v>1246269410</v>
      </c>
      <c r="AA790"/>
      <c r="AB790" t="s">
        <v>2073</v>
      </c>
      <c r="AC790">
        <v>102</v>
      </c>
      <c r="AD790">
        <v>4</v>
      </c>
      <c r="AE790" t="s">
        <v>15324</v>
      </c>
      <c r="AF790"/>
      <c r="AG790" s="23"/>
      <c r="AH790" s="265" t="str">
        <f>_xlfn.XLOOKUP(G790,Clientes!I:I,Clientes!F:F)</f>
        <v>GRUPO JOSAPAR</v>
      </c>
    </row>
    <row r="791" spans="1:34" x14ac:dyDescent="0.25">
      <c r="A791">
        <v>161</v>
      </c>
      <c r="B791" t="s">
        <v>145</v>
      </c>
      <c r="C791"/>
      <c r="D791" s="23">
        <v>185040</v>
      </c>
      <c r="E791">
        <v>2835</v>
      </c>
      <c r="F791">
        <v>13</v>
      </c>
      <c r="G791">
        <v>10207</v>
      </c>
      <c r="H791" t="s">
        <v>229</v>
      </c>
      <c r="I791" s="23">
        <v>185040</v>
      </c>
      <c r="J791" s="185">
        <v>46105</v>
      </c>
      <c r="K791" s="185">
        <v>46105</v>
      </c>
      <c r="L791" s="185">
        <v>46133</v>
      </c>
      <c r="M791" s="185">
        <v>46112</v>
      </c>
      <c r="N791" t="s">
        <v>15380</v>
      </c>
      <c r="O791">
        <v>1010100</v>
      </c>
      <c r="P791" t="s">
        <v>29</v>
      </c>
      <c r="Q791">
        <v>200000100</v>
      </c>
      <c r="R791" t="s">
        <v>15322</v>
      </c>
      <c r="S791"/>
      <c r="T791" t="s">
        <v>15323</v>
      </c>
      <c r="U791" t="s">
        <v>2073</v>
      </c>
      <c r="V791" s="23">
        <v>0</v>
      </c>
      <c r="W791" s="23">
        <v>0</v>
      </c>
      <c r="X791" s="23">
        <v>0</v>
      </c>
      <c r="Y791"/>
      <c r="Z791">
        <v>1246268729</v>
      </c>
      <c r="AA791"/>
      <c r="AB791" t="s">
        <v>2073</v>
      </c>
      <c r="AC791">
        <v>102</v>
      </c>
      <c r="AD791">
        <v>4</v>
      </c>
      <c r="AE791" t="s">
        <v>15324</v>
      </c>
      <c r="AF791"/>
      <c r="AG791" s="23"/>
      <c r="AH791" s="265" t="str">
        <f>_xlfn.XLOOKUP(G791,Clientes!I:I,Clientes!F:F)</f>
        <v>GRUPO JOSAPAR</v>
      </c>
    </row>
    <row r="792" spans="1:34" x14ac:dyDescent="0.25">
      <c r="A792">
        <v>161</v>
      </c>
      <c r="B792" t="s">
        <v>145</v>
      </c>
      <c r="C792"/>
      <c r="D792" s="23">
        <v>185040</v>
      </c>
      <c r="E792">
        <v>2855</v>
      </c>
      <c r="F792">
        <v>13</v>
      </c>
      <c r="G792">
        <v>201</v>
      </c>
      <c r="H792" t="s">
        <v>288</v>
      </c>
      <c r="I792" s="23">
        <v>185040</v>
      </c>
      <c r="J792" s="185">
        <v>46111</v>
      </c>
      <c r="K792" s="185">
        <v>46111</v>
      </c>
      <c r="L792" s="185">
        <v>46139</v>
      </c>
      <c r="M792" s="185">
        <v>46134</v>
      </c>
      <c r="N792" t="s">
        <v>15380</v>
      </c>
      <c r="O792">
        <v>1010100</v>
      </c>
      <c r="P792" t="s">
        <v>29</v>
      </c>
      <c r="Q792">
        <v>200000100</v>
      </c>
      <c r="R792" t="s">
        <v>15322</v>
      </c>
      <c r="S792"/>
      <c r="T792" t="s">
        <v>15323</v>
      </c>
      <c r="U792" t="s">
        <v>1530</v>
      </c>
      <c r="V792" s="23">
        <v>0</v>
      </c>
      <c r="W792" s="23">
        <v>0</v>
      </c>
      <c r="X792" s="23">
        <v>0</v>
      </c>
      <c r="Y792"/>
      <c r="Z792">
        <v>1246269651</v>
      </c>
      <c r="AA792"/>
      <c r="AB792" t="s">
        <v>1199</v>
      </c>
      <c r="AC792">
        <v>102</v>
      </c>
      <c r="AD792">
        <v>4</v>
      </c>
      <c r="AE792" t="s">
        <v>15324</v>
      </c>
      <c r="AF792"/>
      <c r="AG792" s="23"/>
      <c r="AH792" s="265" t="str">
        <f>_xlfn.XLOOKUP(G792,Clientes!I:I,Clientes!F:F)</f>
        <v>GRUPO JOSAPAR</v>
      </c>
    </row>
    <row r="793" spans="1:34" x14ac:dyDescent="0.25">
      <c r="A793">
        <v>161</v>
      </c>
      <c r="B793" t="s">
        <v>145</v>
      </c>
      <c r="C793"/>
      <c r="D793" s="23">
        <v>185040</v>
      </c>
      <c r="E793">
        <v>2855</v>
      </c>
      <c r="F793">
        <v>13</v>
      </c>
      <c r="G793">
        <v>201</v>
      </c>
      <c r="H793" t="s">
        <v>288</v>
      </c>
      <c r="I793" s="23">
        <v>185040</v>
      </c>
      <c r="J793" s="185">
        <v>46111</v>
      </c>
      <c r="K793" s="185">
        <v>46111</v>
      </c>
      <c r="L793" s="185">
        <v>46231</v>
      </c>
      <c r="M793" s="185"/>
      <c r="N793" t="s">
        <v>15378</v>
      </c>
      <c r="O793">
        <v>1010100</v>
      </c>
      <c r="P793" t="s">
        <v>29</v>
      </c>
      <c r="Q793">
        <v>200000100</v>
      </c>
      <c r="R793" t="s">
        <v>15322</v>
      </c>
      <c r="S793"/>
      <c r="T793" t="s">
        <v>15323</v>
      </c>
      <c r="U793" t="s">
        <v>1199</v>
      </c>
      <c r="V793" s="23">
        <v>0</v>
      </c>
      <c r="W793" s="23">
        <v>0</v>
      </c>
      <c r="X793" s="23">
        <v>0</v>
      </c>
      <c r="Y793"/>
      <c r="Z793">
        <v>1246269671</v>
      </c>
      <c r="AA793"/>
      <c r="AB793"/>
      <c r="AC793">
        <v>102</v>
      </c>
      <c r="AD793">
        <v>4</v>
      </c>
      <c r="AE793" t="s">
        <v>15324</v>
      </c>
      <c r="AF793"/>
      <c r="AG793" s="23"/>
      <c r="AH793" s="265" t="str">
        <f>_xlfn.XLOOKUP(G793,Clientes!I:I,Clientes!F:F)</f>
        <v>GRUPO JOSAPAR</v>
      </c>
    </row>
    <row r="794" spans="1:34" x14ac:dyDescent="0.25">
      <c r="A794">
        <v>161</v>
      </c>
      <c r="B794" t="s">
        <v>145</v>
      </c>
      <c r="C794"/>
      <c r="D794" s="23">
        <v>185135</v>
      </c>
      <c r="E794">
        <v>11476</v>
      </c>
      <c r="F794">
        <v>11</v>
      </c>
      <c r="G794">
        <v>6477</v>
      </c>
      <c r="H794" t="s">
        <v>87</v>
      </c>
      <c r="I794" s="23">
        <v>185135</v>
      </c>
      <c r="J794" s="185">
        <v>46164</v>
      </c>
      <c r="K794" s="185">
        <v>46164</v>
      </c>
      <c r="L794" s="185">
        <v>46254</v>
      </c>
      <c r="M794" s="185"/>
      <c r="N794"/>
      <c r="O794">
        <v>1010100</v>
      </c>
      <c r="P794" t="s">
        <v>29</v>
      </c>
      <c r="Q794">
        <v>200000100</v>
      </c>
      <c r="R794" t="s">
        <v>15322</v>
      </c>
      <c r="S794"/>
      <c r="T794" t="s">
        <v>15323</v>
      </c>
      <c r="U794" t="s">
        <v>4502</v>
      </c>
      <c r="V794" s="23">
        <v>0</v>
      </c>
      <c r="W794" s="23">
        <v>0</v>
      </c>
      <c r="X794" s="23">
        <v>0</v>
      </c>
      <c r="Y794"/>
      <c r="Z794">
        <v>1246276345</v>
      </c>
      <c r="AA794"/>
      <c r="AB794"/>
      <c r="AC794">
        <v>102</v>
      </c>
      <c r="AD794">
        <v>4</v>
      </c>
      <c r="AE794" t="s">
        <v>15324</v>
      </c>
      <c r="AF794"/>
      <c r="AG794" s="23"/>
      <c r="AH794" s="265" t="str">
        <f>_xlfn.XLOOKUP(G794,Clientes!I:I,Clientes!F:F)</f>
        <v>GRUPO MOSAIC FERTILIZANTES DO BRASIL</v>
      </c>
    </row>
    <row r="795" spans="1:34" x14ac:dyDescent="0.25">
      <c r="A795">
        <v>161</v>
      </c>
      <c r="B795" t="s">
        <v>145</v>
      </c>
      <c r="C795"/>
      <c r="D795" s="23">
        <v>185285.1</v>
      </c>
      <c r="E795">
        <v>11671</v>
      </c>
      <c r="F795">
        <v>11</v>
      </c>
      <c r="G795">
        <v>12629</v>
      </c>
      <c r="H795" t="s">
        <v>109</v>
      </c>
      <c r="I795" s="23">
        <v>185285.1</v>
      </c>
      <c r="J795" s="185">
        <v>46183</v>
      </c>
      <c r="K795" s="185">
        <v>46183</v>
      </c>
      <c r="L795" s="185">
        <v>46243</v>
      </c>
      <c r="M795" s="185"/>
      <c r="N795"/>
      <c r="O795">
        <v>1010100</v>
      </c>
      <c r="P795" t="s">
        <v>29</v>
      </c>
      <c r="Q795">
        <v>200000100</v>
      </c>
      <c r="R795" t="s">
        <v>15322</v>
      </c>
      <c r="S795"/>
      <c r="T795" t="s">
        <v>15323</v>
      </c>
      <c r="U795" t="s">
        <v>1216</v>
      </c>
      <c r="V795" s="23">
        <v>0</v>
      </c>
      <c r="W795" s="23">
        <v>0</v>
      </c>
      <c r="X795" s="23">
        <v>0</v>
      </c>
      <c r="Y795"/>
      <c r="Z795">
        <v>1246279025</v>
      </c>
      <c r="AA795"/>
      <c r="AB795"/>
      <c r="AC795">
        <v>102</v>
      </c>
      <c r="AD795">
        <v>4</v>
      </c>
      <c r="AE795" t="s">
        <v>15324</v>
      </c>
      <c r="AF795"/>
      <c r="AG795" s="23"/>
      <c r="AH795" s="265" t="str">
        <f>_xlfn.XLOOKUP(G795,Clientes!I:I,Clientes!F:F)</f>
        <v>EUROCHEM SERRA DO SALITRE</v>
      </c>
    </row>
    <row r="796" spans="1:34" x14ac:dyDescent="0.25">
      <c r="A796">
        <v>161</v>
      </c>
      <c r="B796" t="s">
        <v>145</v>
      </c>
      <c r="C796"/>
      <c r="D796" s="23">
        <v>185285.1</v>
      </c>
      <c r="E796">
        <v>11559</v>
      </c>
      <c r="F796">
        <v>11</v>
      </c>
      <c r="G796">
        <v>12629</v>
      </c>
      <c r="H796" t="s">
        <v>109</v>
      </c>
      <c r="I796" s="23">
        <v>185285.1</v>
      </c>
      <c r="J796" s="185">
        <v>46171</v>
      </c>
      <c r="K796" s="185">
        <v>46171</v>
      </c>
      <c r="L796" s="185">
        <v>46231</v>
      </c>
      <c r="M796" s="185"/>
      <c r="N796"/>
      <c r="O796">
        <v>1010100</v>
      </c>
      <c r="P796" t="s">
        <v>29</v>
      </c>
      <c r="Q796">
        <v>200000100</v>
      </c>
      <c r="R796" t="s">
        <v>15322</v>
      </c>
      <c r="S796"/>
      <c r="T796" t="s">
        <v>15323</v>
      </c>
      <c r="U796" t="s">
        <v>4468</v>
      </c>
      <c r="V796" s="23">
        <v>0</v>
      </c>
      <c r="W796" s="23">
        <v>0</v>
      </c>
      <c r="X796" s="23">
        <v>0</v>
      </c>
      <c r="Y796"/>
      <c r="Z796">
        <v>1246277480</v>
      </c>
      <c r="AA796"/>
      <c r="AB796"/>
      <c r="AC796">
        <v>102</v>
      </c>
      <c r="AD796">
        <v>4</v>
      </c>
      <c r="AE796" t="s">
        <v>15324</v>
      </c>
      <c r="AF796"/>
      <c r="AG796" s="23"/>
      <c r="AH796" s="265" t="str">
        <f>_xlfn.XLOOKUP(G796,Clientes!I:I,Clientes!F:F)</f>
        <v>EUROCHEM SERRA DO SALITRE</v>
      </c>
    </row>
    <row r="797" spans="1:34" x14ac:dyDescent="0.25">
      <c r="A797">
        <v>40</v>
      </c>
      <c r="B797" t="s">
        <v>155</v>
      </c>
      <c r="C797"/>
      <c r="D797" s="23">
        <v>185633.21</v>
      </c>
      <c r="E797">
        <v>10602</v>
      </c>
      <c r="F797">
        <v>11</v>
      </c>
      <c r="G797">
        <v>6370</v>
      </c>
      <c r="H797" t="s">
        <v>264</v>
      </c>
      <c r="I797" s="23">
        <v>185633.21</v>
      </c>
      <c r="J797" s="185">
        <v>46051</v>
      </c>
      <c r="K797" s="185">
        <v>46051</v>
      </c>
      <c r="L797" s="185">
        <v>46081</v>
      </c>
      <c r="M797" s="185">
        <v>46098</v>
      </c>
      <c r="N797"/>
      <c r="O797">
        <v>1010200</v>
      </c>
      <c r="P797" t="s">
        <v>113</v>
      </c>
      <c r="Q797">
        <v>200000100</v>
      </c>
      <c r="R797" t="s">
        <v>15322</v>
      </c>
      <c r="S797"/>
      <c r="T797" t="s">
        <v>15323</v>
      </c>
      <c r="U797" t="s">
        <v>1199</v>
      </c>
      <c r="V797" s="23">
        <v>0</v>
      </c>
      <c r="W797" s="23">
        <v>0</v>
      </c>
      <c r="X797" s="23">
        <v>0</v>
      </c>
      <c r="Y797"/>
      <c r="Z797">
        <v>1246261571</v>
      </c>
      <c r="AA797"/>
      <c r="AB797" t="s">
        <v>1199</v>
      </c>
      <c r="AC797">
        <v>125</v>
      </c>
      <c r="AD797">
        <v>4</v>
      </c>
      <c r="AE797" t="s">
        <v>15324</v>
      </c>
      <c r="AF797" t="s">
        <v>15366</v>
      </c>
      <c r="AG797" s="23">
        <v>35814.400000000001</v>
      </c>
      <c r="AH797" s="265" t="str">
        <f>_xlfn.XLOOKUP(G797,Clientes!I:I,Clientes!F:F)</f>
        <v>YTL S.A. - PARAGUAI</v>
      </c>
    </row>
    <row r="798" spans="1:34" x14ac:dyDescent="0.25">
      <c r="A798">
        <v>40</v>
      </c>
      <c r="B798" t="s">
        <v>155</v>
      </c>
      <c r="C798"/>
      <c r="D798" s="23">
        <v>185715.05</v>
      </c>
      <c r="E798">
        <v>11332</v>
      </c>
      <c r="F798">
        <v>11</v>
      </c>
      <c r="G798">
        <v>6370</v>
      </c>
      <c r="H798" t="s">
        <v>264</v>
      </c>
      <c r="I798" s="23">
        <v>185715.05</v>
      </c>
      <c r="J798" s="185">
        <v>46150</v>
      </c>
      <c r="K798" s="185">
        <v>46150</v>
      </c>
      <c r="L798" s="185">
        <v>46180</v>
      </c>
      <c r="M798" s="185">
        <v>46183</v>
      </c>
      <c r="N798"/>
      <c r="O798">
        <v>1010200</v>
      </c>
      <c r="P798" t="s">
        <v>113</v>
      </c>
      <c r="Q798">
        <v>200000100</v>
      </c>
      <c r="R798" t="s">
        <v>15322</v>
      </c>
      <c r="S798"/>
      <c r="T798" t="s">
        <v>15323</v>
      </c>
      <c r="U798" t="s">
        <v>1199</v>
      </c>
      <c r="V798" s="23">
        <v>0</v>
      </c>
      <c r="W798" s="23">
        <v>0</v>
      </c>
      <c r="X798" s="23">
        <v>0</v>
      </c>
      <c r="Y798"/>
      <c r="Z798">
        <v>1246274134</v>
      </c>
      <c r="AA798"/>
      <c r="AB798" t="s">
        <v>1199</v>
      </c>
      <c r="AC798">
        <v>125</v>
      </c>
      <c r="AD798">
        <v>4</v>
      </c>
      <c r="AE798" t="s">
        <v>15324</v>
      </c>
      <c r="AF798" t="s">
        <v>15649</v>
      </c>
      <c r="AG798" s="23">
        <v>37774.6</v>
      </c>
      <c r="AH798" s="265" t="str">
        <f>_xlfn.XLOOKUP(G798,Clientes!I:I,Clientes!F:F)</f>
        <v>YTL S.A. - PARAGUAI</v>
      </c>
    </row>
    <row r="799" spans="1:34" x14ac:dyDescent="0.25">
      <c r="A799">
        <v>161</v>
      </c>
      <c r="B799" t="s">
        <v>145</v>
      </c>
      <c r="C799"/>
      <c r="D799" s="23">
        <v>191036</v>
      </c>
      <c r="E799">
        <v>11560</v>
      </c>
      <c r="F799">
        <v>11</v>
      </c>
      <c r="G799">
        <v>2559</v>
      </c>
      <c r="H799" t="s">
        <v>451</v>
      </c>
      <c r="I799" s="23">
        <v>191036</v>
      </c>
      <c r="J799" s="185">
        <v>46171</v>
      </c>
      <c r="K799" s="185">
        <v>46171</v>
      </c>
      <c r="L799" s="185">
        <v>46261</v>
      </c>
      <c r="M799" s="185"/>
      <c r="N799"/>
      <c r="O799">
        <v>1010100</v>
      </c>
      <c r="P799" t="s">
        <v>29</v>
      </c>
      <c r="Q799">
        <v>200000100</v>
      </c>
      <c r="R799" t="s">
        <v>15322</v>
      </c>
      <c r="S799"/>
      <c r="T799" t="s">
        <v>15323</v>
      </c>
      <c r="U799" t="s">
        <v>2073</v>
      </c>
      <c r="V799" s="23">
        <v>0</v>
      </c>
      <c r="W799" s="23">
        <v>0</v>
      </c>
      <c r="X799" s="23">
        <v>0</v>
      </c>
      <c r="Y799"/>
      <c r="Z799">
        <v>1246277504</v>
      </c>
      <c r="AA799"/>
      <c r="AB799"/>
      <c r="AC799">
        <v>102</v>
      </c>
      <c r="AD799">
        <v>4</v>
      </c>
      <c r="AE799" t="s">
        <v>15324</v>
      </c>
      <c r="AF799"/>
      <c r="AG799" s="23"/>
      <c r="AH799" s="265" t="str">
        <f>_xlfn.XLOOKUP(G799,Clientes!I:I,Clientes!F:F)</f>
        <v>GRUPO MOSAIC FERTILIZANTES DO BRASIL</v>
      </c>
    </row>
    <row r="800" spans="1:34" x14ac:dyDescent="0.25">
      <c r="A800">
        <v>40</v>
      </c>
      <c r="B800" t="s">
        <v>155</v>
      </c>
      <c r="C800"/>
      <c r="D800" s="23">
        <v>191959.21</v>
      </c>
      <c r="E800">
        <v>11482</v>
      </c>
      <c r="F800">
        <v>11</v>
      </c>
      <c r="G800">
        <v>6370</v>
      </c>
      <c r="H800" t="s">
        <v>264</v>
      </c>
      <c r="I800" s="23">
        <v>191959.21</v>
      </c>
      <c r="J800" s="185">
        <v>46164</v>
      </c>
      <c r="K800" s="185">
        <v>46164</v>
      </c>
      <c r="L800" s="185">
        <v>46194</v>
      </c>
      <c r="M800" s="185"/>
      <c r="N800"/>
      <c r="O800">
        <v>1010200</v>
      </c>
      <c r="P800" t="s">
        <v>113</v>
      </c>
      <c r="Q800">
        <v>200000100</v>
      </c>
      <c r="R800" t="s">
        <v>15322</v>
      </c>
      <c r="S800"/>
      <c r="T800" t="s">
        <v>15323</v>
      </c>
      <c r="U800" t="s">
        <v>1199</v>
      </c>
      <c r="V800" s="23">
        <v>0</v>
      </c>
      <c r="W800" s="23">
        <v>0</v>
      </c>
      <c r="X800" s="23">
        <v>0</v>
      </c>
      <c r="Y800"/>
      <c r="Z800">
        <v>1246276420</v>
      </c>
      <c r="AA800"/>
      <c r="AB800"/>
      <c r="AC800">
        <v>125</v>
      </c>
      <c r="AD800">
        <v>4</v>
      </c>
      <c r="AE800" t="s">
        <v>15324</v>
      </c>
      <c r="AF800" t="s">
        <v>15650</v>
      </c>
      <c r="AG800" s="23">
        <v>38337.4</v>
      </c>
      <c r="AH800" s="265" t="str">
        <f>_xlfn.XLOOKUP(G800,Clientes!I:I,Clientes!F:F)</f>
        <v>YTL S.A. - PARAGUAI</v>
      </c>
    </row>
    <row r="801" spans="1:34" x14ac:dyDescent="0.25">
      <c r="A801">
        <v>40</v>
      </c>
      <c r="B801" t="s">
        <v>155</v>
      </c>
      <c r="C801"/>
      <c r="D801" s="23">
        <v>192601.88</v>
      </c>
      <c r="E801">
        <v>10461</v>
      </c>
      <c r="F801">
        <v>11</v>
      </c>
      <c r="G801">
        <v>6370</v>
      </c>
      <c r="H801" t="s">
        <v>264</v>
      </c>
      <c r="I801" s="23">
        <v>192601.88</v>
      </c>
      <c r="J801" s="185">
        <v>46034</v>
      </c>
      <c r="K801" s="185">
        <v>46034</v>
      </c>
      <c r="L801" s="185">
        <v>46064</v>
      </c>
      <c r="M801" s="185">
        <v>46080</v>
      </c>
      <c r="N801"/>
      <c r="O801">
        <v>1010200</v>
      </c>
      <c r="P801" t="s">
        <v>113</v>
      </c>
      <c r="Q801">
        <v>200000100</v>
      </c>
      <c r="R801" t="s">
        <v>15322</v>
      </c>
      <c r="S801"/>
      <c r="T801" t="s">
        <v>15323</v>
      </c>
      <c r="U801" t="s">
        <v>1199</v>
      </c>
      <c r="V801" s="23">
        <v>0</v>
      </c>
      <c r="W801" s="23">
        <v>0</v>
      </c>
      <c r="X801" s="23">
        <v>0</v>
      </c>
      <c r="Y801"/>
      <c r="Z801">
        <v>1246259159</v>
      </c>
      <c r="AA801"/>
      <c r="AB801" t="s">
        <v>1199</v>
      </c>
      <c r="AC801">
        <v>125</v>
      </c>
      <c r="AD801">
        <v>4</v>
      </c>
      <c r="AE801" t="s">
        <v>15324</v>
      </c>
      <c r="AF801" t="s">
        <v>15331</v>
      </c>
      <c r="AG801" s="23">
        <v>35865.599999999999</v>
      </c>
      <c r="AH801" s="265" t="str">
        <f>_xlfn.XLOOKUP(G801,Clientes!I:I,Clientes!F:F)</f>
        <v>YTL S.A. - PARAGUAI</v>
      </c>
    </row>
    <row r="802" spans="1:34" x14ac:dyDescent="0.25">
      <c r="A802">
        <v>161</v>
      </c>
      <c r="B802" t="s">
        <v>145</v>
      </c>
      <c r="C802"/>
      <c r="D802" s="23">
        <v>193644</v>
      </c>
      <c r="E802">
        <v>11409</v>
      </c>
      <c r="F802">
        <v>11</v>
      </c>
      <c r="G802">
        <v>2559</v>
      </c>
      <c r="H802" t="s">
        <v>451</v>
      </c>
      <c r="I802" s="23">
        <v>193644</v>
      </c>
      <c r="J802" s="185">
        <v>46157</v>
      </c>
      <c r="K802" s="185">
        <v>46157</v>
      </c>
      <c r="L802" s="185">
        <v>46247</v>
      </c>
      <c r="M802" s="185"/>
      <c r="N802"/>
      <c r="O802">
        <v>1010100</v>
      </c>
      <c r="P802" t="s">
        <v>29</v>
      </c>
      <c r="Q802">
        <v>200000100</v>
      </c>
      <c r="R802" t="s">
        <v>15322</v>
      </c>
      <c r="S802"/>
      <c r="T802" t="s">
        <v>15323</v>
      </c>
      <c r="U802" t="s">
        <v>1530</v>
      </c>
      <c r="V802" s="23">
        <v>0</v>
      </c>
      <c r="W802" s="23">
        <v>0</v>
      </c>
      <c r="X802" s="23">
        <v>0</v>
      </c>
      <c r="Y802"/>
      <c r="Z802">
        <v>1246275400</v>
      </c>
      <c r="AA802"/>
      <c r="AB802"/>
      <c r="AC802">
        <v>102</v>
      </c>
      <c r="AD802">
        <v>4</v>
      </c>
      <c r="AE802" t="s">
        <v>15324</v>
      </c>
      <c r="AF802"/>
      <c r="AG802" s="23"/>
      <c r="AH802" s="265" t="str">
        <f>_xlfn.XLOOKUP(G802,Clientes!I:I,Clientes!F:F)</f>
        <v>GRUPO MOSAIC FERTILIZANTES DO BRASIL</v>
      </c>
    </row>
    <row r="803" spans="1:34" x14ac:dyDescent="0.25">
      <c r="A803">
        <v>161</v>
      </c>
      <c r="B803" t="s">
        <v>145</v>
      </c>
      <c r="C803"/>
      <c r="D803" s="23">
        <v>195339.2</v>
      </c>
      <c r="E803">
        <v>11328</v>
      </c>
      <c r="F803">
        <v>11</v>
      </c>
      <c r="G803">
        <v>2559</v>
      </c>
      <c r="H803" t="s">
        <v>451</v>
      </c>
      <c r="I803" s="23">
        <v>195339.2</v>
      </c>
      <c r="J803" s="185">
        <v>46150</v>
      </c>
      <c r="K803" s="185">
        <v>46150</v>
      </c>
      <c r="L803" s="185">
        <v>46240</v>
      </c>
      <c r="M803" s="185"/>
      <c r="N803"/>
      <c r="O803">
        <v>1010100</v>
      </c>
      <c r="P803" t="s">
        <v>29</v>
      </c>
      <c r="Q803">
        <v>200000100</v>
      </c>
      <c r="R803" t="s">
        <v>15322</v>
      </c>
      <c r="S803"/>
      <c r="T803" t="s">
        <v>15323</v>
      </c>
      <c r="U803" t="s">
        <v>1530</v>
      </c>
      <c r="V803" s="23">
        <v>0</v>
      </c>
      <c r="W803" s="23">
        <v>0</v>
      </c>
      <c r="X803" s="23">
        <v>0</v>
      </c>
      <c r="Y803"/>
      <c r="Z803">
        <v>1246274052</v>
      </c>
      <c r="AA803"/>
      <c r="AB803"/>
      <c r="AC803">
        <v>102</v>
      </c>
      <c r="AD803">
        <v>4</v>
      </c>
      <c r="AE803" t="s">
        <v>15324</v>
      </c>
      <c r="AF803"/>
      <c r="AG803" s="23"/>
      <c r="AH803" s="265" t="str">
        <f>_xlfn.XLOOKUP(G803,Clientes!I:I,Clientes!F:F)</f>
        <v>GRUPO MOSAIC FERTILIZANTES DO BRASIL</v>
      </c>
    </row>
    <row r="804" spans="1:34" x14ac:dyDescent="0.25">
      <c r="A804">
        <v>161</v>
      </c>
      <c r="B804" t="s">
        <v>145</v>
      </c>
      <c r="C804"/>
      <c r="D804" s="23">
        <v>195730.4</v>
      </c>
      <c r="E804">
        <v>11159</v>
      </c>
      <c r="F804">
        <v>11</v>
      </c>
      <c r="G804">
        <v>2559</v>
      </c>
      <c r="H804" t="s">
        <v>451</v>
      </c>
      <c r="I804" s="23">
        <v>195730.4</v>
      </c>
      <c r="J804" s="185">
        <v>46129</v>
      </c>
      <c r="K804" s="185">
        <v>46129</v>
      </c>
      <c r="L804" s="185">
        <v>46219</v>
      </c>
      <c r="M804" s="185"/>
      <c r="N804"/>
      <c r="O804">
        <v>1010100</v>
      </c>
      <c r="P804" t="s">
        <v>29</v>
      </c>
      <c r="Q804">
        <v>200000100</v>
      </c>
      <c r="R804" t="s">
        <v>15322</v>
      </c>
      <c r="S804"/>
      <c r="T804" t="s">
        <v>15323</v>
      </c>
      <c r="U804" t="s">
        <v>2246</v>
      </c>
      <c r="V804" s="23">
        <v>0</v>
      </c>
      <c r="W804" s="23">
        <v>0</v>
      </c>
      <c r="X804" s="23">
        <v>0</v>
      </c>
      <c r="Y804"/>
      <c r="Z804">
        <v>1246271698</v>
      </c>
      <c r="AA804"/>
      <c r="AB804"/>
      <c r="AC804">
        <v>102</v>
      </c>
      <c r="AD804">
        <v>4</v>
      </c>
      <c r="AE804" t="s">
        <v>15324</v>
      </c>
      <c r="AF804"/>
      <c r="AG804" s="23"/>
      <c r="AH804" s="265" t="str">
        <f>_xlfn.XLOOKUP(G804,Clientes!I:I,Clientes!F:F)</f>
        <v>GRUPO MOSAIC FERTILIZANTES DO BRASIL</v>
      </c>
    </row>
    <row r="805" spans="1:34" x14ac:dyDescent="0.25">
      <c r="A805">
        <v>161</v>
      </c>
      <c r="B805" t="s">
        <v>145</v>
      </c>
      <c r="C805"/>
      <c r="D805" s="23">
        <v>197816.8</v>
      </c>
      <c r="E805">
        <v>11722</v>
      </c>
      <c r="F805">
        <v>11</v>
      </c>
      <c r="G805">
        <v>2559</v>
      </c>
      <c r="H805" t="s">
        <v>451</v>
      </c>
      <c r="I805" s="23">
        <v>197816.8</v>
      </c>
      <c r="J805" s="185">
        <v>46189</v>
      </c>
      <c r="K805" s="185">
        <v>46189</v>
      </c>
      <c r="L805" s="185">
        <v>46279</v>
      </c>
      <c r="M805" s="185"/>
      <c r="N805"/>
      <c r="O805">
        <v>1010100</v>
      </c>
      <c r="P805" t="s">
        <v>29</v>
      </c>
      <c r="Q805">
        <v>200000100</v>
      </c>
      <c r="R805" t="s">
        <v>15322</v>
      </c>
      <c r="S805"/>
      <c r="T805" t="s">
        <v>15323</v>
      </c>
      <c r="U805" t="s">
        <v>5803</v>
      </c>
      <c r="V805" s="23">
        <v>0</v>
      </c>
      <c r="W805" s="23">
        <v>0</v>
      </c>
      <c r="X805" s="23">
        <v>0</v>
      </c>
      <c r="Y805"/>
      <c r="Z805">
        <v>1246279656</v>
      </c>
      <c r="AA805"/>
      <c r="AB805"/>
      <c r="AC805">
        <v>102</v>
      </c>
      <c r="AD805">
        <v>4</v>
      </c>
      <c r="AE805" t="s">
        <v>15324</v>
      </c>
      <c r="AF805"/>
      <c r="AG805" s="23"/>
      <c r="AH805" s="265" t="str">
        <f>_xlfn.XLOOKUP(G805,Clientes!I:I,Clientes!F:F)</f>
        <v>GRUPO MOSAIC FERTILIZANTES DO BRASIL</v>
      </c>
    </row>
    <row r="806" spans="1:34" x14ac:dyDescent="0.25">
      <c r="A806">
        <v>56</v>
      </c>
      <c r="B806" t="s">
        <v>146</v>
      </c>
      <c r="C806"/>
      <c r="D806" s="23">
        <v>201600</v>
      </c>
      <c r="E806">
        <v>2650</v>
      </c>
      <c r="F806">
        <v>13</v>
      </c>
      <c r="G806">
        <v>17305</v>
      </c>
      <c r="H806" t="s">
        <v>690</v>
      </c>
      <c r="I806" s="23">
        <v>201600</v>
      </c>
      <c r="J806" s="185">
        <v>46031</v>
      </c>
      <c r="K806" s="185">
        <v>46031</v>
      </c>
      <c r="L806" s="185">
        <v>46059</v>
      </c>
      <c r="M806" s="185">
        <v>46072</v>
      </c>
      <c r="N806"/>
      <c r="O806">
        <v>1010100</v>
      </c>
      <c r="P806" t="s">
        <v>29</v>
      </c>
      <c r="Q806">
        <v>200000100</v>
      </c>
      <c r="R806" t="s">
        <v>15322</v>
      </c>
      <c r="S806"/>
      <c r="T806" t="s">
        <v>15323</v>
      </c>
      <c r="U806" t="s">
        <v>6311</v>
      </c>
      <c r="V806" s="23">
        <v>0</v>
      </c>
      <c r="W806" s="23">
        <v>0</v>
      </c>
      <c r="X806" s="23">
        <v>0</v>
      </c>
      <c r="Y806"/>
      <c r="Z806">
        <v>1246258991</v>
      </c>
      <c r="AA806"/>
      <c r="AB806" t="s">
        <v>1199</v>
      </c>
      <c r="AC806">
        <v>103</v>
      </c>
      <c r="AD806">
        <v>4</v>
      </c>
      <c r="AE806" t="s">
        <v>15324</v>
      </c>
      <c r="AF806"/>
      <c r="AG806" s="23"/>
      <c r="AH806" s="265" t="str">
        <f>_xlfn.XLOOKUP(G806,Clientes!I:I,Clientes!F:F)</f>
        <v>MOTTA FERTILIZANTES</v>
      </c>
    </row>
    <row r="807" spans="1:34" x14ac:dyDescent="0.25">
      <c r="A807">
        <v>56</v>
      </c>
      <c r="B807" t="s">
        <v>146</v>
      </c>
      <c r="C807"/>
      <c r="D807" s="23">
        <v>204060</v>
      </c>
      <c r="E807">
        <v>2710</v>
      </c>
      <c r="F807">
        <v>13</v>
      </c>
      <c r="G807">
        <v>6981</v>
      </c>
      <c r="H807" t="s">
        <v>9307</v>
      </c>
      <c r="I807" s="23">
        <v>204060</v>
      </c>
      <c r="J807" s="185">
        <v>46052</v>
      </c>
      <c r="K807" s="185">
        <v>46052</v>
      </c>
      <c r="L807" s="185">
        <v>46080</v>
      </c>
      <c r="M807" s="185">
        <v>46080</v>
      </c>
      <c r="N807"/>
      <c r="O807">
        <v>1010100</v>
      </c>
      <c r="P807" t="s">
        <v>29</v>
      </c>
      <c r="Q807">
        <v>200000100</v>
      </c>
      <c r="R807" t="s">
        <v>15322</v>
      </c>
      <c r="S807"/>
      <c r="T807" t="s">
        <v>15323</v>
      </c>
      <c r="U807" t="s">
        <v>6311</v>
      </c>
      <c r="V807" s="23">
        <v>0</v>
      </c>
      <c r="W807" s="23">
        <v>0</v>
      </c>
      <c r="X807" s="23">
        <v>0</v>
      </c>
      <c r="Y807"/>
      <c r="Z807">
        <v>1246261711</v>
      </c>
      <c r="AA807"/>
      <c r="AB807" t="s">
        <v>1186</v>
      </c>
      <c r="AC807">
        <v>102</v>
      </c>
      <c r="AD807">
        <v>4</v>
      </c>
      <c r="AE807" t="s">
        <v>15324</v>
      </c>
      <c r="AF807"/>
      <c r="AG807" s="23"/>
      <c r="AH807" s="265" t="str">
        <f>_xlfn.XLOOKUP(G807,Clientes!I:I,Clientes!F:F)</f>
        <v>GRUPO CAMPO RICO</v>
      </c>
    </row>
    <row r="808" spans="1:34" x14ac:dyDescent="0.25">
      <c r="A808">
        <v>161</v>
      </c>
      <c r="B808" t="s">
        <v>145</v>
      </c>
      <c r="C808"/>
      <c r="D808" s="23">
        <v>207000</v>
      </c>
      <c r="E808">
        <v>2827</v>
      </c>
      <c r="F808">
        <v>13</v>
      </c>
      <c r="G808">
        <v>11637</v>
      </c>
      <c r="H808" t="s">
        <v>625</v>
      </c>
      <c r="I808" s="23">
        <v>207000</v>
      </c>
      <c r="J808" s="185">
        <v>46100</v>
      </c>
      <c r="K808" s="185">
        <v>46100</v>
      </c>
      <c r="L808" s="185">
        <v>46128</v>
      </c>
      <c r="M808" s="185">
        <v>46127</v>
      </c>
      <c r="N808"/>
      <c r="O808">
        <v>1010100</v>
      </c>
      <c r="P808" t="s">
        <v>29</v>
      </c>
      <c r="Q808">
        <v>200000100</v>
      </c>
      <c r="R808" t="s">
        <v>15322</v>
      </c>
      <c r="S808"/>
      <c r="T808" t="s">
        <v>15323</v>
      </c>
      <c r="U808" t="s">
        <v>6311</v>
      </c>
      <c r="V808" s="23">
        <v>0</v>
      </c>
      <c r="W808" s="23">
        <v>0</v>
      </c>
      <c r="X808" s="23">
        <v>0</v>
      </c>
      <c r="Y808"/>
      <c r="Z808">
        <v>1246268339</v>
      </c>
      <c r="AA808"/>
      <c r="AB808" t="s">
        <v>1186</v>
      </c>
      <c r="AC808">
        <v>102</v>
      </c>
      <c r="AD808">
        <v>4</v>
      </c>
      <c r="AE808" t="s">
        <v>15324</v>
      </c>
      <c r="AF808"/>
      <c r="AG808" s="23"/>
      <c r="AH808" s="265" t="str">
        <f>_xlfn.XLOOKUP(G808,Clientes!I:I,Clientes!F:F)</f>
        <v>AGROPECUARIA MARATA LTDA - MARUIM</v>
      </c>
    </row>
    <row r="809" spans="1:34" x14ac:dyDescent="0.25">
      <c r="A809">
        <v>40</v>
      </c>
      <c r="B809" t="s">
        <v>155</v>
      </c>
      <c r="C809"/>
      <c r="D809" s="23">
        <v>208565.52</v>
      </c>
      <c r="E809">
        <v>2663</v>
      </c>
      <c r="F809">
        <v>13</v>
      </c>
      <c r="G809">
        <v>12596</v>
      </c>
      <c r="H809" t="s">
        <v>234</v>
      </c>
      <c r="I809" s="23">
        <v>208565.52</v>
      </c>
      <c r="J809" s="185">
        <v>46035</v>
      </c>
      <c r="K809" s="185">
        <v>46035</v>
      </c>
      <c r="L809" s="185">
        <v>46065</v>
      </c>
      <c r="M809" s="185">
        <v>46058</v>
      </c>
      <c r="N809"/>
      <c r="O809">
        <v>1010200</v>
      </c>
      <c r="P809" t="s">
        <v>113</v>
      </c>
      <c r="Q809">
        <v>200000100</v>
      </c>
      <c r="R809" t="s">
        <v>15322</v>
      </c>
      <c r="S809"/>
      <c r="T809" t="s">
        <v>15323</v>
      </c>
      <c r="U809" t="s">
        <v>1199</v>
      </c>
      <c r="V809" s="23">
        <v>0</v>
      </c>
      <c r="W809" s="23">
        <v>0</v>
      </c>
      <c r="X809" s="23">
        <v>0</v>
      </c>
      <c r="Y809"/>
      <c r="Z809">
        <v>1246259238</v>
      </c>
      <c r="AA809"/>
      <c r="AB809" t="s">
        <v>1199</v>
      </c>
      <c r="AC809">
        <v>125</v>
      </c>
      <c r="AD809">
        <v>4</v>
      </c>
      <c r="AE809" t="s">
        <v>15324</v>
      </c>
      <c r="AF809" t="s">
        <v>15337</v>
      </c>
      <c r="AG809" s="23">
        <v>38800</v>
      </c>
      <c r="AH809" s="265" t="str">
        <f>_xlfn.XLOOKUP(G809,Clientes!I:I,Clientes!F:F)</f>
        <v>DREYFUS SUIÇA</v>
      </c>
    </row>
    <row r="810" spans="1:34" x14ac:dyDescent="0.25">
      <c r="A810">
        <v>161</v>
      </c>
      <c r="B810" t="s">
        <v>145</v>
      </c>
      <c r="C810"/>
      <c r="D810" s="23">
        <v>221088</v>
      </c>
      <c r="E810">
        <v>10588</v>
      </c>
      <c r="F810">
        <v>11</v>
      </c>
      <c r="G810">
        <v>6477</v>
      </c>
      <c r="H810" t="s">
        <v>87</v>
      </c>
      <c r="I810" s="23">
        <v>221088</v>
      </c>
      <c r="J810" s="185">
        <v>46049</v>
      </c>
      <c r="K810" s="185">
        <v>46049</v>
      </c>
      <c r="L810" s="185">
        <v>46139</v>
      </c>
      <c r="M810" s="185">
        <v>46139</v>
      </c>
      <c r="N810"/>
      <c r="O810">
        <v>1010100</v>
      </c>
      <c r="P810" t="s">
        <v>29</v>
      </c>
      <c r="Q810">
        <v>200000100</v>
      </c>
      <c r="R810" t="s">
        <v>15322</v>
      </c>
      <c r="S810"/>
      <c r="T810" t="s">
        <v>15323</v>
      </c>
      <c r="U810" t="s">
        <v>1964</v>
      </c>
      <c r="V810" s="23">
        <v>0</v>
      </c>
      <c r="W810" s="23">
        <v>0</v>
      </c>
      <c r="X810" s="23">
        <v>0</v>
      </c>
      <c r="Y810"/>
      <c r="Z810">
        <v>1246261235</v>
      </c>
      <c r="AA810"/>
      <c r="AB810" t="s">
        <v>1199</v>
      </c>
      <c r="AC810">
        <v>102</v>
      </c>
      <c r="AD810">
        <v>4</v>
      </c>
      <c r="AE810" t="s">
        <v>15324</v>
      </c>
      <c r="AF810"/>
      <c r="AG810" s="23"/>
      <c r="AH810" s="265" t="str">
        <f>_xlfn.XLOOKUP(G810,Clientes!I:I,Clientes!F:F)</f>
        <v>GRUPO MOSAIC FERTILIZANTES DO BRASIL</v>
      </c>
    </row>
    <row r="811" spans="1:34" x14ac:dyDescent="0.25">
      <c r="A811">
        <v>40</v>
      </c>
      <c r="B811" t="s">
        <v>155</v>
      </c>
      <c r="C811"/>
      <c r="D811" s="23">
        <v>224812.61</v>
      </c>
      <c r="E811">
        <v>2743</v>
      </c>
      <c r="F811">
        <v>13</v>
      </c>
      <c r="G811">
        <v>2680</v>
      </c>
      <c r="H811" t="s">
        <v>313</v>
      </c>
      <c r="I811" s="23">
        <v>224812.61</v>
      </c>
      <c r="J811" s="185">
        <v>46069</v>
      </c>
      <c r="K811" s="185">
        <v>46069</v>
      </c>
      <c r="L811" s="185">
        <v>46144</v>
      </c>
      <c r="M811" s="185">
        <v>46150</v>
      </c>
      <c r="N811"/>
      <c r="O811">
        <v>1010200</v>
      </c>
      <c r="P811" t="s">
        <v>113</v>
      </c>
      <c r="Q811">
        <v>200000100</v>
      </c>
      <c r="R811" t="s">
        <v>15322</v>
      </c>
      <c r="S811"/>
      <c r="T811" t="s">
        <v>15323</v>
      </c>
      <c r="U811" t="s">
        <v>1199</v>
      </c>
      <c r="V811" s="23">
        <v>0</v>
      </c>
      <c r="W811" s="23">
        <v>0</v>
      </c>
      <c r="X811" s="23">
        <v>0</v>
      </c>
      <c r="Y811"/>
      <c r="Z811">
        <v>1246263810</v>
      </c>
      <c r="AA811"/>
      <c r="AB811" t="s">
        <v>1199</v>
      </c>
      <c r="AC811">
        <v>125</v>
      </c>
      <c r="AD811">
        <v>4</v>
      </c>
      <c r="AE811" t="s">
        <v>15324</v>
      </c>
      <c r="AF811" t="s">
        <v>15363</v>
      </c>
      <c r="AG811" s="23">
        <v>43000</v>
      </c>
      <c r="AH811" s="265" t="str">
        <f>_xlfn.XLOOKUP(G811,Clientes!I:I,Clientes!F:F)</f>
        <v>FERMAGRI S.A - EQUADOR</v>
      </c>
    </row>
    <row r="812" spans="1:34" x14ac:dyDescent="0.25">
      <c r="A812">
        <v>161</v>
      </c>
      <c r="B812" t="s">
        <v>145</v>
      </c>
      <c r="C812"/>
      <c r="D812" s="23">
        <v>230300</v>
      </c>
      <c r="E812">
        <v>2697</v>
      </c>
      <c r="F812">
        <v>13</v>
      </c>
      <c r="G812">
        <v>2588</v>
      </c>
      <c r="H812" t="s">
        <v>70</v>
      </c>
      <c r="I812" s="23">
        <v>230300</v>
      </c>
      <c r="J812" s="185">
        <v>46045</v>
      </c>
      <c r="K812" s="185">
        <v>46045</v>
      </c>
      <c r="L812" s="185">
        <v>46075</v>
      </c>
      <c r="M812" s="185">
        <v>46076</v>
      </c>
      <c r="N812"/>
      <c r="O812">
        <v>1010100</v>
      </c>
      <c r="P812" t="s">
        <v>29</v>
      </c>
      <c r="Q812">
        <v>200000100</v>
      </c>
      <c r="R812" t="s">
        <v>15322</v>
      </c>
      <c r="S812"/>
      <c r="T812" t="s">
        <v>15323</v>
      </c>
      <c r="U812" t="s">
        <v>1964</v>
      </c>
      <c r="V812" s="23">
        <v>0</v>
      </c>
      <c r="W812" s="23">
        <v>0</v>
      </c>
      <c r="X812" s="23">
        <v>0</v>
      </c>
      <c r="Y812"/>
      <c r="Z812">
        <v>1246260587</v>
      </c>
      <c r="AA812"/>
      <c r="AB812" t="s">
        <v>1199</v>
      </c>
      <c r="AC812">
        <v>102</v>
      </c>
      <c r="AD812">
        <v>4</v>
      </c>
      <c r="AE812" t="s">
        <v>15324</v>
      </c>
      <c r="AF812"/>
      <c r="AG812" s="23"/>
      <c r="AH812" s="265" t="str">
        <f>_xlfn.XLOOKUP(G812,Clientes!I:I,Clientes!F:F)</f>
        <v>GRUPO FERTILIZ TOCANTINS</v>
      </c>
    </row>
    <row r="813" spans="1:34" x14ac:dyDescent="0.25">
      <c r="A813">
        <v>161</v>
      </c>
      <c r="B813" t="s">
        <v>145</v>
      </c>
      <c r="C813"/>
      <c r="D813" s="23">
        <v>234720</v>
      </c>
      <c r="E813">
        <v>2811</v>
      </c>
      <c r="F813">
        <v>13</v>
      </c>
      <c r="G813">
        <v>215</v>
      </c>
      <c r="H813" t="s">
        <v>221</v>
      </c>
      <c r="I813" s="23">
        <v>234720</v>
      </c>
      <c r="J813" s="185">
        <v>46094</v>
      </c>
      <c r="K813" s="185">
        <v>46094</v>
      </c>
      <c r="L813" s="185">
        <v>46122</v>
      </c>
      <c r="M813" s="185">
        <v>46122</v>
      </c>
      <c r="N813"/>
      <c r="O813">
        <v>1010100</v>
      </c>
      <c r="P813" t="s">
        <v>29</v>
      </c>
      <c r="Q813">
        <v>200000100</v>
      </c>
      <c r="R813" t="s">
        <v>15322</v>
      </c>
      <c r="S813"/>
      <c r="T813" t="s">
        <v>15323</v>
      </c>
      <c r="U813" t="s">
        <v>6311</v>
      </c>
      <c r="V813" s="23">
        <v>0</v>
      </c>
      <c r="W813" s="23">
        <v>0</v>
      </c>
      <c r="X813" s="23">
        <v>0</v>
      </c>
      <c r="Y813"/>
      <c r="Z813">
        <v>1246267628</v>
      </c>
      <c r="AA813"/>
      <c r="AB813" t="s">
        <v>1186</v>
      </c>
      <c r="AC813">
        <v>102</v>
      </c>
      <c r="AD813">
        <v>4</v>
      </c>
      <c r="AE813" t="s">
        <v>15324</v>
      </c>
      <c r="AF813"/>
      <c r="AG813" s="23"/>
      <c r="AH813" s="265" t="str">
        <f>_xlfn.XLOOKUP(G813,Clientes!I:I,Clientes!F:F)</f>
        <v>GRUPO UNIFERTIL</v>
      </c>
    </row>
    <row r="814" spans="1:34" x14ac:dyDescent="0.25">
      <c r="A814">
        <v>40</v>
      </c>
      <c r="B814" t="s">
        <v>155</v>
      </c>
      <c r="C814"/>
      <c r="D814" s="23">
        <v>239801.09</v>
      </c>
      <c r="E814">
        <v>2652</v>
      </c>
      <c r="F814">
        <v>13</v>
      </c>
      <c r="G814">
        <v>12031</v>
      </c>
      <c r="H814" t="s">
        <v>296</v>
      </c>
      <c r="I814" s="23">
        <v>239801.09</v>
      </c>
      <c r="J814" s="185">
        <v>46031</v>
      </c>
      <c r="K814" s="185">
        <v>46031</v>
      </c>
      <c r="L814" s="185">
        <v>46095</v>
      </c>
      <c r="M814" s="185">
        <v>46108</v>
      </c>
      <c r="N814"/>
      <c r="O814">
        <v>1010200</v>
      </c>
      <c r="P814" t="s">
        <v>113</v>
      </c>
      <c r="Q814">
        <v>200000100</v>
      </c>
      <c r="R814" t="s">
        <v>15322</v>
      </c>
      <c r="S814"/>
      <c r="T814" t="s">
        <v>15323</v>
      </c>
      <c r="U814" t="s">
        <v>1199</v>
      </c>
      <c r="V814" s="23">
        <v>0</v>
      </c>
      <c r="W814" s="23">
        <v>0</v>
      </c>
      <c r="X814" s="23">
        <v>0</v>
      </c>
      <c r="Y814"/>
      <c r="Z814">
        <v>1246259018</v>
      </c>
      <c r="AA814"/>
      <c r="AB814" t="s">
        <v>1199</v>
      </c>
      <c r="AC814">
        <v>125</v>
      </c>
      <c r="AD814">
        <v>4</v>
      </c>
      <c r="AE814" t="s">
        <v>15324</v>
      </c>
      <c r="AF814" t="s">
        <v>15333</v>
      </c>
      <c r="AG814" s="23">
        <v>44528</v>
      </c>
      <c r="AH814" s="265" t="str">
        <f>_xlfn.XLOOKUP(G814,Clientes!I:I,Clientes!F:F)</f>
        <v>EVOAGRO NUTRICION S.A.S - COLOMBIA</v>
      </c>
    </row>
    <row r="815" spans="1:34" x14ac:dyDescent="0.25">
      <c r="A815">
        <v>56</v>
      </c>
      <c r="B815" t="s">
        <v>146</v>
      </c>
      <c r="C815"/>
      <c r="D815" s="23">
        <v>241850</v>
      </c>
      <c r="E815">
        <v>2903</v>
      </c>
      <c r="F815">
        <v>13</v>
      </c>
      <c r="G815">
        <v>2603</v>
      </c>
      <c r="H815" t="s">
        <v>71</v>
      </c>
      <c r="I815" s="23">
        <v>241850</v>
      </c>
      <c r="J815" s="185">
        <v>46146</v>
      </c>
      <c r="K815" s="185">
        <v>46146</v>
      </c>
      <c r="L815" s="185">
        <v>46236</v>
      </c>
      <c r="M815" s="185"/>
      <c r="N815"/>
      <c r="O815">
        <v>1010100</v>
      </c>
      <c r="P815" t="s">
        <v>29</v>
      </c>
      <c r="Q815">
        <v>200000100</v>
      </c>
      <c r="R815" t="s">
        <v>15322</v>
      </c>
      <c r="S815"/>
      <c r="T815" t="s">
        <v>15323</v>
      </c>
      <c r="U815" t="s">
        <v>1964</v>
      </c>
      <c r="V815" s="23">
        <v>0</v>
      </c>
      <c r="W815" s="23">
        <v>0</v>
      </c>
      <c r="X815" s="23">
        <v>0</v>
      </c>
      <c r="Y815"/>
      <c r="Z815">
        <v>1246273467</v>
      </c>
      <c r="AA815"/>
      <c r="AB815"/>
      <c r="AC815">
        <v>102</v>
      </c>
      <c r="AD815">
        <v>4</v>
      </c>
      <c r="AE815" t="s">
        <v>15324</v>
      </c>
      <c r="AF815"/>
      <c r="AG815" s="23"/>
      <c r="AH815" s="265" t="str">
        <f>_xlfn.XLOOKUP(G815,Clientes!I:I,Clientes!F:F)</f>
        <v>GRUPO MOSAIC FERTILIZANTES DO BRASIL</v>
      </c>
    </row>
    <row r="816" spans="1:34" x14ac:dyDescent="0.25">
      <c r="A816">
        <v>161</v>
      </c>
      <c r="B816" t="s">
        <v>145</v>
      </c>
      <c r="C816"/>
      <c r="D816" s="23">
        <v>243600</v>
      </c>
      <c r="E816">
        <v>2733</v>
      </c>
      <c r="F816">
        <v>13</v>
      </c>
      <c r="G816">
        <v>2352</v>
      </c>
      <c r="H816" t="s">
        <v>68</v>
      </c>
      <c r="I816" s="23">
        <v>243600</v>
      </c>
      <c r="J816" s="185">
        <v>46064</v>
      </c>
      <c r="K816" s="185">
        <v>46064</v>
      </c>
      <c r="L816" s="185">
        <v>46104</v>
      </c>
      <c r="M816" s="185">
        <v>46104</v>
      </c>
      <c r="N816"/>
      <c r="O816">
        <v>1010100</v>
      </c>
      <c r="P816" t="s">
        <v>29</v>
      </c>
      <c r="Q816">
        <v>200000100</v>
      </c>
      <c r="R816" t="s">
        <v>15322</v>
      </c>
      <c r="S816"/>
      <c r="T816" t="s">
        <v>15323</v>
      </c>
      <c r="U816" t="s">
        <v>6311</v>
      </c>
      <c r="V816" s="23">
        <v>0</v>
      </c>
      <c r="W816" s="23">
        <v>0</v>
      </c>
      <c r="X816" s="23">
        <v>0</v>
      </c>
      <c r="Y816"/>
      <c r="Z816">
        <v>1246263314</v>
      </c>
      <c r="AA816"/>
      <c r="AB816" t="s">
        <v>1186</v>
      </c>
      <c r="AC816">
        <v>102</v>
      </c>
      <c r="AD816">
        <v>4</v>
      </c>
      <c r="AE816" t="s">
        <v>15324</v>
      </c>
      <c r="AF816"/>
      <c r="AG816" s="23"/>
      <c r="AH816" s="265" t="str">
        <f>_xlfn.XLOOKUP(G816,Clientes!I:I,Clientes!F:F)</f>
        <v>BR FERTIL - PARANAGUA</v>
      </c>
    </row>
    <row r="817" spans="1:34" x14ac:dyDescent="0.25">
      <c r="A817">
        <v>161</v>
      </c>
      <c r="B817" t="s">
        <v>145</v>
      </c>
      <c r="C817"/>
      <c r="D817" s="23">
        <v>246120</v>
      </c>
      <c r="E817">
        <v>2750</v>
      </c>
      <c r="F817">
        <v>13</v>
      </c>
      <c r="G817">
        <v>2011</v>
      </c>
      <c r="H817" t="s">
        <v>616</v>
      </c>
      <c r="I817" s="23">
        <v>246120</v>
      </c>
      <c r="J817" s="185">
        <v>46072</v>
      </c>
      <c r="K817" s="185">
        <v>46072</v>
      </c>
      <c r="L817" s="185">
        <v>46100</v>
      </c>
      <c r="M817" s="185">
        <v>46099</v>
      </c>
      <c r="N817"/>
      <c r="O817">
        <v>1010100</v>
      </c>
      <c r="P817" t="s">
        <v>29</v>
      </c>
      <c r="Q817">
        <v>200000100</v>
      </c>
      <c r="R817" t="s">
        <v>15322</v>
      </c>
      <c r="S817"/>
      <c r="T817" t="s">
        <v>15323</v>
      </c>
      <c r="U817" t="s">
        <v>6311</v>
      </c>
      <c r="V817" s="23">
        <v>0</v>
      </c>
      <c r="W817" s="23">
        <v>0</v>
      </c>
      <c r="X817" s="23">
        <v>0</v>
      </c>
      <c r="Y817"/>
      <c r="Z817">
        <v>1246264035</v>
      </c>
      <c r="AA817"/>
      <c r="AB817" t="s">
        <v>1186</v>
      </c>
      <c r="AC817">
        <v>102</v>
      </c>
      <c r="AD817">
        <v>4</v>
      </c>
      <c r="AE817" t="s">
        <v>15324</v>
      </c>
      <c r="AF817"/>
      <c r="AG817" s="23"/>
      <c r="AH817" s="265" t="str">
        <f>_xlfn.XLOOKUP(G817,Clientes!I:I,Clientes!F:F)</f>
        <v>FERTGROW S.A</v>
      </c>
    </row>
    <row r="818" spans="1:34" x14ac:dyDescent="0.25">
      <c r="A818">
        <v>40</v>
      </c>
      <c r="B818" t="s">
        <v>155</v>
      </c>
      <c r="C818"/>
      <c r="D818" s="23">
        <v>250261.53</v>
      </c>
      <c r="E818">
        <v>2886</v>
      </c>
      <c r="F818">
        <v>13</v>
      </c>
      <c r="G818">
        <v>3426</v>
      </c>
      <c r="H818" t="s">
        <v>350</v>
      </c>
      <c r="I818" s="23">
        <v>250261.53</v>
      </c>
      <c r="J818" s="185">
        <v>46134</v>
      </c>
      <c r="K818" s="185">
        <v>46134</v>
      </c>
      <c r="L818" s="185">
        <v>46194</v>
      </c>
      <c r="M818" s="185">
        <v>46191</v>
      </c>
      <c r="N818"/>
      <c r="O818">
        <v>1010200</v>
      </c>
      <c r="P818" t="s">
        <v>113</v>
      </c>
      <c r="Q818">
        <v>200000100</v>
      </c>
      <c r="R818" t="s">
        <v>15322</v>
      </c>
      <c r="S818"/>
      <c r="T818" t="s">
        <v>15323</v>
      </c>
      <c r="U818" t="s">
        <v>1199</v>
      </c>
      <c r="V818" s="23">
        <v>0</v>
      </c>
      <c r="W818" s="23">
        <v>0</v>
      </c>
      <c r="X818" s="23">
        <v>0</v>
      </c>
      <c r="Y818"/>
      <c r="Z818">
        <v>1246272081</v>
      </c>
      <c r="AA818"/>
      <c r="AB818" t="s">
        <v>1199</v>
      </c>
      <c r="AC818">
        <v>125</v>
      </c>
      <c r="AD818">
        <v>4</v>
      </c>
      <c r="AE818" t="s">
        <v>15324</v>
      </c>
      <c r="AF818" t="s">
        <v>15339</v>
      </c>
      <c r="AG818" s="23">
        <v>50215</v>
      </c>
      <c r="AH818" s="265" t="str">
        <f>_xlfn.XLOOKUP(G818,Clientes!I:I,Clientes!F:F)</f>
        <v>C I ACEPALMA SA - COLOMBIA</v>
      </c>
    </row>
    <row r="819" spans="1:34" x14ac:dyDescent="0.25">
      <c r="A819">
        <v>161</v>
      </c>
      <c r="B819" t="s">
        <v>145</v>
      </c>
      <c r="C819"/>
      <c r="D819" s="23">
        <v>251640</v>
      </c>
      <c r="E819">
        <v>2664</v>
      </c>
      <c r="F819">
        <v>13</v>
      </c>
      <c r="G819">
        <v>2352</v>
      </c>
      <c r="H819" t="s">
        <v>68</v>
      </c>
      <c r="I819" s="23">
        <v>251640</v>
      </c>
      <c r="J819" s="185">
        <v>46035</v>
      </c>
      <c r="K819" s="185">
        <v>46035</v>
      </c>
      <c r="L819" s="185">
        <v>46095</v>
      </c>
      <c r="M819" s="185">
        <v>46097</v>
      </c>
      <c r="N819"/>
      <c r="O819">
        <v>1010100</v>
      </c>
      <c r="P819" t="s">
        <v>29</v>
      </c>
      <c r="Q819">
        <v>200000100</v>
      </c>
      <c r="R819" t="s">
        <v>15322</v>
      </c>
      <c r="S819"/>
      <c r="T819" t="s">
        <v>15323</v>
      </c>
      <c r="U819" t="s">
        <v>6311</v>
      </c>
      <c r="V819" s="23">
        <v>0</v>
      </c>
      <c r="W819" s="23">
        <v>0</v>
      </c>
      <c r="X819" s="23">
        <v>0</v>
      </c>
      <c r="Y819"/>
      <c r="Z819">
        <v>1246259286</v>
      </c>
      <c r="AA819"/>
      <c r="AB819" t="s">
        <v>1186</v>
      </c>
      <c r="AC819">
        <v>102</v>
      </c>
      <c r="AD819">
        <v>4</v>
      </c>
      <c r="AE819" t="s">
        <v>15324</v>
      </c>
      <c r="AF819"/>
      <c r="AG819" s="23"/>
      <c r="AH819" s="265" t="str">
        <f>_xlfn.XLOOKUP(G819,Clientes!I:I,Clientes!F:F)</f>
        <v>BR FERTIL - PARANAGUA</v>
      </c>
    </row>
    <row r="820" spans="1:34" x14ac:dyDescent="0.25">
      <c r="A820">
        <v>161</v>
      </c>
      <c r="B820" t="s">
        <v>145</v>
      </c>
      <c r="C820"/>
      <c r="D820" s="23">
        <v>264840</v>
      </c>
      <c r="E820">
        <v>2681</v>
      </c>
      <c r="F820">
        <v>13</v>
      </c>
      <c r="G820">
        <v>10434</v>
      </c>
      <c r="H820" t="s">
        <v>99</v>
      </c>
      <c r="I820" s="23">
        <v>264840</v>
      </c>
      <c r="J820" s="185">
        <v>46038</v>
      </c>
      <c r="K820" s="185">
        <v>46038</v>
      </c>
      <c r="L820" s="185">
        <v>46066</v>
      </c>
      <c r="M820" s="185">
        <v>46066</v>
      </c>
      <c r="N820"/>
      <c r="O820">
        <v>1010100</v>
      </c>
      <c r="P820" t="s">
        <v>29</v>
      </c>
      <c r="Q820">
        <v>200000100</v>
      </c>
      <c r="R820" t="s">
        <v>15322</v>
      </c>
      <c r="S820"/>
      <c r="T820" t="s">
        <v>15323</v>
      </c>
      <c r="U820" t="s">
        <v>1964</v>
      </c>
      <c r="V820" s="23">
        <v>0</v>
      </c>
      <c r="W820" s="23">
        <v>0</v>
      </c>
      <c r="X820" s="23">
        <v>0</v>
      </c>
      <c r="Y820"/>
      <c r="Z820">
        <v>1246259746</v>
      </c>
      <c r="AA820"/>
      <c r="AB820" t="s">
        <v>1199</v>
      </c>
      <c r="AC820">
        <v>103</v>
      </c>
      <c r="AD820">
        <v>4</v>
      </c>
      <c r="AE820" t="s">
        <v>15324</v>
      </c>
      <c r="AF820"/>
      <c r="AG820" s="23"/>
      <c r="AH820" s="265" t="str">
        <f>_xlfn.XLOOKUP(G820,Clientes!I:I,Clientes!F:F)</f>
        <v>GRUPO CIBRA</v>
      </c>
    </row>
    <row r="821" spans="1:34" x14ac:dyDescent="0.25">
      <c r="A821">
        <v>161</v>
      </c>
      <c r="B821" t="s">
        <v>145</v>
      </c>
      <c r="C821"/>
      <c r="D821" s="23">
        <v>269297</v>
      </c>
      <c r="E821">
        <v>10517</v>
      </c>
      <c r="F821">
        <v>11</v>
      </c>
      <c r="G821">
        <v>1159</v>
      </c>
      <c r="H821" t="s">
        <v>50</v>
      </c>
      <c r="I821" s="23">
        <v>269297</v>
      </c>
      <c r="J821" s="185">
        <v>46041</v>
      </c>
      <c r="K821" s="185">
        <v>46041</v>
      </c>
      <c r="L821" s="185">
        <v>46081</v>
      </c>
      <c r="M821" s="185">
        <v>46083</v>
      </c>
      <c r="N821"/>
      <c r="O821">
        <v>1010100</v>
      </c>
      <c r="P821" t="s">
        <v>29</v>
      </c>
      <c r="Q821">
        <v>200000100</v>
      </c>
      <c r="R821" t="s">
        <v>15322</v>
      </c>
      <c r="S821"/>
      <c r="T821" t="s">
        <v>15323</v>
      </c>
      <c r="U821" t="s">
        <v>4468</v>
      </c>
      <c r="V821" s="23">
        <v>0</v>
      </c>
      <c r="W821" s="23">
        <v>0</v>
      </c>
      <c r="X821" s="23">
        <v>0</v>
      </c>
      <c r="Y821"/>
      <c r="Z821">
        <v>1246260019</v>
      </c>
      <c r="AA821"/>
      <c r="AB821" t="s">
        <v>1199</v>
      </c>
      <c r="AC821">
        <v>102</v>
      </c>
      <c r="AD821">
        <v>4</v>
      </c>
      <c r="AE821" t="s">
        <v>15324</v>
      </c>
      <c r="AF821"/>
      <c r="AG821" s="23"/>
      <c r="AH821" s="265" t="str">
        <f>_xlfn.XLOOKUP(G821,Clientes!I:I,Clientes!F:F)</f>
        <v>GRUPO YARA</v>
      </c>
    </row>
    <row r="822" spans="1:34" x14ac:dyDescent="0.25">
      <c r="A822">
        <v>161</v>
      </c>
      <c r="B822" t="s">
        <v>145</v>
      </c>
      <c r="C822"/>
      <c r="D822" s="23">
        <v>269568.56</v>
      </c>
      <c r="E822">
        <v>10702</v>
      </c>
      <c r="F822">
        <v>11</v>
      </c>
      <c r="G822">
        <v>1159</v>
      </c>
      <c r="H822" t="s">
        <v>50</v>
      </c>
      <c r="I822" s="23">
        <v>269568.56</v>
      </c>
      <c r="J822" s="185">
        <v>46069</v>
      </c>
      <c r="K822" s="185">
        <v>46069</v>
      </c>
      <c r="L822" s="185">
        <v>46109</v>
      </c>
      <c r="M822" s="185">
        <v>46111</v>
      </c>
      <c r="N822"/>
      <c r="O822">
        <v>1010100</v>
      </c>
      <c r="P822" t="s">
        <v>29</v>
      </c>
      <c r="Q822">
        <v>200000100</v>
      </c>
      <c r="R822" t="s">
        <v>15322</v>
      </c>
      <c r="S822"/>
      <c r="T822" t="s">
        <v>15323</v>
      </c>
      <c r="U822" t="s">
        <v>5803</v>
      </c>
      <c r="V822" s="23">
        <v>0</v>
      </c>
      <c r="W822" s="23">
        <v>0</v>
      </c>
      <c r="X822" s="23">
        <v>0</v>
      </c>
      <c r="Y822"/>
      <c r="Z822">
        <v>1246263817</v>
      </c>
      <c r="AA822"/>
      <c r="AB822" t="s">
        <v>1199</v>
      </c>
      <c r="AC822">
        <v>102</v>
      </c>
      <c r="AD822">
        <v>4</v>
      </c>
      <c r="AE822" t="s">
        <v>15324</v>
      </c>
      <c r="AF822"/>
      <c r="AG822" s="23"/>
      <c r="AH822" s="265" t="str">
        <f>_xlfn.XLOOKUP(G822,Clientes!I:I,Clientes!F:F)</f>
        <v>GRUPO YARA</v>
      </c>
    </row>
    <row r="823" spans="1:34" x14ac:dyDescent="0.25">
      <c r="A823">
        <v>161</v>
      </c>
      <c r="B823" t="s">
        <v>145</v>
      </c>
      <c r="C823"/>
      <c r="D823" s="23">
        <v>270021.15999999997</v>
      </c>
      <c r="E823">
        <v>11609</v>
      </c>
      <c r="F823">
        <v>11</v>
      </c>
      <c r="G823">
        <v>1159</v>
      </c>
      <c r="H823" t="s">
        <v>50</v>
      </c>
      <c r="I823" s="23">
        <v>270021.15999999997</v>
      </c>
      <c r="J823" s="185">
        <v>46178</v>
      </c>
      <c r="K823" s="185">
        <v>46178</v>
      </c>
      <c r="L823" s="185">
        <v>46218</v>
      </c>
      <c r="M823" s="185"/>
      <c r="N823"/>
      <c r="O823">
        <v>1010100</v>
      </c>
      <c r="P823" t="s">
        <v>29</v>
      </c>
      <c r="Q823">
        <v>200000100</v>
      </c>
      <c r="R823" t="s">
        <v>15322</v>
      </c>
      <c r="S823"/>
      <c r="T823" t="s">
        <v>15323</v>
      </c>
      <c r="U823" t="s">
        <v>4502</v>
      </c>
      <c r="V823" s="23">
        <v>0</v>
      </c>
      <c r="W823" s="23">
        <v>0</v>
      </c>
      <c r="X823" s="23">
        <v>0</v>
      </c>
      <c r="Y823"/>
      <c r="Z823">
        <v>1246278363</v>
      </c>
      <c r="AA823"/>
      <c r="AB823"/>
      <c r="AC823">
        <v>102</v>
      </c>
      <c r="AD823">
        <v>4</v>
      </c>
      <c r="AE823" t="s">
        <v>15324</v>
      </c>
      <c r="AF823"/>
      <c r="AG823" s="23"/>
      <c r="AH823" s="265" t="str">
        <f>_xlfn.XLOOKUP(G823,Clientes!I:I,Clientes!F:F)</f>
        <v>GRUPO YARA</v>
      </c>
    </row>
    <row r="824" spans="1:34" x14ac:dyDescent="0.25">
      <c r="A824">
        <v>161</v>
      </c>
      <c r="B824" t="s">
        <v>145</v>
      </c>
      <c r="C824"/>
      <c r="D824" s="23">
        <v>270111.68</v>
      </c>
      <c r="E824">
        <v>11711</v>
      </c>
      <c r="F824">
        <v>11</v>
      </c>
      <c r="G824">
        <v>1159</v>
      </c>
      <c r="H824" t="s">
        <v>50</v>
      </c>
      <c r="I824" s="23">
        <v>270111.68</v>
      </c>
      <c r="J824" s="185">
        <v>46188</v>
      </c>
      <c r="K824" s="185">
        <v>46188</v>
      </c>
      <c r="L824" s="185">
        <v>46228</v>
      </c>
      <c r="M824" s="185"/>
      <c r="N824"/>
      <c r="O824">
        <v>1010100</v>
      </c>
      <c r="P824" t="s">
        <v>29</v>
      </c>
      <c r="Q824">
        <v>200000100</v>
      </c>
      <c r="R824" t="s">
        <v>15322</v>
      </c>
      <c r="S824"/>
      <c r="T824" t="s">
        <v>15323</v>
      </c>
      <c r="U824" t="s">
        <v>5803</v>
      </c>
      <c r="V824" s="23">
        <v>0</v>
      </c>
      <c r="W824" s="23">
        <v>0</v>
      </c>
      <c r="X824" s="23">
        <v>0</v>
      </c>
      <c r="Y824"/>
      <c r="Z824">
        <v>1246279519</v>
      </c>
      <c r="AA824"/>
      <c r="AB824"/>
      <c r="AC824">
        <v>102</v>
      </c>
      <c r="AD824">
        <v>4</v>
      </c>
      <c r="AE824" t="s">
        <v>15324</v>
      </c>
      <c r="AF824"/>
      <c r="AG824" s="23"/>
      <c r="AH824" s="265" t="str">
        <f>_xlfn.XLOOKUP(G824,Clientes!I:I,Clientes!F:F)</f>
        <v>GRUPO YARA</v>
      </c>
    </row>
    <row r="825" spans="1:34" x14ac:dyDescent="0.25">
      <c r="A825">
        <v>161</v>
      </c>
      <c r="B825" t="s">
        <v>145</v>
      </c>
      <c r="C825"/>
      <c r="D825" s="23">
        <v>271016.88</v>
      </c>
      <c r="E825">
        <v>11488</v>
      </c>
      <c r="F825">
        <v>11</v>
      </c>
      <c r="G825">
        <v>1159</v>
      </c>
      <c r="H825" t="s">
        <v>50</v>
      </c>
      <c r="I825" s="23">
        <v>271016.88</v>
      </c>
      <c r="J825" s="185">
        <v>46167</v>
      </c>
      <c r="K825" s="185">
        <v>46167</v>
      </c>
      <c r="L825" s="185">
        <v>46207</v>
      </c>
      <c r="M825" s="185"/>
      <c r="N825"/>
      <c r="O825">
        <v>1010100</v>
      </c>
      <c r="P825" t="s">
        <v>29</v>
      </c>
      <c r="Q825">
        <v>200000100</v>
      </c>
      <c r="R825" t="s">
        <v>15322</v>
      </c>
      <c r="S825"/>
      <c r="T825" t="s">
        <v>15323</v>
      </c>
      <c r="U825" t="s">
        <v>5803</v>
      </c>
      <c r="V825" s="23">
        <v>0</v>
      </c>
      <c r="W825" s="23">
        <v>0</v>
      </c>
      <c r="X825" s="23">
        <v>0</v>
      </c>
      <c r="Y825"/>
      <c r="Z825">
        <v>1246276527</v>
      </c>
      <c r="AA825"/>
      <c r="AB825"/>
      <c r="AC825">
        <v>102</v>
      </c>
      <c r="AD825">
        <v>4</v>
      </c>
      <c r="AE825" t="s">
        <v>15324</v>
      </c>
      <c r="AF825"/>
      <c r="AG825" s="23"/>
      <c r="AH825" s="265" t="str">
        <f>_xlfn.XLOOKUP(G825,Clientes!I:I,Clientes!F:F)</f>
        <v>GRUPO YARA</v>
      </c>
    </row>
    <row r="826" spans="1:34" x14ac:dyDescent="0.25">
      <c r="A826">
        <v>161</v>
      </c>
      <c r="B826" t="s">
        <v>145</v>
      </c>
      <c r="C826"/>
      <c r="D826" s="23">
        <v>271107.40000000002</v>
      </c>
      <c r="E826">
        <v>11108</v>
      </c>
      <c r="F826">
        <v>11</v>
      </c>
      <c r="G826">
        <v>1159</v>
      </c>
      <c r="H826" t="s">
        <v>50</v>
      </c>
      <c r="I826" s="23">
        <v>271107.40000000002</v>
      </c>
      <c r="J826" s="185">
        <v>46125</v>
      </c>
      <c r="K826" s="185">
        <v>46125</v>
      </c>
      <c r="L826" s="185">
        <v>46165</v>
      </c>
      <c r="M826" s="185">
        <v>46167</v>
      </c>
      <c r="N826"/>
      <c r="O826">
        <v>1010100</v>
      </c>
      <c r="P826" t="s">
        <v>29</v>
      </c>
      <c r="Q826">
        <v>200000100</v>
      </c>
      <c r="R826" t="s">
        <v>15322</v>
      </c>
      <c r="S826"/>
      <c r="T826" t="s">
        <v>15323</v>
      </c>
      <c r="U826" t="s">
        <v>1199</v>
      </c>
      <c r="V826" s="23">
        <v>0</v>
      </c>
      <c r="W826" s="23">
        <v>0</v>
      </c>
      <c r="X826" s="23">
        <v>0</v>
      </c>
      <c r="Y826"/>
      <c r="Z826">
        <v>1246271171</v>
      </c>
      <c r="AA826"/>
      <c r="AB826" t="s">
        <v>1199</v>
      </c>
      <c r="AC826">
        <v>102</v>
      </c>
      <c r="AD826">
        <v>4</v>
      </c>
      <c r="AE826" t="s">
        <v>15324</v>
      </c>
      <c r="AF826"/>
      <c r="AG826" s="23"/>
      <c r="AH826" s="265" t="str">
        <f>_xlfn.XLOOKUP(G826,Clientes!I:I,Clientes!F:F)</f>
        <v>GRUPO YARA</v>
      </c>
    </row>
    <row r="827" spans="1:34" x14ac:dyDescent="0.25">
      <c r="A827">
        <v>161</v>
      </c>
      <c r="B827" t="s">
        <v>145</v>
      </c>
      <c r="C827"/>
      <c r="D827" s="23">
        <v>271288.44</v>
      </c>
      <c r="E827">
        <v>10590</v>
      </c>
      <c r="F827">
        <v>11</v>
      </c>
      <c r="G827">
        <v>1159</v>
      </c>
      <c r="H827" t="s">
        <v>50</v>
      </c>
      <c r="I827" s="23">
        <v>271288.44</v>
      </c>
      <c r="J827" s="185">
        <v>46050</v>
      </c>
      <c r="K827" s="185">
        <v>46050</v>
      </c>
      <c r="L827" s="185">
        <v>46090</v>
      </c>
      <c r="M827" s="185">
        <v>46090</v>
      </c>
      <c r="N827"/>
      <c r="O827">
        <v>1010100</v>
      </c>
      <c r="P827" t="s">
        <v>29</v>
      </c>
      <c r="Q827">
        <v>200000100</v>
      </c>
      <c r="R827" t="s">
        <v>15322</v>
      </c>
      <c r="S827"/>
      <c r="T827" t="s">
        <v>15323</v>
      </c>
      <c r="U827" t="s">
        <v>4468</v>
      </c>
      <c r="V827" s="23">
        <v>0</v>
      </c>
      <c r="W827" s="23">
        <v>0</v>
      </c>
      <c r="X827" s="23">
        <v>0</v>
      </c>
      <c r="Y827"/>
      <c r="Z827">
        <v>1246261367</v>
      </c>
      <c r="AA827"/>
      <c r="AB827" t="s">
        <v>2073</v>
      </c>
      <c r="AC827">
        <v>102</v>
      </c>
      <c r="AD827">
        <v>4</v>
      </c>
      <c r="AE827" t="s">
        <v>15324</v>
      </c>
      <c r="AF827"/>
      <c r="AG827" s="23"/>
      <c r="AH827" s="265" t="str">
        <f>_xlfn.XLOOKUP(G827,Clientes!I:I,Clientes!F:F)</f>
        <v>GRUPO YARA</v>
      </c>
    </row>
    <row r="828" spans="1:34" x14ac:dyDescent="0.25">
      <c r="A828">
        <v>161</v>
      </c>
      <c r="B828" t="s">
        <v>145</v>
      </c>
      <c r="C828"/>
      <c r="D828" s="23">
        <v>271288.44</v>
      </c>
      <c r="E828">
        <v>11539</v>
      </c>
      <c r="F828">
        <v>11</v>
      </c>
      <c r="G828">
        <v>1159</v>
      </c>
      <c r="H828" t="s">
        <v>50</v>
      </c>
      <c r="I828" s="23">
        <v>271288.44</v>
      </c>
      <c r="J828" s="185">
        <v>46170</v>
      </c>
      <c r="K828" s="185">
        <v>46170</v>
      </c>
      <c r="L828" s="185">
        <v>46210</v>
      </c>
      <c r="M828" s="185"/>
      <c r="N828"/>
      <c r="O828">
        <v>1010100</v>
      </c>
      <c r="P828" t="s">
        <v>29</v>
      </c>
      <c r="Q828">
        <v>200000100</v>
      </c>
      <c r="R828" t="s">
        <v>15322</v>
      </c>
      <c r="S828"/>
      <c r="T828" t="s">
        <v>15323</v>
      </c>
      <c r="U828" t="s">
        <v>4502</v>
      </c>
      <c r="V828" s="23">
        <v>0</v>
      </c>
      <c r="W828" s="23">
        <v>0</v>
      </c>
      <c r="X828" s="23">
        <v>0</v>
      </c>
      <c r="Y828"/>
      <c r="Z828">
        <v>1246277294</v>
      </c>
      <c r="AA828"/>
      <c r="AB828"/>
      <c r="AC828">
        <v>102</v>
      </c>
      <c r="AD828">
        <v>4</v>
      </c>
      <c r="AE828" t="s">
        <v>15324</v>
      </c>
      <c r="AF828"/>
      <c r="AG828" s="23"/>
      <c r="AH828" s="265" t="str">
        <f>_xlfn.XLOOKUP(G828,Clientes!I:I,Clientes!F:F)</f>
        <v>GRUPO YARA</v>
      </c>
    </row>
    <row r="829" spans="1:34" x14ac:dyDescent="0.25">
      <c r="A829">
        <v>161</v>
      </c>
      <c r="B829" t="s">
        <v>145</v>
      </c>
      <c r="C829"/>
      <c r="D829" s="23">
        <v>271297.49</v>
      </c>
      <c r="E829">
        <v>11329</v>
      </c>
      <c r="F829">
        <v>11</v>
      </c>
      <c r="G829">
        <v>1159</v>
      </c>
      <c r="H829" t="s">
        <v>50</v>
      </c>
      <c r="I829" s="23">
        <v>271297.49</v>
      </c>
      <c r="J829" s="185">
        <v>46150</v>
      </c>
      <c r="K829" s="185">
        <v>46150</v>
      </c>
      <c r="L829" s="185">
        <v>46190</v>
      </c>
      <c r="M829" s="185">
        <v>46190</v>
      </c>
      <c r="N829"/>
      <c r="O829">
        <v>1010100</v>
      </c>
      <c r="P829" t="s">
        <v>29</v>
      </c>
      <c r="Q829">
        <v>200000100</v>
      </c>
      <c r="R829" t="s">
        <v>15322</v>
      </c>
      <c r="S829"/>
      <c r="T829" t="s">
        <v>15323</v>
      </c>
      <c r="U829" t="s">
        <v>1530</v>
      </c>
      <c r="V829" s="23">
        <v>0</v>
      </c>
      <c r="W829" s="23">
        <v>0</v>
      </c>
      <c r="X829" s="23">
        <v>0</v>
      </c>
      <c r="Y829"/>
      <c r="Z829">
        <v>1246274072</v>
      </c>
      <c r="AA829"/>
      <c r="AB829" t="s">
        <v>1199</v>
      </c>
      <c r="AC829">
        <v>102</v>
      </c>
      <c r="AD829">
        <v>4</v>
      </c>
      <c r="AE829" t="s">
        <v>15324</v>
      </c>
      <c r="AF829"/>
      <c r="AG829" s="23"/>
      <c r="AH829" s="265" t="str">
        <f>_xlfn.XLOOKUP(G829,Clientes!I:I,Clientes!F:F)</f>
        <v>GRUPO YARA</v>
      </c>
    </row>
    <row r="830" spans="1:34" x14ac:dyDescent="0.25">
      <c r="A830">
        <v>161</v>
      </c>
      <c r="B830" t="s">
        <v>145</v>
      </c>
      <c r="C830"/>
      <c r="D830" s="23">
        <v>271378.96000000002</v>
      </c>
      <c r="E830">
        <v>11687</v>
      </c>
      <c r="F830">
        <v>11</v>
      </c>
      <c r="G830">
        <v>1159</v>
      </c>
      <c r="H830" t="s">
        <v>50</v>
      </c>
      <c r="I830" s="23">
        <v>271378.96000000002</v>
      </c>
      <c r="J830" s="185">
        <v>46184</v>
      </c>
      <c r="K830" s="185">
        <v>46184</v>
      </c>
      <c r="L830" s="185">
        <v>46224</v>
      </c>
      <c r="M830" s="185"/>
      <c r="N830"/>
      <c r="O830">
        <v>1010100</v>
      </c>
      <c r="P830" t="s">
        <v>29</v>
      </c>
      <c r="Q830">
        <v>200000100</v>
      </c>
      <c r="R830" t="s">
        <v>15322</v>
      </c>
      <c r="S830"/>
      <c r="T830" t="s">
        <v>15323</v>
      </c>
      <c r="U830" t="s">
        <v>2246</v>
      </c>
      <c r="V830" s="23">
        <v>0</v>
      </c>
      <c r="W830" s="23">
        <v>0</v>
      </c>
      <c r="X830" s="23">
        <v>0</v>
      </c>
      <c r="Y830"/>
      <c r="Z830">
        <v>1246279255</v>
      </c>
      <c r="AA830"/>
      <c r="AB830"/>
      <c r="AC830">
        <v>102</v>
      </c>
      <c r="AD830">
        <v>4</v>
      </c>
      <c r="AE830" t="s">
        <v>15324</v>
      </c>
      <c r="AF830"/>
      <c r="AG830" s="23"/>
      <c r="AH830" s="265" t="str">
        <f>_xlfn.XLOOKUP(G830,Clientes!I:I,Clientes!F:F)</f>
        <v>GRUPO YARA</v>
      </c>
    </row>
    <row r="831" spans="1:34" x14ac:dyDescent="0.25">
      <c r="A831">
        <v>161</v>
      </c>
      <c r="B831" t="s">
        <v>145</v>
      </c>
      <c r="C831"/>
      <c r="D831" s="23">
        <v>271469.48</v>
      </c>
      <c r="E831">
        <v>10685</v>
      </c>
      <c r="F831">
        <v>11</v>
      </c>
      <c r="G831">
        <v>1159</v>
      </c>
      <c r="H831" t="s">
        <v>50</v>
      </c>
      <c r="I831" s="23">
        <v>271469.48</v>
      </c>
      <c r="J831" s="185">
        <v>46065</v>
      </c>
      <c r="K831" s="185">
        <v>46065</v>
      </c>
      <c r="L831" s="185">
        <v>46105</v>
      </c>
      <c r="M831" s="185">
        <v>46105</v>
      </c>
      <c r="N831"/>
      <c r="O831">
        <v>1010100</v>
      </c>
      <c r="P831" t="s">
        <v>29</v>
      </c>
      <c r="Q831">
        <v>200000100</v>
      </c>
      <c r="R831" t="s">
        <v>15322</v>
      </c>
      <c r="S831"/>
      <c r="T831" t="s">
        <v>15323</v>
      </c>
      <c r="U831" t="s">
        <v>4468</v>
      </c>
      <c r="V831" s="23">
        <v>0</v>
      </c>
      <c r="W831" s="23">
        <v>0</v>
      </c>
      <c r="X831" s="23">
        <v>0</v>
      </c>
      <c r="Y831"/>
      <c r="Z831">
        <v>1246263539</v>
      </c>
      <c r="AA831"/>
      <c r="AB831" t="s">
        <v>1199</v>
      </c>
      <c r="AC831">
        <v>102</v>
      </c>
      <c r="AD831">
        <v>4</v>
      </c>
      <c r="AE831" t="s">
        <v>15324</v>
      </c>
      <c r="AF831"/>
      <c r="AG831" s="23"/>
      <c r="AH831" s="265" t="str">
        <f>_xlfn.XLOOKUP(G831,Clientes!I:I,Clientes!F:F)</f>
        <v>GRUPO YARA</v>
      </c>
    </row>
    <row r="832" spans="1:34" x14ac:dyDescent="0.25">
      <c r="A832">
        <v>161</v>
      </c>
      <c r="B832" t="s">
        <v>145</v>
      </c>
      <c r="C832"/>
      <c r="D832" s="23">
        <v>271469.48</v>
      </c>
      <c r="E832">
        <v>11089</v>
      </c>
      <c r="F832">
        <v>11</v>
      </c>
      <c r="G832">
        <v>1159</v>
      </c>
      <c r="H832" t="s">
        <v>50</v>
      </c>
      <c r="I832" s="23">
        <v>271469.48</v>
      </c>
      <c r="J832" s="185">
        <v>46122</v>
      </c>
      <c r="K832" s="185">
        <v>46122</v>
      </c>
      <c r="L832" s="185">
        <v>46162</v>
      </c>
      <c r="M832" s="185">
        <v>46162</v>
      </c>
      <c r="N832"/>
      <c r="O832">
        <v>1010100</v>
      </c>
      <c r="P832" t="s">
        <v>29</v>
      </c>
      <c r="Q832">
        <v>200000100</v>
      </c>
      <c r="R832" t="s">
        <v>15322</v>
      </c>
      <c r="S832"/>
      <c r="T832" t="s">
        <v>15323</v>
      </c>
      <c r="U832" t="s">
        <v>1964</v>
      </c>
      <c r="V832" s="23">
        <v>0</v>
      </c>
      <c r="W832" s="23">
        <v>0</v>
      </c>
      <c r="X832" s="23">
        <v>0</v>
      </c>
      <c r="Y832"/>
      <c r="Z832">
        <v>1246270981</v>
      </c>
      <c r="AA832"/>
      <c r="AB832" t="s">
        <v>1199</v>
      </c>
      <c r="AC832">
        <v>102</v>
      </c>
      <c r="AD832">
        <v>4</v>
      </c>
      <c r="AE832" t="s">
        <v>15324</v>
      </c>
      <c r="AF832"/>
      <c r="AG832" s="23"/>
      <c r="AH832" s="265" t="str">
        <f>_xlfn.XLOOKUP(G832,Clientes!I:I,Clientes!F:F)</f>
        <v>GRUPO YARA</v>
      </c>
    </row>
    <row r="833" spans="1:34" x14ac:dyDescent="0.25">
      <c r="A833">
        <v>161</v>
      </c>
      <c r="B833" t="s">
        <v>145</v>
      </c>
      <c r="C833"/>
      <c r="D833" s="23">
        <v>271469.48</v>
      </c>
      <c r="E833">
        <v>11254</v>
      </c>
      <c r="F833">
        <v>11</v>
      </c>
      <c r="G833">
        <v>1159</v>
      </c>
      <c r="H833" t="s">
        <v>50</v>
      </c>
      <c r="I833" s="23">
        <v>271469.48</v>
      </c>
      <c r="J833" s="185">
        <v>46141</v>
      </c>
      <c r="K833" s="185">
        <v>46141</v>
      </c>
      <c r="L833" s="185">
        <v>46181</v>
      </c>
      <c r="M833" s="185">
        <v>46181</v>
      </c>
      <c r="N833"/>
      <c r="O833">
        <v>1010100</v>
      </c>
      <c r="P833" t="s">
        <v>29</v>
      </c>
      <c r="Q833">
        <v>200000100</v>
      </c>
      <c r="R833" t="s">
        <v>15322</v>
      </c>
      <c r="S833"/>
      <c r="T833" t="s">
        <v>15323</v>
      </c>
      <c r="U833" t="s">
        <v>2246</v>
      </c>
      <c r="V833" s="23">
        <v>0</v>
      </c>
      <c r="W833" s="23">
        <v>0</v>
      </c>
      <c r="X833" s="23">
        <v>0</v>
      </c>
      <c r="Y833"/>
      <c r="Z833">
        <v>1246273041</v>
      </c>
      <c r="AA833"/>
      <c r="AB833" t="s">
        <v>1199</v>
      </c>
      <c r="AC833">
        <v>102</v>
      </c>
      <c r="AD833">
        <v>4</v>
      </c>
      <c r="AE833" t="s">
        <v>15324</v>
      </c>
      <c r="AF833"/>
      <c r="AG833" s="23"/>
      <c r="AH833" s="265" t="str">
        <f>_xlfn.XLOOKUP(G833,Clientes!I:I,Clientes!F:F)</f>
        <v>GRUPO YARA</v>
      </c>
    </row>
    <row r="834" spans="1:34" x14ac:dyDescent="0.25">
      <c r="A834">
        <v>161</v>
      </c>
      <c r="B834" t="s">
        <v>145</v>
      </c>
      <c r="C834"/>
      <c r="D834" s="23">
        <v>271560</v>
      </c>
      <c r="E834">
        <v>10736</v>
      </c>
      <c r="F834">
        <v>11</v>
      </c>
      <c r="G834">
        <v>1159</v>
      </c>
      <c r="H834" t="s">
        <v>50</v>
      </c>
      <c r="I834" s="23">
        <v>271560</v>
      </c>
      <c r="J834" s="185">
        <v>46073</v>
      </c>
      <c r="K834" s="185">
        <v>46073</v>
      </c>
      <c r="L834" s="185">
        <v>46113</v>
      </c>
      <c r="M834" s="185">
        <v>46113</v>
      </c>
      <c r="N834"/>
      <c r="O834">
        <v>1010100</v>
      </c>
      <c r="P834" t="s">
        <v>29</v>
      </c>
      <c r="Q834">
        <v>200000100</v>
      </c>
      <c r="R834" t="s">
        <v>15322</v>
      </c>
      <c r="S834"/>
      <c r="T834" t="s">
        <v>15323</v>
      </c>
      <c r="U834" t="s">
        <v>4468</v>
      </c>
      <c r="V834" s="23">
        <v>0</v>
      </c>
      <c r="W834" s="23">
        <v>0</v>
      </c>
      <c r="X834" s="23">
        <v>0</v>
      </c>
      <c r="Y834"/>
      <c r="Z834">
        <v>1246264420</v>
      </c>
      <c r="AA834"/>
      <c r="AB834" t="s">
        <v>1199</v>
      </c>
      <c r="AC834">
        <v>102</v>
      </c>
      <c r="AD834">
        <v>4</v>
      </c>
      <c r="AE834" t="s">
        <v>15324</v>
      </c>
      <c r="AF834"/>
      <c r="AG834" s="23"/>
      <c r="AH834" s="265" t="str">
        <f>_xlfn.XLOOKUP(G834,Clientes!I:I,Clientes!F:F)</f>
        <v>GRUPO YARA</v>
      </c>
    </row>
    <row r="835" spans="1:34" x14ac:dyDescent="0.25">
      <c r="A835">
        <v>161</v>
      </c>
      <c r="B835" t="s">
        <v>145</v>
      </c>
      <c r="C835"/>
      <c r="D835" s="23">
        <v>271650.52</v>
      </c>
      <c r="E835">
        <v>11070</v>
      </c>
      <c r="F835">
        <v>11</v>
      </c>
      <c r="G835">
        <v>1159</v>
      </c>
      <c r="H835" t="s">
        <v>50</v>
      </c>
      <c r="I835" s="23">
        <v>271650.52</v>
      </c>
      <c r="J835" s="185">
        <v>46120</v>
      </c>
      <c r="K835" s="185">
        <v>46120</v>
      </c>
      <c r="L835" s="185">
        <v>46160</v>
      </c>
      <c r="M835" s="185">
        <v>46160</v>
      </c>
      <c r="N835"/>
      <c r="O835">
        <v>1010100</v>
      </c>
      <c r="P835" t="s">
        <v>29</v>
      </c>
      <c r="Q835">
        <v>200000100</v>
      </c>
      <c r="R835" t="s">
        <v>15322</v>
      </c>
      <c r="S835"/>
      <c r="T835" t="s">
        <v>15323</v>
      </c>
      <c r="U835" t="s">
        <v>1199</v>
      </c>
      <c r="V835" s="23">
        <v>0</v>
      </c>
      <c r="W835" s="23">
        <v>0</v>
      </c>
      <c r="X835" s="23">
        <v>0</v>
      </c>
      <c r="Y835"/>
      <c r="Z835">
        <v>1246270614</v>
      </c>
      <c r="AA835"/>
      <c r="AB835" t="s">
        <v>1199</v>
      </c>
      <c r="AC835">
        <v>102</v>
      </c>
      <c r="AD835">
        <v>4</v>
      </c>
      <c r="AE835" t="s">
        <v>15324</v>
      </c>
      <c r="AF835"/>
      <c r="AG835" s="23"/>
      <c r="AH835" s="265" t="str">
        <f>_xlfn.XLOOKUP(G835,Clientes!I:I,Clientes!F:F)</f>
        <v>GRUPO YARA</v>
      </c>
    </row>
    <row r="836" spans="1:34" x14ac:dyDescent="0.25">
      <c r="A836">
        <v>161</v>
      </c>
      <c r="B836" t="s">
        <v>145</v>
      </c>
      <c r="C836"/>
      <c r="D836" s="23">
        <v>271650.52</v>
      </c>
      <c r="E836">
        <v>10409</v>
      </c>
      <c r="F836">
        <v>11</v>
      </c>
      <c r="G836">
        <v>1159</v>
      </c>
      <c r="H836" t="s">
        <v>50</v>
      </c>
      <c r="I836" s="23">
        <v>271650.52</v>
      </c>
      <c r="J836" s="185">
        <v>46024</v>
      </c>
      <c r="K836" s="185">
        <v>46024</v>
      </c>
      <c r="L836" s="185">
        <v>46064</v>
      </c>
      <c r="M836" s="185">
        <v>46064</v>
      </c>
      <c r="N836"/>
      <c r="O836">
        <v>1010100</v>
      </c>
      <c r="P836" t="s">
        <v>29</v>
      </c>
      <c r="Q836">
        <v>200000100</v>
      </c>
      <c r="R836" t="s">
        <v>15322</v>
      </c>
      <c r="S836"/>
      <c r="T836" t="s">
        <v>15323</v>
      </c>
      <c r="U836" t="s">
        <v>4468</v>
      </c>
      <c r="V836" s="23">
        <v>0</v>
      </c>
      <c r="W836" s="23">
        <v>0</v>
      </c>
      <c r="X836" s="23">
        <v>0</v>
      </c>
      <c r="Y836"/>
      <c r="Z836">
        <v>1246258144</v>
      </c>
      <c r="AA836"/>
      <c r="AB836" t="s">
        <v>1199</v>
      </c>
      <c r="AC836">
        <v>102</v>
      </c>
      <c r="AD836">
        <v>4</v>
      </c>
      <c r="AE836" t="s">
        <v>15324</v>
      </c>
      <c r="AF836"/>
      <c r="AG836" s="23"/>
      <c r="AH836" s="265" t="str">
        <f>_xlfn.XLOOKUP(G836,Clientes!I:I,Clientes!F:F)</f>
        <v>GRUPO YARA</v>
      </c>
    </row>
    <row r="837" spans="1:34" x14ac:dyDescent="0.25">
      <c r="A837">
        <v>161</v>
      </c>
      <c r="B837" t="s">
        <v>145</v>
      </c>
      <c r="C837"/>
      <c r="D837" s="23">
        <v>271650.52</v>
      </c>
      <c r="E837">
        <v>10496</v>
      </c>
      <c r="F837">
        <v>11</v>
      </c>
      <c r="G837">
        <v>1159</v>
      </c>
      <c r="H837" t="s">
        <v>50</v>
      </c>
      <c r="I837" s="23">
        <v>271650.52</v>
      </c>
      <c r="J837" s="185">
        <v>46037</v>
      </c>
      <c r="K837" s="185">
        <v>46037</v>
      </c>
      <c r="L837" s="185">
        <v>46077</v>
      </c>
      <c r="M837" s="185">
        <v>46077</v>
      </c>
      <c r="N837"/>
      <c r="O837">
        <v>1010100</v>
      </c>
      <c r="P837" t="s">
        <v>29</v>
      </c>
      <c r="Q837">
        <v>200000100</v>
      </c>
      <c r="R837" t="s">
        <v>15322</v>
      </c>
      <c r="S837"/>
      <c r="T837" t="s">
        <v>15323</v>
      </c>
      <c r="U837" t="s">
        <v>5803</v>
      </c>
      <c r="V837" s="23">
        <v>0</v>
      </c>
      <c r="W837" s="23">
        <v>0</v>
      </c>
      <c r="X837" s="23">
        <v>0</v>
      </c>
      <c r="Y837"/>
      <c r="Z837">
        <v>1246259625</v>
      </c>
      <c r="AA837"/>
      <c r="AB837" t="s">
        <v>1199</v>
      </c>
      <c r="AC837">
        <v>102</v>
      </c>
      <c r="AD837">
        <v>4</v>
      </c>
      <c r="AE837" t="s">
        <v>15324</v>
      </c>
      <c r="AF837"/>
      <c r="AG837" s="23"/>
      <c r="AH837" s="265" t="str">
        <f>_xlfn.XLOOKUP(G837,Clientes!I:I,Clientes!F:F)</f>
        <v>GRUPO YARA</v>
      </c>
    </row>
    <row r="838" spans="1:34" x14ac:dyDescent="0.25">
      <c r="A838">
        <v>161</v>
      </c>
      <c r="B838" t="s">
        <v>145</v>
      </c>
      <c r="C838"/>
      <c r="D838" s="23">
        <v>271741.03999999998</v>
      </c>
      <c r="E838">
        <v>10640</v>
      </c>
      <c r="F838">
        <v>11</v>
      </c>
      <c r="G838">
        <v>1159</v>
      </c>
      <c r="H838" t="s">
        <v>50</v>
      </c>
      <c r="I838" s="23">
        <v>271741.03999999998</v>
      </c>
      <c r="J838" s="185">
        <v>46057</v>
      </c>
      <c r="K838" s="185">
        <v>46057</v>
      </c>
      <c r="L838" s="185">
        <v>46097</v>
      </c>
      <c r="M838" s="185">
        <v>46097</v>
      </c>
      <c r="N838"/>
      <c r="O838">
        <v>1010100</v>
      </c>
      <c r="P838" t="s">
        <v>29</v>
      </c>
      <c r="Q838">
        <v>200000100</v>
      </c>
      <c r="R838" t="s">
        <v>15322</v>
      </c>
      <c r="S838"/>
      <c r="T838" t="s">
        <v>15323</v>
      </c>
      <c r="U838" t="s">
        <v>2246</v>
      </c>
      <c r="V838" s="23">
        <v>0</v>
      </c>
      <c r="W838" s="23">
        <v>0</v>
      </c>
      <c r="X838" s="23">
        <v>0</v>
      </c>
      <c r="Y838"/>
      <c r="Z838">
        <v>1246262258</v>
      </c>
      <c r="AA838"/>
      <c r="AB838" t="s">
        <v>1199</v>
      </c>
      <c r="AC838">
        <v>102</v>
      </c>
      <c r="AD838">
        <v>4</v>
      </c>
      <c r="AE838" t="s">
        <v>15324</v>
      </c>
      <c r="AF838"/>
      <c r="AG838" s="23"/>
      <c r="AH838" s="265" t="str">
        <f>_xlfn.XLOOKUP(G838,Clientes!I:I,Clientes!F:F)</f>
        <v>GRUPO YARA</v>
      </c>
    </row>
    <row r="839" spans="1:34" x14ac:dyDescent="0.25">
      <c r="A839">
        <v>161</v>
      </c>
      <c r="B839" t="s">
        <v>145</v>
      </c>
      <c r="C839"/>
      <c r="D839" s="23">
        <v>271741.03999999998</v>
      </c>
      <c r="E839">
        <v>11006</v>
      </c>
      <c r="F839">
        <v>11</v>
      </c>
      <c r="G839">
        <v>1159</v>
      </c>
      <c r="H839" t="s">
        <v>50</v>
      </c>
      <c r="I839" s="23">
        <v>271741.03999999998</v>
      </c>
      <c r="J839" s="185">
        <v>46111</v>
      </c>
      <c r="K839" s="185">
        <v>46111</v>
      </c>
      <c r="L839" s="185">
        <v>46151</v>
      </c>
      <c r="M839" s="185">
        <v>46153</v>
      </c>
      <c r="N839"/>
      <c r="O839">
        <v>1010100</v>
      </c>
      <c r="P839" t="s">
        <v>29</v>
      </c>
      <c r="Q839">
        <v>200000100</v>
      </c>
      <c r="R839" t="s">
        <v>15322</v>
      </c>
      <c r="S839"/>
      <c r="T839" t="s">
        <v>15323</v>
      </c>
      <c r="U839" t="s">
        <v>4502</v>
      </c>
      <c r="V839" s="23">
        <v>0</v>
      </c>
      <c r="W839" s="23">
        <v>0</v>
      </c>
      <c r="X839" s="23">
        <v>0</v>
      </c>
      <c r="Y839"/>
      <c r="Z839">
        <v>1246269608</v>
      </c>
      <c r="AA839"/>
      <c r="AB839" t="s">
        <v>1199</v>
      </c>
      <c r="AC839">
        <v>102</v>
      </c>
      <c r="AD839">
        <v>4</v>
      </c>
      <c r="AE839" t="s">
        <v>15324</v>
      </c>
      <c r="AF839"/>
      <c r="AG839" s="23"/>
      <c r="AH839" s="265" t="str">
        <f>_xlfn.XLOOKUP(G839,Clientes!I:I,Clientes!F:F)</f>
        <v>GRUPO YARA</v>
      </c>
    </row>
    <row r="840" spans="1:34" x14ac:dyDescent="0.25">
      <c r="A840">
        <v>161</v>
      </c>
      <c r="B840" t="s">
        <v>145</v>
      </c>
      <c r="C840"/>
      <c r="D840" s="23">
        <v>271831.56</v>
      </c>
      <c r="E840">
        <v>10570</v>
      </c>
      <c r="F840">
        <v>11</v>
      </c>
      <c r="G840">
        <v>1159</v>
      </c>
      <c r="H840" t="s">
        <v>50</v>
      </c>
      <c r="I840" s="23">
        <v>271831.56</v>
      </c>
      <c r="J840" s="185">
        <v>46048</v>
      </c>
      <c r="K840" s="185">
        <v>46048</v>
      </c>
      <c r="L840" s="185">
        <v>46088</v>
      </c>
      <c r="M840" s="185">
        <v>46090</v>
      </c>
      <c r="N840"/>
      <c r="O840">
        <v>1010100</v>
      </c>
      <c r="P840" t="s">
        <v>29</v>
      </c>
      <c r="Q840">
        <v>200000100</v>
      </c>
      <c r="R840" t="s">
        <v>15322</v>
      </c>
      <c r="S840"/>
      <c r="T840" t="s">
        <v>15323</v>
      </c>
      <c r="U840" t="s">
        <v>2246</v>
      </c>
      <c r="V840" s="23">
        <v>0</v>
      </c>
      <c r="W840" s="23">
        <v>0</v>
      </c>
      <c r="X840" s="23">
        <v>0</v>
      </c>
      <c r="Y840"/>
      <c r="Z840">
        <v>1246260937</v>
      </c>
      <c r="AA840"/>
      <c r="AB840" t="s">
        <v>2073</v>
      </c>
      <c r="AC840">
        <v>102</v>
      </c>
      <c r="AD840">
        <v>4</v>
      </c>
      <c r="AE840" t="s">
        <v>15324</v>
      </c>
      <c r="AF840"/>
      <c r="AG840" s="23"/>
      <c r="AH840" s="265" t="str">
        <f>_xlfn.XLOOKUP(G840,Clientes!I:I,Clientes!F:F)</f>
        <v>GRUPO YARA</v>
      </c>
    </row>
    <row r="841" spans="1:34" x14ac:dyDescent="0.25">
      <c r="A841">
        <v>161</v>
      </c>
      <c r="B841" t="s">
        <v>145</v>
      </c>
      <c r="C841"/>
      <c r="D841" s="23">
        <v>271831.56</v>
      </c>
      <c r="E841">
        <v>11024</v>
      </c>
      <c r="F841">
        <v>11</v>
      </c>
      <c r="G841">
        <v>1159</v>
      </c>
      <c r="H841" t="s">
        <v>50</v>
      </c>
      <c r="I841" s="23">
        <v>271831.56</v>
      </c>
      <c r="J841" s="185">
        <v>46113</v>
      </c>
      <c r="K841" s="185">
        <v>46113</v>
      </c>
      <c r="L841" s="185">
        <v>46153</v>
      </c>
      <c r="M841" s="185">
        <v>46153</v>
      </c>
      <c r="N841"/>
      <c r="O841">
        <v>1010100</v>
      </c>
      <c r="P841" t="s">
        <v>29</v>
      </c>
      <c r="Q841">
        <v>200000100</v>
      </c>
      <c r="R841" t="s">
        <v>15322</v>
      </c>
      <c r="S841"/>
      <c r="T841" t="s">
        <v>15323</v>
      </c>
      <c r="U841" t="s">
        <v>4502</v>
      </c>
      <c r="V841" s="23">
        <v>0</v>
      </c>
      <c r="W841" s="23">
        <v>0</v>
      </c>
      <c r="X841" s="23">
        <v>0</v>
      </c>
      <c r="Y841"/>
      <c r="Z841">
        <v>1246269882</v>
      </c>
      <c r="AA841"/>
      <c r="AB841" t="s">
        <v>1199</v>
      </c>
      <c r="AC841">
        <v>102</v>
      </c>
      <c r="AD841">
        <v>4</v>
      </c>
      <c r="AE841" t="s">
        <v>15324</v>
      </c>
      <c r="AF841"/>
      <c r="AG841" s="23"/>
      <c r="AH841" s="265" t="str">
        <f>_xlfn.XLOOKUP(G841,Clientes!I:I,Clientes!F:F)</f>
        <v>GRUPO YARA</v>
      </c>
    </row>
    <row r="842" spans="1:34" x14ac:dyDescent="0.25">
      <c r="A842">
        <v>161</v>
      </c>
      <c r="B842" t="s">
        <v>145</v>
      </c>
      <c r="C842"/>
      <c r="D842" s="23">
        <v>271922.08</v>
      </c>
      <c r="E842">
        <v>11312</v>
      </c>
      <c r="F842">
        <v>11</v>
      </c>
      <c r="G842">
        <v>1159</v>
      </c>
      <c r="H842" t="s">
        <v>50</v>
      </c>
      <c r="I842" s="23">
        <v>271922.08</v>
      </c>
      <c r="J842" s="185">
        <v>46148</v>
      </c>
      <c r="K842" s="185">
        <v>46148</v>
      </c>
      <c r="L842" s="185">
        <v>46188</v>
      </c>
      <c r="M842" s="185">
        <v>46188</v>
      </c>
      <c r="N842"/>
      <c r="O842">
        <v>1010100</v>
      </c>
      <c r="P842" t="s">
        <v>29</v>
      </c>
      <c r="Q842">
        <v>200000100</v>
      </c>
      <c r="R842" t="s">
        <v>15322</v>
      </c>
      <c r="S842"/>
      <c r="T842" t="s">
        <v>15323</v>
      </c>
      <c r="U842" t="s">
        <v>1530</v>
      </c>
      <c r="V842" s="23">
        <v>0</v>
      </c>
      <c r="W842" s="23">
        <v>0</v>
      </c>
      <c r="X842" s="23">
        <v>0</v>
      </c>
      <c r="Y842"/>
      <c r="Z842">
        <v>1246273776</v>
      </c>
      <c r="AA842"/>
      <c r="AB842" t="s">
        <v>1199</v>
      </c>
      <c r="AC842">
        <v>102</v>
      </c>
      <c r="AD842">
        <v>4</v>
      </c>
      <c r="AE842" t="s">
        <v>15324</v>
      </c>
      <c r="AF842"/>
      <c r="AG842" s="23"/>
      <c r="AH842" s="265" t="str">
        <f>_xlfn.XLOOKUP(G842,Clientes!I:I,Clientes!F:F)</f>
        <v>GRUPO YARA</v>
      </c>
    </row>
    <row r="843" spans="1:34" x14ac:dyDescent="0.25">
      <c r="A843">
        <v>161</v>
      </c>
      <c r="B843" t="s">
        <v>145</v>
      </c>
      <c r="C843"/>
      <c r="D843" s="23">
        <v>271922.08</v>
      </c>
      <c r="E843">
        <v>11363</v>
      </c>
      <c r="F843">
        <v>11</v>
      </c>
      <c r="G843">
        <v>1159</v>
      </c>
      <c r="H843" t="s">
        <v>50</v>
      </c>
      <c r="I843" s="23">
        <v>271922.08</v>
      </c>
      <c r="J843" s="185">
        <v>46154</v>
      </c>
      <c r="K843" s="185">
        <v>46154</v>
      </c>
      <c r="L843" s="185">
        <v>46194</v>
      </c>
      <c r="M843" s="185">
        <v>46195</v>
      </c>
      <c r="N843"/>
      <c r="O843">
        <v>1010100</v>
      </c>
      <c r="P843" t="s">
        <v>29</v>
      </c>
      <c r="Q843">
        <v>200000100</v>
      </c>
      <c r="R843" t="s">
        <v>15322</v>
      </c>
      <c r="S843"/>
      <c r="T843" t="s">
        <v>15323</v>
      </c>
      <c r="U843" t="s">
        <v>4502</v>
      </c>
      <c r="V843" s="23">
        <v>0</v>
      </c>
      <c r="W843" s="23">
        <v>0</v>
      </c>
      <c r="X843" s="23">
        <v>0</v>
      </c>
      <c r="Y843"/>
      <c r="Z843">
        <v>1246274572</v>
      </c>
      <c r="AA843"/>
      <c r="AB843" t="s">
        <v>1199</v>
      </c>
      <c r="AC843">
        <v>102</v>
      </c>
      <c r="AD843">
        <v>4</v>
      </c>
      <c r="AE843" t="s">
        <v>15324</v>
      </c>
      <c r="AF843"/>
      <c r="AG843" s="23"/>
      <c r="AH843" s="265" t="str">
        <f>_xlfn.XLOOKUP(G843,Clientes!I:I,Clientes!F:F)</f>
        <v>GRUPO YARA</v>
      </c>
    </row>
    <row r="844" spans="1:34" x14ac:dyDescent="0.25">
      <c r="A844">
        <v>161</v>
      </c>
      <c r="B844" t="s">
        <v>145</v>
      </c>
      <c r="C844"/>
      <c r="D844" s="23">
        <v>272012.59999999998</v>
      </c>
      <c r="E844">
        <v>11228</v>
      </c>
      <c r="F844">
        <v>11</v>
      </c>
      <c r="G844">
        <v>1159</v>
      </c>
      <c r="H844" t="s">
        <v>50</v>
      </c>
      <c r="I844" s="23">
        <v>272012.59999999998</v>
      </c>
      <c r="J844" s="185">
        <v>46139</v>
      </c>
      <c r="K844" s="185">
        <v>46139</v>
      </c>
      <c r="L844" s="185">
        <v>46179</v>
      </c>
      <c r="M844" s="185">
        <v>46181</v>
      </c>
      <c r="N844"/>
      <c r="O844">
        <v>1010100</v>
      </c>
      <c r="P844" t="s">
        <v>29</v>
      </c>
      <c r="Q844">
        <v>200000100</v>
      </c>
      <c r="R844" t="s">
        <v>15322</v>
      </c>
      <c r="S844"/>
      <c r="T844" t="s">
        <v>15323</v>
      </c>
      <c r="U844" t="s">
        <v>4468</v>
      </c>
      <c r="V844" s="23">
        <v>0</v>
      </c>
      <c r="W844" s="23">
        <v>0</v>
      </c>
      <c r="X844" s="23">
        <v>0</v>
      </c>
      <c r="Y844"/>
      <c r="Z844">
        <v>1246272754</v>
      </c>
      <c r="AA844"/>
      <c r="AB844" t="s">
        <v>1199</v>
      </c>
      <c r="AC844">
        <v>102</v>
      </c>
      <c r="AD844">
        <v>4</v>
      </c>
      <c r="AE844" t="s">
        <v>15324</v>
      </c>
      <c r="AF844"/>
      <c r="AG844" s="23"/>
      <c r="AH844" s="265" t="str">
        <f>_xlfn.XLOOKUP(G844,Clientes!I:I,Clientes!F:F)</f>
        <v>GRUPO YARA</v>
      </c>
    </row>
    <row r="845" spans="1:34" x14ac:dyDescent="0.25">
      <c r="A845">
        <v>161</v>
      </c>
      <c r="B845" t="s">
        <v>145</v>
      </c>
      <c r="C845"/>
      <c r="D845" s="23">
        <v>272103.12</v>
      </c>
      <c r="E845">
        <v>10449</v>
      </c>
      <c r="F845">
        <v>11</v>
      </c>
      <c r="G845">
        <v>1159</v>
      </c>
      <c r="H845" t="s">
        <v>50</v>
      </c>
      <c r="I845" s="23">
        <v>272103.12</v>
      </c>
      <c r="J845" s="185">
        <v>46031</v>
      </c>
      <c r="K845" s="185">
        <v>46031</v>
      </c>
      <c r="L845" s="185">
        <v>46071</v>
      </c>
      <c r="M845" s="185">
        <v>46071</v>
      </c>
      <c r="N845"/>
      <c r="O845">
        <v>1010100</v>
      </c>
      <c r="P845" t="s">
        <v>29</v>
      </c>
      <c r="Q845">
        <v>200000100</v>
      </c>
      <c r="R845" t="s">
        <v>15322</v>
      </c>
      <c r="S845"/>
      <c r="T845" t="s">
        <v>15323</v>
      </c>
      <c r="U845" t="s">
        <v>4468</v>
      </c>
      <c r="V845" s="23">
        <v>0</v>
      </c>
      <c r="W845" s="23">
        <v>0</v>
      </c>
      <c r="X845" s="23">
        <v>0</v>
      </c>
      <c r="Y845"/>
      <c r="Z845">
        <v>1246259051</v>
      </c>
      <c r="AA845"/>
      <c r="AB845" t="s">
        <v>1199</v>
      </c>
      <c r="AC845">
        <v>102</v>
      </c>
      <c r="AD845">
        <v>4</v>
      </c>
      <c r="AE845" t="s">
        <v>15324</v>
      </c>
      <c r="AF845"/>
      <c r="AG845" s="23"/>
      <c r="AH845" s="265" t="str">
        <f>_xlfn.XLOOKUP(G845,Clientes!I:I,Clientes!F:F)</f>
        <v>GRUPO YARA</v>
      </c>
    </row>
    <row r="846" spans="1:34" x14ac:dyDescent="0.25">
      <c r="A846">
        <v>161</v>
      </c>
      <c r="B846" t="s">
        <v>145</v>
      </c>
      <c r="C846"/>
      <c r="D846" s="23">
        <v>272103.12</v>
      </c>
      <c r="E846">
        <v>11698</v>
      </c>
      <c r="F846">
        <v>11</v>
      </c>
      <c r="G846">
        <v>1159</v>
      </c>
      <c r="H846" t="s">
        <v>50</v>
      </c>
      <c r="I846" s="23">
        <v>272103.12</v>
      </c>
      <c r="J846" s="185">
        <v>46185</v>
      </c>
      <c r="K846" s="185">
        <v>46185</v>
      </c>
      <c r="L846" s="185">
        <v>46225</v>
      </c>
      <c r="M846" s="185"/>
      <c r="N846"/>
      <c r="O846">
        <v>1010100</v>
      </c>
      <c r="P846" t="s">
        <v>29</v>
      </c>
      <c r="Q846">
        <v>200000100</v>
      </c>
      <c r="R846" t="s">
        <v>15322</v>
      </c>
      <c r="S846"/>
      <c r="T846" t="s">
        <v>15323</v>
      </c>
      <c r="U846" t="s">
        <v>2246</v>
      </c>
      <c r="V846" s="23">
        <v>0</v>
      </c>
      <c r="W846" s="23">
        <v>0</v>
      </c>
      <c r="X846" s="23">
        <v>0</v>
      </c>
      <c r="Y846"/>
      <c r="Z846">
        <v>1246279380</v>
      </c>
      <c r="AA846"/>
      <c r="AB846"/>
      <c r="AC846">
        <v>102</v>
      </c>
      <c r="AD846">
        <v>4</v>
      </c>
      <c r="AE846" t="s">
        <v>15324</v>
      </c>
      <c r="AF846"/>
      <c r="AG846" s="23"/>
      <c r="AH846" s="265" t="str">
        <f>_xlfn.XLOOKUP(G846,Clientes!I:I,Clientes!F:F)</f>
        <v>GRUPO YARA</v>
      </c>
    </row>
    <row r="847" spans="1:34" x14ac:dyDescent="0.25">
      <c r="A847">
        <v>161</v>
      </c>
      <c r="B847" t="s">
        <v>145</v>
      </c>
      <c r="C847"/>
      <c r="D847" s="23">
        <v>272193.64</v>
      </c>
      <c r="E847">
        <v>11274</v>
      </c>
      <c r="F847">
        <v>11</v>
      </c>
      <c r="G847">
        <v>1159</v>
      </c>
      <c r="H847" t="s">
        <v>50</v>
      </c>
      <c r="I847" s="23">
        <v>272193.64</v>
      </c>
      <c r="J847" s="185">
        <v>46142</v>
      </c>
      <c r="K847" s="185">
        <v>46142</v>
      </c>
      <c r="L847" s="185">
        <v>46182</v>
      </c>
      <c r="M847" s="185">
        <v>46182</v>
      </c>
      <c r="N847"/>
      <c r="O847">
        <v>1010100</v>
      </c>
      <c r="P847" t="s">
        <v>29</v>
      </c>
      <c r="Q847">
        <v>200000100</v>
      </c>
      <c r="R847" t="s">
        <v>15322</v>
      </c>
      <c r="S847"/>
      <c r="T847" t="s">
        <v>15323</v>
      </c>
      <c r="U847" t="s">
        <v>5803</v>
      </c>
      <c r="V847" s="23">
        <v>0</v>
      </c>
      <c r="W847" s="23">
        <v>0</v>
      </c>
      <c r="X847" s="23">
        <v>0</v>
      </c>
      <c r="Y847"/>
      <c r="Z847">
        <v>1246273282</v>
      </c>
      <c r="AA847"/>
      <c r="AB847" t="s">
        <v>1199</v>
      </c>
      <c r="AC847">
        <v>102</v>
      </c>
      <c r="AD847">
        <v>4</v>
      </c>
      <c r="AE847" t="s">
        <v>15324</v>
      </c>
      <c r="AF847"/>
      <c r="AG847" s="23"/>
      <c r="AH847" s="265" t="str">
        <f>_xlfn.XLOOKUP(G847,Clientes!I:I,Clientes!F:F)</f>
        <v>GRUPO YARA</v>
      </c>
    </row>
    <row r="848" spans="1:34" x14ac:dyDescent="0.25">
      <c r="A848">
        <v>161</v>
      </c>
      <c r="B848" t="s">
        <v>145</v>
      </c>
      <c r="C848"/>
      <c r="D848" s="23">
        <v>272193.64</v>
      </c>
      <c r="E848">
        <v>10988</v>
      </c>
      <c r="F848">
        <v>11</v>
      </c>
      <c r="G848">
        <v>1159</v>
      </c>
      <c r="H848" t="s">
        <v>50</v>
      </c>
      <c r="I848" s="23">
        <v>272193.64</v>
      </c>
      <c r="J848" s="185">
        <v>46108</v>
      </c>
      <c r="K848" s="185">
        <v>46108</v>
      </c>
      <c r="L848" s="185">
        <v>46148</v>
      </c>
      <c r="M848" s="185">
        <v>46148</v>
      </c>
      <c r="N848"/>
      <c r="O848">
        <v>1010100</v>
      </c>
      <c r="P848" t="s">
        <v>29</v>
      </c>
      <c r="Q848">
        <v>200000100</v>
      </c>
      <c r="R848" t="s">
        <v>15322</v>
      </c>
      <c r="S848"/>
      <c r="T848" t="s">
        <v>15323</v>
      </c>
      <c r="U848" t="s">
        <v>4502</v>
      </c>
      <c r="V848" s="23">
        <v>0</v>
      </c>
      <c r="W848" s="23">
        <v>0</v>
      </c>
      <c r="X848" s="23">
        <v>0</v>
      </c>
      <c r="Y848"/>
      <c r="Z848">
        <v>1246269418</v>
      </c>
      <c r="AA848"/>
      <c r="AB848" t="s">
        <v>1199</v>
      </c>
      <c r="AC848">
        <v>102</v>
      </c>
      <c r="AD848">
        <v>4</v>
      </c>
      <c r="AE848" t="s">
        <v>15324</v>
      </c>
      <c r="AF848"/>
      <c r="AG848" s="23"/>
      <c r="AH848" s="265" t="str">
        <f>_xlfn.XLOOKUP(G848,Clientes!I:I,Clientes!F:F)</f>
        <v>GRUPO YARA</v>
      </c>
    </row>
    <row r="849" spans="1:34" x14ac:dyDescent="0.25">
      <c r="A849">
        <v>161</v>
      </c>
      <c r="B849" t="s">
        <v>145</v>
      </c>
      <c r="C849"/>
      <c r="D849" s="23">
        <v>272284.15999999997</v>
      </c>
      <c r="E849">
        <v>10509</v>
      </c>
      <c r="F849">
        <v>11</v>
      </c>
      <c r="G849">
        <v>1159</v>
      </c>
      <c r="H849" t="s">
        <v>50</v>
      </c>
      <c r="I849" s="23">
        <v>272284.15999999997</v>
      </c>
      <c r="J849" s="185">
        <v>46038</v>
      </c>
      <c r="K849" s="185">
        <v>46038</v>
      </c>
      <c r="L849" s="185">
        <v>46078</v>
      </c>
      <c r="M849" s="185">
        <v>46078</v>
      </c>
      <c r="N849"/>
      <c r="O849">
        <v>1010100</v>
      </c>
      <c r="P849" t="s">
        <v>29</v>
      </c>
      <c r="Q849">
        <v>200000100</v>
      </c>
      <c r="R849" t="s">
        <v>15322</v>
      </c>
      <c r="S849"/>
      <c r="T849" t="s">
        <v>15323</v>
      </c>
      <c r="U849" t="s">
        <v>4468</v>
      </c>
      <c r="V849" s="23">
        <v>0</v>
      </c>
      <c r="W849" s="23">
        <v>0</v>
      </c>
      <c r="X849" s="23">
        <v>0</v>
      </c>
      <c r="Y849"/>
      <c r="Z849">
        <v>1246259789</v>
      </c>
      <c r="AA849"/>
      <c r="AB849" t="s">
        <v>1199</v>
      </c>
      <c r="AC849">
        <v>102</v>
      </c>
      <c r="AD849">
        <v>4</v>
      </c>
      <c r="AE849" t="s">
        <v>15324</v>
      </c>
      <c r="AF849"/>
      <c r="AG849" s="23"/>
      <c r="AH849" s="265" t="str">
        <f>_xlfn.XLOOKUP(G849,Clientes!I:I,Clientes!F:F)</f>
        <v>GRUPO YARA</v>
      </c>
    </row>
    <row r="850" spans="1:34" x14ac:dyDescent="0.25">
      <c r="A850">
        <v>161</v>
      </c>
      <c r="B850" t="s">
        <v>145</v>
      </c>
      <c r="C850"/>
      <c r="D850" s="23">
        <v>272374.68</v>
      </c>
      <c r="E850">
        <v>11392</v>
      </c>
      <c r="F850">
        <v>11</v>
      </c>
      <c r="G850">
        <v>1159</v>
      </c>
      <c r="H850" t="s">
        <v>50</v>
      </c>
      <c r="I850" s="23">
        <v>272374.68</v>
      </c>
      <c r="J850" s="185">
        <v>46156</v>
      </c>
      <c r="K850" s="185">
        <v>46156</v>
      </c>
      <c r="L850" s="185">
        <v>46196</v>
      </c>
      <c r="M850" s="185">
        <v>46196</v>
      </c>
      <c r="N850"/>
      <c r="O850">
        <v>1010100</v>
      </c>
      <c r="P850" t="s">
        <v>29</v>
      </c>
      <c r="Q850">
        <v>200000100</v>
      </c>
      <c r="R850" t="s">
        <v>15322</v>
      </c>
      <c r="S850"/>
      <c r="T850" t="s">
        <v>15323</v>
      </c>
      <c r="U850" t="s">
        <v>1530</v>
      </c>
      <c r="V850" s="23">
        <v>0</v>
      </c>
      <c r="W850" s="23">
        <v>0</v>
      </c>
      <c r="X850" s="23">
        <v>0</v>
      </c>
      <c r="Y850"/>
      <c r="Z850">
        <v>1246275056</v>
      </c>
      <c r="AA850"/>
      <c r="AB850" t="s">
        <v>1199</v>
      </c>
      <c r="AC850">
        <v>102</v>
      </c>
      <c r="AD850">
        <v>4</v>
      </c>
      <c r="AE850" t="s">
        <v>15324</v>
      </c>
      <c r="AF850"/>
      <c r="AG850" s="23"/>
      <c r="AH850" s="265" t="str">
        <f>_xlfn.XLOOKUP(G850,Clientes!I:I,Clientes!F:F)</f>
        <v>GRUPO YARA</v>
      </c>
    </row>
    <row r="851" spans="1:34" x14ac:dyDescent="0.25">
      <c r="A851">
        <v>161</v>
      </c>
      <c r="B851" t="s">
        <v>145</v>
      </c>
      <c r="C851"/>
      <c r="D851" s="23">
        <v>272374.68</v>
      </c>
      <c r="E851">
        <v>10718</v>
      </c>
      <c r="F851">
        <v>11</v>
      </c>
      <c r="G851">
        <v>1159</v>
      </c>
      <c r="H851" t="s">
        <v>50</v>
      </c>
      <c r="I851" s="23">
        <v>272374.68</v>
      </c>
      <c r="J851" s="185">
        <v>46072</v>
      </c>
      <c r="K851" s="185">
        <v>46072</v>
      </c>
      <c r="L851" s="185">
        <v>46112</v>
      </c>
      <c r="M851" s="185">
        <v>46112</v>
      </c>
      <c r="N851"/>
      <c r="O851">
        <v>1010100</v>
      </c>
      <c r="P851" t="s">
        <v>29</v>
      </c>
      <c r="Q851">
        <v>200000100</v>
      </c>
      <c r="R851" t="s">
        <v>15322</v>
      </c>
      <c r="S851"/>
      <c r="T851" t="s">
        <v>15323</v>
      </c>
      <c r="U851" t="s">
        <v>2246</v>
      </c>
      <c r="V851" s="23">
        <v>0</v>
      </c>
      <c r="W851" s="23">
        <v>0</v>
      </c>
      <c r="X851" s="23">
        <v>0</v>
      </c>
      <c r="Y851"/>
      <c r="Z851">
        <v>1246264048</v>
      </c>
      <c r="AA851"/>
      <c r="AB851" t="s">
        <v>1199</v>
      </c>
      <c r="AC851">
        <v>102</v>
      </c>
      <c r="AD851">
        <v>4</v>
      </c>
      <c r="AE851" t="s">
        <v>15324</v>
      </c>
      <c r="AF851"/>
      <c r="AG851" s="23"/>
      <c r="AH851" s="265" t="str">
        <f>_xlfn.XLOOKUP(G851,Clientes!I:I,Clientes!F:F)</f>
        <v>GRUPO YARA</v>
      </c>
    </row>
    <row r="852" spans="1:34" x14ac:dyDescent="0.25">
      <c r="A852">
        <v>161</v>
      </c>
      <c r="B852" t="s">
        <v>145</v>
      </c>
      <c r="C852"/>
      <c r="D852" s="23">
        <v>272374.68</v>
      </c>
      <c r="E852">
        <v>11198</v>
      </c>
      <c r="F852">
        <v>11</v>
      </c>
      <c r="G852">
        <v>1159</v>
      </c>
      <c r="H852" t="s">
        <v>50</v>
      </c>
      <c r="I852" s="23">
        <v>272374.68</v>
      </c>
      <c r="J852" s="185">
        <v>46135</v>
      </c>
      <c r="K852" s="185">
        <v>46135</v>
      </c>
      <c r="L852" s="185">
        <v>46175</v>
      </c>
      <c r="M852" s="185">
        <v>46175</v>
      </c>
      <c r="N852"/>
      <c r="O852">
        <v>1010100</v>
      </c>
      <c r="P852" t="s">
        <v>29</v>
      </c>
      <c r="Q852">
        <v>200000100</v>
      </c>
      <c r="R852" t="s">
        <v>15322</v>
      </c>
      <c r="S852"/>
      <c r="T852" t="s">
        <v>15323</v>
      </c>
      <c r="U852" t="s">
        <v>2246</v>
      </c>
      <c r="V852" s="23">
        <v>0</v>
      </c>
      <c r="W852" s="23">
        <v>0</v>
      </c>
      <c r="X852" s="23">
        <v>0</v>
      </c>
      <c r="Y852"/>
      <c r="Z852">
        <v>1246272204</v>
      </c>
      <c r="AA852"/>
      <c r="AB852" t="s">
        <v>1199</v>
      </c>
      <c r="AC852">
        <v>102</v>
      </c>
      <c r="AD852">
        <v>4</v>
      </c>
      <c r="AE852" t="s">
        <v>15324</v>
      </c>
      <c r="AF852"/>
      <c r="AG852" s="23"/>
      <c r="AH852" s="265" t="str">
        <f>_xlfn.XLOOKUP(G852,Clientes!I:I,Clientes!F:F)</f>
        <v>GRUPO YARA</v>
      </c>
    </row>
    <row r="853" spans="1:34" x14ac:dyDescent="0.25">
      <c r="A853">
        <v>161</v>
      </c>
      <c r="B853" t="s">
        <v>145</v>
      </c>
      <c r="C853"/>
      <c r="D853" s="23">
        <v>272465.2</v>
      </c>
      <c r="E853">
        <v>10931</v>
      </c>
      <c r="F853">
        <v>11</v>
      </c>
      <c r="G853">
        <v>1159</v>
      </c>
      <c r="H853" t="s">
        <v>50</v>
      </c>
      <c r="I853" s="23">
        <v>272465.2</v>
      </c>
      <c r="J853" s="185">
        <v>46100</v>
      </c>
      <c r="K853" s="185">
        <v>46100</v>
      </c>
      <c r="L853" s="185">
        <v>46140</v>
      </c>
      <c r="M853" s="185">
        <v>46140</v>
      </c>
      <c r="N853"/>
      <c r="O853">
        <v>1010100</v>
      </c>
      <c r="P853" t="s">
        <v>29</v>
      </c>
      <c r="Q853">
        <v>200000100</v>
      </c>
      <c r="R853" t="s">
        <v>15322</v>
      </c>
      <c r="S853"/>
      <c r="T853" t="s">
        <v>15323</v>
      </c>
      <c r="U853" t="s">
        <v>2246</v>
      </c>
      <c r="V853" s="23">
        <v>0</v>
      </c>
      <c r="W853" s="23">
        <v>0</v>
      </c>
      <c r="X853" s="23">
        <v>0</v>
      </c>
      <c r="Y853"/>
      <c r="Z853">
        <v>1246268414</v>
      </c>
      <c r="AA853"/>
      <c r="AB853" t="s">
        <v>1199</v>
      </c>
      <c r="AC853">
        <v>102</v>
      </c>
      <c r="AD853">
        <v>4</v>
      </c>
      <c r="AE853" t="s">
        <v>15324</v>
      </c>
      <c r="AF853"/>
      <c r="AG853" s="23"/>
      <c r="AH853" s="265" t="str">
        <f>_xlfn.XLOOKUP(G853,Clientes!I:I,Clientes!F:F)</f>
        <v>GRUPO YARA</v>
      </c>
    </row>
    <row r="854" spans="1:34" x14ac:dyDescent="0.25">
      <c r="A854">
        <v>161</v>
      </c>
      <c r="B854" t="s">
        <v>145</v>
      </c>
      <c r="C854"/>
      <c r="D854" s="23">
        <v>272555.71999999997</v>
      </c>
      <c r="E854">
        <v>10958</v>
      </c>
      <c r="F854">
        <v>11</v>
      </c>
      <c r="G854">
        <v>1159</v>
      </c>
      <c r="H854" t="s">
        <v>50</v>
      </c>
      <c r="I854" s="23">
        <v>272555.71999999997</v>
      </c>
      <c r="J854" s="185">
        <v>46104</v>
      </c>
      <c r="K854" s="185">
        <v>46104</v>
      </c>
      <c r="L854" s="185">
        <v>46144</v>
      </c>
      <c r="M854" s="185">
        <v>46146</v>
      </c>
      <c r="N854"/>
      <c r="O854">
        <v>1010100</v>
      </c>
      <c r="P854" t="s">
        <v>29</v>
      </c>
      <c r="Q854">
        <v>200000100</v>
      </c>
      <c r="R854" t="s">
        <v>15322</v>
      </c>
      <c r="S854"/>
      <c r="T854" t="s">
        <v>15323</v>
      </c>
      <c r="U854" t="s">
        <v>2246</v>
      </c>
      <c r="V854" s="23">
        <v>0</v>
      </c>
      <c r="W854" s="23">
        <v>0</v>
      </c>
      <c r="X854" s="23">
        <v>0</v>
      </c>
      <c r="Y854"/>
      <c r="Z854">
        <v>1246268636</v>
      </c>
      <c r="AA854"/>
      <c r="AB854" t="s">
        <v>1199</v>
      </c>
      <c r="AC854">
        <v>102</v>
      </c>
      <c r="AD854">
        <v>4</v>
      </c>
      <c r="AE854" t="s">
        <v>15324</v>
      </c>
      <c r="AF854"/>
      <c r="AG854" s="23"/>
      <c r="AH854" s="265" t="str">
        <f>_xlfn.XLOOKUP(G854,Clientes!I:I,Clientes!F:F)</f>
        <v>GRUPO YARA</v>
      </c>
    </row>
    <row r="855" spans="1:34" x14ac:dyDescent="0.25">
      <c r="A855">
        <v>161</v>
      </c>
      <c r="B855" t="s">
        <v>145</v>
      </c>
      <c r="C855"/>
      <c r="D855" s="23">
        <v>272827.28000000003</v>
      </c>
      <c r="E855">
        <v>10444</v>
      </c>
      <c r="F855">
        <v>11</v>
      </c>
      <c r="G855">
        <v>1159</v>
      </c>
      <c r="H855" t="s">
        <v>50</v>
      </c>
      <c r="I855" s="23">
        <v>272827.28000000003</v>
      </c>
      <c r="J855" s="185">
        <v>46030</v>
      </c>
      <c r="K855" s="185">
        <v>46030</v>
      </c>
      <c r="L855" s="185">
        <v>46070</v>
      </c>
      <c r="M855" s="185">
        <v>46071</v>
      </c>
      <c r="N855"/>
      <c r="O855">
        <v>1010100</v>
      </c>
      <c r="P855" t="s">
        <v>29</v>
      </c>
      <c r="Q855">
        <v>200000100</v>
      </c>
      <c r="R855" t="s">
        <v>15322</v>
      </c>
      <c r="S855"/>
      <c r="T855" t="s">
        <v>15323</v>
      </c>
      <c r="U855" t="s">
        <v>1530</v>
      </c>
      <c r="V855" s="23">
        <v>0</v>
      </c>
      <c r="W855" s="23">
        <v>0</v>
      </c>
      <c r="X855" s="23">
        <v>0</v>
      </c>
      <c r="Y855"/>
      <c r="Z855">
        <v>1246258781</v>
      </c>
      <c r="AA855"/>
      <c r="AB855" t="s">
        <v>1199</v>
      </c>
      <c r="AC855">
        <v>102</v>
      </c>
      <c r="AD855">
        <v>4</v>
      </c>
      <c r="AE855" t="s">
        <v>15324</v>
      </c>
      <c r="AF855"/>
      <c r="AG855" s="23"/>
      <c r="AH855" s="265" t="str">
        <f>_xlfn.XLOOKUP(G855,Clientes!I:I,Clientes!F:F)</f>
        <v>GRUPO YARA</v>
      </c>
    </row>
    <row r="856" spans="1:34" x14ac:dyDescent="0.25">
      <c r="A856">
        <v>161</v>
      </c>
      <c r="B856" t="s">
        <v>145</v>
      </c>
      <c r="C856"/>
      <c r="D856" s="23">
        <v>272917.8</v>
      </c>
      <c r="E856">
        <v>11646</v>
      </c>
      <c r="F856">
        <v>11</v>
      </c>
      <c r="G856">
        <v>1159</v>
      </c>
      <c r="H856" t="s">
        <v>50</v>
      </c>
      <c r="I856" s="23">
        <v>272917.8</v>
      </c>
      <c r="J856" s="185">
        <v>46181</v>
      </c>
      <c r="K856" s="185">
        <v>46181</v>
      </c>
      <c r="L856" s="185">
        <v>46221</v>
      </c>
      <c r="M856" s="185"/>
      <c r="N856"/>
      <c r="O856">
        <v>1010100</v>
      </c>
      <c r="P856" t="s">
        <v>29</v>
      </c>
      <c r="Q856">
        <v>200000100</v>
      </c>
      <c r="R856" t="s">
        <v>15322</v>
      </c>
      <c r="S856"/>
      <c r="T856" t="s">
        <v>15323</v>
      </c>
      <c r="U856" t="s">
        <v>4502</v>
      </c>
      <c r="V856" s="23">
        <v>0</v>
      </c>
      <c r="W856" s="23">
        <v>0</v>
      </c>
      <c r="X856" s="23">
        <v>0</v>
      </c>
      <c r="Y856"/>
      <c r="Z856">
        <v>1246278606</v>
      </c>
      <c r="AA856"/>
      <c r="AB856"/>
      <c r="AC856">
        <v>102</v>
      </c>
      <c r="AD856">
        <v>4</v>
      </c>
      <c r="AE856" t="s">
        <v>15324</v>
      </c>
      <c r="AF856"/>
      <c r="AG856" s="23"/>
      <c r="AH856" s="265" t="str">
        <f>_xlfn.XLOOKUP(G856,Clientes!I:I,Clientes!F:F)</f>
        <v>GRUPO YARA</v>
      </c>
    </row>
    <row r="857" spans="1:34" x14ac:dyDescent="0.25">
      <c r="A857">
        <v>161</v>
      </c>
      <c r="B857" t="s">
        <v>145</v>
      </c>
      <c r="C857"/>
      <c r="D857" s="23">
        <v>273098.84000000003</v>
      </c>
      <c r="E857">
        <v>11659</v>
      </c>
      <c r="F857">
        <v>11</v>
      </c>
      <c r="G857">
        <v>1159</v>
      </c>
      <c r="H857" t="s">
        <v>50</v>
      </c>
      <c r="I857" s="23">
        <v>273098.84000000003</v>
      </c>
      <c r="J857" s="185">
        <v>46182</v>
      </c>
      <c r="K857" s="185">
        <v>46182</v>
      </c>
      <c r="L857" s="185">
        <v>46222</v>
      </c>
      <c r="M857" s="185"/>
      <c r="N857"/>
      <c r="O857">
        <v>1010100</v>
      </c>
      <c r="P857" t="s">
        <v>29</v>
      </c>
      <c r="Q857">
        <v>200000100</v>
      </c>
      <c r="R857" t="s">
        <v>15322</v>
      </c>
      <c r="S857"/>
      <c r="T857" t="s">
        <v>15323</v>
      </c>
      <c r="U857" t="s">
        <v>5803</v>
      </c>
      <c r="V857" s="23">
        <v>0</v>
      </c>
      <c r="W857" s="23">
        <v>0</v>
      </c>
      <c r="X857" s="23">
        <v>0</v>
      </c>
      <c r="Y857"/>
      <c r="Z857">
        <v>1246278820</v>
      </c>
      <c r="AA857"/>
      <c r="AB857"/>
      <c r="AC857">
        <v>102</v>
      </c>
      <c r="AD857">
        <v>4</v>
      </c>
      <c r="AE857" t="s">
        <v>15324</v>
      </c>
      <c r="AF857"/>
      <c r="AG857" s="23"/>
      <c r="AH857" s="265" t="str">
        <f>_xlfn.XLOOKUP(G857,Clientes!I:I,Clientes!F:F)</f>
        <v>GRUPO YARA</v>
      </c>
    </row>
    <row r="858" spans="1:34" x14ac:dyDescent="0.25">
      <c r="A858">
        <v>161</v>
      </c>
      <c r="B858" t="s">
        <v>145</v>
      </c>
      <c r="C858"/>
      <c r="D858" s="23">
        <v>273189.36</v>
      </c>
      <c r="E858">
        <v>11557</v>
      </c>
      <c r="F858">
        <v>11</v>
      </c>
      <c r="G858">
        <v>1159</v>
      </c>
      <c r="H858" t="s">
        <v>50</v>
      </c>
      <c r="I858" s="23">
        <v>273189.36</v>
      </c>
      <c r="J858" s="185">
        <v>46171</v>
      </c>
      <c r="K858" s="185">
        <v>46171</v>
      </c>
      <c r="L858" s="185">
        <v>46211</v>
      </c>
      <c r="M858" s="185"/>
      <c r="N858"/>
      <c r="O858">
        <v>1010100</v>
      </c>
      <c r="P858" t="s">
        <v>29</v>
      </c>
      <c r="Q858">
        <v>200000100</v>
      </c>
      <c r="R858" t="s">
        <v>15322</v>
      </c>
      <c r="S858"/>
      <c r="T858" t="s">
        <v>15323</v>
      </c>
      <c r="U858" t="s">
        <v>1530</v>
      </c>
      <c r="V858" s="23">
        <v>0</v>
      </c>
      <c r="W858" s="23">
        <v>0</v>
      </c>
      <c r="X858" s="23">
        <v>0</v>
      </c>
      <c r="Y858"/>
      <c r="Z858">
        <v>1246277455</v>
      </c>
      <c r="AA858"/>
      <c r="AB858"/>
      <c r="AC858">
        <v>102</v>
      </c>
      <c r="AD858">
        <v>4</v>
      </c>
      <c r="AE858" t="s">
        <v>15324</v>
      </c>
      <c r="AF858"/>
      <c r="AG858" s="23"/>
      <c r="AH858" s="265" t="str">
        <f>_xlfn.XLOOKUP(G858,Clientes!I:I,Clientes!F:F)</f>
        <v>GRUPO YARA</v>
      </c>
    </row>
    <row r="859" spans="1:34" x14ac:dyDescent="0.25">
      <c r="A859">
        <v>161</v>
      </c>
      <c r="B859" t="s">
        <v>145</v>
      </c>
      <c r="C859"/>
      <c r="D859" s="23">
        <v>273732.47999999998</v>
      </c>
      <c r="E859">
        <v>11471</v>
      </c>
      <c r="F859">
        <v>11</v>
      </c>
      <c r="G859">
        <v>1159</v>
      </c>
      <c r="H859" t="s">
        <v>50</v>
      </c>
      <c r="I859" s="23">
        <v>273732.47999999998</v>
      </c>
      <c r="J859" s="185">
        <v>46164</v>
      </c>
      <c r="K859" s="185">
        <v>46164</v>
      </c>
      <c r="L859" s="185">
        <v>46204</v>
      </c>
      <c r="M859" s="185"/>
      <c r="N859"/>
      <c r="O859">
        <v>1010100</v>
      </c>
      <c r="P859" t="s">
        <v>29</v>
      </c>
      <c r="Q859">
        <v>200000100</v>
      </c>
      <c r="R859" t="s">
        <v>15322</v>
      </c>
      <c r="S859"/>
      <c r="T859" t="s">
        <v>15323</v>
      </c>
      <c r="U859" t="s">
        <v>1530</v>
      </c>
      <c r="V859" s="23">
        <v>0</v>
      </c>
      <c r="W859" s="23">
        <v>0</v>
      </c>
      <c r="X859" s="23">
        <v>0</v>
      </c>
      <c r="Y859"/>
      <c r="Z859">
        <v>1246276263</v>
      </c>
      <c r="AA859"/>
      <c r="AB859"/>
      <c r="AC859">
        <v>102</v>
      </c>
      <c r="AD859">
        <v>4</v>
      </c>
      <c r="AE859" t="s">
        <v>15324</v>
      </c>
      <c r="AF859"/>
      <c r="AG859" s="23"/>
      <c r="AH859" s="265" t="str">
        <f>_xlfn.XLOOKUP(G859,Clientes!I:I,Clientes!F:F)</f>
        <v>GRUPO YARA</v>
      </c>
    </row>
    <row r="860" spans="1:34" x14ac:dyDescent="0.25">
      <c r="A860">
        <v>161</v>
      </c>
      <c r="B860" t="s">
        <v>145</v>
      </c>
      <c r="C860"/>
      <c r="D860" s="23">
        <v>273732.47999999998</v>
      </c>
      <c r="E860">
        <v>11406</v>
      </c>
      <c r="F860">
        <v>11</v>
      </c>
      <c r="G860">
        <v>1159</v>
      </c>
      <c r="H860" t="s">
        <v>50</v>
      </c>
      <c r="I860" s="23">
        <v>273732.47999999998</v>
      </c>
      <c r="J860" s="185">
        <v>46157</v>
      </c>
      <c r="K860" s="185">
        <v>46157</v>
      </c>
      <c r="L860" s="185">
        <v>46197</v>
      </c>
      <c r="M860" s="185">
        <v>46197</v>
      </c>
      <c r="N860"/>
      <c r="O860">
        <v>1010100</v>
      </c>
      <c r="P860" t="s">
        <v>29</v>
      </c>
      <c r="Q860">
        <v>200000100</v>
      </c>
      <c r="R860" t="s">
        <v>15322</v>
      </c>
      <c r="S860"/>
      <c r="T860" t="s">
        <v>15323</v>
      </c>
      <c r="U860" t="s">
        <v>4468</v>
      </c>
      <c r="V860" s="23">
        <v>0</v>
      </c>
      <c r="W860" s="23">
        <v>0</v>
      </c>
      <c r="X860" s="23">
        <v>0</v>
      </c>
      <c r="Y860"/>
      <c r="Z860">
        <v>1246275398</v>
      </c>
      <c r="AA860"/>
      <c r="AB860" t="s">
        <v>1199</v>
      </c>
      <c r="AC860">
        <v>102</v>
      </c>
      <c r="AD860">
        <v>4</v>
      </c>
      <c r="AE860" t="s">
        <v>15324</v>
      </c>
      <c r="AF860"/>
      <c r="AG860" s="23"/>
      <c r="AH860" s="265" t="str">
        <f>_xlfn.XLOOKUP(G860,Clientes!I:I,Clientes!F:F)</f>
        <v>GRUPO YARA</v>
      </c>
    </row>
    <row r="861" spans="1:34" x14ac:dyDescent="0.25">
      <c r="A861">
        <v>161</v>
      </c>
      <c r="B861" t="s">
        <v>145</v>
      </c>
      <c r="C861"/>
      <c r="D861" s="23">
        <v>273823</v>
      </c>
      <c r="E861">
        <v>11737</v>
      </c>
      <c r="F861">
        <v>11</v>
      </c>
      <c r="G861">
        <v>1159</v>
      </c>
      <c r="H861" t="s">
        <v>50</v>
      </c>
      <c r="I861" s="23">
        <v>273823</v>
      </c>
      <c r="J861" s="185">
        <v>46190</v>
      </c>
      <c r="K861" s="185">
        <v>46190</v>
      </c>
      <c r="L861" s="185">
        <v>46230</v>
      </c>
      <c r="M861" s="185"/>
      <c r="N861"/>
      <c r="O861">
        <v>1010100</v>
      </c>
      <c r="P861" t="s">
        <v>29</v>
      </c>
      <c r="Q861">
        <v>200000100</v>
      </c>
      <c r="R861" t="s">
        <v>15322</v>
      </c>
      <c r="S861"/>
      <c r="T861" t="s">
        <v>15323</v>
      </c>
      <c r="U861" t="s">
        <v>5803</v>
      </c>
      <c r="V861" s="23">
        <v>0</v>
      </c>
      <c r="W861" s="23">
        <v>0</v>
      </c>
      <c r="X861" s="23">
        <v>0</v>
      </c>
      <c r="Y861"/>
      <c r="Z861">
        <v>1246279863</v>
      </c>
      <c r="AA861"/>
      <c r="AB861"/>
      <c r="AC861">
        <v>116</v>
      </c>
      <c r="AD861">
        <v>4</v>
      </c>
      <c r="AE861" t="s">
        <v>15324</v>
      </c>
      <c r="AF861"/>
      <c r="AG861" s="23"/>
      <c r="AH861" s="265" t="str">
        <f>_xlfn.XLOOKUP(G861,Clientes!I:I,Clientes!F:F)</f>
        <v>GRUPO YARA</v>
      </c>
    </row>
    <row r="862" spans="1:34" x14ac:dyDescent="0.25">
      <c r="A862">
        <v>161</v>
      </c>
      <c r="B862" t="s">
        <v>145</v>
      </c>
      <c r="C862"/>
      <c r="D862" s="23">
        <v>274094.56</v>
      </c>
      <c r="E862">
        <v>11757</v>
      </c>
      <c r="F862">
        <v>11</v>
      </c>
      <c r="G862">
        <v>1159</v>
      </c>
      <c r="H862" t="s">
        <v>50</v>
      </c>
      <c r="I862" s="23">
        <v>274094.56</v>
      </c>
      <c r="J862" s="185">
        <v>46192</v>
      </c>
      <c r="K862" s="185">
        <v>46192</v>
      </c>
      <c r="L862" s="185">
        <v>46232</v>
      </c>
      <c r="M862" s="185"/>
      <c r="N862"/>
      <c r="O862">
        <v>1010100</v>
      </c>
      <c r="P862" t="s">
        <v>29</v>
      </c>
      <c r="Q862">
        <v>200000100</v>
      </c>
      <c r="R862" t="s">
        <v>15322</v>
      </c>
      <c r="S862"/>
      <c r="T862" t="s">
        <v>15323</v>
      </c>
      <c r="U862" t="s">
        <v>5803</v>
      </c>
      <c r="V862" s="23">
        <v>0</v>
      </c>
      <c r="W862" s="23">
        <v>0</v>
      </c>
      <c r="X862" s="23">
        <v>0</v>
      </c>
      <c r="Y862"/>
      <c r="Z862">
        <v>1246280197</v>
      </c>
      <c r="AA862"/>
      <c r="AB862"/>
      <c r="AC862">
        <v>102</v>
      </c>
      <c r="AD862">
        <v>4</v>
      </c>
      <c r="AE862" t="s">
        <v>15324</v>
      </c>
      <c r="AF862"/>
      <c r="AG862" s="23"/>
      <c r="AH862" s="265" t="str">
        <f>_xlfn.XLOOKUP(G862,Clientes!I:I,Clientes!F:F)</f>
        <v>GRUPO YARA</v>
      </c>
    </row>
    <row r="863" spans="1:34" x14ac:dyDescent="0.25">
      <c r="A863">
        <v>161</v>
      </c>
      <c r="B863" t="s">
        <v>145</v>
      </c>
      <c r="C863"/>
      <c r="D863" s="23">
        <v>274456.64</v>
      </c>
      <c r="E863">
        <v>10608</v>
      </c>
      <c r="F863">
        <v>11</v>
      </c>
      <c r="G863">
        <v>1159</v>
      </c>
      <c r="H863" t="s">
        <v>50</v>
      </c>
      <c r="I863" s="23">
        <v>274456.64</v>
      </c>
      <c r="J863" s="185">
        <v>46052</v>
      </c>
      <c r="K863" s="185">
        <v>46052</v>
      </c>
      <c r="L863" s="185">
        <v>46092</v>
      </c>
      <c r="M863" s="185">
        <v>46092</v>
      </c>
      <c r="N863"/>
      <c r="O863">
        <v>1010100</v>
      </c>
      <c r="P863" t="s">
        <v>29</v>
      </c>
      <c r="Q863">
        <v>200000100</v>
      </c>
      <c r="R863" t="s">
        <v>15322</v>
      </c>
      <c r="S863"/>
      <c r="T863" t="s">
        <v>15323</v>
      </c>
      <c r="U863" t="s">
        <v>1530</v>
      </c>
      <c r="V863" s="23">
        <v>0</v>
      </c>
      <c r="W863" s="23">
        <v>0</v>
      </c>
      <c r="X863" s="23">
        <v>0</v>
      </c>
      <c r="Y863"/>
      <c r="Z863">
        <v>1246261679</v>
      </c>
      <c r="AA863"/>
      <c r="AB863" t="s">
        <v>1199</v>
      </c>
      <c r="AC863">
        <v>102</v>
      </c>
      <c r="AD863">
        <v>4</v>
      </c>
      <c r="AE863" t="s">
        <v>15324</v>
      </c>
      <c r="AF863"/>
      <c r="AG863" s="23"/>
      <c r="AH863" s="265" t="str">
        <f>_xlfn.XLOOKUP(G863,Clientes!I:I,Clientes!F:F)</f>
        <v>GRUPO YARA</v>
      </c>
    </row>
    <row r="864" spans="1:34" x14ac:dyDescent="0.25">
      <c r="A864">
        <v>161</v>
      </c>
      <c r="B864" t="s">
        <v>145</v>
      </c>
      <c r="C864"/>
      <c r="D864" s="23">
        <v>274909.24</v>
      </c>
      <c r="E864">
        <v>11179</v>
      </c>
      <c r="F864">
        <v>11</v>
      </c>
      <c r="G864">
        <v>1159</v>
      </c>
      <c r="H864" t="s">
        <v>50</v>
      </c>
      <c r="I864" s="23">
        <v>274909.24</v>
      </c>
      <c r="J864" s="185">
        <v>46132</v>
      </c>
      <c r="K864" s="185">
        <v>46132</v>
      </c>
      <c r="L864" s="185">
        <v>46172</v>
      </c>
      <c r="M864" s="185">
        <v>46174</v>
      </c>
      <c r="N864"/>
      <c r="O864">
        <v>1010100</v>
      </c>
      <c r="P864" t="s">
        <v>29</v>
      </c>
      <c r="Q864">
        <v>200000100</v>
      </c>
      <c r="R864" t="s">
        <v>15322</v>
      </c>
      <c r="S864"/>
      <c r="T864" t="s">
        <v>15323</v>
      </c>
      <c r="U864" t="s">
        <v>1964</v>
      </c>
      <c r="V864" s="23">
        <v>0</v>
      </c>
      <c r="W864" s="23">
        <v>0</v>
      </c>
      <c r="X864" s="23">
        <v>0</v>
      </c>
      <c r="Y864"/>
      <c r="Z864">
        <v>1246271894</v>
      </c>
      <c r="AA864"/>
      <c r="AB864" t="s">
        <v>1199</v>
      </c>
      <c r="AC864">
        <v>102</v>
      </c>
      <c r="AD864">
        <v>4</v>
      </c>
      <c r="AE864" t="s">
        <v>15324</v>
      </c>
      <c r="AF864"/>
      <c r="AG864" s="23"/>
      <c r="AH864" s="265" t="str">
        <f>_xlfn.XLOOKUP(G864,Clientes!I:I,Clientes!F:F)</f>
        <v>GRUPO YARA</v>
      </c>
    </row>
    <row r="865" spans="1:34" x14ac:dyDescent="0.25">
      <c r="A865">
        <v>161</v>
      </c>
      <c r="B865" t="s">
        <v>145</v>
      </c>
      <c r="C865"/>
      <c r="D865" s="23">
        <v>275271.32</v>
      </c>
      <c r="E865">
        <v>10405</v>
      </c>
      <c r="F865">
        <v>11</v>
      </c>
      <c r="G865">
        <v>1159</v>
      </c>
      <c r="H865" t="s">
        <v>50</v>
      </c>
      <c r="I865" s="23">
        <v>275271.32</v>
      </c>
      <c r="J865" s="185">
        <v>46024</v>
      </c>
      <c r="K865" s="185">
        <v>46024</v>
      </c>
      <c r="L865" s="185">
        <v>46064</v>
      </c>
      <c r="M865" s="185">
        <v>46064</v>
      </c>
      <c r="N865"/>
      <c r="O865">
        <v>1010100</v>
      </c>
      <c r="P865" t="s">
        <v>29</v>
      </c>
      <c r="Q865">
        <v>200000100</v>
      </c>
      <c r="R865" t="s">
        <v>15322</v>
      </c>
      <c r="S865"/>
      <c r="T865" t="s">
        <v>15323</v>
      </c>
      <c r="U865" t="s">
        <v>5803</v>
      </c>
      <c r="V865" s="23">
        <v>0</v>
      </c>
      <c r="W865" s="23">
        <v>0</v>
      </c>
      <c r="X865" s="23">
        <v>0</v>
      </c>
      <c r="Y865"/>
      <c r="Z865">
        <v>1246258125</v>
      </c>
      <c r="AA865"/>
      <c r="AB865" t="s">
        <v>1199</v>
      </c>
      <c r="AC865">
        <v>102</v>
      </c>
      <c r="AD865">
        <v>4</v>
      </c>
      <c r="AE865" t="s">
        <v>15324</v>
      </c>
      <c r="AF865"/>
      <c r="AG865" s="23"/>
      <c r="AH865" s="265" t="str">
        <f>_xlfn.XLOOKUP(G865,Clientes!I:I,Clientes!F:F)</f>
        <v>GRUPO YARA</v>
      </c>
    </row>
    <row r="866" spans="1:34" x14ac:dyDescent="0.25">
      <c r="A866">
        <v>161</v>
      </c>
      <c r="B866" t="s">
        <v>145</v>
      </c>
      <c r="C866"/>
      <c r="D866" s="23">
        <v>275633.40000000002</v>
      </c>
      <c r="E866">
        <v>10565</v>
      </c>
      <c r="F866">
        <v>11</v>
      </c>
      <c r="G866">
        <v>1159</v>
      </c>
      <c r="H866" t="s">
        <v>50</v>
      </c>
      <c r="I866" s="23">
        <v>275633.40000000002</v>
      </c>
      <c r="J866" s="185">
        <v>46045</v>
      </c>
      <c r="K866" s="185">
        <v>46045</v>
      </c>
      <c r="L866" s="185">
        <v>46085</v>
      </c>
      <c r="M866" s="185">
        <v>46085</v>
      </c>
      <c r="N866"/>
      <c r="O866">
        <v>1010100</v>
      </c>
      <c r="P866" t="s">
        <v>29</v>
      </c>
      <c r="Q866">
        <v>200000100</v>
      </c>
      <c r="R866" t="s">
        <v>15322</v>
      </c>
      <c r="S866"/>
      <c r="T866" t="s">
        <v>15323</v>
      </c>
      <c r="U866" t="s">
        <v>4468</v>
      </c>
      <c r="V866" s="23">
        <v>0</v>
      </c>
      <c r="W866" s="23">
        <v>0</v>
      </c>
      <c r="X866" s="23">
        <v>0</v>
      </c>
      <c r="Y866"/>
      <c r="Z866">
        <v>1246260754</v>
      </c>
      <c r="AA866"/>
      <c r="AB866" t="s">
        <v>1199</v>
      </c>
      <c r="AC866">
        <v>102</v>
      </c>
      <c r="AD866">
        <v>4</v>
      </c>
      <c r="AE866" t="s">
        <v>15324</v>
      </c>
      <c r="AF866"/>
      <c r="AG866" s="23"/>
      <c r="AH866" s="265" t="str">
        <f>_xlfn.XLOOKUP(G866,Clientes!I:I,Clientes!F:F)</f>
        <v>GRUPO YARA</v>
      </c>
    </row>
    <row r="867" spans="1:34" x14ac:dyDescent="0.25">
      <c r="A867">
        <v>161</v>
      </c>
      <c r="B867" t="s">
        <v>145</v>
      </c>
      <c r="C867"/>
      <c r="D867" s="23">
        <v>288000</v>
      </c>
      <c r="E867">
        <v>2769</v>
      </c>
      <c r="F867">
        <v>13</v>
      </c>
      <c r="G867">
        <v>7103</v>
      </c>
      <c r="H867" t="s">
        <v>482</v>
      </c>
      <c r="I867" s="23">
        <v>288000</v>
      </c>
      <c r="J867" s="185">
        <v>46077</v>
      </c>
      <c r="K867" s="185">
        <v>46077</v>
      </c>
      <c r="L867" s="185">
        <v>46167</v>
      </c>
      <c r="M867" s="185">
        <v>46139</v>
      </c>
      <c r="N867"/>
      <c r="O867">
        <v>1010100</v>
      </c>
      <c r="P867" t="s">
        <v>29</v>
      </c>
      <c r="Q867">
        <v>200000100</v>
      </c>
      <c r="R867" t="s">
        <v>15322</v>
      </c>
      <c r="S867"/>
      <c r="T867" t="s">
        <v>15323</v>
      </c>
      <c r="U867" t="s">
        <v>1199</v>
      </c>
      <c r="V867" s="23">
        <v>0</v>
      </c>
      <c r="W867" s="23">
        <v>0</v>
      </c>
      <c r="X867" s="23">
        <v>0</v>
      </c>
      <c r="Y867"/>
      <c r="Z867">
        <v>1246264792</v>
      </c>
      <c r="AA867"/>
      <c r="AB867" t="s">
        <v>1199</v>
      </c>
      <c r="AC867">
        <v>103</v>
      </c>
      <c r="AD867">
        <v>4</v>
      </c>
      <c r="AE867" t="s">
        <v>15324</v>
      </c>
      <c r="AF867"/>
      <c r="AG867" s="23"/>
      <c r="AH867" s="265" t="str">
        <f>_xlfn.XLOOKUP(G867,Clientes!I:I,Clientes!F:F)</f>
        <v>GRUPO MOSAIC FERTILIZANTES DO BRASIL</v>
      </c>
    </row>
    <row r="868" spans="1:34" x14ac:dyDescent="0.25">
      <c r="A868">
        <v>161</v>
      </c>
      <c r="B868" t="s">
        <v>145</v>
      </c>
      <c r="C868"/>
      <c r="D868" s="23">
        <v>290220</v>
      </c>
      <c r="E868">
        <v>2884</v>
      </c>
      <c r="F868">
        <v>13</v>
      </c>
      <c r="G868">
        <v>11637</v>
      </c>
      <c r="H868" t="s">
        <v>625</v>
      </c>
      <c r="I868" s="23">
        <v>290220</v>
      </c>
      <c r="J868" s="185">
        <v>46134</v>
      </c>
      <c r="K868" s="185">
        <v>46134</v>
      </c>
      <c r="L868" s="185">
        <v>46162</v>
      </c>
      <c r="M868" s="185">
        <v>46162</v>
      </c>
      <c r="N868"/>
      <c r="O868">
        <v>1010100</v>
      </c>
      <c r="P868" t="s">
        <v>29</v>
      </c>
      <c r="Q868">
        <v>200000100</v>
      </c>
      <c r="R868" t="s">
        <v>15322</v>
      </c>
      <c r="S868"/>
      <c r="T868" t="s">
        <v>15323</v>
      </c>
      <c r="U868" t="s">
        <v>6311</v>
      </c>
      <c r="V868" s="23">
        <v>0</v>
      </c>
      <c r="W868" s="23">
        <v>0</v>
      </c>
      <c r="X868" s="23">
        <v>0</v>
      </c>
      <c r="Y868"/>
      <c r="Z868">
        <v>1246272018</v>
      </c>
      <c r="AA868"/>
      <c r="AB868" t="s">
        <v>1186</v>
      </c>
      <c r="AC868">
        <v>102</v>
      </c>
      <c r="AD868">
        <v>4</v>
      </c>
      <c r="AE868" t="s">
        <v>15324</v>
      </c>
      <c r="AF868"/>
      <c r="AG868" s="23"/>
      <c r="AH868" s="265" t="str">
        <f>_xlfn.XLOOKUP(G868,Clientes!I:I,Clientes!F:F)</f>
        <v>AGROPECUARIA MARATA LTDA - MARUIM</v>
      </c>
    </row>
    <row r="869" spans="1:34" x14ac:dyDescent="0.25">
      <c r="A869">
        <v>40</v>
      </c>
      <c r="B869" t="s">
        <v>155</v>
      </c>
      <c r="C869"/>
      <c r="D869" s="23">
        <v>292178.84000000003</v>
      </c>
      <c r="E869">
        <v>10753</v>
      </c>
      <c r="F869">
        <v>11</v>
      </c>
      <c r="G869">
        <v>9355</v>
      </c>
      <c r="H869" t="s">
        <v>302</v>
      </c>
      <c r="I869" s="23">
        <v>292178.84000000003</v>
      </c>
      <c r="J869" s="185">
        <v>46077</v>
      </c>
      <c r="K869" s="185">
        <v>46077</v>
      </c>
      <c r="L869" s="185">
        <v>46168</v>
      </c>
      <c r="M869" s="185">
        <v>46168</v>
      </c>
      <c r="N869"/>
      <c r="O869">
        <v>1010200</v>
      </c>
      <c r="P869" t="s">
        <v>113</v>
      </c>
      <c r="Q869">
        <v>200000100</v>
      </c>
      <c r="R869" t="s">
        <v>15322</v>
      </c>
      <c r="S869"/>
      <c r="T869" t="s">
        <v>15323</v>
      </c>
      <c r="U869" t="s">
        <v>1199</v>
      </c>
      <c r="V869" s="23">
        <v>0</v>
      </c>
      <c r="W869" s="23">
        <v>0</v>
      </c>
      <c r="X869" s="23">
        <v>0</v>
      </c>
      <c r="Y869"/>
      <c r="Z869">
        <v>1246264769</v>
      </c>
      <c r="AA869"/>
      <c r="AB869" t="s">
        <v>1199</v>
      </c>
      <c r="AC869">
        <v>125</v>
      </c>
      <c r="AD869">
        <v>4</v>
      </c>
      <c r="AE869" t="s">
        <v>15324</v>
      </c>
      <c r="AF869" t="s">
        <v>15343</v>
      </c>
      <c r="AG869" s="23">
        <v>56592</v>
      </c>
      <c r="AH869" s="265" t="str">
        <f>_xlfn.XLOOKUP(G869,Clientes!I:I,Clientes!F:F)</f>
        <v>NITROFERT SAS - COLOMBIA</v>
      </c>
    </row>
    <row r="870" spans="1:34" x14ac:dyDescent="0.25">
      <c r="A870">
        <v>161</v>
      </c>
      <c r="B870" t="s">
        <v>145</v>
      </c>
      <c r="C870"/>
      <c r="D870" s="23">
        <v>294418.8</v>
      </c>
      <c r="E870">
        <v>11527</v>
      </c>
      <c r="F870">
        <v>11</v>
      </c>
      <c r="G870">
        <v>1159</v>
      </c>
      <c r="H870" t="s">
        <v>50</v>
      </c>
      <c r="I870" s="23">
        <v>294418.8</v>
      </c>
      <c r="J870" s="185">
        <v>46169</v>
      </c>
      <c r="K870" s="185">
        <v>46169</v>
      </c>
      <c r="L870" s="185">
        <v>46209</v>
      </c>
      <c r="M870" s="185"/>
      <c r="N870"/>
      <c r="O870">
        <v>1010100</v>
      </c>
      <c r="P870" t="s">
        <v>29</v>
      </c>
      <c r="Q870">
        <v>200000100</v>
      </c>
      <c r="R870" t="s">
        <v>15322</v>
      </c>
      <c r="S870"/>
      <c r="T870" t="s">
        <v>15323</v>
      </c>
      <c r="U870" t="s">
        <v>4502</v>
      </c>
      <c r="V870" s="23">
        <v>0</v>
      </c>
      <c r="W870" s="23">
        <v>0</v>
      </c>
      <c r="X870" s="23">
        <v>0</v>
      </c>
      <c r="Y870"/>
      <c r="Z870">
        <v>1246277181</v>
      </c>
      <c r="AA870"/>
      <c r="AB870"/>
      <c r="AC870">
        <v>102</v>
      </c>
      <c r="AD870">
        <v>4</v>
      </c>
      <c r="AE870" t="s">
        <v>15324</v>
      </c>
      <c r="AF870"/>
      <c r="AG870" s="23"/>
      <c r="AH870" s="265" t="str">
        <f>_xlfn.XLOOKUP(G870,Clientes!I:I,Clientes!F:F)</f>
        <v>GRUPO YARA</v>
      </c>
    </row>
    <row r="871" spans="1:34" x14ac:dyDescent="0.25">
      <c r="A871">
        <v>161</v>
      </c>
      <c r="B871" t="s">
        <v>145</v>
      </c>
      <c r="C871"/>
      <c r="D871" s="23">
        <v>299642.08</v>
      </c>
      <c r="E871">
        <v>11075</v>
      </c>
      <c r="F871">
        <v>11</v>
      </c>
      <c r="G871">
        <v>8187</v>
      </c>
      <c r="H871" t="s">
        <v>466</v>
      </c>
      <c r="I871" s="23">
        <v>299642.08</v>
      </c>
      <c r="J871" s="185">
        <v>46120</v>
      </c>
      <c r="K871" s="185">
        <v>46120</v>
      </c>
      <c r="L871" s="185">
        <v>46357</v>
      </c>
      <c r="M871" s="185"/>
      <c r="N871"/>
      <c r="O871">
        <v>1010100</v>
      </c>
      <c r="P871" t="s">
        <v>29</v>
      </c>
      <c r="Q871">
        <v>200000200</v>
      </c>
      <c r="R871" t="s">
        <v>15377</v>
      </c>
      <c r="S871"/>
      <c r="T871" t="s">
        <v>15323</v>
      </c>
      <c r="U871" t="s">
        <v>6311</v>
      </c>
      <c r="V871" s="23">
        <v>0</v>
      </c>
      <c r="W871" s="23">
        <v>0</v>
      </c>
      <c r="X871" s="23">
        <v>0</v>
      </c>
      <c r="Y871"/>
      <c r="Z871">
        <v>1246270723</v>
      </c>
      <c r="AA871"/>
      <c r="AB871"/>
      <c r="AC871">
        <v>102</v>
      </c>
      <c r="AD871">
        <v>4</v>
      </c>
      <c r="AE871" t="s">
        <v>15324</v>
      </c>
      <c r="AF871"/>
      <c r="AG871" s="23"/>
      <c r="AH871" s="265" t="str">
        <f>_xlfn.XLOOKUP(G871,Clientes!I:I,Clientes!F:F)</f>
        <v>AGROREP. REPRESENTACOES AGRICOLAS</v>
      </c>
    </row>
    <row r="872" spans="1:34" x14ac:dyDescent="0.25">
      <c r="A872">
        <v>56</v>
      </c>
      <c r="B872" t="s">
        <v>146</v>
      </c>
      <c r="C872"/>
      <c r="D872" s="23">
        <v>299800</v>
      </c>
      <c r="E872">
        <v>2849</v>
      </c>
      <c r="F872">
        <v>13</v>
      </c>
      <c r="G872">
        <v>1936</v>
      </c>
      <c r="H872" t="s">
        <v>64</v>
      </c>
      <c r="I872" s="23">
        <v>299800</v>
      </c>
      <c r="J872" s="185">
        <v>46108</v>
      </c>
      <c r="K872" s="185">
        <v>46108</v>
      </c>
      <c r="L872" s="185">
        <v>46136</v>
      </c>
      <c r="M872" s="185">
        <v>46136</v>
      </c>
      <c r="N872"/>
      <c r="O872">
        <v>1010100</v>
      </c>
      <c r="P872" t="s">
        <v>29</v>
      </c>
      <c r="Q872">
        <v>200000100</v>
      </c>
      <c r="R872" t="s">
        <v>15322</v>
      </c>
      <c r="S872"/>
      <c r="T872" t="s">
        <v>15323</v>
      </c>
      <c r="U872" t="s">
        <v>1199</v>
      </c>
      <c r="V872" s="23">
        <v>0</v>
      </c>
      <c r="W872" s="23">
        <v>0</v>
      </c>
      <c r="X872" s="23">
        <v>0</v>
      </c>
      <c r="Y872"/>
      <c r="Z872">
        <v>1246269445</v>
      </c>
      <c r="AA872"/>
      <c r="AB872" t="s">
        <v>1199</v>
      </c>
      <c r="AC872">
        <v>103</v>
      </c>
      <c r="AD872">
        <v>4</v>
      </c>
      <c r="AE872" t="s">
        <v>15324</v>
      </c>
      <c r="AF872"/>
      <c r="AG872" s="23"/>
      <c r="AH872" s="265" t="str">
        <f>_xlfn.XLOOKUP(G872,Clientes!I:I,Clientes!F:F)</f>
        <v>GRUPO AGRO INDUSTRIAL SAO LUIZ LTDA</v>
      </c>
    </row>
    <row r="873" spans="1:34" x14ac:dyDescent="0.25">
      <c r="A873">
        <v>161</v>
      </c>
      <c r="B873" t="s">
        <v>145</v>
      </c>
      <c r="C873"/>
      <c r="D873" s="23">
        <v>318000</v>
      </c>
      <c r="E873">
        <v>2635</v>
      </c>
      <c r="F873">
        <v>13</v>
      </c>
      <c r="G873">
        <v>14632</v>
      </c>
      <c r="H873" t="s">
        <v>399</v>
      </c>
      <c r="I873" s="23">
        <v>318000</v>
      </c>
      <c r="J873" s="185">
        <v>46024</v>
      </c>
      <c r="K873" s="185">
        <v>46024</v>
      </c>
      <c r="L873" s="185">
        <v>46052</v>
      </c>
      <c r="M873" s="185">
        <v>46052</v>
      </c>
      <c r="N873"/>
      <c r="O873">
        <v>1010100</v>
      </c>
      <c r="P873" t="s">
        <v>29</v>
      </c>
      <c r="Q873">
        <v>200000100</v>
      </c>
      <c r="R873" t="s">
        <v>15322</v>
      </c>
      <c r="S873"/>
      <c r="T873" t="s">
        <v>15323</v>
      </c>
      <c r="U873" t="s">
        <v>1199</v>
      </c>
      <c r="V873" s="23">
        <v>0</v>
      </c>
      <c r="W873" s="23">
        <v>0</v>
      </c>
      <c r="X873" s="23">
        <v>0</v>
      </c>
      <c r="Y873"/>
      <c r="Z873">
        <v>1246258153</v>
      </c>
      <c r="AA873"/>
      <c r="AB873" t="s">
        <v>1186</v>
      </c>
      <c r="AC873">
        <v>102</v>
      </c>
      <c r="AD873">
        <v>4</v>
      </c>
      <c r="AE873" t="s">
        <v>15324</v>
      </c>
      <c r="AF873"/>
      <c r="AG873" s="23"/>
      <c r="AH873" s="265" t="str">
        <f>_xlfn.XLOOKUP(G873,Clientes!I:I,Clientes!F:F)</f>
        <v>BIGFERTIL - CANDEIAS</v>
      </c>
    </row>
    <row r="874" spans="1:34" x14ac:dyDescent="0.25">
      <c r="A874">
        <v>161</v>
      </c>
      <c r="B874" t="s">
        <v>145</v>
      </c>
      <c r="C874"/>
      <c r="D874" s="23">
        <v>323183.17</v>
      </c>
      <c r="E874">
        <v>11290</v>
      </c>
      <c r="F874">
        <v>11</v>
      </c>
      <c r="G874">
        <v>2011</v>
      </c>
      <c r="H874" t="s">
        <v>616</v>
      </c>
      <c r="I874" s="23">
        <v>323183.17</v>
      </c>
      <c r="J874" s="185">
        <v>46146</v>
      </c>
      <c r="K874" s="185">
        <v>46146</v>
      </c>
      <c r="L874" s="185">
        <v>46174</v>
      </c>
      <c r="M874" s="185">
        <v>46169</v>
      </c>
      <c r="N874"/>
      <c r="O874">
        <v>1010100</v>
      </c>
      <c r="P874" t="s">
        <v>29</v>
      </c>
      <c r="Q874">
        <v>200000100</v>
      </c>
      <c r="R874" t="s">
        <v>15322</v>
      </c>
      <c r="S874"/>
      <c r="T874" t="s">
        <v>15323</v>
      </c>
      <c r="U874" t="s">
        <v>1530</v>
      </c>
      <c r="V874" s="23">
        <v>0</v>
      </c>
      <c r="W874" s="23">
        <v>0</v>
      </c>
      <c r="X874" s="23">
        <v>0</v>
      </c>
      <c r="Y874"/>
      <c r="Z874">
        <v>1246273477</v>
      </c>
      <c r="AA874"/>
      <c r="AB874" t="s">
        <v>1186</v>
      </c>
      <c r="AC874">
        <v>102</v>
      </c>
      <c r="AD874">
        <v>4</v>
      </c>
      <c r="AE874" t="s">
        <v>15324</v>
      </c>
      <c r="AF874"/>
      <c r="AG874" s="23"/>
      <c r="AH874" s="265" t="str">
        <f>_xlfn.XLOOKUP(G874,Clientes!I:I,Clientes!F:F)</f>
        <v>FERTGROW S.A</v>
      </c>
    </row>
    <row r="875" spans="1:34" x14ac:dyDescent="0.25">
      <c r="A875">
        <v>161</v>
      </c>
      <c r="B875" t="s">
        <v>145</v>
      </c>
      <c r="C875"/>
      <c r="D875" s="23">
        <v>327740.59999999998</v>
      </c>
      <c r="E875">
        <v>11214</v>
      </c>
      <c r="F875">
        <v>11</v>
      </c>
      <c r="G875">
        <v>13018</v>
      </c>
      <c r="H875" t="s">
        <v>15614</v>
      </c>
      <c r="I875" s="23">
        <v>327740.59999999998</v>
      </c>
      <c r="J875" s="185">
        <v>46136</v>
      </c>
      <c r="K875" s="185">
        <v>46136</v>
      </c>
      <c r="L875" s="185">
        <v>46209</v>
      </c>
      <c r="M875" s="185"/>
      <c r="N875"/>
      <c r="O875">
        <v>1010100</v>
      </c>
      <c r="P875" t="s">
        <v>29</v>
      </c>
      <c r="Q875">
        <v>200000100</v>
      </c>
      <c r="R875" t="s">
        <v>15322</v>
      </c>
      <c r="S875"/>
      <c r="T875" t="s">
        <v>15323</v>
      </c>
      <c r="U875" t="s">
        <v>1199</v>
      </c>
      <c r="V875" s="23">
        <v>0</v>
      </c>
      <c r="W875" s="23">
        <v>0</v>
      </c>
      <c r="X875" s="23">
        <v>0</v>
      </c>
      <c r="Y875"/>
      <c r="Z875">
        <v>1246272485</v>
      </c>
      <c r="AA875"/>
      <c r="AB875"/>
      <c r="AC875">
        <v>102</v>
      </c>
      <c r="AD875">
        <v>4</v>
      </c>
      <c r="AE875" t="s">
        <v>15324</v>
      </c>
      <c r="AF875"/>
      <c r="AG875" s="23"/>
      <c r="AH875" s="265" t="str">
        <f>_xlfn.XLOOKUP(G875,Clientes!I:I,Clientes!F:F)</f>
        <v>ULTRAFERTIL</v>
      </c>
    </row>
    <row r="876" spans="1:34" x14ac:dyDescent="0.25">
      <c r="A876">
        <v>40</v>
      </c>
      <c r="B876" t="s">
        <v>155</v>
      </c>
      <c r="C876"/>
      <c r="D876" s="23">
        <v>331187.78000000003</v>
      </c>
      <c r="E876">
        <v>11346</v>
      </c>
      <c r="F876">
        <v>11</v>
      </c>
      <c r="G876">
        <v>9355</v>
      </c>
      <c r="H876" t="s">
        <v>302</v>
      </c>
      <c r="I876" s="23">
        <v>331187.78000000003</v>
      </c>
      <c r="J876" s="185">
        <v>46153</v>
      </c>
      <c r="K876" s="185">
        <v>46153</v>
      </c>
      <c r="L876" s="185">
        <v>46243</v>
      </c>
      <c r="M876" s="185"/>
      <c r="N876"/>
      <c r="O876">
        <v>1010200</v>
      </c>
      <c r="P876" t="s">
        <v>113</v>
      </c>
      <c r="Q876">
        <v>200000100</v>
      </c>
      <c r="R876" t="s">
        <v>15322</v>
      </c>
      <c r="S876"/>
      <c r="T876" t="s">
        <v>15323</v>
      </c>
      <c r="U876" t="s">
        <v>1199</v>
      </c>
      <c r="V876" s="23">
        <v>0</v>
      </c>
      <c r="W876" s="23">
        <v>0</v>
      </c>
      <c r="X876" s="23">
        <v>0</v>
      </c>
      <c r="Y876"/>
      <c r="Z876">
        <v>1246274319</v>
      </c>
      <c r="AA876"/>
      <c r="AB876"/>
      <c r="AC876">
        <v>102</v>
      </c>
      <c r="AD876">
        <v>4</v>
      </c>
      <c r="AE876" t="s">
        <v>15324</v>
      </c>
      <c r="AF876" t="s">
        <v>15473</v>
      </c>
      <c r="AG876" s="23">
        <v>67599</v>
      </c>
      <c r="AH876" s="265" t="str">
        <f>_xlfn.XLOOKUP(G876,Clientes!I:I,Clientes!F:F)</f>
        <v>NITROFERT SAS - COLOMBIA</v>
      </c>
    </row>
    <row r="877" spans="1:34" x14ac:dyDescent="0.25">
      <c r="A877">
        <v>161</v>
      </c>
      <c r="B877" t="s">
        <v>145</v>
      </c>
      <c r="C877"/>
      <c r="D877" s="23">
        <v>332479.46999999997</v>
      </c>
      <c r="E877">
        <v>11544</v>
      </c>
      <c r="F877">
        <v>11</v>
      </c>
      <c r="G877">
        <v>2011</v>
      </c>
      <c r="H877" t="s">
        <v>616</v>
      </c>
      <c r="I877" s="23">
        <v>332479.46999999997</v>
      </c>
      <c r="J877" s="185">
        <v>46170</v>
      </c>
      <c r="K877" s="185">
        <v>46170</v>
      </c>
      <c r="L877" s="185">
        <v>46198</v>
      </c>
      <c r="M877" s="185">
        <v>46197</v>
      </c>
      <c r="N877"/>
      <c r="O877">
        <v>1010100</v>
      </c>
      <c r="P877" t="s">
        <v>29</v>
      </c>
      <c r="Q877">
        <v>200000100</v>
      </c>
      <c r="R877" t="s">
        <v>15322</v>
      </c>
      <c r="S877"/>
      <c r="T877" t="s">
        <v>15323</v>
      </c>
      <c r="U877" t="s">
        <v>6311</v>
      </c>
      <c r="V877" s="23">
        <v>0</v>
      </c>
      <c r="W877" s="23">
        <v>0</v>
      </c>
      <c r="X877" s="23">
        <v>0</v>
      </c>
      <c r="Y877"/>
      <c r="Z877">
        <v>1246277335</v>
      </c>
      <c r="AA877"/>
      <c r="AB877" t="s">
        <v>1186</v>
      </c>
      <c r="AC877">
        <v>102</v>
      </c>
      <c r="AD877">
        <v>4</v>
      </c>
      <c r="AE877" t="s">
        <v>15324</v>
      </c>
      <c r="AF877"/>
      <c r="AG877" s="23"/>
      <c r="AH877" s="265" t="str">
        <f>_xlfn.XLOOKUP(G877,Clientes!I:I,Clientes!F:F)</f>
        <v>FERTGROW S.A</v>
      </c>
    </row>
    <row r="878" spans="1:34" x14ac:dyDescent="0.25">
      <c r="A878">
        <v>40</v>
      </c>
      <c r="B878" t="s">
        <v>155</v>
      </c>
      <c r="C878"/>
      <c r="D878" s="23">
        <v>337183.81</v>
      </c>
      <c r="E878">
        <v>11285</v>
      </c>
      <c r="F878">
        <v>11</v>
      </c>
      <c r="G878">
        <v>9355</v>
      </c>
      <c r="H878" t="s">
        <v>302</v>
      </c>
      <c r="I878" s="23">
        <v>337183.81</v>
      </c>
      <c r="J878" s="185">
        <v>46146</v>
      </c>
      <c r="K878" s="185">
        <v>46146</v>
      </c>
      <c r="L878" s="185">
        <v>46236</v>
      </c>
      <c r="M878" s="185"/>
      <c r="N878"/>
      <c r="O878">
        <v>1010200</v>
      </c>
      <c r="P878" t="s">
        <v>113</v>
      </c>
      <c r="Q878">
        <v>200000100</v>
      </c>
      <c r="R878" t="s">
        <v>15322</v>
      </c>
      <c r="S878"/>
      <c r="T878" t="s">
        <v>15323</v>
      </c>
      <c r="U878" t="s">
        <v>1199</v>
      </c>
      <c r="V878" s="23">
        <v>0</v>
      </c>
      <c r="W878" s="23">
        <v>0</v>
      </c>
      <c r="X878" s="23">
        <v>0</v>
      </c>
      <c r="Y878"/>
      <c r="Z878">
        <v>1246273399</v>
      </c>
      <c r="AA878"/>
      <c r="AB878"/>
      <c r="AC878">
        <v>125</v>
      </c>
      <c r="AD878">
        <v>4</v>
      </c>
      <c r="AE878" t="s">
        <v>15324</v>
      </c>
      <c r="AF878" t="s">
        <v>15471</v>
      </c>
      <c r="AG878" s="23">
        <v>67599</v>
      </c>
      <c r="AH878" s="265" t="str">
        <f>_xlfn.XLOOKUP(G878,Clientes!I:I,Clientes!F:F)</f>
        <v>NITROFERT SAS - COLOMBIA</v>
      </c>
    </row>
    <row r="879" spans="1:34" x14ac:dyDescent="0.25">
      <c r="A879">
        <v>7</v>
      </c>
      <c r="B879" t="s">
        <v>556</v>
      </c>
      <c r="C879"/>
      <c r="D879" s="23">
        <v>339600</v>
      </c>
      <c r="E879">
        <v>2881</v>
      </c>
      <c r="F879">
        <v>13</v>
      </c>
      <c r="G879">
        <v>215</v>
      </c>
      <c r="H879" t="s">
        <v>221</v>
      </c>
      <c r="I879" s="23">
        <v>339600</v>
      </c>
      <c r="J879" s="185">
        <v>46132</v>
      </c>
      <c r="K879" s="185">
        <v>46132</v>
      </c>
      <c r="L879" s="185">
        <v>46160</v>
      </c>
      <c r="M879" s="185">
        <v>46153</v>
      </c>
      <c r="N879"/>
      <c r="O879">
        <v>1010100</v>
      </c>
      <c r="P879" t="s">
        <v>29</v>
      </c>
      <c r="Q879">
        <v>200000100</v>
      </c>
      <c r="R879" t="s">
        <v>15322</v>
      </c>
      <c r="S879"/>
      <c r="T879" t="s">
        <v>15323</v>
      </c>
      <c r="U879" t="s">
        <v>6311</v>
      </c>
      <c r="V879" s="23">
        <v>0</v>
      </c>
      <c r="W879" s="23">
        <v>0</v>
      </c>
      <c r="X879" s="23">
        <v>0</v>
      </c>
      <c r="Y879"/>
      <c r="Z879">
        <v>1246271897</v>
      </c>
      <c r="AA879"/>
      <c r="AB879" t="s">
        <v>1186</v>
      </c>
      <c r="AC879">
        <v>102</v>
      </c>
      <c r="AD879">
        <v>4</v>
      </c>
      <c r="AE879" t="s">
        <v>15324</v>
      </c>
      <c r="AF879"/>
      <c r="AG879" s="23"/>
      <c r="AH879" s="265" t="str">
        <f>_xlfn.XLOOKUP(G879,Clientes!I:I,Clientes!F:F)</f>
        <v>GRUPO UNIFERTIL</v>
      </c>
    </row>
    <row r="880" spans="1:34" x14ac:dyDescent="0.25">
      <c r="A880">
        <v>161</v>
      </c>
      <c r="B880" t="s">
        <v>145</v>
      </c>
      <c r="C880"/>
      <c r="D880" s="23">
        <v>347791.02</v>
      </c>
      <c r="E880">
        <v>11477</v>
      </c>
      <c r="F880">
        <v>11</v>
      </c>
      <c r="G880">
        <v>2011</v>
      </c>
      <c r="H880" t="s">
        <v>616</v>
      </c>
      <c r="I880" s="23">
        <v>347791.02</v>
      </c>
      <c r="J880" s="185">
        <v>46164</v>
      </c>
      <c r="K880" s="185">
        <v>46164</v>
      </c>
      <c r="L880" s="185">
        <v>46192</v>
      </c>
      <c r="M880" s="185">
        <v>46192</v>
      </c>
      <c r="N880"/>
      <c r="O880">
        <v>1010100</v>
      </c>
      <c r="P880" t="s">
        <v>29</v>
      </c>
      <c r="Q880">
        <v>200000100</v>
      </c>
      <c r="R880" t="s">
        <v>15322</v>
      </c>
      <c r="S880"/>
      <c r="T880" t="s">
        <v>15323</v>
      </c>
      <c r="U880" t="s">
        <v>6311</v>
      </c>
      <c r="V880" s="23">
        <v>0</v>
      </c>
      <c r="W880" s="23">
        <v>0</v>
      </c>
      <c r="X880" s="23">
        <v>0</v>
      </c>
      <c r="Y880"/>
      <c r="Z880">
        <v>1246276372</v>
      </c>
      <c r="AA880"/>
      <c r="AB880" t="s">
        <v>1186</v>
      </c>
      <c r="AC880">
        <v>102</v>
      </c>
      <c r="AD880">
        <v>4</v>
      </c>
      <c r="AE880" t="s">
        <v>15324</v>
      </c>
      <c r="AF880"/>
      <c r="AG880" s="23"/>
      <c r="AH880" s="265" t="str">
        <f>_xlfn.XLOOKUP(G880,Clientes!I:I,Clientes!F:F)</f>
        <v>FERTGROW S.A</v>
      </c>
    </row>
    <row r="881" spans="1:34" x14ac:dyDescent="0.25">
      <c r="A881">
        <v>40</v>
      </c>
      <c r="B881" t="s">
        <v>155</v>
      </c>
      <c r="C881"/>
      <c r="D881" s="23">
        <v>350416.57</v>
      </c>
      <c r="E881">
        <v>2642</v>
      </c>
      <c r="F881">
        <v>13</v>
      </c>
      <c r="G881">
        <v>2678</v>
      </c>
      <c r="H881" t="s">
        <v>581</v>
      </c>
      <c r="I881" s="23">
        <v>350416.57</v>
      </c>
      <c r="J881" s="185">
        <v>46028</v>
      </c>
      <c r="K881" s="185">
        <v>46028</v>
      </c>
      <c r="L881" s="185">
        <v>46058</v>
      </c>
      <c r="M881" s="185">
        <v>46037</v>
      </c>
      <c r="N881"/>
      <c r="O881">
        <v>1010200</v>
      </c>
      <c r="P881" t="s">
        <v>113</v>
      </c>
      <c r="Q881">
        <v>200000100</v>
      </c>
      <c r="R881" t="s">
        <v>15322</v>
      </c>
      <c r="S881"/>
      <c r="T881" t="s">
        <v>15323</v>
      </c>
      <c r="U881" t="s">
        <v>1199</v>
      </c>
      <c r="V881" s="23">
        <v>0</v>
      </c>
      <c r="W881" s="23">
        <v>0</v>
      </c>
      <c r="X881" s="23">
        <v>0</v>
      </c>
      <c r="Y881"/>
      <c r="Z881">
        <v>1246258423</v>
      </c>
      <c r="AA881"/>
      <c r="AB881" t="s">
        <v>1199</v>
      </c>
      <c r="AC881">
        <v>125</v>
      </c>
      <c r="AD881">
        <v>4</v>
      </c>
      <c r="AE881" t="s">
        <v>15324</v>
      </c>
      <c r="AF881" t="s">
        <v>15328</v>
      </c>
      <c r="AG881" s="23">
        <v>64480</v>
      </c>
      <c r="AH881" s="265" t="str">
        <f>_xlfn.XLOOKUP(G881,Clientes!I:I,Clientes!F:F)</f>
        <v>LOUIS DREYFUS - URUGUAI</v>
      </c>
    </row>
    <row r="882" spans="1:34" x14ac:dyDescent="0.25">
      <c r="A882">
        <v>161</v>
      </c>
      <c r="B882" t="s">
        <v>145</v>
      </c>
      <c r="C882"/>
      <c r="D882" s="23">
        <v>352080</v>
      </c>
      <c r="E882">
        <v>2800</v>
      </c>
      <c r="F882">
        <v>13</v>
      </c>
      <c r="G882">
        <v>10492</v>
      </c>
      <c r="H882" t="s">
        <v>101</v>
      </c>
      <c r="I882" s="23">
        <v>352080</v>
      </c>
      <c r="J882" s="185">
        <v>46087</v>
      </c>
      <c r="K882" s="185">
        <v>46087</v>
      </c>
      <c r="L882" s="185">
        <v>46115</v>
      </c>
      <c r="M882" s="185">
        <v>46111</v>
      </c>
      <c r="N882"/>
      <c r="O882">
        <v>1010100</v>
      </c>
      <c r="P882" t="s">
        <v>29</v>
      </c>
      <c r="Q882">
        <v>200000100</v>
      </c>
      <c r="R882" t="s">
        <v>15322</v>
      </c>
      <c r="S882"/>
      <c r="T882" t="s">
        <v>15323</v>
      </c>
      <c r="U882" t="s">
        <v>1530</v>
      </c>
      <c r="V882" s="23">
        <v>0</v>
      </c>
      <c r="W882" s="23">
        <v>0</v>
      </c>
      <c r="X882" s="23">
        <v>0</v>
      </c>
      <c r="Y882"/>
      <c r="Z882">
        <v>1246266896</v>
      </c>
      <c r="AA882"/>
      <c r="AB882" t="s">
        <v>1186</v>
      </c>
      <c r="AC882">
        <v>102</v>
      </c>
      <c r="AD882">
        <v>4</v>
      </c>
      <c r="AE882" t="s">
        <v>15324</v>
      </c>
      <c r="AF882"/>
      <c r="AG882" s="23"/>
      <c r="AH882" s="265" t="str">
        <f>_xlfn.XLOOKUP(G882,Clientes!I:I,Clientes!F:F)</f>
        <v>GRUPO UNIFERTIL</v>
      </c>
    </row>
    <row r="883" spans="1:34" x14ac:dyDescent="0.25">
      <c r="A883">
        <v>161</v>
      </c>
      <c r="B883" t="s">
        <v>145</v>
      </c>
      <c r="C883"/>
      <c r="D883" s="23">
        <v>352080</v>
      </c>
      <c r="E883">
        <v>2845</v>
      </c>
      <c r="F883">
        <v>13</v>
      </c>
      <c r="G883">
        <v>10492</v>
      </c>
      <c r="H883" t="s">
        <v>101</v>
      </c>
      <c r="I883" s="23">
        <v>352080</v>
      </c>
      <c r="J883" s="185">
        <v>46108</v>
      </c>
      <c r="K883" s="185">
        <v>46108</v>
      </c>
      <c r="L883" s="185">
        <v>46136</v>
      </c>
      <c r="M883" s="185">
        <v>46132</v>
      </c>
      <c r="N883"/>
      <c r="O883">
        <v>1010100</v>
      </c>
      <c r="P883" t="s">
        <v>29</v>
      </c>
      <c r="Q883">
        <v>200000100</v>
      </c>
      <c r="R883" t="s">
        <v>15322</v>
      </c>
      <c r="S883"/>
      <c r="T883" t="s">
        <v>15323</v>
      </c>
      <c r="U883" t="s">
        <v>6311</v>
      </c>
      <c r="V883" s="23">
        <v>0</v>
      </c>
      <c r="W883" s="23">
        <v>0</v>
      </c>
      <c r="X883" s="23">
        <v>0</v>
      </c>
      <c r="Y883"/>
      <c r="Z883">
        <v>1246269406</v>
      </c>
      <c r="AA883"/>
      <c r="AB883" t="s">
        <v>1186</v>
      </c>
      <c r="AC883">
        <v>102</v>
      </c>
      <c r="AD883">
        <v>4</v>
      </c>
      <c r="AE883" t="s">
        <v>15324</v>
      </c>
      <c r="AF883"/>
      <c r="AG883" s="23"/>
      <c r="AH883" s="265" t="str">
        <f>_xlfn.XLOOKUP(G883,Clientes!I:I,Clientes!F:F)</f>
        <v>GRUPO UNIFERTIL</v>
      </c>
    </row>
    <row r="884" spans="1:34" x14ac:dyDescent="0.25">
      <c r="A884">
        <v>161</v>
      </c>
      <c r="B884" t="s">
        <v>145</v>
      </c>
      <c r="C884"/>
      <c r="D884" s="23">
        <v>352080</v>
      </c>
      <c r="E884">
        <v>2679</v>
      </c>
      <c r="F884">
        <v>13</v>
      </c>
      <c r="G884">
        <v>10492</v>
      </c>
      <c r="H884" t="s">
        <v>101</v>
      </c>
      <c r="I884" s="23">
        <v>352080</v>
      </c>
      <c r="J884" s="185">
        <v>46038</v>
      </c>
      <c r="K884" s="185">
        <v>46038</v>
      </c>
      <c r="L884" s="185">
        <v>46066</v>
      </c>
      <c r="M884" s="185">
        <v>46063</v>
      </c>
      <c r="N884"/>
      <c r="O884">
        <v>1010100</v>
      </c>
      <c r="P884" t="s">
        <v>29</v>
      </c>
      <c r="Q884">
        <v>200000100</v>
      </c>
      <c r="R884" t="s">
        <v>15322</v>
      </c>
      <c r="S884"/>
      <c r="T884" t="s">
        <v>15323</v>
      </c>
      <c r="U884" t="s">
        <v>6311</v>
      </c>
      <c r="V884" s="23">
        <v>0</v>
      </c>
      <c r="W884" s="23">
        <v>0</v>
      </c>
      <c r="X884" s="23">
        <v>0</v>
      </c>
      <c r="Y884"/>
      <c r="Z884">
        <v>1246259705</v>
      </c>
      <c r="AA884"/>
      <c r="AB884" t="s">
        <v>1186</v>
      </c>
      <c r="AC884">
        <v>102</v>
      </c>
      <c r="AD884">
        <v>4</v>
      </c>
      <c r="AE884" t="s">
        <v>15324</v>
      </c>
      <c r="AF884"/>
      <c r="AG884" s="23"/>
      <c r="AH884" s="265" t="str">
        <f>_xlfn.XLOOKUP(G884,Clientes!I:I,Clientes!F:F)</f>
        <v>GRUPO UNIFERTIL</v>
      </c>
    </row>
    <row r="885" spans="1:34" x14ac:dyDescent="0.25">
      <c r="A885">
        <v>161</v>
      </c>
      <c r="B885" t="s">
        <v>145</v>
      </c>
      <c r="C885"/>
      <c r="D885" s="23">
        <v>352080</v>
      </c>
      <c r="E885">
        <v>2875</v>
      </c>
      <c r="F885">
        <v>13</v>
      </c>
      <c r="G885">
        <v>10492</v>
      </c>
      <c r="H885" t="s">
        <v>101</v>
      </c>
      <c r="I885" s="23">
        <v>352080</v>
      </c>
      <c r="J885" s="185">
        <v>46129</v>
      </c>
      <c r="K885" s="185">
        <v>46129</v>
      </c>
      <c r="L885" s="185">
        <v>46157</v>
      </c>
      <c r="M885" s="185">
        <v>46153</v>
      </c>
      <c r="N885"/>
      <c r="O885">
        <v>1010100</v>
      </c>
      <c r="P885" t="s">
        <v>29</v>
      </c>
      <c r="Q885">
        <v>200000100</v>
      </c>
      <c r="R885" t="s">
        <v>15322</v>
      </c>
      <c r="S885"/>
      <c r="T885" t="s">
        <v>15323</v>
      </c>
      <c r="U885" t="s">
        <v>6311</v>
      </c>
      <c r="V885" s="23">
        <v>0</v>
      </c>
      <c r="W885" s="23">
        <v>0</v>
      </c>
      <c r="X885" s="23">
        <v>0</v>
      </c>
      <c r="Y885"/>
      <c r="Z885">
        <v>1246271663</v>
      </c>
      <c r="AA885"/>
      <c r="AB885" t="s">
        <v>1186</v>
      </c>
      <c r="AC885">
        <v>102</v>
      </c>
      <c r="AD885">
        <v>4</v>
      </c>
      <c r="AE885" t="s">
        <v>15324</v>
      </c>
      <c r="AF885"/>
      <c r="AG885" s="23"/>
      <c r="AH885" s="265" t="str">
        <f>_xlfn.XLOOKUP(G885,Clientes!I:I,Clientes!F:F)</f>
        <v>GRUPO UNIFERTIL</v>
      </c>
    </row>
    <row r="886" spans="1:34" x14ac:dyDescent="0.25">
      <c r="A886">
        <v>161</v>
      </c>
      <c r="B886" t="s">
        <v>145</v>
      </c>
      <c r="C886"/>
      <c r="D886" s="23">
        <v>352080</v>
      </c>
      <c r="E886">
        <v>2631</v>
      </c>
      <c r="F886">
        <v>13</v>
      </c>
      <c r="G886">
        <v>215</v>
      </c>
      <c r="H886" t="s">
        <v>221</v>
      </c>
      <c r="I886" s="23">
        <v>352080</v>
      </c>
      <c r="J886" s="185">
        <v>46024</v>
      </c>
      <c r="K886" s="185">
        <v>46024</v>
      </c>
      <c r="L886" s="185">
        <v>46052</v>
      </c>
      <c r="M886" s="185">
        <v>46052</v>
      </c>
      <c r="N886"/>
      <c r="O886">
        <v>1010100</v>
      </c>
      <c r="P886" t="s">
        <v>29</v>
      </c>
      <c r="Q886">
        <v>200000100</v>
      </c>
      <c r="R886" t="s">
        <v>15322</v>
      </c>
      <c r="S886"/>
      <c r="T886" t="s">
        <v>15323</v>
      </c>
      <c r="U886" t="s">
        <v>6311</v>
      </c>
      <c r="V886" s="23">
        <v>0</v>
      </c>
      <c r="W886" s="23">
        <v>0</v>
      </c>
      <c r="X886" s="23">
        <v>0</v>
      </c>
      <c r="Y886"/>
      <c r="Z886">
        <v>1246258060</v>
      </c>
      <c r="AA886"/>
      <c r="AB886" t="s">
        <v>1186</v>
      </c>
      <c r="AC886">
        <v>102</v>
      </c>
      <c r="AD886">
        <v>4</v>
      </c>
      <c r="AE886" t="s">
        <v>15324</v>
      </c>
      <c r="AF886"/>
      <c r="AG886" s="23"/>
      <c r="AH886" s="265" t="str">
        <f>_xlfn.XLOOKUP(G886,Clientes!I:I,Clientes!F:F)</f>
        <v>GRUPO UNIFERTIL</v>
      </c>
    </row>
    <row r="887" spans="1:34" x14ac:dyDescent="0.25">
      <c r="A887">
        <v>161</v>
      </c>
      <c r="B887" t="s">
        <v>145</v>
      </c>
      <c r="C887"/>
      <c r="D887" s="23">
        <v>352080</v>
      </c>
      <c r="E887">
        <v>2702</v>
      </c>
      <c r="F887">
        <v>13</v>
      </c>
      <c r="G887">
        <v>215</v>
      </c>
      <c r="H887" t="s">
        <v>221</v>
      </c>
      <c r="I887" s="23">
        <v>352080</v>
      </c>
      <c r="J887" s="185">
        <v>46049</v>
      </c>
      <c r="K887" s="185">
        <v>46049</v>
      </c>
      <c r="L887" s="185">
        <v>46077</v>
      </c>
      <c r="M887" s="185">
        <v>46073</v>
      </c>
      <c r="N887"/>
      <c r="O887">
        <v>1010100</v>
      </c>
      <c r="P887" t="s">
        <v>29</v>
      </c>
      <c r="Q887">
        <v>200000100</v>
      </c>
      <c r="R887" t="s">
        <v>15322</v>
      </c>
      <c r="S887"/>
      <c r="T887" t="s">
        <v>15323</v>
      </c>
      <c r="U887" t="s">
        <v>6311</v>
      </c>
      <c r="V887" s="23">
        <v>0</v>
      </c>
      <c r="W887" s="23">
        <v>0</v>
      </c>
      <c r="X887" s="23">
        <v>0</v>
      </c>
      <c r="Y887"/>
      <c r="Z887">
        <v>1246261093</v>
      </c>
      <c r="AA887"/>
      <c r="AB887" t="s">
        <v>1186</v>
      </c>
      <c r="AC887">
        <v>102</v>
      </c>
      <c r="AD887">
        <v>4</v>
      </c>
      <c r="AE887" t="s">
        <v>15324</v>
      </c>
      <c r="AF887"/>
      <c r="AG887" s="23"/>
      <c r="AH887" s="265" t="str">
        <f>_xlfn.XLOOKUP(G887,Clientes!I:I,Clientes!F:F)</f>
        <v>GRUPO UNIFERTIL</v>
      </c>
    </row>
    <row r="888" spans="1:34" x14ac:dyDescent="0.25">
      <c r="A888">
        <v>56</v>
      </c>
      <c r="B888" t="s">
        <v>146</v>
      </c>
      <c r="C888"/>
      <c r="D888" s="23">
        <v>359760</v>
      </c>
      <c r="E888">
        <v>2693</v>
      </c>
      <c r="F888">
        <v>13</v>
      </c>
      <c r="G888">
        <v>1936</v>
      </c>
      <c r="H888" t="s">
        <v>64</v>
      </c>
      <c r="I888" s="23">
        <v>359760</v>
      </c>
      <c r="J888" s="185">
        <v>46045</v>
      </c>
      <c r="K888" s="185">
        <v>46045</v>
      </c>
      <c r="L888" s="185">
        <v>46073</v>
      </c>
      <c r="M888" s="185">
        <v>46073</v>
      </c>
      <c r="N888"/>
      <c r="O888">
        <v>1010100</v>
      </c>
      <c r="P888" t="s">
        <v>29</v>
      </c>
      <c r="Q888">
        <v>200000100</v>
      </c>
      <c r="R888" t="s">
        <v>15322</v>
      </c>
      <c r="S888"/>
      <c r="T888" t="s">
        <v>15323</v>
      </c>
      <c r="U888" t="s">
        <v>1199</v>
      </c>
      <c r="V888" s="23">
        <v>0</v>
      </c>
      <c r="W888" s="23">
        <v>0</v>
      </c>
      <c r="X888" s="23">
        <v>0</v>
      </c>
      <c r="Y888"/>
      <c r="Z888">
        <v>1246260576</v>
      </c>
      <c r="AA888"/>
      <c r="AB888" t="s">
        <v>1199</v>
      </c>
      <c r="AC888">
        <v>103</v>
      </c>
      <c r="AD888">
        <v>4</v>
      </c>
      <c r="AE888" t="s">
        <v>15324</v>
      </c>
      <c r="AF888"/>
      <c r="AG888" s="23"/>
      <c r="AH888" s="265" t="str">
        <f>_xlfn.XLOOKUP(G888,Clientes!I:I,Clientes!F:F)</f>
        <v>GRUPO AGRO INDUSTRIAL SAO LUIZ LTDA</v>
      </c>
    </row>
    <row r="889" spans="1:34" x14ac:dyDescent="0.25">
      <c r="A889">
        <v>56</v>
      </c>
      <c r="B889" t="s">
        <v>146</v>
      </c>
      <c r="C889"/>
      <c r="D889" s="23">
        <v>359760</v>
      </c>
      <c r="E889">
        <v>2713</v>
      </c>
      <c r="F889">
        <v>13</v>
      </c>
      <c r="G889">
        <v>1936</v>
      </c>
      <c r="H889" t="s">
        <v>64</v>
      </c>
      <c r="I889" s="23">
        <v>359760</v>
      </c>
      <c r="J889" s="185">
        <v>46056</v>
      </c>
      <c r="K889" s="185">
        <v>46056</v>
      </c>
      <c r="L889" s="185">
        <v>46084</v>
      </c>
      <c r="M889" s="185">
        <v>46084</v>
      </c>
      <c r="N889"/>
      <c r="O889">
        <v>1010100</v>
      </c>
      <c r="P889" t="s">
        <v>29</v>
      </c>
      <c r="Q889">
        <v>200000100</v>
      </c>
      <c r="R889" t="s">
        <v>15322</v>
      </c>
      <c r="S889"/>
      <c r="T889" t="s">
        <v>15323</v>
      </c>
      <c r="U889" t="s">
        <v>1964</v>
      </c>
      <c r="V889" s="23">
        <v>0</v>
      </c>
      <c r="W889" s="23">
        <v>0</v>
      </c>
      <c r="X889" s="23">
        <v>0</v>
      </c>
      <c r="Y889"/>
      <c r="Z889">
        <v>1246262077</v>
      </c>
      <c r="AA889"/>
      <c r="AB889" t="s">
        <v>1199</v>
      </c>
      <c r="AC889">
        <v>103</v>
      </c>
      <c r="AD889">
        <v>4</v>
      </c>
      <c r="AE889" t="s">
        <v>15324</v>
      </c>
      <c r="AF889"/>
      <c r="AG889" s="23"/>
      <c r="AH889" s="265" t="str">
        <f>_xlfn.XLOOKUP(G889,Clientes!I:I,Clientes!F:F)</f>
        <v>GRUPO AGRO INDUSTRIAL SAO LUIZ LTDA</v>
      </c>
    </row>
    <row r="890" spans="1:34" x14ac:dyDescent="0.25">
      <c r="A890">
        <v>161</v>
      </c>
      <c r="B890" t="s">
        <v>145</v>
      </c>
      <c r="C890"/>
      <c r="D890" s="23">
        <v>382561.45</v>
      </c>
      <c r="E890">
        <v>2939</v>
      </c>
      <c r="F890">
        <v>13</v>
      </c>
      <c r="G890">
        <v>2622</v>
      </c>
      <c r="H890" t="s">
        <v>73</v>
      </c>
      <c r="I890" s="23">
        <v>382561.45</v>
      </c>
      <c r="J890" s="185">
        <v>46155</v>
      </c>
      <c r="K890" s="185">
        <v>46155</v>
      </c>
      <c r="L890" s="185">
        <v>46245</v>
      </c>
      <c r="M890" s="185"/>
      <c r="N890"/>
      <c r="O890">
        <v>1010100</v>
      </c>
      <c r="P890" t="s">
        <v>29</v>
      </c>
      <c r="Q890">
        <v>200000100</v>
      </c>
      <c r="R890" t="s">
        <v>15322</v>
      </c>
      <c r="S890"/>
      <c r="T890" t="s">
        <v>15323</v>
      </c>
      <c r="U890" t="s">
        <v>6311</v>
      </c>
      <c r="V890" s="23">
        <v>0</v>
      </c>
      <c r="W890" s="23">
        <v>0</v>
      </c>
      <c r="X890" s="23">
        <v>0</v>
      </c>
      <c r="Y890"/>
      <c r="Z890">
        <v>1246274802</v>
      </c>
      <c r="AA890"/>
      <c r="AB890"/>
      <c r="AC890">
        <v>102</v>
      </c>
      <c r="AD890">
        <v>4</v>
      </c>
      <c r="AE890" t="s">
        <v>15324</v>
      </c>
      <c r="AF890"/>
      <c r="AG890" s="23"/>
      <c r="AH890" s="265" t="str">
        <f>_xlfn.XLOOKUP(G890,Clientes!I:I,Clientes!F:F)</f>
        <v>ADUFERTIL JUNDIAI</v>
      </c>
    </row>
    <row r="891" spans="1:34" x14ac:dyDescent="0.25">
      <c r="A891">
        <v>56</v>
      </c>
      <c r="B891" t="s">
        <v>146</v>
      </c>
      <c r="C891"/>
      <c r="D891" s="23">
        <v>384000</v>
      </c>
      <c r="E891">
        <v>2971</v>
      </c>
      <c r="F891">
        <v>13</v>
      </c>
      <c r="G891">
        <v>6124</v>
      </c>
      <c r="H891" t="s">
        <v>695</v>
      </c>
      <c r="I891" s="23">
        <v>384000</v>
      </c>
      <c r="J891" s="185">
        <v>46169</v>
      </c>
      <c r="K891" s="185">
        <v>46169</v>
      </c>
      <c r="L891" s="185">
        <v>46259</v>
      </c>
      <c r="M891" s="185"/>
      <c r="N891"/>
      <c r="O891">
        <v>1010100</v>
      </c>
      <c r="P891" t="s">
        <v>29</v>
      </c>
      <c r="Q891">
        <v>200000100</v>
      </c>
      <c r="R891" t="s">
        <v>15322</v>
      </c>
      <c r="S891"/>
      <c r="T891" t="s">
        <v>15323</v>
      </c>
      <c r="U891" t="s">
        <v>1964</v>
      </c>
      <c r="V891" s="23">
        <v>0</v>
      </c>
      <c r="W891" s="23">
        <v>0</v>
      </c>
      <c r="X891" s="23">
        <v>0</v>
      </c>
      <c r="Y891"/>
      <c r="Z891">
        <v>1246277044</v>
      </c>
      <c r="AA891"/>
      <c r="AB891"/>
      <c r="AC891">
        <v>102</v>
      </c>
      <c r="AD891">
        <v>4</v>
      </c>
      <c r="AE891" t="s">
        <v>15324</v>
      </c>
      <c r="AF891"/>
      <c r="AG891" s="23"/>
      <c r="AH891" s="265" t="str">
        <f>_xlfn.XLOOKUP(G891,Clientes!I:I,Clientes!F:F)</f>
        <v>GRUPO MOSAIC FERTILIZANTES DO BRASIL</v>
      </c>
    </row>
    <row r="892" spans="1:34" x14ac:dyDescent="0.25">
      <c r="A892">
        <v>56</v>
      </c>
      <c r="B892" t="s">
        <v>146</v>
      </c>
      <c r="C892"/>
      <c r="D892" s="23">
        <v>384000</v>
      </c>
      <c r="E892">
        <v>3012</v>
      </c>
      <c r="F892">
        <v>13</v>
      </c>
      <c r="G892">
        <v>6124</v>
      </c>
      <c r="H892" t="s">
        <v>695</v>
      </c>
      <c r="I892" s="23">
        <v>384000</v>
      </c>
      <c r="J892" s="185">
        <v>46185</v>
      </c>
      <c r="K892" s="185">
        <v>46185</v>
      </c>
      <c r="L892" s="185">
        <v>46275</v>
      </c>
      <c r="M892" s="185"/>
      <c r="N892"/>
      <c r="O892">
        <v>1010100</v>
      </c>
      <c r="P892" t="s">
        <v>29</v>
      </c>
      <c r="Q892">
        <v>200000100</v>
      </c>
      <c r="R892" t="s">
        <v>15322</v>
      </c>
      <c r="S892"/>
      <c r="T892" t="s">
        <v>15323</v>
      </c>
      <c r="U892" t="s">
        <v>1964</v>
      </c>
      <c r="V892" s="23">
        <v>0</v>
      </c>
      <c r="W892" s="23">
        <v>0</v>
      </c>
      <c r="X892" s="23">
        <v>0</v>
      </c>
      <c r="Y892"/>
      <c r="Z892">
        <v>1246279317</v>
      </c>
      <c r="AA892"/>
      <c r="AB892"/>
      <c r="AC892">
        <v>102</v>
      </c>
      <c r="AD892">
        <v>4</v>
      </c>
      <c r="AE892" t="s">
        <v>15324</v>
      </c>
      <c r="AF892"/>
      <c r="AG892" s="23"/>
      <c r="AH892" s="265" t="str">
        <f>_xlfn.XLOOKUP(G892,Clientes!I:I,Clientes!F:F)</f>
        <v>GRUPO MOSAIC FERTILIZANTES DO BRASIL</v>
      </c>
    </row>
    <row r="893" spans="1:34" x14ac:dyDescent="0.25">
      <c r="A893">
        <v>56</v>
      </c>
      <c r="B893" t="s">
        <v>146</v>
      </c>
      <c r="C893"/>
      <c r="D893" s="23">
        <v>384000</v>
      </c>
      <c r="E893">
        <v>2974</v>
      </c>
      <c r="F893">
        <v>13</v>
      </c>
      <c r="G893">
        <v>7479</v>
      </c>
      <c r="H893" t="s">
        <v>714</v>
      </c>
      <c r="I893" s="23">
        <v>384000</v>
      </c>
      <c r="J893" s="185">
        <v>46169</v>
      </c>
      <c r="K893" s="185">
        <v>46169</v>
      </c>
      <c r="L893" s="185">
        <v>46259</v>
      </c>
      <c r="M893" s="185"/>
      <c r="N893"/>
      <c r="O893">
        <v>1010100</v>
      </c>
      <c r="P893" t="s">
        <v>29</v>
      </c>
      <c r="Q893">
        <v>200000100</v>
      </c>
      <c r="R893" t="s">
        <v>15322</v>
      </c>
      <c r="S893"/>
      <c r="T893" t="s">
        <v>15323</v>
      </c>
      <c r="U893" t="s">
        <v>1964</v>
      </c>
      <c r="V893" s="23">
        <v>0</v>
      </c>
      <c r="W893" s="23">
        <v>0</v>
      </c>
      <c r="X893" s="23">
        <v>0</v>
      </c>
      <c r="Y893"/>
      <c r="Z893">
        <v>1246277126</v>
      </c>
      <c r="AA893"/>
      <c r="AB893"/>
      <c r="AC893">
        <v>102</v>
      </c>
      <c r="AD893">
        <v>4</v>
      </c>
      <c r="AE893" t="s">
        <v>15324</v>
      </c>
      <c r="AF893"/>
      <c r="AG893" s="23"/>
      <c r="AH893" s="265" t="str">
        <f>_xlfn.XLOOKUP(G893,Clientes!I:I,Clientes!F:F)</f>
        <v>GRUPO MOSAIC FERTILIZANTES DO BRASIL</v>
      </c>
    </row>
    <row r="894" spans="1:34" x14ac:dyDescent="0.25">
      <c r="A894">
        <v>161</v>
      </c>
      <c r="B894" t="s">
        <v>145</v>
      </c>
      <c r="C894"/>
      <c r="D894" s="23">
        <v>391080</v>
      </c>
      <c r="E894">
        <v>2819</v>
      </c>
      <c r="F894">
        <v>13</v>
      </c>
      <c r="G894">
        <v>139</v>
      </c>
      <c r="H894" t="s">
        <v>32</v>
      </c>
      <c r="I894" s="23">
        <v>391080</v>
      </c>
      <c r="J894" s="185">
        <v>46098</v>
      </c>
      <c r="K894" s="185">
        <v>46098</v>
      </c>
      <c r="L894" s="185">
        <v>46126</v>
      </c>
      <c r="M894" s="185">
        <v>46126</v>
      </c>
      <c r="N894"/>
      <c r="O894">
        <v>1010100</v>
      </c>
      <c r="P894" t="s">
        <v>29</v>
      </c>
      <c r="Q894">
        <v>200000100</v>
      </c>
      <c r="R894" t="s">
        <v>15322</v>
      </c>
      <c r="S894"/>
      <c r="T894" t="s">
        <v>15323</v>
      </c>
      <c r="U894" t="s">
        <v>6311</v>
      </c>
      <c r="V894" s="23">
        <v>0</v>
      </c>
      <c r="W894" s="23">
        <v>0</v>
      </c>
      <c r="X894" s="23">
        <v>0</v>
      </c>
      <c r="Y894"/>
      <c r="Z894">
        <v>1246268022</v>
      </c>
      <c r="AA894"/>
      <c r="AB894" t="s">
        <v>1186</v>
      </c>
      <c r="AC894">
        <v>102</v>
      </c>
      <c r="AD894">
        <v>4</v>
      </c>
      <c r="AE894" t="s">
        <v>15324</v>
      </c>
      <c r="AF894"/>
      <c r="AG894" s="23"/>
      <c r="AH894" s="265" t="str">
        <f>_xlfn.XLOOKUP(G894,Clientes!I:I,Clientes!F:F)</f>
        <v>COMIGO - RIO VERDE</v>
      </c>
    </row>
    <row r="895" spans="1:34" x14ac:dyDescent="0.25">
      <c r="A895">
        <v>161</v>
      </c>
      <c r="B895" t="s">
        <v>145</v>
      </c>
      <c r="C895"/>
      <c r="D895" s="23">
        <v>405897.98</v>
      </c>
      <c r="E895">
        <v>2928</v>
      </c>
      <c r="F895">
        <v>13</v>
      </c>
      <c r="G895">
        <v>97</v>
      </c>
      <c r="H895" t="s">
        <v>300</v>
      </c>
      <c r="I895" s="23">
        <v>405897.98</v>
      </c>
      <c r="J895" s="185">
        <v>46150</v>
      </c>
      <c r="K895" s="185">
        <v>46150</v>
      </c>
      <c r="L895" s="185">
        <v>46178</v>
      </c>
      <c r="M895" s="185">
        <v>46178</v>
      </c>
      <c r="N895"/>
      <c r="O895">
        <v>1010100</v>
      </c>
      <c r="P895" t="s">
        <v>29</v>
      </c>
      <c r="Q895">
        <v>200000100</v>
      </c>
      <c r="R895" t="s">
        <v>15322</v>
      </c>
      <c r="S895"/>
      <c r="T895" t="s">
        <v>15323</v>
      </c>
      <c r="U895" t="s">
        <v>6311</v>
      </c>
      <c r="V895" s="23">
        <v>0</v>
      </c>
      <c r="W895" s="23">
        <v>0</v>
      </c>
      <c r="X895" s="23">
        <v>0</v>
      </c>
      <c r="Y895"/>
      <c r="Z895">
        <v>1246274114</v>
      </c>
      <c r="AA895"/>
      <c r="AB895" t="s">
        <v>1186</v>
      </c>
      <c r="AC895">
        <v>102</v>
      </c>
      <c r="AD895">
        <v>4</v>
      </c>
      <c r="AE895" t="s">
        <v>15324</v>
      </c>
      <c r="AF895"/>
      <c r="AG895" s="23"/>
      <c r="AH895" s="265" t="str">
        <f>_xlfn.XLOOKUP(G895,Clientes!I:I,Clientes!F:F)</f>
        <v>FECOAGRO FEDERACAO DAS COOPERATIVAS</v>
      </c>
    </row>
    <row r="896" spans="1:34" x14ac:dyDescent="0.25">
      <c r="A896">
        <v>161</v>
      </c>
      <c r="B896" t="s">
        <v>145</v>
      </c>
      <c r="C896"/>
      <c r="D896" s="23">
        <v>410856.51</v>
      </c>
      <c r="E896">
        <v>2842</v>
      </c>
      <c r="F896">
        <v>13</v>
      </c>
      <c r="G896">
        <v>2622</v>
      </c>
      <c r="H896" t="s">
        <v>73</v>
      </c>
      <c r="I896" s="23">
        <v>410856.52</v>
      </c>
      <c r="J896" s="185">
        <v>46106</v>
      </c>
      <c r="K896" s="185">
        <v>46106</v>
      </c>
      <c r="L896" s="185">
        <v>46196</v>
      </c>
      <c r="M896" s="185">
        <v>46196</v>
      </c>
      <c r="N896"/>
      <c r="O896">
        <v>1010100</v>
      </c>
      <c r="P896" t="s">
        <v>29</v>
      </c>
      <c r="Q896">
        <v>200000100</v>
      </c>
      <c r="R896" t="s">
        <v>15322</v>
      </c>
      <c r="S896"/>
      <c r="T896" t="s">
        <v>15323</v>
      </c>
      <c r="U896" t="s">
        <v>1199</v>
      </c>
      <c r="V896" s="23">
        <v>0</v>
      </c>
      <c r="W896" s="23">
        <v>0</v>
      </c>
      <c r="X896" s="23">
        <v>0.01</v>
      </c>
      <c r="Y896"/>
      <c r="Z896">
        <v>1246268936</v>
      </c>
      <c r="AA896"/>
      <c r="AB896" t="s">
        <v>1199</v>
      </c>
      <c r="AC896">
        <v>103</v>
      </c>
      <c r="AD896">
        <v>4</v>
      </c>
      <c r="AE896" t="s">
        <v>15324</v>
      </c>
      <c r="AF896"/>
      <c r="AG896" s="23"/>
      <c r="AH896" s="265" t="str">
        <f>_xlfn.XLOOKUP(G896,Clientes!I:I,Clientes!F:F)</f>
        <v>ADUFERTIL JUNDIAI</v>
      </c>
    </row>
    <row r="897" spans="1:34" x14ac:dyDescent="0.25">
      <c r="A897">
        <v>40</v>
      </c>
      <c r="B897" t="s">
        <v>155</v>
      </c>
      <c r="C897"/>
      <c r="D897" s="23">
        <v>413134.59</v>
      </c>
      <c r="E897">
        <v>2936</v>
      </c>
      <c r="F897">
        <v>13</v>
      </c>
      <c r="G897">
        <v>2410</v>
      </c>
      <c r="H897" t="s">
        <v>419</v>
      </c>
      <c r="I897" s="23">
        <v>413134.59</v>
      </c>
      <c r="J897" s="185">
        <v>46154</v>
      </c>
      <c r="K897" s="185">
        <v>46154</v>
      </c>
      <c r="L897" s="185">
        <v>46184</v>
      </c>
      <c r="M897" s="185">
        <v>46196</v>
      </c>
      <c r="N897"/>
      <c r="O897">
        <v>1010200</v>
      </c>
      <c r="P897" t="s">
        <v>113</v>
      </c>
      <c r="Q897">
        <v>200000100</v>
      </c>
      <c r="R897" t="s">
        <v>15322</v>
      </c>
      <c r="S897"/>
      <c r="T897" t="s">
        <v>15323</v>
      </c>
      <c r="U897" t="s">
        <v>1199</v>
      </c>
      <c r="V897" s="23">
        <v>0</v>
      </c>
      <c r="W897" s="23">
        <v>0</v>
      </c>
      <c r="X897" s="23">
        <v>0</v>
      </c>
      <c r="Y897"/>
      <c r="Z897">
        <v>1246274624</v>
      </c>
      <c r="AA897"/>
      <c r="AB897" t="s">
        <v>1199</v>
      </c>
      <c r="AC897">
        <v>125</v>
      </c>
      <c r="AD897">
        <v>4</v>
      </c>
      <c r="AE897" t="s">
        <v>15324</v>
      </c>
      <c r="AF897" t="s">
        <v>15651</v>
      </c>
      <c r="AG897" s="23">
        <v>84370</v>
      </c>
      <c r="AH897" s="265" t="str">
        <f>_xlfn.XLOOKUP(G897,Clientes!I:I,Clientes!F:F)</f>
        <v>PEDRO MACCÍO Y CIA S.A. - URUGUAI</v>
      </c>
    </row>
    <row r="898" spans="1:34" x14ac:dyDescent="0.25">
      <c r="A898">
        <v>161</v>
      </c>
      <c r="B898" t="s">
        <v>145</v>
      </c>
      <c r="C898"/>
      <c r="D898" s="23">
        <v>413344.9</v>
      </c>
      <c r="E898">
        <v>2967</v>
      </c>
      <c r="F898">
        <v>13</v>
      </c>
      <c r="G898">
        <v>97</v>
      </c>
      <c r="H898" t="s">
        <v>300</v>
      </c>
      <c r="I898" s="23">
        <v>413344.9</v>
      </c>
      <c r="J898" s="185">
        <v>46168</v>
      </c>
      <c r="K898" s="185">
        <v>46168</v>
      </c>
      <c r="L898" s="185">
        <v>46196</v>
      </c>
      <c r="M898" s="185">
        <v>46196</v>
      </c>
      <c r="N898"/>
      <c r="O898">
        <v>1010100</v>
      </c>
      <c r="P898" t="s">
        <v>29</v>
      </c>
      <c r="Q898">
        <v>200000100</v>
      </c>
      <c r="R898" t="s">
        <v>15322</v>
      </c>
      <c r="S898"/>
      <c r="T898" t="s">
        <v>15323</v>
      </c>
      <c r="U898" t="s">
        <v>6311</v>
      </c>
      <c r="V898" s="23">
        <v>0</v>
      </c>
      <c r="W898" s="23">
        <v>0</v>
      </c>
      <c r="X898" s="23">
        <v>0</v>
      </c>
      <c r="Y898"/>
      <c r="Z898">
        <v>1246276790</v>
      </c>
      <c r="AA898"/>
      <c r="AB898" t="s">
        <v>1186</v>
      </c>
      <c r="AC898">
        <v>102</v>
      </c>
      <c r="AD898">
        <v>4</v>
      </c>
      <c r="AE898" t="s">
        <v>15324</v>
      </c>
      <c r="AF898"/>
      <c r="AG898" s="23"/>
      <c r="AH898" s="265" t="str">
        <f>_xlfn.XLOOKUP(G898,Clientes!I:I,Clientes!F:F)</f>
        <v>FECOAGRO FEDERACAO DAS COOPERATIVAS</v>
      </c>
    </row>
    <row r="899" spans="1:34" x14ac:dyDescent="0.25">
      <c r="A899">
        <v>161</v>
      </c>
      <c r="B899" t="s">
        <v>145</v>
      </c>
      <c r="C899"/>
      <c r="D899" s="23">
        <v>414764.93</v>
      </c>
      <c r="E899">
        <v>2874</v>
      </c>
      <c r="F899">
        <v>13</v>
      </c>
      <c r="G899">
        <v>97</v>
      </c>
      <c r="H899" t="s">
        <v>300</v>
      </c>
      <c r="I899" s="23">
        <v>414764.93</v>
      </c>
      <c r="J899" s="185">
        <v>46126</v>
      </c>
      <c r="K899" s="185">
        <v>46126</v>
      </c>
      <c r="L899" s="185">
        <v>46154</v>
      </c>
      <c r="M899" s="185">
        <v>46154</v>
      </c>
      <c r="N899"/>
      <c r="O899">
        <v>1010100</v>
      </c>
      <c r="P899" t="s">
        <v>29</v>
      </c>
      <c r="Q899">
        <v>200000100</v>
      </c>
      <c r="R899" t="s">
        <v>15322</v>
      </c>
      <c r="S899"/>
      <c r="T899" t="s">
        <v>15323</v>
      </c>
      <c r="U899" t="s">
        <v>6311</v>
      </c>
      <c r="V899" s="23">
        <v>0</v>
      </c>
      <c r="W899" s="23">
        <v>0</v>
      </c>
      <c r="X899" s="23">
        <v>0</v>
      </c>
      <c r="Y899"/>
      <c r="Z899">
        <v>1246271365</v>
      </c>
      <c r="AA899"/>
      <c r="AB899" t="s">
        <v>1186</v>
      </c>
      <c r="AC899">
        <v>102</v>
      </c>
      <c r="AD899">
        <v>4</v>
      </c>
      <c r="AE899" t="s">
        <v>15324</v>
      </c>
      <c r="AF899"/>
      <c r="AG899" s="23"/>
      <c r="AH899" s="265" t="str">
        <f>_xlfn.XLOOKUP(G899,Clientes!I:I,Clientes!F:F)</f>
        <v>FECOAGRO FEDERACAO DAS COOPERATIVAS</v>
      </c>
    </row>
    <row r="900" spans="1:34" x14ac:dyDescent="0.25">
      <c r="A900">
        <v>161</v>
      </c>
      <c r="B900" t="s">
        <v>145</v>
      </c>
      <c r="C900"/>
      <c r="D900" s="23">
        <v>417259.92</v>
      </c>
      <c r="E900">
        <v>2808</v>
      </c>
      <c r="F900">
        <v>13</v>
      </c>
      <c r="G900">
        <v>6124</v>
      </c>
      <c r="H900" t="s">
        <v>695</v>
      </c>
      <c r="I900" s="23">
        <v>417259.92</v>
      </c>
      <c r="J900" s="185">
        <v>46093</v>
      </c>
      <c r="K900" s="185">
        <v>46093</v>
      </c>
      <c r="L900" s="185">
        <v>46153</v>
      </c>
      <c r="M900" s="185">
        <v>46153</v>
      </c>
      <c r="N900"/>
      <c r="O900">
        <v>1010100</v>
      </c>
      <c r="P900" t="s">
        <v>29</v>
      </c>
      <c r="Q900">
        <v>200000100</v>
      </c>
      <c r="R900" t="s">
        <v>15322</v>
      </c>
      <c r="S900"/>
      <c r="T900" t="s">
        <v>15323</v>
      </c>
      <c r="U900" t="s">
        <v>1964</v>
      </c>
      <c r="V900" s="23">
        <v>0</v>
      </c>
      <c r="W900" s="23">
        <v>0</v>
      </c>
      <c r="X900" s="23">
        <v>0</v>
      </c>
      <c r="Y900"/>
      <c r="Z900">
        <v>1246267573</v>
      </c>
      <c r="AA900"/>
      <c r="AB900" t="s">
        <v>1199</v>
      </c>
      <c r="AC900">
        <v>103</v>
      </c>
      <c r="AD900">
        <v>4</v>
      </c>
      <c r="AE900" t="s">
        <v>15324</v>
      </c>
      <c r="AF900"/>
      <c r="AG900" s="23"/>
      <c r="AH900" s="265" t="str">
        <f>_xlfn.XLOOKUP(G900,Clientes!I:I,Clientes!F:F)</f>
        <v>GRUPO MOSAIC FERTILIZANTES DO BRASIL</v>
      </c>
    </row>
    <row r="901" spans="1:34" x14ac:dyDescent="0.25">
      <c r="A901">
        <v>161</v>
      </c>
      <c r="B901" t="s">
        <v>145</v>
      </c>
      <c r="C901"/>
      <c r="D901" s="23">
        <v>418470</v>
      </c>
      <c r="E901">
        <v>2632</v>
      </c>
      <c r="F901">
        <v>13</v>
      </c>
      <c r="G901">
        <v>2588</v>
      </c>
      <c r="H901" t="s">
        <v>70</v>
      </c>
      <c r="I901" s="23">
        <v>418470</v>
      </c>
      <c r="J901" s="185">
        <v>46024</v>
      </c>
      <c r="K901" s="185">
        <v>46024</v>
      </c>
      <c r="L901" s="185">
        <v>46054</v>
      </c>
      <c r="M901" s="185">
        <v>46065</v>
      </c>
      <c r="N901"/>
      <c r="O901">
        <v>1010100</v>
      </c>
      <c r="P901" t="s">
        <v>29</v>
      </c>
      <c r="Q901">
        <v>200000100</v>
      </c>
      <c r="R901" t="s">
        <v>15322</v>
      </c>
      <c r="S901"/>
      <c r="T901" t="s">
        <v>15323</v>
      </c>
      <c r="U901" t="s">
        <v>2246</v>
      </c>
      <c r="V901" s="23">
        <v>0</v>
      </c>
      <c r="W901" s="23">
        <v>0</v>
      </c>
      <c r="X901" s="23">
        <v>0</v>
      </c>
      <c r="Y901"/>
      <c r="Z901">
        <v>1246258118</v>
      </c>
      <c r="AA901"/>
      <c r="AB901" t="s">
        <v>1199</v>
      </c>
      <c r="AC901">
        <v>102</v>
      </c>
      <c r="AD901">
        <v>4</v>
      </c>
      <c r="AE901" t="s">
        <v>15324</v>
      </c>
      <c r="AF901"/>
      <c r="AG901" s="23"/>
      <c r="AH901" s="265" t="str">
        <f>_xlfn.XLOOKUP(G901,Clientes!I:I,Clientes!F:F)</f>
        <v>GRUPO FERTILIZ TOCANTINS</v>
      </c>
    </row>
    <row r="902" spans="1:34" x14ac:dyDescent="0.25">
      <c r="A902">
        <v>56</v>
      </c>
      <c r="B902" t="s">
        <v>146</v>
      </c>
      <c r="C902"/>
      <c r="D902" s="23">
        <v>419434</v>
      </c>
      <c r="E902">
        <v>2772</v>
      </c>
      <c r="F902">
        <v>13</v>
      </c>
      <c r="G902">
        <v>6124</v>
      </c>
      <c r="H902" t="s">
        <v>695</v>
      </c>
      <c r="I902" s="23">
        <v>419434</v>
      </c>
      <c r="J902" s="185">
        <v>46077</v>
      </c>
      <c r="K902" s="185">
        <v>46077</v>
      </c>
      <c r="L902" s="185">
        <v>46167</v>
      </c>
      <c r="M902" s="185">
        <v>46139</v>
      </c>
      <c r="N902"/>
      <c r="O902">
        <v>1010100</v>
      </c>
      <c r="P902" t="s">
        <v>29</v>
      </c>
      <c r="Q902">
        <v>200000100</v>
      </c>
      <c r="R902" t="s">
        <v>15322</v>
      </c>
      <c r="S902"/>
      <c r="T902" t="s">
        <v>15323</v>
      </c>
      <c r="U902" t="s">
        <v>1199</v>
      </c>
      <c r="V902" s="23">
        <v>0</v>
      </c>
      <c r="W902" s="23">
        <v>0</v>
      </c>
      <c r="X902" s="23">
        <v>0</v>
      </c>
      <c r="Y902"/>
      <c r="Z902">
        <v>1246264936</v>
      </c>
      <c r="AA902"/>
      <c r="AB902" t="s">
        <v>1199</v>
      </c>
      <c r="AC902">
        <v>103</v>
      </c>
      <c r="AD902">
        <v>4</v>
      </c>
      <c r="AE902" t="s">
        <v>15324</v>
      </c>
      <c r="AF902"/>
      <c r="AG902" s="23"/>
      <c r="AH902" s="265" t="str">
        <f>_xlfn.XLOOKUP(G902,Clientes!I:I,Clientes!F:F)</f>
        <v>GRUPO MOSAIC FERTILIZANTES DO BRASIL</v>
      </c>
    </row>
    <row r="903" spans="1:34" x14ac:dyDescent="0.25">
      <c r="A903">
        <v>161</v>
      </c>
      <c r="B903" t="s">
        <v>145</v>
      </c>
      <c r="C903"/>
      <c r="D903" s="23">
        <v>420160.61</v>
      </c>
      <c r="E903">
        <v>2688</v>
      </c>
      <c r="F903">
        <v>13</v>
      </c>
      <c r="G903">
        <v>2622</v>
      </c>
      <c r="H903" t="s">
        <v>73</v>
      </c>
      <c r="I903" s="23">
        <v>420160.61</v>
      </c>
      <c r="J903" s="185">
        <v>46043</v>
      </c>
      <c r="K903" s="185">
        <v>46043</v>
      </c>
      <c r="L903" s="185">
        <v>46133</v>
      </c>
      <c r="M903" s="185">
        <v>46134</v>
      </c>
      <c r="N903"/>
      <c r="O903">
        <v>1010100</v>
      </c>
      <c r="P903" t="s">
        <v>29</v>
      </c>
      <c r="Q903">
        <v>200000100</v>
      </c>
      <c r="R903" t="s">
        <v>15322</v>
      </c>
      <c r="S903"/>
      <c r="T903" t="s">
        <v>15323</v>
      </c>
      <c r="U903" t="s">
        <v>6311</v>
      </c>
      <c r="V903" s="23">
        <v>0</v>
      </c>
      <c r="W903" s="23">
        <v>0</v>
      </c>
      <c r="X903" s="23">
        <v>0</v>
      </c>
      <c r="Y903"/>
      <c r="Z903">
        <v>1246260238</v>
      </c>
      <c r="AA903"/>
      <c r="AB903" t="s">
        <v>1199</v>
      </c>
      <c r="AC903">
        <v>103</v>
      </c>
      <c r="AD903">
        <v>4</v>
      </c>
      <c r="AE903" t="s">
        <v>15324</v>
      </c>
      <c r="AF903"/>
      <c r="AG903" s="23"/>
      <c r="AH903" s="265" t="str">
        <f>_xlfn.XLOOKUP(G903,Clientes!I:I,Clientes!F:F)</f>
        <v>ADUFERTIL JUNDIAI</v>
      </c>
    </row>
    <row r="904" spans="1:34" x14ac:dyDescent="0.25">
      <c r="A904">
        <v>161</v>
      </c>
      <c r="B904" t="s">
        <v>145</v>
      </c>
      <c r="C904"/>
      <c r="D904" s="23">
        <v>422856.82</v>
      </c>
      <c r="E904">
        <v>2744</v>
      </c>
      <c r="F904">
        <v>13</v>
      </c>
      <c r="G904">
        <v>6124</v>
      </c>
      <c r="H904" t="s">
        <v>695</v>
      </c>
      <c r="I904" s="23">
        <v>422856.82</v>
      </c>
      <c r="J904" s="185">
        <v>46069</v>
      </c>
      <c r="K904" s="185">
        <v>46069</v>
      </c>
      <c r="L904" s="185">
        <v>46129</v>
      </c>
      <c r="M904" s="185">
        <v>46129</v>
      </c>
      <c r="N904"/>
      <c r="O904">
        <v>1010100</v>
      </c>
      <c r="P904" t="s">
        <v>29</v>
      </c>
      <c r="Q904">
        <v>200000100</v>
      </c>
      <c r="R904" t="s">
        <v>15322</v>
      </c>
      <c r="S904"/>
      <c r="T904" t="s">
        <v>15323</v>
      </c>
      <c r="U904" t="s">
        <v>1964</v>
      </c>
      <c r="V904" s="23">
        <v>0</v>
      </c>
      <c r="W904" s="23">
        <v>0</v>
      </c>
      <c r="X904" s="23">
        <v>0</v>
      </c>
      <c r="Y904"/>
      <c r="Z904">
        <v>1246263813</v>
      </c>
      <c r="AA904"/>
      <c r="AB904" t="s">
        <v>2073</v>
      </c>
      <c r="AC904">
        <v>103</v>
      </c>
      <c r="AD904">
        <v>4</v>
      </c>
      <c r="AE904" t="s">
        <v>15324</v>
      </c>
      <c r="AF904"/>
      <c r="AG904" s="23"/>
      <c r="AH904" s="265" t="str">
        <f>_xlfn.XLOOKUP(G904,Clientes!I:I,Clientes!F:F)</f>
        <v>GRUPO MOSAIC FERTILIZANTES DO BRASIL</v>
      </c>
    </row>
    <row r="905" spans="1:34" x14ac:dyDescent="0.25">
      <c r="A905">
        <v>40</v>
      </c>
      <c r="B905" t="s">
        <v>155</v>
      </c>
      <c r="C905"/>
      <c r="D905" s="23">
        <v>425140.37</v>
      </c>
      <c r="E905">
        <v>2661</v>
      </c>
      <c r="F905">
        <v>13</v>
      </c>
      <c r="G905">
        <v>2494</v>
      </c>
      <c r="H905" t="s">
        <v>327</v>
      </c>
      <c r="I905" s="23">
        <v>425140.37</v>
      </c>
      <c r="J905" s="185">
        <v>46035</v>
      </c>
      <c r="K905" s="185">
        <v>46035</v>
      </c>
      <c r="L905" s="185">
        <v>46080</v>
      </c>
      <c r="M905" s="185">
        <v>46080</v>
      </c>
      <c r="N905"/>
      <c r="O905">
        <v>1010200</v>
      </c>
      <c r="P905" t="s">
        <v>113</v>
      </c>
      <c r="Q905">
        <v>200000100</v>
      </c>
      <c r="R905" t="s">
        <v>15322</v>
      </c>
      <c r="S905"/>
      <c r="T905" t="s">
        <v>15323</v>
      </c>
      <c r="U905" t="s">
        <v>1199</v>
      </c>
      <c r="V905" s="23">
        <v>0</v>
      </c>
      <c r="W905" s="23">
        <v>0</v>
      </c>
      <c r="X905" s="23">
        <v>0</v>
      </c>
      <c r="Y905"/>
      <c r="Z905">
        <v>1246259236</v>
      </c>
      <c r="AA905"/>
      <c r="AB905" t="s">
        <v>1199</v>
      </c>
      <c r="AC905">
        <v>125</v>
      </c>
      <c r="AD905">
        <v>4</v>
      </c>
      <c r="AE905" t="s">
        <v>15324</v>
      </c>
      <c r="AF905" t="s">
        <v>15336</v>
      </c>
      <c r="AG905" s="23">
        <v>79090</v>
      </c>
      <c r="AH905" s="265" t="str">
        <f>_xlfn.XLOOKUP(G905,Clientes!I:I,Clientes!F:F)</f>
        <v>ASOCIACION DE COOPERATIVAS ARGENTINAS CL</v>
      </c>
    </row>
    <row r="906" spans="1:34" x14ac:dyDescent="0.25">
      <c r="A906">
        <v>161</v>
      </c>
      <c r="B906" t="s">
        <v>145</v>
      </c>
      <c r="C906"/>
      <c r="D906" s="23">
        <v>425218.51</v>
      </c>
      <c r="E906">
        <v>2725</v>
      </c>
      <c r="F906">
        <v>13</v>
      </c>
      <c r="G906">
        <v>6124</v>
      </c>
      <c r="H906" t="s">
        <v>695</v>
      </c>
      <c r="I906" s="23">
        <v>425218.51</v>
      </c>
      <c r="J906" s="185">
        <v>46059</v>
      </c>
      <c r="K906" s="185">
        <v>46059</v>
      </c>
      <c r="L906" s="185">
        <v>46119</v>
      </c>
      <c r="M906" s="185">
        <v>46119</v>
      </c>
      <c r="N906"/>
      <c r="O906">
        <v>1010100</v>
      </c>
      <c r="P906" t="s">
        <v>29</v>
      </c>
      <c r="Q906">
        <v>200000100</v>
      </c>
      <c r="R906" t="s">
        <v>15322</v>
      </c>
      <c r="S906"/>
      <c r="T906" t="s">
        <v>15323</v>
      </c>
      <c r="U906" t="s">
        <v>1964</v>
      </c>
      <c r="V906" s="23">
        <v>0</v>
      </c>
      <c r="W906" s="23">
        <v>0</v>
      </c>
      <c r="X906" s="23">
        <v>0</v>
      </c>
      <c r="Y906"/>
      <c r="Z906">
        <v>1246262612</v>
      </c>
      <c r="AA906"/>
      <c r="AB906" t="s">
        <v>1199</v>
      </c>
      <c r="AC906">
        <v>103</v>
      </c>
      <c r="AD906">
        <v>4</v>
      </c>
      <c r="AE906" t="s">
        <v>15324</v>
      </c>
      <c r="AF906"/>
      <c r="AG906" s="23"/>
      <c r="AH906" s="265" t="str">
        <f>_xlfn.XLOOKUP(G906,Clientes!I:I,Clientes!F:F)</f>
        <v>GRUPO MOSAIC FERTILIZANTES DO BRASIL</v>
      </c>
    </row>
    <row r="907" spans="1:34" x14ac:dyDescent="0.25">
      <c r="A907">
        <v>161</v>
      </c>
      <c r="B907" t="s">
        <v>145</v>
      </c>
      <c r="C907"/>
      <c r="D907" s="23">
        <v>429240</v>
      </c>
      <c r="E907">
        <v>2794</v>
      </c>
      <c r="F907">
        <v>13</v>
      </c>
      <c r="G907">
        <v>97</v>
      </c>
      <c r="H907" t="s">
        <v>300</v>
      </c>
      <c r="I907" s="23">
        <v>429240</v>
      </c>
      <c r="J907" s="185">
        <v>46086</v>
      </c>
      <c r="K907" s="185">
        <v>46086</v>
      </c>
      <c r="L907" s="185">
        <v>46114</v>
      </c>
      <c r="M907" s="185">
        <v>46114</v>
      </c>
      <c r="N907"/>
      <c r="O907">
        <v>1010100</v>
      </c>
      <c r="P907" t="s">
        <v>29</v>
      </c>
      <c r="Q907">
        <v>200000100</v>
      </c>
      <c r="R907" t="s">
        <v>15322</v>
      </c>
      <c r="S907"/>
      <c r="T907" t="s">
        <v>15323</v>
      </c>
      <c r="U907" t="s">
        <v>6311</v>
      </c>
      <c r="V907" s="23">
        <v>0</v>
      </c>
      <c r="W907" s="23">
        <v>0</v>
      </c>
      <c r="X907" s="23">
        <v>0</v>
      </c>
      <c r="Y907"/>
      <c r="Z907">
        <v>1246266666</v>
      </c>
      <c r="AA907"/>
      <c r="AB907" t="s">
        <v>1186</v>
      </c>
      <c r="AC907">
        <v>102</v>
      </c>
      <c r="AD907">
        <v>4</v>
      </c>
      <c r="AE907" t="s">
        <v>15324</v>
      </c>
      <c r="AF907"/>
      <c r="AG907" s="23"/>
      <c r="AH907" s="265" t="str">
        <f>_xlfn.XLOOKUP(G907,Clientes!I:I,Clientes!F:F)</f>
        <v>FECOAGRO FEDERACAO DAS COOPERATIVAS</v>
      </c>
    </row>
    <row r="908" spans="1:34" x14ac:dyDescent="0.25">
      <c r="A908">
        <v>161</v>
      </c>
      <c r="B908" t="s">
        <v>145</v>
      </c>
      <c r="C908"/>
      <c r="D908" s="23">
        <v>429480</v>
      </c>
      <c r="E908">
        <v>2767</v>
      </c>
      <c r="F908">
        <v>13</v>
      </c>
      <c r="G908">
        <v>16099</v>
      </c>
      <c r="H908" t="s">
        <v>1118</v>
      </c>
      <c r="I908" s="23">
        <v>429480</v>
      </c>
      <c r="J908" s="185">
        <v>46076</v>
      </c>
      <c r="K908" s="185">
        <v>46076</v>
      </c>
      <c r="L908" s="185">
        <v>46166</v>
      </c>
      <c r="M908" s="185">
        <v>46136</v>
      </c>
      <c r="N908"/>
      <c r="O908">
        <v>1010100</v>
      </c>
      <c r="P908" t="s">
        <v>29</v>
      </c>
      <c r="Q908">
        <v>200000100</v>
      </c>
      <c r="R908" t="s">
        <v>15322</v>
      </c>
      <c r="S908"/>
      <c r="T908" t="s">
        <v>15323</v>
      </c>
      <c r="U908" t="s">
        <v>1964</v>
      </c>
      <c r="V908" s="23">
        <v>0</v>
      </c>
      <c r="W908" s="23">
        <v>0</v>
      </c>
      <c r="X908" s="23">
        <v>0</v>
      </c>
      <c r="Y908"/>
      <c r="Z908">
        <v>1246264672</v>
      </c>
      <c r="AA908"/>
      <c r="AB908" t="s">
        <v>1199</v>
      </c>
      <c r="AC908">
        <v>103</v>
      </c>
      <c r="AD908">
        <v>4</v>
      </c>
      <c r="AE908" t="s">
        <v>15324</v>
      </c>
      <c r="AF908"/>
      <c r="AG908" s="23"/>
      <c r="AH908" s="265" t="str">
        <f>_xlfn.XLOOKUP(G908,Clientes!I:I,Clientes!F:F)</f>
        <v>GRUPO MOSAIC FERTILIZANTES DO BRASIL</v>
      </c>
    </row>
    <row r="909" spans="1:34" x14ac:dyDescent="0.25">
      <c r="A909">
        <v>161</v>
      </c>
      <c r="B909" t="s">
        <v>145</v>
      </c>
      <c r="C909"/>
      <c r="D909" s="23">
        <v>432176.83</v>
      </c>
      <c r="E909">
        <v>2859</v>
      </c>
      <c r="F909">
        <v>13</v>
      </c>
      <c r="G909">
        <v>97</v>
      </c>
      <c r="H909" t="s">
        <v>300</v>
      </c>
      <c r="I909" s="23">
        <v>432176.83</v>
      </c>
      <c r="J909" s="185">
        <v>46112</v>
      </c>
      <c r="K909" s="185">
        <v>46112</v>
      </c>
      <c r="L909" s="185">
        <v>46140</v>
      </c>
      <c r="M909" s="185">
        <v>46140</v>
      </c>
      <c r="N909"/>
      <c r="O909">
        <v>1010100</v>
      </c>
      <c r="P909" t="s">
        <v>29</v>
      </c>
      <c r="Q909">
        <v>200000100</v>
      </c>
      <c r="R909" t="s">
        <v>15322</v>
      </c>
      <c r="S909"/>
      <c r="T909" t="s">
        <v>15323</v>
      </c>
      <c r="U909" t="s">
        <v>6311</v>
      </c>
      <c r="V909" s="23">
        <v>0</v>
      </c>
      <c r="W909" s="23">
        <v>0</v>
      </c>
      <c r="X909" s="23">
        <v>0</v>
      </c>
      <c r="Y909"/>
      <c r="Z909">
        <v>1246269781</v>
      </c>
      <c r="AA909"/>
      <c r="AB909" t="s">
        <v>1186</v>
      </c>
      <c r="AC909">
        <v>102</v>
      </c>
      <c r="AD909">
        <v>4</v>
      </c>
      <c r="AE909" t="s">
        <v>15324</v>
      </c>
      <c r="AF909"/>
      <c r="AG909" s="23"/>
      <c r="AH909" s="265" t="str">
        <f>_xlfn.XLOOKUP(G909,Clientes!I:I,Clientes!F:F)</f>
        <v>FECOAGRO FEDERACAO DAS COOPERATIVAS</v>
      </c>
    </row>
    <row r="910" spans="1:34" x14ac:dyDescent="0.25">
      <c r="A910">
        <v>161</v>
      </c>
      <c r="B910" t="s">
        <v>145</v>
      </c>
      <c r="C910"/>
      <c r="D910" s="23">
        <v>435045.43</v>
      </c>
      <c r="E910">
        <v>2674</v>
      </c>
      <c r="F910">
        <v>13</v>
      </c>
      <c r="G910">
        <v>6124</v>
      </c>
      <c r="H910" t="s">
        <v>695</v>
      </c>
      <c r="I910" s="23">
        <v>435045.43</v>
      </c>
      <c r="J910" s="185">
        <v>46037</v>
      </c>
      <c r="K910" s="185">
        <v>46037</v>
      </c>
      <c r="L910" s="185">
        <v>46097</v>
      </c>
      <c r="M910" s="185">
        <v>46097</v>
      </c>
      <c r="N910"/>
      <c r="O910">
        <v>1010100</v>
      </c>
      <c r="P910" t="s">
        <v>29</v>
      </c>
      <c r="Q910">
        <v>200000100</v>
      </c>
      <c r="R910" t="s">
        <v>15322</v>
      </c>
      <c r="S910"/>
      <c r="T910" t="s">
        <v>15323</v>
      </c>
      <c r="U910" t="s">
        <v>1530</v>
      </c>
      <c r="V910" s="23">
        <v>0</v>
      </c>
      <c r="W910" s="23">
        <v>0</v>
      </c>
      <c r="X910" s="23">
        <v>0</v>
      </c>
      <c r="Y910"/>
      <c r="Z910">
        <v>1246259608</v>
      </c>
      <c r="AA910"/>
      <c r="AB910" t="s">
        <v>1199</v>
      </c>
      <c r="AC910">
        <v>103</v>
      </c>
      <c r="AD910">
        <v>4</v>
      </c>
      <c r="AE910" t="s">
        <v>15324</v>
      </c>
      <c r="AF910"/>
      <c r="AG910" s="23"/>
      <c r="AH910" s="265" t="str">
        <f>_xlfn.XLOOKUP(G910,Clientes!I:I,Clientes!F:F)</f>
        <v>GRUPO MOSAIC FERTILIZANTES DO BRASIL</v>
      </c>
    </row>
    <row r="911" spans="1:34" x14ac:dyDescent="0.25">
      <c r="A911">
        <v>161</v>
      </c>
      <c r="B911" t="s">
        <v>145</v>
      </c>
      <c r="C911"/>
      <c r="D911" s="23">
        <v>442920</v>
      </c>
      <c r="E911">
        <v>2690</v>
      </c>
      <c r="F911">
        <v>13</v>
      </c>
      <c r="G911">
        <v>97</v>
      </c>
      <c r="H911" t="s">
        <v>300</v>
      </c>
      <c r="I911" s="23">
        <v>442920</v>
      </c>
      <c r="J911" s="185">
        <v>46044</v>
      </c>
      <c r="K911" s="185">
        <v>46044</v>
      </c>
      <c r="L911" s="185">
        <v>46072</v>
      </c>
      <c r="M911" s="185">
        <v>46072</v>
      </c>
      <c r="N911"/>
      <c r="O911">
        <v>1010100</v>
      </c>
      <c r="P911" t="s">
        <v>29</v>
      </c>
      <c r="Q911">
        <v>200000100</v>
      </c>
      <c r="R911" t="s">
        <v>15322</v>
      </c>
      <c r="S911"/>
      <c r="T911" t="s">
        <v>15323</v>
      </c>
      <c r="U911" t="s">
        <v>6311</v>
      </c>
      <c r="V911" s="23">
        <v>0</v>
      </c>
      <c r="W911" s="23">
        <v>0</v>
      </c>
      <c r="X911" s="23">
        <v>0</v>
      </c>
      <c r="Y911"/>
      <c r="Z911">
        <v>1246260391</v>
      </c>
      <c r="AA911"/>
      <c r="AB911" t="s">
        <v>1186</v>
      </c>
      <c r="AC911">
        <v>102</v>
      </c>
      <c r="AD911">
        <v>4</v>
      </c>
      <c r="AE911" t="s">
        <v>15324</v>
      </c>
      <c r="AF911"/>
      <c r="AG911" s="23"/>
      <c r="AH911" s="265" t="str">
        <f>_xlfn.XLOOKUP(G911,Clientes!I:I,Clientes!F:F)</f>
        <v>FECOAGRO FEDERACAO DAS COOPERATIVAS</v>
      </c>
    </row>
    <row r="912" spans="1:34" x14ac:dyDescent="0.25">
      <c r="A912">
        <v>40</v>
      </c>
      <c r="B912" t="s">
        <v>155</v>
      </c>
      <c r="C912"/>
      <c r="D912" s="23">
        <v>443929.79</v>
      </c>
      <c r="E912">
        <v>2977</v>
      </c>
      <c r="F912">
        <v>13</v>
      </c>
      <c r="G912">
        <v>2656</v>
      </c>
      <c r="H912" t="s">
        <v>118</v>
      </c>
      <c r="I912" s="23">
        <v>443929.79</v>
      </c>
      <c r="J912" s="185">
        <v>46170</v>
      </c>
      <c r="K912" s="185">
        <v>46170</v>
      </c>
      <c r="L912" s="185">
        <v>46200</v>
      </c>
      <c r="M912" s="185"/>
      <c r="N912"/>
      <c r="O912">
        <v>1010200</v>
      </c>
      <c r="P912" t="s">
        <v>113</v>
      </c>
      <c r="Q912">
        <v>200000100</v>
      </c>
      <c r="R912" t="s">
        <v>15322</v>
      </c>
      <c r="S912"/>
      <c r="T912" t="s">
        <v>15323</v>
      </c>
      <c r="U912" t="s">
        <v>1964</v>
      </c>
      <c r="V912" s="23">
        <v>0</v>
      </c>
      <c r="W912" s="23">
        <v>0</v>
      </c>
      <c r="X912" s="23">
        <v>0</v>
      </c>
      <c r="Y912"/>
      <c r="Z912">
        <v>1246277257</v>
      </c>
      <c r="AA912"/>
      <c r="AB912"/>
      <c r="AC912">
        <v>102</v>
      </c>
      <c r="AD912">
        <v>4</v>
      </c>
      <c r="AE912" t="s">
        <v>15324</v>
      </c>
      <c r="AF912"/>
      <c r="AG912" s="23"/>
      <c r="AH912" s="265" t="str">
        <f>_xlfn.XLOOKUP(G912,Clientes!I:I,Clientes!F:F)</f>
        <v>ISUSA - URUGUAI</v>
      </c>
    </row>
    <row r="913" spans="1:34" x14ac:dyDescent="0.25">
      <c r="A913">
        <v>39</v>
      </c>
      <c r="B913" t="s">
        <v>15325</v>
      </c>
      <c r="C913"/>
      <c r="D913" s="23">
        <v>473385</v>
      </c>
      <c r="E913">
        <v>2753</v>
      </c>
      <c r="F913">
        <v>13</v>
      </c>
      <c r="G913">
        <v>12190</v>
      </c>
      <c r="H913" t="s">
        <v>231</v>
      </c>
      <c r="I913" s="23">
        <v>473385</v>
      </c>
      <c r="J913" s="185">
        <v>46073</v>
      </c>
      <c r="K913" s="185">
        <v>46073</v>
      </c>
      <c r="L913" s="185">
        <v>46101</v>
      </c>
      <c r="M913" s="185">
        <v>46101</v>
      </c>
      <c r="N913"/>
      <c r="O913">
        <v>1010100</v>
      </c>
      <c r="P913" t="s">
        <v>29</v>
      </c>
      <c r="Q913">
        <v>200000100</v>
      </c>
      <c r="R913" t="s">
        <v>15322</v>
      </c>
      <c r="S913"/>
      <c r="T913" t="s">
        <v>15323</v>
      </c>
      <c r="U913" t="s">
        <v>6311</v>
      </c>
      <c r="V913" s="23">
        <v>0</v>
      </c>
      <c r="W913" s="23">
        <v>0</v>
      </c>
      <c r="X913" s="23">
        <v>0</v>
      </c>
      <c r="Y913"/>
      <c r="Z913">
        <v>1246264210</v>
      </c>
      <c r="AA913"/>
      <c r="AB913" t="s">
        <v>1186</v>
      </c>
      <c r="AC913">
        <v>102</v>
      </c>
      <c r="AD913">
        <v>4</v>
      </c>
      <c r="AE913" t="s">
        <v>15324</v>
      </c>
      <c r="AF913"/>
      <c r="AG913" s="23"/>
      <c r="AH913" s="265" t="str">
        <f>_xlfn.XLOOKUP(G913,Clientes!I:I,Clientes!F:F)</f>
        <v>OUROFERTIL - PELOTAS</v>
      </c>
    </row>
    <row r="914" spans="1:34" x14ac:dyDescent="0.25">
      <c r="A914">
        <v>40</v>
      </c>
      <c r="B914" t="s">
        <v>155</v>
      </c>
      <c r="C914"/>
      <c r="D914" s="23">
        <v>480627.18</v>
      </c>
      <c r="E914">
        <v>2643</v>
      </c>
      <c r="F914">
        <v>13</v>
      </c>
      <c r="G914">
        <v>2656</v>
      </c>
      <c r="H914" t="s">
        <v>118</v>
      </c>
      <c r="I914" s="23">
        <v>480627.18</v>
      </c>
      <c r="J914" s="185">
        <v>46028</v>
      </c>
      <c r="K914" s="185">
        <v>46028</v>
      </c>
      <c r="L914" s="185">
        <v>46058</v>
      </c>
      <c r="M914" s="185">
        <v>46062</v>
      </c>
      <c r="N914"/>
      <c r="O914">
        <v>1010200</v>
      </c>
      <c r="P914" t="s">
        <v>113</v>
      </c>
      <c r="Q914">
        <v>200000100</v>
      </c>
      <c r="R914" t="s">
        <v>15322</v>
      </c>
      <c r="S914"/>
      <c r="T914" t="s">
        <v>15323</v>
      </c>
      <c r="U914" t="s">
        <v>1199</v>
      </c>
      <c r="V914" s="23">
        <v>0</v>
      </c>
      <c r="W914" s="23">
        <v>0</v>
      </c>
      <c r="X914" s="23">
        <v>0</v>
      </c>
      <c r="Y914"/>
      <c r="Z914">
        <v>1246258507</v>
      </c>
      <c r="AA914"/>
      <c r="AB914" t="s">
        <v>1199</v>
      </c>
      <c r="AC914">
        <v>125</v>
      </c>
      <c r="AD914">
        <v>4</v>
      </c>
      <c r="AE914" t="s">
        <v>15324</v>
      </c>
      <c r="AF914" t="s">
        <v>15326</v>
      </c>
      <c r="AG914" s="23">
        <v>88440</v>
      </c>
      <c r="AH914" s="265" t="str">
        <f>_xlfn.XLOOKUP(G914,Clientes!I:I,Clientes!F:F)</f>
        <v>ISUSA - URUGUAI</v>
      </c>
    </row>
    <row r="915" spans="1:34" x14ac:dyDescent="0.25">
      <c r="A915">
        <v>161</v>
      </c>
      <c r="B915" t="s">
        <v>145</v>
      </c>
      <c r="C915"/>
      <c r="D915" s="23">
        <v>492240</v>
      </c>
      <c r="E915">
        <v>2736</v>
      </c>
      <c r="F915">
        <v>13</v>
      </c>
      <c r="G915">
        <v>2011</v>
      </c>
      <c r="H915" t="s">
        <v>616</v>
      </c>
      <c r="I915" s="23">
        <v>492240</v>
      </c>
      <c r="J915" s="185">
        <v>46064</v>
      </c>
      <c r="K915" s="185">
        <v>46064</v>
      </c>
      <c r="L915" s="185">
        <v>46092</v>
      </c>
      <c r="M915" s="185">
        <v>46092</v>
      </c>
      <c r="N915"/>
      <c r="O915">
        <v>1010100</v>
      </c>
      <c r="P915" t="s">
        <v>29</v>
      </c>
      <c r="Q915">
        <v>200000100</v>
      </c>
      <c r="R915" t="s">
        <v>15322</v>
      </c>
      <c r="S915"/>
      <c r="T915" t="s">
        <v>15323</v>
      </c>
      <c r="U915" t="s">
        <v>1530</v>
      </c>
      <c r="V915" s="23">
        <v>0</v>
      </c>
      <c r="W915" s="23">
        <v>0</v>
      </c>
      <c r="X915" s="23">
        <v>0</v>
      </c>
      <c r="Y915"/>
      <c r="Z915">
        <v>1246263341</v>
      </c>
      <c r="AA915"/>
      <c r="AB915" t="s">
        <v>1186</v>
      </c>
      <c r="AC915">
        <v>102</v>
      </c>
      <c r="AD915">
        <v>4</v>
      </c>
      <c r="AE915" t="s">
        <v>15324</v>
      </c>
      <c r="AF915"/>
      <c r="AG915" s="23"/>
      <c r="AH915" s="265" t="str">
        <f>_xlfn.XLOOKUP(G915,Clientes!I:I,Clientes!F:F)</f>
        <v>FERTGROW S.A</v>
      </c>
    </row>
    <row r="916" spans="1:34" x14ac:dyDescent="0.25">
      <c r="A916">
        <v>161</v>
      </c>
      <c r="B916" t="s">
        <v>145</v>
      </c>
      <c r="C916"/>
      <c r="D916" s="23">
        <v>492240</v>
      </c>
      <c r="E916">
        <v>2705</v>
      </c>
      <c r="F916">
        <v>13</v>
      </c>
      <c r="G916">
        <v>2011</v>
      </c>
      <c r="H916" t="s">
        <v>616</v>
      </c>
      <c r="I916" s="23">
        <v>492240</v>
      </c>
      <c r="J916" s="185">
        <v>46050</v>
      </c>
      <c r="K916" s="185">
        <v>46050</v>
      </c>
      <c r="L916" s="185">
        <v>46078</v>
      </c>
      <c r="M916" s="185">
        <v>46078</v>
      </c>
      <c r="N916"/>
      <c r="O916">
        <v>1010100</v>
      </c>
      <c r="P916" t="s">
        <v>29</v>
      </c>
      <c r="Q916">
        <v>200000100</v>
      </c>
      <c r="R916" t="s">
        <v>15322</v>
      </c>
      <c r="S916"/>
      <c r="T916" t="s">
        <v>15323</v>
      </c>
      <c r="U916" t="s">
        <v>6311</v>
      </c>
      <c r="V916" s="23">
        <v>0</v>
      </c>
      <c r="W916" s="23">
        <v>0</v>
      </c>
      <c r="X916" s="23">
        <v>0</v>
      </c>
      <c r="Y916"/>
      <c r="Z916">
        <v>1246261308</v>
      </c>
      <c r="AA916"/>
      <c r="AB916" t="s">
        <v>1186</v>
      </c>
      <c r="AC916">
        <v>102</v>
      </c>
      <c r="AD916">
        <v>4</v>
      </c>
      <c r="AE916" t="s">
        <v>15324</v>
      </c>
      <c r="AF916"/>
      <c r="AG916" s="23"/>
      <c r="AH916" s="265" t="str">
        <f>_xlfn.XLOOKUP(G916,Clientes!I:I,Clientes!F:F)</f>
        <v>FERTGROW S.A</v>
      </c>
    </row>
    <row r="917" spans="1:34" x14ac:dyDescent="0.25">
      <c r="A917">
        <v>161</v>
      </c>
      <c r="B917" t="s">
        <v>145</v>
      </c>
      <c r="C917"/>
      <c r="D917" s="23">
        <v>492240</v>
      </c>
      <c r="E917">
        <v>2707</v>
      </c>
      <c r="F917">
        <v>13</v>
      </c>
      <c r="G917">
        <v>2011</v>
      </c>
      <c r="H917" t="s">
        <v>616</v>
      </c>
      <c r="I917" s="23">
        <v>492240</v>
      </c>
      <c r="J917" s="185">
        <v>46052</v>
      </c>
      <c r="K917" s="185">
        <v>46052</v>
      </c>
      <c r="L917" s="185">
        <v>46080</v>
      </c>
      <c r="M917" s="185">
        <v>46080</v>
      </c>
      <c r="N917"/>
      <c r="O917">
        <v>1010100</v>
      </c>
      <c r="P917" t="s">
        <v>29</v>
      </c>
      <c r="Q917">
        <v>200000100</v>
      </c>
      <c r="R917" t="s">
        <v>15322</v>
      </c>
      <c r="S917"/>
      <c r="T917" t="s">
        <v>15323</v>
      </c>
      <c r="U917" t="s">
        <v>6311</v>
      </c>
      <c r="V917" s="23">
        <v>0</v>
      </c>
      <c r="W917" s="23">
        <v>0</v>
      </c>
      <c r="X917" s="23">
        <v>0</v>
      </c>
      <c r="Y917"/>
      <c r="Z917">
        <v>1246261660</v>
      </c>
      <c r="AA917"/>
      <c r="AB917" t="s">
        <v>1186</v>
      </c>
      <c r="AC917">
        <v>102</v>
      </c>
      <c r="AD917">
        <v>4</v>
      </c>
      <c r="AE917" t="s">
        <v>15324</v>
      </c>
      <c r="AF917"/>
      <c r="AG917" s="23"/>
      <c r="AH917" s="265" t="str">
        <f>_xlfn.XLOOKUP(G917,Clientes!I:I,Clientes!F:F)</f>
        <v>FERTGROW S.A</v>
      </c>
    </row>
    <row r="918" spans="1:34" x14ac:dyDescent="0.25">
      <c r="A918">
        <v>161</v>
      </c>
      <c r="B918" t="s">
        <v>145</v>
      </c>
      <c r="C918"/>
      <c r="D918" s="23">
        <v>492240</v>
      </c>
      <c r="E918">
        <v>2639</v>
      </c>
      <c r="F918">
        <v>13</v>
      </c>
      <c r="G918">
        <v>2011</v>
      </c>
      <c r="H918" t="s">
        <v>616</v>
      </c>
      <c r="I918" s="23">
        <v>492240</v>
      </c>
      <c r="J918" s="185">
        <v>46027</v>
      </c>
      <c r="K918" s="185">
        <v>46027</v>
      </c>
      <c r="L918" s="185">
        <v>46055</v>
      </c>
      <c r="M918" s="185">
        <v>46050</v>
      </c>
      <c r="N918"/>
      <c r="O918">
        <v>1010100</v>
      </c>
      <c r="P918" t="s">
        <v>29</v>
      </c>
      <c r="Q918">
        <v>200000100</v>
      </c>
      <c r="R918" t="s">
        <v>15322</v>
      </c>
      <c r="S918"/>
      <c r="T918" t="s">
        <v>15323</v>
      </c>
      <c r="U918" t="s">
        <v>6311</v>
      </c>
      <c r="V918" s="23">
        <v>0</v>
      </c>
      <c r="W918" s="23">
        <v>0</v>
      </c>
      <c r="X918" s="23">
        <v>0</v>
      </c>
      <c r="Y918"/>
      <c r="Z918">
        <v>1246258271</v>
      </c>
      <c r="AA918"/>
      <c r="AB918" t="s">
        <v>1186</v>
      </c>
      <c r="AC918">
        <v>102</v>
      </c>
      <c r="AD918">
        <v>4</v>
      </c>
      <c r="AE918" t="s">
        <v>15324</v>
      </c>
      <c r="AF918"/>
      <c r="AG918" s="23"/>
      <c r="AH918" s="265" t="str">
        <f>_xlfn.XLOOKUP(G918,Clientes!I:I,Clientes!F:F)</f>
        <v>FERTGROW S.A</v>
      </c>
    </row>
    <row r="919" spans="1:34" x14ac:dyDescent="0.25">
      <c r="A919">
        <v>161</v>
      </c>
      <c r="B919" t="s">
        <v>145</v>
      </c>
      <c r="C919"/>
      <c r="D919" s="23">
        <v>492240</v>
      </c>
      <c r="E919">
        <v>2651</v>
      </c>
      <c r="F919">
        <v>13</v>
      </c>
      <c r="G919">
        <v>2011</v>
      </c>
      <c r="H919" t="s">
        <v>616</v>
      </c>
      <c r="I919" s="23">
        <v>492240</v>
      </c>
      <c r="J919" s="185">
        <v>46031</v>
      </c>
      <c r="K919" s="185">
        <v>46031</v>
      </c>
      <c r="L919" s="185">
        <v>46059</v>
      </c>
      <c r="M919" s="185">
        <v>46057</v>
      </c>
      <c r="N919"/>
      <c r="O919">
        <v>1010100</v>
      </c>
      <c r="P919" t="s">
        <v>29</v>
      </c>
      <c r="Q919">
        <v>200000100</v>
      </c>
      <c r="R919" t="s">
        <v>15322</v>
      </c>
      <c r="S919"/>
      <c r="T919" t="s">
        <v>15323</v>
      </c>
      <c r="U919" t="s">
        <v>6311</v>
      </c>
      <c r="V919" s="23">
        <v>0</v>
      </c>
      <c r="W919" s="23">
        <v>0</v>
      </c>
      <c r="X919" s="23">
        <v>0</v>
      </c>
      <c r="Y919"/>
      <c r="Z919">
        <v>1246259004</v>
      </c>
      <c r="AA919"/>
      <c r="AB919" t="s">
        <v>1186</v>
      </c>
      <c r="AC919">
        <v>102</v>
      </c>
      <c r="AD919">
        <v>4</v>
      </c>
      <c r="AE919" t="s">
        <v>15324</v>
      </c>
      <c r="AF919"/>
      <c r="AG919" s="23"/>
      <c r="AH919" s="265" t="str">
        <f>_xlfn.XLOOKUP(G919,Clientes!I:I,Clientes!F:F)</f>
        <v>FERTGROW S.A</v>
      </c>
    </row>
    <row r="920" spans="1:34" x14ac:dyDescent="0.25">
      <c r="A920">
        <v>40</v>
      </c>
      <c r="B920" t="s">
        <v>155</v>
      </c>
      <c r="C920"/>
      <c r="D920" s="23">
        <v>547193.77</v>
      </c>
      <c r="E920">
        <v>2637</v>
      </c>
      <c r="F920">
        <v>13</v>
      </c>
      <c r="G920">
        <v>2346</v>
      </c>
      <c r="H920" t="s">
        <v>453</v>
      </c>
      <c r="I920" s="23">
        <v>547193.77</v>
      </c>
      <c r="J920" s="185">
        <v>46027</v>
      </c>
      <c r="K920" s="185">
        <v>46027</v>
      </c>
      <c r="L920" s="185">
        <v>46109</v>
      </c>
      <c r="M920" s="185">
        <v>46087</v>
      </c>
      <c r="N920"/>
      <c r="O920">
        <v>1010200</v>
      </c>
      <c r="P920" t="s">
        <v>113</v>
      </c>
      <c r="Q920">
        <v>200000100</v>
      </c>
      <c r="R920" t="s">
        <v>15322</v>
      </c>
      <c r="S920"/>
      <c r="T920" t="s">
        <v>15323</v>
      </c>
      <c r="U920" t="s">
        <v>1199</v>
      </c>
      <c r="V920" s="23">
        <v>0</v>
      </c>
      <c r="W920" s="23">
        <v>0</v>
      </c>
      <c r="X920" s="23">
        <v>0</v>
      </c>
      <c r="Y920"/>
      <c r="Z920">
        <v>1246258223</v>
      </c>
      <c r="AA920"/>
      <c r="AB920" t="s">
        <v>1199</v>
      </c>
      <c r="AC920">
        <v>125</v>
      </c>
      <c r="AD920">
        <v>4</v>
      </c>
      <c r="AE920" t="s">
        <v>15324</v>
      </c>
      <c r="AF920" t="s">
        <v>15330</v>
      </c>
      <c r="AG920" s="23">
        <v>100650</v>
      </c>
      <c r="AH920" s="265" t="str">
        <f>_xlfn.XLOOKUP(G920,Clientes!I:I,Clientes!F:F)</f>
        <v>TEPEYAC - MÉXICO</v>
      </c>
    </row>
    <row r="921" spans="1:34" x14ac:dyDescent="0.25">
      <c r="A921">
        <v>161</v>
      </c>
      <c r="B921" t="s">
        <v>145</v>
      </c>
      <c r="C921"/>
      <c r="D921" s="23">
        <v>561720.1</v>
      </c>
      <c r="E921">
        <v>2689</v>
      </c>
      <c r="F921">
        <v>13</v>
      </c>
      <c r="G921">
        <v>7103</v>
      </c>
      <c r="H921" t="s">
        <v>482</v>
      </c>
      <c r="I921" s="23">
        <v>561720.1</v>
      </c>
      <c r="J921" s="185">
        <v>46043</v>
      </c>
      <c r="K921" s="185">
        <v>46043</v>
      </c>
      <c r="L921" s="185">
        <v>46133</v>
      </c>
      <c r="M921" s="185">
        <v>46104</v>
      </c>
      <c r="N921"/>
      <c r="O921">
        <v>1010100</v>
      </c>
      <c r="P921" t="s">
        <v>29</v>
      </c>
      <c r="Q921">
        <v>200000100</v>
      </c>
      <c r="R921" t="s">
        <v>15322</v>
      </c>
      <c r="S921"/>
      <c r="T921" t="s">
        <v>15323</v>
      </c>
      <c r="U921" t="s">
        <v>1530</v>
      </c>
      <c r="V921" s="23">
        <v>0</v>
      </c>
      <c r="W921" s="23">
        <v>0</v>
      </c>
      <c r="X921" s="23">
        <v>0</v>
      </c>
      <c r="Y921"/>
      <c r="Z921">
        <v>1246260281</v>
      </c>
      <c r="AA921"/>
      <c r="AB921" t="s">
        <v>1199</v>
      </c>
      <c r="AC921">
        <v>103</v>
      </c>
      <c r="AD921">
        <v>4</v>
      </c>
      <c r="AE921" t="s">
        <v>15324</v>
      </c>
      <c r="AF921"/>
      <c r="AG921" s="23"/>
      <c r="AH921" s="265" t="str">
        <f>_xlfn.XLOOKUP(G921,Clientes!I:I,Clientes!F:F)</f>
        <v>GRUPO MOSAIC FERTILIZANTES DO BRASIL</v>
      </c>
    </row>
    <row r="922" spans="1:34" x14ac:dyDescent="0.25">
      <c r="A922">
        <v>40</v>
      </c>
      <c r="B922" t="s">
        <v>155</v>
      </c>
      <c r="C922"/>
      <c r="D922" s="23">
        <v>604265.81999999995</v>
      </c>
      <c r="E922">
        <v>2768</v>
      </c>
      <c r="F922">
        <v>13</v>
      </c>
      <c r="G922">
        <v>9355</v>
      </c>
      <c r="H922" t="s">
        <v>302</v>
      </c>
      <c r="I922" s="23">
        <v>604265.81999999995</v>
      </c>
      <c r="J922" s="185">
        <v>46077</v>
      </c>
      <c r="K922" s="185">
        <v>46077</v>
      </c>
      <c r="L922" s="185">
        <v>46168</v>
      </c>
      <c r="M922" s="185">
        <v>46168</v>
      </c>
      <c r="N922"/>
      <c r="O922">
        <v>1010200</v>
      </c>
      <c r="P922" t="s">
        <v>113</v>
      </c>
      <c r="Q922">
        <v>200000100</v>
      </c>
      <c r="R922" t="s">
        <v>15322</v>
      </c>
      <c r="S922"/>
      <c r="T922" t="s">
        <v>15323</v>
      </c>
      <c r="U922" t="s">
        <v>1199</v>
      </c>
      <c r="V922" s="23">
        <v>0</v>
      </c>
      <c r="W922" s="23">
        <v>0</v>
      </c>
      <c r="X922" s="23">
        <v>0</v>
      </c>
      <c r="Y922"/>
      <c r="Z922">
        <v>1246264749</v>
      </c>
      <c r="AA922"/>
      <c r="AB922" t="s">
        <v>1199</v>
      </c>
      <c r="AC922">
        <v>125</v>
      </c>
      <c r="AD922">
        <v>4</v>
      </c>
      <c r="AE922" t="s">
        <v>15324</v>
      </c>
      <c r="AF922" t="s">
        <v>15342</v>
      </c>
      <c r="AG922" s="23">
        <v>117040</v>
      </c>
      <c r="AH922" s="265" t="str">
        <f>_xlfn.XLOOKUP(G922,Clientes!I:I,Clientes!F:F)</f>
        <v>NITROFERT SAS - COLOMBIA</v>
      </c>
    </row>
    <row r="923" spans="1:34" x14ac:dyDescent="0.25">
      <c r="A923">
        <v>40</v>
      </c>
      <c r="B923" t="s">
        <v>155</v>
      </c>
      <c r="C923"/>
      <c r="D923" s="23">
        <v>673410.54</v>
      </c>
      <c r="E923">
        <v>2657</v>
      </c>
      <c r="F923">
        <v>13</v>
      </c>
      <c r="G923">
        <v>9355</v>
      </c>
      <c r="H923" t="s">
        <v>302</v>
      </c>
      <c r="I923" s="23">
        <v>673410.54</v>
      </c>
      <c r="J923" s="185">
        <v>46034</v>
      </c>
      <c r="K923" s="185">
        <v>46034</v>
      </c>
      <c r="L923" s="185">
        <v>46137</v>
      </c>
      <c r="M923" s="185">
        <v>46100</v>
      </c>
      <c r="N923"/>
      <c r="O923">
        <v>1010200</v>
      </c>
      <c r="P923" t="s">
        <v>113</v>
      </c>
      <c r="Q923">
        <v>200000100</v>
      </c>
      <c r="R923" t="s">
        <v>15322</v>
      </c>
      <c r="S923"/>
      <c r="T923" t="s">
        <v>15323</v>
      </c>
      <c r="U923" t="s">
        <v>1199</v>
      </c>
      <c r="V923" s="23">
        <v>0</v>
      </c>
      <c r="W923" s="23">
        <v>0</v>
      </c>
      <c r="X923" s="23">
        <v>0</v>
      </c>
      <c r="Y923"/>
      <c r="Z923">
        <v>1246259111</v>
      </c>
      <c r="AA923"/>
      <c r="AB923" t="s">
        <v>1199</v>
      </c>
      <c r="AC923">
        <v>125</v>
      </c>
      <c r="AD923">
        <v>4</v>
      </c>
      <c r="AE923" t="s">
        <v>15324</v>
      </c>
      <c r="AF923" t="s">
        <v>15332</v>
      </c>
      <c r="AG923" s="23">
        <v>125400</v>
      </c>
      <c r="AH923" s="265" t="str">
        <f>_xlfn.XLOOKUP(G923,Clientes!I:I,Clientes!F:F)</f>
        <v>NITROFERT SAS - COLOMBIA</v>
      </c>
    </row>
    <row r="924" spans="1:34" x14ac:dyDescent="0.25">
      <c r="A924">
        <v>161</v>
      </c>
      <c r="B924" t="s">
        <v>145</v>
      </c>
      <c r="C924"/>
      <c r="D924" s="23">
        <v>675990</v>
      </c>
      <c r="E924">
        <v>2686</v>
      </c>
      <c r="F924">
        <v>13</v>
      </c>
      <c r="G924">
        <v>1874</v>
      </c>
      <c r="H924" t="s">
        <v>210</v>
      </c>
      <c r="I924" s="23">
        <v>675990</v>
      </c>
      <c r="J924" s="185">
        <v>46042</v>
      </c>
      <c r="K924" s="185">
        <v>46042</v>
      </c>
      <c r="L924" s="185">
        <v>46072</v>
      </c>
      <c r="M924" s="185">
        <v>46076</v>
      </c>
      <c r="N924"/>
      <c r="O924">
        <v>1010100</v>
      </c>
      <c r="P924" t="s">
        <v>29</v>
      </c>
      <c r="Q924">
        <v>200000100</v>
      </c>
      <c r="R924" t="s">
        <v>15322</v>
      </c>
      <c r="S924"/>
      <c r="T924" t="s">
        <v>15323</v>
      </c>
      <c r="U924" t="s">
        <v>1964</v>
      </c>
      <c r="V924" s="23">
        <v>0</v>
      </c>
      <c r="W924" s="23">
        <v>0</v>
      </c>
      <c r="X924" s="23">
        <v>0</v>
      </c>
      <c r="Y924"/>
      <c r="Z924">
        <v>1246260123</v>
      </c>
      <c r="AA924"/>
      <c r="AB924" t="s">
        <v>1199</v>
      </c>
      <c r="AC924">
        <v>102</v>
      </c>
      <c r="AD924">
        <v>4</v>
      </c>
      <c r="AE924" t="s">
        <v>15324</v>
      </c>
      <c r="AF924"/>
      <c r="AG924" s="23"/>
      <c r="AH924" s="265" t="str">
        <f>_xlfn.XLOOKUP(G924,Clientes!I:I,Clientes!F:F)</f>
        <v>GRUPO FERTILIZ TOCANTINS</v>
      </c>
    </row>
    <row r="925" spans="1:34" x14ac:dyDescent="0.25">
      <c r="A925">
        <v>40</v>
      </c>
      <c r="B925" t="s">
        <v>155</v>
      </c>
      <c r="C925"/>
      <c r="D925" s="23">
        <v>684201.35</v>
      </c>
      <c r="E925">
        <v>11620</v>
      </c>
      <c r="F925">
        <v>11</v>
      </c>
      <c r="G925">
        <v>9355</v>
      </c>
      <c r="H925" t="s">
        <v>302</v>
      </c>
      <c r="I925" s="23">
        <v>684201.35</v>
      </c>
      <c r="J925" s="185">
        <v>46178</v>
      </c>
      <c r="K925" s="185">
        <v>46178</v>
      </c>
      <c r="L925" s="185">
        <v>46268</v>
      </c>
      <c r="M925" s="185"/>
      <c r="N925"/>
      <c r="O925">
        <v>1010200</v>
      </c>
      <c r="P925" t="s">
        <v>113</v>
      </c>
      <c r="Q925">
        <v>200000100</v>
      </c>
      <c r="R925" t="s">
        <v>15322</v>
      </c>
      <c r="S925"/>
      <c r="T925" t="s">
        <v>15323</v>
      </c>
      <c r="U925" t="s">
        <v>5803</v>
      </c>
      <c r="V925" s="23">
        <v>0</v>
      </c>
      <c r="W925" s="23">
        <v>0</v>
      </c>
      <c r="X925" s="23">
        <v>0</v>
      </c>
      <c r="Y925"/>
      <c r="Z925">
        <v>1246278408</v>
      </c>
      <c r="AA925"/>
      <c r="AB925"/>
      <c r="AC925">
        <v>125</v>
      </c>
      <c r="AD925">
        <v>4</v>
      </c>
      <c r="AE925" t="s">
        <v>15324</v>
      </c>
      <c r="AF925"/>
      <c r="AG925" s="23"/>
      <c r="AH925" s="265" t="str">
        <f>_xlfn.XLOOKUP(G925,Clientes!I:I,Clientes!F:F)</f>
        <v>NITROFERT SAS - COLOMBIA</v>
      </c>
    </row>
    <row r="926" spans="1:34" x14ac:dyDescent="0.25">
      <c r="A926">
        <v>40</v>
      </c>
      <c r="B926" t="s">
        <v>155</v>
      </c>
      <c r="C926"/>
      <c r="D926" s="23">
        <v>687688.91</v>
      </c>
      <c r="E926">
        <v>11122</v>
      </c>
      <c r="F926">
        <v>11</v>
      </c>
      <c r="G926">
        <v>9708</v>
      </c>
      <c r="H926" t="s">
        <v>538</v>
      </c>
      <c r="I926" s="23">
        <v>687688.91</v>
      </c>
      <c r="J926" s="185">
        <v>46126</v>
      </c>
      <c r="K926" s="185">
        <v>46126</v>
      </c>
      <c r="L926" s="185">
        <v>46186</v>
      </c>
      <c r="M926" s="185">
        <v>46185</v>
      </c>
      <c r="N926"/>
      <c r="O926">
        <v>1010200</v>
      </c>
      <c r="P926" t="s">
        <v>113</v>
      </c>
      <c r="Q926">
        <v>200000100</v>
      </c>
      <c r="R926" t="s">
        <v>15322</v>
      </c>
      <c r="S926"/>
      <c r="T926" t="s">
        <v>15323</v>
      </c>
      <c r="U926" t="s">
        <v>1199</v>
      </c>
      <c r="V926" s="23">
        <v>0</v>
      </c>
      <c r="W926" s="23">
        <v>0</v>
      </c>
      <c r="X926" s="23">
        <v>0</v>
      </c>
      <c r="Y926"/>
      <c r="Z926">
        <v>1246271322</v>
      </c>
      <c r="AA926"/>
      <c r="AB926" t="s">
        <v>1199</v>
      </c>
      <c r="AC926">
        <v>125</v>
      </c>
      <c r="AD926">
        <v>4</v>
      </c>
      <c r="AE926" t="s">
        <v>15324</v>
      </c>
      <c r="AF926" t="s">
        <v>15352</v>
      </c>
      <c r="AG926" s="23">
        <v>136886.20000000001</v>
      </c>
      <c r="AH926" s="265" t="str">
        <f>_xlfn.XLOOKUP(G926,Clientes!I:I,Clientes!F:F)</f>
        <v>CARGILL ARGENTINA</v>
      </c>
    </row>
    <row r="927" spans="1:34" x14ac:dyDescent="0.25">
      <c r="A927">
        <v>161</v>
      </c>
      <c r="B927" t="s">
        <v>145</v>
      </c>
      <c r="C927"/>
      <c r="D927" s="23">
        <v>782160</v>
      </c>
      <c r="E927">
        <v>2715</v>
      </c>
      <c r="F927">
        <v>13</v>
      </c>
      <c r="G927">
        <v>139</v>
      </c>
      <c r="H927" t="s">
        <v>32</v>
      </c>
      <c r="I927" s="23">
        <v>782160</v>
      </c>
      <c r="J927" s="185">
        <v>46056</v>
      </c>
      <c r="K927" s="185">
        <v>46056</v>
      </c>
      <c r="L927" s="185">
        <v>46087</v>
      </c>
      <c r="M927" s="185">
        <v>46087</v>
      </c>
      <c r="N927"/>
      <c r="O927">
        <v>1010100</v>
      </c>
      <c r="P927" t="s">
        <v>29</v>
      </c>
      <c r="Q927">
        <v>200000100</v>
      </c>
      <c r="R927" t="s">
        <v>15322</v>
      </c>
      <c r="S927"/>
      <c r="T927" t="s">
        <v>15323</v>
      </c>
      <c r="U927" t="s">
        <v>1199</v>
      </c>
      <c r="V927" s="23">
        <v>0</v>
      </c>
      <c r="W927" s="23">
        <v>0</v>
      </c>
      <c r="X927" s="23">
        <v>0</v>
      </c>
      <c r="Y927"/>
      <c r="Z927">
        <v>1246262126</v>
      </c>
      <c r="AA927"/>
      <c r="AB927" t="s">
        <v>1199</v>
      </c>
      <c r="AC927">
        <v>102</v>
      </c>
      <c r="AD927">
        <v>4</v>
      </c>
      <c r="AE927" t="s">
        <v>15324</v>
      </c>
      <c r="AF927"/>
      <c r="AG927" s="23"/>
      <c r="AH927" s="265" t="str">
        <f>_xlfn.XLOOKUP(G927,Clientes!I:I,Clientes!F:F)</f>
        <v>COMIGO - RIO VERDE</v>
      </c>
    </row>
    <row r="928" spans="1:34" x14ac:dyDescent="0.25">
      <c r="A928">
        <v>161</v>
      </c>
      <c r="B928" t="s">
        <v>145</v>
      </c>
      <c r="C928"/>
      <c r="D928" s="23">
        <v>782160</v>
      </c>
      <c r="E928">
        <v>2682</v>
      </c>
      <c r="F928">
        <v>13</v>
      </c>
      <c r="G928">
        <v>139</v>
      </c>
      <c r="H928" t="s">
        <v>32</v>
      </c>
      <c r="I928" s="23">
        <v>782160</v>
      </c>
      <c r="J928" s="185">
        <v>46042</v>
      </c>
      <c r="K928" s="185">
        <v>46042</v>
      </c>
      <c r="L928" s="185">
        <v>46070</v>
      </c>
      <c r="M928" s="185">
        <v>46066</v>
      </c>
      <c r="N928"/>
      <c r="O928">
        <v>1010100</v>
      </c>
      <c r="P928" t="s">
        <v>29</v>
      </c>
      <c r="Q928">
        <v>200000100</v>
      </c>
      <c r="R928" t="s">
        <v>15322</v>
      </c>
      <c r="S928"/>
      <c r="T928" t="s">
        <v>15323</v>
      </c>
      <c r="U928" t="s">
        <v>6311</v>
      </c>
      <c r="V928" s="23">
        <v>0</v>
      </c>
      <c r="W928" s="23">
        <v>0</v>
      </c>
      <c r="X928" s="23">
        <v>0</v>
      </c>
      <c r="Y928"/>
      <c r="Z928">
        <v>1246260064</v>
      </c>
      <c r="AA928"/>
      <c r="AB928" t="s">
        <v>1186</v>
      </c>
      <c r="AC928">
        <v>102</v>
      </c>
      <c r="AD928">
        <v>4</v>
      </c>
      <c r="AE928" t="s">
        <v>15324</v>
      </c>
      <c r="AF928"/>
      <c r="AG928" s="23"/>
      <c r="AH928" s="265" t="str">
        <f>_xlfn.XLOOKUP(G928,Clientes!I:I,Clientes!F:F)</f>
        <v>COMIGO - RIO VERDE</v>
      </c>
    </row>
    <row r="929" spans="1:34" x14ac:dyDescent="0.25">
      <c r="A929">
        <v>161</v>
      </c>
      <c r="B929" t="s">
        <v>145</v>
      </c>
      <c r="C929"/>
      <c r="D929" s="23">
        <v>782160</v>
      </c>
      <c r="E929">
        <v>2666</v>
      </c>
      <c r="F929">
        <v>13</v>
      </c>
      <c r="G929">
        <v>139</v>
      </c>
      <c r="H929" t="s">
        <v>32</v>
      </c>
      <c r="I929" s="23">
        <v>782160</v>
      </c>
      <c r="J929" s="185">
        <v>46035</v>
      </c>
      <c r="K929" s="185">
        <v>46035</v>
      </c>
      <c r="L929" s="185">
        <v>46063</v>
      </c>
      <c r="M929" s="185">
        <v>46063</v>
      </c>
      <c r="N929"/>
      <c r="O929">
        <v>1010100</v>
      </c>
      <c r="P929" t="s">
        <v>29</v>
      </c>
      <c r="Q929">
        <v>200000100</v>
      </c>
      <c r="R929" t="s">
        <v>15322</v>
      </c>
      <c r="S929"/>
      <c r="T929" t="s">
        <v>15323</v>
      </c>
      <c r="U929" t="s">
        <v>6311</v>
      </c>
      <c r="V929" s="23">
        <v>0</v>
      </c>
      <c r="W929" s="23">
        <v>0</v>
      </c>
      <c r="X929" s="23">
        <v>0</v>
      </c>
      <c r="Y929"/>
      <c r="Z929">
        <v>1246259337</v>
      </c>
      <c r="AA929"/>
      <c r="AB929" t="s">
        <v>1186</v>
      </c>
      <c r="AC929">
        <v>102</v>
      </c>
      <c r="AD929">
        <v>4</v>
      </c>
      <c r="AE929" t="s">
        <v>15324</v>
      </c>
      <c r="AF929"/>
      <c r="AG929" s="23"/>
      <c r="AH929" s="265" t="str">
        <f>_xlfn.XLOOKUP(G929,Clientes!I:I,Clientes!F:F)</f>
        <v>COMIGO - RIO VERDE</v>
      </c>
    </row>
    <row r="930" spans="1:34" x14ac:dyDescent="0.25">
      <c r="A930">
        <v>161</v>
      </c>
      <c r="B930" t="s">
        <v>145</v>
      </c>
      <c r="C930"/>
      <c r="D930" s="23">
        <v>782160</v>
      </c>
      <c r="E930">
        <v>2785</v>
      </c>
      <c r="F930">
        <v>13</v>
      </c>
      <c r="G930">
        <v>139</v>
      </c>
      <c r="H930" t="s">
        <v>32</v>
      </c>
      <c r="I930" s="23">
        <v>782160</v>
      </c>
      <c r="J930" s="185">
        <v>46080</v>
      </c>
      <c r="K930" s="185">
        <v>46080</v>
      </c>
      <c r="L930" s="185">
        <v>46108</v>
      </c>
      <c r="M930" s="185">
        <v>46108</v>
      </c>
      <c r="N930"/>
      <c r="O930">
        <v>1010100</v>
      </c>
      <c r="P930" t="s">
        <v>29</v>
      </c>
      <c r="Q930">
        <v>200000100</v>
      </c>
      <c r="R930" t="s">
        <v>15322</v>
      </c>
      <c r="S930"/>
      <c r="T930" t="s">
        <v>15323</v>
      </c>
      <c r="U930" t="s">
        <v>6311</v>
      </c>
      <c r="V930" s="23">
        <v>0</v>
      </c>
      <c r="W930" s="23">
        <v>0</v>
      </c>
      <c r="X930" s="23">
        <v>0</v>
      </c>
      <c r="Y930"/>
      <c r="Z930">
        <v>1246265803</v>
      </c>
      <c r="AA930"/>
      <c r="AB930" t="s">
        <v>1186</v>
      </c>
      <c r="AC930">
        <v>102</v>
      </c>
      <c r="AD930">
        <v>4</v>
      </c>
      <c r="AE930" t="s">
        <v>15324</v>
      </c>
      <c r="AF930"/>
      <c r="AG930" s="23"/>
      <c r="AH930" s="265" t="str">
        <f>_xlfn.XLOOKUP(G930,Clientes!I:I,Clientes!F:F)</f>
        <v>COMIGO - RIO VERDE</v>
      </c>
    </row>
    <row r="931" spans="1:34" x14ac:dyDescent="0.25">
      <c r="A931">
        <v>161</v>
      </c>
      <c r="B931" t="s">
        <v>145</v>
      </c>
      <c r="C931"/>
      <c r="D931" s="23">
        <v>782160</v>
      </c>
      <c r="E931">
        <v>2741</v>
      </c>
      <c r="F931">
        <v>13</v>
      </c>
      <c r="G931">
        <v>139</v>
      </c>
      <c r="H931" t="s">
        <v>32</v>
      </c>
      <c r="I931" s="23">
        <v>782160</v>
      </c>
      <c r="J931" s="185">
        <v>46067</v>
      </c>
      <c r="K931" s="185">
        <v>46067</v>
      </c>
      <c r="L931" s="185">
        <v>46095</v>
      </c>
      <c r="M931" s="185">
        <v>46097</v>
      </c>
      <c r="N931"/>
      <c r="O931">
        <v>1010100</v>
      </c>
      <c r="P931" t="s">
        <v>29</v>
      </c>
      <c r="Q931">
        <v>200000100</v>
      </c>
      <c r="R931" t="s">
        <v>15322</v>
      </c>
      <c r="S931"/>
      <c r="T931" t="s">
        <v>15323</v>
      </c>
      <c r="U931" t="s">
        <v>6311</v>
      </c>
      <c r="V931" s="23">
        <v>0</v>
      </c>
      <c r="W931" s="23">
        <v>0</v>
      </c>
      <c r="X931" s="23">
        <v>0</v>
      </c>
      <c r="Y931"/>
      <c r="Z931">
        <v>1246263787</v>
      </c>
      <c r="AA931"/>
      <c r="AB931" t="s">
        <v>1186</v>
      </c>
      <c r="AC931">
        <v>102</v>
      </c>
      <c r="AD931">
        <v>4</v>
      </c>
      <c r="AE931" t="s">
        <v>15324</v>
      </c>
      <c r="AF931"/>
      <c r="AG931" s="23"/>
      <c r="AH931" s="265" t="str">
        <f>_xlfn.XLOOKUP(G931,Clientes!I:I,Clientes!F:F)</f>
        <v>COMIGO - RIO VERDE</v>
      </c>
    </row>
    <row r="932" spans="1:34" x14ac:dyDescent="0.25">
      <c r="A932">
        <v>7</v>
      </c>
      <c r="B932" t="s">
        <v>556</v>
      </c>
      <c r="C932"/>
      <c r="D932" s="23">
        <v>1018800</v>
      </c>
      <c r="E932">
        <v>2895</v>
      </c>
      <c r="F932">
        <v>13</v>
      </c>
      <c r="G932">
        <v>215</v>
      </c>
      <c r="H932" t="s">
        <v>221</v>
      </c>
      <c r="I932" s="23">
        <v>1018800</v>
      </c>
      <c r="J932" s="185">
        <v>46139</v>
      </c>
      <c r="K932" s="185">
        <v>46139</v>
      </c>
      <c r="L932" s="185">
        <v>46167</v>
      </c>
      <c r="M932" s="185">
        <v>46162</v>
      </c>
      <c r="N932"/>
      <c r="O932">
        <v>1010100</v>
      </c>
      <c r="P932" t="s">
        <v>29</v>
      </c>
      <c r="Q932">
        <v>200000100</v>
      </c>
      <c r="R932" t="s">
        <v>15322</v>
      </c>
      <c r="S932"/>
      <c r="T932" t="s">
        <v>15323</v>
      </c>
      <c r="U932" t="s">
        <v>1199</v>
      </c>
      <c r="V932" s="23">
        <v>0</v>
      </c>
      <c r="W932" s="23">
        <v>0</v>
      </c>
      <c r="X932" s="23">
        <v>0</v>
      </c>
      <c r="Y932"/>
      <c r="Z932">
        <v>1246272741</v>
      </c>
      <c r="AA932"/>
      <c r="AB932" t="s">
        <v>1186</v>
      </c>
      <c r="AC932">
        <v>102</v>
      </c>
      <c r="AD932">
        <v>4</v>
      </c>
      <c r="AE932" t="s">
        <v>15324</v>
      </c>
      <c r="AF932"/>
      <c r="AG932" s="23"/>
      <c r="AH932" s="265" t="str">
        <f>_xlfn.XLOOKUP(G932,Clientes!I:I,Clientes!F:F)</f>
        <v>GRUPO UNIFERTIL</v>
      </c>
    </row>
    <row r="933" spans="1:34" x14ac:dyDescent="0.25">
      <c r="A933">
        <v>40</v>
      </c>
      <c r="B933" t="s">
        <v>155</v>
      </c>
      <c r="C933"/>
      <c r="D933" s="23">
        <v>1191855.26</v>
      </c>
      <c r="E933">
        <v>10762</v>
      </c>
      <c r="F933">
        <v>11</v>
      </c>
      <c r="G933">
        <v>9355</v>
      </c>
      <c r="H933" t="s">
        <v>302</v>
      </c>
      <c r="I933" s="23">
        <v>1191855.26</v>
      </c>
      <c r="J933" s="185">
        <v>46078</v>
      </c>
      <c r="K933" s="185">
        <v>46078</v>
      </c>
      <c r="L933" s="185">
        <v>46168</v>
      </c>
      <c r="M933" s="185">
        <v>46168</v>
      </c>
      <c r="N933"/>
      <c r="O933">
        <v>1010200</v>
      </c>
      <c r="P933" t="s">
        <v>113</v>
      </c>
      <c r="Q933">
        <v>200000100</v>
      </c>
      <c r="R933" t="s">
        <v>15322</v>
      </c>
      <c r="S933"/>
      <c r="T933" t="s">
        <v>15323</v>
      </c>
      <c r="U933" t="s">
        <v>1199</v>
      </c>
      <c r="V933" s="23">
        <v>0</v>
      </c>
      <c r="W933" s="23">
        <v>0</v>
      </c>
      <c r="X933" s="23">
        <v>0</v>
      </c>
      <c r="Y933"/>
      <c r="Z933">
        <v>1246265046</v>
      </c>
      <c r="AA933"/>
      <c r="AB933" t="s">
        <v>1199</v>
      </c>
      <c r="AC933">
        <v>125</v>
      </c>
      <c r="AD933">
        <v>4</v>
      </c>
      <c r="AE933" t="s">
        <v>15324</v>
      </c>
      <c r="AF933" t="s">
        <v>15343</v>
      </c>
      <c r="AG933" s="23">
        <v>230640</v>
      </c>
      <c r="AH933" s="265" t="str">
        <f>_xlfn.XLOOKUP(G933,Clientes!I:I,Clientes!F:F)</f>
        <v>NITROFERT SAS - COLOMBIA</v>
      </c>
    </row>
    <row r="934" spans="1:34" x14ac:dyDescent="0.25">
      <c r="A934">
        <v>40</v>
      </c>
      <c r="B934" t="s">
        <v>155</v>
      </c>
      <c r="C934"/>
      <c r="D934" s="23">
        <v>1191855.26</v>
      </c>
      <c r="E934">
        <v>2778</v>
      </c>
      <c r="F934">
        <v>13</v>
      </c>
      <c r="G934">
        <v>9355</v>
      </c>
      <c r="H934" t="s">
        <v>302</v>
      </c>
      <c r="I934" s="23">
        <v>1191855.26</v>
      </c>
      <c r="J934" s="185">
        <v>46078</v>
      </c>
      <c r="K934" s="185">
        <v>46078</v>
      </c>
      <c r="L934" s="185">
        <v>46168</v>
      </c>
      <c r="M934" s="185">
        <v>46168</v>
      </c>
      <c r="N934"/>
      <c r="O934">
        <v>1010200</v>
      </c>
      <c r="P934" t="s">
        <v>113</v>
      </c>
      <c r="Q934">
        <v>200000100</v>
      </c>
      <c r="R934" t="s">
        <v>15322</v>
      </c>
      <c r="S934"/>
      <c r="T934" t="s">
        <v>15323</v>
      </c>
      <c r="U934" t="s">
        <v>1199</v>
      </c>
      <c r="V934" s="23">
        <v>0</v>
      </c>
      <c r="W934" s="23">
        <v>0</v>
      </c>
      <c r="X934" s="23">
        <v>0</v>
      </c>
      <c r="Y934"/>
      <c r="Z934">
        <v>1246265200</v>
      </c>
      <c r="AA934"/>
      <c r="AB934" t="s">
        <v>1199</v>
      </c>
      <c r="AC934">
        <v>125</v>
      </c>
      <c r="AD934">
        <v>4</v>
      </c>
      <c r="AE934" t="s">
        <v>15324</v>
      </c>
      <c r="AF934" t="s">
        <v>15342</v>
      </c>
      <c r="AG934" s="23">
        <v>230640</v>
      </c>
      <c r="AH934" s="265" t="str">
        <f>_xlfn.XLOOKUP(G934,Clientes!I:I,Clientes!F:F)</f>
        <v>NITROFERT SAS - COLOMBIA</v>
      </c>
    </row>
    <row r="935" spans="1:34" x14ac:dyDescent="0.25">
      <c r="A935">
        <v>40</v>
      </c>
      <c r="B935" t="s">
        <v>155</v>
      </c>
      <c r="C935"/>
      <c r="D935" s="23">
        <v>1211001.23</v>
      </c>
      <c r="E935">
        <v>2980</v>
      </c>
      <c r="F935">
        <v>13</v>
      </c>
      <c r="G935">
        <v>9355</v>
      </c>
      <c r="H935" t="s">
        <v>302</v>
      </c>
      <c r="I935" s="23">
        <v>1211001.23</v>
      </c>
      <c r="J935" s="185">
        <v>46171</v>
      </c>
      <c r="K935" s="185">
        <v>46171</v>
      </c>
      <c r="L935" s="185">
        <v>46261</v>
      </c>
      <c r="M935" s="185"/>
      <c r="N935"/>
      <c r="O935">
        <v>1010200</v>
      </c>
      <c r="P935" t="s">
        <v>113</v>
      </c>
      <c r="Q935">
        <v>200000100</v>
      </c>
      <c r="R935" t="s">
        <v>15322</v>
      </c>
      <c r="S935"/>
      <c r="T935" t="s">
        <v>15323</v>
      </c>
      <c r="U935" t="s">
        <v>1964</v>
      </c>
      <c r="V935" s="23">
        <v>0</v>
      </c>
      <c r="W935" s="23">
        <v>0</v>
      </c>
      <c r="X935" s="23">
        <v>0</v>
      </c>
      <c r="Y935"/>
      <c r="Z935">
        <v>1246277386</v>
      </c>
      <c r="AA935"/>
      <c r="AB935"/>
      <c r="AC935">
        <v>102</v>
      </c>
      <c r="AD935">
        <v>4</v>
      </c>
      <c r="AE935" t="s">
        <v>15324</v>
      </c>
      <c r="AF935"/>
      <c r="AG935" s="23"/>
      <c r="AH935" s="265" t="str">
        <f>_xlfn.XLOOKUP(G935,Clientes!I:I,Clientes!F:F)</f>
        <v>NITROFERT SAS - COLOMBIA</v>
      </c>
    </row>
    <row r="936" spans="1:34" x14ac:dyDescent="0.25">
      <c r="A936">
        <v>40</v>
      </c>
      <c r="B936" t="s">
        <v>155</v>
      </c>
      <c r="C936"/>
      <c r="D936" s="23">
        <v>1211001.23</v>
      </c>
      <c r="E936">
        <v>2978</v>
      </c>
      <c r="F936">
        <v>13</v>
      </c>
      <c r="G936">
        <v>9355</v>
      </c>
      <c r="H936" t="s">
        <v>302</v>
      </c>
      <c r="I936" s="23">
        <v>1211001.23</v>
      </c>
      <c r="J936" s="185">
        <v>46171</v>
      </c>
      <c r="K936" s="185">
        <v>46171</v>
      </c>
      <c r="L936" s="185">
        <v>46261</v>
      </c>
      <c r="M936" s="185"/>
      <c r="N936"/>
      <c r="O936">
        <v>1010200</v>
      </c>
      <c r="P936" t="s">
        <v>113</v>
      </c>
      <c r="Q936">
        <v>200000100</v>
      </c>
      <c r="R936" t="s">
        <v>15322</v>
      </c>
      <c r="S936"/>
      <c r="T936" t="s">
        <v>15323</v>
      </c>
      <c r="U936" t="s">
        <v>1964</v>
      </c>
      <c r="V936" s="23">
        <v>0</v>
      </c>
      <c r="W936" s="23">
        <v>0</v>
      </c>
      <c r="X936" s="23">
        <v>0</v>
      </c>
      <c r="Y936"/>
      <c r="Z936">
        <v>1246277365</v>
      </c>
      <c r="AA936"/>
      <c r="AB936"/>
      <c r="AC936">
        <v>102</v>
      </c>
      <c r="AD936">
        <v>4</v>
      </c>
      <c r="AE936" t="s">
        <v>15324</v>
      </c>
      <c r="AF936"/>
      <c r="AG936" s="23"/>
      <c r="AH936" s="265" t="str">
        <f>_xlfn.XLOOKUP(G936,Clientes!I:I,Clientes!F:F)</f>
        <v>NITROFERT SAS - COLOMBIA</v>
      </c>
    </row>
    <row r="937" spans="1:34" x14ac:dyDescent="0.25">
      <c r="A937">
        <v>7</v>
      </c>
      <c r="B937" t="s">
        <v>556</v>
      </c>
      <c r="C937"/>
      <c r="D937" s="23">
        <v>1698000</v>
      </c>
      <c r="E937">
        <v>2894</v>
      </c>
      <c r="F937">
        <v>13</v>
      </c>
      <c r="G937">
        <v>10492</v>
      </c>
      <c r="H937" t="s">
        <v>101</v>
      </c>
      <c r="I937" s="23">
        <v>1698000</v>
      </c>
      <c r="J937" s="185">
        <v>46139</v>
      </c>
      <c r="K937" s="185">
        <v>46139</v>
      </c>
      <c r="L937" s="185">
        <v>46167</v>
      </c>
      <c r="M937" s="185">
        <v>46162</v>
      </c>
      <c r="N937"/>
      <c r="O937">
        <v>1010100</v>
      </c>
      <c r="P937" t="s">
        <v>29</v>
      </c>
      <c r="Q937">
        <v>200000100</v>
      </c>
      <c r="R937" t="s">
        <v>15322</v>
      </c>
      <c r="S937"/>
      <c r="T937" t="s">
        <v>15323</v>
      </c>
      <c r="U937" t="s">
        <v>1199</v>
      </c>
      <c r="V937" s="23">
        <v>0</v>
      </c>
      <c r="W937" s="23">
        <v>0</v>
      </c>
      <c r="X937" s="23">
        <v>0</v>
      </c>
      <c r="Y937"/>
      <c r="Z937">
        <v>1246272739</v>
      </c>
      <c r="AA937"/>
      <c r="AB937" t="s">
        <v>1186</v>
      </c>
      <c r="AC937">
        <v>102</v>
      </c>
      <c r="AD937">
        <v>4</v>
      </c>
      <c r="AE937" t="s">
        <v>15324</v>
      </c>
      <c r="AF937"/>
      <c r="AG937" s="23"/>
      <c r="AH937" s="265" t="str">
        <f>_xlfn.XLOOKUP(G937,Clientes!I:I,Clientes!F:F)</f>
        <v>GRUPO UNIFERTIL</v>
      </c>
    </row>
  </sheetData>
  <autoFilter ref="A2:AH2" xr:uid="{7125AC9A-C817-49F5-B841-B925398FE44C}"/>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Props1.xml><?xml version="1.0" encoding="utf-8"?>
<ds:datastoreItem xmlns:ds="http://schemas.openxmlformats.org/officeDocument/2006/customXml" ds:itemID="{9B8A6162-7F2F-4D98-8875-2958EB048BC7}">
  <ds:schemaRefs>
    <ds:schemaRef ds:uri="http://schemas.microsoft.com/sharepoint/v3/contenttype/forms"/>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19</vt:i4>
      </vt:variant>
    </vt:vector>
  </HeadingPairs>
  <TitlesOfParts>
    <vt:vector size="19" baseType="lpstr">
      <vt:lpstr>AR - slide BoD</vt:lpstr>
      <vt:lpstr>freight debit notes</vt:lpstr>
      <vt:lpstr>Data total</vt:lpstr>
      <vt:lpstr>Data Additive</vt:lpstr>
      <vt:lpstr>Data International</vt:lpstr>
      <vt:lpstr>Data Fertilizers</vt:lpstr>
      <vt:lpstr>Clientes Consolidado.</vt:lpstr>
      <vt:lpstr>Nova Versão </vt:lpstr>
      <vt:lpstr>New version Aging AR</vt:lpstr>
      <vt:lpstr>Limites </vt:lpstr>
      <vt:lpstr>Limite de crédito</vt:lpstr>
      <vt:lpstr>Painel Additive</vt:lpstr>
      <vt:lpstr>Painel Fertilizers</vt:lpstr>
      <vt:lpstr>Bad Debt Provision</vt:lpstr>
      <vt:lpstr>Painel International</vt:lpstr>
      <vt:lpstr>Info Clientes</vt:lpstr>
      <vt:lpstr>Buget</vt:lpstr>
      <vt:lpstr>Clientes</vt:lpstr>
      <vt:lpstr>Invoiced amount</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Pedro Henrique</cp:lastModifiedBy>
  <cp:lastPrinted>2025-02-14T20:07:10Z</cp:lastPrinted>
  <dcterms:created xsi:type="dcterms:W3CDTF">2024-06-14T11:59:41Z</dcterms:created>
  <dcterms:modified xsi:type="dcterms:W3CDTF">2026-06-25T19:02:15Z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